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2" activeTab="2"/>
  </bookViews>
  <sheets>
    <sheet name="图力格" sheetId="1" r:id="rId1"/>
    <sheet name="丰胜" sheetId="2" r:id="rId2"/>
    <sheet name="博勒梯" sheetId="3" r:id="rId3"/>
    <sheet name="明仁" sheetId="4" r:id="rId4"/>
    <sheet name="包德日干图" sheetId="5" r:id="rId5"/>
    <sheet name="落增筒" sheetId="6" r:id="rId6"/>
    <sheet name="新义" sheetId="7" r:id="rId7"/>
    <sheet name="萨仁阿日" sheetId="8" r:id="rId8"/>
    <sheet name="北大德号" sheetId="9" r:id="rId9"/>
    <sheet name="南大德号" sheetId="10" r:id="rId10"/>
    <sheet name="包特高营子" sheetId="11" r:id="rId11"/>
    <sheet name="三合" sheetId="12" r:id="rId12"/>
    <sheet name="公益" sheetId="13" r:id="rId13"/>
    <sheet name="福兴" sheetId="14" r:id="rId14"/>
    <sheet name="清河" sheetId="15" r:id="rId15"/>
    <sheet name="大段" sheetId="16" r:id="rId16"/>
    <sheet name="乌兰艾勒" sheetId="17" r:id="rId17"/>
    <sheet name="永安" sheetId="18" r:id="rId18"/>
    <sheet name="太平屯" sheetId="19" r:id="rId19"/>
    <sheet name="兴隆" sheetId="20" r:id="rId20"/>
    <sheet name="四方地" sheetId="21" r:id="rId21"/>
    <sheet name="四合福" sheetId="22" r:id="rId22"/>
    <sheet name="当海" sheetId="23" r:id="rId23"/>
    <sheet name="辣椒铺" sheetId="24" r:id="rId24"/>
    <sheet name="敖包" sheetId="25" r:id="rId25"/>
    <sheet name="保安" sheetId="26" r:id="rId26"/>
    <sheet name="巴日嘎斯台" sheetId="27" r:id="rId27"/>
    <sheet name="总表" sheetId="28" r:id="rId28"/>
  </sheets>
  <calcPr calcId="144525"/>
</workbook>
</file>

<file path=xl/sharedStrings.xml><?xml version="1.0" encoding="utf-8"?>
<sst xmlns="http://schemas.openxmlformats.org/spreadsheetml/2006/main" count="81030" uniqueCount="15637">
  <si>
    <t>图力格嘎查2020年养老保险缴费名单</t>
  </si>
  <si>
    <t>序号</t>
  </si>
  <si>
    <t>嘎查村</t>
  </si>
  <si>
    <t>姓名</t>
  </si>
  <si>
    <t>公民身份号码</t>
  </si>
  <si>
    <t>缴费所属年度</t>
  </si>
  <si>
    <t>缴费类型</t>
  </si>
  <si>
    <t>缴费档次</t>
  </si>
  <si>
    <t>缴费金额</t>
  </si>
  <si>
    <t>特殊群体类别</t>
  </si>
  <si>
    <t>备注</t>
  </si>
  <si>
    <t>缴费时间</t>
  </si>
  <si>
    <t>图力格</t>
  </si>
  <si>
    <t>娜布其</t>
  </si>
  <si>
    <t>150421197502135326</t>
  </si>
  <si>
    <t>2020</t>
  </si>
  <si>
    <t>正常续保</t>
  </si>
  <si>
    <t>宝银亮</t>
  </si>
  <si>
    <t>152326196204167120</t>
  </si>
  <si>
    <t>萨木成</t>
  </si>
  <si>
    <t>152326196402097127</t>
  </si>
  <si>
    <t>王玉山</t>
  </si>
  <si>
    <t>152326196402247113</t>
  </si>
  <si>
    <t>刘常顺</t>
  </si>
  <si>
    <t>152326196602237112</t>
  </si>
  <si>
    <t>白哈日巴拉</t>
  </si>
  <si>
    <t>15232619660927715X</t>
  </si>
  <si>
    <t>梁来小</t>
  </si>
  <si>
    <t>152326196703257120</t>
  </si>
  <si>
    <t>孟凡会</t>
  </si>
  <si>
    <t>152326196905057127</t>
  </si>
  <si>
    <t>王殿军</t>
  </si>
  <si>
    <t>152326196910267110</t>
  </si>
  <si>
    <t>姜秀艳</t>
  </si>
  <si>
    <t>152326197005057126</t>
  </si>
  <si>
    <t>变更</t>
  </si>
  <si>
    <t>王广文</t>
  </si>
  <si>
    <t>152326196706017114</t>
  </si>
  <si>
    <t>王艳</t>
  </si>
  <si>
    <t>152326197410297123</t>
  </si>
  <si>
    <t>李玉天</t>
  </si>
  <si>
    <t>15232619750127711X</t>
  </si>
  <si>
    <t>双喜</t>
  </si>
  <si>
    <t>152326197612237110</t>
  </si>
  <si>
    <t>包桂兰</t>
  </si>
  <si>
    <t>152326197902027146</t>
  </si>
  <si>
    <t>郝格日乐其木格</t>
  </si>
  <si>
    <t>152326196501157121</t>
  </si>
  <si>
    <t>吴佳善</t>
  </si>
  <si>
    <t>152326198011057135</t>
  </si>
  <si>
    <t>齐学飞</t>
  </si>
  <si>
    <t>152326198207117144</t>
  </si>
  <si>
    <t>胡守双</t>
  </si>
  <si>
    <t>152326197012267113</t>
  </si>
  <si>
    <t>田玉玲</t>
  </si>
  <si>
    <t>152326196905057143</t>
  </si>
  <si>
    <t>周青山</t>
  </si>
  <si>
    <t>152326197303037115</t>
  </si>
  <si>
    <t>吴代锁</t>
  </si>
  <si>
    <t>152326197409087129</t>
  </si>
  <si>
    <t>孟凡珍</t>
  </si>
  <si>
    <t>152326196705067144</t>
  </si>
  <si>
    <t>王广起</t>
  </si>
  <si>
    <t>152326197010287110</t>
  </si>
  <si>
    <t>于清</t>
  </si>
  <si>
    <t>152326197002267136</t>
  </si>
  <si>
    <t>王殿有</t>
  </si>
  <si>
    <t>152326196309057112</t>
  </si>
  <si>
    <t>苏建军</t>
  </si>
  <si>
    <t>152326196909157133</t>
  </si>
  <si>
    <t>姜秀红</t>
  </si>
  <si>
    <t>152326197204037128</t>
  </si>
  <si>
    <t>王广林</t>
  </si>
  <si>
    <t>152326197803147118</t>
  </si>
  <si>
    <t>于树莲</t>
  </si>
  <si>
    <t>152326198009117143</t>
  </si>
  <si>
    <t>王广庆</t>
  </si>
  <si>
    <t>15232619730513711X</t>
  </si>
  <si>
    <t>李占华</t>
  </si>
  <si>
    <t>152326197409307128</t>
  </si>
  <si>
    <t>宋国荣</t>
  </si>
  <si>
    <t>152326196210017110</t>
  </si>
  <si>
    <t>刘秀荣</t>
  </si>
  <si>
    <t>152326196108037123</t>
  </si>
  <si>
    <t>刘占全</t>
  </si>
  <si>
    <t>152326198003097110</t>
  </si>
  <si>
    <t>赵树红</t>
  </si>
  <si>
    <t>152326198012117128</t>
  </si>
  <si>
    <t>王广民</t>
  </si>
  <si>
    <t>152326197611017116</t>
  </si>
  <si>
    <t>王金丹</t>
  </si>
  <si>
    <t>152326197908227122</t>
  </si>
  <si>
    <t>赵树生</t>
  </si>
  <si>
    <t>15232619840624711X</t>
  </si>
  <si>
    <t>斯琴高娃</t>
  </si>
  <si>
    <t>152326198303174085</t>
  </si>
  <si>
    <t>李玉凯</t>
  </si>
  <si>
    <t>152326197002277115</t>
  </si>
  <si>
    <t>王玉芹</t>
  </si>
  <si>
    <t>15232619700107712X</t>
  </si>
  <si>
    <t>王清云</t>
  </si>
  <si>
    <t>152326197607177125</t>
  </si>
  <si>
    <t>王广富</t>
  </si>
  <si>
    <t>152326197206137114</t>
  </si>
  <si>
    <t>吕春玲</t>
  </si>
  <si>
    <t>152326197110017126</t>
  </si>
  <si>
    <t>邢海军</t>
  </si>
  <si>
    <t>152326197312217118</t>
  </si>
  <si>
    <t>低保</t>
  </si>
  <si>
    <t>包额尔旦胡</t>
  </si>
  <si>
    <t>152326198411067885</t>
  </si>
  <si>
    <t>广丽</t>
  </si>
  <si>
    <t>152326198304147118</t>
  </si>
  <si>
    <t>刁永丽</t>
  </si>
  <si>
    <t>152324198010278021</t>
  </si>
  <si>
    <t>韩福泉</t>
  </si>
  <si>
    <t>152326197108027114</t>
  </si>
  <si>
    <t>王温都苏</t>
  </si>
  <si>
    <t>152326197802027114</t>
  </si>
  <si>
    <t>敖金红</t>
  </si>
  <si>
    <t>152326197612137128</t>
  </si>
  <si>
    <t>韩宝泉</t>
  </si>
  <si>
    <t>152326196902027192</t>
  </si>
  <si>
    <t>图那木拉</t>
  </si>
  <si>
    <t>152326196908307128</t>
  </si>
  <si>
    <t>李小杰</t>
  </si>
  <si>
    <t>152326199710107124</t>
  </si>
  <si>
    <t>宝朝日格图那拉</t>
  </si>
  <si>
    <t>152326197202257119</t>
  </si>
  <si>
    <t>包根小</t>
  </si>
  <si>
    <t>152326197007076881</t>
  </si>
  <si>
    <t>王清果</t>
  </si>
  <si>
    <t>152326197302117156</t>
  </si>
  <si>
    <t>颜金霞</t>
  </si>
  <si>
    <t>152326197309157126</t>
  </si>
  <si>
    <t>包那顺乌力图</t>
  </si>
  <si>
    <t>152326196101097131</t>
  </si>
  <si>
    <t>宝玉荣</t>
  </si>
  <si>
    <t>152326196111277160</t>
  </si>
  <si>
    <t>赵树文</t>
  </si>
  <si>
    <t>152326198205027110</t>
  </si>
  <si>
    <t>冷迎春</t>
  </si>
  <si>
    <t>152324198206201122</t>
  </si>
  <si>
    <t>于翠莲</t>
  </si>
  <si>
    <t>152326197002257122</t>
  </si>
  <si>
    <t>于国江</t>
  </si>
  <si>
    <t>152326196205137118</t>
  </si>
  <si>
    <t>宝金良</t>
  </si>
  <si>
    <t>152326197008097123</t>
  </si>
  <si>
    <t>于海</t>
  </si>
  <si>
    <t>152326199702177114</t>
  </si>
  <si>
    <t>包金财</t>
  </si>
  <si>
    <t>152326196304147119</t>
  </si>
  <si>
    <t>席代小</t>
  </si>
  <si>
    <t>152326196404017127</t>
  </si>
  <si>
    <t>王根泉</t>
  </si>
  <si>
    <t>152326198110107118</t>
  </si>
  <si>
    <t>姚景红</t>
  </si>
  <si>
    <t>152326198212014086</t>
  </si>
  <si>
    <t>韩额尔德木图</t>
  </si>
  <si>
    <t>152326197309017115</t>
  </si>
  <si>
    <t>包力马</t>
  </si>
  <si>
    <t>152326197305017126</t>
  </si>
  <si>
    <t>刘福友</t>
  </si>
  <si>
    <t>152326196806112573</t>
  </si>
  <si>
    <t>姜桂琴</t>
  </si>
  <si>
    <t>152326196810017122</t>
  </si>
  <si>
    <t>聂志辉</t>
  </si>
  <si>
    <t>152326198108037114</t>
  </si>
  <si>
    <t>林晓轩</t>
  </si>
  <si>
    <t>152326198410208201</t>
  </si>
  <si>
    <t>王德丽</t>
  </si>
  <si>
    <t>152326200008187123</t>
  </si>
  <si>
    <t>白霞</t>
  </si>
  <si>
    <t>152326198207097120</t>
  </si>
  <si>
    <t>李海民</t>
  </si>
  <si>
    <t>152326198010047111</t>
  </si>
  <si>
    <t>刘立强</t>
  </si>
  <si>
    <t>152326198004174085</t>
  </si>
  <si>
    <t>敖干珠拉</t>
  </si>
  <si>
    <t>15232619810329711X</t>
  </si>
  <si>
    <t>王广华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</si>
  <si>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52326197508017134</t>
    </r>
  </si>
  <si>
    <t>李秀红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</si>
  <si>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52326197704077126</t>
    </r>
  </si>
  <si>
    <t>苏建广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</si>
  <si>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52326198411287116</t>
    </r>
  </si>
  <si>
    <t>宝德力根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</si>
  <si>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52326197208067922</t>
    </r>
  </si>
  <si>
    <t>新参保</t>
  </si>
  <si>
    <t>敖加布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</si>
  <si>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52326197502207113</t>
    </r>
  </si>
  <si>
    <t>吕红军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</si>
  <si>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52326197603157119</t>
    </r>
  </si>
  <si>
    <t>于秀兰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</si>
  <si>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52326197503017127</t>
    </r>
  </si>
  <si>
    <t>于民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</si>
  <si>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52326197802037136</t>
    </r>
  </si>
  <si>
    <t>李秀梅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</si>
  <si>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52326197612284080</t>
    </r>
  </si>
  <si>
    <t>刘占军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</si>
  <si>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52326197512117111</t>
    </r>
  </si>
  <si>
    <t>姜振云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</si>
  <si>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52326197807167124</t>
    </r>
  </si>
  <si>
    <t>胡新宇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</si>
  <si>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52326199607197125</t>
    </r>
  </si>
  <si>
    <t>李晓亮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</si>
  <si>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52326199412047127</t>
    </r>
  </si>
  <si>
    <t>席晓敏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</si>
  <si>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52326197706027122</t>
    </r>
  </si>
  <si>
    <t>陆玉茹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</si>
  <si>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52326197605087142</t>
    </r>
  </si>
  <si>
    <t>李海军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</si>
  <si>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52326197506267113</t>
    </r>
  </si>
  <si>
    <t>包海山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</si>
  <si>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52326196301147113</t>
    </r>
  </si>
  <si>
    <t>崔国芬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</si>
  <si>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52326197303084085</t>
    </r>
  </si>
  <si>
    <t>张国富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</si>
  <si>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52326197212034074</t>
    </r>
  </si>
  <si>
    <t>李海玉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</si>
  <si>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52326196302177111</t>
    </r>
  </si>
  <si>
    <t>张国花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</si>
  <si>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52326196411187124</t>
    </r>
  </si>
  <si>
    <t>付海波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</si>
  <si>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52326197002017110</t>
    </r>
  </si>
  <si>
    <t>胡图牙</t>
  </si>
  <si>
    <t>152326197310147128</t>
  </si>
  <si>
    <t>包双宝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</si>
  <si>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52326197902017116</t>
    </r>
  </si>
  <si>
    <t>陈福龙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</si>
  <si>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52326197311017114</t>
    </r>
  </si>
  <si>
    <t>哈斯格日勒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</si>
  <si>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52326197104264120</t>
    </r>
  </si>
  <si>
    <t>刘占花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</si>
  <si>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5232619730701712X</t>
    </r>
  </si>
  <si>
    <t>敖海军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</si>
  <si>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52326197104167136</t>
    </r>
  </si>
  <si>
    <t>何高娃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</si>
  <si>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52326197407057129</t>
    </r>
  </si>
  <si>
    <t>宝哈斯格日乐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</si>
  <si>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52326196304227127</t>
    </r>
  </si>
  <si>
    <t>席都义乐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</si>
  <si>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52326196803027146</t>
    </r>
  </si>
  <si>
    <t>陈金龙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</si>
  <si>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52326196905107112</t>
    </r>
  </si>
  <si>
    <t>李玉贺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</si>
  <si>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52326196405257114</t>
    </r>
  </si>
  <si>
    <t>姜秀苓</t>
  </si>
  <si>
    <t>152326196701087121</t>
  </si>
  <si>
    <t>白乙拉</t>
  </si>
  <si>
    <t>152326197010257114</t>
  </si>
  <si>
    <t>李牡兰</t>
  </si>
  <si>
    <t>152326197007297123</t>
  </si>
  <si>
    <t>宝德</t>
  </si>
  <si>
    <t>152326196612067137</t>
  </si>
  <si>
    <t>李八月</t>
  </si>
  <si>
    <t>152326196507287111</t>
  </si>
  <si>
    <t>乔树花</t>
  </si>
  <si>
    <t>152326197202157126</t>
  </si>
  <si>
    <t>徐风侠</t>
  </si>
  <si>
    <t>15232619621011712X</t>
  </si>
  <si>
    <t>于国文</t>
  </si>
  <si>
    <t>152326196310117119</t>
  </si>
  <si>
    <t>刘呼合巴拉</t>
  </si>
  <si>
    <t>152326196802167139</t>
  </si>
  <si>
    <t>王广志</t>
  </si>
  <si>
    <t>15232619721123711X</t>
  </si>
  <si>
    <t>倪建苹</t>
  </si>
  <si>
    <t>152326197306037129</t>
  </si>
  <si>
    <t>赵军</t>
  </si>
  <si>
    <t>152326196302287118</t>
  </si>
  <si>
    <t>王海花</t>
  </si>
  <si>
    <t>152326196411067122</t>
  </si>
  <si>
    <t>李海全</t>
  </si>
  <si>
    <t>15232619671017717X</t>
  </si>
  <si>
    <t>哈斯其木格</t>
  </si>
  <si>
    <t>152326196909197127</t>
  </si>
  <si>
    <t>苏祥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</si>
  <si>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52326196511047110</t>
    </r>
  </si>
  <si>
    <t>志国</t>
  </si>
  <si>
    <r>
      <rPr>
        <sz val="11"/>
        <rFont val="宋体"/>
        <charset val="134"/>
      </rPr>
      <t>1</t>
    </r>
    <r>
      <rPr>
        <sz val="11"/>
        <rFont val="宋体"/>
        <charset val="134"/>
      </rPr>
      <t>52326197910207112</t>
    </r>
  </si>
  <si>
    <t>志良</t>
  </si>
  <si>
    <r>
      <rPr>
        <sz val="11"/>
        <rFont val="宋体"/>
        <charset val="134"/>
      </rPr>
      <t>1</t>
    </r>
    <r>
      <rPr>
        <sz val="11"/>
        <rFont val="宋体"/>
        <charset val="134"/>
      </rPr>
      <t>52326198410287130</t>
    </r>
  </si>
  <si>
    <t>白山</t>
  </si>
  <si>
    <r>
      <rPr>
        <sz val="11"/>
        <rFont val="宋体"/>
        <charset val="134"/>
      </rPr>
      <t>1</t>
    </r>
    <r>
      <rPr>
        <sz val="11"/>
        <rFont val="宋体"/>
        <charset val="134"/>
      </rPr>
      <t>52326198505027112</t>
    </r>
  </si>
  <si>
    <t>陆井全</t>
  </si>
  <si>
    <r>
      <rPr>
        <sz val="11"/>
        <rFont val="宋体"/>
        <charset val="134"/>
      </rPr>
      <t>1</t>
    </r>
    <r>
      <rPr>
        <sz val="11"/>
        <rFont val="宋体"/>
        <charset val="134"/>
      </rPr>
      <t>52326197206127119</t>
    </r>
  </si>
  <si>
    <t>2017</t>
  </si>
  <si>
    <t>补缴</t>
  </si>
  <si>
    <t>倪建梅</t>
  </si>
  <si>
    <r>
      <rPr>
        <sz val="11"/>
        <rFont val="宋体"/>
        <charset val="134"/>
      </rPr>
      <t>1</t>
    </r>
    <r>
      <rPr>
        <sz val="11"/>
        <rFont val="宋体"/>
        <charset val="134"/>
      </rPr>
      <t>52326197103257148</t>
    </r>
  </si>
  <si>
    <t>2016</t>
  </si>
  <si>
    <t>吕胜军</t>
  </si>
  <si>
    <r>
      <rPr>
        <sz val="11"/>
        <rFont val="宋体"/>
        <charset val="134"/>
      </rPr>
      <t>1</t>
    </r>
    <r>
      <rPr>
        <sz val="11"/>
        <rFont val="宋体"/>
        <charset val="134"/>
      </rPr>
      <t>52326198203087136</t>
    </r>
  </si>
  <si>
    <t>新增</t>
  </si>
  <si>
    <t>李淑斐</t>
  </si>
  <si>
    <t>152324198209011121</t>
  </si>
  <si>
    <t>白乙拉图</t>
  </si>
  <si>
    <r>
      <rPr>
        <sz val="11"/>
        <rFont val="宋体"/>
        <charset val="134"/>
      </rPr>
      <t>1</t>
    </r>
    <r>
      <rPr>
        <sz val="11"/>
        <rFont val="宋体"/>
        <charset val="134"/>
      </rPr>
      <t>52326198904117115</t>
    </r>
  </si>
  <si>
    <t>李仓</t>
  </si>
  <si>
    <t>152326198611027132</t>
  </si>
  <si>
    <t>陆景龙</t>
  </si>
  <si>
    <t>152326197707127117</t>
  </si>
  <si>
    <t>包宝泉</t>
  </si>
  <si>
    <t>152326198211087152</t>
  </si>
  <si>
    <t>吴梅荣</t>
  </si>
  <si>
    <t>152326198110097124</t>
  </si>
  <si>
    <t>包福</t>
  </si>
  <si>
    <t>152326195808207117</t>
  </si>
  <si>
    <t>2011</t>
  </si>
  <si>
    <t>200</t>
  </si>
  <si>
    <t>144人</t>
  </si>
  <si>
    <t>合计</t>
  </si>
  <si>
    <t>46800</t>
  </si>
  <si>
    <t>丰胜村2020年养老保险缴费名单</t>
  </si>
  <si>
    <t>1</t>
  </si>
  <si>
    <t>丰胜村</t>
  </si>
  <si>
    <t>张义</t>
  </si>
  <si>
    <t>152326195802107115</t>
  </si>
  <si>
    <t>2013</t>
  </si>
  <si>
    <t>20200814</t>
  </si>
  <si>
    <t>2</t>
  </si>
  <si>
    <t>秦玉朋</t>
  </si>
  <si>
    <t>152326196011207122</t>
  </si>
  <si>
    <t>20201224</t>
  </si>
  <si>
    <t>3</t>
  </si>
  <si>
    <t>丰胜</t>
  </si>
  <si>
    <t>张志华</t>
  </si>
  <si>
    <t>152326197209117119</t>
  </si>
  <si>
    <t>20201118</t>
  </si>
  <si>
    <t>4</t>
  </si>
  <si>
    <t>李景艳</t>
  </si>
  <si>
    <t>152326196910107125</t>
  </si>
  <si>
    <t>5</t>
  </si>
  <si>
    <t>隋成义</t>
  </si>
  <si>
    <t>152326196810147154</t>
  </si>
  <si>
    <t>6</t>
  </si>
  <si>
    <t>王丽平</t>
  </si>
  <si>
    <t>152102197106200049</t>
  </si>
  <si>
    <t>7</t>
  </si>
  <si>
    <t>付宪军</t>
  </si>
  <si>
    <t>15232619610412713X</t>
  </si>
  <si>
    <t>8</t>
  </si>
  <si>
    <t>张淑玲</t>
  </si>
  <si>
    <t>152326196307127148</t>
  </si>
  <si>
    <t>9</t>
  </si>
  <si>
    <t>姜子成</t>
  </si>
  <si>
    <t>152326196212106870</t>
  </si>
  <si>
    <t>10</t>
  </si>
  <si>
    <t>赵春艳</t>
  </si>
  <si>
    <t>152326196403056888</t>
  </si>
  <si>
    <t>11</t>
  </si>
  <si>
    <t>姜丹丹</t>
  </si>
  <si>
    <t>152326199203057126</t>
  </si>
  <si>
    <t>12</t>
  </si>
  <si>
    <t>李树新</t>
  </si>
  <si>
    <t>152326196211087110</t>
  </si>
  <si>
    <t>13</t>
  </si>
  <si>
    <t>郭玉娥</t>
  </si>
  <si>
    <t>152326196012027123</t>
  </si>
  <si>
    <t>14</t>
  </si>
  <si>
    <t>徐凤全</t>
  </si>
  <si>
    <t>152326196110297119</t>
  </si>
  <si>
    <t>15</t>
  </si>
  <si>
    <t>张宪玲</t>
  </si>
  <si>
    <t>152326196012257121</t>
  </si>
  <si>
    <t>16</t>
  </si>
  <si>
    <t>刘振发</t>
  </si>
  <si>
    <t>152326196203187111</t>
  </si>
  <si>
    <t>17</t>
  </si>
  <si>
    <t>杨凤霞</t>
  </si>
  <si>
    <t>152326196407157125</t>
  </si>
  <si>
    <t>18</t>
  </si>
  <si>
    <t>王文</t>
  </si>
  <si>
    <t>152326196303157112</t>
  </si>
  <si>
    <t>19</t>
  </si>
  <si>
    <t>刘素娥</t>
  </si>
  <si>
    <t>15232619620924712X</t>
  </si>
  <si>
    <t>20</t>
  </si>
  <si>
    <t>王志林</t>
  </si>
  <si>
    <t>152326199405157117</t>
  </si>
  <si>
    <t>21</t>
  </si>
  <si>
    <t>刘爽</t>
  </si>
  <si>
    <t>152326196502077115</t>
  </si>
  <si>
    <t>22</t>
  </si>
  <si>
    <t>王桂兰</t>
  </si>
  <si>
    <t>152326196506117129</t>
  </si>
  <si>
    <t>23</t>
  </si>
  <si>
    <t>皮国江</t>
  </si>
  <si>
    <t>152326196511087139</t>
  </si>
  <si>
    <t>24</t>
  </si>
  <si>
    <t>闫秀芝</t>
  </si>
  <si>
    <t>150525196809270027</t>
  </si>
  <si>
    <t>25</t>
  </si>
  <si>
    <t>郑淑霞</t>
  </si>
  <si>
    <t>152326196201097120</t>
  </si>
  <si>
    <t>26</t>
  </si>
  <si>
    <t>刘振明</t>
  </si>
  <si>
    <t>152326196403027112</t>
  </si>
  <si>
    <t>27</t>
  </si>
  <si>
    <t>秦玉娥</t>
  </si>
  <si>
    <t>152326196508157124</t>
  </si>
  <si>
    <t>28</t>
  </si>
  <si>
    <t>韩国立</t>
  </si>
  <si>
    <t>152326197612097111</t>
  </si>
  <si>
    <t>29</t>
  </si>
  <si>
    <t>徐娟娟</t>
  </si>
  <si>
    <t>152326197809297141</t>
  </si>
  <si>
    <t>30</t>
  </si>
  <si>
    <t>张志伍</t>
  </si>
  <si>
    <t>152326197301177157</t>
  </si>
  <si>
    <t>31</t>
  </si>
  <si>
    <t>姚秀芬</t>
  </si>
  <si>
    <t>152326197401167124</t>
  </si>
  <si>
    <t>32</t>
  </si>
  <si>
    <t>米金花</t>
  </si>
  <si>
    <t>152326196112117142</t>
  </si>
  <si>
    <t>33</t>
  </si>
  <si>
    <t>李树森</t>
  </si>
  <si>
    <t>152326196512157119</t>
  </si>
  <si>
    <t>34</t>
  </si>
  <si>
    <t>曹美芝</t>
  </si>
  <si>
    <t>152326196408157143</t>
  </si>
  <si>
    <t>35</t>
  </si>
  <si>
    <t>张志权</t>
  </si>
  <si>
    <t>152326197609247131</t>
  </si>
  <si>
    <t>36</t>
  </si>
  <si>
    <t>刘海英</t>
  </si>
  <si>
    <t>152326197901277143</t>
  </si>
  <si>
    <t>37</t>
  </si>
  <si>
    <t>林桂花</t>
  </si>
  <si>
    <t>152326196009177120</t>
  </si>
  <si>
    <t>38</t>
  </si>
  <si>
    <t>陈虎</t>
  </si>
  <si>
    <t>152326197603167130</t>
  </si>
  <si>
    <t>39</t>
  </si>
  <si>
    <t>林忠英</t>
  </si>
  <si>
    <t>152326197510117142</t>
  </si>
  <si>
    <t>40</t>
  </si>
  <si>
    <t>徐淑芳</t>
  </si>
  <si>
    <t>152326196606167123</t>
  </si>
  <si>
    <t>41</t>
  </si>
  <si>
    <t>李淑霞</t>
  </si>
  <si>
    <t>152326196505187125</t>
  </si>
  <si>
    <t>42</t>
  </si>
  <si>
    <t>徐强</t>
  </si>
  <si>
    <t>152326197608237118</t>
  </si>
  <si>
    <t>43</t>
  </si>
  <si>
    <t>李淑兰</t>
  </si>
  <si>
    <t>152326198001127128</t>
  </si>
  <si>
    <t>44</t>
  </si>
  <si>
    <t>岳爱文</t>
  </si>
  <si>
    <t>152326197601077131</t>
  </si>
  <si>
    <t>45</t>
  </si>
  <si>
    <t>张艳秋</t>
  </si>
  <si>
    <t>152326197802116862</t>
  </si>
  <si>
    <t>46</t>
  </si>
  <si>
    <t>高志</t>
  </si>
  <si>
    <t>152326196512167114</t>
  </si>
  <si>
    <t>47</t>
  </si>
  <si>
    <t>付玉华</t>
  </si>
  <si>
    <t>152326196507097123</t>
  </si>
  <si>
    <t>48</t>
  </si>
  <si>
    <t>于秀芬</t>
  </si>
  <si>
    <t>152326196303017128</t>
  </si>
  <si>
    <t>49</t>
  </si>
  <si>
    <t>付宪权</t>
  </si>
  <si>
    <t>152326197307227119</t>
  </si>
  <si>
    <t>50</t>
  </si>
  <si>
    <t>刘艳凤</t>
  </si>
  <si>
    <t>152326197409096885</t>
  </si>
  <si>
    <t>51</t>
  </si>
  <si>
    <t>付宪民</t>
  </si>
  <si>
    <t>152326196612297119</t>
  </si>
  <si>
    <t>52</t>
  </si>
  <si>
    <t>许淑玲</t>
  </si>
  <si>
    <t>152326196809107147</t>
  </si>
  <si>
    <t>53</t>
  </si>
  <si>
    <t>陈昌义</t>
  </si>
  <si>
    <t>152326196205207112</t>
  </si>
  <si>
    <t>54</t>
  </si>
  <si>
    <t>张国兰</t>
  </si>
  <si>
    <t>152326196207207124</t>
  </si>
  <si>
    <t>55</t>
  </si>
  <si>
    <t>郑云龙</t>
  </si>
  <si>
    <t>152326197601017155</t>
  </si>
  <si>
    <t>56</t>
  </si>
  <si>
    <t>李玲玲</t>
  </si>
  <si>
    <t>433026198006124227</t>
  </si>
  <si>
    <t>57</t>
  </si>
  <si>
    <t>吴金虎</t>
  </si>
  <si>
    <t>152326196603157130</t>
  </si>
  <si>
    <t>58</t>
  </si>
  <si>
    <t>郑淑兰</t>
  </si>
  <si>
    <t>152326196905097145</t>
  </si>
  <si>
    <t>59</t>
  </si>
  <si>
    <t>郭仁</t>
  </si>
  <si>
    <t>152326196712027132</t>
  </si>
  <si>
    <t>60</t>
  </si>
  <si>
    <t>刘慧荣</t>
  </si>
  <si>
    <t>152326196402107129</t>
  </si>
  <si>
    <t>61</t>
  </si>
  <si>
    <t>张方伟</t>
  </si>
  <si>
    <t>152326198603057112</t>
  </si>
  <si>
    <t>62</t>
  </si>
  <si>
    <t>张桂芝</t>
  </si>
  <si>
    <t>152326196707017124</t>
  </si>
  <si>
    <t>63</t>
  </si>
  <si>
    <t>姚振起</t>
  </si>
  <si>
    <t>152326196701127111</t>
  </si>
  <si>
    <t>64</t>
  </si>
  <si>
    <t>韩秀芝</t>
  </si>
  <si>
    <t>152326197301027167</t>
  </si>
  <si>
    <t>65</t>
  </si>
  <si>
    <t>吴新平</t>
  </si>
  <si>
    <t>152326196512197129</t>
  </si>
  <si>
    <t>66</t>
  </si>
  <si>
    <t>67</t>
  </si>
  <si>
    <t>沈友</t>
  </si>
  <si>
    <t>152326196012077112</t>
  </si>
  <si>
    <t>68</t>
  </si>
  <si>
    <t>隋成海</t>
  </si>
  <si>
    <t>152326196107027118</t>
  </si>
  <si>
    <t>69</t>
  </si>
  <si>
    <t>李明娇</t>
  </si>
  <si>
    <t>152326196205107146</t>
  </si>
  <si>
    <t>70</t>
  </si>
  <si>
    <t>王臣</t>
  </si>
  <si>
    <t>152326196212167112</t>
  </si>
  <si>
    <t>71</t>
  </si>
  <si>
    <t>石凤莲</t>
  </si>
  <si>
    <t>152326196304137121</t>
  </si>
  <si>
    <t>72</t>
  </si>
  <si>
    <t>吴宗山</t>
  </si>
  <si>
    <t>152326196305257117</t>
  </si>
  <si>
    <t>73</t>
  </si>
  <si>
    <t>刘桂芬</t>
  </si>
  <si>
    <t>152326196312177123</t>
  </si>
  <si>
    <t>74</t>
  </si>
  <si>
    <t>高长青</t>
  </si>
  <si>
    <t>15232619650517712X</t>
  </si>
  <si>
    <t>75</t>
  </si>
  <si>
    <t>李雅杰</t>
  </si>
  <si>
    <t>15232619651130712X</t>
  </si>
  <si>
    <t>76</t>
  </si>
  <si>
    <t>刘凤河</t>
  </si>
  <si>
    <t>152326196710067130</t>
  </si>
  <si>
    <t>77</t>
  </si>
  <si>
    <t>姚文秀</t>
  </si>
  <si>
    <t>152326196807157124</t>
  </si>
  <si>
    <t>78</t>
  </si>
  <si>
    <t>陈淑琴</t>
  </si>
  <si>
    <t>152326196807267120</t>
  </si>
  <si>
    <t>79</t>
  </si>
  <si>
    <t>皮国忠</t>
  </si>
  <si>
    <t>152326196809097110</t>
  </si>
  <si>
    <t>80</t>
  </si>
  <si>
    <t>徐风成</t>
  </si>
  <si>
    <t>152326196811187115</t>
  </si>
  <si>
    <t>81</t>
  </si>
  <si>
    <t>姚金良</t>
  </si>
  <si>
    <t>152326196908237115</t>
  </si>
  <si>
    <t>82</t>
  </si>
  <si>
    <t>刘凤全</t>
  </si>
  <si>
    <t>152326196911027119</t>
  </si>
  <si>
    <t>83</t>
  </si>
  <si>
    <t>徐淑梅</t>
  </si>
  <si>
    <t>152326196911247883</t>
  </si>
  <si>
    <t>84</t>
  </si>
  <si>
    <t>郭义</t>
  </si>
  <si>
    <t>152326197002197115</t>
  </si>
  <si>
    <t>85</t>
  </si>
  <si>
    <t>张友</t>
  </si>
  <si>
    <t>15232619700605711X</t>
  </si>
  <si>
    <t>86</t>
  </si>
  <si>
    <t>李国升</t>
  </si>
  <si>
    <t>152326197006287118</t>
  </si>
  <si>
    <t>87</t>
  </si>
  <si>
    <t>李树江</t>
  </si>
  <si>
    <t>152326197102177111</t>
  </si>
  <si>
    <t>88</t>
  </si>
  <si>
    <t>王艳华</t>
  </si>
  <si>
    <t>152326197110157129</t>
  </si>
  <si>
    <t>89</t>
  </si>
  <si>
    <t>陈龙</t>
  </si>
  <si>
    <t>152326197203187132</t>
  </si>
  <si>
    <t>90</t>
  </si>
  <si>
    <t>金凤英</t>
  </si>
  <si>
    <t>152326197208137126</t>
  </si>
  <si>
    <t>91</t>
  </si>
  <si>
    <t>姚东良</t>
  </si>
  <si>
    <t>152326197310207119</t>
  </si>
  <si>
    <t>92</t>
  </si>
  <si>
    <t>岳爱祥</t>
  </si>
  <si>
    <t>15232619740129713X</t>
  </si>
  <si>
    <t>93</t>
  </si>
  <si>
    <t>崔素华</t>
  </si>
  <si>
    <t>152326197504077121</t>
  </si>
  <si>
    <t>94</t>
  </si>
  <si>
    <t>冯金燕</t>
  </si>
  <si>
    <t>152326197603057142</t>
  </si>
  <si>
    <t>95</t>
  </si>
  <si>
    <t>周亚明</t>
  </si>
  <si>
    <t>152326199205118172</t>
  </si>
  <si>
    <t>96</t>
  </si>
  <si>
    <t>韩秀英</t>
  </si>
  <si>
    <t>15232619660125712X</t>
  </si>
  <si>
    <t>97</t>
  </si>
  <si>
    <t>郎翠霞</t>
  </si>
  <si>
    <t>15232619680215408X</t>
  </si>
  <si>
    <t>98</t>
  </si>
  <si>
    <t>张殿魁</t>
  </si>
  <si>
    <t>152326196305227110</t>
  </si>
  <si>
    <t>99</t>
  </si>
  <si>
    <t>黄淑珍</t>
  </si>
  <si>
    <t>152326196410287123</t>
  </si>
  <si>
    <t>100</t>
  </si>
  <si>
    <t>徐凤良</t>
  </si>
  <si>
    <t>152325197106257112</t>
  </si>
  <si>
    <t>101</t>
  </si>
  <si>
    <t>李瑞华</t>
  </si>
  <si>
    <t>152326197003167129</t>
  </si>
  <si>
    <t>102</t>
  </si>
  <si>
    <t>李玉琢</t>
  </si>
  <si>
    <t>152326196211067128</t>
  </si>
  <si>
    <t>103</t>
  </si>
  <si>
    <t>张臣</t>
  </si>
  <si>
    <t>152326196512207112</t>
  </si>
  <si>
    <t>104</t>
  </si>
  <si>
    <t>刘凤海</t>
  </si>
  <si>
    <t>152326196507127118</t>
  </si>
  <si>
    <t>105</t>
  </si>
  <si>
    <t>王彩红</t>
  </si>
  <si>
    <t>152326196303037129</t>
  </si>
  <si>
    <t>106</t>
  </si>
  <si>
    <t>崔君</t>
  </si>
  <si>
    <t>15232619650804711X</t>
  </si>
  <si>
    <t>107</t>
  </si>
  <si>
    <t>单秀芝</t>
  </si>
  <si>
    <t>152326197101287124</t>
  </si>
  <si>
    <t>108</t>
  </si>
  <si>
    <t>郑守君</t>
  </si>
  <si>
    <t>152326196702247115</t>
  </si>
  <si>
    <t>109</t>
  </si>
  <si>
    <t>丁立新</t>
  </si>
  <si>
    <t>152326196802177126</t>
  </si>
  <si>
    <t>110</t>
  </si>
  <si>
    <t>李建军</t>
  </si>
  <si>
    <t>152326196202027116</t>
  </si>
  <si>
    <t>111</t>
  </si>
  <si>
    <t>刘秀兰</t>
  </si>
  <si>
    <t>152326196204237125</t>
  </si>
  <si>
    <t>112</t>
  </si>
  <si>
    <t>皮树新</t>
  </si>
  <si>
    <t>152326197703107119</t>
  </si>
  <si>
    <t>113</t>
  </si>
  <si>
    <t>陈淑云</t>
  </si>
  <si>
    <t>152326196202287129</t>
  </si>
  <si>
    <t>114</t>
  </si>
  <si>
    <t>张振芳</t>
  </si>
  <si>
    <t>152326196605267114</t>
  </si>
  <si>
    <t>115</t>
  </si>
  <si>
    <t>张淑花</t>
  </si>
  <si>
    <t>15232619660202714X</t>
  </si>
  <si>
    <t>116</t>
  </si>
  <si>
    <t>米金伍</t>
  </si>
  <si>
    <t>152326197305037135</t>
  </si>
  <si>
    <t>117</t>
  </si>
  <si>
    <t>郑宏艳</t>
  </si>
  <si>
    <t>152326197306057146</t>
  </si>
  <si>
    <t>118</t>
  </si>
  <si>
    <t>付宪坤</t>
  </si>
  <si>
    <t>152326196309137112</t>
  </si>
  <si>
    <t>119</t>
  </si>
  <si>
    <t>李雅芹</t>
  </si>
  <si>
    <t>152326196312227143</t>
  </si>
  <si>
    <t>120</t>
  </si>
  <si>
    <t>张国华</t>
  </si>
  <si>
    <t>15232619690310716X</t>
  </si>
  <si>
    <t>121</t>
  </si>
  <si>
    <t>李明</t>
  </si>
  <si>
    <t>152326196206297113</t>
  </si>
  <si>
    <t>122</t>
  </si>
  <si>
    <t>乔桂云</t>
  </si>
  <si>
    <t>152326196410107129</t>
  </si>
  <si>
    <t>123</t>
  </si>
  <si>
    <t>赵玉山</t>
  </si>
  <si>
    <t>152326197201107119</t>
  </si>
  <si>
    <t>124</t>
  </si>
  <si>
    <t>尹淑红</t>
  </si>
  <si>
    <t>152326197305067123</t>
  </si>
  <si>
    <t>125</t>
  </si>
  <si>
    <t>肖凤莲</t>
  </si>
  <si>
    <t>152326198810126889</t>
  </si>
  <si>
    <t>126</t>
  </si>
  <si>
    <t>赵小光</t>
  </si>
  <si>
    <t>152326198608277114</t>
  </si>
  <si>
    <t>127</t>
  </si>
  <si>
    <t>刘晓孟</t>
  </si>
  <si>
    <t>152326198711267117</t>
  </si>
  <si>
    <t>128</t>
  </si>
  <si>
    <t>许云川</t>
  </si>
  <si>
    <t>152326197909137110</t>
  </si>
  <si>
    <t>129</t>
  </si>
  <si>
    <t>杜洪芳</t>
  </si>
  <si>
    <t>152326198002037124</t>
  </si>
  <si>
    <t>130</t>
  </si>
  <si>
    <t>刘晓方</t>
  </si>
  <si>
    <t>152326197609247123</t>
  </si>
  <si>
    <t>131</t>
  </si>
  <si>
    <t>单忠义</t>
  </si>
  <si>
    <t>15232619770206687X</t>
  </si>
  <si>
    <t>132</t>
  </si>
  <si>
    <t>岳爱生</t>
  </si>
  <si>
    <t>152326198408077118</t>
  </si>
  <si>
    <t>133</t>
  </si>
  <si>
    <t>朱金娥</t>
  </si>
  <si>
    <t>152326197508037127</t>
  </si>
  <si>
    <t>134</t>
  </si>
  <si>
    <t>吴金龙</t>
  </si>
  <si>
    <t>15232619720202717X</t>
  </si>
  <si>
    <t>135</t>
  </si>
  <si>
    <t>张淑燕</t>
  </si>
  <si>
    <t>152326197402257121</t>
  </si>
  <si>
    <t>136</t>
  </si>
  <si>
    <t>赵玉宝</t>
  </si>
  <si>
    <t>152326197612257111</t>
  </si>
  <si>
    <t>137</t>
  </si>
  <si>
    <t>吴艳华</t>
  </si>
  <si>
    <t>152326197902177128</t>
  </si>
  <si>
    <t>138</t>
  </si>
  <si>
    <t>张志富</t>
  </si>
  <si>
    <t>152326197909067116</t>
  </si>
  <si>
    <t>139</t>
  </si>
  <si>
    <t>赵玉峰</t>
  </si>
  <si>
    <t>152326197410217111</t>
  </si>
  <si>
    <t>140</t>
  </si>
  <si>
    <t>王玖英</t>
  </si>
  <si>
    <t>152326197501297129</t>
  </si>
  <si>
    <t>141</t>
  </si>
  <si>
    <t>杜翠花</t>
  </si>
  <si>
    <t>152326197410107123</t>
  </si>
  <si>
    <t>142</t>
  </si>
  <si>
    <t>隋成林</t>
  </si>
  <si>
    <t>152326196709187119</t>
  </si>
  <si>
    <t>143</t>
  </si>
  <si>
    <t>隋明星</t>
  </si>
  <si>
    <t>152326199312107137</t>
  </si>
  <si>
    <t>正常脱贫户</t>
  </si>
  <si>
    <t>144</t>
  </si>
  <si>
    <t>王志坤</t>
  </si>
  <si>
    <t>152326197802057137</t>
  </si>
  <si>
    <t>145</t>
  </si>
  <si>
    <t>刘丽华</t>
  </si>
  <si>
    <t>152326197906127128</t>
  </si>
  <si>
    <t>146</t>
  </si>
  <si>
    <t>吴永胜</t>
  </si>
  <si>
    <t>15232619881223711X</t>
  </si>
  <si>
    <t>147</t>
  </si>
  <si>
    <t>肖凤琢</t>
  </si>
  <si>
    <t>152326198906016887</t>
  </si>
  <si>
    <t>148</t>
  </si>
  <si>
    <t>张铁柱</t>
  </si>
  <si>
    <t>152326198311257112</t>
  </si>
  <si>
    <t>149</t>
  </si>
  <si>
    <t>于金燕</t>
  </si>
  <si>
    <t>152326198210037129</t>
  </si>
  <si>
    <t>残疾</t>
  </si>
  <si>
    <t>150</t>
  </si>
  <si>
    <t>李永升</t>
  </si>
  <si>
    <t>152326198009207114</t>
  </si>
  <si>
    <t>151</t>
  </si>
  <si>
    <t>赵桂侠</t>
  </si>
  <si>
    <t>152326197006027121</t>
  </si>
  <si>
    <t>152</t>
  </si>
  <si>
    <t>陈加风</t>
  </si>
  <si>
    <t>152326199608197119</t>
  </si>
  <si>
    <t>153</t>
  </si>
  <si>
    <t>李亚玲</t>
  </si>
  <si>
    <t>152326196305057123</t>
  </si>
  <si>
    <t>154</t>
  </si>
  <si>
    <t>王东兴</t>
  </si>
  <si>
    <t>152326198405267119</t>
  </si>
  <si>
    <t>155</t>
  </si>
  <si>
    <t>吴艳敏</t>
  </si>
  <si>
    <t>152326198709067124</t>
  </si>
  <si>
    <t>156</t>
  </si>
  <si>
    <t>赵晓波</t>
  </si>
  <si>
    <t>152326199509017135</t>
  </si>
  <si>
    <t>157</t>
  </si>
  <si>
    <t>于清水</t>
  </si>
  <si>
    <t>152326197301037111</t>
  </si>
  <si>
    <t>158</t>
  </si>
  <si>
    <t>皮玉志</t>
  </si>
  <si>
    <t>152326197807257111</t>
  </si>
  <si>
    <t>159</t>
  </si>
  <si>
    <t>王艳芳</t>
  </si>
  <si>
    <t>152326197807227123</t>
  </si>
  <si>
    <t>160</t>
  </si>
  <si>
    <t>刘艳辉</t>
  </si>
  <si>
    <t>152326199102107120</t>
  </si>
  <si>
    <t>161</t>
  </si>
  <si>
    <t>吴限力</t>
  </si>
  <si>
    <t>152326197903167116</t>
  </si>
  <si>
    <t>162</t>
  </si>
  <si>
    <t>闫凤</t>
  </si>
  <si>
    <t>152326197911207165</t>
  </si>
  <si>
    <t>163</t>
  </si>
  <si>
    <t>吴玉菊</t>
  </si>
  <si>
    <t>152326198310037126</t>
  </si>
  <si>
    <t>164</t>
  </si>
  <si>
    <t>张忠海</t>
  </si>
  <si>
    <t>152326198412307115</t>
  </si>
  <si>
    <t>165</t>
  </si>
  <si>
    <t>闫春柳</t>
  </si>
  <si>
    <t>152326198909236885</t>
  </si>
  <si>
    <t>166</t>
  </si>
  <si>
    <t>赵小柱</t>
  </si>
  <si>
    <t>152326198901107114</t>
  </si>
  <si>
    <t>167</t>
  </si>
  <si>
    <t>张增艳</t>
  </si>
  <si>
    <t>15232619890801712X</t>
  </si>
  <si>
    <t>168</t>
  </si>
  <si>
    <t>姚子永</t>
  </si>
  <si>
    <t>152326197308217115</t>
  </si>
  <si>
    <t>169</t>
  </si>
  <si>
    <t>刘小伟</t>
  </si>
  <si>
    <t>15232619830928711X</t>
  </si>
  <si>
    <t>170</t>
  </si>
  <si>
    <t>吴艳玲</t>
  </si>
  <si>
    <t>152326198312017129</t>
  </si>
  <si>
    <t>171</t>
  </si>
  <si>
    <t>李立君</t>
  </si>
  <si>
    <t>152326198208277115</t>
  </si>
  <si>
    <t>172</t>
  </si>
  <si>
    <t>吴艳波</t>
  </si>
  <si>
    <t>152326198409307122</t>
  </si>
  <si>
    <t>173</t>
  </si>
  <si>
    <t>王小丽</t>
  </si>
  <si>
    <t>152326198307287124</t>
  </si>
  <si>
    <t>174</t>
  </si>
  <si>
    <t>李洪波</t>
  </si>
  <si>
    <t>152326198610097112</t>
  </si>
  <si>
    <t>175</t>
  </si>
  <si>
    <t>王金梅</t>
  </si>
  <si>
    <t>152326197907256861</t>
  </si>
  <si>
    <t>176</t>
  </si>
  <si>
    <t>吴玉青</t>
  </si>
  <si>
    <t>152326198711077110</t>
  </si>
  <si>
    <t>177</t>
  </si>
  <si>
    <t>张向楠</t>
  </si>
  <si>
    <t>152326198909157124</t>
  </si>
  <si>
    <t>178</t>
  </si>
  <si>
    <t>张威</t>
  </si>
  <si>
    <t>152326200012217137</t>
  </si>
  <si>
    <t>179</t>
  </si>
  <si>
    <t>范志青</t>
  </si>
  <si>
    <t>152326197902277110</t>
  </si>
  <si>
    <t>180</t>
  </si>
  <si>
    <t>孔庆利</t>
  </si>
  <si>
    <t>152326198104137126</t>
  </si>
  <si>
    <t>181</t>
  </si>
  <si>
    <t>范宝库</t>
  </si>
  <si>
    <t>152326200206277111</t>
  </si>
  <si>
    <t>182</t>
  </si>
  <si>
    <t>刘小丽</t>
  </si>
  <si>
    <t>152326198005207387</t>
  </si>
  <si>
    <t>183</t>
  </si>
  <si>
    <t xml:space="preserve"> 刘志军</t>
  </si>
  <si>
    <t>15232619800219711X</t>
  </si>
  <si>
    <t>184</t>
  </si>
  <si>
    <t>刘金玉</t>
  </si>
  <si>
    <t>152301197510240020</t>
  </si>
  <si>
    <t>185</t>
  </si>
  <si>
    <t>许二林</t>
  </si>
  <si>
    <t>152326197707247119</t>
  </si>
  <si>
    <t>186</t>
  </si>
  <si>
    <t>李亚楠</t>
  </si>
  <si>
    <t>152324200003141422</t>
  </si>
  <si>
    <t>187</t>
  </si>
  <si>
    <t>徐莹莹</t>
  </si>
  <si>
    <t>152326199504107123</t>
  </si>
  <si>
    <t>188</t>
  </si>
  <si>
    <t>张艳华</t>
  </si>
  <si>
    <t>152326198104197129</t>
  </si>
  <si>
    <t>189</t>
  </si>
  <si>
    <t>李永波</t>
  </si>
  <si>
    <t>152326197810207158</t>
  </si>
  <si>
    <t>190</t>
  </si>
  <si>
    <t>徐秀艳</t>
  </si>
  <si>
    <t>152326197703067188</t>
  </si>
  <si>
    <t>191</t>
  </si>
  <si>
    <t>吴限好</t>
  </si>
  <si>
    <t>152326197406237136</t>
  </si>
  <si>
    <t>192</t>
  </si>
  <si>
    <t>杜洪敏</t>
  </si>
  <si>
    <t>150525199204096883</t>
  </si>
  <si>
    <t>193</t>
  </si>
  <si>
    <t>崔小龙</t>
  </si>
  <si>
    <t>152326199212207114</t>
  </si>
  <si>
    <t>194</t>
  </si>
  <si>
    <t>张海波</t>
  </si>
  <si>
    <t>152326199309207129</t>
  </si>
  <si>
    <t>195</t>
  </si>
  <si>
    <t>许淑敏</t>
  </si>
  <si>
    <t>152326197202257127</t>
  </si>
  <si>
    <t>196</t>
  </si>
  <si>
    <t>赵永志</t>
  </si>
  <si>
    <t>152326197202287115</t>
  </si>
  <si>
    <t>197</t>
  </si>
  <si>
    <t>郭海全</t>
  </si>
  <si>
    <t>15232619880810711X</t>
  </si>
  <si>
    <t>198</t>
  </si>
  <si>
    <t>王艳艳</t>
  </si>
  <si>
    <t>152326198612157123</t>
  </si>
  <si>
    <t>199</t>
  </si>
  <si>
    <t>王春红</t>
  </si>
  <si>
    <t>152324198603125821</t>
  </si>
  <si>
    <t>季洪松</t>
  </si>
  <si>
    <t>152326198004287119</t>
  </si>
  <si>
    <t>201</t>
  </si>
  <si>
    <t>王丽丽</t>
  </si>
  <si>
    <t>152326198310017125</t>
  </si>
  <si>
    <t>202</t>
  </si>
  <si>
    <t>张方剑</t>
  </si>
  <si>
    <t>152326198310057119</t>
  </si>
  <si>
    <t>203</t>
  </si>
  <si>
    <t>刘玉霞</t>
  </si>
  <si>
    <t>15232619740803712X</t>
  </si>
  <si>
    <t>204</t>
  </si>
  <si>
    <t>陈昌军</t>
  </si>
  <si>
    <t>152326197304197110</t>
  </si>
  <si>
    <t>205</t>
  </si>
  <si>
    <t>商叶</t>
  </si>
  <si>
    <t>152301199709304588</t>
  </si>
  <si>
    <t>206</t>
  </si>
  <si>
    <t>温淑华</t>
  </si>
  <si>
    <t>152326196705067128</t>
  </si>
  <si>
    <t>207</t>
  </si>
  <si>
    <t>李志</t>
  </si>
  <si>
    <t>15232619630926711X</t>
  </si>
  <si>
    <t>208</t>
  </si>
  <si>
    <t>许艳芹</t>
  </si>
  <si>
    <t>152326196204047129</t>
  </si>
  <si>
    <t>209</t>
  </si>
  <si>
    <t>陈昌全</t>
  </si>
  <si>
    <t>152326197007047116</t>
  </si>
  <si>
    <t>210</t>
  </si>
  <si>
    <t>张立苹</t>
  </si>
  <si>
    <t>15232619730517712X</t>
  </si>
  <si>
    <t>211</t>
  </si>
  <si>
    <t>徐伟</t>
  </si>
  <si>
    <t>152326198106147117</t>
  </si>
  <si>
    <t>212</t>
  </si>
  <si>
    <t>刘小庆</t>
  </si>
  <si>
    <t>152326198507307126</t>
  </si>
  <si>
    <t>213</t>
  </si>
  <si>
    <t>张晓芳</t>
  </si>
  <si>
    <t>152326199509107122</t>
  </si>
  <si>
    <t>214</t>
  </si>
  <si>
    <t>吴玉河</t>
  </si>
  <si>
    <t>152326197104207150</t>
  </si>
  <si>
    <t>215</t>
  </si>
  <si>
    <t>赵永民</t>
  </si>
  <si>
    <t>152326198301167113</t>
  </si>
  <si>
    <t>216</t>
  </si>
  <si>
    <t>吴长节</t>
  </si>
  <si>
    <t>152326198902057120</t>
  </si>
  <si>
    <t>217</t>
  </si>
  <si>
    <t>沈世鹏</t>
  </si>
  <si>
    <t>152326198703077110</t>
  </si>
  <si>
    <t>218</t>
  </si>
  <si>
    <t>刘圆圆</t>
  </si>
  <si>
    <t>152326198811267149</t>
  </si>
  <si>
    <t>219</t>
  </si>
  <si>
    <t>许小丽</t>
  </si>
  <si>
    <t>152326198211177123</t>
  </si>
  <si>
    <t>220</t>
  </si>
  <si>
    <t>于秀英</t>
  </si>
  <si>
    <t>152326196408037125</t>
  </si>
  <si>
    <t>221</t>
  </si>
  <si>
    <t>吴宗刚</t>
  </si>
  <si>
    <t>152326196204077117</t>
  </si>
  <si>
    <t>222</t>
  </si>
  <si>
    <t>张淑芳</t>
  </si>
  <si>
    <t>152326197109207125</t>
  </si>
  <si>
    <t>223</t>
  </si>
  <si>
    <t>徐龙</t>
  </si>
  <si>
    <t>152326197309137133</t>
  </si>
  <si>
    <t>224</t>
  </si>
  <si>
    <t>金桂春</t>
  </si>
  <si>
    <t>152326196509227120</t>
  </si>
  <si>
    <t>225</t>
  </si>
  <si>
    <t>王志坚</t>
  </si>
  <si>
    <t>152326198011227130</t>
  </si>
  <si>
    <t>226</t>
  </si>
  <si>
    <t>吴东伟</t>
  </si>
  <si>
    <t>152326198003167115</t>
  </si>
  <si>
    <t>227</t>
  </si>
  <si>
    <t>152326198208077121</t>
  </si>
  <si>
    <t>228</t>
  </si>
  <si>
    <t>吴树华</t>
  </si>
  <si>
    <t>152326197505107118</t>
  </si>
  <si>
    <t>229</t>
  </si>
  <si>
    <t>米云财</t>
  </si>
  <si>
    <t>152326196303047116</t>
  </si>
  <si>
    <t>新户</t>
  </si>
  <si>
    <t>230</t>
  </si>
  <si>
    <t>朱桂艳</t>
  </si>
  <si>
    <t>152326196201017127</t>
  </si>
  <si>
    <t>231</t>
  </si>
  <si>
    <t>于波</t>
  </si>
  <si>
    <t>152326199211197110</t>
  </si>
  <si>
    <t>232</t>
  </si>
  <si>
    <t>孙连贺</t>
  </si>
  <si>
    <t>152326198512107129</t>
  </si>
  <si>
    <t>233</t>
  </si>
  <si>
    <t>徐海波</t>
  </si>
  <si>
    <t>152326198411117125</t>
  </si>
  <si>
    <t>234</t>
  </si>
  <si>
    <t>吴长新</t>
  </si>
  <si>
    <t>152326198505097110</t>
  </si>
  <si>
    <t>235</t>
  </si>
  <si>
    <t>杜凤贞</t>
  </si>
  <si>
    <t>152326196201017143</t>
  </si>
  <si>
    <t>236</t>
  </si>
  <si>
    <t>岳有发</t>
  </si>
  <si>
    <t>152326196207027115</t>
  </si>
  <si>
    <t>237</t>
  </si>
  <si>
    <t>荀景荣</t>
  </si>
  <si>
    <t>152326196206107121</t>
  </si>
  <si>
    <t>238</t>
  </si>
  <si>
    <t>沈贵</t>
  </si>
  <si>
    <t>152326196708277112</t>
  </si>
  <si>
    <t>239</t>
  </si>
  <si>
    <t>岳有平</t>
  </si>
  <si>
    <t>152326196002297111</t>
  </si>
  <si>
    <t>五保</t>
  </si>
  <si>
    <t>博勒梯嘎查2020养老保险缴费明细表</t>
  </si>
  <si>
    <t>博勒梯</t>
  </si>
  <si>
    <t>代秀兰</t>
  </si>
  <si>
    <t>15232619630530688X</t>
  </si>
  <si>
    <t>梁刚</t>
  </si>
  <si>
    <t>15232619640225687X</t>
  </si>
  <si>
    <t>梁开文</t>
  </si>
  <si>
    <t>152326196009086894</t>
  </si>
  <si>
    <t>2019</t>
  </si>
  <si>
    <t>补交新交</t>
  </si>
  <si>
    <t>包高娃</t>
  </si>
  <si>
    <t>152326196410256861</t>
  </si>
  <si>
    <t>新交待补</t>
  </si>
  <si>
    <t>树兰</t>
  </si>
  <si>
    <t>152326196711296883</t>
  </si>
  <si>
    <t>张学坤</t>
  </si>
  <si>
    <t>152326197409116890</t>
  </si>
  <si>
    <t>孙国</t>
  </si>
  <si>
    <t>152326196101016872</t>
  </si>
  <si>
    <t>李淑珍</t>
  </si>
  <si>
    <t>15232619620228688X</t>
  </si>
  <si>
    <t>徐迎春</t>
  </si>
  <si>
    <t>15232619700930688X</t>
  </si>
  <si>
    <t>韩秀才</t>
  </si>
  <si>
    <t>152326196208156875</t>
  </si>
  <si>
    <t>姚来小</t>
  </si>
  <si>
    <t>152326196207046869</t>
  </si>
  <si>
    <t>何金龙</t>
  </si>
  <si>
    <t>152326198905126873</t>
  </si>
  <si>
    <t>孙海和</t>
  </si>
  <si>
    <t>152326196401036891</t>
  </si>
  <si>
    <t>巩秀云</t>
  </si>
  <si>
    <t>152326196502046861</t>
  </si>
  <si>
    <t>尹红娟</t>
  </si>
  <si>
    <t>152324197908292124</t>
  </si>
  <si>
    <t>张学峰</t>
  </si>
  <si>
    <t>152326197403076875</t>
  </si>
  <si>
    <t>李亚艳</t>
  </si>
  <si>
    <t>152326197306156865</t>
  </si>
  <si>
    <t>张艳春</t>
  </si>
  <si>
    <t>152326196704046878</t>
  </si>
  <si>
    <t>宣桂英</t>
  </si>
  <si>
    <t>152326196807016866</t>
  </si>
  <si>
    <t>精准扶贫</t>
  </si>
  <si>
    <t>陈海</t>
  </si>
  <si>
    <t>15232619681112689X</t>
  </si>
  <si>
    <t>马金辉</t>
  </si>
  <si>
    <t>152326197601206888</t>
  </si>
  <si>
    <t>佟国明</t>
  </si>
  <si>
    <t>152326196302116896</t>
  </si>
  <si>
    <t>包春英</t>
  </si>
  <si>
    <t>152326196305106861</t>
  </si>
  <si>
    <t>刘金华</t>
  </si>
  <si>
    <t>152326197009196879</t>
  </si>
  <si>
    <t>宁素英</t>
  </si>
  <si>
    <t>152326197010066860</t>
  </si>
  <si>
    <t>刘春</t>
  </si>
  <si>
    <t>152326199403206878</t>
  </si>
  <si>
    <t>宝喜</t>
  </si>
  <si>
    <t>152326198211296878</t>
  </si>
  <si>
    <t>150421198001215381</t>
  </si>
  <si>
    <t>白音扎力根</t>
  </si>
  <si>
    <t>152326198001126897</t>
  </si>
  <si>
    <t>乌仁高娃</t>
  </si>
  <si>
    <t>152326198202026905</t>
  </si>
  <si>
    <t>白音德力根</t>
  </si>
  <si>
    <t>152326196704056873</t>
  </si>
  <si>
    <t>包金花</t>
  </si>
  <si>
    <t>152326196911246864</t>
  </si>
  <si>
    <t>王友江</t>
  </si>
  <si>
    <t>152326196211256877</t>
  </si>
  <si>
    <t>张雅琴</t>
  </si>
  <si>
    <t>152326196204176860</t>
  </si>
  <si>
    <t>徐琢</t>
  </si>
  <si>
    <t>152326197503236872</t>
  </si>
  <si>
    <t>仲桂华</t>
  </si>
  <si>
    <t>152326197507054822</t>
  </si>
  <si>
    <t>镡民</t>
  </si>
  <si>
    <t>152326197412156877</t>
  </si>
  <si>
    <t>单金梅</t>
  </si>
  <si>
    <t>152326197502026865</t>
  </si>
  <si>
    <t>刘国林</t>
  </si>
  <si>
    <t>152326196412026875</t>
  </si>
  <si>
    <t>杨凤云</t>
  </si>
  <si>
    <t>152326197601186880</t>
  </si>
  <si>
    <t>杨青华</t>
  </si>
  <si>
    <t>152326196912076916</t>
  </si>
  <si>
    <t>苏建辉</t>
  </si>
  <si>
    <t>152326197105056622</t>
  </si>
  <si>
    <t>梁阿日斯冷</t>
  </si>
  <si>
    <t>152326197702186871</t>
  </si>
  <si>
    <t>扎拉嘎呼</t>
  </si>
  <si>
    <t>152326197505236884</t>
  </si>
  <si>
    <t>曹文</t>
  </si>
  <si>
    <t>152326196308056871</t>
  </si>
  <si>
    <t>王志英</t>
  </si>
  <si>
    <t>152326196312256884</t>
  </si>
  <si>
    <t>曹春丽</t>
  </si>
  <si>
    <t>152326198901196874</t>
  </si>
  <si>
    <t>魏永菲</t>
  </si>
  <si>
    <t>15232619871123688X</t>
  </si>
  <si>
    <t>刘艳国</t>
  </si>
  <si>
    <t>152326198410206871</t>
  </si>
  <si>
    <t>张金伶</t>
  </si>
  <si>
    <t>152326198105276881</t>
  </si>
  <si>
    <t>宣亚凤</t>
  </si>
  <si>
    <t>152326198106016889</t>
  </si>
  <si>
    <t>徐义</t>
  </si>
  <si>
    <t>152326196708246877</t>
  </si>
  <si>
    <t>王龙</t>
  </si>
  <si>
    <t>152326197702266898</t>
  </si>
  <si>
    <t>张继红</t>
  </si>
  <si>
    <t>152326197707302421</t>
  </si>
  <si>
    <t>梁桑卜</t>
  </si>
  <si>
    <t>152326197409076876</t>
  </si>
  <si>
    <t>吴美荣</t>
  </si>
  <si>
    <t>152326197912186861</t>
  </si>
  <si>
    <t>佟柱</t>
  </si>
  <si>
    <t>152326198110096877</t>
  </si>
  <si>
    <t>王辉</t>
  </si>
  <si>
    <t>152326197809206879</t>
  </si>
  <si>
    <t>王秀苹</t>
  </si>
  <si>
    <t>152326198004217380</t>
  </si>
  <si>
    <t>范洪明</t>
  </si>
  <si>
    <t>152326196212096879</t>
  </si>
  <si>
    <t>李树艳</t>
  </si>
  <si>
    <t>152326196308076901</t>
  </si>
  <si>
    <t>王海民</t>
  </si>
  <si>
    <t>152326197112166870</t>
  </si>
  <si>
    <t>李殿芹</t>
  </si>
  <si>
    <t>152326197210232827</t>
  </si>
  <si>
    <t>曹振刚</t>
  </si>
  <si>
    <t>152326197311216877</t>
  </si>
  <si>
    <t>范东</t>
  </si>
  <si>
    <t>152326198603196876</t>
  </si>
  <si>
    <t>张学义</t>
  </si>
  <si>
    <t>152326197502286878</t>
  </si>
  <si>
    <t>徐艳芹</t>
  </si>
  <si>
    <t>152326197801156862</t>
  </si>
  <si>
    <t>赵文国</t>
  </si>
  <si>
    <t>152326196510166871</t>
  </si>
  <si>
    <t>肖莲杰</t>
  </si>
  <si>
    <t>15232619651016688X</t>
  </si>
  <si>
    <t>包文山</t>
  </si>
  <si>
    <t>152326196910026878</t>
  </si>
  <si>
    <t>梁葡萄</t>
  </si>
  <si>
    <t>152326197102046867</t>
  </si>
  <si>
    <t>梁道吐嘎</t>
  </si>
  <si>
    <t>152326197501126872</t>
  </si>
  <si>
    <t>包金小</t>
  </si>
  <si>
    <t>152326197209096928</t>
  </si>
  <si>
    <t>张学林</t>
  </si>
  <si>
    <t>152326197711156877</t>
  </si>
  <si>
    <t>拉喜扎根</t>
  </si>
  <si>
    <t>152326197310176957</t>
  </si>
  <si>
    <t>梁玉兰</t>
  </si>
  <si>
    <t>152326197203216861</t>
  </si>
  <si>
    <t>徐力平</t>
  </si>
  <si>
    <t>152326198602196874</t>
  </si>
  <si>
    <t>占卜拉宁卜</t>
  </si>
  <si>
    <t>152326196703046876</t>
  </si>
  <si>
    <t>吴胡日都呼</t>
  </si>
  <si>
    <t>152326196901286862</t>
  </si>
  <si>
    <t>曹振宇</t>
  </si>
  <si>
    <t>152326196902256876</t>
  </si>
  <si>
    <t>曹玉红</t>
  </si>
  <si>
    <t>152326197807256880</t>
  </si>
  <si>
    <t>宣亚娟</t>
  </si>
  <si>
    <t>152326198111166902</t>
  </si>
  <si>
    <t>赵岩</t>
  </si>
  <si>
    <t>152326198201136897</t>
  </si>
  <si>
    <t>平涛</t>
  </si>
  <si>
    <t>152326196608236890</t>
  </si>
  <si>
    <t>陈玉春</t>
  </si>
  <si>
    <t>152326196409076863</t>
  </si>
  <si>
    <t>韩玉宝</t>
  </si>
  <si>
    <t>152326197202036893</t>
  </si>
  <si>
    <t>包龙花</t>
  </si>
  <si>
    <t>152326196804026903</t>
  </si>
  <si>
    <t>魏志德</t>
  </si>
  <si>
    <t>152326196102206870</t>
  </si>
  <si>
    <t>韩秀华</t>
  </si>
  <si>
    <t>152326196104076889</t>
  </si>
  <si>
    <t>魏立超</t>
  </si>
  <si>
    <t>152326198608256874</t>
  </si>
  <si>
    <t>贾志丽</t>
  </si>
  <si>
    <t>152326198506266641</t>
  </si>
  <si>
    <t>董秀莲</t>
  </si>
  <si>
    <t>152326196711276903</t>
  </si>
  <si>
    <t>张学广</t>
  </si>
  <si>
    <t>15232619901114687X</t>
  </si>
  <si>
    <t>宣江</t>
  </si>
  <si>
    <t>152326196612076877</t>
  </si>
  <si>
    <t>徐兰</t>
  </si>
  <si>
    <t>152326196304206860</t>
  </si>
  <si>
    <t>吴海林</t>
  </si>
  <si>
    <t>152326197101256897</t>
  </si>
  <si>
    <t>陶格陶胡</t>
  </si>
  <si>
    <t>152326197507036878</t>
  </si>
  <si>
    <t>花拉</t>
  </si>
  <si>
    <t>150525197909036881</t>
  </si>
  <si>
    <t>杨伟</t>
  </si>
  <si>
    <t>152326196602216936</t>
  </si>
  <si>
    <t>低保户</t>
  </si>
  <si>
    <t>李淑芬</t>
  </si>
  <si>
    <t>15232619680618688X</t>
  </si>
  <si>
    <t>魏菁文</t>
  </si>
  <si>
    <t>152326197708116874</t>
  </si>
  <si>
    <t>张玉芹</t>
  </si>
  <si>
    <t>152321197804206923</t>
  </si>
  <si>
    <t>白已拉</t>
  </si>
  <si>
    <t>152326196605266875</t>
  </si>
  <si>
    <t>温都那</t>
  </si>
  <si>
    <t>152326196702206882</t>
  </si>
  <si>
    <t>孙海元</t>
  </si>
  <si>
    <t>15232619640110687X</t>
  </si>
  <si>
    <t>孙海明</t>
  </si>
  <si>
    <t>152326196909126871</t>
  </si>
  <si>
    <t>梁美英</t>
  </si>
  <si>
    <t>15232619690202686X</t>
  </si>
  <si>
    <t>梁瑞海</t>
  </si>
  <si>
    <t>152326197211106873</t>
  </si>
  <si>
    <t>宝来小</t>
  </si>
  <si>
    <t>152326197211166884</t>
  </si>
  <si>
    <t>宣和</t>
  </si>
  <si>
    <t>15232619720129687X</t>
  </si>
  <si>
    <t>周海云</t>
  </si>
  <si>
    <t>15232619720827688X</t>
  </si>
  <si>
    <t>孙海贵</t>
  </si>
  <si>
    <t>152326197612086877</t>
  </si>
  <si>
    <t>于秀红</t>
  </si>
  <si>
    <t>152326197304296880</t>
  </si>
  <si>
    <t>张学志</t>
  </si>
  <si>
    <t>152326197510126874</t>
  </si>
  <si>
    <t>王秀梅</t>
  </si>
  <si>
    <t>152326197212136628</t>
  </si>
  <si>
    <t>孙海杰</t>
  </si>
  <si>
    <t>152326197005016869</t>
  </si>
  <si>
    <t>黄志有</t>
  </si>
  <si>
    <t>152326197801116916</t>
  </si>
  <si>
    <t>宁素梅</t>
  </si>
  <si>
    <t>152326197709186866</t>
  </si>
  <si>
    <t>曹文广</t>
  </si>
  <si>
    <t>15232619670301687X</t>
  </si>
  <si>
    <t>平淑侠</t>
  </si>
  <si>
    <t>152326196501106885</t>
  </si>
  <si>
    <t>赵秀杰</t>
  </si>
  <si>
    <t>152326196702236862</t>
  </si>
  <si>
    <t>刘金宝</t>
  </si>
  <si>
    <t>152326196807236893</t>
  </si>
  <si>
    <t>陈乌云其其格</t>
  </si>
  <si>
    <t>152326196802026889</t>
  </si>
  <si>
    <t>张华</t>
  </si>
  <si>
    <t>152326197106166874</t>
  </si>
  <si>
    <t>王友华</t>
  </si>
  <si>
    <t>152326197006096864</t>
  </si>
  <si>
    <t>梁舍冷</t>
  </si>
  <si>
    <t>152326196601236935</t>
  </si>
  <si>
    <t>王开花</t>
  </si>
  <si>
    <t>15232619690410688X</t>
  </si>
  <si>
    <t>刘春莲</t>
  </si>
  <si>
    <t>152326198607296882</t>
  </si>
  <si>
    <t>刘春杰</t>
  </si>
  <si>
    <t>152326199001086885</t>
  </si>
  <si>
    <t>高金荣</t>
  </si>
  <si>
    <t>15232619660709689X</t>
  </si>
  <si>
    <t>赵秀芳</t>
  </si>
  <si>
    <t>152326196409116861</t>
  </si>
  <si>
    <t>王春友</t>
  </si>
  <si>
    <t>152326196201036870</t>
  </si>
  <si>
    <t>王立民</t>
  </si>
  <si>
    <t>152326198506266879</t>
  </si>
  <si>
    <t>张志东</t>
  </si>
  <si>
    <t>152324198202252520</t>
  </si>
  <si>
    <t>斯琴巴图</t>
  </si>
  <si>
    <t>152326198511196879</t>
  </si>
  <si>
    <t>王玉香</t>
  </si>
  <si>
    <t>152326198611266889</t>
  </si>
  <si>
    <t>宁志刚</t>
  </si>
  <si>
    <t>152326198006076876</t>
  </si>
  <si>
    <t>刘晓莹</t>
  </si>
  <si>
    <t>152326197910041220</t>
  </si>
  <si>
    <t>张桂红</t>
  </si>
  <si>
    <t>152326197807173604</t>
  </si>
  <si>
    <t>王大卫</t>
  </si>
  <si>
    <t>152326198203236955</t>
  </si>
  <si>
    <t>杨志飞</t>
  </si>
  <si>
    <t>152326198005026877</t>
  </si>
  <si>
    <t>刘春辉</t>
  </si>
  <si>
    <t>152326198208206886</t>
  </si>
  <si>
    <t>宁素云</t>
  </si>
  <si>
    <t>152326196309196868</t>
  </si>
  <si>
    <t>包宝柱</t>
  </si>
  <si>
    <t>152326197209216870</t>
  </si>
  <si>
    <t>高娃</t>
  </si>
  <si>
    <t>152326197412276860</t>
  </si>
  <si>
    <t>孙海岩</t>
  </si>
  <si>
    <t>152326197901236878</t>
  </si>
  <si>
    <t>韩龙梅</t>
  </si>
  <si>
    <t>152326197709096887</t>
  </si>
  <si>
    <t>潘东</t>
  </si>
  <si>
    <t>15232619821229687X</t>
  </si>
  <si>
    <t>陈金</t>
  </si>
  <si>
    <t>152326196109016877</t>
  </si>
  <si>
    <t>于凤芹</t>
  </si>
  <si>
    <t>152326196511266882</t>
  </si>
  <si>
    <t>王立军</t>
  </si>
  <si>
    <t>152326197904066931</t>
  </si>
  <si>
    <t>李振发</t>
  </si>
  <si>
    <t>152326196212126898</t>
  </si>
  <si>
    <t>陈旺</t>
  </si>
  <si>
    <t>152326196907086896</t>
  </si>
  <si>
    <t>李桂云</t>
  </si>
  <si>
    <t>152326197104056903</t>
  </si>
  <si>
    <t>梅景华</t>
  </si>
  <si>
    <t>152326196306106863</t>
  </si>
  <si>
    <t>王凤芝</t>
  </si>
  <si>
    <t>152326196205076861</t>
  </si>
  <si>
    <t>杨学</t>
  </si>
  <si>
    <t>152326197211146875</t>
  </si>
  <si>
    <t>曹海</t>
  </si>
  <si>
    <t>152326197102026890</t>
  </si>
  <si>
    <t>张素芳</t>
  </si>
  <si>
    <t>152326197105126862</t>
  </si>
  <si>
    <t>郭明英</t>
  </si>
  <si>
    <t>152326196504016869</t>
  </si>
  <si>
    <t>孙海生</t>
  </si>
  <si>
    <t>15232619680606687X</t>
  </si>
  <si>
    <t>李丽艳</t>
  </si>
  <si>
    <t>152326197211116887</t>
  </si>
  <si>
    <t>王玉梅</t>
  </si>
  <si>
    <t>152326197302036866</t>
  </si>
  <si>
    <t>杨春云</t>
  </si>
  <si>
    <t>152326196802286867</t>
  </si>
  <si>
    <t>孙海忠</t>
  </si>
  <si>
    <t>152326196111166874</t>
  </si>
  <si>
    <t>平坤</t>
  </si>
  <si>
    <t>152326197304196871</t>
  </si>
  <si>
    <t>王玉芬</t>
  </si>
  <si>
    <t>152326197409126888</t>
  </si>
  <si>
    <t>赵秀春</t>
  </si>
  <si>
    <t>152326196310276865</t>
  </si>
  <si>
    <t>魏素贤</t>
  </si>
  <si>
    <t>152326196411236862</t>
  </si>
  <si>
    <t>胡桂荣</t>
  </si>
  <si>
    <t>152326196505056889</t>
  </si>
  <si>
    <t>徐珍</t>
  </si>
  <si>
    <t>15232619621207686X</t>
  </si>
  <si>
    <t>王立彬</t>
  </si>
  <si>
    <t>152326197510026873</t>
  </si>
  <si>
    <t>刘冬梅</t>
  </si>
  <si>
    <t>15232619740414688X</t>
  </si>
  <si>
    <t>杨志胜</t>
  </si>
  <si>
    <t>152326197803066879</t>
  </si>
  <si>
    <t>宣亚莉</t>
  </si>
  <si>
    <t>152326197811166861</t>
  </si>
  <si>
    <t>李春香</t>
  </si>
  <si>
    <t>152326196910176622</t>
  </si>
  <si>
    <t>孙颖</t>
  </si>
  <si>
    <t>152326198002206880</t>
  </si>
  <si>
    <t>152326197402066878</t>
  </si>
  <si>
    <t>曹玉芬</t>
  </si>
  <si>
    <t>152326197408116880</t>
  </si>
  <si>
    <t>孙海权</t>
  </si>
  <si>
    <t>152326197012056914</t>
  </si>
  <si>
    <t>赵秀丽</t>
  </si>
  <si>
    <t>152326196911206889</t>
  </si>
  <si>
    <t>黄志华</t>
  </si>
  <si>
    <t>152326196808296898</t>
  </si>
  <si>
    <t>宝翠兰</t>
  </si>
  <si>
    <t>152326196901106868</t>
  </si>
  <si>
    <t>于海华</t>
  </si>
  <si>
    <t>152326197412246880</t>
  </si>
  <si>
    <t>李淑琢</t>
  </si>
  <si>
    <t>152326196901096620</t>
  </si>
  <si>
    <t>梁青天</t>
  </si>
  <si>
    <t>152326197904146878</t>
  </si>
  <si>
    <t>杭牡兰</t>
  </si>
  <si>
    <t>152326198010151488</t>
  </si>
  <si>
    <t>陈宝全</t>
  </si>
  <si>
    <t>152326197601216875</t>
  </si>
  <si>
    <t>梅花</t>
  </si>
  <si>
    <t>152326198002246866</t>
  </si>
  <si>
    <t>魏秀芬</t>
  </si>
  <si>
    <t>152326196706016867</t>
  </si>
  <si>
    <t>马玉芹</t>
  </si>
  <si>
    <t>152326196301226882</t>
  </si>
  <si>
    <t>高武艺</t>
  </si>
  <si>
    <t>152326197010076874</t>
  </si>
  <si>
    <t>郑洪艳</t>
  </si>
  <si>
    <t>152326197302116882</t>
  </si>
  <si>
    <t>李忠华</t>
  </si>
  <si>
    <t>152326197602156878</t>
  </si>
  <si>
    <t>宣雅玲</t>
  </si>
  <si>
    <t>152326197807146868</t>
  </si>
  <si>
    <t>高武超</t>
  </si>
  <si>
    <t>15232619760809687X</t>
  </si>
  <si>
    <t>姜勇</t>
  </si>
  <si>
    <t>152326197109016871</t>
  </si>
  <si>
    <t>王艳辉</t>
  </si>
  <si>
    <t>152326197703016129</t>
  </si>
  <si>
    <t>姜伟</t>
  </si>
  <si>
    <t>152326196712116899</t>
  </si>
  <si>
    <t>吴振宝</t>
  </si>
  <si>
    <t>152326196301136895</t>
  </si>
  <si>
    <t>梁宝喜</t>
  </si>
  <si>
    <t>15232619690310687X</t>
  </si>
  <si>
    <t>乌仁其其格</t>
  </si>
  <si>
    <t>152326197204036889</t>
  </si>
  <si>
    <t>李振生</t>
  </si>
  <si>
    <t>152326196410286892</t>
  </si>
  <si>
    <t>郭玉兰</t>
  </si>
  <si>
    <t>152326196303206869</t>
  </si>
  <si>
    <t>陈志明</t>
  </si>
  <si>
    <t>152326196208276877</t>
  </si>
  <si>
    <t>徐艳松</t>
  </si>
  <si>
    <t>152326197906136876</t>
  </si>
  <si>
    <t>张艳军</t>
  </si>
  <si>
    <t>152326196408016893</t>
  </si>
  <si>
    <t>陈桑格</t>
  </si>
  <si>
    <t>152326197507136879</t>
  </si>
  <si>
    <t>白阿力他</t>
  </si>
  <si>
    <t>152326197109166861</t>
  </si>
  <si>
    <t>平美玲</t>
  </si>
  <si>
    <t>152326196808096909</t>
  </si>
  <si>
    <t>王凤友</t>
  </si>
  <si>
    <t>152326196703056898</t>
  </si>
  <si>
    <t>魏桂芹</t>
  </si>
  <si>
    <t>152326196201156864</t>
  </si>
  <si>
    <t>高巴特尔</t>
  </si>
  <si>
    <t>152326197703176878</t>
  </si>
  <si>
    <t>王付</t>
  </si>
  <si>
    <t>152326196406066870</t>
  </si>
  <si>
    <t>杨玉忠</t>
  </si>
  <si>
    <t>152326196311206877</t>
  </si>
  <si>
    <t>杭宝花</t>
  </si>
  <si>
    <t>15232619720520686X</t>
  </si>
  <si>
    <t>高白音包立高</t>
  </si>
  <si>
    <t>152326197410056872</t>
  </si>
  <si>
    <t>木兰</t>
  </si>
  <si>
    <t>152326197102026882</t>
  </si>
  <si>
    <t>席万军</t>
  </si>
  <si>
    <t>152326197311156878</t>
  </si>
  <si>
    <t>黄小平</t>
  </si>
  <si>
    <t>152326197207266882</t>
  </si>
  <si>
    <t>包宝音</t>
  </si>
  <si>
    <t>15232619721025687X</t>
  </si>
  <si>
    <t>徐艳冬</t>
  </si>
  <si>
    <t>152326197411036873</t>
  </si>
  <si>
    <t>刘桂芹</t>
  </si>
  <si>
    <t>152326196111126864</t>
  </si>
  <si>
    <t>李玉博</t>
  </si>
  <si>
    <t>15232619720505689X</t>
  </si>
  <si>
    <t>苏桂英</t>
  </si>
  <si>
    <t>152326196404176865</t>
  </si>
  <si>
    <t>梁瑞林</t>
  </si>
  <si>
    <t>152326196912056878</t>
  </si>
  <si>
    <t>吴来小</t>
  </si>
  <si>
    <t>152326197203056888</t>
  </si>
  <si>
    <t>王志华</t>
  </si>
  <si>
    <t>152326196309046878</t>
  </si>
  <si>
    <t>魏志华</t>
  </si>
  <si>
    <t>152326196503036876</t>
  </si>
  <si>
    <t>撒木嘎</t>
  </si>
  <si>
    <t>152326196312286864</t>
  </si>
  <si>
    <t>梁曹不到</t>
  </si>
  <si>
    <t>152326196409296866</t>
  </si>
  <si>
    <t>梁瑞华</t>
  </si>
  <si>
    <t>152326196410016876</t>
  </si>
  <si>
    <t>乌仁他那</t>
  </si>
  <si>
    <t>152326196503216869</t>
  </si>
  <si>
    <t>刘显学</t>
  </si>
  <si>
    <t>152326196107216875</t>
  </si>
  <si>
    <t>马玉珍</t>
  </si>
  <si>
    <t>152326196105216863</t>
  </si>
  <si>
    <t>夏国侠</t>
  </si>
  <si>
    <t>152326196504066903</t>
  </si>
  <si>
    <t>杭美美</t>
  </si>
  <si>
    <t>152326197601036866</t>
  </si>
  <si>
    <t>张丽娟</t>
  </si>
  <si>
    <t>152326197309306881</t>
  </si>
  <si>
    <t>王玉英</t>
  </si>
  <si>
    <t>152326197411166862</t>
  </si>
  <si>
    <t>240</t>
  </si>
  <si>
    <t>王春秀</t>
  </si>
  <si>
    <t>152326197207036876</t>
  </si>
  <si>
    <t>241</t>
  </si>
  <si>
    <t>张春英</t>
  </si>
  <si>
    <t>152326197010296869</t>
  </si>
  <si>
    <t>242</t>
  </si>
  <si>
    <t>孙海利</t>
  </si>
  <si>
    <t>152326197710236875</t>
  </si>
  <si>
    <t>243</t>
  </si>
  <si>
    <t>张艳东</t>
  </si>
  <si>
    <t>15232619761122668X</t>
  </si>
  <si>
    <t>244</t>
  </si>
  <si>
    <t>吴双喜</t>
  </si>
  <si>
    <t>152326197502196899</t>
  </si>
  <si>
    <t>245</t>
  </si>
  <si>
    <t>152326197609226883</t>
  </si>
  <si>
    <t>246</t>
  </si>
  <si>
    <t>梁春荣</t>
  </si>
  <si>
    <t>152326198507176883</t>
  </si>
  <si>
    <t>247</t>
  </si>
  <si>
    <t>吴海龙</t>
  </si>
  <si>
    <t>152326197503066877</t>
  </si>
  <si>
    <t>248</t>
  </si>
  <si>
    <t>孙海城</t>
  </si>
  <si>
    <t>152326198008136879</t>
  </si>
  <si>
    <t>249</t>
  </si>
  <si>
    <t>陈晓燕</t>
  </si>
  <si>
    <t>152326198211206887</t>
  </si>
  <si>
    <t>250</t>
  </si>
  <si>
    <t>魏利群</t>
  </si>
  <si>
    <t>152326198810186873</t>
  </si>
  <si>
    <t>251</t>
  </si>
  <si>
    <t>王冬敏</t>
  </si>
  <si>
    <t>152326199110056888</t>
  </si>
  <si>
    <t>252</t>
  </si>
  <si>
    <t>王志军</t>
  </si>
  <si>
    <t>15232619680323687X</t>
  </si>
  <si>
    <t>253</t>
  </si>
  <si>
    <t>魏井琴</t>
  </si>
  <si>
    <t>152326196704096867</t>
  </si>
  <si>
    <t>254</t>
  </si>
  <si>
    <t>姜明富</t>
  </si>
  <si>
    <t>15232619630916687X</t>
  </si>
  <si>
    <t>255</t>
  </si>
  <si>
    <t>陈淑兰</t>
  </si>
  <si>
    <t>152326196401196860</t>
  </si>
  <si>
    <t>256</t>
  </si>
  <si>
    <t>王志永</t>
  </si>
  <si>
    <t>152326197211116879</t>
  </si>
  <si>
    <t>257</t>
  </si>
  <si>
    <t>孙海燕</t>
  </si>
  <si>
    <t>152326197507056887</t>
  </si>
  <si>
    <t>258</t>
  </si>
  <si>
    <t>杭宝权</t>
  </si>
  <si>
    <t>152326197404136876</t>
  </si>
  <si>
    <t>259</t>
  </si>
  <si>
    <t>宝撒木嘎</t>
  </si>
  <si>
    <t>152326197405066865</t>
  </si>
  <si>
    <t>260</t>
  </si>
  <si>
    <t>平召</t>
  </si>
  <si>
    <t>152326197204166878</t>
  </si>
  <si>
    <t>261</t>
  </si>
  <si>
    <t>王翠霞</t>
  </si>
  <si>
    <t>152326197207296889</t>
  </si>
  <si>
    <t>262</t>
  </si>
  <si>
    <t>宣会</t>
  </si>
  <si>
    <t>152326197306096890</t>
  </si>
  <si>
    <t>263</t>
  </si>
  <si>
    <t>刘素香</t>
  </si>
  <si>
    <t>152326197309146865</t>
  </si>
  <si>
    <t>264</t>
  </si>
  <si>
    <t>高慢玲</t>
  </si>
  <si>
    <t>152324198911162122</t>
  </si>
  <si>
    <t>265</t>
  </si>
  <si>
    <t>孙海战</t>
  </si>
  <si>
    <t>152326198204196879</t>
  </si>
  <si>
    <t>266</t>
  </si>
  <si>
    <t>金玉来</t>
  </si>
  <si>
    <t>152326198101016871</t>
  </si>
  <si>
    <t>267</t>
  </si>
  <si>
    <t>娜仁格日勒</t>
  </si>
  <si>
    <t>150421198108275122</t>
  </si>
  <si>
    <t>268</t>
  </si>
  <si>
    <t>孙海波</t>
  </si>
  <si>
    <t>152326197209106874</t>
  </si>
  <si>
    <t>269</t>
  </si>
  <si>
    <t>徐广辉</t>
  </si>
  <si>
    <t>152326197310106908</t>
  </si>
  <si>
    <t>270</t>
  </si>
  <si>
    <t>张学龙</t>
  </si>
  <si>
    <t>152326197705016878</t>
  </si>
  <si>
    <t>271</t>
  </si>
  <si>
    <t>曹雪梅</t>
  </si>
  <si>
    <t>152326197607086864</t>
  </si>
  <si>
    <t>272</t>
  </si>
  <si>
    <t>王志明</t>
  </si>
  <si>
    <t>15232619701219687X</t>
  </si>
  <si>
    <t>273</t>
  </si>
  <si>
    <t>陶军</t>
  </si>
  <si>
    <t>152326197308116875</t>
  </si>
  <si>
    <t>274</t>
  </si>
  <si>
    <t>格日乐</t>
  </si>
  <si>
    <t>152326197603116886</t>
  </si>
  <si>
    <t>275</t>
  </si>
  <si>
    <t>王占明</t>
  </si>
  <si>
    <t>152326197912136872</t>
  </si>
  <si>
    <t>276</t>
  </si>
  <si>
    <t>苏丽新</t>
  </si>
  <si>
    <t>15232619781024360X</t>
  </si>
  <si>
    <t>277</t>
  </si>
  <si>
    <t>王占华</t>
  </si>
  <si>
    <t>152326197601166871</t>
  </si>
  <si>
    <t>278</t>
  </si>
  <si>
    <t>图雅</t>
  </si>
  <si>
    <t>152326198204156885</t>
  </si>
  <si>
    <t>279</t>
  </si>
  <si>
    <t>徐艳玲</t>
  </si>
  <si>
    <t>152326197512256883</t>
  </si>
  <si>
    <t>280</t>
  </si>
  <si>
    <t>152326197302036890</t>
  </si>
  <si>
    <t>281</t>
  </si>
  <si>
    <t>王占芹</t>
  </si>
  <si>
    <t>152326197408096867</t>
  </si>
  <si>
    <t>282</t>
  </si>
  <si>
    <t>曹飞</t>
  </si>
  <si>
    <t>152326198109106935</t>
  </si>
  <si>
    <t>283</t>
  </si>
  <si>
    <t>席巴特尔</t>
  </si>
  <si>
    <t>152326197810026875</t>
  </si>
  <si>
    <t>284</t>
  </si>
  <si>
    <t>高武艳</t>
  </si>
  <si>
    <t>152326197903266907</t>
  </si>
  <si>
    <t>285</t>
  </si>
  <si>
    <t>黄志发</t>
  </si>
  <si>
    <t>152326198104016893</t>
  </si>
  <si>
    <t>286</t>
  </si>
  <si>
    <t>平淑艳</t>
  </si>
  <si>
    <t>152326197601196886</t>
  </si>
  <si>
    <t>287</t>
  </si>
  <si>
    <t>潘雪芹</t>
  </si>
  <si>
    <t>152326197010116864</t>
  </si>
  <si>
    <t>288</t>
  </si>
  <si>
    <t>崔晓杰</t>
  </si>
  <si>
    <t>152324198812101447</t>
  </si>
  <si>
    <t>289</t>
  </si>
  <si>
    <t>陈革</t>
  </si>
  <si>
    <t>152326196909106889</t>
  </si>
  <si>
    <t>290</t>
  </si>
  <si>
    <t>赵慧</t>
  </si>
  <si>
    <t>152326197512166896</t>
  </si>
  <si>
    <t>291</t>
  </si>
  <si>
    <t>单利云</t>
  </si>
  <si>
    <t>152326197805216869</t>
  </si>
  <si>
    <t>292</t>
  </si>
  <si>
    <t>孙刚</t>
  </si>
  <si>
    <t>152326197912136899</t>
  </si>
  <si>
    <t>293</t>
  </si>
  <si>
    <t>李春艳</t>
  </si>
  <si>
    <t>152326198202206906</t>
  </si>
  <si>
    <t>294</t>
  </si>
  <si>
    <t>高金友</t>
  </si>
  <si>
    <t>152326197012126871</t>
  </si>
  <si>
    <t>295</t>
  </si>
  <si>
    <t>王友丽</t>
  </si>
  <si>
    <t>152326197410076865</t>
  </si>
  <si>
    <t>296</t>
  </si>
  <si>
    <t>王友良</t>
  </si>
  <si>
    <t>152326197303186890</t>
  </si>
  <si>
    <t>297</t>
  </si>
  <si>
    <t>苑庆辉</t>
  </si>
  <si>
    <t>152326197209096901</t>
  </si>
  <si>
    <t>298</t>
  </si>
  <si>
    <t>曹振龙</t>
  </si>
  <si>
    <t>152326197111126877</t>
  </si>
  <si>
    <t>299</t>
  </si>
  <si>
    <t>刘颖华</t>
  </si>
  <si>
    <t>152326197106066865</t>
  </si>
  <si>
    <t>300</t>
  </si>
  <si>
    <t>王友会</t>
  </si>
  <si>
    <t>152326197101016877</t>
  </si>
  <si>
    <t>301</t>
  </si>
  <si>
    <t>于淑芳</t>
  </si>
  <si>
    <t>15232619720918686X</t>
  </si>
  <si>
    <t>302</t>
  </si>
  <si>
    <t>李守丽</t>
  </si>
  <si>
    <t>15232619900218687X</t>
  </si>
  <si>
    <t>303</t>
  </si>
  <si>
    <t>陈盛</t>
  </si>
  <si>
    <t>152326197207086910</t>
  </si>
  <si>
    <t>304</t>
  </si>
  <si>
    <t>黄志付</t>
  </si>
  <si>
    <t>152326196208056890</t>
  </si>
  <si>
    <t>305</t>
  </si>
  <si>
    <t>曹艳华</t>
  </si>
  <si>
    <t>152326196410056886</t>
  </si>
  <si>
    <t>306</t>
  </si>
  <si>
    <t>孙海琴</t>
  </si>
  <si>
    <t>152326196705016865</t>
  </si>
  <si>
    <t>307</t>
  </si>
  <si>
    <t>杨志全</t>
  </si>
  <si>
    <t>152326196805286870</t>
  </si>
  <si>
    <t>308</t>
  </si>
  <si>
    <t>韩凤云</t>
  </si>
  <si>
    <t>152326196708166869</t>
  </si>
  <si>
    <t>309</t>
  </si>
  <si>
    <t>包宝贵</t>
  </si>
  <si>
    <t>152326196807206870</t>
  </si>
  <si>
    <t>310</t>
  </si>
  <si>
    <t>王志</t>
  </si>
  <si>
    <t>15232619611205687X</t>
  </si>
  <si>
    <t>311</t>
  </si>
  <si>
    <t>张春香</t>
  </si>
  <si>
    <t>152326197908096900</t>
  </si>
  <si>
    <t>312</t>
  </si>
  <si>
    <t>潘银</t>
  </si>
  <si>
    <t>152326196602136899</t>
  </si>
  <si>
    <t>313</t>
  </si>
  <si>
    <t>梁格日乐</t>
  </si>
  <si>
    <t>152326198411116886</t>
  </si>
  <si>
    <t>314</t>
  </si>
  <si>
    <t>陈宝义</t>
  </si>
  <si>
    <t>152326198511056876</t>
  </si>
  <si>
    <t>315</t>
  </si>
  <si>
    <t>任淑平</t>
  </si>
  <si>
    <t>152326198301086866</t>
  </si>
  <si>
    <t>316</t>
  </si>
  <si>
    <t>刘占</t>
  </si>
  <si>
    <t>152326196707126873</t>
  </si>
  <si>
    <t>317</t>
  </si>
  <si>
    <t>王桂芳</t>
  </si>
  <si>
    <t>152326196605246903</t>
  </si>
  <si>
    <t>318</t>
  </si>
  <si>
    <t>范增</t>
  </si>
  <si>
    <t>152326198405176874</t>
  </si>
  <si>
    <t>319</t>
  </si>
  <si>
    <t>高洪飞</t>
  </si>
  <si>
    <t>152326199903306875</t>
  </si>
  <si>
    <t>320</t>
  </si>
  <si>
    <t>152326196708086869</t>
  </si>
  <si>
    <t>321</t>
  </si>
  <si>
    <t>孙海宽</t>
  </si>
  <si>
    <t>152326196906256873</t>
  </si>
  <si>
    <t>322</t>
  </si>
  <si>
    <t>李玉英</t>
  </si>
  <si>
    <t>152326197002216881</t>
  </si>
  <si>
    <t>323</t>
  </si>
  <si>
    <t>黄晓敏</t>
  </si>
  <si>
    <t>152326199006156889</t>
  </si>
  <si>
    <t>324</t>
  </si>
  <si>
    <t>曹云青</t>
  </si>
  <si>
    <t>15232619651124689X</t>
  </si>
  <si>
    <t>325</t>
  </si>
  <si>
    <t>王跃芝</t>
  </si>
  <si>
    <t>152326196705246863</t>
  </si>
  <si>
    <t>326</t>
  </si>
  <si>
    <t>杨青林</t>
  </si>
  <si>
    <t>152326196302076871</t>
  </si>
  <si>
    <t>327</t>
  </si>
  <si>
    <t>孙桂莲</t>
  </si>
  <si>
    <t>152326196411206866</t>
  </si>
  <si>
    <t>328</t>
  </si>
  <si>
    <t>孙辉</t>
  </si>
  <si>
    <t>152326197804066870</t>
  </si>
  <si>
    <t>329</t>
  </si>
  <si>
    <t>刘艳敏</t>
  </si>
  <si>
    <t>152324197912152140</t>
  </si>
  <si>
    <t>330</t>
  </si>
  <si>
    <t>曹雨</t>
  </si>
  <si>
    <t>152326198206126866</t>
  </si>
  <si>
    <t>331</t>
  </si>
  <si>
    <t>刘波</t>
  </si>
  <si>
    <t>152326198202206930</t>
  </si>
  <si>
    <t>332</t>
  </si>
  <si>
    <t>刘志民</t>
  </si>
  <si>
    <t>152326198005226895</t>
  </si>
  <si>
    <t>333</t>
  </si>
  <si>
    <t>张英楠</t>
  </si>
  <si>
    <t>152326200001156893</t>
  </si>
  <si>
    <t>334</t>
  </si>
  <si>
    <t>王可鑫</t>
  </si>
  <si>
    <t>152326199910056878</t>
  </si>
  <si>
    <t>335</t>
  </si>
  <si>
    <t>赵林玉</t>
  </si>
  <si>
    <t>152324199012052127</t>
  </si>
  <si>
    <t>336</t>
  </si>
  <si>
    <t>孙占海</t>
  </si>
  <si>
    <t>152326198209246898</t>
  </si>
  <si>
    <t>337</t>
  </si>
  <si>
    <t>曹华</t>
  </si>
  <si>
    <t>15232619681027687X</t>
  </si>
  <si>
    <t>338</t>
  </si>
  <si>
    <t>王桂荣</t>
  </si>
  <si>
    <t>152326196803116886</t>
  </si>
  <si>
    <t>339</t>
  </si>
  <si>
    <t>李玉明</t>
  </si>
  <si>
    <t>152326196311016870</t>
  </si>
  <si>
    <t>340</t>
  </si>
  <si>
    <t>王玉华</t>
  </si>
  <si>
    <t>152326197710026886</t>
  </si>
  <si>
    <t>341</t>
  </si>
  <si>
    <t>152326197202256917</t>
  </si>
  <si>
    <t>342</t>
  </si>
  <si>
    <t>支海茹</t>
  </si>
  <si>
    <t>152324197610112127</t>
  </si>
  <si>
    <t>343</t>
  </si>
  <si>
    <t>陈浩然</t>
  </si>
  <si>
    <t>152326199910036877</t>
  </si>
  <si>
    <t>344</t>
  </si>
  <si>
    <t>陈良</t>
  </si>
  <si>
    <t>152326196601236919</t>
  </si>
  <si>
    <t>345</t>
  </si>
  <si>
    <t>李兆飞</t>
  </si>
  <si>
    <t>152326198906026874</t>
  </si>
  <si>
    <t>346</t>
  </si>
  <si>
    <t>张春荣</t>
  </si>
  <si>
    <t>15232619680127686X</t>
  </si>
  <si>
    <t>347</t>
  </si>
  <si>
    <t>孙富</t>
  </si>
  <si>
    <t>152326198410256879</t>
  </si>
  <si>
    <t>348</t>
  </si>
  <si>
    <t>吴星</t>
  </si>
  <si>
    <t>152326197701296876</t>
  </si>
  <si>
    <t>349</t>
  </si>
  <si>
    <t>哈日巴拉</t>
  </si>
  <si>
    <t>152326196203031475</t>
  </si>
  <si>
    <t>350</t>
  </si>
  <si>
    <t>莫德格玛</t>
  </si>
  <si>
    <t>15232619620226148X</t>
  </si>
  <si>
    <t>351</t>
  </si>
  <si>
    <t>吴军</t>
  </si>
  <si>
    <t>152326197406156870</t>
  </si>
  <si>
    <t>352</t>
  </si>
  <si>
    <t>格日勒</t>
  </si>
  <si>
    <t>15042119720615512X</t>
  </si>
  <si>
    <t>353</t>
  </si>
  <si>
    <t>张军</t>
  </si>
  <si>
    <t>152326196710016915</t>
  </si>
  <si>
    <t>354</t>
  </si>
  <si>
    <t>于洪艳</t>
  </si>
  <si>
    <t>152326198111213588</t>
  </si>
  <si>
    <t>355</t>
  </si>
  <si>
    <t>刘全</t>
  </si>
  <si>
    <t>152326198006186872</t>
  </si>
  <si>
    <t>356</t>
  </si>
  <si>
    <t>孙悦</t>
  </si>
  <si>
    <t>15232619930820687X</t>
  </si>
  <si>
    <t>357</t>
  </si>
  <si>
    <t>曹奎</t>
  </si>
  <si>
    <t>152326196912226873</t>
  </si>
  <si>
    <t>358</t>
  </si>
  <si>
    <t>孙宝</t>
  </si>
  <si>
    <t>152326197902026872</t>
  </si>
  <si>
    <t>359</t>
  </si>
  <si>
    <t>李海华</t>
  </si>
  <si>
    <t>150525198109036888</t>
  </si>
  <si>
    <t>360</t>
  </si>
  <si>
    <t>高伟琪</t>
  </si>
  <si>
    <t>152324199010032149</t>
  </si>
  <si>
    <t>361</t>
  </si>
  <si>
    <t>范平</t>
  </si>
  <si>
    <t>15232619881029687X</t>
  </si>
  <si>
    <t>362</t>
  </si>
  <si>
    <t>初玉花</t>
  </si>
  <si>
    <t>152326198602016888</t>
  </si>
  <si>
    <t>363</t>
  </si>
  <si>
    <t>梁温都苏</t>
  </si>
  <si>
    <t>152326197102096899</t>
  </si>
  <si>
    <t>364</t>
  </si>
  <si>
    <t>曹云喜</t>
  </si>
  <si>
    <t>152326196301246875</t>
  </si>
  <si>
    <t>365</t>
  </si>
  <si>
    <t>杨百荣</t>
  </si>
  <si>
    <t>15232619661209686X</t>
  </si>
  <si>
    <t>366</t>
  </si>
  <si>
    <t>王友志</t>
  </si>
  <si>
    <t>152326197308036875</t>
  </si>
  <si>
    <t>367</t>
  </si>
  <si>
    <t>勿仁必力格</t>
  </si>
  <si>
    <t>152326197301296885</t>
  </si>
  <si>
    <t>368</t>
  </si>
  <si>
    <t>郭海燕</t>
  </si>
  <si>
    <t>152326197212116862</t>
  </si>
  <si>
    <t>369</t>
  </si>
  <si>
    <t>梁玉凤</t>
  </si>
  <si>
    <t>152326199006066883</t>
  </si>
  <si>
    <t>370</t>
  </si>
  <si>
    <t>宝良</t>
  </si>
  <si>
    <t>152326198510226917</t>
  </si>
  <si>
    <t>371</t>
  </si>
  <si>
    <t>刘敏辉</t>
  </si>
  <si>
    <t>152326196505056969</t>
  </si>
  <si>
    <t>372</t>
  </si>
  <si>
    <t>张玉艳</t>
  </si>
  <si>
    <t>152326197612256864</t>
  </si>
  <si>
    <t>373</t>
  </si>
  <si>
    <t>何晓岩</t>
  </si>
  <si>
    <t>152326199012116621</t>
  </si>
  <si>
    <t>374</t>
  </si>
  <si>
    <t>刘研</t>
  </si>
  <si>
    <t>152326197903296911</t>
  </si>
  <si>
    <t>375</t>
  </si>
  <si>
    <t>孙芳</t>
  </si>
  <si>
    <t>152326198910176875</t>
  </si>
  <si>
    <t>376</t>
  </si>
  <si>
    <t>常喜荣</t>
  </si>
  <si>
    <t>152326197209011189</t>
  </si>
  <si>
    <t>377</t>
  </si>
  <si>
    <t>高勒涛</t>
  </si>
  <si>
    <t>152326197503026875</t>
  </si>
  <si>
    <t>378</t>
  </si>
  <si>
    <t>于洋</t>
  </si>
  <si>
    <t>152326199608236878</t>
  </si>
  <si>
    <t>379</t>
  </si>
  <si>
    <t>耿世梅</t>
  </si>
  <si>
    <t>152326197511126868</t>
  </si>
  <si>
    <t>380</t>
  </si>
  <si>
    <t>王香兰</t>
  </si>
  <si>
    <t>152326196910176868</t>
  </si>
  <si>
    <t>381</t>
  </si>
  <si>
    <t>哈斯呼</t>
  </si>
  <si>
    <t>152326197112236883</t>
  </si>
  <si>
    <t>382</t>
  </si>
  <si>
    <t>徐艳金</t>
  </si>
  <si>
    <t>152326198812256871</t>
  </si>
  <si>
    <t>383</t>
  </si>
  <si>
    <t>陈志军</t>
  </si>
  <si>
    <t>152326198102011714</t>
  </si>
  <si>
    <t>384</t>
  </si>
  <si>
    <t>席梅荣</t>
  </si>
  <si>
    <t>152326198405156881</t>
  </si>
  <si>
    <t>385</t>
  </si>
  <si>
    <t>陈红梅</t>
  </si>
  <si>
    <t>152326198809226882</t>
  </si>
  <si>
    <t>386</t>
  </si>
  <si>
    <t>包双喜</t>
  </si>
  <si>
    <t>152326198601296873</t>
  </si>
  <si>
    <t>387</t>
  </si>
  <si>
    <t>平雪冉</t>
  </si>
  <si>
    <t>152326199609246883</t>
  </si>
  <si>
    <t>388</t>
  </si>
  <si>
    <t>潘丽红</t>
  </si>
  <si>
    <t>152324198602282147</t>
  </si>
  <si>
    <t>389</t>
  </si>
  <si>
    <t>王凤芹</t>
  </si>
  <si>
    <t>152326197211146963</t>
  </si>
  <si>
    <t>390</t>
  </si>
  <si>
    <t>刘军</t>
  </si>
  <si>
    <t>152326197010166896</t>
  </si>
  <si>
    <t>391</t>
  </si>
  <si>
    <t>宣金新</t>
  </si>
  <si>
    <t>152326198607136870</t>
  </si>
  <si>
    <t>392</t>
  </si>
  <si>
    <t>徐硕</t>
  </si>
  <si>
    <t>152326199912226885</t>
  </si>
  <si>
    <t>393</t>
  </si>
  <si>
    <t>孙桂环</t>
  </si>
  <si>
    <t>152326196705036882</t>
  </si>
  <si>
    <t>394</t>
  </si>
  <si>
    <t>魏永萍</t>
  </si>
  <si>
    <t>152326199207276887</t>
  </si>
  <si>
    <t>395</t>
  </si>
  <si>
    <t>于淑华</t>
  </si>
  <si>
    <t>152326197009086864</t>
  </si>
  <si>
    <t>396</t>
  </si>
  <si>
    <t>李发</t>
  </si>
  <si>
    <t>152326196712136873</t>
  </si>
  <si>
    <t>397</t>
  </si>
  <si>
    <t>曹庆伟</t>
  </si>
  <si>
    <t>152326196909306872</t>
  </si>
  <si>
    <t>398</t>
  </si>
  <si>
    <t>那仁高娃</t>
  </si>
  <si>
    <t>152326199603086882</t>
  </si>
  <si>
    <t>399</t>
  </si>
  <si>
    <t>李春磊</t>
  </si>
  <si>
    <t>152326198903246871</t>
  </si>
  <si>
    <t>400</t>
  </si>
  <si>
    <t>宣金伟</t>
  </si>
  <si>
    <t>152326198502206879</t>
  </si>
  <si>
    <t>401</t>
  </si>
  <si>
    <t>李春红</t>
  </si>
  <si>
    <t>152326198708266885</t>
  </si>
  <si>
    <t>402</t>
  </si>
  <si>
    <t>孙义</t>
  </si>
  <si>
    <t>152326198401016873</t>
  </si>
  <si>
    <t>403</t>
  </si>
  <si>
    <t>吴海荣</t>
  </si>
  <si>
    <t>152326198404026882</t>
  </si>
  <si>
    <t>404</t>
  </si>
  <si>
    <t>梁秀英</t>
  </si>
  <si>
    <t>152326197702116865</t>
  </si>
  <si>
    <t>405</t>
  </si>
  <si>
    <t>孙全东</t>
  </si>
  <si>
    <t>152326198601266877</t>
  </si>
  <si>
    <t>406</t>
  </si>
  <si>
    <t>梁铁刚</t>
  </si>
  <si>
    <t>152326197303106897</t>
  </si>
  <si>
    <t>407</t>
  </si>
  <si>
    <t>佟来荣</t>
  </si>
  <si>
    <t>152326197302066862</t>
  </si>
  <si>
    <t>408</t>
  </si>
  <si>
    <t>王庆利</t>
  </si>
  <si>
    <t>152326198903077385</t>
  </si>
  <si>
    <t>409</t>
  </si>
  <si>
    <t>陈显良</t>
  </si>
  <si>
    <t>152326197311096879</t>
  </si>
  <si>
    <t>410</t>
  </si>
  <si>
    <t>曹玉梅</t>
  </si>
  <si>
    <t>152326197101176889</t>
  </si>
  <si>
    <t>411</t>
  </si>
  <si>
    <t>曹云凤</t>
  </si>
  <si>
    <t>152326196810016891</t>
  </si>
  <si>
    <t>412</t>
  </si>
  <si>
    <t>王营营</t>
  </si>
  <si>
    <t>152326199601066888</t>
  </si>
  <si>
    <t>413</t>
  </si>
  <si>
    <t>付常青</t>
  </si>
  <si>
    <t>152326196902156875</t>
  </si>
  <si>
    <t>414</t>
  </si>
  <si>
    <t>李红梅</t>
  </si>
  <si>
    <t>152326196712236882</t>
  </si>
  <si>
    <t>415</t>
  </si>
  <si>
    <t>王志富</t>
  </si>
  <si>
    <t>152326197307106878</t>
  </si>
  <si>
    <t>416</t>
  </si>
  <si>
    <t>刘颖芬</t>
  </si>
  <si>
    <t>152326197311286867</t>
  </si>
  <si>
    <t>417</t>
  </si>
  <si>
    <t>陈宪恒</t>
  </si>
  <si>
    <t>152326196905156870</t>
  </si>
  <si>
    <t>418</t>
  </si>
  <si>
    <t>王春义</t>
  </si>
  <si>
    <t>152326196702076870</t>
  </si>
  <si>
    <t>419</t>
  </si>
  <si>
    <t>徐艳春</t>
  </si>
  <si>
    <t>152326196810056877</t>
  </si>
  <si>
    <t>420</t>
  </si>
  <si>
    <t>赵海燕</t>
  </si>
  <si>
    <t>152326197405166866</t>
  </si>
  <si>
    <t>421</t>
  </si>
  <si>
    <t>陈世朋</t>
  </si>
  <si>
    <t>152326199703056875</t>
  </si>
  <si>
    <t>422</t>
  </si>
  <si>
    <t>平雪飞</t>
  </si>
  <si>
    <t>15232619891227687X</t>
  </si>
  <si>
    <t>423</t>
  </si>
  <si>
    <t>徐艳国</t>
  </si>
  <si>
    <t>152326197505066870</t>
  </si>
  <si>
    <t>424</t>
  </si>
  <si>
    <t>于占水</t>
  </si>
  <si>
    <t>152326197812186899</t>
  </si>
  <si>
    <t>425</t>
  </si>
  <si>
    <t>颜秀坤</t>
  </si>
  <si>
    <t>152326198410196669</t>
  </si>
  <si>
    <t>426</t>
  </si>
  <si>
    <t>曹春龙</t>
  </si>
  <si>
    <t>152326198607226876</t>
  </si>
  <si>
    <t>427</t>
  </si>
  <si>
    <t>吴玲利</t>
  </si>
  <si>
    <t>152326199612276872</t>
  </si>
  <si>
    <t>428</t>
  </si>
  <si>
    <t>曹艳荣</t>
  </si>
  <si>
    <t>152326197409026860</t>
  </si>
  <si>
    <t>429</t>
  </si>
  <si>
    <t>荀志伟</t>
  </si>
  <si>
    <t>152326198704266626</t>
  </si>
  <si>
    <t>430</t>
  </si>
  <si>
    <t>孙林</t>
  </si>
  <si>
    <t>152326198606136879</t>
  </si>
  <si>
    <t>431</t>
  </si>
  <si>
    <t>陈素平</t>
  </si>
  <si>
    <t>152326196901046906</t>
  </si>
  <si>
    <t>432</t>
  </si>
  <si>
    <t>张桂花</t>
  </si>
  <si>
    <t>152326197306186861</t>
  </si>
  <si>
    <t>433</t>
  </si>
  <si>
    <t>镡华</t>
  </si>
  <si>
    <t>152326198302056896</t>
  </si>
  <si>
    <t>434</t>
  </si>
  <si>
    <t>镡军</t>
  </si>
  <si>
    <t>152326197306066878</t>
  </si>
  <si>
    <t>435</t>
  </si>
  <si>
    <t>敖旦其木格</t>
  </si>
  <si>
    <t>152326196203056867</t>
  </si>
  <si>
    <t>436</t>
  </si>
  <si>
    <t>包常友</t>
  </si>
  <si>
    <t>152326198901296875</t>
  </si>
  <si>
    <t>437</t>
  </si>
  <si>
    <t>曹志</t>
  </si>
  <si>
    <t>152326197109026877</t>
  </si>
  <si>
    <t>438</t>
  </si>
  <si>
    <t>刘英艳</t>
  </si>
  <si>
    <t>152326196902036881</t>
  </si>
  <si>
    <t>439</t>
  </si>
  <si>
    <t>152326197205296877</t>
  </si>
  <si>
    <t>440</t>
  </si>
  <si>
    <t>孙健</t>
  </si>
  <si>
    <t>152326198311186879</t>
  </si>
  <si>
    <t>441</t>
  </si>
  <si>
    <t>隋琳珲</t>
  </si>
  <si>
    <t>150421198709165148</t>
  </si>
  <si>
    <t>442</t>
  </si>
  <si>
    <t>于海娟</t>
  </si>
  <si>
    <t>152326199310106886</t>
  </si>
  <si>
    <t>443</t>
  </si>
  <si>
    <t>孙春梅</t>
  </si>
  <si>
    <t>152326198503206889</t>
  </si>
  <si>
    <t>444</t>
  </si>
  <si>
    <t>饶艳君</t>
  </si>
  <si>
    <t>152326196810256887</t>
  </si>
  <si>
    <t>445</t>
  </si>
  <si>
    <t>马井爽</t>
  </si>
  <si>
    <t>152324197904232124</t>
  </si>
  <si>
    <t>446</t>
  </si>
  <si>
    <t>白春红</t>
  </si>
  <si>
    <t>152326198803156887</t>
  </si>
  <si>
    <t>447</t>
  </si>
  <si>
    <t>李志艳</t>
  </si>
  <si>
    <t>152326197210142127</t>
  </si>
  <si>
    <t>448</t>
  </si>
  <si>
    <t>梁明</t>
  </si>
  <si>
    <t>152326199911156870</t>
  </si>
  <si>
    <t>449</t>
  </si>
  <si>
    <t>曹雪</t>
  </si>
  <si>
    <t>152306198001076863</t>
  </si>
  <si>
    <t>450</t>
  </si>
  <si>
    <t>曹振</t>
  </si>
  <si>
    <t>15232619780818687x</t>
  </si>
  <si>
    <t>451</t>
  </si>
  <si>
    <t>李志红</t>
  </si>
  <si>
    <t>152326198207111180</t>
  </si>
  <si>
    <t>452</t>
  </si>
  <si>
    <t>王玉玲</t>
  </si>
  <si>
    <t>152326198902046886</t>
  </si>
  <si>
    <t>453</t>
  </si>
  <si>
    <t>达日胡</t>
  </si>
  <si>
    <t>152326197110116861</t>
  </si>
  <si>
    <t>454</t>
  </si>
  <si>
    <t>白玉莲</t>
  </si>
  <si>
    <t>152326196805080047</t>
  </si>
  <si>
    <t>455</t>
  </si>
  <si>
    <t>曹素荣</t>
  </si>
  <si>
    <t>152326196308226869</t>
  </si>
  <si>
    <t>456</t>
  </si>
  <si>
    <t>152326197904166879</t>
  </si>
  <si>
    <t>457</t>
  </si>
  <si>
    <t>高伟</t>
  </si>
  <si>
    <t>152326198303206892</t>
  </si>
  <si>
    <t>458</t>
  </si>
  <si>
    <t>吴丽凤</t>
  </si>
  <si>
    <t>152326198508026887</t>
  </si>
  <si>
    <t>459</t>
  </si>
  <si>
    <t>张玉香</t>
  </si>
  <si>
    <t>152326196304066861</t>
  </si>
  <si>
    <t>460</t>
  </si>
  <si>
    <t>包荣荣</t>
  </si>
  <si>
    <t>152326198407246880</t>
  </si>
  <si>
    <t>461</t>
  </si>
  <si>
    <t>152326196510096877</t>
  </si>
  <si>
    <t>462</t>
  </si>
  <si>
    <t>徐华</t>
  </si>
  <si>
    <t>152326196410286868</t>
  </si>
  <si>
    <t>463</t>
  </si>
  <si>
    <t>傅常锁</t>
  </si>
  <si>
    <t>15232619750109687x</t>
  </si>
  <si>
    <t>464</t>
  </si>
  <si>
    <t>赵牡丹</t>
  </si>
  <si>
    <t>152326198505246884</t>
  </si>
  <si>
    <t>465</t>
  </si>
  <si>
    <t>吴海英</t>
  </si>
  <si>
    <t>152326196608076882</t>
  </si>
  <si>
    <t>466</t>
  </si>
  <si>
    <t>朱文成</t>
  </si>
  <si>
    <t>152326196503076878</t>
  </si>
  <si>
    <t>467</t>
  </si>
  <si>
    <t>朱丽艳</t>
  </si>
  <si>
    <t>152326198709086886</t>
  </si>
  <si>
    <t>468</t>
  </si>
  <si>
    <t>梁金花</t>
  </si>
  <si>
    <t>152326200207206884</t>
  </si>
  <si>
    <t>469</t>
  </si>
  <si>
    <t>李守辉</t>
  </si>
  <si>
    <t>15232619840913687x</t>
  </si>
  <si>
    <t>470</t>
  </si>
  <si>
    <t>刘淑娟</t>
  </si>
  <si>
    <t>152326198603101187</t>
  </si>
  <si>
    <t>471</t>
  </si>
  <si>
    <t>曹江</t>
  </si>
  <si>
    <t>152326197402056872</t>
  </si>
  <si>
    <t>472</t>
  </si>
  <si>
    <t>周丽红</t>
  </si>
  <si>
    <t>152326197709022124</t>
  </si>
  <si>
    <t>473</t>
  </si>
  <si>
    <t>曹春茹</t>
  </si>
  <si>
    <t>152326199910036885</t>
  </si>
  <si>
    <t>474</t>
  </si>
  <si>
    <t>王成</t>
  </si>
  <si>
    <t>152326196707186892</t>
  </si>
  <si>
    <t>475</t>
  </si>
  <si>
    <t>王桂香</t>
  </si>
  <si>
    <t>152326197111296868</t>
  </si>
  <si>
    <t>476</t>
  </si>
  <si>
    <t>孙海瑞</t>
  </si>
  <si>
    <t>152326198102056891</t>
  </si>
  <si>
    <t>477</t>
  </si>
  <si>
    <t>史淑英</t>
  </si>
  <si>
    <t>150426198107275704</t>
  </si>
  <si>
    <t>478</t>
  </si>
  <si>
    <t>刘俊敏</t>
  </si>
  <si>
    <t>152326198309036871</t>
  </si>
  <si>
    <t>479</t>
  </si>
  <si>
    <t>徐晓萍</t>
  </si>
  <si>
    <t>152324198311082129</t>
  </si>
  <si>
    <t>480</t>
  </si>
  <si>
    <t>张学有</t>
  </si>
  <si>
    <t>152326198509296870</t>
  </si>
  <si>
    <t>481</t>
  </si>
  <si>
    <t>陈艳梅</t>
  </si>
  <si>
    <t>152326198708086884</t>
  </si>
  <si>
    <t>482</t>
  </si>
  <si>
    <t>宣亚东</t>
  </si>
  <si>
    <t>152326199002176874</t>
  </si>
  <si>
    <t>483</t>
  </si>
  <si>
    <t>包秀英</t>
  </si>
  <si>
    <t>152326199106076886</t>
  </si>
  <si>
    <t>484</t>
  </si>
  <si>
    <t>宣金利</t>
  </si>
  <si>
    <t>15232619850118687x</t>
  </si>
  <si>
    <t>485</t>
  </si>
  <si>
    <t>郭向丹</t>
  </si>
  <si>
    <t>152326198404093583</t>
  </si>
  <si>
    <t>486</t>
  </si>
  <si>
    <t>曹云龙</t>
  </si>
  <si>
    <t>152326196104256871</t>
  </si>
  <si>
    <t>487</t>
  </si>
  <si>
    <t>高秀珍</t>
  </si>
  <si>
    <t>15232619680212688x</t>
  </si>
  <si>
    <t>488</t>
  </si>
  <si>
    <t>孙龙</t>
  </si>
  <si>
    <t>152326197201206897</t>
  </si>
  <si>
    <t>489</t>
  </si>
  <si>
    <t>潘海霞</t>
  </si>
  <si>
    <t>152326196912166882</t>
  </si>
  <si>
    <t>490</t>
  </si>
  <si>
    <t>王军</t>
  </si>
  <si>
    <t>15232619721105687x</t>
  </si>
  <si>
    <t>491</t>
  </si>
  <si>
    <t>王颖</t>
  </si>
  <si>
    <t>152326199507056907</t>
  </si>
  <si>
    <t>492</t>
  </si>
  <si>
    <t>杨志远</t>
  </si>
  <si>
    <t>15232619890507687x</t>
  </si>
  <si>
    <t>493</t>
  </si>
  <si>
    <t>李玲梅</t>
  </si>
  <si>
    <t>152324198911202147</t>
  </si>
  <si>
    <t>494</t>
  </si>
  <si>
    <t>王力明</t>
  </si>
  <si>
    <t>152326197910306874</t>
  </si>
  <si>
    <t>495</t>
  </si>
  <si>
    <t>孙爱华</t>
  </si>
  <si>
    <t>152326198411286877</t>
  </si>
  <si>
    <t>496</t>
  </si>
  <si>
    <t>孙红燕</t>
  </si>
  <si>
    <t>152326198609136874</t>
  </si>
  <si>
    <t>497</t>
  </si>
  <si>
    <t>孙超</t>
  </si>
  <si>
    <t>152326200112256870</t>
  </si>
  <si>
    <t>498</t>
  </si>
  <si>
    <t>王东升</t>
  </si>
  <si>
    <t>152326198709046876</t>
  </si>
  <si>
    <t>499</t>
  </si>
  <si>
    <t>王海艳</t>
  </si>
  <si>
    <t>152326198909116883</t>
  </si>
  <si>
    <t>500</t>
  </si>
  <si>
    <t>苏志媛</t>
  </si>
  <si>
    <r>
      <rPr>
        <sz val="11"/>
        <color theme="1"/>
        <rFont val="宋体"/>
        <charset val="134"/>
        <scheme val="minor"/>
      </rPr>
      <t>1523241996032035</t>
    </r>
    <r>
      <rPr>
        <sz val="11"/>
        <color theme="1"/>
        <rFont val="宋体"/>
        <charset val="134"/>
        <scheme val="minor"/>
      </rPr>
      <t>21</t>
    </r>
  </si>
  <si>
    <t>501</t>
  </si>
  <si>
    <t>曹东东</t>
  </si>
  <si>
    <t>15232619900920687x</t>
  </si>
  <si>
    <t>502</t>
  </si>
  <si>
    <t>高双力</t>
  </si>
  <si>
    <t>152326199609016877</t>
  </si>
  <si>
    <t>503</t>
  </si>
  <si>
    <t>王学平</t>
  </si>
  <si>
    <t>152326199401286878</t>
  </si>
  <si>
    <t>504</t>
  </si>
  <si>
    <t>郭艳新</t>
  </si>
  <si>
    <t>152326199410097120</t>
  </si>
  <si>
    <t>505</t>
  </si>
  <si>
    <t>曹春颖</t>
  </si>
  <si>
    <t>15232620040626688x</t>
  </si>
  <si>
    <t>506</t>
  </si>
  <si>
    <t>她娜</t>
  </si>
  <si>
    <t>152326196402126864</t>
  </si>
  <si>
    <t>507</t>
  </si>
  <si>
    <t>王新阳</t>
  </si>
  <si>
    <t>152326200210236873</t>
  </si>
  <si>
    <t>508</t>
  </si>
  <si>
    <t>姜华</t>
  </si>
  <si>
    <r>
      <rPr>
        <sz val="11"/>
        <color theme="1"/>
        <rFont val="宋体"/>
        <charset val="134"/>
        <scheme val="minor"/>
      </rPr>
      <t>152326198412</t>
    </r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66878</t>
    </r>
  </si>
  <si>
    <t>509</t>
  </si>
  <si>
    <t>曹蕾</t>
  </si>
  <si>
    <t>152326198403186884</t>
  </si>
  <si>
    <t>510</t>
  </si>
  <si>
    <t>刘发</t>
  </si>
  <si>
    <t>152326198407056876</t>
  </si>
  <si>
    <t>511</t>
  </si>
  <si>
    <t>梁永强</t>
  </si>
  <si>
    <t>152326199004296875</t>
  </si>
  <si>
    <t>512</t>
  </si>
  <si>
    <t>包玉山</t>
  </si>
  <si>
    <t>152326198112176897</t>
  </si>
  <si>
    <t>513</t>
  </si>
  <si>
    <t>常九连</t>
  </si>
  <si>
    <t>152326198509016883</t>
  </si>
  <si>
    <t>514</t>
  </si>
  <si>
    <t>杨晓龙</t>
  </si>
  <si>
    <t>15232619880528687x</t>
  </si>
  <si>
    <t>515</t>
  </si>
  <si>
    <t>杨华</t>
  </si>
  <si>
    <t>152326196410206872</t>
  </si>
  <si>
    <t>516</t>
  </si>
  <si>
    <t>魏华</t>
  </si>
  <si>
    <t>152326196811276871</t>
  </si>
  <si>
    <t>517</t>
  </si>
  <si>
    <t>乌仁白音</t>
  </si>
  <si>
    <t>152326198701056877</t>
  </si>
  <si>
    <t>518</t>
  </si>
  <si>
    <t>孙永玲</t>
  </si>
  <si>
    <t>152326198706076885</t>
  </si>
  <si>
    <t>519</t>
  </si>
  <si>
    <t>潘飞</t>
  </si>
  <si>
    <t>152326197812086898</t>
  </si>
  <si>
    <t>520</t>
  </si>
  <si>
    <t>王立忠</t>
  </si>
  <si>
    <t>152326197711026896</t>
  </si>
  <si>
    <t>521</t>
  </si>
  <si>
    <t>宣金成</t>
  </si>
  <si>
    <t>152326198711246877</t>
  </si>
  <si>
    <t>522</t>
  </si>
  <si>
    <t>刘春华</t>
  </si>
  <si>
    <t>152326198611046907</t>
  </si>
  <si>
    <t>523</t>
  </si>
  <si>
    <t>赵昆</t>
  </si>
  <si>
    <t>152326198604026879</t>
  </si>
  <si>
    <t>524</t>
  </si>
  <si>
    <t>刘淑萍</t>
  </si>
  <si>
    <t>152324198611091828</t>
  </si>
  <si>
    <t>525</t>
  </si>
  <si>
    <t>高静</t>
  </si>
  <si>
    <t>152326199410046884</t>
  </si>
  <si>
    <t>526</t>
  </si>
  <si>
    <t>高蕾</t>
  </si>
  <si>
    <t>152326199902116885</t>
  </si>
  <si>
    <t>527</t>
  </si>
  <si>
    <t>郭艳明</t>
  </si>
  <si>
    <t>152326198604186872</t>
  </si>
  <si>
    <t>528</t>
  </si>
  <si>
    <t>张平</t>
  </si>
  <si>
    <t>152324198504231848</t>
  </si>
  <si>
    <t>529</t>
  </si>
  <si>
    <t>吴春</t>
  </si>
  <si>
    <t>150421197107224716</t>
  </si>
  <si>
    <t>530</t>
  </si>
  <si>
    <t>佟淑艳</t>
  </si>
  <si>
    <t>220122198305232226</t>
  </si>
  <si>
    <t>531</t>
  </si>
  <si>
    <t>巴达玛其其格</t>
  </si>
  <si>
    <t>152326198410196888</t>
  </si>
  <si>
    <t>532</t>
  </si>
  <si>
    <t>勿力吉门都</t>
  </si>
  <si>
    <t>152326198410126871</t>
  </si>
  <si>
    <t>533</t>
  </si>
  <si>
    <t>郝小丹</t>
  </si>
  <si>
    <t>152326198708043585</t>
  </si>
  <si>
    <t>534</t>
  </si>
  <si>
    <t>王志伟</t>
  </si>
  <si>
    <t>152326199309296870</t>
  </si>
  <si>
    <t>535</t>
  </si>
  <si>
    <t>王秀娟</t>
  </si>
  <si>
    <t>152326199101126880</t>
  </si>
  <si>
    <t>536</t>
  </si>
  <si>
    <t>梁瑞国</t>
  </si>
  <si>
    <t>152326196612306871</t>
  </si>
  <si>
    <t>537</t>
  </si>
  <si>
    <t>白音宝特高</t>
  </si>
  <si>
    <t>152326199209026873</t>
  </si>
  <si>
    <t>538</t>
  </si>
  <si>
    <t>敖吐根白音</t>
  </si>
  <si>
    <t>152326197706066877</t>
  </si>
  <si>
    <t>539</t>
  </si>
  <si>
    <t>潘龙</t>
  </si>
  <si>
    <t>152326197507086875</t>
  </si>
  <si>
    <t>540</t>
  </si>
  <si>
    <t>张玉芬</t>
  </si>
  <si>
    <t>152326197302156868</t>
  </si>
  <si>
    <t>541</t>
  </si>
  <si>
    <t>王秀珍</t>
  </si>
  <si>
    <t>152326198109196889</t>
  </si>
  <si>
    <t>542</t>
  </si>
  <si>
    <t>孙海慧</t>
  </si>
  <si>
    <t>152326198405066878</t>
  </si>
  <si>
    <t>543</t>
  </si>
  <si>
    <t>李东梅</t>
  </si>
  <si>
    <t>152321198510102488</t>
  </si>
  <si>
    <t>544</t>
  </si>
  <si>
    <t>梁常青</t>
  </si>
  <si>
    <t>152326198910146879</t>
  </si>
  <si>
    <t>545</t>
  </si>
  <si>
    <t>席金虎</t>
  </si>
  <si>
    <t>152326197506076878</t>
  </si>
  <si>
    <t>546</t>
  </si>
  <si>
    <t>包金吉尔玛</t>
  </si>
  <si>
    <t>152326198309086625</t>
  </si>
  <si>
    <t>547</t>
  </si>
  <si>
    <t>王冬蕾</t>
  </si>
  <si>
    <t>152326199110296873</t>
  </si>
  <si>
    <t>548</t>
  </si>
  <si>
    <t>崔艳新</t>
  </si>
  <si>
    <t>152326199211091260</t>
  </si>
  <si>
    <t>549</t>
  </si>
  <si>
    <t>魏振民</t>
  </si>
  <si>
    <t>152326197509086879</t>
  </si>
  <si>
    <t>550</t>
  </si>
  <si>
    <t>王淑青</t>
  </si>
  <si>
    <t>152326197303306864</t>
  </si>
  <si>
    <t>551</t>
  </si>
  <si>
    <t>王志青</t>
  </si>
  <si>
    <t>152326196702136896</t>
  </si>
  <si>
    <t>552</t>
  </si>
  <si>
    <t>潘金</t>
  </si>
  <si>
    <t>152326196101166897</t>
  </si>
  <si>
    <t>553</t>
  </si>
  <si>
    <t>高玉芬</t>
  </si>
  <si>
    <t>152326196910016629</t>
  </si>
  <si>
    <t>554</t>
  </si>
  <si>
    <t>包长明</t>
  </si>
  <si>
    <t>152326197410266896</t>
  </si>
  <si>
    <t>新增-补缴</t>
  </si>
  <si>
    <t>555</t>
  </si>
  <si>
    <t>陶淑梅</t>
  </si>
  <si>
    <t>152326197707276884</t>
  </si>
  <si>
    <t>新交</t>
  </si>
  <si>
    <t>556</t>
  </si>
  <si>
    <t>徐艳军</t>
  </si>
  <si>
    <t>152326198501196875</t>
  </si>
  <si>
    <t>明仁村2020年养老保险缴费名单</t>
  </si>
  <si>
    <t>明仁嘎查</t>
  </si>
  <si>
    <t>田淑英</t>
  </si>
  <si>
    <t>152326196005066888</t>
  </si>
  <si>
    <t>2015</t>
  </si>
  <si>
    <t>谷玉华</t>
  </si>
  <si>
    <t>152326195912106885</t>
  </si>
  <si>
    <t>吴玉平</t>
  </si>
  <si>
    <t>152326196103226881</t>
  </si>
  <si>
    <t>补交</t>
  </si>
  <si>
    <t>赖秀芝</t>
  </si>
  <si>
    <t>152326196105206868</t>
  </si>
  <si>
    <t>正常缴费</t>
  </si>
  <si>
    <t>毛敖好</t>
  </si>
  <si>
    <t>152326196109106899</t>
  </si>
  <si>
    <t>赵秀花</t>
  </si>
  <si>
    <t>152326196110066863</t>
  </si>
  <si>
    <t>梁山</t>
  </si>
  <si>
    <t>152326196110156893</t>
  </si>
  <si>
    <t>汪术文</t>
  </si>
  <si>
    <t>15232619611029687X</t>
  </si>
  <si>
    <t>王国芹</t>
  </si>
  <si>
    <t>152326196112086868</t>
  </si>
  <si>
    <t>周俊有</t>
  </si>
  <si>
    <t>152326196112096898</t>
  </si>
  <si>
    <t>师凤华</t>
  </si>
  <si>
    <t>152326196202056865</t>
  </si>
  <si>
    <t>廉贵</t>
  </si>
  <si>
    <t>152326196202156890</t>
  </si>
  <si>
    <t>宝云连</t>
  </si>
  <si>
    <t>152326196206156863</t>
  </si>
  <si>
    <t>152326196206216862</t>
  </si>
  <si>
    <t>高秀英</t>
  </si>
  <si>
    <t>152326196207086860</t>
  </si>
  <si>
    <t>付淑花</t>
  </si>
  <si>
    <t>152326196207266861</t>
  </si>
  <si>
    <t>张玉有</t>
  </si>
  <si>
    <t>152326196208236875</t>
  </si>
  <si>
    <t>朱彩霞</t>
  </si>
  <si>
    <t>152326196209136868</t>
  </si>
  <si>
    <t>王翠云</t>
  </si>
  <si>
    <t>152326196209266865</t>
  </si>
  <si>
    <t>吴树方</t>
  </si>
  <si>
    <t>15232619621016687X</t>
  </si>
  <si>
    <t>张凤茹</t>
  </si>
  <si>
    <t>152326196211066862</t>
  </si>
  <si>
    <t>刘玉祥</t>
  </si>
  <si>
    <t>152326196212116892</t>
  </si>
  <si>
    <t>史桂春</t>
  </si>
  <si>
    <t>152326196302036888</t>
  </si>
  <si>
    <t>吴海青</t>
  </si>
  <si>
    <t>152326196302086877</t>
  </si>
  <si>
    <t>韩立华</t>
  </si>
  <si>
    <t>152326196302246869</t>
  </si>
  <si>
    <t>张玉生</t>
  </si>
  <si>
    <t>152326196303066878</t>
  </si>
  <si>
    <t>尹淑云</t>
  </si>
  <si>
    <t>152326196304036865</t>
  </si>
  <si>
    <t>张素华</t>
  </si>
  <si>
    <t>152326196304196869</t>
  </si>
  <si>
    <t>王运</t>
  </si>
  <si>
    <t>152326196307036879</t>
  </si>
  <si>
    <t>潘秀忠</t>
  </si>
  <si>
    <t>152326196307086892</t>
  </si>
  <si>
    <t>王翠艳</t>
  </si>
  <si>
    <t>152326196307136861</t>
  </si>
  <si>
    <t>吴树英</t>
  </si>
  <si>
    <t>152326196308066885</t>
  </si>
  <si>
    <t>周俊芝</t>
  </si>
  <si>
    <t>152326196308206868</t>
  </si>
  <si>
    <t>王春辉</t>
  </si>
  <si>
    <t>152326196308256873</t>
  </si>
  <si>
    <t>刘秀芳</t>
  </si>
  <si>
    <t>152326196309236866</t>
  </si>
  <si>
    <t>王学</t>
  </si>
  <si>
    <t>152326196309286871</t>
  </si>
  <si>
    <t>潘秀华</t>
  </si>
  <si>
    <t>152326196311106868</t>
  </si>
  <si>
    <t>白秀春</t>
  </si>
  <si>
    <t>152326196312176876</t>
  </si>
  <si>
    <t>李树琴</t>
  </si>
  <si>
    <t>152326196312186863</t>
  </si>
  <si>
    <t>张利</t>
  </si>
  <si>
    <t>15232619640516687X</t>
  </si>
  <si>
    <t>周俊云</t>
  </si>
  <si>
    <t>152326196405256867</t>
  </si>
  <si>
    <t>张相军</t>
  </si>
  <si>
    <t>152326196405256875</t>
  </si>
  <si>
    <t>王国田</t>
  </si>
  <si>
    <t>152326196406026879</t>
  </si>
  <si>
    <t>张凤云</t>
  </si>
  <si>
    <t>152326196407096908</t>
  </si>
  <si>
    <t>张青芝</t>
  </si>
  <si>
    <t>15232619640723686X</t>
  </si>
  <si>
    <t>潘贵</t>
  </si>
  <si>
    <t>152326196408016877</t>
  </si>
  <si>
    <t>闫秀连</t>
  </si>
  <si>
    <t>15232619640803686X</t>
  </si>
  <si>
    <t>付淑云</t>
  </si>
  <si>
    <t>152326196408306866</t>
  </si>
  <si>
    <t>佟双柱</t>
  </si>
  <si>
    <t>152326196409136870</t>
  </si>
  <si>
    <t>吴术军</t>
  </si>
  <si>
    <t>152326196409256872</t>
  </si>
  <si>
    <t>梁会</t>
  </si>
  <si>
    <t>152326196410046872</t>
  </si>
  <si>
    <t>152326196412176865</t>
  </si>
  <si>
    <t>程彪</t>
  </si>
  <si>
    <t>152326196504156896</t>
  </si>
  <si>
    <t>王玉平</t>
  </si>
  <si>
    <t>152326196504166867</t>
  </si>
  <si>
    <t>张云</t>
  </si>
  <si>
    <t>152326196504166875</t>
  </si>
  <si>
    <t>于国青</t>
  </si>
  <si>
    <t>152326196505056870</t>
  </si>
  <si>
    <t>吴桂贤</t>
  </si>
  <si>
    <t>152326196507016864</t>
  </si>
  <si>
    <t>李金龙</t>
  </si>
  <si>
    <t>152326196509106898</t>
  </si>
  <si>
    <t>梁玉</t>
  </si>
  <si>
    <t>152326196509136878</t>
  </si>
  <si>
    <t>刘玉山</t>
  </si>
  <si>
    <t>152326196509156879</t>
  </si>
  <si>
    <t>张玉存</t>
  </si>
  <si>
    <t>152326196511136877</t>
  </si>
  <si>
    <t>潘秀丽</t>
  </si>
  <si>
    <t>152326196512176862</t>
  </si>
  <si>
    <t>李树军</t>
  </si>
  <si>
    <t>152326196604056876</t>
  </si>
  <si>
    <t>单玉香</t>
  </si>
  <si>
    <t>152326196604206889</t>
  </si>
  <si>
    <t>何荣</t>
  </si>
  <si>
    <t>15232619660420690X</t>
  </si>
  <si>
    <t>王玉林</t>
  </si>
  <si>
    <t>152326196607176873</t>
  </si>
  <si>
    <t>舍冷巴力吉</t>
  </si>
  <si>
    <t>152326196607296875</t>
  </si>
  <si>
    <t>邢晋忠</t>
  </si>
  <si>
    <t>152326196608056873</t>
  </si>
  <si>
    <t>李仕芹</t>
  </si>
  <si>
    <t>152326196608076866</t>
  </si>
  <si>
    <t>王海斌</t>
  </si>
  <si>
    <t>152326196608136873</t>
  </si>
  <si>
    <t>张玉成</t>
  </si>
  <si>
    <t>152326196608166896</t>
  </si>
  <si>
    <t>张秀兰</t>
  </si>
  <si>
    <t>152326196608196868</t>
  </si>
  <si>
    <t>刘英梅</t>
  </si>
  <si>
    <t>152326196611146861</t>
  </si>
  <si>
    <t>田翠兰</t>
  </si>
  <si>
    <t>152326196612276860</t>
  </si>
  <si>
    <t>宝秀香</t>
  </si>
  <si>
    <t>152326196701036869</t>
  </si>
  <si>
    <t>王玉兰</t>
  </si>
  <si>
    <t>152326196701116869</t>
  </si>
  <si>
    <t>程军</t>
  </si>
  <si>
    <t>152326196704236890</t>
  </si>
  <si>
    <t>佟立新</t>
  </si>
  <si>
    <t>152326196705056875</t>
  </si>
  <si>
    <t>王翠娥</t>
  </si>
  <si>
    <t>152326196705106860</t>
  </si>
  <si>
    <t>付连明</t>
  </si>
  <si>
    <t>152326196705106879</t>
  </si>
  <si>
    <t>李仕勇</t>
  </si>
  <si>
    <t>152326196706126871</t>
  </si>
  <si>
    <t>邢宏文</t>
  </si>
  <si>
    <t>152326196706136877</t>
  </si>
  <si>
    <t>王铁利</t>
  </si>
  <si>
    <t>152326196707026872</t>
  </si>
  <si>
    <t>宝田仓</t>
  </si>
  <si>
    <t>152326196708066876</t>
  </si>
  <si>
    <t>曲振萍</t>
  </si>
  <si>
    <t>152326196708296882</t>
  </si>
  <si>
    <t>褚洪荣</t>
  </si>
  <si>
    <t>152326196709192284</t>
  </si>
  <si>
    <t>吴力喜</t>
  </si>
  <si>
    <t>152326196710136861</t>
  </si>
  <si>
    <t>迟秀春</t>
  </si>
  <si>
    <t>152326196711126884</t>
  </si>
  <si>
    <t>宝连仓</t>
  </si>
  <si>
    <t>152326196711186879</t>
  </si>
  <si>
    <t>冯淑云</t>
  </si>
  <si>
    <t>152326196801276886</t>
  </si>
  <si>
    <t>汪树辉</t>
  </si>
  <si>
    <t>152326196803106872</t>
  </si>
  <si>
    <t>张相坤</t>
  </si>
  <si>
    <t>152326196803166875</t>
  </si>
  <si>
    <t>赵广军</t>
  </si>
  <si>
    <t>152326196803296872</t>
  </si>
  <si>
    <t>李树清</t>
  </si>
  <si>
    <t>152326196806256876</t>
  </si>
  <si>
    <t>潘兴</t>
  </si>
  <si>
    <t>15232619680905687X</t>
  </si>
  <si>
    <t>包根财</t>
  </si>
  <si>
    <t>152326196810136869</t>
  </si>
  <si>
    <t>姜俊</t>
  </si>
  <si>
    <t>232724196811150055</t>
  </si>
  <si>
    <t>吴满香</t>
  </si>
  <si>
    <t>152326196811266884</t>
  </si>
  <si>
    <t>张俊艳</t>
  </si>
  <si>
    <t>152326196812286668</t>
  </si>
  <si>
    <t>吴苓</t>
  </si>
  <si>
    <t>152326196901096874</t>
  </si>
  <si>
    <t>邓桂华</t>
  </si>
  <si>
    <t>152326196901106905</t>
  </si>
  <si>
    <t>郝向东</t>
  </si>
  <si>
    <t>152326196901156873</t>
  </si>
  <si>
    <t>刘桂侠</t>
  </si>
  <si>
    <t>152326196902067127</t>
  </si>
  <si>
    <t>刘玉梅</t>
  </si>
  <si>
    <t>152326196902146888</t>
  </si>
  <si>
    <t>周俊学</t>
  </si>
  <si>
    <t>152326196903066871</t>
  </si>
  <si>
    <t>152326196907156866</t>
  </si>
  <si>
    <t>王仕江</t>
  </si>
  <si>
    <t>152326196908036874</t>
  </si>
  <si>
    <t>包白音拉</t>
  </si>
  <si>
    <t>152326196908066870</t>
  </si>
  <si>
    <t>董翠红</t>
  </si>
  <si>
    <t>152326196908266864</t>
  </si>
  <si>
    <t>张永勤</t>
  </si>
  <si>
    <t>15232619690917358X</t>
  </si>
  <si>
    <t>陈玉梅</t>
  </si>
  <si>
    <t>152326196909296889</t>
  </si>
  <si>
    <t>阿拉坦仓</t>
  </si>
  <si>
    <t>152326196910176913</t>
  </si>
  <si>
    <t>纪留福</t>
  </si>
  <si>
    <t>152326196911046870</t>
  </si>
  <si>
    <t>姜辉</t>
  </si>
  <si>
    <t>152326196911136868</t>
  </si>
  <si>
    <t>王国云</t>
  </si>
  <si>
    <t>152326196911206862</t>
  </si>
  <si>
    <t>吴树龙</t>
  </si>
  <si>
    <t>152326196911256894</t>
  </si>
  <si>
    <t>陈向连</t>
  </si>
  <si>
    <t>152326196912236860</t>
  </si>
  <si>
    <t>梁金晓</t>
  </si>
  <si>
    <t>152326197001276882</t>
  </si>
  <si>
    <t>陶淑荣</t>
  </si>
  <si>
    <t>152326197002106869</t>
  </si>
  <si>
    <t>姜海艳</t>
  </si>
  <si>
    <t>152326197002116864</t>
  </si>
  <si>
    <t>梁林</t>
  </si>
  <si>
    <t>152326197002286898</t>
  </si>
  <si>
    <t>席德才</t>
  </si>
  <si>
    <t>152326197004106897</t>
  </si>
  <si>
    <t>代则玛</t>
  </si>
  <si>
    <t>152326197004116884</t>
  </si>
  <si>
    <t>马青枝</t>
  </si>
  <si>
    <t>152326197004116868</t>
  </si>
  <si>
    <t>刘凤琴</t>
  </si>
  <si>
    <t>152326197004146901</t>
  </si>
  <si>
    <t>刘广</t>
  </si>
  <si>
    <t>152326197004166937</t>
  </si>
  <si>
    <t>周俊卫</t>
  </si>
  <si>
    <t>15232619700503686X</t>
  </si>
  <si>
    <t>常树丽</t>
  </si>
  <si>
    <t>232724197007090025</t>
  </si>
  <si>
    <t>宋振华</t>
  </si>
  <si>
    <t>152326197009136868</t>
  </si>
  <si>
    <t>佟小荣</t>
  </si>
  <si>
    <t>152326197010026869</t>
  </si>
  <si>
    <t>马国辉</t>
  </si>
  <si>
    <t>152326197010036880</t>
  </si>
  <si>
    <t>刘海峰</t>
  </si>
  <si>
    <t>152326197010246896</t>
  </si>
  <si>
    <t>于彩莲</t>
  </si>
  <si>
    <t>15232619701028688X</t>
  </si>
  <si>
    <t>陈宝德</t>
  </si>
  <si>
    <t>152326197011306870</t>
  </si>
  <si>
    <t>李玉金</t>
  </si>
  <si>
    <t>15232619701212688X</t>
  </si>
  <si>
    <t>赵广成</t>
  </si>
  <si>
    <t>152326197012166873</t>
  </si>
  <si>
    <t>卜宪梅</t>
  </si>
  <si>
    <t>152326197012176860</t>
  </si>
  <si>
    <t>王春林</t>
  </si>
  <si>
    <t>152326197101286893</t>
  </si>
  <si>
    <t>张青峰</t>
  </si>
  <si>
    <t>152326197103116871</t>
  </si>
  <si>
    <t>吴万华</t>
  </si>
  <si>
    <t>152326197103246879</t>
  </si>
  <si>
    <t>张秀文</t>
  </si>
  <si>
    <t>152326197104026886</t>
  </si>
  <si>
    <t>雷凤海</t>
  </si>
  <si>
    <t>152326197105046897</t>
  </si>
  <si>
    <t>王东</t>
  </si>
  <si>
    <t>152326197106146873</t>
  </si>
  <si>
    <t>郑显峰</t>
  </si>
  <si>
    <t>152326197109086896</t>
  </si>
  <si>
    <t>杜玉连</t>
  </si>
  <si>
    <t>152326197109091820</t>
  </si>
  <si>
    <t>152326197110046867</t>
  </si>
  <si>
    <t>吴树春</t>
  </si>
  <si>
    <t>152326197110176872</t>
  </si>
  <si>
    <t>吴树财</t>
  </si>
  <si>
    <t>152326197111256874</t>
  </si>
  <si>
    <t>潘旺</t>
  </si>
  <si>
    <t>152326197201176894</t>
  </si>
  <si>
    <t>152326197202216894</t>
  </si>
  <si>
    <t>李梅花</t>
  </si>
  <si>
    <t>152326197203056861</t>
  </si>
  <si>
    <t>王翠新</t>
  </si>
  <si>
    <t>152326197203146867</t>
  </si>
  <si>
    <t>宝双根</t>
  </si>
  <si>
    <t>152326197203286878</t>
  </si>
  <si>
    <t>15232619720508687X</t>
  </si>
  <si>
    <t>王久银</t>
  </si>
  <si>
    <t>152326197205226895</t>
  </si>
  <si>
    <t>于国霞</t>
  </si>
  <si>
    <t>152326197205236866</t>
  </si>
  <si>
    <t>张青山</t>
  </si>
  <si>
    <t>152326197205276892</t>
  </si>
  <si>
    <t>郝玉玲</t>
  </si>
  <si>
    <t>15232619720624688X</t>
  </si>
  <si>
    <t>宝根荣</t>
  </si>
  <si>
    <t>15232619720707686X</t>
  </si>
  <si>
    <t>王仕伟</t>
  </si>
  <si>
    <t>152326197208086891</t>
  </si>
  <si>
    <t>郝向芹</t>
  </si>
  <si>
    <t>152326197209136862</t>
  </si>
  <si>
    <t>玉连</t>
  </si>
  <si>
    <t>15232619720913690X</t>
  </si>
  <si>
    <t>孙立明</t>
  </si>
  <si>
    <t>152326197209176872</t>
  </si>
  <si>
    <t>李桂艳</t>
  </si>
  <si>
    <t>152326197210096888</t>
  </si>
  <si>
    <t>梁荣</t>
  </si>
  <si>
    <t>152326197210186867</t>
  </si>
  <si>
    <t>15232619721128686X</t>
  </si>
  <si>
    <t>宋华龙</t>
  </si>
  <si>
    <t>152326197212166616</t>
  </si>
  <si>
    <t>潘雪玲</t>
  </si>
  <si>
    <t>152326197212196866</t>
  </si>
  <si>
    <t>乔国忠</t>
  </si>
  <si>
    <t>152326197301256891</t>
  </si>
  <si>
    <t>王宏</t>
  </si>
  <si>
    <t>152326197302086871</t>
  </si>
  <si>
    <t>董贵</t>
  </si>
  <si>
    <t>152326197302216891</t>
  </si>
  <si>
    <t>张海军</t>
  </si>
  <si>
    <t>152326197302286873</t>
  </si>
  <si>
    <t>宝成</t>
  </si>
  <si>
    <t>152326197303146872</t>
  </si>
  <si>
    <t>徐云龙</t>
  </si>
  <si>
    <t>152326197303176879</t>
  </si>
  <si>
    <t>王秀英</t>
  </si>
  <si>
    <t>152326197303196861</t>
  </si>
  <si>
    <t>张玉柱</t>
  </si>
  <si>
    <t>152326197304016877</t>
  </si>
  <si>
    <t>付海燕</t>
  </si>
  <si>
    <t>152326197305016887</t>
  </si>
  <si>
    <t>孟庆华</t>
  </si>
  <si>
    <t>152326197305256899</t>
  </si>
  <si>
    <t>翟桂芳</t>
  </si>
  <si>
    <t>15232619730809686X</t>
  </si>
  <si>
    <t>姜云新</t>
  </si>
  <si>
    <t>152326197309126629</t>
  </si>
  <si>
    <t>常闹各加</t>
  </si>
  <si>
    <t>152326197309186883</t>
  </si>
  <si>
    <t>吴红霞</t>
  </si>
  <si>
    <t>152326197310276886</t>
  </si>
  <si>
    <t>刘玉民</t>
  </si>
  <si>
    <t>152326197311016891</t>
  </si>
  <si>
    <t>付树平</t>
  </si>
  <si>
    <t>15232619731102690X</t>
  </si>
  <si>
    <t>宋广源</t>
  </si>
  <si>
    <t>152326197311136877</t>
  </si>
  <si>
    <t>宝香莲</t>
  </si>
  <si>
    <t>152326197311166865</t>
  </si>
  <si>
    <t>斯日古冷</t>
  </si>
  <si>
    <t>152326197311257126</t>
  </si>
  <si>
    <t>聂占山</t>
  </si>
  <si>
    <t>15232619731215687X</t>
  </si>
  <si>
    <t>郑月灰</t>
  </si>
  <si>
    <t>152326197312286885</t>
  </si>
  <si>
    <t>田立国</t>
  </si>
  <si>
    <t>152326197401096880</t>
  </si>
  <si>
    <t>于彩环</t>
  </si>
  <si>
    <t>152326197401216862</t>
  </si>
  <si>
    <t>布和白音</t>
  </si>
  <si>
    <t>152326197401266878</t>
  </si>
  <si>
    <t>梁志</t>
  </si>
  <si>
    <t>152326197402226894</t>
  </si>
  <si>
    <t>邢海燕</t>
  </si>
  <si>
    <t>152326197402256903</t>
  </si>
  <si>
    <t>雷凤江</t>
  </si>
  <si>
    <t>152326197403146896</t>
  </si>
  <si>
    <t>程韶辉</t>
  </si>
  <si>
    <t>152326197404076877</t>
  </si>
  <si>
    <t>梁金枝</t>
  </si>
  <si>
    <t>152326197404186865</t>
  </si>
  <si>
    <t>李树玲</t>
  </si>
  <si>
    <t>15232619740425686X</t>
  </si>
  <si>
    <t>刘国刚</t>
  </si>
  <si>
    <t>152326197407076899</t>
  </si>
  <si>
    <t>152326197407096865</t>
  </si>
  <si>
    <t>周俊波</t>
  </si>
  <si>
    <t>152326197407116870</t>
  </si>
  <si>
    <t>刘亚明</t>
  </si>
  <si>
    <t>152326197407256873</t>
  </si>
  <si>
    <t>王仕坤</t>
  </si>
  <si>
    <t>15232619740816687X</t>
  </si>
  <si>
    <t>王立辉</t>
  </si>
  <si>
    <t>152326197408276876</t>
  </si>
  <si>
    <t>刘晓燕</t>
  </si>
  <si>
    <t>152326197410256866</t>
  </si>
  <si>
    <t>刘玉海</t>
  </si>
  <si>
    <t>15232619741026687X</t>
  </si>
  <si>
    <t>宝海凤</t>
  </si>
  <si>
    <t>152326197412126862</t>
  </si>
  <si>
    <t>田永芳</t>
  </si>
  <si>
    <t>152326197503176865</t>
  </si>
  <si>
    <t>张青湖</t>
  </si>
  <si>
    <t>152326197504186889</t>
  </si>
  <si>
    <t>吕俊梅</t>
  </si>
  <si>
    <t>152326197505166863</t>
  </si>
  <si>
    <t>田淑娟</t>
  </si>
  <si>
    <t>152326197505216883</t>
  </si>
  <si>
    <t>周俊东</t>
  </si>
  <si>
    <t>152326197506256879</t>
  </si>
  <si>
    <t>152326197508156628</t>
  </si>
  <si>
    <t>吴云</t>
  </si>
  <si>
    <t>152326197508156898</t>
  </si>
  <si>
    <t>常海山</t>
  </si>
  <si>
    <t>152326197508206875</t>
  </si>
  <si>
    <t>李艳琢</t>
  </si>
  <si>
    <t>152326197508206621</t>
  </si>
  <si>
    <t>赖秀峰</t>
  </si>
  <si>
    <t>152326197508286879</t>
  </si>
  <si>
    <t>王玉珍</t>
  </si>
  <si>
    <t>152326197509086908</t>
  </si>
  <si>
    <t>郝向军</t>
  </si>
  <si>
    <t>152326197509096874</t>
  </si>
  <si>
    <t>冯树民</t>
  </si>
  <si>
    <t>220822197509204618</t>
  </si>
  <si>
    <t>纪桂香</t>
  </si>
  <si>
    <t>152326197509306907</t>
  </si>
  <si>
    <t>潘红生</t>
  </si>
  <si>
    <t>152326197510276872</t>
  </si>
  <si>
    <t>潘海梅</t>
  </si>
  <si>
    <t>152326197511066869</t>
  </si>
  <si>
    <t>香连</t>
  </si>
  <si>
    <t>152326197512066860</t>
  </si>
  <si>
    <t>刘海坤</t>
  </si>
  <si>
    <t>152326197601086871</t>
  </si>
  <si>
    <t>周俊磊</t>
  </si>
  <si>
    <t>152326197601096877</t>
  </si>
  <si>
    <t>李仕海</t>
  </si>
  <si>
    <t>152326197604216870</t>
  </si>
  <si>
    <t>杨秀艳</t>
  </si>
  <si>
    <t>152326197607156869</t>
  </si>
  <si>
    <t>梁小</t>
  </si>
  <si>
    <t>152326197607176886</t>
  </si>
  <si>
    <t>杨宝红</t>
  </si>
  <si>
    <t>152326197607196625</t>
  </si>
  <si>
    <t>曲宪华</t>
  </si>
  <si>
    <t>152326197608076879</t>
  </si>
  <si>
    <t>张海生</t>
  </si>
  <si>
    <t>152326197608226873</t>
  </si>
  <si>
    <t>刘少杰</t>
  </si>
  <si>
    <t>152326197610096879</t>
  </si>
  <si>
    <t>吴花啦</t>
  </si>
  <si>
    <t>152326197610256887</t>
  </si>
  <si>
    <t>梁顺</t>
  </si>
  <si>
    <t>152326197611046873</t>
  </si>
  <si>
    <t>王玉红</t>
  </si>
  <si>
    <t>152326197611146882</t>
  </si>
  <si>
    <t>王春玲</t>
  </si>
  <si>
    <t>152326197611286885</t>
  </si>
  <si>
    <t>宣亚辉</t>
  </si>
  <si>
    <t>152326197612046867</t>
  </si>
  <si>
    <t>于久艳</t>
  </si>
  <si>
    <t>152326197612242120</t>
  </si>
  <si>
    <t>孙立财</t>
  </si>
  <si>
    <t>152326197701026913</t>
  </si>
  <si>
    <t>张立海</t>
  </si>
  <si>
    <t>152326197701046893</t>
  </si>
  <si>
    <t>吴树廷</t>
  </si>
  <si>
    <t>152326197702096892</t>
  </si>
  <si>
    <t>王桂琴</t>
  </si>
  <si>
    <t>152326197703056884</t>
  </si>
  <si>
    <t>孙彩红</t>
  </si>
  <si>
    <t>152326197704306865</t>
  </si>
  <si>
    <t>宝海云</t>
  </si>
  <si>
    <t>152326197705166884</t>
  </si>
  <si>
    <t>王雪峰</t>
  </si>
  <si>
    <t>152326197706076880</t>
  </si>
  <si>
    <t>迟月一</t>
  </si>
  <si>
    <t>152326197706096873</t>
  </si>
  <si>
    <t>单立华</t>
  </si>
  <si>
    <t>152326197706256865</t>
  </si>
  <si>
    <t>李树国</t>
  </si>
  <si>
    <t>152326197707073577</t>
  </si>
  <si>
    <t>东长君</t>
  </si>
  <si>
    <t>152326197707236874</t>
  </si>
  <si>
    <t>董文艳</t>
  </si>
  <si>
    <t>152326197708296123</t>
  </si>
  <si>
    <t>王俊青</t>
  </si>
  <si>
    <t>152326197709136877</t>
  </si>
  <si>
    <t>梁青云</t>
  </si>
  <si>
    <t>152326197710026894</t>
  </si>
  <si>
    <t>宋阔海</t>
  </si>
  <si>
    <t>152326197710096876</t>
  </si>
  <si>
    <t>纪留财</t>
  </si>
  <si>
    <t>152326197711066871</t>
  </si>
  <si>
    <t>吴江</t>
  </si>
  <si>
    <t>152326197711136892</t>
  </si>
  <si>
    <t>陈立云</t>
  </si>
  <si>
    <t>152326197711186865</t>
  </si>
  <si>
    <t>152326197712236860</t>
  </si>
  <si>
    <t>徐迎华</t>
  </si>
  <si>
    <t>152326197712246882</t>
  </si>
  <si>
    <t>王仕彬</t>
  </si>
  <si>
    <t>152326197801276872</t>
  </si>
  <si>
    <t>贾东梅</t>
  </si>
  <si>
    <t>152326197805121181</t>
  </si>
  <si>
    <t>于秀艳</t>
  </si>
  <si>
    <t>152326197806016869</t>
  </si>
  <si>
    <t>王庆龙</t>
  </si>
  <si>
    <t>152326197807046955</t>
  </si>
  <si>
    <t>王俊岭</t>
  </si>
  <si>
    <t>152326197807306876</t>
  </si>
  <si>
    <t>李淑红</t>
  </si>
  <si>
    <t>152326197808126885</t>
  </si>
  <si>
    <t>侯立付</t>
  </si>
  <si>
    <t>152326197809266871</t>
  </si>
  <si>
    <t>付玉红</t>
  </si>
  <si>
    <t>152326197811026893</t>
  </si>
  <si>
    <t>152326197812086871</t>
  </si>
  <si>
    <t>刘玉林</t>
  </si>
  <si>
    <t>152326197812166898</t>
  </si>
  <si>
    <t>单军</t>
  </si>
  <si>
    <t>152326197901116892</t>
  </si>
  <si>
    <t>安田香</t>
  </si>
  <si>
    <t>152326197901306864</t>
  </si>
  <si>
    <t>李秀芳</t>
  </si>
  <si>
    <t>152326197907206901</t>
  </si>
  <si>
    <t>王晓龙</t>
  </si>
  <si>
    <t>152326197907266875</t>
  </si>
  <si>
    <t>敬红锋</t>
  </si>
  <si>
    <t>152326197908126874</t>
  </si>
  <si>
    <t>曹淑娟</t>
  </si>
  <si>
    <t>152326197908206882</t>
  </si>
  <si>
    <t>窦振蕾</t>
  </si>
  <si>
    <t>152326197908296865</t>
  </si>
  <si>
    <t>迟月群</t>
  </si>
  <si>
    <t>152326197909246894</t>
  </si>
  <si>
    <t>王光荣</t>
  </si>
  <si>
    <t>152326197911276881</t>
  </si>
  <si>
    <t>张青松</t>
  </si>
  <si>
    <t>152326197911296874</t>
  </si>
  <si>
    <t>周俊贺</t>
  </si>
  <si>
    <t>152326197912046885</t>
  </si>
  <si>
    <t>刘晓玉</t>
  </si>
  <si>
    <t>152326197912076881</t>
  </si>
  <si>
    <t>黄桂英</t>
  </si>
  <si>
    <t>152326197912126869</t>
  </si>
  <si>
    <t>杜海艳</t>
  </si>
  <si>
    <t>15232619800114688X</t>
  </si>
  <si>
    <t>陈立敏</t>
  </si>
  <si>
    <t>152326198001206862</t>
  </si>
  <si>
    <t>曲桂红</t>
  </si>
  <si>
    <t>152324198002272121</t>
  </si>
  <si>
    <t>郑全兴</t>
  </si>
  <si>
    <t>152326198003096898</t>
  </si>
  <si>
    <t>吴景波</t>
  </si>
  <si>
    <t>15232619800409689X</t>
  </si>
  <si>
    <t>刘亚丽</t>
  </si>
  <si>
    <t>152326198004106883</t>
  </si>
  <si>
    <t>白晓环</t>
  </si>
  <si>
    <t>152326198004290043</t>
  </si>
  <si>
    <t>张秀艳</t>
  </si>
  <si>
    <t>152324198005202129</t>
  </si>
  <si>
    <t>程海龙</t>
  </si>
  <si>
    <t>152326198006036874</t>
  </si>
  <si>
    <t>王立学</t>
  </si>
  <si>
    <t>152326198006166935</t>
  </si>
  <si>
    <t>孙淑芬</t>
  </si>
  <si>
    <t>152326198007076886</t>
  </si>
  <si>
    <t>徐立强</t>
  </si>
  <si>
    <t>152326198007106897</t>
  </si>
  <si>
    <t>崔建民</t>
  </si>
  <si>
    <t>152326198007211195</t>
  </si>
  <si>
    <t>李淑方</t>
  </si>
  <si>
    <t>15232619800811686X</t>
  </si>
  <si>
    <t>张玉梅</t>
  </si>
  <si>
    <t>152326198008136887</t>
  </si>
  <si>
    <t>高立红</t>
  </si>
  <si>
    <t>152326198009021184</t>
  </si>
  <si>
    <t>付小红</t>
  </si>
  <si>
    <t>152326198009166885</t>
  </si>
  <si>
    <t>王艳红</t>
  </si>
  <si>
    <t>15232619800923688X</t>
  </si>
  <si>
    <t>何丽红</t>
  </si>
  <si>
    <t>152326198009276881</t>
  </si>
  <si>
    <t>侯立有</t>
  </si>
  <si>
    <t>152326198009306892</t>
  </si>
  <si>
    <t>张晓军</t>
  </si>
  <si>
    <t>152326198011206874</t>
  </si>
  <si>
    <t>孟祥红</t>
  </si>
  <si>
    <t>152326198012146623</t>
  </si>
  <si>
    <t>周印昌</t>
  </si>
  <si>
    <t>152326198012156899</t>
  </si>
  <si>
    <t>陈宝立</t>
  </si>
  <si>
    <t>152326198104226890</t>
  </si>
  <si>
    <t>宝海东</t>
  </si>
  <si>
    <t>152326198105296874</t>
  </si>
  <si>
    <t>陈秀梅</t>
  </si>
  <si>
    <t>152326198108276887</t>
  </si>
  <si>
    <t>王玉春</t>
  </si>
  <si>
    <t>152324198109201868</t>
  </si>
  <si>
    <t>窦玉青</t>
  </si>
  <si>
    <t>152324198110092128</t>
  </si>
  <si>
    <t>吴海燕</t>
  </si>
  <si>
    <t>152326198110216963</t>
  </si>
  <si>
    <t>刘晓敏</t>
  </si>
  <si>
    <t>152326198110236892</t>
  </si>
  <si>
    <t>宝海亮</t>
  </si>
  <si>
    <t>152326198111166937</t>
  </si>
  <si>
    <t>吴小燕</t>
  </si>
  <si>
    <t>152326198111216906</t>
  </si>
  <si>
    <t>王双利</t>
  </si>
  <si>
    <t>15232619811204689X</t>
  </si>
  <si>
    <t>魏丽红</t>
  </si>
  <si>
    <t>152326198112152289</t>
  </si>
  <si>
    <t>刘春艳</t>
  </si>
  <si>
    <t>152326198112176889</t>
  </si>
  <si>
    <t>刘玉春</t>
  </si>
  <si>
    <t>152326198112236888</t>
  </si>
  <si>
    <t>包海申</t>
  </si>
  <si>
    <t>152326198202176874</t>
  </si>
  <si>
    <t>孙彩艳</t>
  </si>
  <si>
    <t>152326198202176903</t>
  </si>
  <si>
    <t>刘玉国</t>
  </si>
  <si>
    <t>152326198202216872</t>
  </si>
  <si>
    <t>刘玉双</t>
  </si>
  <si>
    <t>152326198203116881</t>
  </si>
  <si>
    <t>邢宏杰</t>
  </si>
  <si>
    <t>15232619820322687X</t>
  </si>
  <si>
    <t>石岩</t>
  </si>
  <si>
    <t>152326198204026896</t>
  </si>
  <si>
    <t>雷凤涛</t>
  </si>
  <si>
    <t>152326198204296896</t>
  </si>
  <si>
    <t>刘亚娟</t>
  </si>
  <si>
    <t>152326198206096900</t>
  </si>
  <si>
    <t>田静</t>
  </si>
  <si>
    <t>152326198206246622</t>
  </si>
  <si>
    <t>赵佟柱</t>
  </si>
  <si>
    <t>152326198208016898</t>
  </si>
  <si>
    <t>李艳明</t>
  </si>
  <si>
    <t>152326198208056873</t>
  </si>
  <si>
    <t>赵海彬</t>
  </si>
  <si>
    <t>152326198208116610</t>
  </si>
  <si>
    <t>李淑艳</t>
  </si>
  <si>
    <t>152326198208166888</t>
  </si>
  <si>
    <t>李常亮</t>
  </si>
  <si>
    <t>152326198208256875</t>
  </si>
  <si>
    <t>张晓坤</t>
  </si>
  <si>
    <t>152326198209066918</t>
  </si>
  <si>
    <t>候立荣</t>
  </si>
  <si>
    <t>152326198209266901</t>
  </si>
  <si>
    <t>崔艳杰</t>
  </si>
  <si>
    <t>152326198210026884</t>
  </si>
  <si>
    <t>刘铁峰</t>
  </si>
  <si>
    <t>152326198210106876</t>
  </si>
  <si>
    <t>宝海梅</t>
  </si>
  <si>
    <t>152326198211104282</t>
  </si>
  <si>
    <t>廉明</t>
  </si>
  <si>
    <t>152326198302156897</t>
  </si>
  <si>
    <t>领小</t>
  </si>
  <si>
    <t>152326198302206866</t>
  </si>
  <si>
    <t>张青华</t>
  </si>
  <si>
    <t>152326198304036864</t>
  </si>
  <si>
    <t>李海松</t>
  </si>
  <si>
    <t>152326198305226870</t>
  </si>
  <si>
    <t>王雪松</t>
  </si>
  <si>
    <t>15232619830619687X</t>
  </si>
  <si>
    <t>刘玉泉</t>
  </si>
  <si>
    <t>152326198307016877</t>
  </si>
  <si>
    <t>白那申布合</t>
  </si>
  <si>
    <t>152326198308066876</t>
  </si>
  <si>
    <t>张晓丽</t>
  </si>
  <si>
    <t>152326198309216864</t>
  </si>
  <si>
    <t>王洁石</t>
  </si>
  <si>
    <t>152326198309216872</t>
  </si>
  <si>
    <t>刘晓伟</t>
  </si>
  <si>
    <t>152326198309276867</t>
  </si>
  <si>
    <t>王俊鹏</t>
  </si>
  <si>
    <t>152326198312196876</t>
  </si>
  <si>
    <t>周印宝</t>
  </si>
  <si>
    <t>152326198401146870</t>
  </si>
  <si>
    <t>152326198403076888</t>
  </si>
  <si>
    <t>宋艳华</t>
  </si>
  <si>
    <t>152326198403236888</t>
  </si>
  <si>
    <t>刘玉红</t>
  </si>
  <si>
    <t>152326198404206883</t>
  </si>
  <si>
    <t>周印花</t>
  </si>
  <si>
    <t>152326198405296884</t>
  </si>
  <si>
    <t>张宏丽</t>
  </si>
  <si>
    <t>152326198407166880</t>
  </si>
  <si>
    <t>白春叶</t>
  </si>
  <si>
    <t>152326198408116885</t>
  </si>
  <si>
    <t>吴景龙</t>
  </si>
  <si>
    <t>152326198409026873</t>
  </si>
  <si>
    <t>包其木格</t>
  </si>
  <si>
    <t>152326198410106889</t>
  </si>
  <si>
    <t>孙小波</t>
  </si>
  <si>
    <t>152326198410226872</t>
  </si>
  <si>
    <t>宣红梅</t>
  </si>
  <si>
    <t>152326198410306880</t>
  </si>
  <si>
    <t>宝立冬</t>
  </si>
  <si>
    <t>152326198501086879</t>
  </si>
  <si>
    <t>杭早仑高娃</t>
  </si>
  <si>
    <t>152326198501221487</t>
  </si>
  <si>
    <t>张晓嫒</t>
  </si>
  <si>
    <t>152326198502226888</t>
  </si>
  <si>
    <t>姜云艳</t>
  </si>
  <si>
    <t>152326198502286645</t>
  </si>
  <si>
    <t>152324198507202129</t>
  </si>
  <si>
    <t>张海龙</t>
  </si>
  <si>
    <t>152326198511086872</t>
  </si>
  <si>
    <t>陈香宝</t>
  </si>
  <si>
    <t>152326198512226873</t>
  </si>
  <si>
    <t>张长玲</t>
  </si>
  <si>
    <t>152326198601026902</t>
  </si>
  <si>
    <t>白春节</t>
  </si>
  <si>
    <t>152326198601116887</t>
  </si>
  <si>
    <t>梁宝龙</t>
  </si>
  <si>
    <t>152326198601146875</t>
  </si>
  <si>
    <t>赵智敏</t>
  </si>
  <si>
    <t>152326198603226879</t>
  </si>
  <si>
    <t>张晓亮</t>
  </si>
  <si>
    <t>152326198605056877</t>
  </si>
  <si>
    <t>斯琴图</t>
  </si>
  <si>
    <t>152326198605216877</t>
  </si>
  <si>
    <t>石峰</t>
  </si>
  <si>
    <t>152326198607106874</t>
  </si>
  <si>
    <t>王海燕</t>
  </si>
  <si>
    <t>152326198607216889</t>
  </si>
  <si>
    <t>宝哈斯图牙</t>
  </si>
  <si>
    <t>152326198610156880</t>
  </si>
  <si>
    <t>东常燕</t>
  </si>
  <si>
    <t>152326198611126886</t>
  </si>
  <si>
    <t>满都拉</t>
  </si>
  <si>
    <t>152326198612146870</t>
  </si>
  <si>
    <t>王俊波</t>
  </si>
  <si>
    <t>152326198612296879</t>
  </si>
  <si>
    <t>春光</t>
  </si>
  <si>
    <t>152326198702096870</t>
  </si>
  <si>
    <t>程海锋</t>
  </si>
  <si>
    <t>152326198702256870</t>
  </si>
  <si>
    <t>周印双</t>
  </si>
  <si>
    <t>152326198708056888</t>
  </si>
  <si>
    <t>刘磊</t>
  </si>
  <si>
    <t>152326198709246878</t>
  </si>
  <si>
    <t>杨晓玲</t>
  </si>
  <si>
    <t>152326198709272283</t>
  </si>
  <si>
    <t>吴代弟</t>
  </si>
  <si>
    <t>152326198710156888</t>
  </si>
  <si>
    <t>王艳丽</t>
  </si>
  <si>
    <t>152326198711066884</t>
  </si>
  <si>
    <t>梁龙泉</t>
  </si>
  <si>
    <t>152326198711136870</t>
  </si>
  <si>
    <t>宣亚平</t>
  </si>
  <si>
    <t>152326198803096888</t>
  </si>
  <si>
    <t>宣雅宏</t>
  </si>
  <si>
    <t>152326198803136886</t>
  </si>
  <si>
    <t>石岭</t>
  </si>
  <si>
    <t>152326198808156878</t>
  </si>
  <si>
    <t>张佳利</t>
  </si>
  <si>
    <t>152326198903026879</t>
  </si>
  <si>
    <t>王春伟</t>
  </si>
  <si>
    <t>15232619890308688X</t>
  </si>
  <si>
    <t>刘雅龙</t>
  </si>
  <si>
    <t>152326198907116871</t>
  </si>
  <si>
    <t>慕云鹏</t>
  </si>
  <si>
    <t>152326198908076875</t>
  </si>
  <si>
    <t>于海艳</t>
  </si>
  <si>
    <t>152326198908196885</t>
  </si>
  <si>
    <t>张青丽</t>
  </si>
  <si>
    <t>152326198909216884</t>
  </si>
  <si>
    <t>吴献金</t>
  </si>
  <si>
    <t>152326198911086871</t>
  </si>
  <si>
    <t>李建伟</t>
  </si>
  <si>
    <t>15232619900226687X</t>
  </si>
  <si>
    <t>王俊风</t>
  </si>
  <si>
    <t>152326199005116877</t>
  </si>
  <si>
    <t>王晓慧</t>
  </si>
  <si>
    <t>152326199005206880</t>
  </si>
  <si>
    <t>唐桂琴</t>
  </si>
  <si>
    <t>152223199007255526</t>
  </si>
  <si>
    <t>152326199009156876</t>
  </si>
  <si>
    <t>152326199012291489</t>
  </si>
  <si>
    <t>王美慧</t>
  </si>
  <si>
    <t>152326199012296888</t>
  </si>
  <si>
    <t>张丹丹</t>
  </si>
  <si>
    <t>152326199102146883</t>
  </si>
  <si>
    <t>汪东旭</t>
  </si>
  <si>
    <t>152326199108306876</t>
  </si>
  <si>
    <t>王东东</t>
  </si>
  <si>
    <t>152326199109206877</t>
  </si>
  <si>
    <t>王慧敏</t>
  </si>
  <si>
    <t>152326199111246886</t>
  </si>
  <si>
    <t>刘玉敏</t>
  </si>
  <si>
    <t>152326199201216883</t>
  </si>
  <si>
    <t>孙宏娜</t>
  </si>
  <si>
    <t>152326199204226884</t>
  </si>
  <si>
    <t>孔凡燕</t>
  </si>
  <si>
    <t>15232619920511688X</t>
  </si>
  <si>
    <t>初迎蕾</t>
  </si>
  <si>
    <t>152326199208202820</t>
  </si>
  <si>
    <t>周丹丹</t>
  </si>
  <si>
    <t>152326199210036905</t>
  </si>
  <si>
    <t>王立波</t>
  </si>
  <si>
    <t>152326199211226874</t>
  </si>
  <si>
    <t>宝力</t>
  </si>
  <si>
    <t>152326199211276871</t>
  </si>
  <si>
    <t>盖春雪</t>
  </si>
  <si>
    <t>152326199212306622</t>
  </si>
  <si>
    <t>邢宇哲</t>
  </si>
  <si>
    <t>152326199301186896</t>
  </si>
  <si>
    <t>张青树</t>
  </si>
  <si>
    <t>152326199301226878</t>
  </si>
  <si>
    <t>沈晓新</t>
  </si>
  <si>
    <t>152326199303027127</t>
  </si>
  <si>
    <t>赵志伟</t>
  </si>
  <si>
    <t>152326199305016878</t>
  </si>
  <si>
    <t>吴春丽</t>
  </si>
  <si>
    <t>152326199306216871</t>
  </si>
  <si>
    <t>李守龙</t>
  </si>
  <si>
    <t>152326199404056875</t>
  </si>
  <si>
    <t>王东艳</t>
  </si>
  <si>
    <t>152326199412116903</t>
  </si>
  <si>
    <t>吴蛟龙</t>
  </si>
  <si>
    <t>152326199506146871</t>
  </si>
  <si>
    <t>王雪</t>
  </si>
  <si>
    <t>152326199507056886</t>
  </si>
  <si>
    <t>陈志会</t>
  </si>
  <si>
    <t>152326199511166877</t>
  </si>
  <si>
    <t>马艳新</t>
  </si>
  <si>
    <t>152326199603101202</t>
  </si>
  <si>
    <t>刘雪竹</t>
  </si>
  <si>
    <t>15232619960425688X</t>
  </si>
  <si>
    <t>152326199608056877</t>
  </si>
  <si>
    <t>王智鹏</t>
  </si>
  <si>
    <t>152326199608256879</t>
  </si>
  <si>
    <t>宝林</t>
  </si>
  <si>
    <t>152326199609216879</t>
  </si>
  <si>
    <t>吴青松</t>
  </si>
  <si>
    <t>152326199609266876</t>
  </si>
  <si>
    <t>周印泉</t>
  </si>
  <si>
    <t>152326199710136873</t>
  </si>
  <si>
    <t>周印宏</t>
  </si>
  <si>
    <t>152326199801266876</t>
  </si>
  <si>
    <t>于海涛</t>
  </si>
  <si>
    <t>152326199805236877</t>
  </si>
  <si>
    <t>刘玉颖</t>
  </si>
  <si>
    <t>152326199807216888</t>
  </si>
  <si>
    <t>李守涛</t>
  </si>
  <si>
    <t>152326199912036870</t>
  </si>
  <si>
    <t>邢宇行</t>
  </si>
  <si>
    <t>152326200003046874</t>
  </si>
  <si>
    <t>常丽娟</t>
  </si>
  <si>
    <t>152326200101016900</t>
  </si>
  <si>
    <t>赵宇升</t>
  </si>
  <si>
    <t>152326200106296876</t>
  </si>
  <si>
    <t>郑全福</t>
  </si>
  <si>
    <t>褚雪冬</t>
  </si>
  <si>
    <t>周印来</t>
  </si>
  <si>
    <t>李小芬</t>
  </si>
  <si>
    <t>王红卫</t>
  </si>
  <si>
    <t>王春富</t>
  </si>
  <si>
    <t>吴福荣</t>
  </si>
  <si>
    <t>王淑梅</t>
  </si>
  <si>
    <t>邢文洪</t>
  </si>
  <si>
    <t>曹淑珍</t>
  </si>
  <si>
    <t>孙瑞华</t>
  </si>
  <si>
    <t>褚景春</t>
  </si>
  <si>
    <t>周俊奎</t>
  </si>
  <si>
    <t>宝满仓</t>
  </si>
  <si>
    <t>王深</t>
  </si>
  <si>
    <t>赵春华</t>
  </si>
  <si>
    <t>张凤华</t>
  </si>
  <si>
    <t>15232619660115688X</t>
  </si>
  <si>
    <t>周印中</t>
  </si>
  <si>
    <t>152326197809266898</t>
  </si>
  <si>
    <t>王晓华</t>
  </si>
  <si>
    <t>152326197609216861</t>
  </si>
  <si>
    <t>范立民</t>
  </si>
  <si>
    <t>152323197901297612</t>
  </si>
  <si>
    <t>正常续费</t>
  </si>
  <si>
    <t>梁青春</t>
  </si>
  <si>
    <t>152326198006246898</t>
  </si>
  <si>
    <t>刘玉明</t>
  </si>
  <si>
    <t>15232619750512687X</t>
  </si>
  <si>
    <t>赵凤岐</t>
  </si>
  <si>
    <t>15232619620726687X</t>
  </si>
  <si>
    <t>赖秀华</t>
  </si>
  <si>
    <t>152326197309276870</t>
  </si>
  <si>
    <t>杜卫红</t>
  </si>
  <si>
    <t>152326197805106627</t>
  </si>
  <si>
    <t>唐彪</t>
  </si>
  <si>
    <t>152326197307096614</t>
  </si>
  <si>
    <t>代长利</t>
  </si>
  <si>
    <t>152326198603276876</t>
  </si>
  <si>
    <t>101700</t>
  </si>
  <si>
    <t>三合村</t>
  </si>
  <si>
    <t>孙海珠</t>
  </si>
  <si>
    <t>152326198501186888</t>
  </si>
  <si>
    <t>三合村缴费的</t>
  </si>
  <si>
    <t>2021年开始明仁村缴费</t>
  </si>
  <si>
    <t>包德日干图村2020年养老保险缴费名单</t>
  </si>
  <si>
    <t>包德日干图</t>
  </si>
  <si>
    <t>苑庆林</t>
  </si>
  <si>
    <t>152326196101286872</t>
  </si>
  <si>
    <t>孙凤霞</t>
  </si>
  <si>
    <t>152326196102186865</t>
  </si>
  <si>
    <t>殷广英</t>
  </si>
  <si>
    <t>152326196102216884</t>
  </si>
  <si>
    <t>李宝林</t>
  </si>
  <si>
    <t>15232619610309687X</t>
  </si>
  <si>
    <t>马国芬</t>
  </si>
  <si>
    <t>152326196103156887</t>
  </si>
  <si>
    <t>康永忠</t>
  </si>
  <si>
    <t>152326196106026877</t>
  </si>
  <si>
    <t>孙红奇</t>
  </si>
  <si>
    <t>152326196106276876</t>
  </si>
  <si>
    <t>张玉瑶</t>
  </si>
  <si>
    <t>152326196107276878</t>
  </si>
  <si>
    <t>152326196108126871</t>
  </si>
  <si>
    <t>苏建民</t>
  </si>
  <si>
    <t>152326196108206871</t>
  </si>
  <si>
    <t>林海文</t>
  </si>
  <si>
    <t>15232619610907687X</t>
  </si>
  <si>
    <t>康振贤</t>
  </si>
  <si>
    <t>152326196109226866</t>
  </si>
  <si>
    <t>重残</t>
  </si>
  <si>
    <t>王震</t>
  </si>
  <si>
    <t>152326196110156877</t>
  </si>
  <si>
    <t>高怀霞</t>
  </si>
  <si>
    <t>152326196111206864</t>
  </si>
  <si>
    <t>王海梅</t>
  </si>
  <si>
    <t>152326196112206866</t>
  </si>
  <si>
    <t>于国军</t>
  </si>
  <si>
    <t>152326196112266877</t>
  </si>
  <si>
    <t>葛秀芬</t>
  </si>
  <si>
    <t>152326196201036862</t>
  </si>
  <si>
    <t>苑秀兰</t>
  </si>
  <si>
    <t>152326196201036889</t>
  </si>
  <si>
    <t>赵玉连</t>
  </si>
  <si>
    <t>15232619620116686X</t>
  </si>
  <si>
    <t>苑国强</t>
  </si>
  <si>
    <t>15232619620128687X</t>
  </si>
  <si>
    <t>张俊芹</t>
  </si>
  <si>
    <t>152326196202186862</t>
  </si>
  <si>
    <t>田玉荣</t>
  </si>
  <si>
    <t>15232619620423686X</t>
  </si>
  <si>
    <t>周殿臣</t>
  </si>
  <si>
    <t>15232619620512689X</t>
  </si>
  <si>
    <t>赵树吉</t>
  </si>
  <si>
    <t>152326196205166883</t>
  </si>
  <si>
    <t>李忠军</t>
  </si>
  <si>
    <t>152326196205276871</t>
  </si>
  <si>
    <t>吴艳花</t>
  </si>
  <si>
    <t>15232619620615688X</t>
  </si>
  <si>
    <t>康振杰</t>
  </si>
  <si>
    <t>15232619620618686X</t>
  </si>
  <si>
    <t>苑庆珍</t>
  </si>
  <si>
    <t>152326196207206869</t>
  </si>
  <si>
    <t>李中文</t>
  </si>
  <si>
    <t>152326196207216872</t>
  </si>
  <si>
    <t>徐景玲</t>
  </si>
  <si>
    <t>152326196208026886</t>
  </si>
  <si>
    <t>张真奎</t>
  </si>
  <si>
    <t>152326196208026894</t>
  </si>
  <si>
    <t>彭玉琴</t>
  </si>
  <si>
    <t>15232619620810686X</t>
  </si>
  <si>
    <t>刘国珍</t>
  </si>
  <si>
    <t>152326196208116865</t>
  </si>
  <si>
    <t>王立发</t>
  </si>
  <si>
    <t>15232619620822687X</t>
  </si>
  <si>
    <t>于学忠</t>
  </si>
  <si>
    <t>152326196209156914</t>
  </si>
  <si>
    <t>152326196209166872</t>
  </si>
  <si>
    <t>康振坤</t>
  </si>
  <si>
    <t>15232619620929687X</t>
  </si>
  <si>
    <t>张淑芬</t>
  </si>
  <si>
    <t>152326196210176867</t>
  </si>
  <si>
    <t>翟秀海</t>
  </si>
  <si>
    <t>152326196210296877</t>
  </si>
  <si>
    <t>张广义</t>
  </si>
  <si>
    <t>152326196211066870</t>
  </si>
  <si>
    <t>梅国江</t>
  </si>
  <si>
    <t>152326196211146870</t>
  </si>
  <si>
    <t>宋海春</t>
  </si>
  <si>
    <t>152326196212066872</t>
  </si>
  <si>
    <t>王彬</t>
  </si>
  <si>
    <t>152326196212066899</t>
  </si>
  <si>
    <t>于香云</t>
  </si>
  <si>
    <t>152326196212176887</t>
  </si>
  <si>
    <t>周桂香</t>
  </si>
  <si>
    <t>152326196301096862</t>
  </si>
  <si>
    <t>王淑珍</t>
  </si>
  <si>
    <t>152326196301166867</t>
  </si>
  <si>
    <t>梁金霞</t>
  </si>
  <si>
    <t>152326196302056862</t>
  </si>
  <si>
    <t>邢子平</t>
  </si>
  <si>
    <t>152326196302126891</t>
  </si>
  <si>
    <t>曹桂荣</t>
  </si>
  <si>
    <t>152326196303016862</t>
  </si>
  <si>
    <t>曹成</t>
  </si>
  <si>
    <t>152326196303096874</t>
  </si>
  <si>
    <t>孔庆生</t>
  </si>
  <si>
    <t>152326196304056874</t>
  </si>
  <si>
    <t>152326196304196885</t>
  </si>
  <si>
    <t>刁占霞</t>
  </si>
  <si>
    <t>152326196304246862</t>
  </si>
  <si>
    <t>康振权</t>
  </si>
  <si>
    <t>152326196304296878</t>
  </si>
  <si>
    <t>李文华</t>
  </si>
  <si>
    <t>152326196305166864</t>
  </si>
  <si>
    <t>张存</t>
  </si>
  <si>
    <t>152326196305206870</t>
  </si>
  <si>
    <t>李艳霞</t>
  </si>
  <si>
    <t>152326196306166866</t>
  </si>
  <si>
    <t>康坤</t>
  </si>
  <si>
    <t>15232619630713687X</t>
  </si>
  <si>
    <t>刘克林</t>
  </si>
  <si>
    <t>152326196308046876</t>
  </si>
  <si>
    <t>王秀花</t>
  </si>
  <si>
    <t>152326196308086886</t>
  </si>
  <si>
    <t>张生</t>
  </si>
  <si>
    <t>15232619630828687X</t>
  </si>
  <si>
    <t>张国英</t>
  </si>
  <si>
    <t>152326196309016863</t>
  </si>
  <si>
    <t>杨秀林</t>
  </si>
  <si>
    <t>15232619630905689X</t>
  </si>
  <si>
    <t>张春利</t>
  </si>
  <si>
    <t>152326196309106877</t>
  </si>
  <si>
    <t>刘翠枝</t>
  </si>
  <si>
    <t>152326196309256867</t>
  </si>
  <si>
    <t>周淑玲</t>
  </si>
  <si>
    <t>152326196309256883</t>
  </si>
  <si>
    <t>宋海军</t>
  </si>
  <si>
    <t>152326196310276873</t>
  </si>
  <si>
    <t>张井花</t>
  </si>
  <si>
    <t>152326196311236865</t>
  </si>
  <si>
    <t>韩桂霞</t>
  </si>
  <si>
    <t>152326196401146863</t>
  </si>
  <si>
    <t>刘翠荣</t>
  </si>
  <si>
    <t>152326196401166864</t>
  </si>
  <si>
    <t>李桂芝</t>
  </si>
  <si>
    <t>152326196402046864</t>
  </si>
  <si>
    <t>郑子彬</t>
  </si>
  <si>
    <t>152326196402226873</t>
  </si>
  <si>
    <t>周殿英</t>
  </si>
  <si>
    <t>152326196403256863</t>
  </si>
  <si>
    <t>苑庆龙</t>
  </si>
  <si>
    <t>152326196403276872</t>
  </si>
  <si>
    <t>孙彩云</t>
  </si>
  <si>
    <t>152326196404116889</t>
  </si>
  <si>
    <t>杨秀玉</t>
  </si>
  <si>
    <t>152326196405146879</t>
  </si>
  <si>
    <t>梅玉华</t>
  </si>
  <si>
    <t>152326196406076868</t>
  </si>
  <si>
    <t>李秀花</t>
  </si>
  <si>
    <t>152326196406136867</t>
  </si>
  <si>
    <t>宋海花</t>
  </si>
  <si>
    <t>15232619640619686X</t>
  </si>
  <si>
    <t>郭建华</t>
  </si>
  <si>
    <t>152326196409026866</t>
  </si>
  <si>
    <t>梅玉英</t>
  </si>
  <si>
    <t>152326196409126867</t>
  </si>
  <si>
    <t>刘素玲</t>
  </si>
  <si>
    <t>152326196410046864</t>
  </si>
  <si>
    <t>杨秀国</t>
  </si>
  <si>
    <t>152326196411096898</t>
  </si>
  <si>
    <t>刘克义</t>
  </si>
  <si>
    <t>152326196412306877</t>
  </si>
  <si>
    <t>翟凤栋</t>
  </si>
  <si>
    <t>152326196501056873</t>
  </si>
  <si>
    <t>刘翠环</t>
  </si>
  <si>
    <t>152326196501116864</t>
  </si>
  <si>
    <t>低保户、重残</t>
  </si>
  <si>
    <t>李红艺</t>
  </si>
  <si>
    <t>152326196501166888</t>
  </si>
  <si>
    <t>张素花</t>
  </si>
  <si>
    <t>152326196502186864</t>
  </si>
  <si>
    <t>李英</t>
  </si>
  <si>
    <t>152326196502186901</t>
  </si>
  <si>
    <t>葛永辉</t>
  </si>
  <si>
    <t>152326196503106870</t>
  </si>
  <si>
    <t>孙彩芹</t>
  </si>
  <si>
    <t>152326196504206865</t>
  </si>
  <si>
    <t>康永明</t>
  </si>
  <si>
    <t>152326196505066876</t>
  </si>
  <si>
    <t>张志</t>
  </si>
  <si>
    <t>152326196505126912</t>
  </si>
  <si>
    <t>闫立辉</t>
  </si>
  <si>
    <t>152326196507276869</t>
  </si>
  <si>
    <t>马玉龙</t>
  </si>
  <si>
    <t>152326196508046870</t>
  </si>
  <si>
    <t>单金荣</t>
  </si>
  <si>
    <t>152326196508076869</t>
  </si>
  <si>
    <t>刘国军</t>
  </si>
  <si>
    <t>152326196508116875</t>
  </si>
  <si>
    <t>白福强</t>
  </si>
  <si>
    <t>152326196509166874</t>
  </si>
  <si>
    <t>宋桂华</t>
  </si>
  <si>
    <t>152326196509206864</t>
  </si>
  <si>
    <t>康振生</t>
  </si>
  <si>
    <t>152326196509306873</t>
  </si>
  <si>
    <t>张艳平</t>
  </si>
  <si>
    <t>152326196510066862</t>
  </si>
  <si>
    <t>152326196510116866</t>
  </si>
  <si>
    <t>杨艳梅</t>
  </si>
  <si>
    <t>152326196510116882</t>
  </si>
  <si>
    <t>张振国</t>
  </si>
  <si>
    <t>152326196510146870</t>
  </si>
  <si>
    <t>孔景香</t>
  </si>
  <si>
    <t>152326196510166863</t>
  </si>
  <si>
    <t>于琢</t>
  </si>
  <si>
    <t>15232619651020687X</t>
  </si>
  <si>
    <t>王凤梅</t>
  </si>
  <si>
    <t>152326196511116884</t>
  </si>
  <si>
    <t>152326196512026872</t>
  </si>
  <si>
    <t>闫新春</t>
  </si>
  <si>
    <t>152326196512176889</t>
  </si>
  <si>
    <t>刘克茹</t>
  </si>
  <si>
    <t>152326196601096899</t>
  </si>
  <si>
    <t>姚凤平</t>
  </si>
  <si>
    <t>152326196601236863</t>
  </si>
  <si>
    <t>孔庆春</t>
  </si>
  <si>
    <t>152326196602036871</t>
  </si>
  <si>
    <t>高志双</t>
  </si>
  <si>
    <t>152326196602086879</t>
  </si>
  <si>
    <t>邢子军</t>
  </si>
  <si>
    <t>152326196602106892</t>
  </si>
  <si>
    <t>尹俊华</t>
  </si>
  <si>
    <t>152326196603186871</t>
  </si>
  <si>
    <t>王桂臣</t>
  </si>
  <si>
    <t>152326196603246897</t>
  </si>
  <si>
    <t>苑庆和</t>
  </si>
  <si>
    <t>152326196604116891</t>
  </si>
  <si>
    <t>催秀云</t>
  </si>
  <si>
    <t>15232619660505686X</t>
  </si>
  <si>
    <t>康艳红</t>
  </si>
  <si>
    <t>15232619660708686X</t>
  </si>
  <si>
    <t>康桂云</t>
  </si>
  <si>
    <t>152326196607186860</t>
  </si>
  <si>
    <t>饶国清</t>
  </si>
  <si>
    <t>152326196607256873</t>
  </si>
  <si>
    <t>张世华</t>
  </si>
  <si>
    <t>152326196607266860</t>
  </si>
  <si>
    <t>赵玉玲</t>
  </si>
  <si>
    <t>152326196608016863</t>
  </si>
  <si>
    <t>彭玉海</t>
  </si>
  <si>
    <t>152326196608166933</t>
  </si>
  <si>
    <t>王银</t>
  </si>
  <si>
    <t>152326196609106895</t>
  </si>
  <si>
    <t>宋海生</t>
  </si>
  <si>
    <t>15232619661015689X</t>
  </si>
  <si>
    <t>李艳梅</t>
  </si>
  <si>
    <t>152326196610286862</t>
  </si>
  <si>
    <t>15232619661030686X</t>
  </si>
  <si>
    <t>152326196611126908</t>
  </si>
  <si>
    <t>师凤红</t>
  </si>
  <si>
    <t>152326196702196880</t>
  </si>
  <si>
    <t>杨秀华</t>
  </si>
  <si>
    <t>152326196703056871</t>
  </si>
  <si>
    <t>单玉芹</t>
  </si>
  <si>
    <t>152326196703206884</t>
  </si>
  <si>
    <t>张春海</t>
  </si>
  <si>
    <t>15232619670512687X</t>
  </si>
  <si>
    <t>刘克军</t>
  </si>
  <si>
    <t>152326196705316876</t>
  </si>
  <si>
    <t>张福</t>
  </si>
  <si>
    <t>152326196708076871</t>
  </si>
  <si>
    <t>五保户</t>
  </si>
  <si>
    <t>康永林</t>
  </si>
  <si>
    <t>152326196709066878</t>
  </si>
  <si>
    <t>吴艳金</t>
  </si>
  <si>
    <t>152326196709096874</t>
  </si>
  <si>
    <t>152326196710126882</t>
  </si>
  <si>
    <t>苑庆财</t>
  </si>
  <si>
    <t>152326196710156870</t>
  </si>
  <si>
    <t>宫秀红</t>
  </si>
  <si>
    <t>152326196710186885</t>
  </si>
  <si>
    <t>魏素霞</t>
  </si>
  <si>
    <t>15232619671025688X</t>
  </si>
  <si>
    <t>张爱云</t>
  </si>
  <si>
    <t>152326196712146860</t>
  </si>
  <si>
    <t>林玉华</t>
  </si>
  <si>
    <t>152326196712306887</t>
  </si>
  <si>
    <t>宋海成</t>
  </si>
  <si>
    <t>152326196801296895</t>
  </si>
  <si>
    <t>葛淑芳</t>
  </si>
  <si>
    <t>152326196802166865</t>
  </si>
  <si>
    <t>周淑霞</t>
  </si>
  <si>
    <t>152326196802166881</t>
  </si>
  <si>
    <t>翟凤柱</t>
  </si>
  <si>
    <t>152326196802206871</t>
  </si>
  <si>
    <t>苏建华</t>
  </si>
  <si>
    <t>152326196803046873</t>
  </si>
  <si>
    <t>赵玉成</t>
  </si>
  <si>
    <t>152326196803136879</t>
  </si>
  <si>
    <t>纪悦龄</t>
  </si>
  <si>
    <t>152326196803227404</t>
  </si>
  <si>
    <t>黄太君</t>
  </si>
  <si>
    <t>152326196803246875</t>
  </si>
  <si>
    <t>周殿霞</t>
  </si>
  <si>
    <t>152326196804036861</t>
  </si>
  <si>
    <t>曹和</t>
  </si>
  <si>
    <t>152326196804166877</t>
  </si>
  <si>
    <t>张春莲</t>
  </si>
  <si>
    <t>152326196804166906</t>
  </si>
  <si>
    <t>张义芬</t>
  </si>
  <si>
    <t>152326196804246885</t>
  </si>
  <si>
    <t>李清林</t>
  </si>
  <si>
    <t>152326196806076891</t>
  </si>
  <si>
    <t>苑庆芳</t>
  </si>
  <si>
    <t>152326196806296886</t>
  </si>
  <si>
    <t>王贵民</t>
  </si>
  <si>
    <t>152326196807016890</t>
  </si>
  <si>
    <t>康奎</t>
  </si>
  <si>
    <t>152326196807066871</t>
  </si>
  <si>
    <t>邢子坤</t>
  </si>
  <si>
    <t>152326196807196879</t>
  </si>
  <si>
    <t>刘克金</t>
  </si>
  <si>
    <t>152326196808126872</t>
  </si>
  <si>
    <t>王瑞兰</t>
  </si>
  <si>
    <t>152326196808146865</t>
  </si>
  <si>
    <t>苏建玲</t>
  </si>
  <si>
    <t>152326196809046866</t>
  </si>
  <si>
    <t>张海</t>
  </si>
  <si>
    <t>152326196809126874</t>
  </si>
  <si>
    <t>王淑香</t>
  </si>
  <si>
    <t>152326196810196888</t>
  </si>
  <si>
    <t>林海军</t>
  </si>
  <si>
    <t>152326196810246873</t>
  </si>
  <si>
    <t>王立财</t>
  </si>
  <si>
    <t>152326196811026872</t>
  </si>
  <si>
    <t>15232619681103686X</t>
  </si>
  <si>
    <t>王海成</t>
  </si>
  <si>
    <t>152326196812106874</t>
  </si>
  <si>
    <t>张春华</t>
  </si>
  <si>
    <t>152326196812186878</t>
  </si>
  <si>
    <t>康振忠</t>
  </si>
  <si>
    <t>152326196812206875</t>
  </si>
  <si>
    <t>张玉荣</t>
  </si>
  <si>
    <t>152326196812246869</t>
  </si>
  <si>
    <t>李东风</t>
  </si>
  <si>
    <t>152326196901026892</t>
  </si>
  <si>
    <t>张贵</t>
  </si>
  <si>
    <t>152326196902076875</t>
  </si>
  <si>
    <t>胡桂华</t>
  </si>
  <si>
    <t>152326196902086862</t>
  </si>
  <si>
    <t>张文燕</t>
  </si>
  <si>
    <t>152326196902156904</t>
  </si>
  <si>
    <t>吴艳秀</t>
  </si>
  <si>
    <t>152326196902266871</t>
  </si>
  <si>
    <t>刘克宏</t>
  </si>
  <si>
    <t>152326196903086872</t>
  </si>
  <si>
    <t>任树香</t>
  </si>
  <si>
    <t>152326196903136884</t>
  </si>
  <si>
    <t>张庆香</t>
  </si>
  <si>
    <t>152326196906106883</t>
  </si>
  <si>
    <t>宋桂贤</t>
  </si>
  <si>
    <t>152326196907136865</t>
  </si>
  <si>
    <t>张兆仁</t>
  </si>
  <si>
    <t>15232619690716687X</t>
  </si>
  <si>
    <t>郭玉</t>
  </si>
  <si>
    <t>152326196908026879</t>
  </si>
  <si>
    <t>葛占华</t>
  </si>
  <si>
    <t>152326196908166871</t>
  </si>
  <si>
    <t>彭玉忠</t>
  </si>
  <si>
    <t>152326196908256877</t>
  </si>
  <si>
    <t>康振辉</t>
  </si>
  <si>
    <t>152326196909016867</t>
  </si>
  <si>
    <t>杨晓辉</t>
  </si>
  <si>
    <t>152326196909216893</t>
  </si>
  <si>
    <t>王翠繁</t>
  </si>
  <si>
    <t>152326196910056866</t>
  </si>
  <si>
    <t>张春河</t>
  </si>
  <si>
    <t>152326196910106878</t>
  </si>
  <si>
    <t>齐国芹</t>
  </si>
  <si>
    <t>152326196910146888</t>
  </si>
  <si>
    <t>宋海波</t>
  </si>
  <si>
    <t>15232619700101687X</t>
  </si>
  <si>
    <t>严玉荣</t>
  </si>
  <si>
    <t>152326197001046884</t>
  </si>
  <si>
    <t>李凤英</t>
  </si>
  <si>
    <t>152326197001196866</t>
  </si>
  <si>
    <t>张井龙</t>
  </si>
  <si>
    <t>152326197001306877</t>
  </si>
  <si>
    <t>王淑杰</t>
  </si>
  <si>
    <t>152326197002166909</t>
  </si>
  <si>
    <t>王翠明</t>
  </si>
  <si>
    <t>152326197003026860</t>
  </si>
  <si>
    <t>彭玉坤</t>
  </si>
  <si>
    <t>15232619700320687X</t>
  </si>
  <si>
    <t>饶国林</t>
  </si>
  <si>
    <t>152326197003216875</t>
  </si>
  <si>
    <t>王春香</t>
  </si>
  <si>
    <t>152326197004176860</t>
  </si>
  <si>
    <t>黄春红</t>
  </si>
  <si>
    <t>152326197004196909</t>
  </si>
  <si>
    <t>苑庆君</t>
  </si>
  <si>
    <t>152326197004286875</t>
  </si>
  <si>
    <t>苑庆江</t>
  </si>
  <si>
    <t>152326197005266876</t>
  </si>
  <si>
    <t>葛占存</t>
  </si>
  <si>
    <t>152326197006226876</t>
  </si>
  <si>
    <t>于秀芹</t>
  </si>
  <si>
    <t>152326197007126869</t>
  </si>
  <si>
    <t>刘翠云</t>
  </si>
  <si>
    <t>152326197007216864</t>
  </si>
  <si>
    <t>张玉华</t>
  </si>
  <si>
    <t>152326197007276867</t>
  </si>
  <si>
    <t>刘克祥</t>
  </si>
  <si>
    <t>152326197008236875</t>
  </si>
  <si>
    <t>葛翠香</t>
  </si>
  <si>
    <t>152326197009126862</t>
  </si>
  <si>
    <t>单伟华</t>
  </si>
  <si>
    <t>152326197011036882</t>
  </si>
  <si>
    <t>刘银龙</t>
  </si>
  <si>
    <t>152326197012246873</t>
  </si>
  <si>
    <t>苑庆生</t>
  </si>
  <si>
    <t>152326197012306872</t>
  </si>
  <si>
    <t>张兆新</t>
  </si>
  <si>
    <t>152326197101166875</t>
  </si>
  <si>
    <t>皮景霞</t>
  </si>
  <si>
    <t>152326197101296880</t>
  </si>
  <si>
    <t>梅玉荣</t>
  </si>
  <si>
    <t>152326197102276881</t>
  </si>
  <si>
    <t>宋海祥</t>
  </si>
  <si>
    <t>152326197103066878</t>
  </si>
  <si>
    <t>刘翠琴</t>
  </si>
  <si>
    <t>152326197103176866</t>
  </si>
  <si>
    <t>王秀兰</t>
  </si>
  <si>
    <t>152326197105016903</t>
  </si>
  <si>
    <t>152326197106016876</t>
  </si>
  <si>
    <t>张明</t>
  </si>
  <si>
    <t>15232619710713687X</t>
  </si>
  <si>
    <t>郭琢</t>
  </si>
  <si>
    <t>152326197107196872</t>
  </si>
  <si>
    <t>周殿海</t>
  </si>
  <si>
    <t>152326197108186879</t>
  </si>
  <si>
    <t>王奎</t>
  </si>
  <si>
    <t>152326197108216871</t>
  </si>
  <si>
    <t>吴艳龙</t>
  </si>
  <si>
    <t>152326197109206878</t>
  </si>
  <si>
    <t>张兆义</t>
  </si>
  <si>
    <t>152326197110086877</t>
  </si>
  <si>
    <t>152326197112226861</t>
  </si>
  <si>
    <t>康永顺</t>
  </si>
  <si>
    <t>152326197201036875</t>
  </si>
  <si>
    <t>胥亚娟</t>
  </si>
  <si>
    <t>15232619720205686X</t>
  </si>
  <si>
    <t>王玉艳</t>
  </si>
  <si>
    <t>152326197203086884</t>
  </si>
  <si>
    <t>赵玉国</t>
  </si>
  <si>
    <t>152326197204256873</t>
  </si>
  <si>
    <t>赵志芳</t>
  </si>
  <si>
    <t>152326197205126886</t>
  </si>
  <si>
    <t>吴霞</t>
  </si>
  <si>
    <t>152326197207166865</t>
  </si>
  <si>
    <t>宋海涛</t>
  </si>
  <si>
    <t>15232619720815687X</t>
  </si>
  <si>
    <t>马春华</t>
  </si>
  <si>
    <t>152326197209296794</t>
  </si>
  <si>
    <t>郭文</t>
  </si>
  <si>
    <t>152326197210076879</t>
  </si>
  <si>
    <t>陈海霞</t>
  </si>
  <si>
    <t>152326197211026902</t>
  </si>
  <si>
    <t>苑庆有</t>
  </si>
  <si>
    <t>152326197211126874</t>
  </si>
  <si>
    <t>康秀华</t>
  </si>
  <si>
    <t>152326197211166868</t>
  </si>
  <si>
    <t>刘艳芳</t>
  </si>
  <si>
    <t>152326197212236864</t>
  </si>
  <si>
    <t>曹桂芝</t>
  </si>
  <si>
    <t>152326197301136881</t>
  </si>
  <si>
    <t>宋海青</t>
  </si>
  <si>
    <t>152326197303086873</t>
  </si>
  <si>
    <t>陈素梅</t>
  </si>
  <si>
    <t>152326197304156861</t>
  </si>
  <si>
    <t>赵玉龙</t>
  </si>
  <si>
    <t>15232619730415687X</t>
  </si>
  <si>
    <t>李金华</t>
  </si>
  <si>
    <t>152326197304186884</t>
  </si>
  <si>
    <t>郑秀林</t>
  </si>
  <si>
    <t>152326197305156871</t>
  </si>
  <si>
    <t>张振珠</t>
  </si>
  <si>
    <t>152326197306246895</t>
  </si>
  <si>
    <t>康永利</t>
  </si>
  <si>
    <t>152326197308236877</t>
  </si>
  <si>
    <t>宋桂红</t>
  </si>
  <si>
    <t>152326197309276862</t>
  </si>
  <si>
    <t>张凤玲</t>
  </si>
  <si>
    <t>152326197310106887</t>
  </si>
  <si>
    <t>刘国财</t>
  </si>
  <si>
    <t>152326197310156892</t>
  </si>
  <si>
    <t>苑庆志</t>
  </si>
  <si>
    <t>152326197311116876</t>
  </si>
  <si>
    <t>郭武</t>
  </si>
  <si>
    <t>152326197312026872</t>
  </si>
  <si>
    <t>苏建友</t>
  </si>
  <si>
    <t>15232619731207687X</t>
  </si>
  <si>
    <t>纪桂兰</t>
  </si>
  <si>
    <t>152326197312176862</t>
  </si>
  <si>
    <t>张春生</t>
  </si>
  <si>
    <t>152326197401026874</t>
  </si>
  <si>
    <t>张晓芹</t>
  </si>
  <si>
    <t>152326197401046883</t>
  </si>
  <si>
    <t>张艳梅</t>
  </si>
  <si>
    <t>152326197403036865</t>
  </si>
  <si>
    <t>张玉芳</t>
  </si>
  <si>
    <t>152326197404056905</t>
  </si>
  <si>
    <t>李玉华</t>
  </si>
  <si>
    <t>152326197404226863</t>
  </si>
  <si>
    <t>杨晓光</t>
  </si>
  <si>
    <t>152326197405146873</t>
  </si>
  <si>
    <t>张雷</t>
  </si>
  <si>
    <t>15232619740525687X</t>
  </si>
  <si>
    <t>张春江</t>
  </si>
  <si>
    <t>15232619740602689X</t>
  </si>
  <si>
    <t>康永琢</t>
  </si>
  <si>
    <t>152326197406296865</t>
  </si>
  <si>
    <t>张兆理</t>
  </si>
  <si>
    <t>152326197407126876</t>
  </si>
  <si>
    <t>翟向民</t>
  </si>
  <si>
    <t>152326197408306879</t>
  </si>
  <si>
    <t>葛占全</t>
  </si>
  <si>
    <t>152326197411016872</t>
  </si>
  <si>
    <t>刘丽红</t>
  </si>
  <si>
    <t>152326197412126889</t>
  </si>
  <si>
    <t>苑庆国</t>
  </si>
  <si>
    <t>152326197501016876</t>
  </si>
  <si>
    <t>赵玉刚</t>
  </si>
  <si>
    <t>152326197501116877</t>
  </si>
  <si>
    <t>王小飞</t>
  </si>
  <si>
    <t>152326197501210038</t>
  </si>
  <si>
    <t>于香莲</t>
  </si>
  <si>
    <t>152326197502166868</t>
  </si>
  <si>
    <t>吴利华</t>
  </si>
  <si>
    <t>152326197503296883</t>
  </si>
  <si>
    <t>高志林</t>
  </si>
  <si>
    <t>152326197505106895</t>
  </si>
  <si>
    <t>计淑文</t>
  </si>
  <si>
    <t>15232619750519686X</t>
  </si>
  <si>
    <t>张艳英</t>
  </si>
  <si>
    <t>152326197507286869</t>
  </si>
  <si>
    <t>王利</t>
  </si>
  <si>
    <t>152326197507286877</t>
  </si>
  <si>
    <t>宋海廷</t>
  </si>
  <si>
    <t>152326197509036871</t>
  </si>
  <si>
    <t>郭建辉</t>
  </si>
  <si>
    <t>152326197509056864</t>
  </si>
  <si>
    <t>张丽霞</t>
  </si>
  <si>
    <t>15232619751028686X</t>
  </si>
  <si>
    <t>曹春梅</t>
  </si>
  <si>
    <t>152326197511206884</t>
  </si>
  <si>
    <t>刘翠文</t>
  </si>
  <si>
    <t>152326197512076866</t>
  </si>
  <si>
    <t>郑月莲</t>
  </si>
  <si>
    <t>152326197512186889</t>
  </si>
  <si>
    <t>李颜华</t>
  </si>
  <si>
    <t>152326197601271188</t>
  </si>
  <si>
    <t>单丽梅</t>
  </si>
  <si>
    <t>152326197606016880</t>
  </si>
  <si>
    <t>葛占龙</t>
  </si>
  <si>
    <t>15232619760820691X</t>
  </si>
  <si>
    <t>葛淑丽</t>
  </si>
  <si>
    <t>152326197608216966</t>
  </si>
  <si>
    <t>康永连</t>
  </si>
  <si>
    <t>152326197609156862</t>
  </si>
  <si>
    <t>苏建平</t>
  </si>
  <si>
    <t>152326197609286886</t>
  </si>
  <si>
    <t>付作杰</t>
  </si>
  <si>
    <t>15232619761103686X</t>
  </si>
  <si>
    <t>张兆辉</t>
  </si>
  <si>
    <t>152326197612076863</t>
  </si>
  <si>
    <t>马海涛</t>
  </si>
  <si>
    <t>152326197612076871</t>
  </si>
  <si>
    <t>杨柏松</t>
  </si>
  <si>
    <t>152326197702016872</t>
  </si>
  <si>
    <t>师广荣</t>
  </si>
  <si>
    <t>152326197703126627</t>
  </si>
  <si>
    <t>152326197703176886</t>
  </si>
  <si>
    <t>张洪武</t>
  </si>
  <si>
    <t>152326197706106891</t>
  </si>
  <si>
    <t>于学强</t>
  </si>
  <si>
    <t>15232619770617689X</t>
  </si>
  <si>
    <t>翟向生</t>
  </si>
  <si>
    <t>152326197707066879</t>
  </si>
  <si>
    <t>文晓玲</t>
  </si>
  <si>
    <t>152326197709226864</t>
  </si>
  <si>
    <t>沈晓辉</t>
  </si>
  <si>
    <t>152324197710021820</t>
  </si>
  <si>
    <t>张玉红</t>
  </si>
  <si>
    <t>152326197710106886</t>
  </si>
  <si>
    <t>苑庆喜</t>
  </si>
  <si>
    <t>152326197710166870</t>
  </si>
  <si>
    <t>曹春明</t>
  </si>
  <si>
    <t>152326197711136876</t>
  </si>
  <si>
    <t>王久明</t>
  </si>
  <si>
    <t>152326197801016886</t>
  </si>
  <si>
    <t>苏建红</t>
  </si>
  <si>
    <t>152326197802266887</t>
  </si>
  <si>
    <t>吴健国</t>
  </si>
  <si>
    <t>152326197803256875</t>
  </si>
  <si>
    <t>吴亚龙</t>
  </si>
  <si>
    <t>152326197808146894</t>
  </si>
  <si>
    <t>吴利辉</t>
  </si>
  <si>
    <t>152326197809026886</t>
  </si>
  <si>
    <t>康永伟</t>
  </si>
  <si>
    <t>152326197809046916</t>
  </si>
  <si>
    <t>白春锋</t>
  </si>
  <si>
    <t>152326197806146874</t>
  </si>
  <si>
    <t>苑庆全</t>
  </si>
  <si>
    <t>152326197809276914</t>
  </si>
  <si>
    <t>苑庆仓</t>
  </si>
  <si>
    <t>152326197809286872</t>
  </si>
  <si>
    <t>15232419790121182X</t>
  </si>
  <si>
    <t>彭富</t>
  </si>
  <si>
    <t>152326197910096870</t>
  </si>
  <si>
    <t>张立华</t>
  </si>
  <si>
    <t>152326198001236885</t>
  </si>
  <si>
    <t>李殿丽</t>
  </si>
  <si>
    <t>152324198002241843</t>
  </si>
  <si>
    <t>苏月梅</t>
  </si>
  <si>
    <t>152326198003026865</t>
  </si>
  <si>
    <t>张亚娟</t>
  </si>
  <si>
    <t>152326198009126904</t>
  </si>
  <si>
    <t>张庆彤</t>
  </si>
  <si>
    <t>152326198104186892</t>
  </si>
  <si>
    <t>潘海燕</t>
  </si>
  <si>
    <t>152326198105016924</t>
  </si>
  <si>
    <t>周印贺</t>
  </si>
  <si>
    <t>152326198107256884</t>
  </si>
  <si>
    <t>康永柱</t>
  </si>
  <si>
    <t>152326198109016892</t>
  </si>
  <si>
    <t>尹秀丽</t>
  </si>
  <si>
    <t>152326198110106908</t>
  </si>
  <si>
    <t>苏凤茂</t>
  </si>
  <si>
    <t>152326198201146913</t>
  </si>
  <si>
    <t>付作天</t>
  </si>
  <si>
    <t>152326198201296911</t>
  </si>
  <si>
    <t>迟海丰</t>
  </si>
  <si>
    <t>152326198207106883</t>
  </si>
  <si>
    <t>张亚丽</t>
  </si>
  <si>
    <t>152326198211056882</t>
  </si>
  <si>
    <t>张庆祥</t>
  </si>
  <si>
    <t>152326198212126897</t>
  </si>
  <si>
    <t>付作金</t>
  </si>
  <si>
    <t>152326198302236870</t>
  </si>
  <si>
    <t>翟凤臣</t>
  </si>
  <si>
    <t>152326198303046876</t>
  </si>
  <si>
    <t>李东雷</t>
  </si>
  <si>
    <t>152326198306176879</t>
  </si>
  <si>
    <t>胡玉繁</t>
  </si>
  <si>
    <t>152326198410126628</t>
  </si>
  <si>
    <t>康晓娟</t>
  </si>
  <si>
    <t>152326198502136882</t>
  </si>
  <si>
    <t>张龙</t>
  </si>
  <si>
    <t>152326198601106873</t>
  </si>
  <si>
    <t>刘玉飞</t>
  </si>
  <si>
    <t>152326198608076881</t>
  </si>
  <si>
    <t>王福艳</t>
  </si>
  <si>
    <t>152326198609026907</t>
  </si>
  <si>
    <t>张洪彭</t>
  </si>
  <si>
    <t>152326198706126897</t>
  </si>
  <si>
    <t>仲怀荣</t>
  </si>
  <si>
    <t>152326198707084828</t>
  </si>
  <si>
    <t>张冬</t>
  </si>
  <si>
    <t>15232619870821687X</t>
  </si>
  <si>
    <t>彭丽嫒</t>
  </si>
  <si>
    <t>152326198802106888</t>
  </si>
  <si>
    <t>王福来</t>
  </si>
  <si>
    <t>152326199012176878</t>
  </si>
  <si>
    <t>翟向飞</t>
  </si>
  <si>
    <t>152326199101206872</t>
  </si>
  <si>
    <t>张兆有</t>
  </si>
  <si>
    <t>152326199412206896</t>
  </si>
  <si>
    <t>梁花</t>
  </si>
  <si>
    <t>152326199505096884</t>
  </si>
  <si>
    <t>张祺琦</t>
  </si>
  <si>
    <t>152324199601201469</t>
  </si>
  <si>
    <t>翟东富</t>
  </si>
  <si>
    <t>152326199707236873</t>
  </si>
  <si>
    <t>苏春强</t>
  </si>
  <si>
    <t>152326199801256870</t>
  </si>
  <si>
    <t>刘锋</t>
  </si>
  <si>
    <t>152326197503256873</t>
  </si>
  <si>
    <t>建档立卡人员</t>
  </si>
  <si>
    <t>宋海红</t>
  </si>
  <si>
    <t>152326197411046860</t>
  </si>
  <si>
    <t>赵双权</t>
  </si>
  <si>
    <t>152326197704076879</t>
  </si>
  <si>
    <t>李淑华</t>
  </si>
  <si>
    <t>152326197509076881</t>
  </si>
  <si>
    <t>赵晓洁</t>
  </si>
  <si>
    <t>152326200011016886</t>
  </si>
  <si>
    <t>王清华</t>
  </si>
  <si>
    <t>152326197510036879</t>
  </si>
  <si>
    <t>张洪梅</t>
  </si>
  <si>
    <t>152326197506266866</t>
  </si>
  <si>
    <t>张召云</t>
  </si>
  <si>
    <t>152326197202226873</t>
  </si>
  <si>
    <t>赵桂新</t>
  </si>
  <si>
    <t>152326197103296905</t>
  </si>
  <si>
    <t>葛占友</t>
  </si>
  <si>
    <t>152326197412256878</t>
  </si>
  <si>
    <t>张艳玲</t>
  </si>
  <si>
    <t>152326197510186885</t>
  </si>
  <si>
    <t>刘清春</t>
  </si>
  <si>
    <t>152326197412266873</t>
  </si>
  <si>
    <t>宋桂辉</t>
  </si>
  <si>
    <t>152326197312046865</t>
  </si>
  <si>
    <t>康杰</t>
  </si>
  <si>
    <t>15232619700902687X</t>
  </si>
  <si>
    <t>邢子英</t>
  </si>
  <si>
    <t>152326197101176862</t>
  </si>
  <si>
    <t>王海权</t>
  </si>
  <si>
    <t>152326196812016879</t>
  </si>
  <si>
    <t>张秀双</t>
  </si>
  <si>
    <t>152326196609076876</t>
  </si>
  <si>
    <t>樊翠华</t>
  </si>
  <si>
    <t>152326196711106867</t>
  </si>
  <si>
    <t>张振友</t>
  </si>
  <si>
    <t>15232619670120691X</t>
  </si>
  <si>
    <t>周殿富</t>
  </si>
  <si>
    <t>152326196307196872</t>
  </si>
  <si>
    <t>刘素杰</t>
  </si>
  <si>
    <t>152326196505166869</t>
  </si>
  <si>
    <t>刘克龙</t>
  </si>
  <si>
    <t>150525197401036872</t>
  </si>
  <si>
    <t>王海春</t>
  </si>
  <si>
    <t>152326196507116873</t>
  </si>
  <si>
    <t>张凤琴</t>
  </si>
  <si>
    <t>152326196910126887</t>
  </si>
  <si>
    <t>张景霞</t>
  </si>
  <si>
    <t>152326196103106863</t>
  </si>
  <si>
    <t>康永军</t>
  </si>
  <si>
    <t>152326197001176873</t>
  </si>
  <si>
    <t>李绍君</t>
  </si>
  <si>
    <t>152326196503096895</t>
  </si>
  <si>
    <t>陶文</t>
  </si>
  <si>
    <t>152326197205036899</t>
  </si>
  <si>
    <t>黄春艳</t>
  </si>
  <si>
    <t>152326197202296863</t>
  </si>
  <si>
    <t>二残疾</t>
  </si>
  <si>
    <t>暴洪霞</t>
  </si>
  <si>
    <t>152326197105056884</t>
  </si>
  <si>
    <t>赵景霞</t>
  </si>
  <si>
    <t>152326197010016863</t>
  </si>
  <si>
    <t>黄春霞</t>
  </si>
  <si>
    <t>152326196204166865</t>
  </si>
  <si>
    <t>李清民</t>
  </si>
  <si>
    <t>152326196201086894</t>
  </si>
  <si>
    <t>宋国霞</t>
  </si>
  <si>
    <t>152326196308046884</t>
  </si>
  <si>
    <t>李海君</t>
  </si>
  <si>
    <t>152326196203106879</t>
  </si>
  <si>
    <t>王翠珍</t>
  </si>
  <si>
    <t>152326196209076869</t>
  </si>
  <si>
    <t>周殿云</t>
  </si>
  <si>
    <t>152326196003016860</t>
  </si>
  <si>
    <t>王青杰</t>
  </si>
  <si>
    <t>15232619770927687X</t>
  </si>
  <si>
    <t>何玉玲</t>
  </si>
  <si>
    <t>15232619761010666X</t>
  </si>
  <si>
    <t>苑庆山</t>
  </si>
  <si>
    <t>152326197508196873</t>
  </si>
  <si>
    <t>史春红</t>
  </si>
  <si>
    <t>152326197602036884</t>
  </si>
  <si>
    <t>刘素红</t>
  </si>
  <si>
    <t>152326198212036883</t>
  </si>
  <si>
    <t>齐和龙</t>
  </si>
  <si>
    <t>152326198301257370</t>
  </si>
  <si>
    <t>于红伟</t>
  </si>
  <si>
    <t>152326198412186886</t>
  </si>
  <si>
    <t>翟向前</t>
  </si>
  <si>
    <t>152326198105086893</t>
  </si>
  <si>
    <t>于彩华</t>
  </si>
  <si>
    <t>152326197601026860</t>
  </si>
  <si>
    <t>孙学峰</t>
  </si>
  <si>
    <t>152326198003236862</t>
  </si>
  <si>
    <t>李淑花</t>
  </si>
  <si>
    <t>15232419820212182X</t>
  </si>
  <si>
    <t>彭才</t>
  </si>
  <si>
    <t>152326197801036879</t>
  </si>
  <si>
    <t>三残疾</t>
  </si>
  <si>
    <t>刘云飞</t>
  </si>
  <si>
    <t>15232619951020689X</t>
  </si>
  <si>
    <t>赵晓丽</t>
  </si>
  <si>
    <t>152326199705296880</t>
  </si>
  <si>
    <t>陈越来</t>
  </si>
  <si>
    <t>152326197208016893</t>
  </si>
  <si>
    <t>葛华莹</t>
  </si>
  <si>
    <t>15232619980223688X</t>
  </si>
  <si>
    <t>张林冉</t>
  </si>
  <si>
    <t>152326199509036870</t>
  </si>
  <si>
    <t>樊志龙</t>
  </si>
  <si>
    <t>152326198009126891</t>
  </si>
  <si>
    <t>152324198410061841</t>
  </si>
  <si>
    <t>宋桂杰</t>
  </si>
  <si>
    <t>152326197408026869</t>
  </si>
  <si>
    <t>3000</t>
  </si>
  <si>
    <t>2012</t>
  </si>
  <si>
    <t>刘兆喜</t>
  </si>
  <si>
    <t>152326196607136871</t>
  </si>
  <si>
    <t>于秀玲</t>
  </si>
  <si>
    <t>152326195805296863</t>
  </si>
  <si>
    <t>2018</t>
  </si>
  <si>
    <t>李忠生</t>
  </si>
  <si>
    <t>152326195712106872</t>
  </si>
  <si>
    <t>141900</t>
  </si>
  <si>
    <t>落增筒嘎查2020养老保险缴费明细表</t>
  </si>
  <si>
    <t>洛僧筒嘎查</t>
  </si>
  <si>
    <t>吴常明</t>
  </si>
  <si>
    <t>15232619730316689X</t>
  </si>
  <si>
    <t>152326199603046872</t>
  </si>
  <si>
    <t>万花</t>
  </si>
  <si>
    <t>152326197102026866</t>
  </si>
  <si>
    <t>王习</t>
  </si>
  <si>
    <t>152326197307026878</t>
  </si>
  <si>
    <t>李凤香</t>
  </si>
  <si>
    <t>152326196805036863</t>
  </si>
  <si>
    <t>包福强</t>
  </si>
  <si>
    <t>152326197904286897</t>
  </si>
  <si>
    <t>额尔敦其木格</t>
  </si>
  <si>
    <t>15042119791127532X</t>
  </si>
  <si>
    <t>莫日根图</t>
  </si>
  <si>
    <t>150421198103175376</t>
  </si>
  <si>
    <t>张春喜</t>
  </si>
  <si>
    <t>152326198410146901</t>
  </si>
  <si>
    <t>杜贵祥</t>
  </si>
  <si>
    <t>152127196302163313</t>
  </si>
  <si>
    <t>杜金柱</t>
  </si>
  <si>
    <t>152127199112233310</t>
  </si>
  <si>
    <t>杜金龙</t>
  </si>
  <si>
    <t>152127199401203353</t>
  </si>
  <si>
    <t>张朝鲁</t>
  </si>
  <si>
    <t>152302196508152517</t>
  </si>
  <si>
    <t>高秀芝</t>
  </si>
  <si>
    <t>152302196604252526</t>
  </si>
  <si>
    <t>郭仁才</t>
  </si>
  <si>
    <t>15232419880115181X</t>
  </si>
  <si>
    <t>陈翠平</t>
  </si>
  <si>
    <t>152326198305076884</t>
  </si>
  <si>
    <t>扫布等其木格</t>
  </si>
  <si>
    <t>152326196705056867</t>
  </si>
  <si>
    <t>王化霞</t>
  </si>
  <si>
    <t>152326196101086862</t>
  </si>
  <si>
    <t>刘相民</t>
  </si>
  <si>
    <t>152326196106266870</t>
  </si>
  <si>
    <t>隋井峰</t>
  </si>
  <si>
    <t>152326196110046870</t>
  </si>
  <si>
    <t>隋立成</t>
  </si>
  <si>
    <t>15232619831013687X</t>
  </si>
  <si>
    <t>吴根小</t>
  </si>
  <si>
    <t>152326198605306880</t>
  </si>
  <si>
    <t>杨启玉</t>
  </si>
  <si>
    <t>152326196110256878</t>
  </si>
  <si>
    <t>田秀英</t>
  </si>
  <si>
    <t>152326196111016868</t>
  </si>
  <si>
    <t>黄永德</t>
  </si>
  <si>
    <t>152326196112246876</t>
  </si>
  <si>
    <t>魏春英</t>
  </si>
  <si>
    <t>152326196105036862</t>
  </si>
  <si>
    <t>于金付</t>
  </si>
  <si>
    <t>152326196202216873</t>
  </si>
  <si>
    <t>架木苏</t>
  </si>
  <si>
    <t>152326196203276878</t>
  </si>
  <si>
    <t>散日木格</t>
  </si>
  <si>
    <t>152326196707046881</t>
  </si>
  <si>
    <t>包银色</t>
  </si>
  <si>
    <t>152326196204026862</t>
  </si>
  <si>
    <t>陈哈日巴拉</t>
  </si>
  <si>
    <t>152326196204136877</t>
  </si>
  <si>
    <t>152326196205106928</t>
  </si>
  <si>
    <t>于淑嫒</t>
  </si>
  <si>
    <t>152326196205186868</t>
  </si>
  <si>
    <t>杨利臣</t>
  </si>
  <si>
    <t>152326196208056874</t>
  </si>
  <si>
    <t>周井云</t>
  </si>
  <si>
    <t>152326196107206861</t>
  </si>
  <si>
    <t>杜凤有</t>
  </si>
  <si>
    <t>152326196208086870</t>
  </si>
  <si>
    <t>张玉新</t>
  </si>
  <si>
    <t>152326196309136865</t>
  </si>
  <si>
    <t>李凤兰</t>
  </si>
  <si>
    <t>152326196211126888</t>
  </si>
  <si>
    <t>刘财</t>
  </si>
  <si>
    <t>152326196211216891</t>
  </si>
  <si>
    <t>布仁德力根</t>
  </si>
  <si>
    <t>152326196304046879</t>
  </si>
  <si>
    <t>梁金荣</t>
  </si>
  <si>
    <t>152326196501026922</t>
  </si>
  <si>
    <t>常巴斯</t>
  </si>
  <si>
    <t>152326196304086870</t>
  </si>
  <si>
    <t>包玉花</t>
  </si>
  <si>
    <t>152326196307146867</t>
  </si>
  <si>
    <t>黄永春</t>
  </si>
  <si>
    <t>152326196305226871</t>
  </si>
  <si>
    <t>高桂云</t>
  </si>
  <si>
    <t>152326196308076864</t>
  </si>
  <si>
    <t>吴连花</t>
  </si>
  <si>
    <t>152326196306206901</t>
  </si>
  <si>
    <t>梁牡丹</t>
  </si>
  <si>
    <t>152326196307026881</t>
  </si>
  <si>
    <t>李振昌</t>
  </si>
  <si>
    <t>152326196307046874</t>
  </si>
  <si>
    <t>高振华</t>
  </si>
  <si>
    <t>152326196308166878</t>
  </si>
  <si>
    <t>邢玉芹</t>
  </si>
  <si>
    <t>152326196108146864</t>
  </si>
  <si>
    <t>宗海民</t>
  </si>
  <si>
    <t>152326196311306878</t>
  </si>
  <si>
    <t>王凤琢</t>
  </si>
  <si>
    <t>152326196109206865</t>
  </si>
  <si>
    <t>杨利明</t>
  </si>
  <si>
    <t>152326198405126877</t>
  </si>
  <si>
    <t>宗艳玲</t>
  </si>
  <si>
    <t>152326198606026880</t>
  </si>
  <si>
    <t>桑布盆来</t>
  </si>
  <si>
    <t>152326196401246872</t>
  </si>
  <si>
    <t>席凤兰</t>
  </si>
  <si>
    <t>152326196407056869</t>
  </si>
  <si>
    <t>勿仁其木各</t>
  </si>
  <si>
    <t>152326196405056865</t>
  </si>
  <si>
    <t>杨力中</t>
  </si>
  <si>
    <t>152326196406076876</t>
  </si>
  <si>
    <t>孙秀珍</t>
  </si>
  <si>
    <t>152326196408306882</t>
  </si>
  <si>
    <t>杜凤海</t>
  </si>
  <si>
    <t>152326196411106873</t>
  </si>
  <si>
    <t>152326196405156866</t>
  </si>
  <si>
    <t>宗海臣</t>
  </si>
  <si>
    <t>152326196411236870</t>
  </si>
  <si>
    <t>季海华</t>
  </si>
  <si>
    <t>152326196807066863</t>
  </si>
  <si>
    <t>白海龙</t>
  </si>
  <si>
    <t>152326196502026916</t>
  </si>
  <si>
    <t>白道各涛</t>
  </si>
  <si>
    <t>152326199002216872</t>
  </si>
  <si>
    <t>王玉良</t>
  </si>
  <si>
    <t>152326196503256879</t>
  </si>
  <si>
    <t>刘翠贤</t>
  </si>
  <si>
    <t>152326196310096864</t>
  </si>
  <si>
    <t>包他力巴加卜</t>
  </si>
  <si>
    <t>152326196505046875</t>
  </si>
  <si>
    <t>冰糖</t>
  </si>
  <si>
    <t>152326196102126862</t>
  </si>
  <si>
    <t>宋迪加卜</t>
  </si>
  <si>
    <t>152326196511096879</t>
  </si>
  <si>
    <t>刘金英</t>
  </si>
  <si>
    <t>152326196502046888</t>
  </si>
  <si>
    <t>包布加卜</t>
  </si>
  <si>
    <t>152326196512036878</t>
  </si>
  <si>
    <t>达古拉</t>
  </si>
  <si>
    <t>152326196311276883</t>
  </si>
  <si>
    <t>包海林</t>
  </si>
  <si>
    <t>152326196601106890</t>
  </si>
  <si>
    <t>张玉文</t>
  </si>
  <si>
    <t>152326196602156873</t>
  </si>
  <si>
    <t>杨和琢</t>
  </si>
  <si>
    <t>152326196905166884</t>
  </si>
  <si>
    <t>张树民</t>
  </si>
  <si>
    <t>152326196605056878</t>
  </si>
  <si>
    <t>张桂香</t>
  </si>
  <si>
    <t>152326196307056861</t>
  </si>
  <si>
    <t>张艳红</t>
  </si>
  <si>
    <t>152326199701026883</t>
  </si>
  <si>
    <t>152326196605206864</t>
  </si>
  <si>
    <t>韩卫学</t>
  </si>
  <si>
    <t>152326196607276874</t>
  </si>
  <si>
    <t>宁素侠</t>
  </si>
  <si>
    <t>152326196808156860</t>
  </si>
  <si>
    <t>152326196609296895</t>
  </si>
  <si>
    <t>来小</t>
  </si>
  <si>
    <t>152326196903046889</t>
  </si>
  <si>
    <t>财音毕力格</t>
  </si>
  <si>
    <t>152326196802186874</t>
  </si>
  <si>
    <t>姚莲花</t>
  </si>
  <si>
    <t>152326196808086866</t>
  </si>
  <si>
    <t>张玉财</t>
  </si>
  <si>
    <t>152326196807236877</t>
  </si>
  <si>
    <t>马玉梅</t>
  </si>
  <si>
    <t>15232619721109688X</t>
  </si>
  <si>
    <t>杜凤军</t>
  </si>
  <si>
    <t>152326196903136876</t>
  </si>
  <si>
    <t>勾凤霞</t>
  </si>
  <si>
    <t>152326196804016887</t>
  </si>
  <si>
    <t>王跃全</t>
  </si>
  <si>
    <t>152326196905176871</t>
  </si>
  <si>
    <t>孙淑立</t>
  </si>
  <si>
    <t>152326197308136868</t>
  </si>
  <si>
    <t>阿力坦</t>
  </si>
  <si>
    <t>152326196908086871</t>
  </si>
  <si>
    <t>梁秀荣</t>
  </si>
  <si>
    <t>152326196812086869</t>
  </si>
  <si>
    <t>包额日巴拉</t>
  </si>
  <si>
    <t>152326196910096876</t>
  </si>
  <si>
    <t>嘎日布</t>
  </si>
  <si>
    <t>152326197109126907</t>
  </si>
  <si>
    <t>张金柱</t>
  </si>
  <si>
    <t>152326196910216874</t>
  </si>
  <si>
    <t>152326196810246881</t>
  </si>
  <si>
    <t>白井林</t>
  </si>
  <si>
    <t>152326196912166954</t>
  </si>
  <si>
    <t>姜素珍</t>
  </si>
  <si>
    <t>150429197011070629</t>
  </si>
  <si>
    <t>包巴格那</t>
  </si>
  <si>
    <t>152326197004166910</t>
  </si>
  <si>
    <t>德力格日马</t>
  </si>
  <si>
    <t>152326197012306901</t>
  </si>
  <si>
    <t>查干巴拉</t>
  </si>
  <si>
    <t>152326197006086877</t>
  </si>
  <si>
    <t>白春姐</t>
  </si>
  <si>
    <t>15232619710606662X</t>
  </si>
  <si>
    <t>敖门各日乐</t>
  </si>
  <si>
    <t>152326197007206914</t>
  </si>
  <si>
    <t>梁梅</t>
  </si>
  <si>
    <t>152326196904056886</t>
  </si>
  <si>
    <t>乌云格日乐</t>
  </si>
  <si>
    <t>152326197011226889</t>
  </si>
  <si>
    <t>梁道格套</t>
  </si>
  <si>
    <t>152326197102026911</t>
  </si>
  <si>
    <t>席素珍</t>
  </si>
  <si>
    <t>152326197111276883</t>
  </si>
  <si>
    <t>高跃进</t>
  </si>
  <si>
    <t>152326197107306875</t>
  </si>
  <si>
    <t>张丽新</t>
  </si>
  <si>
    <t>152326197411066888</t>
  </si>
  <si>
    <t>高跃</t>
  </si>
  <si>
    <t>152326198510126879</t>
  </si>
  <si>
    <t>张晓青</t>
  </si>
  <si>
    <t>152326198304256883</t>
  </si>
  <si>
    <t>朝古拉</t>
  </si>
  <si>
    <t>152326197108096873</t>
  </si>
  <si>
    <t>宋志强</t>
  </si>
  <si>
    <t>152326197109106893</t>
  </si>
  <si>
    <t>包来小</t>
  </si>
  <si>
    <t>152326197102036909</t>
  </si>
  <si>
    <t>饶国文</t>
  </si>
  <si>
    <t>152326197110086893</t>
  </si>
  <si>
    <t>姜永春</t>
  </si>
  <si>
    <t>15232619710816686X</t>
  </si>
  <si>
    <t>巴特尔</t>
  </si>
  <si>
    <t>152326197110166877</t>
  </si>
  <si>
    <t>杨力峰</t>
  </si>
  <si>
    <t>152326197110236871</t>
  </si>
  <si>
    <t>孙桂芬</t>
  </si>
  <si>
    <t>152326196905086884</t>
  </si>
  <si>
    <t>吴青海</t>
  </si>
  <si>
    <t>152326197111106892</t>
  </si>
  <si>
    <t>春花</t>
  </si>
  <si>
    <t>152326197104286880</t>
  </si>
  <si>
    <t>李凤春</t>
  </si>
  <si>
    <t>152326197201176878</t>
  </si>
  <si>
    <t>152326197310046888</t>
  </si>
  <si>
    <t>德格西都冷</t>
  </si>
  <si>
    <t>152326197204186879</t>
  </si>
  <si>
    <t>梁那仁图雅</t>
  </si>
  <si>
    <t>150525197101246886</t>
  </si>
  <si>
    <t>黄桂军</t>
  </si>
  <si>
    <t>152326197205046878</t>
  </si>
  <si>
    <t>张秀花</t>
  </si>
  <si>
    <t>152326197109186889</t>
  </si>
  <si>
    <t>徐艳奎</t>
  </si>
  <si>
    <t>152326197206226870</t>
  </si>
  <si>
    <t>胥亚丽</t>
  </si>
  <si>
    <t>152326197706046868</t>
  </si>
  <si>
    <t>翟桂莲</t>
  </si>
  <si>
    <t>152326197207026889</t>
  </si>
  <si>
    <t>刘相辉</t>
  </si>
  <si>
    <t>152326197207086873</t>
  </si>
  <si>
    <t>额尔敦其其格</t>
  </si>
  <si>
    <t>152326197208016885</t>
  </si>
  <si>
    <t>席常明</t>
  </si>
  <si>
    <t>152326197208246875</t>
  </si>
  <si>
    <t>张金锁</t>
  </si>
  <si>
    <t>152326197209186878</t>
  </si>
  <si>
    <t>包朝格德力玛</t>
  </si>
  <si>
    <t>152326197006086885</t>
  </si>
  <si>
    <t>刘立国</t>
  </si>
  <si>
    <t>152326197302026959</t>
  </si>
  <si>
    <t>刘明艳</t>
  </si>
  <si>
    <t>152326197408086888</t>
  </si>
  <si>
    <t>包勿力吉</t>
  </si>
  <si>
    <t>152326197302036874</t>
  </si>
  <si>
    <t>白额敦呼</t>
  </si>
  <si>
    <t>152326197211146621</t>
  </si>
  <si>
    <t>梁木义很</t>
  </si>
  <si>
    <t>152326197302046896</t>
  </si>
  <si>
    <t>梁树林</t>
  </si>
  <si>
    <t>152326197305086893</t>
  </si>
  <si>
    <t>张桂霞</t>
  </si>
  <si>
    <t>152326197011056883</t>
  </si>
  <si>
    <t>王跃忠</t>
  </si>
  <si>
    <t>152326197310246871</t>
  </si>
  <si>
    <t>孟庆芝</t>
  </si>
  <si>
    <t>152326197612146884</t>
  </si>
  <si>
    <t>王玉虎</t>
  </si>
  <si>
    <t>152326197311016875</t>
  </si>
  <si>
    <t>宋桂珍</t>
  </si>
  <si>
    <t>152326197309266867</t>
  </si>
  <si>
    <t>阿斯冷</t>
  </si>
  <si>
    <t>152326197312056879</t>
  </si>
  <si>
    <t>梁桂荣</t>
  </si>
  <si>
    <t>152326197309086866</t>
  </si>
  <si>
    <t>黄桂民</t>
  </si>
  <si>
    <t>152326197403166897</t>
  </si>
  <si>
    <t>郭秀玲</t>
  </si>
  <si>
    <t>152326197406046882</t>
  </si>
  <si>
    <t>韩秀艳</t>
  </si>
  <si>
    <t>152326197404196887</t>
  </si>
  <si>
    <t>邢文梅</t>
  </si>
  <si>
    <t>152326197408166888</t>
  </si>
  <si>
    <t>隋力军</t>
  </si>
  <si>
    <t>152326197411046879</t>
  </si>
  <si>
    <t>胥亚双</t>
  </si>
  <si>
    <t>152326197401166869</t>
  </si>
  <si>
    <t>吴双叶</t>
  </si>
  <si>
    <t>152326197501096888</t>
  </si>
  <si>
    <t>152326197502176871</t>
  </si>
  <si>
    <t>李彩花</t>
  </si>
  <si>
    <t>15232619740810736X</t>
  </si>
  <si>
    <t>白井生</t>
  </si>
  <si>
    <t>152326197502226875</t>
  </si>
  <si>
    <t>王艳宏</t>
  </si>
  <si>
    <t>152326197509126869</t>
  </si>
  <si>
    <t>胡和巴拉</t>
  </si>
  <si>
    <t>152326197511236872</t>
  </si>
  <si>
    <t>白春英</t>
  </si>
  <si>
    <t>152326197810036862</t>
  </si>
  <si>
    <t>银花</t>
  </si>
  <si>
    <t>152326197511236880</t>
  </si>
  <si>
    <t>包阿力坦格日乐</t>
  </si>
  <si>
    <t>152326197511276874</t>
  </si>
  <si>
    <t>胥国成</t>
  </si>
  <si>
    <t>152326197601136875</t>
  </si>
  <si>
    <t>杨力全</t>
  </si>
  <si>
    <t>152326197602056877</t>
  </si>
  <si>
    <t>王树华</t>
  </si>
  <si>
    <t>152326197610256860</t>
  </si>
  <si>
    <t>梁一屯加布</t>
  </si>
  <si>
    <t>15232619760617693X</t>
  </si>
  <si>
    <t>宝萨日娜</t>
  </si>
  <si>
    <t>152326197807152889</t>
  </si>
  <si>
    <t>席常雄</t>
  </si>
  <si>
    <t>152326197608266912</t>
  </si>
  <si>
    <t>吴青龙</t>
  </si>
  <si>
    <t>152326197612166877</t>
  </si>
  <si>
    <t>韩常林</t>
  </si>
  <si>
    <t>15232619770214687X</t>
  </si>
  <si>
    <t>胡宝燕</t>
  </si>
  <si>
    <t>15232619770827686X</t>
  </si>
  <si>
    <t>张丽洪</t>
  </si>
  <si>
    <t>152326197704036869</t>
  </si>
  <si>
    <t>于晓飞</t>
  </si>
  <si>
    <t>152326197709136893</t>
  </si>
  <si>
    <t>152326197706156864</t>
  </si>
  <si>
    <t>白额等朝古拉</t>
  </si>
  <si>
    <t>152326197710076875</t>
  </si>
  <si>
    <t>佟俊连</t>
  </si>
  <si>
    <t>152326197503246886</t>
  </si>
  <si>
    <t>梁五台山</t>
  </si>
  <si>
    <t>152326197710266871</t>
  </si>
  <si>
    <t>宫玉春</t>
  </si>
  <si>
    <t>152326198008041183</t>
  </si>
  <si>
    <t>常白音包力搞</t>
  </si>
  <si>
    <t>152326197712016876</t>
  </si>
  <si>
    <t>梁青彩花</t>
  </si>
  <si>
    <t>152326197608067382</t>
  </si>
  <si>
    <t>席玉荣</t>
  </si>
  <si>
    <t>15232619780609148X</t>
  </si>
  <si>
    <t>任福新</t>
  </si>
  <si>
    <t>152324197508051815</t>
  </si>
  <si>
    <t>黄桂生</t>
  </si>
  <si>
    <t>152326197811016871</t>
  </si>
  <si>
    <t>胡宝梅</t>
  </si>
  <si>
    <t>152326197909026883</t>
  </si>
  <si>
    <t>张万花</t>
  </si>
  <si>
    <t>152326197811036864</t>
  </si>
  <si>
    <t>刘永刚</t>
  </si>
  <si>
    <t>15232619790303687X</t>
  </si>
  <si>
    <t>王国芝</t>
  </si>
  <si>
    <t>152324198105271463</t>
  </si>
  <si>
    <t>刘新源</t>
  </si>
  <si>
    <t>152326200209196878</t>
  </si>
  <si>
    <t>王红花</t>
  </si>
  <si>
    <t>152326197910026928</t>
  </si>
  <si>
    <t>季学文</t>
  </si>
  <si>
    <t>15232619791218687X</t>
  </si>
  <si>
    <t>包常明</t>
  </si>
  <si>
    <t>15232619801110689X</t>
  </si>
  <si>
    <t>包喜柱子</t>
  </si>
  <si>
    <t>152326198012296904</t>
  </si>
  <si>
    <t>宝军</t>
  </si>
  <si>
    <t>15232619810219117X</t>
  </si>
  <si>
    <t>李凤山</t>
  </si>
  <si>
    <t>152326198101146895</t>
  </si>
  <si>
    <t>白晓靖</t>
  </si>
  <si>
    <t>152326198303190026</t>
  </si>
  <si>
    <t>白永生</t>
  </si>
  <si>
    <t>152326198107086897</t>
  </si>
  <si>
    <t>金花</t>
  </si>
  <si>
    <t>152326198104051189</t>
  </si>
  <si>
    <t>那森格西各</t>
  </si>
  <si>
    <t>152326198105116917</t>
  </si>
  <si>
    <t>萨仁图雅</t>
  </si>
  <si>
    <t>150421198207065366</t>
  </si>
  <si>
    <t>韩玉兰</t>
  </si>
  <si>
    <t>152326198105256880</t>
  </si>
  <si>
    <t>张亚青</t>
  </si>
  <si>
    <t>152326198109286868</t>
  </si>
  <si>
    <t>张强</t>
  </si>
  <si>
    <t>152324198406016810</t>
  </si>
  <si>
    <t>汪利荣</t>
  </si>
  <si>
    <t>152326198111126927</t>
  </si>
  <si>
    <t>白田仓</t>
  </si>
  <si>
    <t>152326198201256899</t>
  </si>
  <si>
    <t>韩乌日斯其格</t>
  </si>
  <si>
    <t>152326198402286883</t>
  </si>
  <si>
    <t>刘力柱</t>
  </si>
  <si>
    <t>152326198202086932</t>
  </si>
  <si>
    <t>高升</t>
  </si>
  <si>
    <t>152326198202286870</t>
  </si>
  <si>
    <t>李晓芬</t>
  </si>
  <si>
    <t>152326198102066889</t>
  </si>
  <si>
    <t>包金会</t>
  </si>
  <si>
    <t>152326198204146900</t>
  </si>
  <si>
    <t>朝鲁</t>
  </si>
  <si>
    <t>152326198204294073</t>
  </si>
  <si>
    <t>白春香</t>
  </si>
  <si>
    <t>152326198401116882</t>
  </si>
  <si>
    <t>杨利伟</t>
  </si>
  <si>
    <t>152326198206276872</t>
  </si>
  <si>
    <t>王百灵</t>
  </si>
  <si>
    <t>152322198411032820</t>
  </si>
  <si>
    <t>152326198301126899</t>
  </si>
  <si>
    <t>白娜仁花</t>
  </si>
  <si>
    <t>152326198207266625</t>
  </si>
  <si>
    <t>白道各图</t>
  </si>
  <si>
    <t>152326198302046874</t>
  </si>
  <si>
    <t>白春梅</t>
  </si>
  <si>
    <t>152326198607066884</t>
  </si>
  <si>
    <t>152326198311126884</t>
  </si>
  <si>
    <t>刘利权</t>
  </si>
  <si>
    <t>15232619830205687X</t>
  </si>
  <si>
    <t>于贺华</t>
  </si>
  <si>
    <t>152326198710207120</t>
  </si>
  <si>
    <t>饶海森</t>
  </si>
  <si>
    <t>152326198303216871</t>
  </si>
  <si>
    <t>佟向环</t>
  </si>
  <si>
    <t>152326198205106943</t>
  </si>
  <si>
    <t>刘永富</t>
  </si>
  <si>
    <t>152326198309036898</t>
  </si>
  <si>
    <t>朝鲁门</t>
  </si>
  <si>
    <t>152326198508056883</t>
  </si>
  <si>
    <t>包宝山</t>
  </si>
  <si>
    <t>152326198311196874</t>
  </si>
  <si>
    <t>孟海林</t>
  </si>
  <si>
    <t>15232619840323687X</t>
  </si>
  <si>
    <t>宝斯琴必力格</t>
  </si>
  <si>
    <t>152326198305197889</t>
  </si>
  <si>
    <t>孟赛花</t>
  </si>
  <si>
    <t>152326198108296925</t>
  </si>
  <si>
    <t>黄连成</t>
  </si>
  <si>
    <t>152326198405296876</t>
  </si>
  <si>
    <t>贾淑敏</t>
  </si>
  <si>
    <t>152326198502106886</t>
  </si>
  <si>
    <t>黄志全</t>
  </si>
  <si>
    <t>152326196211136875</t>
  </si>
  <si>
    <t>152326198408146873</t>
  </si>
  <si>
    <t>岳青莲</t>
  </si>
  <si>
    <t>152326198501176882</t>
  </si>
  <si>
    <t>韩长城</t>
  </si>
  <si>
    <t>152326198410016912</t>
  </si>
  <si>
    <t>尹海娟</t>
  </si>
  <si>
    <t>152326198601106881</t>
  </si>
  <si>
    <t>撒仁格日乐</t>
  </si>
  <si>
    <t>152326198410226880</t>
  </si>
  <si>
    <t>黄桂茹</t>
  </si>
  <si>
    <t>152326198412296882</t>
  </si>
  <si>
    <t>刘利军</t>
  </si>
  <si>
    <t>152326198502266871</t>
  </si>
  <si>
    <t>张金秋</t>
  </si>
  <si>
    <t>15232619850306688X</t>
  </si>
  <si>
    <t>包柱子</t>
  </si>
  <si>
    <t>152326198505046874</t>
  </si>
  <si>
    <t>包敖力其木格</t>
  </si>
  <si>
    <t>152326198512286905</t>
  </si>
  <si>
    <t>包文梅</t>
  </si>
  <si>
    <t>152326198212046889</t>
  </si>
  <si>
    <t>包苏雅拉图</t>
  </si>
  <si>
    <t>152326198505116879</t>
  </si>
  <si>
    <t>张丽娜</t>
  </si>
  <si>
    <t>152326198510256884</t>
  </si>
  <si>
    <t>白义拉</t>
  </si>
  <si>
    <t>15232619851102687X</t>
  </si>
  <si>
    <t>何双英</t>
  </si>
  <si>
    <t>152326198704301188</t>
  </si>
  <si>
    <t>赛吉力呼</t>
  </si>
  <si>
    <t>152326198604246871</t>
  </si>
  <si>
    <t>勿云格日勒</t>
  </si>
  <si>
    <t>152326198605086881</t>
  </si>
  <si>
    <t>吴孟敖斯</t>
  </si>
  <si>
    <t>15232619860711687X</t>
  </si>
  <si>
    <t>梁乌云必力格</t>
  </si>
  <si>
    <t>152326198407056884</t>
  </si>
  <si>
    <t>刘颖朋</t>
  </si>
  <si>
    <t>152326198712196875</t>
  </si>
  <si>
    <t>152324198012011822</t>
  </si>
  <si>
    <t>王东辉</t>
  </si>
  <si>
    <t>152326198910046886</t>
  </si>
  <si>
    <t>杜晓庆</t>
  </si>
  <si>
    <t>152326198803066873</t>
  </si>
  <si>
    <t>刘利新</t>
  </si>
  <si>
    <t>152326198806186870</t>
  </si>
  <si>
    <t>杨冬燕</t>
  </si>
  <si>
    <t>152326198705196885</t>
  </si>
  <si>
    <t>宗占青</t>
  </si>
  <si>
    <t>152326198901226877</t>
  </si>
  <si>
    <t>于辉</t>
  </si>
  <si>
    <t>152326198908266871</t>
  </si>
  <si>
    <t>包那日图呀</t>
  </si>
  <si>
    <t>15232619891204688X</t>
  </si>
  <si>
    <t>白宝强</t>
  </si>
  <si>
    <t>152326199002076873</t>
  </si>
  <si>
    <t>刘颖派</t>
  </si>
  <si>
    <t>152326199002156873</t>
  </si>
  <si>
    <t>韩秀连</t>
  </si>
  <si>
    <t>152326199006116887</t>
  </si>
  <si>
    <t>韩红波</t>
  </si>
  <si>
    <t>152326199111076872</t>
  </si>
  <si>
    <t>152326199204276873</t>
  </si>
  <si>
    <t>李艳娥</t>
  </si>
  <si>
    <t>152326199509187126</t>
  </si>
  <si>
    <t>152326199207226871</t>
  </si>
  <si>
    <t>呼各吉乐图</t>
  </si>
  <si>
    <t>152326199302206879</t>
  </si>
  <si>
    <t>李召顺</t>
  </si>
  <si>
    <t>152326196108056877</t>
  </si>
  <si>
    <t>饶艳芳</t>
  </si>
  <si>
    <t>152326196211286865</t>
  </si>
  <si>
    <t>胡开花</t>
  </si>
  <si>
    <t>152326196202066860</t>
  </si>
  <si>
    <t>图木高力套</t>
  </si>
  <si>
    <t>152326196301026872</t>
  </si>
  <si>
    <t>席晓玲</t>
  </si>
  <si>
    <t>152326196303266861</t>
  </si>
  <si>
    <t>吴德柱</t>
  </si>
  <si>
    <t>15232619660306687X</t>
  </si>
  <si>
    <t>那日呼</t>
  </si>
  <si>
    <t>152326196904166882</t>
  </si>
  <si>
    <t>吴双连</t>
  </si>
  <si>
    <t>152326199502046881</t>
  </si>
  <si>
    <t>张晓旭</t>
  </si>
  <si>
    <t>152326198902160427</t>
  </si>
  <si>
    <t>吴双龙</t>
  </si>
  <si>
    <t>152326199111136898</t>
  </si>
  <si>
    <t>额尔根他那</t>
  </si>
  <si>
    <t>152326196708026882</t>
  </si>
  <si>
    <t>白哈日呼</t>
  </si>
  <si>
    <t>15232619720305687X</t>
  </si>
  <si>
    <t>龙梅</t>
  </si>
  <si>
    <t>152326197409086863</t>
  </si>
  <si>
    <t>杜贵国</t>
  </si>
  <si>
    <t>15232619730816069X</t>
  </si>
  <si>
    <t>韩秀芳</t>
  </si>
  <si>
    <t>152326197201066863</t>
  </si>
  <si>
    <t>杜静</t>
  </si>
  <si>
    <t>152326199410300723</t>
  </si>
  <si>
    <t>杜娟</t>
  </si>
  <si>
    <t>152326199709100726</t>
  </si>
  <si>
    <t>白色布格</t>
  </si>
  <si>
    <t>152326196911256878</t>
  </si>
  <si>
    <t>呼达古拉</t>
  </si>
  <si>
    <t>152326196706276888</t>
  </si>
  <si>
    <t>张玉琴</t>
  </si>
  <si>
    <t>152326196711106883</t>
  </si>
  <si>
    <t>黄永生</t>
  </si>
  <si>
    <t>152326196801046896</t>
  </si>
  <si>
    <t>胥国中</t>
  </si>
  <si>
    <t>152326198801076875</t>
  </si>
  <si>
    <t>韩凤艳</t>
  </si>
  <si>
    <t>152326198511234863</t>
  </si>
  <si>
    <t>周俊辉</t>
  </si>
  <si>
    <t>152326196111116869</t>
  </si>
  <si>
    <t>毕力根巴特尔</t>
  </si>
  <si>
    <t>152326198310026873</t>
  </si>
  <si>
    <t>包海英</t>
  </si>
  <si>
    <t>152326198410226629</t>
  </si>
  <si>
    <t>额尔等仓</t>
  </si>
  <si>
    <t>152326197704026898</t>
  </si>
  <si>
    <t>玉青</t>
  </si>
  <si>
    <t>152326196303186861</t>
  </si>
  <si>
    <t>152326198211126879</t>
  </si>
  <si>
    <t>李胖小</t>
  </si>
  <si>
    <t>15232619820802664X</t>
  </si>
  <si>
    <t>宝音得力根</t>
  </si>
  <si>
    <t>152326197612291475</t>
  </si>
  <si>
    <t>乌仁其木格</t>
  </si>
  <si>
    <t>152326197604136862</t>
  </si>
  <si>
    <t>隋立玲</t>
  </si>
  <si>
    <t>152326198112046881</t>
  </si>
  <si>
    <t>孙学亮</t>
  </si>
  <si>
    <t>152326198806266870</t>
  </si>
  <si>
    <t>苑丽红</t>
  </si>
  <si>
    <t>152326198908086889</t>
  </si>
  <si>
    <t>梁文学</t>
  </si>
  <si>
    <t>152326197712016892</t>
  </si>
  <si>
    <t>乌云其木格</t>
  </si>
  <si>
    <t>150421197506055120</t>
  </si>
  <si>
    <t>张玉辉</t>
  </si>
  <si>
    <t>152326197103016870</t>
  </si>
  <si>
    <t>张叶青</t>
  </si>
  <si>
    <t>152326199701076880</t>
  </si>
  <si>
    <t>包彩花</t>
  </si>
  <si>
    <t>152326197312226882</t>
  </si>
  <si>
    <t>白金山</t>
  </si>
  <si>
    <t>152326196507056874</t>
  </si>
  <si>
    <t>尼木德马</t>
  </si>
  <si>
    <t>152326196307286886</t>
  </si>
  <si>
    <t>宝额日德木图</t>
  </si>
  <si>
    <t>152326198401192818</t>
  </si>
  <si>
    <t>勿仁他那</t>
  </si>
  <si>
    <t>152326198611126907</t>
  </si>
  <si>
    <t>娜仁图雅</t>
  </si>
  <si>
    <t>150421197609095125</t>
  </si>
  <si>
    <t>哈斯朝鲁</t>
  </si>
  <si>
    <t>15232619750504687X</t>
  </si>
  <si>
    <t>梁斯琴</t>
  </si>
  <si>
    <t>152326197504266897</t>
  </si>
  <si>
    <t>包梅荣</t>
  </si>
  <si>
    <t>152326197703166864</t>
  </si>
  <si>
    <t>李占发</t>
  </si>
  <si>
    <t>152324197002161830</t>
  </si>
  <si>
    <t>杨海霞</t>
  </si>
  <si>
    <t>152326197312126865</t>
  </si>
  <si>
    <t>杨海红</t>
  </si>
  <si>
    <t>152326199303116904</t>
  </si>
  <si>
    <t>胥国臣</t>
  </si>
  <si>
    <t>152326198201066892</t>
  </si>
  <si>
    <t>152326198706061181</t>
  </si>
  <si>
    <t>陈翠英</t>
  </si>
  <si>
    <t>152326199209276880</t>
  </si>
  <si>
    <t>刘湘军</t>
  </si>
  <si>
    <t>152326196211196878</t>
  </si>
  <si>
    <t>李树春</t>
  </si>
  <si>
    <t>152326196405296869</t>
  </si>
  <si>
    <t>张他日巴</t>
  </si>
  <si>
    <t>152326196509296871</t>
  </si>
  <si>
    <t>152326196805106884</t>
  </si>
  <si>
    <t>栓柱</t>
  </si>
  <si>
    <t>152326197112026894</t>
  </si>
  <si>
    <t>其其格</t>
  </si>
  <si>
    <t>152326197403076621</t>
  </si>
  <si>
    <t>包格西格</t>
  </si>
  <si>
    <t>152326197501026898</t>
  </si>
  <si>
    <t>王春涛</t>
  </si>
  <si>
    <t>152326197411016899</t>
  </si>
  <si>
    <t>新义村2020年养老保险缴费名单</t>
  </si>
  <si>
    <t>新义村</t>
  </si>
  <si>
    <t>152326196101186863</t>
  </si>
  <si>
    <t>董贵军</t>
  </si>
  <si>
    <t>152326196102116875</t>
  </si>
  <si>
    <t>佟国云</t>
  </si>
  <si>
    <t>152326196102136868</t>
  </si>
  <si>
    <t>范坤</t>
  </si>
  <si>
    <t>152326196102216876</t>
  </si>
  <si>
    <t>郑小红</t>
  </si>
  <si>
    <t>152326196105136863</t>
  </si>
  <si>
    <t>秦凤兰</t>
  </si>
  <si>
    <t>15232619610521688X</t>
  </si>
  <si>
    <t>张振成</t>
  </si>
  <si>
    <t>152326196105236872</t>
  </si>
  <si>
    <t>白子凡</t>
  </si>
  <si>
    <t>152326196105256873</t>
  </si>
  <si>
    <t>杜云江</t>
  </si>
  <si>
    <t>152326196107106879</t>
  </si>
  <si>
    <t>15232619610727686X</t>
  </si>
  <si>
    <t>时荣</t>
  </si>
  <si>
    <t>152326196108236878</t>
  </si>
  <si>
    <t>王金凤</t>
  </si>
  <si>
    <t>152326196108256887</t>
  </si>
  <si>
    <t>范玉娥</t>
  </si>
  <si>
    <t>152326196110036867</t>
  </si>
  <si>
    <t>张振文</t>
  </si>
  <si>
    <t>152326196201286917</t>
  </si>
  <si>
    <t>王仕忠</t>
  </si>
  <si>
    <t>152326196202106877</t>
  </si>
  <si>
    <t>董贵学</t>
  </si>
  <si>
    <t>152326196205266876</t>
  </si>
  <si>
    <t>王秀莲</t>
  </si>
  <si>
    <t>152326196206236863</t>
  </si>
  <si>
    <t>王素荣</t>
  </si>
  <si>
    <t>152326196207156865</t>
  </si>
  <si>
    <t>任桂花</t>
  </si>
  <si>
    <t>152326196207236881</t>
  </si>
  <si>
    <t>王悦</t>
  </si>
  <si>
    <t>152326196207306878</t>
  </si>
  <si>
    <t>郭文海</t>
  </si>
  <si>
    <t>15232619620801691X</t>
  </si>
  <si>
    <t>形明霞</t>
  </si>
  <si>
    <t>152326196210036864</t>
  </si>
  <si>
    <t>于晓霞</t>
  </si>
  <si>
    <t>152326196211046861</t>
  </si>
  <si>
    <t>李凤芝</t>
  </si>
  <si>
    <t>152326196211236905</t>
  </si>
  <si>
    <t>许荣</t>
  </si>
  <si>
    <t>152326196212276896</t>
  </si>
  <si>
    <t>王月娥</t>
  </si>
  <si>
    <t>152326196301176862</t>
  </si>
  <si>
    <t>宋新华</t>
  </si>
  <si>
    <t>152326196302156898</t>
  </si>
  <si>
    <t>白朝伦巴根</t>
  </si>
  <si>
    <t>152326196303107617</t>
  </si>
  <si>
    <t>王亚荣</t>
  </si>
  <si>
    <t>152326196303126869</t>
  </si>
  <si>
    <t>赵秀荣</t>
  </si>
  <si>
    <t>152326196303156865</t>
  </si>
  <si>
    <t>懂凤艳</t>
  </si>
  <si>
    <t>152326196303286862</t>
  </si>
  <si>
    <t>刘召祥</t>
  </si>
  <si>
    <t>152326196308156899</t>
  </si>
  <si>
    <t>李树芹</t>
  </si>
  <si>
    <t>152326196309096867</t>
  </si>
  <si>
    <t>刘树青</t>
  </si>
  <si>
    <t>15232619631026686X</t>
  </si>
  <si>
    <t>王仕春</t>
  </si>
  <si>
    <t>152326196401126870</t>
  </si>
  <si>
    <t>魏国民</t>
  </si>
  <si>
    <t>152326196401156877</t>
  </si>
  <si>
    <t>秦凤花</t>
  </si>
  <si>
    <t>152326196402126880</t>
  </si>
  <si>
    <t>司明花</t>
  </si>
  <si>
    <t>152326196403186869</t>
  </si>
  <si>
    <t>梁加强</t>
  </si>
  <si>
    <t>152326196403256871</t>
  </si>
  <si>
    <t>刘富</t>
  </si>
  <si>
    <t>152326196405196876</t>
  </si>
  <si>
    <t>张凤霞</t>
  </si>
  <si>
    <t>152326196406106887</t>
  </si>
  <si>
    <t>王羽丰</t>
  </si>
  <si>
    <t>152326196408256870</t>
  </si>
  <si>
    <t>史立军</t>
  </si>
  <si>
    <t>152326196409026874</t>
  </si>
  <si>
    <t>黄志荣</t>
  </si>
  <si>
    <t>152326196411186877</t>
  </si>
  <si>
    <t>张宝德</t>
  </si>
  <si>
    <t>152326196412216871</t>
  </si>
  <si>
    <t>张玉兰</t>
  </si>
  <si>
    <t>152326196501096867</t>
  </si>
  <si>
    <t>张秀春</t>
  </si>
  <si>
    <t>152326196501156866</t>
  </si>
  <si>
    <t>李守强</t>
  </si>
  <si>
    <t>15232619650212687X</t>
  </si>
  <si>
    <t>刘召玉</t>
  </si>
  <si>
    <t>152326196503206871</t>
  </si>
  <si>
    <t>王羽林</t>
  </si>
  <si>
    <t>152326196504026872</t>
  </si>
  <si>
    <t>王凤春</t>
  </si>
  <si>
    <t>152326196505126891</t>
  </si>
  <si>
    <t>许凤芹</t>
  </si>
  <si>
    <t>152326196506236902</t>
  </si>
  <si>
    <t>时军</t>
  </si>
  <si>
    <t>15232619650706687X</t>
  </si>
  <si>
    <t>王凤侠</t>
  </si>
  <si>
    <t>152326196508266865</t>
  </si>
  <si>
    <t>陈素珍</t>
  </si>
  <si>
    <t>152326196509086866</t>
  </si>
  <si>
    <t>张树英</t>
  </si>
  <si>
    <t>152326196510106887</t>
  </si>
  <si>
    <t>于彩芹</t>
  </si>
  <si>
    <t>15232619651014690X</t>
  </si>
  <si>
    <t>王仕民</t>
  </si>
  <si>
    <t>152326196601036896</t>
  </si>
  <si>
    <t>薛云侠</t>
  </si>
  <si>
    <t>152326196601056862</t>
  </si>
  <si>
    <t>李建强</t>
  </si>
  <si>
    <t>152326196601066892</t>
  </si>
  <si>
    <t>152326196601106874</t>
  </si>
  <si>
    <t>张宝全</t>
  </si>
  <si>
    <t>152326196601236898</t>
  </si>
  <si>
    <t>伯杰</t>
  </si>
  <si>
    <t>15232619660228762X</t>
  </si>
  <si>
    <t>董凤霞</t>
  </si>
  <si>
    <t>152326196603186863</t>
  </si>
  <si>
    <t>何海祥</t>
  </si>
  <si>
    <t>152326196605016876</t>
  </si>
  <si>
    <t>王守忠</t>
  </si>
  <si>
    <t>152326196606266893</t>
  </si>
  <si>
    <t>时九祥</t>
  </si>
  <si>
    <t>152326196608166917</t>
  </si>
  <si>
    <t>于永清</t>
  </si>
  <si>
    <t>152326196608186870</t>
  </si>
  <si>
    <t>梁加玉</t>
  </si>
  <si>
    <t>152326196608296877</t>
  </si>
  <si>
    <t>时富</t>
  </si>
  <si>
    <t>152326196609136875</t>
  </si>
  <si>
    <t>王春</t>
  </si>
  <si>
    <t>15232619660928689X</t>
  </si>
  <si>
    <t>毛树花</t>
  </si>
  <si>
    <t>152326196702106865</t>
  </si>
  <si>
    <t>张景祥</t>
  </si>
  <si>
    <t>152326196702206874</t>
  </si>
  <si>
    <t>张玉玲</t>
  </si>
  <si>
    <t>152326196703136863</t>
  </si>
  <si>
    <t>王翠芹</t>
  </si>
  <si>
    <t>152326196703206905</t>
  </si>
  <si>
    <t>于秀梅</t>
  </si>
  <si>
    <t>152326196704146887</t>
  </si>
  <si>
    <t>孙贵学</t>
  </si>
  <si>
    <t>152326196707296899</t>
  </si>
  <si>
    <t>勾秀芳</t>
  </si>
  <si>
    <t>152326196707296864</t>
  </si>
  <si>
    <t>师艳春</t>
  </si>
  <si>
    <t>15232619670914686X</t>
  </si>
  <si>
    <t>李树祥</t>
  </si>
  <si>
    <t>152326196711196874</t>
  </si>
  <si>
    <t>白子会</t>
  </si>
  <si>
    <t>152326196712146879</t>
  </si>
  <si>
    <t>时瑞</t>
  </si>
  <si>
    <t>152326196802086873</t>
  </si>
  <si>
    <t>赵文俊</t>
  </si>
  <si>
    <t>152326196802096879</t>
  </si>
  <si>
    <t>白玉梅</t>
  </si>
  <si>
    <t>152326196806166862</t>
  </si>
  <si>
    <t>郝英华</t>
  </si>
  <si>
    <t>152326196808036869</t>
  </si>
  <si>
    <t>李树芬</t>
  </si>
  <si>
    <t>152326196810166865</t>
  </si>
  <si>
    <t>周俊敏</t>
  </si>
  <si>
    <t>152326196810196909</t>
  </si>
  <si>
    <t>王仕文</t>
  </si>
  <si>
    <t>152326196811176870</t>
  </si>
  <si>
    <t>隋景梅</t>
  </si>
  <si>
    <t>152326196901026868</t>
  </si>
  <si>
    <t>郑月花</t>
  </si>
  <si>
    <t>152326196904116885</t>
  </si>
  <si>
    <t>于永权</t>
  </si>
  <si>
    <t>152326196904136878</t>
  </si>
  <si>
    <t>152326196905056861</t>
  </si>
  <si>
    <t>何丽华</t>
  </si>
  <si>
    <t>152326196905146867</t>
  </si>
  <si>
    <t>王久芳</t>
  </si>
  <si>
    <t>152326196905206882</t>
  </si>
  <si>
    <t>白志军</t>
  </si>
  <si>
    <t>152326196907176875</t>
  </si>
  <si>
    <t>王守峰</t>
  </si>
  <si>
    <t>152326196908156876</t>
  </si>
  <si>
    <t>计海霞</t>
  </si>
  <si>
    <t>152326196909026862</t>
  </si>
  <si>
    <t>张宝辉</t>
  </si>
  <si>
    <t>152326196909206871</t>
  </si>
  <si>
    <t>郭洪玲</t>
  </si>
  <si>
    <t>152326196910146909</t>
  </si>
  <si>
    <t>白子广</t>
  </si>
  <si>
    <t>152326196910166870</t>
  </si>
  <si>
    <t>王秀华</t>
  </si>
  <si>
    <t>152326196912076860</t>
  </si>
  <si>
    <t>康秀丽</t>
  </si>
  <si>
    <t>15232619700121688X</t>
  </si>
  <si>
    <t>刘相琢</t>
  </si>
  <si>
    <t>152326197003076868</t>
  </si>
  <si>
    <t>王仕峰</t>
  </si>
  <si>
    <t>152326197012226899</t>
  </si>
  <si>
    <t>董铁夫</t>
  </si>
  <si>
    <t>152326197012266874</t>
  </si>
  <si>
    <t>康秀珠</t>
  </si>
  <si>
    <t>152326197101276863</t>
  </si>
  <si>
    <t>刘常军</t>
  </si>
  <si>
    <t>152326197101296872</t>
  </si>
  <si>
    <t>李亚红</t>
  </si>
  <si>
    <t>152326197102286860</t>
  </si>
  <si>
    <t>白志文</t>
  </si>
  <si>
    <t>152326197105286874</t>
  </si>
  <si>
    <t>张晓娟</t>
  </si>
  <si>
    <t>152326197107106865</t>
  </si>
  <si>
    <t>许军</t>
  </si>
  <si>
    <t>152326197107256871</t>
  </si>
  <si>
    <t>李守军</t>
  </si>
  <si>
    <t>152326197108056898</t>
  </si>
  <si>
    <t>张景权</t>
  </si>
  <si>
    <t>152326197108136871</t>
  </si>
  <si>
    <t>郭文和</t>
  </si>
  <si>
    <t>152326197108306877</t>
  </si>
  <si>
    <t>王玉龙</t>
  </si>
  <si>
    <t>152326197109066879</t>
  </si>
  <si>
    <t>翟桂平</t>
  </si>
  <si>
    <t>152326197109226860</t>
  </si>
  <si>
    <t>刘淑花</t>
  </si>
  <si>
    <t>152326197109276868</t>
  </si>
  <si>
    <t>白相国</t>
  </si>
  <si>
    <t>152326197110286879</t>
  </si>
  <si>
    <t>何振忠</t>
  </si>
  <si>
    <t>152326197110306892</t>
  </si>
  <si>
    <t>王金侠</t>
  </si>
  <si>
    <t>152326197111116863</t>
  </si>
  <si>
    <t>152326197111266861</t>
  </si>
  <si>
    <t>何树春</t>
  </si>
  <si>
    <t>152326197112256892</t>
  </si>
  <si>
    <t>孙兴华</t>
  </si>
  <si>
    <t>152326197202111427</t>
  </si>
  <si>
    <t>蒲桂花</t>
  </si>
  <si>
    <t>152326197203076862</t>
  </si>
  <si>
    <t>时权</t>
  </si>
  <si>
    <t>152326197203236870</t>
  </si>
  <si>
    <t>刘丽芬</t>
  </si>
  <si>
    <t>152326197203266885</t>
  </si>
  <si>
    <t>张宝贵</t>
  </si>
  <si>
    <t>152326197207056877</t>
  </si>
  <si>
    <t>152326197207166881</t>
  </si>
  <si>
    <t>时有</t>
  </si>
  <si>
    <t>152326197210196870</t>
  </si>
  <si>
    <t>152326197211196872</t>
  </si>
  <si>
    <t>15232619721216686X</t>
  </si>
  <si>
    <t>何淑华</t>
  </si>
  <si>
    <t>152326197212296867</t>
  </si>
  <si>
    <t>崔晓峰</t>
  </si>
  <si>
    <t>15232619730204687X</t>
  </si>
  <si>
    <t>蒲庆东</t>
  </si>
  <si>
    <t>152326197303056893</t>
  </si>
  <si>
    <t>王飞</t>
  </si>
  <si>
    <t>152326197304056879</t>
  </si>
  <si>
    <t>陈素芹</t>
  </si>
  <si>
    <t>152326197304156909</t>
  </si>
  <si>
    <t>谢桂荣</t>
  </si>
  <si>
    <t>232126197304274023</t>
  </si>
  <si>
    <t>何丽平</t>
  </si>
  <si>
    <t>152326197305126867</t>
  </si>
  <si>
    <t>张伟</t>
  </si>
  <si>
    <t>152326197305246877</t>
  </si>
  <si>
    <t>郭洪华</t>
  </si>
  <si>
    <t>152326197308276860</t>
  </si>
  <si>
    <t>张丽芝</t>
  </si>
  <si>
    <t>15232619730913686X</t>
  </si>
  <si>
    <t>刘常民</t>
  </si>
  <si>
    <t>152326197310086871</t>
  </si>
  <si>
    <t>宋合花</t>
  </si>
  <si>
    <t>152326197401086869</t>
  </si>
  <si>
    <t>白晓艳</t>
  </si>
  <si>
    <t>152326197407226869</t>
  </si>
  <si>
    <t>刘伟</t>
  </si>
  <si>
    <t>152326197409116911</t>
  </si>
  <si>
    <t>席那木拉</t>
  </si>
  <si>
    <t>152326197412286874</t>
  </si>
  <si>
    <t>贾力</t>
  </si>
  <si>
    <t>152326197501126899</t>
  </si>
  <si>
    <t>何春</t>
  </si>
  <si>
    <t>152326197502126890</t>
  </si>
  <si>
    <t>张宝柱</t>
  </si>
  <si>
    <t>15232619750317689X</t>
  </si>
  <si>
    <t>152326197506066880</t>
  </si>
  <si>
    <t>张丽红</t>
  </si>
  <si>
    <t>152326197508036861</t>
  </si>
  <si>
    <t>王素梅</t>
  </si>
  <si>
    <t>152326197508146884</t>
  </si>
  <si>
    <t>王秀艳</t>
  </si>
  <si>
    <t>152326197508156863</t>
  </si>
  <si>
    <t>何秀娟</t>
  </si>
  <si>
    <t>152326197508176864</t>
  </si>
  <si>
    <t>陈淑华</t>
  </si>
  <si>
    <t>152326197510096863</t>
  </si>
  <si>
    <t>李艳奎</t>
  </si>
  <si>
    <t>152326197511186879</t>
  </si>
  <si>
    <t>刘江</t>
  </si>
  <si>
    <t>152326197602156894</t>
  </si>
  <si>
    <t>李青华</t>
  </si>
  <si>
    <t>152326197602196888</t>
  </si>
  <si>
    <t>时艳平</t>
  </si>
  <si>
    <t>15232619760511688X</t>
  </si>
  <si>
    <t>白相龙</t>
  </si>
  <si>
    <t>152326197606126895</t>
  </si>
  <si>
    <t>152326197608166874</t>
  </si>
  <si>
    <t>刘淑丽</t>
  </si>
  <si>
    <t>152326197608206880</t>
  </si>
  <si>
    <t>于秀珍</t>
  </si>
  <si>
    <t>152326197608256861</t>
  </si>
  <si>
    <t>李青燕</t>
  </si>
  <si>
    <t>152326197612096864</t>
  </si>
  <si>
    <t>王秀玲</t>
  </si>
  <si>
    <t>152326197702146861</t>
  </si>
  <si>
    <t>王友梅</t>
  </si>
  <si>
    <t>152326197706126868</t>
  </si>
  <si>
    <t>时艳梅</t>
  </si>
  <si>
    <t>152326197706206868</t>
  </si>
  <si>
    <t>何雅艳</t>
  </si>
  <si>
    <t>15232619771117686X</t>
  </si>
  <si>
    <t>何秀艳</t>
  </si>
  <si>
    <t>152326197801066883</t>
  </si>
  <si>
    <t>王海峰</t>
  </si>
  <si>
    <t>152326197802176873</t>
  </si>
  <si>
    <t>赵文明</t>
  </si>
  <si>
    <t>152326197808156873</t>
  </si>
  <si>
    <t>马志辉</t>
  </si>
  <si>
    <t>152326197809066861</t>
  </si>
  <si>
    <t>许江</t>
  </si>
  <si>
    <t>152326197810156872</t>
  </si>
  <si>
    <t>佟向有</t>
  </si>
  <si>
    <t>152326197811196876</t>
  </si>
  <si>
    <t>王富</t>
  </si>
  <si>
    <t>152326197812216875</t>
  </si>
  <si>
    <t>张立柱</t>
  </si>
  <si>
    <t>152326197904206877</t>
  </si>
  <si>
    <t>时丰</t>
  </si>
  <si>
    <t>152326197907166890</t>
  </si>
  <si>
    <t>薛艳明</t>
  </si>
  <si>
    <t>152326197909176873</t>
  </si>
  <si>
    <t>董振龙</t>
  </si>
  <si>
    <t>152326197909186879</t>
  </si>
  <si>
    <t>孙晓娟</t>
  </si>
  <si>
    <t>152326197910266868</t>
  </si>
  <si>
    <t>单力华</t>
  </si>
  <si>
    <t>152326197912076945</t>
  </si>
  <si>
    <t>张勇</t>
  </si>
  <si>
    <t>152326198002086890</t>
  </si>
  <si>
    <t>黄连龙</t>
  </si>
  <si>
    <t>152326198004196874</t>
  </si>
  <si>
    <t>何秀玲</t>
  </si>
  <si>
    <t>152326198004206868</t>
  </si>
  <si>
    <t>杜海丽</t>
  </si>
  <si>
    <t>152326198104286885</t>
  </si>
  <si>
    <t>152326198111076923</t>
  </si>
  <si>
    <t>郭建茹</t>
  </si>
  <si>
    <t>152326198202206885</t>
  </si>
  <si>
    <t>何磊</t>
  </si>
  <si>
    <t>152326198202276891</t>
  </si>
  <si>
    <t>王金祥</t>
  </si>
  <si>
    <t>152326198204076893</t>
  </si>
  <si>
    <t>王玲玲</t>
  </si>
  <si>
    <t>152326198204266902</t>
  </si>
  <si>
    <t>李金山</t>
  </si>
  <si>
    <t>152326198205106935</t>
  </si>
  <si>
    <t>孙凤玲</t>
  </si>
  <si>
    <t>152221198303083020</t>
  </si>
  <si>
    <t>王国山</t>
  </si>
  <si>
    <t>152326198303256873</t>
  </si>
  <si>
    <t>石玉梅</t>
  </si>
  <si>
    <t>152326198306036868</t>
  </si>
  <si>
    <t>张彦香</t>
  </si>
  <si>
    <t>152326198306046863</t>
  </si>
  <si>
    <t>张晶</t>
  </si>
  <si>
    <t>15232619830627687X</t>
  </si>
  <si>
    <t>单力娟</t>
  </si>
  <si>
    <t>152326198308116888</t>
  </si>
  <si>
    <t>梅亚凤</t>
  </si>
  <si>
    <t>152326198309296868</t>
  </si>
  <si>
    <t>黄连凤</t>
  </si>
  <si>
    <t>152326198312036872</t>
  </si>
  <si>
    <t>王国庆</t>
  </si>
  <si>
    <t>152326198405046877</t>
  </si>
  <si>
    <t>杜权</t>
  </si>
  <si>
    <t>15232619840929689X</t>
  </si>
  <si>
    <t>饶海春</t>
  </si>
  <si>
    <t>152326198410276896</t>
  </si>
  <si>
    <t>宋翠红</t>
  </si>
  <si>
    <t>152324198412191420</t>
  </si>
  <si>
    <t>白志明</t>
  </si>
  <si>
    <t>152326198502206895</t>
  </si>
  <si>
    <t>任素敏</t>
  </si>
  <si>
    <t>152324198504271428</t>
  </si>
  <si>
    <t>刘常龙</t>
  </si>
  <si>
    <t>152326198507146879</t>
  </si>
  <si>
    <t>魏海鹏</t>
  </si>
  <si>
    <t>152326198508206888</t>
  </si>
  <si>
    <t>郭爽</t>
  </si>
  <si>
    <t>152326198509106870</t>
  </si>
  <si>
    <t>计术丽</t>
  </si>
  <si>
    <t>152326198509106889</t>
  </si>
  <si>
    <t>刘顺利</t>
  </si>
  <si>
    <t>152326198510046879</t>
  </si>
  <si>
    <t>许晓丽</t>
  </si>
  <si>
    <t>152326198601066883</t>
  </si>
  <si>
    <t>孟凡颖</t>
  </si>
  <si>
    <t>15232419860127142X</t>
  </si>
  <si>
    <t>于建</t>
  </si>
  <si>
    <t>152326198602066877</t>
  </si>
  <si>
    <t>张权</t>
  </si>
  <si>
    <t>152326198604196878</t>
  </si>
  <si>
    <t>黄连华</t>
  </si>
  <si>
    <t>152326198604236884</t>
  </si>
  <si>
    <t>崔晓丽</t>
  </si>
  <si>
    <t>152324198611211420</t>
  </si>
  <si>
    <t>白晓娟</t>
  </si>
  <si>
    <t>152326198612216883</t>
  </si>
  <si>
    <t>李强</t>
  </si>
  <si>
    <t>15232619870108689X</t>
  </si>
  <si>
    <t>孙海珍</t>
  </si>
  <si>
    <t>152324198702101446</t>
  </si>
  <si>
    <t>王国强</t>
  </si>
  <si>
    <t>152326198704106876</t>
  </si>
  <si>
    <t>张双艳</t>
  </si>
  <si>
    <t>152326198707277128</t>
  </si>
  <si>
    <t>曹春艳</t>
  </si>
  <si>
    <t>15232619871107688X</t>
  </si>
  <si>
    <t>时东升</t>
  </si>
  <si>
    <t>15232619880720687X</t>
  </si>
  <si>
    <t>王磊</t>
  </si>
  <si>
    <t>152326198809296872</t>
  </si>
  <si>
    <t>王权</t>
  </si>
  <si>
    <t>152326198810156877</t>
  </si>
  <si>
    <t>黄晓伟</t>
  </si>
  <si>
    <t>152326198811156887</t>
  </si>
  <si>
    <t>董艳龙</t>
  </si>
  <si>
    <t>152326198901216871</t>
  </si>
  <si>
    <t>赵磊</t>
  </si>
  <si>
    <t>152326198908286872</t>
  </si>
  <si>
    <t>李洪伟</t>
  </si>
  <si>
    <t>152326198910016871</t>
  </si>
  <si>
    <t>范淑立</t>
  </si>
  <si>
    <t>152326198910126878</t>
  </si>
  <si>
    <t>王秀丽</t>
  </si>
  <si>
    <t>152326199009216883</t>
  </si>
  <si>
    <t>孙孝艳</t>
  </si>
  <si>
    <t>152326199010186888</t>
  </si>
  <si>
    <t>王永</t>
  </si>
  <si>
    <t>152326199011146896</t>
  </si>
  <si>
    <t>王淑艳</t>
  </si>
  <si>
    <t>152326199104226887</t>
  </si>
  <si>
    <t>时东福</t>
  </si>
  <si>
    <t>152326199108276873</t>
  </si>
  <si>
    <t>152326199109026905</t>
  </si>
  <si>
    <t>时东辉</t>
  </si>
  <si>
    <t>152326199109096874</t>
  </si>
  <si>
    <t>152326199110066883</t>
  </si>
  <si>
    <t>张海双</t>
  </si>
  <si>
    <t>152326199111036870</t>
  </si>
  <si>
    <t>董艳超</t>
  </si>
  <si>
    <t>152326199201036874</t>
  </si>
  <si>
    <t>布仁白音</t>
  </si>
  <si>
    <t>152326199212166877</t>
  </si>
  <si>
    <t>张晓翠</t>
  </si>
  <si>
    <t>152324199305101420</t>
  </si>
  <si>
    <t>武海红</t>
  </si>
  <si>
    <t>152324199510101462</t>
  </si>
  <si>
    <t>王国静</t>
  </si>
  <si>
    <t>152326199704296889</t>
  </si>
  <si>
    <t>时九才</t>
  </si>
  <si>
    <t>152326196207266896</t>
  </si>
  <si>
    <t>精准扶贫户</t>
  </si>
  <si>
    <t>李桂英</t>
  </si>
  <si>
    <t>152326196205236888</t>
  </si>
  <si>
    <t>何金小</t>
  </si>
  <si>
    <t>152326196111246866</t>
  </si>
  <si>
    <t>韩立君</t>
  </si>
  <si>
    <t>152326197410196875</t>
  </si>
  <si>
    <t>贾文花</t>
  </si>
  <si>
    <t>220319196109153620</t>
  </si>
  <si>
    <t>补缴新交户</t>
  </si>
  <si>
    <t>152326197810166878</t>
  </si>
  <si>
    <t>55900</t>
  </si>
  <si>
    <t>萨仁阿日嘎查2020养老保险缴费明细表</t>
  </si>
  <si>
    <t>萨仁阿日嘎查</t>
  </si>
  <si>
    <t>陈英</t>
  </si>
  <si>
    <t>152326198612146897</t>
  </si>
  <si>
    <t>贫困户</t>
  </si>
  <si>
    <t>胡日都呼</t>
  </si>
  <si>
    <t>150525197208062286</t>
  </si>
  <si>
    <t>李白已拉</t>
  </si>
  <si>
    <t>152326196803256870</t>
  </si>
  <si>
    <t>谢图亚</t>
  </si>
  <si>
    <t>15232619721029688X</t>
  </si>
  <si>
    <t>海糖</t>
  </si>
  <si>
    <t>150421196103175123</t>
  </si>
  <si>
    <t>乌云毕力格</t>
  </si>
  <si>
    <t>150421197910055325</t>
  </si>
  <si>
    <t>通力嘎</t>
  </si>
  <si>
    <t>150421198001225328</t>
  </si>
  <si>
    <t>150421198102065327</t>
  </si>
  <si>
    <t>李艳</t>
  </si>
  <si>
    <t>150421198402065126</t>
  </si>
  <si>
    <t>孟根花</t>
  </si>
  <si>
    <t>150423198011262029</t>
  </si>
  <si>
    <t>齐美</t>
  </si>
  <si>
    <t>150426198712275825</t>
  </si>
  <si>
    <t>贵勒苏</t>
  </si>
  <si>
    <t>152221197211234026</t>
  </si>
  <si>
    <t>梁宝山</t>
  </si>
  <si>
    <t>15232619610720687X</t>
  </si>
  <si>
    <t>席勿仁坦娜</t>
  </si>
  <si>
    <t>152326196110056868</t>
  </si>
  <si>
    <t>肖美琴</t>
  </si>
  <si>
    <t>152326196110196887</t>
  </si>
  <si>
    <t>王秀芹</t>
  </si>
  <si>
    <t>152326196209286866</t>
  </si>
  <si>
    <t>双花</t>
  </si>
  <si>
    <t>15232619621012686X</t>
  </si>
  <si>
    <t>王代小</t>
  </si>
  <si>
    <t>152326196302016860</t>
  </si>
  <si>
    <t>包勿云他那</t>
  </si>
  <si>
    <t>152326196302056889</t>
  </si>
  <si>
    <t>包勿根斯其格</t>
  </si>
  <si>
    <t>152326196302286860</t>
  </si>
  <si>
    <t>梁孟和勿力吉</t>
  </si>
  <si>
    <t>152326196304216874</t>
  </si>
  <si>
    <t>梁车吉好日老</t>
  </si>
  <si>
    <t>152326196307146875</t>
  </si>
  <si>
    <t>陈金山</t>
  </si>
  <si>
    <t>152326196312046879</t>
  </si>
  <si>
    <t>南海山</t>
  </si>
  <si>
    <t>152326196406196878</t>
  </si>
  <si>
    <t>梁金山</t>
  </si>
  <si>
    <t>152326196503296870</t>
  </si>
  <si>
    <t>包桂英</t>
  </si>
  <si>
    <t>152326196507276906</t>
  </si>
  <si>
    <t>包雪花</t>
  </si>
  <si>
    <t>152326196603066861</t>
  </si>
  <si>
    <t>包根财花</t>
  </si>
  <si>
    <t>152326196605246882</t>
  </si>
  <si>
    <t>南昂斯玛</t>
  </si>
  <si>
    <t>152326196607126868</t>
  </si>
  <si>
    <t>莫得格</t>
  </si>
  <si>
    <t>152326196703186860</t>
  </si>
  <si>
    <t>宝巴达拉</t>
  </si>
  <si>
    <t>152326196710256871</t>
  </si>
  <si>
    <t>陈拉西加木苏</t>
  </si>
  <si>
    <t>152326196711066877</t>
  </si>
  <si>
    <t>152326196801286881</t>
  </si>
  <si>
    <t>巴布增格</t>
  </si>
  <si>
    <t>152326196803176897</t>
  </si>
  <si>
    <t>吴阿斯冷</t>
  </si>
  <si>
    <t>152326196808077118</t>
  </si>
  <si>
    <t>韩孟和勿力吉</t>
  </si>
  <si>
    <t>152326196810206871</t>
  </si>
  <si>
    <t>马金良</t>
  </si>
  <si>
    <t>152326196902174280</t>
  </si>
  <si>
    <t>胡一勒</t>
  </si>
  <si>
    <t>152326197001026867</t>
  </si>
  <si>
    <t>15232619700128687X</t>
  </si>
  <si>
    <t>包坦花</t>
  </si>
  <si>
    <t>152326197003146889</t>
  </si>
  <si>
    <t>勿力吉白音</t>
  </si>
  <si>
    <t>152326197003266872</t>
  </si>
  <si>
    <t>白小</t>
  </si>
  <si>
    <t>152326197005146866</t>
  </si>
  <si>
    <t>韩查干巴拉</t>
  </si>
  <si>
    <t>152326197010026877</t>
  </si>
  <si>
    <t>韩哈力巴拉</t>
  </si>
  <si>
    <t>152326197010026893</t>
  </si>
  <si>
    <t>包福全</t>
  </si>
  <si>
    <t>152326197010046878</t>
  </si>
  <si>
    <t>赖长明</t>
  </si>
  <si>
    <t>152326197010126878</t>
  </si>
  <si>
    <t>梁色喜</t>
  </si>
  <si>
    <t>152326197010206878</t>
  </si>
  <si>
    <t>财音格西格</t>
  </si>
  <si>
    <t>152326197012146872</t>
  </si>
  <si>
    <t>扎日嘎呼</t>
  </si>
  <si>
    <t>152326197101056860</t>
  </si>
  <si>
    <t>包桂梅</t>
  </si>
  <si>
    <t>152326197101296864</t>
  </si>
  <si>
    <t>席树青</t>
  </si>
  <si>
    <t>152326197105046918</t>
  </si>
  <si>
    <t>梁西力莫</t>
  </si>
  <si>
    <t>152326197201056876</t>
  </si>
  <si>
    <t>姚仁勤</t>
  </si>
  <si>
    <t>152326197202026871</t>
  </si>
  <si>
    <t>梁银所</t>
  </si>
  <si>
    <t>152326197204026875</t>
  </si>
  <si>
    <t>梁双宝</t>
  </si>
  <si>
    <t>152326197204136898</t>
  </si>
  <si>
    <t>王海霞</t>
  </si>
  <si>
    <t>152326197205076866</t>
  </si>
  <si>
    <t>周汉明</t>
  </si>
  <si>
    <t>152326197205276913</t>
  </si>
  <si>
    <t>席通力嘎</t>
  </si>
  <si>
    <t>152326197208116878</t>
  </si>
  <si>
    <t>滕那顺乌力吉</t>
  </si>
  <si>
    <t>152326197208306612</t>
  </si>
  <si>
    <t>包金柱</t>
  </si>
  <si>
    <t>152326197210046872</t>
  </si>
  <si>
    <t>吴托娅</t>
  </si>
  <si>
    <t>152326197210226881</t>
  </si>
  <si>
    <t>刘代小</t>
  </si>
  <si>
    <t>152326197302096885</t>
  </si>
  <si>
    <t>梁常明</t>
  </si>
  <si>
    <t>152326197303256895</t>
  </si>
  <si>
    <t>席长明</t>
  </si>
  <si>
    <t>152326197308276879</t>
  </si>
  <si>
    <t>梁西日莫</t>
  </si>
  <si>
    <t>152326197310266872</t>
  </si>
  <si>
    <t>包加力根</t>
  </si>
  <si>
    <t>152326197312016877</t>
  </si>
  <si>
    <t>马古胜</t>
  </si>
  <si>
    <t>15232619731203686X</t>
  </si>
  <si>
    <t>勿林扫布道</t>
  </si>
  <si>
    <t>152326197312076861</t>
  </si>
  <si>
    <t>格日乐玛</t>
  </si>
  <si>
    <t>152326197312306866</t>
  </si>
  <si>
    <t>152326197401121484</t>
  </si>
  <si>
    <t>张春小</t>
  </si>
  <si>
    <t>152326197401191183</t>
  </si>
  <si>
    <t>刘初一</t>
  </si>
  <si>
    <t>152326197402016897</t>
  </si>
  <si>
    <t>旭日其木格</t>
  </si>
  <si>
    <t>152326197402106884</t>
  </si>
  <si>
    <t>田沙力嘎</t>
  </si>
  <si>
    <t>152326197402226886</t>
  </si>
  <si>
    <t>包桂素</t>
  </si>
  <si>
    <t>152326197410126885</t>
  </si>
  <si>
    <t>韩斯琴格日勒</t>
  </si>
  <si>
    <t>152326197502146875</t>
  </si>
  <si>
    <t>宝海堂</t>
  </si>
  <si>
    <t>152326197505096869</t>
  </si>
  <si>
    <t>赖常莲</t>
  </si>
  <si>
    <t>152326197506196861</t>
  </si>
  <si>
    <t>152326197509306886</t>
  </si>
  <si>
    <t>包花啦</t>
  </si>
  <si>
    <t>152326197511196866</t>
  </si>
  <si>
    <t>白领小</t>
  </si>
  <si>
    <t>152326197601016865</t>
  </si>
  <si>
    <t>梁常所</t>
  </si>
  <si>
    <t>152326197602226872</t>
  </si>
  <si>
    <t>152326197602276861</t>
  </si>
  <si>
    <t>宝石头</t>
  </si>
  <si>
    <t>15232619760227687X</t>
  </si>
  <si>
    <t>宝山</t>
  </si>
  <si>
    <t>152326197602276917</t>
  </si>
  <si>
    <t>刘跟所</t>
  </si>
  <si>
    <t>152326197603046873</t>
  </si>
  <si>
    <t>梁玉宝</t>
  </si>
  <si>
    <t>152326197607176878</t>
  </si>
  <si>
    <t>韩常明</t>
  </si>
  <si>
    <t>152326197609266877</t>
  </si>
  <si>
    <t>席银宝</t>
  </si>
  <si>
    <t>152326197612216870</t>
  </si>
  <si>
    <t>吴白音宝力高</t>
  </si>
  <si>
    <t>152326197702076875</t>
  </si>
  <si>
    <t>王金荣</t>
  </si>
  <si>
    <t>152326197705086884</t>
  </si>
  <si>
    <t>包领小</t>
  </si>
  <si>
    <t>15232619771122688X</t>
  </si>
  <si>
    <t>窦春华</t>
  </si>
  <si>
    <t>15232619771209118X</t>
  </si>
  <si>
    <t>152326197712126880</t>
  </si>
  <si>
    <t>韩双喜</t>
  </si>
  <si>
    <t>152326197809106915</t>
  </si>
  <si>
    <t>包代小</t>
  </si>
  <si>
    <t>152326198002156887</t>
  </si>
  <si>
    <t>陈子玉</t>
  </si>
  <si>
    <t>152326198003116879</t>
  </si>
  <si>
    <t>白玉双</t>
  </si>
  <si>
    <t>152326198006104582</t>
  </si>
  <si>
    <t>梁双福</t>
  </si>
  <si>
    <t>152326198010036914</t>
  </si>
  <si>
    <t>龙堂</t>
  </si>
  <si>
    <t>152326198012051480</t>
  </si>
  <si>
    <t>杨文东</t>
  </si>
  <si>
    <t>152326198101181172</t>
  </si>
  <si>
    <t>席银花</t>
  </si>
  <si>
    <t>152326198101291187</t>
  </si>
  <si>
    <t>宝长岁</t>
  </si>
  <si>
    <t>152326198202116898</t>
  </si>
  <si>
    <t>包常青</t>
  </si>
  <si>
    <t>152326198204066871</t>
  </si>
  <si>
    <t>梁玉龙</t>
  </si>
  <si>
    <t>152326198204176894</t>
  </si>
  <si>
    <t>152326198206256900</t>
  </si>
  <si>
    <t>包牡兰</t>
  </si>
  <si>
    <t>152326198208116880</t>
  </si>
  <si>
    <t>席高娃</t>
  </si>
  <si>
    <t>15232619830113686X</t>
  </si>
  <si>
    <t>包额尔敦高娃</t>
  </si>
  <si>
    <t>152326198302097129</t>
  </si>
  <si>
    <t>梁额尔德朝老</t>
  </si>
  <si>
    <t>152326198302156870</t>
  </si>
  <si>
    <t>韩双柱</t>
  </si>
  <si>
    <t>15232619830720689X</t>
  </si>
  <si>
    <t>宫英军</t>
  </si>
  <si>
    <t>152326198308216897</t>
  </si>
  <si>
    <t>梁福德</t>
  </si>
  <si>
    <t>152326198310286878</t>
  </si>
  <si>
    <t>包海玲</t>
  </si>
  <si>
    <t>152326198312047125</t>
  </si>
  <si>
    <t>王双喜</t>
  </si>
  <si>
    <t>152326198402106897</t>
  </si>
  <si>
    <t>梁白音朝古拉</t>
  </si>
  <si>
    <t>152326198411186892</t>
  </si>
  <si>
    <t>康四吉莫德格</t>
  </si>
  <si>
    <t>152326198502216882</t>
  </si>
  <si>
    <t>宫英梨</t>
  </si>
  <si>
    <t>152326198502226909</t>
  </si>
  <si>
    <t>包斯日古冷</t>
  </si>
  <si>
    <t>152326198503156885</t>
  </si>
  <si>
    <t>何艳荣</t>
  </si>
  <si>
    <t>15232619850907408X</t>
  </si>
  <si>
    <t>包老丫头</t>
  </si>
  <si>
    <t>152326198602106883</t>
  </si>
  <si>
    <t>梁德力根</t>
  </si>
  <si>
    <t>152326198603256875</t>
  </si>
  <si>
    <t>陈格日乐图</t>
  </si>
  <si>
    <t>152326198711211471</t>
  </si>
  <si>
    <t>刘永秀</t>
  </si>
  <si>
    <t>152326199006086892</t>
  </si>
  <si>
    <t>宝朋朋</t>
  </si>
  <si>
    <t>152326199802116896</t>
  </si>
  <si>
    <t>南白已拉</t>
  </si>
  <si>
    <t>152326196403246876</t>
  </si>
  <si>
    <t>包金虎</t>
  </si>
  <si>
    <t>152326196409246869</t>
  </si>
  <si>
    <t>梁永生</t>
  </si>
  <si>
    <t>152326196409246877</t>
  </si>
  <si>
    <t>王散仁其格</t>
  </si>
  <si>
    <t>152326196601206867</t>
  </si>
  <si>
    <t>二等其其格</t>
  </si>
  <si>
    <t>152326196608096904</t>
  </si>
  <si>
    <t>田呼日德呼</t>
  </si>
  <si>
    <t>152326196902256868</t>
  </si>
  <si>
    <t>王金财</t>
  </si>
  <si>
    <t>152326196908146870</t>
  </si>
  <si>
    <t>梁福全</t>
  </si>
  <si>
    <t>152326197109066895</t>
  </si>
  <si>
    <t>李宝</t>
  </si>
  <si>
    <t>152326196303166879</t>
  </si>
  <si>
    <t>布合四其格</t>
  </si>
  <si>
    <t>152326196303066886</t>
  </si>
  <si>
    <t>朱青松</t>
  </si>
  <si>
    <t>152326196610196875</t>
  </si>
  <si>
    <t>包呼力高力涛</t>
  </si>
  <si>
    <t>152326197110256899</t>
  </si>
  <si>
    <t>吴小荣</t>
  </si>
  <si>
    <t>15232619720307148X</t>
  </si>
  <si>
    <t>梁勿力吉</t>
  </si>
  <si>
    <t>152326196001236878</t>
  </si>
  <si>
    <t>38100</t>
  </si>
  <si>
    <t>北大德号村2020年养老保险缴费名单</t>
  </si>
  <si>
    <t>北大德号村</t>
  </si>
  <si>
    <t>姜子玲</t>
  </si>
  <si>
    <t>152326196107176869</t>
  </si>
  <si>
    <t>王亚花</t>
  </si>
  <si>
    <t>152326196107266880</t>
  </si>
  <si>
    <t>文树芬</t>
  </si>
  <si>
    <t>152326196109196863</t>
  </si>
  <si>
    <t>张秀霞</t>
  </si>
  <si>
    <t>152326196110206862</t>
  </si>
  <si>
    <t>翟凤霞</t>
  </si>
  <si>
    <t>152326196111016884</t>
  </si>
  <si>
    <t>吴荣</t>
  </si>
  <si>
    <t>152326196111266875</t>
  </si>
  <si>
    <t>徐国良</t>
  </si>
  <si>
    <t>152326196112056896</t>
  </si>
  <si>
    <t>陈秀霞</t>
  </si>
  <si>
    <t>152326196112106865</t>
  </si>
  <si>
    <t>王淑霞</t>
  </si>
  <si>
    <t>152326196201026904</t>
  </si>
  <si>
    <t>于占福</t>
  </si>
  <si>
    <t>152326196201136898</t>
  </si>
  <si>
    <t>孙福</t>
  </si>
  <si>
    <t>152326196201166894</t>
  </si>
  <si>
    <t>正常脱贫</t>
  </si>
  <si>
    <t>李翠珍</t>
  </si>
  <si>
    <t>152326196203106887</t>
  </si>
  <si>
    <t>袁凤金</t>
  </si>
  <si>
    <t>152326196204076878</t>
  </si>
  <si>
    <t>杨凤娥</t>
  </si>
  <si>
    <t>152326196205206865</t>
  </si>
  <si>
    <t>沈翠英</t>
  </si>
  <si>
    <t>152326196205266868</t>
  </si>
  <si>
    <t>李国英</t>
  </si>
  <si>
    <t>152326196207106876</t>
  </si>
  <si>
    <t>于彩荣</t>
  </si>
  <si>
    <t>152326196207196867</t>
  </si>
  <si>
    <t>梅淑兰</t>
  </si>
  <si>
    <t>152326196207256866</t>
  </si>
  <si>
    <t>计翠云</t>
  </si>
  <si>
    <t>152326196209166864</t>
  </si>
  <si>
    <t>刘亚芝</t>
  </si>
  <si>
    <t>152326196210076866</t>
  </si>
  <si>
    <t>孙桂军</t>
  </si>
  <si>
    <t>152326196301196871</t>
  </si>
  <si>
    <t>肖振文</t>
  </si>
  <si>
    <t>152326196303116871</t>
  </si>
  <si>
    <t>廉井奎</t>
  </si>
  <si>
    <t>152326196306106871</t>
  </si>
  <si>
    <t>卜宪英</t>
  </si>
  <si>
    <t>152326196308096865</t>
  </si>
  <si>
    <t>于海金</t>
  </si>
  <si>
    <t>152326196309296893</t>
  </si>
  <si>
    <t>辛凤生</t>
  </si>
  <si>
    <t>152326196310016879</t>
  </si>
  <si>
    <t>任福明</t>
  </si>
  <si>
    <t>152326196311066878</t>
  </si>
  <si>
    <t>任福军</t>
  </si>
  <si>
    <t>152326196401186873</t>
  </si>
  <si>
    <t>计云杰</t>
  </si>
  <si>
    <t>152326196404096881</t>
  </si>
  <si>
    <t>刘亚芬</t>
  </si>
  <si>
    <t>152326196406066862</t>
  </si>
  <si>
    <t>林玉珍</t>
  </si>
  <si>
    <t>15232619640707686X</t>
  </si>
  <si>
    <t>孙贵云</t>
  </si>
  <si>
    <t>15232619640810691X</t>
  </si>
  <si>
    <t>丛佩玉</t>
  </si>
  <si>
    <t>152326196410306873</t>
  </si>
  <si>
    <t>史桂芬</t>
  </si>
  <si>
    <t>152326196501026906</t>
  </si>
  <si>
    <t>于坤</t>
  </si>
  <si>
    <t>152326196501236874</t>
  </si>
  <si>
    <t>曹秀清</t>
  </si>
  <si>
    <t>152326196507266871</t>
  </si>
  <si>
    <t>赵景荣</t>
  </si>
  <si>
    <t>152326196509016868</t>
  </si>
  <si>
    <t>赵志云</t>
  </si>
  <si>
    <t>152326196509066929</t>
  </si>
  <si>
    <t>152326196510156884</t>
  </si>
  <si>
    <t>李凤珍</t>
  </si>
  <si>
    <t>15232619651112688X</t>
  </si>
  <si>
    <t>连井荣</t>
  </si>
  <si>
    <t>152326196511146864</t>
  </si>
  <si>
    <t>宣文海</t>
  </si>
  <si>
    <t>152326196601206891</t>
  </si>
  <si>
    <t>15232619660214686X</t>
  </si>
  <si>
    <t>152326196602286969</t>
  </si>
  <si>
    <t>李井琴</t>
  </si>
  <si>
    <t>152326196605206880</t>
  </si>
  <si>
    <t>周俊新</t>
  </si>
  <si>
    <t>152326196605256888</t>
  </si>
  <si>
    <t>刁桂双</t>
  </si>
  <si>
    <t>152326196606066867</t>
  </si>
  <si>
    <t>康明</t>
  </si>
  <si>
    <t>15232619660824687X</t>
  </si>
  <si>
    <t>辛凤丽</t>
  </si>
  <si>
    <t>152326196609026860</t>
  </si>
  <si>
    <t>刘秀武</t>
  </si>
  <si>
    <t>152326196609066870</t>
  </si>
  <si>
    <t>李文青</t>
  </si>
  <si>
    <t>152326196611136890</t>
  </si>
  <si>
    <t>赵凤琴</t>
  </si>
  <si>
    <t>152326196703016861</t>
  </si>
  <si>
    <t>王霞</t>
  </si>
  <si>
    <t>152326196705086863</t>
  </si>
  <si>
    <t>孙淑花</t>
  </si>
  <si>
    <t>152326196707056860</t>
  </si>
  <si>
    <t>王翠贤</t>
  </si>
  <si>
    <t>152326196709106884</t>
  </si>
  <si>
    <t>连井学</t>
  </si>
  <si>
    <t>152326196710146891</t>
  </si>
  <si>
    <t>丛佩琢</t>
  </si>
  <si>
    <t>152326196711066914</t>
  </si>
  <si>
    <t>周俊娟</t>
  </si>
  <si>
    <t>152326196712156866</t>
  </si>
  <si>
    <t>张秀坤</t>
  </si>
  <si>
    <t>152326196801026879</t>
  </si>
  <si>
    <t>卜宪伍</t>
  </si>
  <si>
    <t>152326196801186872</t>
  </si>
  <si>
    <t>152326196803016893</t>
  </si>
  <si>
    <t>于海勇</t>
  </si>
  <si>
    <t>152326196804116896</t>
  </si>
  <si>
    <t>高艳春</t>
  </si>
  <si>
    <t>152326196804286887</t>
  </si>
  <si>
    <t>毛玉军</t>
  </si>
  <si>
    <t>152326196805036871</t>
  </si>
  <si>
    <t>曹军</t>
  </si>
  <si>
    <t>152326196805056872</t>
  </si>
  <si>
    <t>孙国军</t>
  </si>
  <si>
    <t>152326196805096874</t>
  </si>
  <si>
    <t>刘宗军</t>
  </si>
  <si>
    <t>15232619680710687X</t>
  </si>
  <si>
    <t>陈华</t>
  </si>
  <si>
    <t>152326196808046899</t>
  </si>
  <si>
    <t>宝哈日巴拉</t>
  </si>
  <si>
    <t>152326196808086874</t>
  </si>
  <si>
    <t>姜子连</t>
  </si>
  <si>
    <t>152326196811046881</t>
  </si>
  <si>
    <t>徐国辉</t>
  </si>
  <si>
    <t>152326196901046877</t>
  </si>
  <si>
    <t>宗玉花</t>
  </si>
  <si>
    <t>152326196906226869</t>
  </si>
  <si>
    <t>田永贵</t>
  </si>
  <si>
    <t>15232619690628687X</t>
  </si>
  <si>
    <t>白井树</t>
  </si>
  <si>
    <t>152326196908106879</t>
  </si>
  <si>
    <t>董玉凤</t>
  </si>
  <si>
    <t>152324196910261445</t>
  </si>
  <si>
    <t>张素雅</t>
  </si>
  <si>
    <t>152326196911216964</t>
  </si>
  <si>
    <t>刘秀环</t>
  </si>
  <si>
    <t>152326196912296863</t>
  </si>
  <si>
    <t>文树丽</t>
  </si>
  <si>
    <t>152326197001056863</t>
  </si>
  <si>
    <t>李振茹</t>
  </si>
  <si>
    <t>152326197001076880</t>
  </si>
  <si>
    <t>王金霞</t>
  </si>
  <si>
    <t>152326197003206861</t>
  </si>
  <si>
    <t>李文国</t>
  </si>
  <si>
    <t>152326197003256914</t>
  </si>
  <si>
    <t>张秀丽</t>
  </si>
  <si>
    <t>152326197005246904</t>
  </si>
  <si>
    <t>郝玉芹</t>
  </si>
  <si>
    <t>152326197006156863</t>
  </si>
  <si>
    <t>许春志</t>
  </si>
  <si>
    <t>152326197007236873</t>
  </si>
  <si>
    <t>许春山</t>
  </si>
  <si>
    <t>152326197008256892</t>
  </si>
  <si>
    <t>王淑琴</t>
  </si>
  <si>
    <t>152326197009196860</t>
  </si>
  <si>
    <t>曹勇</t>
  </si>
  <si>
    <t>152326197009236877</t>
  </si>
  <si>
    <t>徐国全</t>
  </si>
  <si>
    <t>152326197010116872</t>
  </si>
  <si>
    <t>王树峰</t>
  </si>
  <si>
    <t>152326197011076876</t>
  </si>
  <si>
    <t>刘宗华</t>
  </si>
  <si>
    <t>152326197011266872</t>
  </si>
  <si>
    <t>于秀花</t>
  </si>
  <si>
    <t>152326197101126865</t>
  </si>
  <si>
    <t>杨秀文</t>
  </si>
  <si>
    <t>152326197102026874</t>
  </si>
  <si>
    <t>张作臣</t>
  </si>
  <si>
    <t>152326197105236877</t>
  </si>
  <si>
    <t>赵殿臣</t>
  </si>
  <si>
    <t>152326197105246872</t>
  </si>
  <si>
    <t>曹淑贤</t>
  </si>
  <si>
    <t>152326197108166886</t>
  </si>
  <si>
    <t>孙桂芝</t>
  </si>
  <si>
    <t>152326197108226906</t>
  </si>
  <si>
    <t>廉井五</t>
  </si>
  <si>
    <t>152326197111246879</t>
  </si>
  <si>
    <t>张志福</t>
  </si>
  <si>
    <t>152326197112156912</t>
  </si>
  <si>
    <t>田永芹</t>
  </si>
  <si>
    <t>210682197203165461</t>
  </si>
  <si>
    <t>张俊红</t>
  </si>
  <si>
    <t>152326197203296881</t>
  </si>
  <si>
    <t>王文国</t>
  </si>
  <si>
    <t>15232619720524687X</t>
  </si>
  <si>
    <t>李连英</t>
  </si>
  <si>
    <t>152326197206046888</t>
  </si>
  <si>
    <t>丛佩珍</t>
  </si>
  <si>
    <t>152326197206066862</t>
  </si>
  <si>
    <t>曹杰</t>
  </si>
  <si>
    <t>152326197206116874</t>
  </si>
  <si>
    <t>雷慧荣</t>
  </si>
  <si>
    <t>152326197208186884</t>
  </si>
  <si>
    <t>李秀丽</t>
  </si>
  <si>
    <t>15232619721010688X</t>
  </si>
  <si>
    <t>于彩香</t>
  </si>
  <si>
    <t>15232619721117688X</t>
  </si>
  <si>
    <t>李文同</t>
  </si>
  <si>
    <t>152326197211206874</t>
  </si>
  <si>
    <t>王文亮</t>
  </si>
  <si>
    <t>152326197302056883</t>
  </si>
  <si>
    <t>黄亚连</t>
  </si>
  <si>
    <t>152326197302076884</t>
  </si>
  <si>
    <t>王树辉</t>
  </si>
  <si>
    <t>15232619730220687X</t>
  </si>
  <si>
    <t>刘艳珍</t>
  </si>
  <si>
    <t>152326197302236884</t>
  </si>
  <si>
    <t>申九林</t>
  </si>
  <si>
    <t>152326197304296899</t>
  </si>
  <si>
    <t>崔秀华</t>
  </si>
  <si>
    <t>152326197304306866</t>
  </si>
  <si>
    <t>辛凤雨</t>
  </si>
  <si>
    <t>15232619730511687X</t>
  </si>
  <si>
    <t>陈义</t>
  </si>
  <si>
    <t>152326197305206875</t>
  </si>
  <si>
    <t>赵树祥</t>
  </si>
  <si>
    <t>152326197305256872</t>
  </si>
  <si>
    <t>许春勇</t>
  </si>
  <si>
    <t>152326197306026876</t>
  </si>
  <si>
    <t>卜宪军</t>
  </si>
  <si>
    <t>152326197308016874</t>
  </si>
  <si>
    <t>石亚华</t>
  </si>
  <si>
    <t>152326197308096886</t>
  </si>
  <si>
    <t>连井龙</t>
  </si>
  <si>
    <t>15232619730810687X</t>
  </si>
  <si>
    <t>张秀军</t>
  </si>
  <si>
    <t>152326197309136878</t>
  </si>
  <si>
    <t>张秀苹</t>
  </si>
  <si>
    <t>152326197310296860</t>
  </si>
  <si>
    <t>葛淑霞</t>
  </si>
  <si>
    <t>152326197311216869</t>
  </si>
  <si>
    <t>刘亚成</t>
  </si>
  <si>
    <t>152326197311256879</t>
  </si>
  <si>
    <t>赵殿华</t>
  </si>
  <si>
    <t>152326197401066876</t>
  </si>
  <si>
    <t>刘宗祥</t>
  </si>
  <si>
    <t>152326197402196875</t>
  </si>
  <si>
    <t>林淑杰</t>
  </si>
  <si>
    <t>152324197403021425</t>
  </si>
  <si>
    <t>宣文国</t>
  </si>
  <si>
    <t>152326197403106878</t>
  </si>
  <si>
    <t>于洪祥</t>
  </si>
  <si>
    <t>152326197404256878</t>
  </si>
  <si>
    <t>刘秀华</t>
  </si>
  <si>
    <t>152326197406236862</t>
  </si>
  <si>
    <t>于德海</t>
  </si>
  <si>
    <t>152326197412176878</t>
  </si>
  <si>
    <t>隋春香</t>
  </si>
  <si>
    <t>152326197412206862</t>
  </si>
  <si>
    <t>蒲金凤</t>
  </si>
  <si>
    <t>15232619750324686X</t>
  </si>
  <si>
    <t>赵国军</t>
  </si>
  <si>
    <t>152326197504256875</t>
  </si>
  <si>
    <t>王树良</t>
  </si>
  <si>
    <t>152326197509256874</t>
  </si>
  <si>
    <t>卜宪红</t>
  </si>
  <si>
    <t>152326197510186869</t>
  </si>
  <si>
    <t>张金苹</t>
  </si>
  <si>
    <t>152326197511126884</t>
  </si>
  <si>
    <t>152326197511126905</t>
  </si>
  <si>
    <t>赵树军</t>
  </si>
  <si>
    <t>152326197602026870</t>
  </si>
  <si>
    <t>常云华</t>
  </si>
  <si>
    <t>152326197603196900</t>
  </si>
  <si>
    <t>李德军</t>
  </si>
  <si>
    <t>152326197605026876</t>
  </si>
  <si>
    <t>曹辉</t>
  </si>
  <si>
    <t>15232619760825687X</t>
  </si>
  <si>
    <t>徐东伟</t>
  </si>
  <si>
    <t>152326197609186877</t>
  </si>
  <si>
    <t>镡玉梅</t>
  </si>
  <si>
    <t>152326197610036868</t>
  </si>
  <si>
    <t>张春玲</t>
  </si>
  <si>
    <t>152326197611236861</t>
  </si>
  <si>
    <t>连井军</t>
  </si>
  <si>
    <t>152326197612306876</t>
  </si>
  <si>
    <t>文树辉</t>
  </si>
  <si>
    <t>152326197701026892</t>
  </si>
  <si>
    <t>刘彦东</t>
  </si>
  <si>
    <t>152326197704216878</t>
  </si>
  <si>
    <t>赵志燕</t>
  </si>
  <si>
    <t>152326197704296863</t>
  </si>
  <si>
    <t>李井峰</t>
  </si>
  <si>
    <t>15232619771011689X</t>
  </si>
  <si>
    <t>吴海军</t>
  </si>
  <si>
    <t>15232619771118689X</t>
  </si>
  <si>
    <t>辛凤顺</t>
  </si>
  <si>
    <t>152326197803026893</t>
  </si>
  <si>
    <t>李铁花</t>
  </si>
  <si>
    <t>15232619780328688X</t>
  </si>
  <si>
    <t>康永红</t>
  </si>
  <si>
    <t>152326197806166867</t>
  </si>
  <si>
    <t>宣文秀</t>
  </si>
  <si>
    <t>152326197809166889</t>
  </si>
  <si>
    <t>152326197811056865</t>
  </si>
  <si>
    <t>崔艳辉</t>
  </si>
  <si>
    <t>15232619781208688X</t>
  </si>
  <si>
    <t>孟繁华</t>
  </si>
  <si>
    <t>152326197812236876</t>
  </si>
  <si>
    <t>王树军</t>
  </si>
  <si>
    <t>152326197901276896</t>
  </si>
  <si>
    <t>徐东艳</t>
  </si>
  <si>
    <t>152326197906136868</t>
  </si>
  <si>
    <t>郑凤丽</t>
  </si>
  <si>
    <t>152122197910054543</t>
  </si>
  <si>
    <t>于洪志</t>
  </si>
  <si>
    <t>152326197911166877</t>
  </si>
  <si>
    <t>赵殿国</t>
  </si>
  <si>
    <t>152326198001086872</t>
  </si>
  <si>
    <t>隋春连</t>
  </si>
  <si>
    <t>15232619800117686X</t>
  </si>
  <si>
    <t>孙宝明</t>
  </si>
  <si>
    <t>152326198002016876</t>
  </si>
  <si>
    <t>白艳华</t>
  </si>
  <si>
    <t>152326198004266860</t>
  </si>
  <si>
    <t>刘亚中</t>
  </si>
  <si>
    <t>152326198010016876</t>
  </si>
  <si>
    <t>隋春树</t>
  </si>
  <si>
    <t>152326198010246874</t>
  </si>
  <si>
    <t>隋春伟</t>
  </si>
  <si>
    <t>152326198101146879</t>
  </si>
  <si>
    <t>152326198102237123</t>
  </si>
  <si>
    <t>祁广成</t>
  </si>
  <si>
    <t>152326198104176870</t>
  </si>
  <si>
    <t>梁艳</t>
  </si>
  <si>
    <t>152326198106206869</t>
  </si>
  <si>
    <t>152326198202166895</t>
  </si>
  <si>
    <t>孟繁祥</t>
  </si>
  <si>
    <t>152326198211066896</t>
  </si>
  <si>
    <t>张志胜</t>
  </si>
  <si>
    <t>152326198212306871</t>
  </si>
  <si>
    <t>郑秀玲</t>
  </si>
  <si>
    <t>152326198301146865</t>
  </si>
  <si>
    <t>魏艳霞</t>
  </si>
  <si>
    <t>152326198302276864</t>
  </si>
  <si>
    <t>文振卫</t>
  </si>
  <si>
    <t>152326198304156874</t>
  </si>
  <si>
    <t>王文靖</t>
  </si>
  <si>
    <t>152326198305286873</t>
  </si>
  <si>
    <t>孟繁泳</t>
  </si>
  <si>
    <t>152326198306286875</t>
  </si>
  <si>
    <t>孙凤芹</t>
  </si>
  <si>
    <t>152326198307196863</t>
  </si>
  <si>
    <t>刘国伟</t>
  </si>
  <si>
    <t>152326198309046877</t>
  </si>
  <si>
    <t>梁增</t>
  </si>
  <si>
    <t>152326198309106876</t>
  </si>
  <si>
    <t>尹胡玉</t>
  </si>
  <si>
    <t>152326198311126876</t>
  </si>
  <si>
    <t>李光辉</t>
  </si>
  <si>
    <t>15232619840104687X</t>
  </si>
  <si>
    <t>张月华</t>
  </si>
  <si>
    <t>152326198403176627</t>
  </si>
  <si>
    <t>季学红</t>
  </si>
  <si>
    <t>152326198403256889</t>
  </si>
  <si>
    <t>刘亚学</t>
  </si>
  <si>
    <t>152326198406176876</t>
  </si>
  <si>
    <t>曹健</t>
  </si>
  <si>
    <t>152326198410106870</t>
  </si>
  <si>
    <t>佟向丽</t>
  </si>
  <si>
    <t>15232619841020688X</t>
  </si>
  <si>
    <t>董艳玲</t>
  </si>
  <si>
    <t>152326198502136903</t>
  </si>
  <si>
    <t>范淑宝</t>
  </si>
  <si>
    <t>152326198503116883</t>
  </si>
  <si>
    <t>于万香</t>
  </si>
  <si>
    <t>152324198503221429</t>
  </si>
  <si>
    <t>马国红</t>
  </si>
  <si>
    <t>152326198503281205</t>
  </si>
  <si>
    <t>时艳华</t>
  </si>
  <si>
    <t>152326198505116887</t>
  </si>
  <si>
    <t>田隆</t>
  </si>
  <si>
    <t>152326198506096873</t>
  </si>
  <si>
    <t>卜宪辉</t>
  </si>
  <si>
    <t>152326198512156879</t>
  </si>
  <si>
    <t>任小磊</t>
  </si>
  <si>
    <t>152326198602146877</t>
  </si>
  <si>
    <t>刘福强</t>
  </si>
  <si>
    <t>152326198604086871</t>
  </si>
  <si>
    <t>魏艳秋</t>
  </si>
  <si>
    <t>152326198607226892</t>
  </si>
  <si>
    <t>张艳丽</t>
  </si>
  <si>
    <t>152326198607306884</t>
  </si>
  <si>
    <t>吴亚静</t>
  </si>
  <si>
    <t>15232619860918688X</t>
  </si>
  <si>
    <t>计彩娟</t>
  </si>
  <si>
    <t>152326198610226885</t>
  </si>
  <si>
    <t>连玉成</t>
  </si>
  <si>
    <t>152326198701046871</t>
  </si>
  <si>
    <t>宝撒日那</t>
  </si>
  <si>
    <t>152326198701156886</t>
  </si>
  <si>
    <t>孙永波</t>
  </si>
  <si>
    <t>152326198702046881</t>
  </si>
  <si>
    <t>任小艳</t>
  </si>
  <si>
    <t>152326198702256889</t>
  </si>
  <si>
    <t>孙宝利</t>
  </si>
  <si>
    <t>152326198709096873</t>
  </si>
  <si>
    <t>刘小溪</t>
  </si>
  <si>
    <t>152324198711161424</t>
  </si>
  <si>
    <t>连玉凤</t>
  </si>
  <si>
    <t>15232619880214688X</t>
  </si>
  <si>
    <t>曹利</t>
  </si>
  <si>
    <t>152326198809116878</t>
  </si>
  <si>
    <t>宣耀凤</t>
  </si>
  <si>
    <t>152326198809166904</t>
  </si>
  <si>
    <t>曲营营</t>
  </si>
  <si>
    <t>152326198810206889</t>
  </si>
  <si>
    <t>董艳平</t>
  </si>
  <si>
    <t>152326198811216886</t>
  </si>
  <si>
    <t>马永辉</t>
  </si>
  <si>
    <t>152326198903246927</t>
  </si>
  <si>
    <t>连玉柱</t>
  </si>
  <si>
    <t>152326198907216872</t>
  </si>
  <si>
    <t>丛日明</t>
  </si>
  <si>
    <t>152326199003156875</t>
  </si>
  <si>
    <t>丛日光</t>
  </si>
  <si>
    <t>152326199003156891</t>
  </si>
  <si>
    <t>152324199005071442</t>
  </si>
  <si>
    <t>徐小垒</t>
  </si>
  <si>
    <t>152326199008226895</t>
  </si>
  <si>
    <t>翟泽伟</t>
  </si>
  <si>
    <t>152326199008246888</t>
  </si>
  <si>
    <t>152326199012096886</t>
  </si>
  <si>
    <t>于德江</t>
  </si>
  <si>
    <t>152326199107186876</t>
  </si>
  <si>
    <t>于桂花</t>
  </si>
  <si>
    <t>152326199207046889</t>
  </si>
  <si>
    <t>勾明岩</t>
  </si>
  <si>
    <t>152326199207236885</t>
  </si>
  <si>
    <t>张东华</t>
  </si>
  <si>
    <t>152326199303266873</t>
  </si>
  <si>
    <t>连玉玲</t>
  </si>
  <si>
    <t>152326199305216888</t>
  </si>
  <si>
    <t>陈佳楠</t>
  </si>
  <si>
    <t>152326199401036895</t>
  </si>
  <si>
    <t>张海金</t>
  </si>
  <si>
    <t>152326199612246876</t>
  </si>
  <si>
    <t>于利轩</t>
  </si>
  <si>
    <t>152324199911251138</t>
  </si>
  <si>
    <t>高虎成</t>
  </si>
  <si>
    <t>152326198112016893</t>
  </si>
  <si>
    <t>152326197501122281</t>
  </si>
  <si>
    <t>刘亚波</t>
  </si>
  <si>
    <t>152326198005276876</t>
  </si>
  <si>
    <t>魏艳红</t>
  </si>
  <si>
    <t>15232619840909688X</t>
  </si>
  <si>
    <t>曹淑新</t>
  </si>
  <si>
    <t>152326197602286867</t>
  </si>
  <si>
    <t>李国深</t>
  </si>
  <si>
    <t>152326196410126872</t>
  </si>
  <si>
    <t>计翠凤</t>
  </si>
  <si>
    <t>152326196605036869</t>
  </si>
  <si>
    <t>邓凤忠</t>
  </si>
  <si>
    <t>152326196208246870</t>
  </si>
  <si>
    <t>北大德号</t>
  </si>
  <si>
    <t>朱文章</t>
  </si>
  <si>
    <t>152326196003086893</t>
  </si>
  <si>
    <t>南大德号嘎查2020年养老保险缴费名单</t>
  </si>
  <si>
    <t>南大德号</t>
  </si>
  <si>
    <t>包白堂</t>
  </si>
  <si>
    <t>152326196207246908</t>
  </si>
  <si>
    <t>樊素英</t>
  </si>
  <si>
    <t>152326197212227124</t>
  </si>
  <si>
    <t>包晨龙</t>
  </si>
  <si>
    <t>152326197011096877</t>
  </si>
  <si>
    <t>包益博</t>
  </si>
  <si>
    <t>15232619890803689X</t>
  </si>
  <si>
    <t>周井龙</t>
  </si>
  <si>
    <t>152326196603166870</t>
  </si>
  <si>
    <t>宝宝剑</t>
  </si>
  <si>
    <t>15232619780902686X</t>
  </si>
  <si>
    <t>卜庆文</t>
  </si>
  <si>
    <t>152326197305276873</t>
  </si>
  <si>
    <t>王超</t>
  </si>
  <si>
    <t>152326198204046870</t>
  </si>
  <si>
    <t>张俊东</t>
  </si>
  <si>
    <t>152326198008036894</t>
  </si>
  <si>
    <t>姜海云</t>
  </si>
  <si>
    <t>152326198012136863</t>
  </si>
  <si>
    <t>152326196912146873</t>
  </si>
  <si>
    <t>建档立卡</t>
  </si>
  <si>
    <t>白新华</t>
  </si>
  <si>
    <t>152326196708016887</t>
  </si>
  <si>
    <t>马术绿色</t>
  </si>
  <si>
    <t>15232619621227687X</t>
  </si>
  <si>
    <t>包田喜</t>
  </si>
  <si>
    <t>152326196707266868</t>
  </si>
  <si>
    <t>梁初一</t>
  </si>
  <si>
    <t>152326196908016910</t>
  </si>
  <si>
    <t>包格日勒</t>
  </si>
  <si>
    <t>152326197011306862</t>
  </si>
  <si>
    <t>常云锋</t>
  </si>
  <si>
    <t>152326197112206895</t>
  </si>
  <si>
    <t>邢文艳</t>
  </si>
  <si>
    <t>152326197208096862</t>
  </si>
  <si>
    <t>王国军</t>
  </si>
  <si>
    <t>152326196604126897</t>
  </si>
  <si>
    <t>赵桂红</t>
  </si>
  <si>
    <t>152326197103296884</t>
  </si>
  <si>
    <t>张俊生</t>
  </si>
  <si>
    <t>152326197902136879</t>
  </si>
  <si>
    <t>常云霞</t>
  </si>
  <si>
    <t>152326198102086900</t>
  </si>
  <si>
    <t>邢明德</t>
  </si>
  <si>
    <t>152326197312096870</t>
  </si>
  <si>
    <t>石海平</t>
  </si>
  <si>
    <t>152326197110187141</t>
  </si>
  <si>
    <t>邢文兰</t>
  </si>
  <si>
    <t>152326196801206861</t>
  </si>
  <si>
    <t>152326196212046871</t>
  </si>
  <si>
    <t>左福海</t>
  </si>
  <si>
    <t>15232619680817687X</t>
  </si>
  <si>
    <t>王明文</t>
  </si>
  <si>
    <t>152326196401036875</t>
  </si>
  <si>
    <t>李秀凤</t>
  </si>
  <si>
    <t>152326196402146865</t>
  </si>
  <si>
    <t>周景民</t>
  </si>
  <si>
    <t>152326196401056892</t>
  </si>
  <si>
    <t>雷兆云</t>
  </si>
  <si>
    <t>152326196212246865</t>
  </si>
  <si>
    <t>孙德林</t>
  </si>
  <si>
    <t>152326196811206873</t>
  </si>
  <si>
    <t>152326197006306884</t>
  </si>
  <si>
    <t>尹田晓</t>
  </si>
  <si>
    <t>152326196201166886</t>
  </si>
  <si>
    <t>康玉荣</t>
  </si>
  <si>
    <t>152326196309206886</t>
  </si>
  <si>
    <t>梁清山</t>
  </si>
  <si>
    <t>152326198711036896</t>
  </si>
  <si>
    <t>隋景花</t>
  </si>
  <si>
    <t>15232619630928688X</t>
  </si>
  <si>
    <t>李玉香</t>
  </si>
  <si>
    <t>152326197201136868</t>
  </si>
  <si>
    <t>包那顺白音</t>
  </si>
  <si>
    <t>15232619671005687X</t>
  </si>
  <si>
    <t>152326196905116887</t>
  </si>
  <si>
    <t>修瑞岐</t>
  </si>
  <si>
    <t>152326196711156872</t>
  </si>
  <si>
    <t>苑庆玲</t>
  </si>
  <si>
    <t>152326196504066882</t>
  </si>
  <si>
    <t>王小义</t>
  </si>
  <si>
    <t>15232619700427687X</t>
  </si>
  <si>
    <t>修瑞霞</t>
  </si>
  <si>
    <t>152326196908106887</t>
  </si>
  <si>
    <t>王晓富</t>
  </si>
  <si>
    <t>152326197901156878</t>
  </si>
  <si>
    <t>孙冬梅</t>
  </si>
  <si>
    <t>152326198210306886</t>
  </si>
  <si>
    <t>周景祥</t>
  </si>
  <si>
    <t>152326197108266879</t>
  </si>
  <si>
    <t>韩凤霞</t>
  </si>
  <si>
    <t>152326197202126880</t>
  </si>
  <si>
    <t>卜范军</t>
  </si>
  <si>
    <t>15232619820314687X</t>
  </si>
  <si>
    <t>包三月</t>
  </si>
  <si>
    <t>152326196403016878</t>
  </si>
  <si>
    <t>吴领小</t>
  </si>
  <si>
    <t>152326196204016904</t>
  </si>
  <si>
    <t>李少军</t>
  </si>
  <si>
    <t>152326197311146872</t>
  </si>
  <si>
    <t>滕艳红</t>
  </si>
  <si>
    <t>15232619700810686X</t>
  </si>
  <si>
    <t>修瑞新</t>
  </si>
  <si>
    <t>152326197112026931</t>
  </si>
  <si>
    <t>曲彬</t>
  </si>
  <si>
    <t>152326196507136874</t>
  </si>
  <si>
    <t>朱殿芝</t>
  </si>
  <si>
    <t>152326196401256886</t>
  </si>
  <si>
    <t>李铁庄</t>
  </si>
  <si>
    <t>152326197408146879</t>
  </si>
  <si>
    <t>吴英歌</t>
  </si>
  <si>
    <t>152326197409146889</t>
  </si>
  <si>
    <t>单伟</t>
  </si>
  <si>
    <t>152326198002046872</t>
  </si>
  <si>
    <t>单玉龙</t>
  </si>
  <si>
    <t>152326196203156876</t>
  </si>
  <si>
    <t>王晓梅</t>
  </si>
  <si>
    <t>152326196209206862</t>
  </si>
  <si>
    <t>包图门白音</t>
  </si>
  <si>
    <t>152326196705296879</t>
  </si>
  <si>
    <t>韩雨路</t>
  </si>
  <si>
    <t>152326196405036880</t>
  </si>
  <si>
    <t>单福林</t>
  </si>
  <si>
    <t>15232619690329687X</t>
  </si>
  <si>
    <t>牟凤珍</t>
  </si>
  <si>
    <t>152326196806026886</t>
  </si>
  <si>
    <t>包根锁</t>
  </si>
  <si>
    <t>152326197012066872</t>
  </si>
  <si>
    <t>白金良</t>
  </si>
  <si>
    <t>152326197501076887</t>
  </si>
  <si>
    <t>周景军</t>
  </si>
  <si>
    <t>152326196811056879</t>
  </si>
  <si>
    <t>任艳杰</t>
  </si>
  <si>
    <t>152326196803056860</t>
  </si>
  <si>
    <t>邢明军</t>
  </si>
  <si>
    <t>152326198011146875</t>
  </si>
  <si>
    <t>低保、建档立卡</t>
  </si>
  <si>
    <t>赵景梅</t>
  </si>
  <si>
    <t>152326197810076880</t>
  </si>
  <si>
    <t>张艳龙</t>
  </si>
  <si>
    <t>152326196802146899</t>
  </si>
  <si>
    <t>何秀英</t>
  </si>
  <si>
    <t>152326197212245082</t>
  </si>
  <si>
    <t>马巴图白音</t>
  </si>
  <si>
    <t>152326197412116875</t>
  </si>
  <si>
    <t>达拉呼</t>
  </si>
  <si>
    <t>152326197502146883</t>
  </si>
  <si>
    <t>王树民</t>
  </si>
  <si>
    <t>152326197112186898</t>
  </si>
  <si>
    <t>吴亚文</t>
  </si>
  <si>
    <t>152326197209306884</t>
  </si>
  <si>
    <t>马搞套搞</t>
  </si>
  <si>
    <t>152326196412096873</t>
  </si>
  <si>
    <t>梁三等格勒</t>
  </si>
  <si>
    <t>152326196502256869</t>
  </si>
  <si>
    <t>李淑杰</t>
  </si>
  <si>
    <t>152326196202036864</t>
  </si>
  <si>
    <t>白玉兰</t>
  </si>
  <si>
    <t>150525197406120029</t>
  </si>
  <si>
    <t>包金</t>
  </si>
  <si>
    <t>152326197510186893</t>
  </si>
  <si>
    <t xml:space="preserve">低保 </t>
  </si>
  <si>
    <t>单凤英</t>
  </si>
  <si>
    <t>152326197405076887</t>
  </si>
  <si>
    <t>马好日老</t>
  </si>
  <si>
    <t>152326196901066878</t>
  </si>
  <si>
    <t>高格日乐</t>
  </si>
  <si>
    <t>15232619680706688X</t>
  </si>
  <si>
    <t>王树锋</t>
  </si>
  <si>
    <t>152326197411266871</t>
  </si>
  <si>
    <t>苑庆艳</t>
  </si>
  <si>
    <t>152326197208266868</t>
  </si>
  <si>
    <t>单艳军</t>
  </si>
  <si>
    <t>152326198501276875</t>
  </si>
  <si>
    <t>孙红艳</t>
  </si>
  <si>
    <t>152326198509286883</t>
  </si>
  <si>
    <t>张海明</t>
  </si>
  <si>
    <t>15232619811212689X</t>
  </si>
  <si>
    <t>阿希达</t>
  </si>
  <si>
    <t>152326200208166896</t>
  </si>
  <si>
    <t>包胡日勒</t>
  </si>
  <si>
    <t>152326197010136873</t>
  </si>
  <si>
    <t>马四芹</t>
  </si>
  <si>
    <t>152326197207106889</t>
  </si>
  <si>
    <t>包金祥</t>
  </si>
  <si>
    <t>152326197102206875</t>
  </si>
  <si>
    <t>常其格</t>
  </si>
  <si>
    <t>152326197109276884</t>
  </si>
  <si>
    <t>周井忠</t>
  </si>
  <si>
    <t>152326197110266878</t>
  </si>
  <si>
    <t>宦翠云</t>
  </si>
  <si>
    <t>152326197502186869</t>
  </si>
  <si>
    <t>王根锁</t>
  </si>
  <si>
    <t>152326197809056874</t>
  </si>
  <si>
    <t>吴田小</t>
  </si>
  <si>
    <t>15232619811227688X</t>
  </si>
  <si>
    <t>单艳民</t>
  </si>
  <si>
    <t>15232619851006687X</t>
  </si>
  <si>
    <t>王中华</t>
  </si>
  <si>
    <t>152326198201206891</t>
  </si>
  <si>
    <t>苑庆荣</t>
  </si>
  <si>
    <t>152326198512146881</t>
  </si>
  <si>
    <t>孟庆云</t>
  </si>
  <si>
    <t>152326196211176869</t>
  </si>
  <si>
    <t>谢俊杰</t>
  </si>
  <si>
    <t>152326196608176875</t>
  </si>
  <si>
    <t>马格日乐</t>
  </si>
  <si>
    <t>152326196410056923</t>
  </si>
  <si>
    <t>李少明</t>
  </si>
  <si>
    <t>15232619651119687X</t>
  </si>
  <si>
    <t>邢文花</t>
  </si>
  <si>
    <t>152326196312076867</t>
  </si>
  <si>
    <t>包金海</t>
  </si>
  <si>
    <t>152326196802256895</t>
  </si>
  <si>
    <t>陈银梅</t>
  </si>
  <si>
    <t>152326196608151483</t>
  </si>
  <si>
    <t>梁志义</t>
  </si>
  <si>
    <t>152326196307076870</t>
  </si>
  <si>
    <t>于格西格</t>
  </si>
  <si>
    <t>152326196801066897</t>
  </si>
  <si>
    <t>赵旭霞</t>
  </si>
  <si>
    <t>152326196607026867</t>
  </si>
  <si>
    <t>于常所</t>
  </si>
  <si>
    <t>152326198301226873</t>
  </si>
  <si>
    <t>包春香</t>
  </si>
  <si>
    <t>152322198401012121</t>
  </si>
  <si>
    <t>陈玉连</t>
  </si>
  <si>
    <t>152326196302046867</t>
  </si>
  <si>
    <t>包胜海</t>
  </si>
  <si>
    <t>152326198807256877</t>
  </si>
  <si>
    <t>孙士华</t>
  </si>
  <si>
    <t>152326196802106870</t>
  </si>
  <si>
    <t>单勇</t>
  </si>
  <si>
    <t>152326197403056890</t>
  </si>
  <si>
    <t>152326197511276882</t>
  </si>
  <si>
    <t>单淑倩</t>
  </si>
  <si>
    <t>152326199802026903</t>
  </si>
  <si>
    <t>常铁山</t>
  </si>
  <si>
    <t>152326198301116877</t>
  </si>
  <si>
    <t>王金莲</t>
  </si>
  <si>
    <t>152326198602096881</t>
  </si>
  <si>
    <t>宝云芹</t>
  </si>
  <si>
    <t>152326196802126863</t>
  </si>
  <si>
    <t>梁长明</t>
  </si>
  <si>
    <t>152326196708226876</t>
  </si>
  <si>
    <t>吴红艳</t>
  </si>
  <si>
    <t>15232619731027686X</t>
  </si>
  <si>
    <t>152326197907246882</t>
  </si>
  <si>
    <t>孙宝军</t>
  </si>
  <si>
    <t>152326197706166878</t>
  </si>
  <si>
    <t>德力格</t>
  </si>
  <si>
    <t>152326197209286895</t>
  </si>
  <si>
    <t>霍建华</t>
  </si>
  <si>
    <t>152326197504256883</t>
  </si>
  <si>
    <t>张明志</t>
  </si>
  <si>
    <t>152326196309266870</t>
  </si>
  <si>
    <t>王月兰</t>
  </si>
  <si>
    <t>152326196511056885</t>
  </si>
  <si>
    <t>马四勒格冷</t>
  </si>
  <si>
    <t>152326198002086874</t>
  </si>
  <si>
    <t>王银花</t>
  </si>
  <si>
    <t>152326198010066881</t>
  </si>
  <si>
    <t>单洪奎</t>
  </si>
  <si>
    <t>152326196202186870</t>
  </si>
  <si>
    <t>许采荣</t>
  </si>
  <si>
    <t>152326196303066907</t>
  </si>
  <si>
    <t>木义银</t>
  </si>
  <si>
    <t>152326196808131487</t>
  </si>
  <si>
    <t>低保建档立卡</t>
  </si>
  <si>
    <t>孙亚彬</t>
  </si>
  <si>
    <t>152326196604086872</t>
  </si>
  <si>
    <t>左常云</t>
  </si>
  <si>
    <t>152326196803176862</t>
  </si>
  <si>
    <t>滚都</t>
  </si>
  <si>
    <t>152326197004056877</t>
  </si>
  <si>
    <t>包喜荣</t>
  </si>
  <si>
    <t>152326197301276868</t>
  </si>
  <si>
    <t>包吉木苏</t>
  </si>
  <si>
    <t>152326197508266907</t>
  </si>
  <si>
    <t>王喜坤</t>
  </si>
  <si>
    <t>15232619680120687X</t>
  </si>
  <si>
    <t>李秀霞</t>
  </si>
  <si>
    <t>152325196603236887</t>
  </si>
  <si>
    <t>王树申</t>
  </si>
  <si>
    <t>152326196209076877</t>
  </si>
  <si>
    <t>周井芬</t>
  </si>
  <si>
    <t>152326196204026889</t>
  </si>
  <si>
    <t>梁常海</t>
  </si>
  <si>
    <t>152326197611156896</t>
  </si>
  <si>
    <t>152326197206186872</t>
  </si>
  <si>
    <t>席海云</t>
  </si>
  <si>
    <t>152326197608156860</t>
  </si>
  <si>
    <t>单玉海</t>
  </si>
  <si>
    <t>152326196101256876</t>
  </si>
  <si>
    <t>郭素珍</t>
  </si>
  <si>
    <t>152326196103206864</t>
  </si>
  <si>
    <t>左凤民</t>
  </si>
  <si>
    <t>152326196402286876</t>
  </si>
  <si>
    <t>张树荣</t>
  </si>
  <si>
    <t>152326196502286902</t>
  </si>
  <si>
    <t>单福春</t>
  </si>
  <si>
    <t>152326196201036897</t>
  </si>
  <si>
    <t>宦翠兰</t>
  </si>
  <si>
    <t>152326196201176865</t>
  </si>
  <si>
    <t>张洪</t>
  </si>
  <si>
    <t>15232619621104687X</t>
  </si>
  <si>
    <t>刘桂芝</t>
  </si>
  <si>
    <t>152326196305206862</t>
  </si>
  <si>
    <t>单福东</t>
  </si>
  <si>
    <t>152326197601226870</t>
  </si>
  <si>
    <t>刘艳枝</t>
  </si>
  <si>
    <t>15232619761102712X</t>
  </si>
  <si>
    <t>152326196906026875</t>
  </si>
  <si>
    <t>宣淑玲</t>
  </si>
  <si>
    <t>152326197102166869</t>
  </si>
  <si>
    <t>刘翠香</t>
  </si>
  <si>
    <t>152326197311196888</t>
  </si>
  <si>
    <t>孙士祥</t>
  </si>
  <si>
    <t>152326197502046874</t>
  </si>
  <si>
    <t>刁桂荣</t>
  </si>
  <si>
    <t>152326196211236921</t>
  </si>
  <si>
    <t>王亮</t>
  </si>
  <si>
    <t>152326197307106894</t>
  </si>
  <si>
    <t>那仁图雅</t>
  </si>
  <si>
    <t>152324197401253329</t>
  </si>
  <si>
    <t>没刷身份证</t>
  </si>
  <si>
    <t>常凤国</t>
  </si>
  <si>
    <t>152326196011186878</t>
  </si>
  <si>
    <t>王喜凤</t>
  </si>
  <si>
    <t>152326196209246864</t>
  </si>
  <si>
    <t>王常锁</t>
  </si>
  <si>
    <t>152326197010106877</t>
  </si>
  <si>
    <t>宝敖道呼</t>
  </si>
  <si>
    <t>15232619710701686X</t>
  </si>
  <si>
    <t>包七十三</t>
  </si>
  <si>
    <t>152326196801176877</t>
  </si>
  <si>
    <t>王喜枝</t>
  </si>
  <si>
    <t>152326196505176864</t>
  </si>
  <si>
    <t>单峰</t>
  </si>
  <si>
    <t>152326198108246872</t>
  </si>
  <si>
    <t>王丽红</t>
  </si>
  <si>
    <t>152326198310106865</t>
  </si>
  <si>
    <t>孙士忠</t>
  </si>
  <si>
    <t>152326196506246879</t>
  </si>
  <si>
    <t>雷凤云</t>
  </si>
  <si>
    <t>15232619650112686X</t>
  </si>
  <si>
    <t>单福刚</t>
  </si>
  <si>
    <t>152326197309016876</t>
  </si>
  <si>
    <t>赵玉香</t>
  </si>
  <si>
    <t>152326197401236863</t>
  </si>
  <si>
    <t>陈利峰</t>
  </si>
  <si>
    <t>152326196707066890</t>
  </si>
  <si>
    <t>梁四吉莫德格</t>
  </si>
  <si>
    <t>15232619641208686X</t>
  </si>
  <si>
    <t>包根有</t>
  </si>
  <si>
    <t>15232619721009687X</t>
  </si>
  <si>
    <t>包玉玥</t>
  </si>
  <si>
    <t>152326198010057125</t>
  </si>
  <si>
    <t>封云华</t>
  </si>
  <si>
    <t>152326198208126886</t>
  </si>
  <si>
    <t>李宝才</t>
  </si>
  <si>
    <t>152326197304026899</t>
  </si>
  <si>
    <t>于凤珍</t>
  </si>
  <si>
    <t>152326197412066863</t>
  </si>
  <si>
    <t>薛福山</t>
  </si>
  <si>
    <t>152326197212246878</t>
  </si>
  <si>
    <t>152326197203276864</t>
  </si>
  <si>
    <t>于凤云</t>
  </si>
  <si>
    <t>152326196211126925</t>
  </si>
  <si>
    <t>马那顺白拉</t>
  </si>
  <si>
    <t>152326197108116870</t>
  </si>
  <si>
    <t>刘艳华</t>
  </si>
  <si>
    <t>152326197107016886</t>
  </si>
  <si>
    <t>152326196404076864</t>
  </si>
  <si>
    <t>格西格</t>
  </si>
  <si>
    <t>152326197012286891</t>
  </si>
  <si>
    <t>张小春</t>
  </si>
  <si>
    <t>152326197112291188</t>
  </si>
  <si>
    <t>包金锁</t>
  </si>
  <si>
    <t>152326196502286873</t>
  </si>
  <si>
    <t>雷凤珍</t>
  </si>
  <si>
    <t>152326196902036902</t>
  </si>
  <si>
    <t>张彦文</t>
  </si>
  <si>
    <t>152326196208106878</t>
  </si>
  <si>
    <t>王树祥</t>
  </si>
  <si>
    <t>152326197810096873</t>
  </si>
  <si>
    <t>李长丽</t>
  </si>
  <si>
    <t>152326197809086889</t>
  </si>
  <si>
    <t>包布和</t>
  </si>
  <si>
    <t>152326198406216874</t>
  </si>
  <si>
    <t>王成瑞</t>
  </si>
  <si>
    <t>152326196212296870</t>
  </si>
  <si>
    <t>刘翠玲</t>
  </si>
  <si>
    <t>15232619610919688X</t>
  </si>
  <si>
    <t>包林</t>
  </si>
  <si>
    <t>15232619840227687X</t>
  </si>
  <si>
    <t>宝洪利</t>
  </si>
  <si>
    <t>152326198008186876</t>
  </si>
  <si>
    <t>赵景红</t>
  </si>
  <si>
    <t>152326198102266864</t>
  </si>
  <si>
    <t>宝洪军</t>
  </si>
  <si>
    <t>152326197608216878</t>
  </si>
  <si>
    <t>范玲玲</t>
  </si>
  <si>
    <t>412829197809113226</t>
  </si>
  <si>
    <t>隋景志</t>
  </si>
  <si>
    <t>152326197303256879</t>
  </si>
  <si>
    <t>孙亚枝</t>
  </si>
  <si>
    <t>152326197109056865</t>
  </si>
  <si>
    <t>孙亚刚</t>
  </si>
  <si>
    <t>152326197310086898</t>
  </si>
  <si>
    <t>刘亚花</t>
  </si>
  <si>
    <t>152326197108266860</t>
  </si>
  <si>
    <t>张彩英</t>
  </si>
  <si>
    <t>152326196209276887</t>
  </si>
  <si>
    <t>李宝祥</t>
  </si>
  <si>
    <t>152326197304026872</t>
  </si>
  <si>
    <t>孙秀华</t>
  </si>
  <si>
    <t>152326197110266907</t>
  </si>
  <si>
    <t>李宝军</t>
  </si>
  <si>
    <t>152326196712286898</t>
  </si>
  <si>
    <t>潘凤华</t>
  </si>
  <si>
    <t>152326197002066887</t>
  </si>
  <si>
    <t>满树明</t>
  </si>
  <si>
    <t>152326196807246872</t>
  </si>
  <si>
    <t>冯树兰</t>
  </si>
  <si>
    <t>152326196706196888</t>
  </si>
  <si>
    <t>华桂霞</t>
  </si>
  <si>
    <t>152326196310266886</t>
  </si>
  <si>
    <t>张红玲</t>
  </si>
  <si>
    <t>152326198311166864</t>
  </si>
  <si>
    <t>宝乌云七木格</t>
  </si>
  <si>
    <t>152326198309036863</t>
  </si>
  <si>
    <t>石秀芳</t>
  </si>
  <si>
    <t>152326197112166627</t>
  </si>
  <si>
    <t>陈金莲</t>
  </si>
  <si>
    <t>152326196304076867</t>
  </si>
  <si>
    <t>梁海山</t>
  </si>
  <si>
    <t>152326198410066872</t>
  </si>
  <si>
    <t>李格日勒图丫</t>
  </si>
  <si>
    <t>15232619820223662X</t>
  </si>
  <si>
    <t>左常立</t>
  </si>
  <si>
    <t>152326197305196873</t>
  </si>
  <si>
    <t>敬凤玲</t>
  </si>
  <si>
    <t>152326197502286886</t>
  </si>
  <si>
    <t>满玉国</t>
  </si>
  <si>
    <t>152326197604296874</t>
  </si>
  <si>
    <t>包马连</t>
  </si>
  <si>
    <t>152326197701116863</t>
  </si>
  <si>
    <t>隋景利</t>
  </si>
  <si>
    <t>152326197206086871</t>
  </si>
  <si>
    <t>单秀春</t>
  </si>
  <si>
    <t>152326197312057126</t>
  </si>
  <si>
    <t>陈玉荣</t>
  </si>
  <si>
    <t>152326196305016866</t>
  </si>
  <si>
    <t>白音那</t>
  </si>
  <si>
    <t>152326197809106878</t>
  </si>
  <si>
    <t>梁舍各日马</t>
  </si>
  <si>
    <t>152326197505176869</t>
  </si>
  <si>
    <t>朱殿洪</t>
  </si>
  <si>
    <t>152326196103146873</t>
  </si>
  <si>
    <t>李凤云</t>
  </si>
  <si>
    <t>152326196202286863</t>
  </si>
  <si>
    <t>王刚</t>
  </si>
  <si>
    <t>152326197906056892</t>
  </si>
  <si>
    <t>152326198506016888</t>
  </si>
  <si>
    <t>白包喜德舍</t>
  </si>
  <si>
    <t>152326198707076895</t>
  </si>
  <si>
    <t>邢文涛</t>
  </si>
  <si>
    <t>152326196106206878</t>
  </si>
  <si>
    <t>包孟白音</t>
  </si>
  <si>
    <t>152326196812246877</t>
  </si>
  <si>
    <t>梁大拉胡</t>
  </si>
  <si>
    <t>15232619710912686X</t>
  </si>
  <si>
    <t>薛福林</t>
  </si>
  <si>
    <t>152326197503126892</t>
  </si>
  <si>
    <t>张晓荣</t>
  </si>
  <si>
    <t>152326197710151185</t>
  </si>
  <si>
    <t>曹姚乐图</t>
  </si>
  <si>
    <t>15232619960819687X</t>
  </si>
  <si>
    <t>卜范明</t>
  </si>
  <si>
    <t>152326198610166878</t>
  </si>
  <si>
    <t>高秀环</t>
  </si>
  <si>
    <t>152324198910141469</t>
  </si>
  <si>
    <t>152326196610156873</t>
  </si>
  <si>
    <t>邵桂珍</t>
  </si>
  <si>
    <t>152326196609243326</t>
  </si>
  <si>
    <t>包俄德胡</t>
  </si>
  <si>
    <t>152326196511136869</t>
  </si>
  <si>
    <t>王铁柱</t>
  </si>
  <si>
    <t>152326198405196875</t>
  </si>
  <si>
    <t>包二德其木格</t>
  </si>
  <si>
    <t>152326198512286884</t>
  </si>
  <si>
    <t>包金荣</t>
  </si>
  <si>
    <t>152326196108146880</t>
  </si>
  <si>
    <t>王德明</t>
  </si>
  <si>
    <t>152326196508156877</t>
  </si>
  <si>
    <t>包吴加力嘎</t>
  </si>
  <si>
    <t>152326196612166864</t>
  </si>
  <si>
    <t>苏亚明</t>
  </si>
  <si>
    <t>152326197004146899</t>
  </si>
  <si>
    <t>苏亚志</t>
  </si>
  <si>
    <t>152326196510036874</t>
  </si>
  <si>
    <t>王树林</t>
  </si>
  <si>
    <t>152326196611076875</t>
  </si>
  <si>
    <t>白小哲</t>
  </si>
  <si>
    <t>152326196405186862</t>
  </si>
  <si>
    <t>单敏</t>
  </si>
  <si>
    <t>15232619830213687X</t>
  </si>
  <si>
    <t>王宝砚</t>
  </si>
  <si>
    <t>152326197907226865</t>
  </si>
  <si>
    <t>程韶军</t>
  </si>
  <si>
    <t>152326197902066874</t>
  </si>
  <si>
    <t>张胡日勒</t>
  </si>
  <si>
    <t>152326197808206893</t>
  </si>
  <si>
    <t>包井春</t>
  </si>
  <si>
    <t>152326196212236878</t>
  </si>
  <si>
    <t>常秀华</t>
  </si>
  <si>
    <t>152326196303026868</t>
  </si>
  <si>
    <t>包铁钢</t>
  </si>
  <si>
    <t>152326198901146877</t>
  </si>
  <si>
    <t>包铁岭</t>
  </si>
  <si>
    <t>152326199309266874</t>
  </si>
  <si>
    <t>王迎新</t>
  </si>
  <si>
    <t>152326196812296890</t>
  </si>
  <si>
    <t>王常连</t>
  </si>
  <si>
    <t>15232619680418686X</t>
  </si>
  <si>
    <t>张黑牛</t>
  </si>
  <si>
    <t>152326196905046911</t>
  </si>
  <si>
    <t>梁玉花</t>
  </si>
  <si>
    <t>152326197011296887</t>
  </si>
  <si>
    <t>常银山</t>
  </si>
  <si>
    <t>152326198303276874</t>
  </si>
  <si>
    <t>梁吴日其其格</t>
  </si>
  <si>
    <t>152326196208066888</t>
  </si>
  <si>
    <t>韩海新</t>
  </si>
  <si>
    <t>152326197602216877</t>
  </si>
  <si>
    <t>李失英</t>
  </si>
  <si>
    <t>152326197604096880</t>
  </si>
  <si>
    <t>封玉江</t>
  </si>
  <si>
    <t>152326196504116878</t>
  </si>
  <si>
    <t>李万华</t>
  </si>
  <si>
    <t>152326196111126880</t>
  </si>
  <si>
    <t>王宝华</t>
  </si>
  <si>
    <t>152326197701206877</t>
  </si>
  <si>
    <t>单立枝</t>
  </si>
  <si>
    <t>152326197709146864</t>
  </si>
  <si>
    <t>王国凤</t>
  </si>
  <si>
    <t>152326196905186885</t>
  </si>
  <si>
    <t>左常明</t>
  </si>
  <si>
    <t>152326196606226875</t>
  </si>
  <si>
    <t>徐桂兰</t>
  </si>
  <si>
    <t>152326196405106885</t>
  </si>
  <si>
    <t>单伟军</t>
  </si>
  <si>
    <t>152326197407156872</t>
  </si>
  <si>
    <t>于秀娟</t>
  </si>
  <si>
    <t>152326197404206889</t>
  </si>
  <si>
    <t>152326197701166860</t>
  </si>
  <si>
    <t>占美荣</t>
  </si>
  <si>
    <t>152322196707250748</t>
  </si>
  <si>
    <t>单玉国</t>
  </si>
  <si>
    <t>152326196905276899</t>
  </si>
  <si>
    <t>石香梅</t>
  </si>
  <si>
    <t>152326196304236883</t>
  </si>
  <si>
    <t>曲军</t>
  </si>
  <si>
    <t>152326197105136892</t>
  </si>
  <si>
    <t>新参保补缴</t>
  </si>
  <si>
    <t>曲华</t>
  </si>
  <si>
    <t>152326197409136891</t>
  </si>
  <si>
    <t>邢明荣</t>
  </si>
  <si>
    <t>152326196509286884</t>
  </si>
  <si>
    <t>孙亚辉</t>
  </si>
  <si>
    <t>152326196508166872</t>
  </si>
  <si>
    <t>韩银良</t>
  </si>
  <si>
    <t>152326196904046864</t>
  </si>
  <si>
    <t>2014</t>
  </si>
  <si>
    <t>王明晟</t>
  </si>
  <si>
    <t>152326199208146873</t>
  </si>
  <si>
    <t>王丽颖</t>
  </si>
  <si>
    <t>152324199302251845</t>
  </si>
  <si>
    <t>单宝</t>
  </si>
  <si>
    <t>152326198909116875</t>
  </si>
  <si>
    <t>宋艳丽</t>
  </si>
  <si>
    <t>152326198806066887</t>
  </si>
  <si>
    <t>单忠合</t>
  </si>
  <si>
    <t>152326197110146876</t>
  </si>
  <si>
    <t>程辉</t>
  </si>
  <si>
    <t>152326197101236861</t>
  </si>
  <si>
    <t>封小军</t>
  </si>
  <si>
    <t>15232619751005687X</t>
  </si>
  <si>
    <t>刘海艳</t>
  </si>
  <si>
    <t>152326197309196862</t>
  </si>
  <si>
    <t>封英男</t>
  </si>
  <si>
    <t>152326199701036870</t>
  </si>
  <si>
    <t>包特高营子嘎查2020年养老保险缴费名单</t>
  </si>
  <si>
    <t>包特高营子</t>
  </si>
  <si>
    <t>宝巴加卜</t>
  </si>
  <si>
    <t>152326197003236876</t>
  </si>
  <si>
    <t>昂斯乐玛</t>
  </si>
  <si>
    <t>152326196702145127</t>
  </si>
  <si>
    <t>阿茹汉</t>
  </si>
  <si>
    <t>150525199708156878</t>
  </si>
  <si>
    <t>吴香春</t>
  </si>
  <si>
    <t>152326196903146863</t>
  </si>
  <si>
    <t>陈生</t>
  </si>
  <si>
    <t>152326197310076892</t>
  </si>
  <si>
    <t>梁小梅</t>
  </si>
  <si>
    <t>152326197411056866</t>
  </si>
  <si>
    <t>宝勿力吉白音</t>
  </si>
  <si>
    <t>152326196512176870</t>
  </si>
  <si>
    <t>初一花</t>
  </si>
  <si>
    <t>15232619650101688X</t>
  </si>
  <si>
    <t>斯琴毕力格</t>
  </si>
  <si>
    <t>152326198308066884</t>
  </si>
  <si>
    <t>陈金叶</t>
  </si>
  <si>
    <t>152326196206176864</t>
  </si>
  <si>
    <t>宝门斯乐</t>
  </si>
  <si>
    <t>152326196212146872</t>
  </si>
  <si>
    <t>李龙艳</t>
  </si>
  <si>
    <t>152326196107086863</t>
  </si>
  <si>
    <t>152326196108196861</t>
  </si>
  <si>
    <t>宝敖力毛加卜</t>
  </si>
  <si>
    <t>152326196311156873</t>
  </si>
  <si>
    <t>梁乐图</t>
  </si>
  <si>
    <t>152326196410206864</t>
  </si>
  <si>
    <t>梁勿力吉增格</t>
  </si>
  <si>
    <t>152326197303126871</t>
  </si>
  <si>
    <t>152324197802103321</t>
  </si>
  <si>
    <t>代同力嘎</t>
  </si>
  <si>
    <t>15232619621013689X</t>
  </si>
  <si>
    <t>宝那木大拉</t>
  </si>
  <si>
    <t>152326196410016868</t>
  </si>
  <si>
    <t>薛铁柱</t>
  </si>
  <si>
    <t>15232619641228687X</t>
  </si>
  <si>
    <t>白达拉呼</t>
  </si>
  <si>
    <t>152326196206066868</t>
  </si>
  <si>
    <t>宝文都苏</t>
  </si>
  <si>
    <t>152326197211246892</t>
  </si>
  <si>
    <t>宝加木沙</t>
  </si>
  <si>
    <t>152326196805156873</t>
  </si>
  <si>
    <t>王海英</t>
  </si>
  <si>
    <t>152326196608286863</t>
  </si>
  <si>
    <t>白音仓</t>
  </si>
  <si>
    <t>152326196510221471</t>
  </si>
  <si>
    <t>包尼玛</t>
  </si>
  <si>
    <t>152326196505156871</t>
  </si>
  <si>
    <t>梁西日胡</t>
  </si>
  <si>
    <t>152326196705046861</t>
  </si>
  <si>
    <t>152326196809266885</t>
  </si>
  <si>
    <t>包阿力坦格勒</t>
  </si>
  <si>
    <t>152326196510306870</t>
  </si>
  <si>
    <t>宝舍冷</t>
  </si>
  <si>
    <t>152326196704136873</t>
  </si>
  <si>
    <t>满都日那</t>
  </si>
  <si>
    <t>152326196903196887</t>
  </si>
  <si>
    <t>宝玲玲</t>
  </si>
  <si>
    <t>15232619950815690X</t>
  </si>
  <si>
    <t>那仁格日乐</t>
  </si>
  <si>
    <t>152326196912306873</t>
  </si>
  <si>
    <t>15232619770317686X</t>
  </si>
  <si>
    <t>包小芳</t>
  </si>
  <si>
    <t>152326200109156887</t>
  </si>
  <si>
    <t>宝金</t>
  </si>
  <si>
    <t>152326197308216876</t>
  </si>
  <si>
    <t>152326197106256888</t>
  </si>
  <si>
    <t>宝乌吉玛</t>
  </si>
  <si>
    <t>152326197708036903</t>
  </si>
  <si>
    <t>宝孟和巴特尔</t>
  </si>
  <si>
    <t>152326197903296890</t>
  </si>
  <si>
    <t>苍杰</t>
  </si>
  <si>
    <t>152326197403016872</t>
  </si>
  <si>
    <t>宝业喜大巴</t>
  </si>
  <si>
    <t>152326196309056873</t>
  </si>
  <si>
    <t>梁半小</t>
  </si>
  <si>
    <t>15232619630506688X</t>
  </si>
  <si>
    <t>包白音胡</t>
  </si>
  <si>
    <t>152326196107016865</t>
  </si>
  <si>
    <t>脱贫户</t>
  </si>
  <si>
    <t>宝庆</t>
  </si>
  <si>
    <t>152326196610096874</t>
  </si>
  <si>
    <t>梁梅荣</t>
  </si>
  <si>
    <t>152326196709216880</t>
  </si>
  <si>
    <t>薛双和拉</t>
  </si>
  <si>
    <t>152326196506126877</t>
  </si>
  <si>
    <t>胡海花</t>
  </si>
  <si>
    <t>152326196406056867</t>
  </si>
  <si>
    <t>谭国明</t>
  </si>
  <si>
    <t>152326196705256877</t>
  </si>
  <si>
    <t>韩桂荣</t>
  </si>
  <si>
    <t>15232619631023688X</t>
  </si>
  <si>
    <t>包哈日巴拉</t>
  </si>
  <si>
    <t>15232619680104687X</t>
  </si>
  <si>
    <t>152326196911246880</t>
  </si>
  <si>
    <t>白哈斯巴干</t>
  </si>
  <si>
    <t>152326198203036910</t>
  </si>
  <si>
    <t>白永莲</t>
  </si>
  <si>
    <t>152326198406231222</t>
  </si>
  <si>
    <t>白俄登</t>
  </si>
  <si>
    <t>152326196107186864</t>
  </si>
  <si>
    <t>包阿力旦斯其格</t>
  </si>
  <si>
    <t>152326197906286866</t>
  </si>
  <si>
    <t>财音白音</t>
  </si>
  <si>
    <t>152326197005026899</t>
  </si>
  <si>
    <t>包海梅</t>
  </si>
  <si>
    <t>152326197404036867</t>
  </si>
  <si>
    <t>包敖同花</t>
  </si>
  <si>
    <t>152326198004076901</t>
  </si>
  <si>
    <t>包铁柱</t>
  </si>
  <si>
    <t>15232619720102687X</t>
  </si>
  <si>
    <t>梁满都日花</t>
  </si>
  <si>
    <t>152326196507106907</t>
  </si>
  <si>
    <t>舍力布仓布</t>
  </si>
  <si>
    <t>152326196906146877</t>
  </si>
  <si>
    <t>15232619680202690X</t>
  </si>
  <si>
    <t>宝哈日敖海</t>
  </si>
  <si>
    <t>152326196212076878</t>
  </si>
  <si>
    <t>代财音其木格</t>
  </si>
  <si>
    <t>15232619630520690X</t>
  </si>
  <si>
    <t>梁白音那</t>
  </si>
  <si>
    <t>152326196410216878</t>
  </si>
  <si>
    <t>格布德</t>
  </si>
  <si>
    <t>152326196509066881</t>
  </si>
  <si>
    <t>梁那顺乌日他</t>
  </si>
  <si>
    <t>152326196910186898</t>
  </si>
  <si>
    <t>150421197401015923</t>
  </si>
  <si>
    <t>敖加卜</t>
  </si>
  <si>
    <t>152326196208156891</t>
  </si>
  <si>
    <t>李金莲</t>
  </si>
  <si>
    <t>152326196208176868</t>
  </si>
  <si>
    <t>梁胡大古拉</t>
  </si>
  <si>
    <t>152326196205106880</t>
  </si>
  <si>
    <t>青格乐图</t>
  </si>
  <si>
    <t>152326197902086875</t>
  </si>
  <si>
    <t>包益勒胡</t>
  </si>
  <si>
    <t>152326198107206908</t>
  </si>
  <si>
    <t>宝巴特尔</t>
  </si>
  <si>
    <t>152326196807046870</t>
  </si>
  <si>
    <t>梁美荣</t>
  </si>
  <si>
    <t>152326197402236865</t>
  </si>
  <si>
    <t>宝哈日巴特尔</t>
  </si>
  <si>
    <t>152326197608076932</t>
  </si>
  <si>
    <t>梁都达古拉</t>
  </si>
  <si>
    <t>152326197906016866</t>
  </si>
  <si>
    <t>152326197201276908</t>
  </si>
  <si>
    <t>152326196303086860</t>
  </si>
  <si>
    <t>梁敖斯尔</t>
  </si>
  <si>
    <t>152326196501226879</t>
  </si>
  <si>
    <t>王英</t>
  </si>
  <si>
    <t>152326197008126887</t>
  </si>
  <si>
    <t>阿力坦胡文嘎</t>
  </si>
  <si>
    <t>152326199505036873</t>
  </si>
  <si>
    <t>152326196511266903</t>
  </si>
  <si>
    <t>宝嘎达</t>
  </si>
  <si>
    <t>152326196712256875</t>
  </si>
  <si>
    <t>金宝山</t>
  </si>
  <si>
    <t>152326196711216871</t>
  </si>
  <si>
    <t>梅荣</t>
  </si>
  <si>
    <t>152326196810016883</t>
  </si>
  <si>
    <t>包山胡</t>
  </si>
  <si>
    <t>152326196209156877</t>
  </si>
  <si>
    <t>梁玉堂</t>
  </si>
  <si>
    <t>152326196305146863</t>
  </si>
  <si>
    <t>格日乐图</t>
  </si>
  <si>
    <t>152326197010216873</t>
  </si>
  <si>
    <t>包米荣</t>
  </si>
  <si>
    <t>152326197308216868</t>
  </si>
  <si>
    <t>152326196603236867</t>
  </si>
  <si>
    <t>宝舍木勒</t>
  </si>
  <si>
    <t>152326196409056870</t>
  </si>
  <si>
    <t>李海龙</t>
  </si>
  <si>
    <t>152326198303296875</t>
  </si>
  <si>
    <t>152326198305016865</t>
  </si>
  <si>
    <t>梁银山</t>
  </si>
  <si>
    <t>152326197901086873</t>
  </si>
  <si>
    <t>莫德格</t>
  </si>
  <si>
    <t>152326198301106863</t>
  </si>
  <si>
    <t>宝正月</t>
  </si>
  <si>
    <t>152326196302206867</t>
  </si>
  <si>
    <t>152326197401036917</t>
  </si>
  <si>
    <t>宝那仁高娃</t>
  </si>
  <si>
    <t>152326197305066868</t>
  </si>
  <si>
    <t>薛勿力吉苏冷</t>
  </si>
  <si>
    <t>152326198310106881</t>
  </si>
  <si>
    <t>宝吉日木图</t>
  </si>
  <si>
    <t>152326198207216919</t>
  </si>
  <si>
    <t>包嘎巴</t>
  </si>
  <si>
    <t>152326196303256874</t>
  </si>
  <si>
    <t>代胖撒</t>
  </si>
  <si>
    <t>15232619630920686X</t>
  </si>
  <si>
    <t>宝玉红</t>
  </si>
  <si>
    <t>152326198304276868</t>
  </si>
  <si>
    <t>152326198307246875</t>
  </si>
  <si>
    <t>宝玉</t>
  </si>
  <si>
    <t>152326197108306893</t>
  </si>
  <si>
    <t>都给玛</t>
  </si>
  <si>
    <t>152326197006286887</t>
  </si>
  <si>
    <t>宝金龙</t>
  </si>
  <si>
    <t>152326197609156870</t>
  </si>
  <si>
    <t>呼旦敦呼</t>
  </si>
  <si>
    <t>15052519721015688X</t>
  </si>
  <si>
    <t>梁那仁其木格</t>
  </si>
  <si>
    <t>152326196502186880</t>
  </si>
  <si>
    <t>152326197008106878</t>
  </si>
  <si>
    <t>吴格日乐</t>
  </si>
  <si>
    <t>152326196811026864</t>
  </si>
  <si>
    <t>宝敖日布</t>
  </si>
  <si>
    <t>152326196012236873</t>
  </si>
  <si>
    <t>152326197610106870</t>
  </si>
  <si>
    <t>马格日勒其木格</t>
  </si>
  <si>
    <t>152326197512146887</t>
  </si>
  <si>
    <t>薛斯力吉</t>
  </si>
  <si>
    <t>152326198005066895</t>
  </si>
  <si>
    <t>吴月兰</t>
  </si>
  <si>
    <t>152326198210241488</t>
  </si>
  <si>
    <t>梁财音白音</t>
  </si>
  <si>
    <t>15232619700803689X</t>
  </si>
  <si>
    <t>梁图古苏白音</t>
  </si>
  <si>
    <t>152326197508146892</t>
  </si>
  <si>
    <t>包哈日呼</t>
  </si>
  <si>
    <t>152326197108106875</t>
  </si>
  <si>
    <t>阿喜玛</t>
  </si>
  <si>
    <t>152326197109026906</t>
  </si>
  <si>
    <t>宝敖特根</t>
  </si>
  <si>
    <t>152326197402016870</t>
  </si>
  <si>
    <t>陈彩霞</t>
  </si>
  <si>
    <t>150426197110055660</t>
  </si>
  <si>
    <t>宝海龙</t>
  </si>
  <si>
    <t>152326197609086876</t>
  </si>
  <si>
    <t>吴秀英</t>
  </si>
  <si>
    <t>152326197510256863</t>
  </si>
  <si>
    <t>梁巴大拉</t>
  </si>
  <si>
    <t>152326197902096870</t>
  </si>
  <si>
    <t>刘万花</t>
  </si>
  <si>
    <t>152326198109187122</t>
  </si>
  <si>
    <t>韩巴特尔</t>
  </si>
  <si>
    <t>152326197006276873</t>
  </si>
  <si>
    <t>15232619710520690X</t>
  </si>
  <si>
    <t>梁布和温都苏</t>
  </si>
  <si>
    <t>15232619710406687X</t>
  </si>
  <si>
    <t>哈斯</t>
  </si>
  <si>
    <t>152326199705106880</t>
  </si>
  <si>
    <t>西拉</t>
  </si>
  <si>
    <t>152326196312106894</t>
  </si>
  <si>
    <t>霍振霞</t>
  </si>
  <si>
    <t>152326196407066880</t>
  </si>
  <si>
    <t>152326197705186877</t>
  </si>
  <si>
    <t>宝高娃</t>
  </si>
  <si>
    <t>152326197911096880</t>
  </si>
  <si>
    <t>152301198201025057</t>
  </si>
  <si>
    <t>斯其格</t>
  </si>
  <si>
    <t>152326198507106885</t>
  </si>
  <si>
    <t>宝胡和满达</t>
  </si>
  <si>
    <t>152326198705016872</t>
  </si>
  <si>
    <t>欧国庆</t>
  </si>
  <si>
    <t>152326197308266873</t>
  </si>
  <si>
    <t>梁花叶</t>
  </si>
  <si>
    <t>152326197105096827</t>
  </si>
  <si>
    <t>宝布日乐图</t>
  </si>
  <si>
    <t>152326198310036879</t>
  </si>
  <si>
    <t>国兰</t>
  </si>
  <si>
    <t>152326198404031489</t>
  </si>
  <si>
    <t>梁财音格勒</t>
  </si>
  <si>
    <t>152326196711256873</t>
  </si>
  <si>
    <t>哪仁高娃</t>
  </si>
  <si>
    <t>152326197707166888</t>
  </si>
  <si>
    <t>包额尔敦图</t>
  </si>
  <si>
    <t>152326198510176876</t>
  </si>
  <si>
    <t>152326198504071189</t>
  </si>
  <si>
    <t>包青山</t>
  </si>
  <si>
    <t>15232619740311689X</t>
  </si>
  <si>
    <t>梁根小</t>
  </si>
  <si>
    <t>152326197202016868</t>
  </si>
  <si>
    <t>何金山</t>
  </si>
  <si>
    <t>152326197306126893</t>
  </si>
  <si>
    <t>包老牙头</t>
  </si>
  <si>
    <t>152326197502146867</t>
  </si>
  <si>
    <t>宝白音孟和</t>
  </si>
  <si>
    <t>152326196510146897</t>
  </si>
  <si>
    <t>莫德各玛</t>
  </si>
  <si>
    <t>152326196901046885</t>
  </si>
  <si>
    <t>包巴图仓</t>
  </si>
  <si>
    <t>152326196905306875</t>
  </si>
  <si>
    <t>152325197303052060</t>
  </si>
  <si>
    <t>梁铁宝</t>
  </si>
  <si>
    <t>15232619750301687X</t>
  </si>
  <si>
    <t>宝格日勒</t>
  </si>
  <si>
    <t>152326197704226881</t>
  </si>
  <si>
    <t>包敖力根</t>
  </si>
  <si>
    <t>152326197410126877</t>
  </si>
  <si>
    <t>谢勿日其其格</t>
  </si>
  <si>
    <t>152326197312167624</t>
  </si>
  <si>
    <t>格日巴大拉</t>
  </si>
  <si>
    <t>152326198305076876</t>
  </si>
  <si>
    <t>包牡丹</t>
  </si>
  <si>
    <t>152326198401076905</t>
  </si>
  <si>
    <t>152326196509106871</t>
  </si>
  <si>
    <t>包莫德格</t>
  </si>
  <si>
    <t>152326197803286900</t>
  </si>
  <si>
    <t>梁布和套各图</t>
  </si>
  <si>
    <t>152326198401286873</t>
  </si>
  <si>
    <t>苏龙高娃</t>
  </si>
  <si>
    <t>150421198407185389</t>
  </si>
  <si>
    <t>宝敖斯尔</t>
  </si>
  <si>
    <t>152326198405286870</t>
  </si>
  <si>
    <t>代铺梅</t>
  </si>
  <si>
    <t>152326198410126900</t>
  </si>
  <si>
    <t>财音勿力吉</t>
  </si>
  <si>
    <t>15232619670619687X</t>
  </si>
  <si>
    <t>包桂珍</t>
  </si>
  <si>
    <t>15232619680311686X</t>
  </si>
  <si>
    <t>梁财音勿力吉</t>
  </si>
  <si>
    <t>152326196201026875</t>
  </si>
  <si>
    <t>宝胡达古拉</t>
  </si>
  <si>
    <t>15232619650614686X</t>
  </si>
  <si>
    <t>梁额屯格喜格</t>
  </si>
  <si>
    <t>152326196602126877</t>
  </si>
  <si>
    <t>李胡日查</t>
  </si>
  <si>
    <t>152326196402076887</t>
  </si>
  <si>
    <t>152326197501256933</t>
  </si>
  <si>
    <t>王九月</t>
  </si>
  <si>
    <t>15232619710410686X</t>
  </si>
  <si>
    <t>宝都冷</t>
  </si>
  <si>
    <t>152326197608206899</t>
  </si>
  <si>
    <t>包香云</t>
  </si>
  <si>
    <t>15232619760118712X</t>
  </si>
  <si>
    <t>宝双喜</t>
  </si>
  <si>
    <t>152326196312106878</t>
  </si>
  <si>
    <t>宝葡萄</t>
  </si>
  <si>
    <t>152326196103276862</t>
  </si>
  <si>
    <t>宝孟和勿力吉</t>
  </si>
  <si>
    <t>152326197004046871</t>
  </si>
  <si>
    <t>敖温达古拉</t>
  </si>
  <si>
    <t>152326196703606880</t>
  </si>
  <si>
    <t>152326196301226866</t>
  </si>
  <si>
    <t>欧格日乐图</t>
  </si>
  <si>
    <t>152326197405046872</t>
  </si>
  <si>
    <t>白营卜刀</t>
  </si>
  <si>
    <t>152326195802076881</t>
  </si>
  <si>
    <t>-补缴</t>
  </si>
  <si>
    <t>宝朝都各坡</t>
  </si>
  <si>
    <t>152326195802256874</t>
  </si>
  <si>
    <t>包海堂</t>
  </si>
  <si>
    <t>152326195906046863</t>
  </si>
  <si>
    <t>梁田梅</t>
  </si>
  <si>
    <t>152326196002186868</t>
  </si>
  <si>
    <t>薛山丹</t>
  </si>
  <si>
    <t>152326196004206869</t>
  </si>
  <si>
    <t>包孟和</t>
  </si>
  <si>
    <t>152326198410016875</t>
  </si>
  <si>
    <t>薛盆日来</t>
  </si>
  <si>
    <t>152326196312016872</t>
  </si>
  <si>
    <t>宝斯日吉</t>
  </si>
  <si>
    <t>152326196202106869</t>
  </si>
  <si>
    <t>49800</t>
  </si>
  <si>
    <t>三合村2020年养老保险缴费名单</t>
  </si>
  <si>
    <t>李柱来</t>
  </si>
  <si>
    <t>闫孝儒</t>
  </si>
  <si>
    <t>15232619960202687X</t>
  </si>
  <si>
    <t>毛艳红</t>
  </si>
  <si>
    <t>姜波</t>
  </si>
  <si>
    <t>闫宏宇</t>
  </si>
  <si>
    <t>胡静</t>
  </si>
  <si>
    <t>152324199403206621</t>
  </si>
  <si>
    <t>孙红丽</t>
  </si>
  <si>
    <t>张志文</t>
  </si>
  <si>
    <t>152326199012066871</t>
  </si>
  <si>
    <t>张建利</t>
  </si>
  <si>
    <t>152326198910116872</t>
  </si>
  <si>
    <t>沈晓庆</t>
  </si>
  <si>
    <t>姜邵华</t>
  </si>
  <si>
    <t>杨圆圆</t>
  </si>
  <si>
    <t>陈胜</t>
  </si>
  <si>
    <t>陈四</t>
  </si>
  <si>
    <t>张晓瑜</t>
  </si>
  <si>
    <t>152326198812276936</t>
  </si>
  <si>
    <t>邢春艳</t>
  </si>
  <si>
    <t>152326198805197148</t>
  </si>
  <si>
    <t>宋艳春</t>
  </si>
  <si>
    <t>152326198708236889</t>
  </si>
  <si>
    <t>李柱辉</t>
  </si>
  <si>
    <t>152326198708057127</t>
  </si>
  <si>
    <t>徐立祥</t>
  </si>
  <si>
    <t>姜文波</t>
  </si>
  <si>
    <t>陈月红</t>
  </si>
  <si>
    <t>张鹏会</t>
  </si>
  <si>
    <t>王朋</t>
  </si>
  <si>
    <t>李青茹</t>
  </si>
  <si>
    <t>陈云来</t>
  </si>
  <si>
    <t>康永娟</t>
  </si>
  <si>
    <t>孙海富</t>
  </si>
  <si>
    <t>张丽丽</t>
  </si>
  <si>
    <t>陈胖子</t>
  </si>
  <si>
    <t>吴树艳</t>
  </si>
  <si>
    <t>张建国</t>
  </si>
  <si>
    <t>周庆梅</t>
  </si>
  <si>
    <t>宗艳丽</t>
  </si>
  <si>
    <t>孙学刚</t>
  </si>
  <si>
    <t>计云龙</t>
  </si>
  <si>
    <t>152326198301296898</t>
  </si>
  <si>
    <t>孙永文</t>
  </si>
  <si>
    <t>于红凤</t>
  </si>
  <si>
    <t>张志朋</t>
  </si>
  <si>
    <t>徐立明</t>
  </si>
  <si>
    <t>孙永辉</t>
  </si>
  <si>
    <t>孙立强</t>
  </si>
  <si>
    <t>朱全华</t>
  </si>
  <si>
    <t>152326198106166895</t>
  </si>
  <si>
    <t>张金娥</t>
  </si>
  <si>
    <t>15232619811202712X</t>
  </si>
  <si>
    <t>刘杰</t>
  </si>
  <si>
    <t>郭君</t>
  </si>
  <si>
    <t>张建军</t>
  </si>
  <si>
    <t>15232619811229691X</t>
  </si>
  <si>
    <t>张增华</t>
  </si>
  <si>
    <t>韩艳波</t>
  </si>
  <si>
    <t>陈云辉</t>
  </si>
  <si>
    <t>计树红</t>
  </si>
  <si>
    <t>马永全</t>
  </si>
  <si>
    <t>姜文龙</t>
  </si>
  <si>
    <t>于红霞</t>
  </si>
  <si>
    <t>赵景阳</t>
  </si>
  <si>
    <t>15232619790717687X</t>
  </si>
  <si>
    <t>王伟</t>
  </si>
  <si>
    <t>孙丽辉</t>
  </si>
  <si>
    <t>孙学贵</t>
  </si>
  <si>
    <t>马永春</t>
  </si>
  <si>
    <t>朱艳方</t>
  </si>
  <si>
    <t>孙凤兰</t>
  </si>
  <si>
    <t>李艳芝</t>
  </si>
  <si>
    <t>符艳春</t>
  </si>
  <si>
    <t>张艳清</t>
  </si>
  <si>
    <t>张玉龙</t>
  </si>
  <si>
    <t>15232619770628687X</t>
  </si>
  <si>
    <t>陈鹏</t>
  </si>
  <si>
    <t>李佳明</t>
  </si>
  <si>
    <t>15232619771225687X</t>
  </si>
  <si>
    <t>王桂艳</t>
  </si>
  <si>
    <t>孙凤侠</t>
  </si>
  <si>
    <t>陈建欣</t>
  </si>
  <si>
    <t>孙丽丽</t>
  </si>
  <si>
    <t>15232619760808692X</t>
  </si>
  <si>
    <t>李凤花</t>
  </si>
  <si>
    <t>赵景芹</t>
  </si>
  <si>
    <t>152326197602156886</t>
  </si>
  <si>
    <t>郭海</t>
  </si>
  <si>
    <t>孙立华</t>
  </si>
  <si>
    <t>张海燕</t>
  </si>
  <si>
    <t>15232619760924714X</t>
  </si>
  <si>
    <t>陈丰</t>
  </si>
  <si>
    <t>孙永星</t>
  </si>
  <si>
    <t>李立明</t>
  </si>
  <si>
    <t>岳素芝</t>
  </si>
  <si>
    <t>郭海娟</t>
  </si>
  <si>
    <t>152326197503206876</t>
  </si>
  <si>
    <t>刘海龙</t>
  </si>
  <si>
    <t>王华</t>
  </si>
  <si>
    <t>陈士九</t>
  </si>
  <si>
    <t>高金侠</t>
  </si>
  <si>
    <t>陈显玲</t>
  </si>
  <si>
    <t>郭龙</t>
  </si>
  <si>
    <t>李佳富</t>
  </si>
  <si>
    <t>152326197504106877</t>
  </si>
  <si>
    <t>宋晓华</t>
  </si>
  <si>
    <t>152326197503217129</t>
  </si>
  <si>
    <t>于秀丽</t>
  </si>
  <si>
    <t>王桂玲</t>
  </si>
  <si>
    <t>郭凤云</t>
  </si>
  <si>
    <t>张玉霞</t>
  </si>
  <si>
    <t>勾洪娟</t>
  </si>
  <si>
    <t>郭志慧</t>
  </si>
  <si>
    <t>赵景生</t>
  </si>
  <si>
    <t>周丽</t>
  </si>
  <si>
    <t>苑庆凤</t>
  </si>
  <si>
    <t>周春霞</t>
  </si>
  <si>
    <t>朱艳东</t>
  </si>
  <si>
    <t>李洪升</t>
  </si>
  <si>
    <t>王永利</t>
  </si>
  <si>
    <t>152326197306076873</t>
  </si>
  <si>
    <t>闫忠亮</t>
  </si>
  <si>
    <t>15232619731015693X</t>
  </si>
  <si>
    <t>武凤荣</t>
  </si>
  <si>
    <t>王道国</t>
  </si>
  <si>
    <t>王国富</t>
  </si>
  <si>
    <t>马淑华</t>
  </si>
  <si>
    <t>李青霞</t>
  </si>
  <si>
    <t>宋少武</t>
  </si>
  <si>
    <t>轩桂芬</t>
  </si>
  <si>
    <t>吴玉琢</t>
  </si>
  <si>
    <t>姜永君</t>
  </si>
  <si>
    <t>计志仓</t>
  </si>
  <si>
    <t>于彩云</t>
  </si>
  <si>
    <t>王金弟</t>
  </si>
  <si>
    <t>闫秀玲</t>
  </si>
  <si>
    <t>闫孝恒</t>
  </si>
  <si>
    <t>刘艳玲</t>
  </si>
  <si>
    <t>田财</t>
  </si>
  <si>
    <t>152326197205206878</t>
  </si>
  <si>
    <t>姚秀云</t>
  </si>
  <si>
    <t>宋少文</t>
  </si>
  <si>
    <t>孙书清</t>
  </si>
  <si>
    <t>孙金龙</t>
  </si>
  <si>
    <t>马玉莲</t>
  </si>
  <si>
    <t>皮国珍</t>
  </si>
  <si>
    <t>王林</t>
  </si>
  <si>
    <t>152326197109216865</t>
  </si>
  <si>
    <t>陈明</t>
  </si>
  <si>
    <t>15232619710916687X</t>
  </si>
  <si>
    <t>李铁君</t>
  </si>
  <si>
    <t>轩桂珍</t>
  </si>
  <si>
    <t>计志远</t>
  </si>
  <si>
    <t>连井祥</t>
  </si>
  <si>
    <t>计翠艳</t>
  </si>
  <si>
    <t>152326197003156892</t>
  </si>
  <si>
    <t>毕占玲</t>
  </si>
  <si>
    <t>刘淑春</t>
  </si>
  <si>
    <t>王昆</t>
  </si>
  <si>
    <t>孙永利</t>
  </si>
  <si>
    <t>152326196912166890</t>
  </si>
  <si>
    <t>陈凤</t>
  </si>
  <si>
    <t>沈翠芳</t>
  </si>
  <si>
    <t>陈玉华</t>
  </si>
  <si>
    <t>王国臣</t>
  </si>
  <si>
    <t>刘海成</t>
  </si>
  <si>
    <t>肖淑芬</t>
  </si>
  <si>
    <t>刘忠雄</t>
  </si>
  <si>
    <t>王均</t>
  </si>
  <si>
    <t>马玉华</t>
  </si>
  <si>
    <t>冯金玲</t>
  </si>
  <si>
    <t>15232619680924714X</t>
  </si>
  <si>
    <t>闫忠月</t>
  </si>
  <si>
    <t>王秀芝</t>
  </si>
  <si>
    <t>李洪军</t>
  </si>
  <si>
    <t>周国坡</t>
  </si>
  <si>
    <t>15232619680310691X</t>
  </si>
  <si>
    <t>张瑞霞</t>
  </si>
  <si>
    <t>张玉国</t>
  </si>
  <si>
    <t>15232619680901686X</t>
  </si>
  <si>
    <t>马青海</t>
  </si>
  <si>
    <t>毛军</t>
  </si>
  <si>
    <t>李洪英</t>
  </si>
  <si>
    <t>孙清林</t>
  </si>
  <si>
    <t>孙霞</t>
  </si>
  <si>
    <t>152326196711266860</t>
  </si>
  <si>
    <t>王国忠</t>
  </si>
  <si>
    <t>张玉伦</t>
  </si>
  <si>
    <t>吴玉杰</t>
  </si>
  <si>
    <t>张民</t>
  </si>
  <si>
    <t>陈彦</t>
  </si>
  <si>
    <t>姜永生</t>
  </si>
  <si>
    <t>徐富</t>
  </si>
  <si>
    <t>刘忠亚</t>
  </si>
  <si>
    <t>马淑春</t>
  </si>
  <si>
    <t>152326196610046869</t>
  </si>
  <si>
    <t>重症残疾</t>
  </si>
  <si>
    <t>姜子会</t>
  </si>
  <si>
    <t>周井侠</t>
  </si>
  <si>
    <t>徐才</t>
  </si>
  <si>
    <t>闫忠明</t>
  </si>
  <si>
    <t>白秀芹</t>
  </si>
  <si>
    <t>孙书明</t>
  </si>
  <si>
    <t>王海涛</t>
  </si>
  <si>
    <t>郑宪付</t>
  </si>
  <si>
    <t>孙书民</t>
  </si>
  <si>
    <t>胡德春</t>
  </si>
  <si>
    <t>152326196507276885</t>
  </si>
  <si>
    <t>15232619651008688X</t>
  </si>
  <si>
    <t>郭金林</t>
  </si>
  <si>
    <t>王治娥</t>
  </si>
  <si>
    <t>厚广珍</t>
  </si>
  <si>
    <t>李晓阳</t>
  </si>
  <si>
    <t>孙秀梅</t>
  </si>
  <si>
    <t>15232619640325688X</t>
  </si>
  <si>
    <t>高秀霞</t>
  </si>
  <si>
    <t>陈立</t>
  </si>
  <si>
    <t>姜秀梅</t>
  </si>
  <si>
    <t>孙立春</t>
  </si>
  <si>
    <t>15232619641121687X</t>
  </si>
  <si>
    <t>范玉芳</t>
  </si>
  <si>
    <t>闫忠久</t>
  </si>
  <si>
    <t>孙青祥</t>
  </si>
  <si>
    <t>15232619640209687X</t>
  </si>
  <si>
    <t>朱学文</t>
  </si>
  <si>
    <t>计万全</t>
  </si>
  <si>
    <t>李秀华</t>
  </si>
  <si>
    <t>姜文瑞</t>
  </si>
  <si>
    <t>田秀芳</t>
  </si>
  <si>
    <t>张春</t>
  </si>
  <si>
    <t>152326196403036879</t>
  </si>
  <si>
    <t>秦文霞</t>
  </si>
  <si>
    <t>牟取亮</t>
  </si>
  <si>
    <t>孙青玉</t>
  </si>
  <si>
    <t>刘景有</t>
  </si>
  <si>
    <t>陈玉芹</t>
  </si>
  <si>
    <t>顾秀荣</t>
  </si>
  <si>
    <t>徐忠</t>
  </si>
  <si>
    <t>王志玲</t>
  </si>
  <si>
    <t>姜俊合</t>
  </si>
  <si>
    <t>152326196307226875</t>
  </si>
  <si>
    <t>侯香芹</t>
  </si>
  <si>
    <t>152326196308076880</t>
  </si>
  <si>
    <t>李洪明</t>
  </si>
  <si>
    <t>15232619630107687X</t>
  </si>
  <si>
    <t>陈士国</t>
  </si>
  <si>
    <t>张春霞</t>
  </si>
  <si>
    <t>王文彦</t>
  </si>
  <si>
    <t>152326196311166895</t>
  </si>
  <si>
    <t>吴凤侠</t>
  </si>
  <si>
    <t>15232619620928692X</t>
  </si>
  <si>
    <t>王凤桂</t>
  </si>
  <si>
    <t>22051919620723197X</t>
  </si>
  <si>
    <t>张桂兰</t>
  </si>
  <si>
    <t>15232619620220686X</t>
  </si>
  <si>
    <t>孙国英</t>
  </si>
  <si>
    <t>152326196202086861</t>
  </si>
  <si>
    <t>孙青义</t>
  </si>
  <si>
    <t>李瑞环</t>
  </si>
  <si>
    <t>顾秀芹</t>
  </si>
  <si>
    <t>刘翠连</t>
  </si>
  <si>
    <t>周振杰</t>
  </si>
  <si>
    <t>王大义</t>
  </si>
  <si>
    <t>计志宽</t>
  </si>
  <si>
    <t>孙秀侠</t>
  </si>
  <si>
    <t>宋子新</t>
  </si>
  <si>
    <t>15232619611026689X</t>
  </si>
  <si>
    <t>郑月霞</t>
  </si>
  <si>
    <t>闫忠顺</t>
  </si>
  <si>
    <t>陈士忠</t>
  </si>
  <si>
    <t>孙书太</t>
  </si>
  <si>
    <t>152326196102286874</t>
  </si>
  <si>
    <t>崔玉环</t>
  </si>
  <si>
    <t>计志国</t>
  </si>
  <si>
    <t>封亚芝</t>
  </si>
  <si>
    <t>赵桂萍</t>
  </si>
  <si>
    <t>李艳平</t>
  </si>
  <si>
    <t>152324199402191122</t>
  </si>
  <si>
    <t>15052519730612687X</t>
  </si>
  <si>
    <t>152326197806236861</t>
  </si>
  <si>
    <t>闫孝龙</t>
  </si>
  <si>
    <t>152326198904136877</t>
  </si>
  <si>
    <t>闫春娟</t>
  </si>
  <si>
    <t>152326198706056905</t>
  </si>
  <si>
    <t>王强</t>
  </si>
  <si>
    <t>152326197810146914</t>
  </si>
  <si>
    <t>刘艳丽</t>
  </si>
  <si>
    <t>152326197904276867</t>
  </si>
  <si>
    <t>计彩云</t>
  </si>
  <si>
    <t>152326197801246868</t>
  </si>
  <si>
    <t>孙国柱</t>
  </si>
  <si>
    <t>152326197001026891</t>
  </si>
  <si>
    <t>姜文财</t>
  </si>
  <si>
    <t>152326199001266878</t>
  </si>
  <si>
    <t>陈艳红</t>
  </si>
  <si>
    <t>152326198209026860</t>
  </si>
  <si>
    <t>陈云波</t>
  </si>
  <si>
    <t>152326197812146870</t>
  </si>
  <si>
    <t>王亚光</t>
  </si>
  <si>
    <t>152326197712296863</t>
  </si>
  <si>
    <t>孙宇飞</t>
  </si>
  <si>
    <t>152326198405206877</t>
  </si>
  <si>
    <t>何芳芳</t>
  </si>
  <si>
    <t>152326198708046380</t>
  </si>
  <si>
    <t>郭效良</t>
  </si>
  <si>
    <t>152326199909056870</t>
  </si>
  <si>
    <t>闫孝雷</t>
  </si>
  <si>
    <t>152326199208106871</t>
  </si>
  <si>
    <t>李永良</t>
  </si>
  <si>
    <t>152326197211286878</t>
  </si>
  <si>
    <t>夏国艳</t>
  </si>
  <si>
    <t>152326197207276888</t>
  </si>
  <si>
    <t>姜文明</t>
  </si>
  <si>
    <t>152326198010216894</t>
  </si>
  <si>
    <t>陈玉玲</t>
  </si>
  <si>
    <t>15232619800120690X</t>
  </si>
  <si>
    <t>孙海双</t>
  </si>
  <si>
    <t>152326198612056883</t>
  </si>
  <si>
    <t>152326198410206900</t>
  </si>
  <si>
    <t>闫飞飞</t>
  </si>
  <si>
    <t>152326198802266865</t>
  </si>
  <si>
    <t>王道明</t>
  </si>
  <si>
    <t>152326197212056871</t>
  </si>
  <si>
    <t>石磊</t>
  </si>
  <si>
    <t>152326199203256897</t>
  </si>
  <si>
    <t>牟亚娟</t>
  </si>
  <si>
    <t>1152324199008021424</t>
  </si>
  <si>
    <t>张永芬</t>
  </si>
  <si>
    <t>152326199802156900</t>
  </si>
  <si>
    <t>王振华</t>
  </si>
  <si>
    <t>152326199810186878</t>
  </si>
  <si>
    <t>孙艳明</t>
  </si>
  <si>
    <t>152326197904106913</t>
  </si>
  <si>
    <t>李树平</t>
  </si>
  <si>
    <t>152326197910177128</t>
  </si>
  <si>
    <t>马永胜</t>
  </si>
  <si>
    <t>152326199310086934</t>
  </si>
  <si>
    <t>李柱彪</t>
  </si>
  <si>
    <t>152326198912266890</t>
  </si>
  <si>
    <t>马春红</t>
  </si>
  <si>
    <t>152326198601126882</t>
  </si>
  <si>
    <t>孙永泉</t>
  </si>
  <si>
    <t>152326197904096874</t>
  </si>
  <si>
    <t>闫孝东</t>
  </si>
  <si>
    <t>152326198402176879</t>
  </si>
  <si>
    <t>徐立民</t>
  </si>
  <si>
    <t>152326199202056877</t>
  </si>
  <si>
    <t>马晓丽</t>
  </si>
  <si>
    <t>152326199506016882</t>
  </si>
  <si>
    <t>李晓杰</t>
  </si>
  <si>
    <t>152326196702016878</t>
  </si>
  <si>
    <t>刘翠华</t>
  </si>
  <si>
    <t>152326196603216882</t>
  </si>
  <si>
    <t>孙永杰</t>
  </si>
  <si>
    <t>152326199208256896</t>
  </si>
  <si>
    <t>王宏玉</t>
  </si>
  <si>
    <t>152326199210137124</t>
  </si>
  <si>
    <t>计志军</t>
  </si>
  <si>
    <t>152326197403206895</t>
  </si>
  <si>
    <t>杨春香</t>
  </si>
  <si>
    <t>152326197512266862</t>
  </si>
  <si>
    <t>152326199110266885</t>
  </si>
  <si>
    <t>杨振华</t>
  </si>
  <si>
    <t>152326197709086865</t>
  </si>
  <si>
    <t>王明慧</t>
  </si>
  <si>
    <t>152324198904021428</t>
  </si>
  <si>
    <t>徐立柱</t>
  </si>
  <si>
    <t>152326198505026873</t>
  </si>
  <si>
    <t>15232619790827691X</t>
  </si>
  <si>
    <t>王博渊</t>
  </si>
  <si>
    <t>152326199508156889</t>
  </si>
  <si>
    <t>杨亚娟</t>
  </si>
  <si>
    <t>152326198207236880</t>
  </si>
  <si>
    <t>闫春艳</t>
  </si>
  <si>
    <t>152326197108306869</t>
  </si>
  <si>
    <t>姚桂环</t>
  </si>
  <si>
    <t>152326196006026861</t>
  </si>
  <si>
    <t>明仁村户口，2021年开始在明仁村缴费</t>
  </si>
  <si>
    <t>公益村2020年养老保险缴费名单</t>
  </si>
  <si>
    <t>公益村</t>
  </si>
  <si>
    <t>周井芝</t>
  </si>
  <si>
    <t>15232619610128712X</t>
  </si>
  <si>
    <t>152326196102047128</t>
  </si>
  <si>
    <t>刘凤云</t>
  </si>
  <si>
    <t>152326196102097125</t>
  </si>
  <si>
    <t>王全</t>
  </si>
  <si>
    <t>152326196103077118</t>
  </si>
  <si>
    <t>李香成</t>
  </si>
  <si>
    <t>152326196103087113</t>
  </si>
  <si>
    <t>张风芹</t>
  </si>
  <si>
    <t>152326196103137125</t>
  </si>
  <si>
    <t>王井林</t>
  </si>
  <si>
    <t>152326196103137256</t>
  </si>
  <si>
    <t>15232619610320712X</t>
  </si>
  <si>
    <t>周秀云</t>
  </si>
  <si>
    <t>152326196103307120</t>
  </si>
  <si>
    <t>徐翠霞</t>
  </si>
  <si>
    <t>152326196104047121</t>
  </si>
  <si>
    <t>于占龙</t>
  </si>
  <si>
    <t>152326196104107112</t>
  </si>
  <si>
    <t>张守学</t>
  </si>
  <si>
    <t>15232619610626711X</t>
  </si>
  <si>
    <t>肢残二级</t>
  </si>
  <si>
    <t>刘凤霞</t>
  </si>
  <si>
    <t>152326196107027126</t>
  </si>
  <si>
    <t>单志辉</t>
  </si>
  <si>
    <t>152326196107137237</t>
  </si>
  <si>
    <t>李常臣</t>
  </si>
  <si>
    <t>152326196108067111</t>
  </si>
  <si>
    <t>张志祥</t>
  </si>
  <si>
    <t>152326196108137116</t>
  </si>
  <si>
    <t>王志合</t>
  </si>
  <si>
    <t>152326196108177118</t>
  </si>
  <si>
    <t>152326196108187113</t>
  </si>
  <si>
    <t>何俊荣</t>
  </si>
  <si>
    <t>152326196108247120</t>
  </si>
  <si>
    <t>邵玉田</t>
  </si>
  <si>
    <t>15232619610914713X</t>
  </si>
  <si>
    <t>孙井琢</t>
  </si>
  <si>
    <t>15232619610925711X</t>
  </si>
  <si>
    <t>尚风云</t>
  </si>
  <si>
    <t>152326196110017148</t>
  </si>
  <si>
    <t>王淑侠</t>
  </si>
  <si>
    <t>152326196110067129</t>
  </si>
  <si>
    <t>王树珍</t>
  </si>
  <si>
    <t>152326196111277144</t>
  </si>
  <si>
    <t>桑秀起</t>
  </si>
  <si>
    <t>152326196112247115</t>
  </si>
  <si>
    <t>魏风英</t>
  </si>
  <si>
    <t>152326196112257145</t>
  </si>
  <si>
    <t>季学辉</t>
  </si>
  <si>
    <t>152326196201167117</t>
  </si>
  <si>
    <t>李洪权</t>
  </si>
  <si>
    <t>152326196201297114</t>
  </si>
  <si>
    <t>柴国清</t>
  </si>
  <si>
    <t>152326196201297130</t>
  </si>
  <si>
    <t>王喜</t>
  </si>
  <si>
    <t>152326196202037111</t>
  </si>
  <si>
    <t>白显春</t>
  </si>
  <si>
    <t>152326196202057139</t>
  </si>
  <si>
    <t>李振祥</t>
  </si>
  <si>
    <t>152326196203037113</t>
  </si>
  <si>
    <t>王福军</t>
  </si>
  <si>
    <t>152326196203207135</t>
  </si>
  <si>
    <t>杜玉英</t>
  </si>
  <si>
    <t>152326196204257126</t>
  </si>
  <si>
    <t>林桂云</t>
  </si>
  <si>
    <t>15232619620502712X</t>
  </si>
  <si>
    <t>周力云</t>
  </si>
  <si>
    <t>152326196205047120</t>
  </si>
  <si>
    <t>沈国华</t>
  </si>
  <si>
    <t>152326196205167130</t>
  </si>
  <si>
    <t>马云侠</t>
  </si>
  <si>
    <t>152326196205267246</t>
  </si>
  <si>
    <t>武文成</t>
  </si>
  <si>
    <t>152326196206037119</t>
  </si>
  <si>
    <t>王敏</t>
  </si>
  <si>
    <t>15232619620605711X</t>
  </si>
  <si>
    <t>15232619620705712X</t>
  </si>
  <si>
    <t>单志江</t>
  </si>
  <si>
    <t>15232619620728711X</t>
  </si>
  <si>
    <t>魏秀芳</t>
  </si>
  <si>
    <t>152325196208017141</t>
  </si>
  <si>
    <t>张宪忠</t>
  </si>
  <si>
    <t>152326196209027119</t>
  </si>
  <si>
    <t>王志付</t>
  </si>
  <si>
    <t>152326196209097117</t>
  </si>
  <si>
    <t>轩子玲</t>
  </si>
  <si>
    <t>152326196209197118</t>
  </si>
  <si>
    <t>马云龙</t>
  </si>
  <si>
    <t>152326196209247111</t>
  </si>
  <si>
    <t>马树阁</t>
  </si>
  <si>
    <t>152326196210157113</t>
  </si>
  <si>
    <t>邵桂英</t>
  </si>
  <si>
    <t>152326196212157125</t>
  </si>
  <si>
    <t>宋桂玲</t>
  </si>
  <si>
    <t>152101196212230646</t>
  </si>
  <si>
    <t>刘少军</t>
  </si>
  <si>
    <t>152326196301167114</t>
  </si>
  <si>
    <t>152326196302037119</t>
  </si>
  <si>
    <t>白淑芳</t>
  </si>
  <si>
    <t>152326196302057128</t>
  </si>
  <si>
    <t>白淑芹</t>
  </si>
  <si>
    <t>152326196302057224</t>
  </si>
  <si>
    <t>侯江</t>
  </si>
  <si>
    <t>152326196302157110</t>
  </si>
  <si>
    <t>王淑华</t>
  </si>
  <si>
    <t>152326196302287126</t>
  </si>
  <si>
    <t>臧贵发</t>
  </si>
  <si>
    <t>152326196303037110</t>
  </si>
  <si>
    <t>张林</t>
  </si>
  <si>
    <t>152326196303037217</t>
  </si>
  <si>
    <t>周香芬</t>
  </si>
  <si>
    <t>152326196303067205</t>
  </si>
  <si>
    <t>李丙余</t>
  </si>
  <si>
    <t>211321196303083719</t>
  </si>
  <si>
    <t>张凤侠</t>
  </si>
  <si>
    <t>152326196303207124</t>
  </si>
  <si>
    <t>赵桂华</t>
  </si>
  <si>
    <t>152326196303267207</t>
  </si>
  <si>
    <t>王福臣</t>
  </si>
  <si>
    <t>15232619630328711X</t>
  </si>
  <si>
    <t>152326196303287232</t>
  </si>
  <si>
    <t>张瑞阳</t>
  </si>
  <si>
    <t>152326196303307117</t>
  </si>
  <si>
    <t>高振丰</t>
  </si>
  <si>
    <t>152326196304027117</t>
  </si>
  <si>
    <t>张桂杰</t>
  </si>
  <si>
    <t>152326196304127126</t>
  </si>
  <si>
    <t>赵桂春</t>
  </si>
  <si>
    <t>152326196304157122</t>
  </si>
  <si>
    <t>江敏</t>
  </si>
  <si>
    <t>152326196304177123</t>
  </si>
  <si>
    <t>武彦发</t>
  </si>
  <si>
    <t>152326196304227135</t>
  </si>
  <si>
    <t>申久成</t>
  </si>
  <si>
    <t>152326196304237114</t>
  </si>
  <si>
    <t>单志福</t>
  </si>
  <si>
    <t>152326196304237157</t>
  </si>
  <si>
    <t>刘瑞花</t>
  </si>
  <si>
    <t>152326196304267225</t>
  </si>
  <si>
    <t>152326196305237124</t>
  </si>
  <si>
    <t>林秀芹</t>
  </si>
  <si>
    <t>152326196305267147</t>
  </si>
  <si>
    <t>王志海</t>
  </si>
  <si>
    <t>152326196306087113</t>
  </si>
  <si>
    <t>王云丰</t>
  </si>
  <si>
    <t>152326196308067116</t>
  </si>
  <si>
    <t>王淑花</t>
  </si>
  <si>
    <t>152326196308107288</t>
  </si>
  <si>
    <t>武贵华</t>
  </si>
  <si>
    <t>152326196309017110</t>
  </si>
  <si>
    <t>刘跃芹</t>
  </si>
  <si>
    <t>152326196309027124</t>
  </si>
  <si>
    <t>郭翠贤</t>
  </si>
  <si>
    <t>152326196310147123</t>
  </si>
  <si>
    <t>152326196310167116</t>
  </si>
  <si>
    <t>王素芹</t>
  </si>
  <si>
    <t>152326196311037129</t>
  </si>
  <si>
    <t>桑秀山</t>
  </si>
  <si>
    <t>152326196312097115</t>
  </si>
  <si>
    <t>张秀枝</t>
  </si>
  <si>
    <t>152326196312257123</t>
  </si>
  <si>
    <t>王淑春</t>
  </si>
  <si>
    <t>152326196401257264</t>
  </si>
  <si>
    <t>申桂芝</t>
  </si>
  <si>
    <t>152326196402017123</t>
  </si>
  <si>
    <t>张志国</t>
  </si>
  <si>
    <t>152326196402027110</t>
  </si>
  <si>
    <t>陈桂云</t>
  </si>
  <si>
    <t>152326196402037247</t>
  </si>
  <si>
    <t>李海</t>
  </si>
  <si>
    <t>152326196402047111</t>
  </si>
  <si>
    <t>李平</t>
  </si>
  <si>
    <t>152326196402097119</t>
  </si>
  <si>
    <t>王淑平</t>
  </si>
  <si>
    <t>152326196402137125</t>
  </si>
  <si>
    <t>臧文荣</t>
  </si>
  <si>
    <t>152326196403047121</t>
  </si>
  <si>
    <t>王金华</t>
  </si>
  <si>
    <t>152326196403137143</t>
  </si>
  <si>
    <t>武风金</t>
  </si>
  <si>
    <t>152326196404017119</t>
  </si>
  <si>
    <t>石亚凤</t>
  </si>
  <si>
    <t>152326196404017143</t>
  </si>
  <si>
    <t>金玉荣</t>
  </si>
  <si>
    <t>152326196404027122</t>
  </si>
  <si>
    <t>肖桂云</t>
  </si>
  <si>
    <t>152326196404127182</t>
  </si>
  <si>
    <t>侯雨</t>
  </si>
  <si>
    <t>152326196404147116</t>
  </si>
  <si>
    <t>林树军</t>
  </si>
  <si>
    <t>152326196404217110</t>
  </si>
  <si>
    <t>15232619640518711X</t>
  </si>
  <si>
    <t>张宪国</t>
  </si>
  <si>
    <t>152326196406017112</t>
  </si>
  <si>
    <t>张瑞民</t>
  </si>
  <si>
    <t>152326196406037113</t>
  </si>
  <si>
    <t>152326196406127143</t>
  </si>
  <si>
    <t>周国兴</t>
  </si>
  <si>
    <t>152326196406237115</t>
  </si>
  <si>
    <t>肖桂枝</t>
  </si>
  <si>
    <t>152326196407017122</t>
  </si>
  <si>
    <t>张守军</t>
  </si>
  <si>
    <t>152326196407067138</t>
  </si>
  <si>
    <t>魏树连</t>
  </si>
  <si>
    <t>152326196407077125</t>
  </si>
  <si>
    <t>张桂云</t>
  </si>
  <si>
    <t>152326196407077141</t>
  </si>
  <si>
    <t>李德文</t>
  </si>
  <si>
    <t>152326196407157133</t>
  </si>
  <si>
    <t>郭玉玲</t>
  </si>
  <si>
    <t>152326196408117184</t>
  </si>
  <si>
    <t>152326196408167157</t>
  </si>
  <si>
    <t>马云波</t>
  </si>
  <si>
    <t>152326196408247114</t>
  </si>
  <si>
    <t>沈秀玲</t>
  </si>
  <si>
    <t>152326196409267184</t>
  </si>
  <si>
    <t>毕玉枝</t>
  </si>
  <si>
    <t>152326196410117140</t>
  </si>
  <si>
    <t>沈秀英</t>
  </si>
  <si>
    <t>152326196411267124</t>
  </si>
  <si>
    <t>152326196411267204</t>
  </si>
  <si>
    <t>朱洪英</t>
  </si>
  <si>
    <t>152326196412277180</t>
  </si>
  <si>
    <t>李瑞</t>
  </si>
  <si>
    <t>150525196501016874</t>
  </si>
  <si>
    <t>林波</t>
  </si>
  <si>
    <t>152326196501027116</t>
  </si>
  <si>
    <t>王连芹</t>
  </si>
  <si>
    <t>152326196501107124</t>
  </si>
  <si>
    <t>杨彩云</t>
  </si>
  <si>
    <t>15232619650119714X</t>
  </si>
  <si>
    <t>肖会英</t>
  </si>
  <si>
    <t>152326196502047127</t>
  </si>
  <si>
    <t>李连霞</t>
  </si>
  <si>
    <t>152326196502097140</t>
  </si>
  <si>
    <t>李秀兰</t>
  </si>
  <si>
    <t>152326196503037123</t>
  </si>
  <si>
    <t>单志文</t>
  </si>
  <si>
    <t>152326196503207110</t>
  </si>
  <si>
    <t>李淑云</t>
  </si>
  <si>
    <t>152326196503247200</t>
  </si>
  <si>
    <t>武彦福</t>
  </si>
  <si>
    <t>152326196503287114</t>
  </si>
  <si>
    <t>申久全</t>
  </si>
  <si>
    <t>152326196504047112</t>
  </si>
  <si>
    <t>马树生</t>
  </si>
  <si>
    <t>152326196506267119</t>
  </si>
  <si>
    <t>152326196507037147</t>
  </si>
  <si>
    <t>李德义</t>
  </si>
  <si>
    <t>152326196507127134</t>
  </si>
  <si>
    <t>张瑞金</t>
  </si>
  <si>
    <t>152326196508037130</t>
  </si>
  <si>
    <t>周金英</t>
  </si>
  <si>
    <t>152326196508147129</t>
  </si>
  <si>
    <t>李洪花</t>
  </si>
  <si>
    <t>15232619650912712X</t>
  </si>
  <si>
    <t>张敏</t>
  </si>
  <si>
    <t>152326196509297110</t>
  </si>
  <si>
    <t>林树宝</t>
  </si>
  <si>
    <t>152326196510177116</t>
  </si>
  <si>
    <t>152326196510197133</t>
  </si>
  <si>
    <t>152326196511247227</t>
  </si>
  <si>
    <t>王云</t>
  </si>
  <si>
    <t>152326196512237119</t>
  </si>
  <si>
    <t>张桂艳</t>
  </si>
  <si>
    <t>152326196601077129</t>
  </si>
  <si>
    <t>周井琴</t>
  </si>
  <si>
    <t>152326196602047140</t>
  </si>
  <si>
    <t>王玉枝</t>
  </si>
  <si>
    <t>152326196602147125</t>
  </si>
  <si>
    <t>152326196602207116</t>
  </si>
  <si>
    <t>刘权</t>
  </si>
  <si>
    <t>152326196602207132</t>
  </si>
  <si>
    <t>王金苹</t>
  </si>
  <si>
    <t>152326196602287128</t>
  </si>
  <si>
    <t>武风友</t>
  </si>
  <si>
    <t>152326196603037139</t>
  </si>
  <si>
    <t>赵桂云</t>
  </si>
  <si>
    <t>152326196603097123</t>
  </si>
  <si>
    <t>陆淑珍</t>
  </si>
  <si>
    <t>152326196603107141</t>
  </si>
  <si>
    <t>王国领</t>
  </si>
  <si>
    <t>152326196603147119</t>
  </si>
  <si>
    <t>赵桂玲</t>
  </si>
  <si>
    <t>152326196603167128</t>
  </si>
  <si>
    <t>田显臣</t>
  </si>
  <si>
    <t>152326196605157118</t>
  </si>
  <si>
    <t>高玉环</t>
  </si>
  <si>
    <t>15232619660627712X</t>
  </si>
  <si>
    <t>陈国学</t>
  </si>
  <si>
    <t>152326196607027114</t>
  </si>
  <si>
    <t>李玉枝</t>
  </si>
  <si>
    <t>152326196607207123</t>
  </si>
  <si>
    <t>152326196608107183</t>
  </si>
  <si>
    <t>池明花</t>
  </si>
  <si>
    <t>152326196608277123</t>
  </si>
  <si>
    <t>周井花</t>
  </si>
  <si>
    <t>152326196608287129</t>
  </si>
  <si>
    <t>李井艳</t>
  </si>
  <si>
    <t>152326196609057165</t>
  </si>
  <si>
    <t>张兴国</t>
  </si>
  <si>
    <t>152326196609077115</t>
  </si>
  <si>
    <t>152326196609107126</t>
  </si>
  <si>
    <t>王井玉</t>
  </si>
  <si>
    <t>152326196609247137</t>
  </si>
  <si>
    <t>王树彦</t>
  </si>
  <si>
    <t>152326196610097148</t>
  </si>
  <si>
    <t>沈国柱</t>
  </si>
  <si>
    <t>152326196610207132</t>
  </si>
  <si>
    <t>王忠华</t>
  </si>
  <si>
    <t>152326196612147110</t>
  </si>
  <si>
    <t>李洪玖</t>
  </si>
  <si>
    <t>152326196702047113</t>
  </si>
  <si>
    <t>梁庆华</t>
  </si>
  <si>
    <t>152326196702147122</t>
  </si>
  <si>
    <t>王金生</t>
  </si>
  <si>
    <t>152326196702167115</t>
  </si>
  <si>
    <t>张会花</t>
  </si>
  <si>
    <t>152326196703307124</t>
  </si>
  <si>
    <t>乔桂芳</t>
  </si>
  <si>
    <t>152326196705047143</t>
  </si>
  <si>
    <t>林文龙</t>
  </si>
  <si>
    <t>152326196705087153</t>
  </si>
  <si>
    <t>白桂霞</t>
  </si>
  <si>
    <t>152326196705137149</t>
  </si>
  <si>
    <t>王志刚</t>
  </si>
  <si>
    <t>152326196705177116</t>
  </si>
  <si>
    <t>周子平</t>
  </si>
  <si>
    <t>152326196705257132</t>
  </si>
  <si>
    <t>颜贺芹</t>
  </si>
  <si>
    <t>152326196708077129</t>
  </si>
  <si>
    <t>王娅玲</t>
  </si>
  <si>
    <t>152326196708107121</t>
  </si>
  <si>
    <t>李连君</t>
  </si>
  <si>
    <t>152326196708297113</t>
  </si>
  <si>
    <t>张爱国</t>
  </si>
  <si>
    <t>152326196709297115</t>
  </si>
  <si>
    <t>臧贵龙</t>
  </si>
  <si>
    <t>152326196710027112</t>
  </si>
  <si>
    <t>尚凤玲</t>
  </si>
  <si>
    <t>15232619671112722X</t>
  </si>
  <si>
    <t>152326196801027118</t>
  </si>
  <si>
    <t>周井芳</t>
  </si>
  <si>
    <t>152326196801167129</t>
  </si>
  <si>
    <t>王连臣</t>
  </si>
  <si>
    <t>15232619680122711X</t>
  </si>
  <si>
    <t>152326196802017149</t>
  </si>
  <si>
    <t>王贵</t>
  </si>
  <si>
    <t>15232619680202711X</t>
  </si>
  <si>
    <t>张桂华</t>
  </si>
  <si>
    <t>152326196802257185</t>
  </si>
  <si>
    <t>单秀侠</t>
  </si>
  <si>
    <t>152326196803237186</t>
  </si>
  <si>
    <t>于占才</t>
  </si>
  <si>
    <t>15232619680325711X</t>
  </si>
  <si>
    <t>吴青河</t>
  </si>
  <si>
    <t>152326196804097613</t>
  </si>
  <si>
    <t>郑金霞</t>
  </si>
  <si>
    <t>15232619680505712X</t>
  </si>
  <si>
    <t>李军</t>
  </si>
  <si>
    <t>152326196805157112</t>
  </si>
  <si>
    <t>刘淑芬</t>
  </si>
  <si>
    <t>152326196805237120</t>
  </si>
  <si>
    <t>朱洪琴</t>
  </si>
  <si>
    <t>152326196805257121</t>
  </si>
  <si>
    <t>赵江</t>
  </si>
  <si>
    <t>152326196806077114</t>
  </si>
  <si>
    <t>侯顺</t>
  </si>
  <si>
    <t>152326196807137115</t>
  </si>
  <si>
    <t>臧贵财</t>
  </si>
  <si>
    <t>152326196807217115</t>
  </si>
  <si>
    <t>李洪云</t>
  </si>
  <si>
    <t>152326196808037124</t>
  </si>
  <si>
    <t>臧贵生</t>
  </si>
  <si>
    <t>152326196808127138</t>
  </si>
  <si>
    <t>于凤华</t>
  </si>
  <si>
    <t>152326196808247148</t>
  </si>
  <si>
    <t>刘艳林</t>
  </si>
  <si>
    <t>15232619680827711X</t>
  </si>
  <si>
    <t>郭秀雲</t>
  </si>
  <si>
    <t>152326196809057127</t>
  </si>
  <si>
    <t>张树文</t>
  </si>
  <si>
    <t>152326196811037117</t>
  </si>
  <si>
    <t>周井峰</t>
  </si>
  <si>
    <t>152326196812207114</t>
  </si>
  <si>
    <t>王彦春</t>
  </si>
  <si>
    <t>152326196812237129</t>
  </si>
  <si>
    <t>姜海英</t>
  </si>
  <si>
    <t>15232619681225712X</t>
  </si>
  <si>
    <t>王银生</t>
  </si>
  <si>
    <t>152326196901087118</t>
  </si>
  <si>
    <t>刘瑞国</t>
  </si>
  <si>
    <t>152326196902027117</t>
  </si>
  <si>
    <t>沈国永</t>
  </si>
  <si>
    <t>152326196902027176</t>
  </si>
  <si>
    <t>柴秀花</t>
  </si>
  <si>
    <t>152326196902227127</t>
  </si>
  <si>
    <t>林树山</t>
  </si>
  <si>
    <t>152326196903047136</t>
  </si>
  <si>
    <t>王连华</t>
  </si>
  <si>
    <t>15232619690304711X</t>
  </si>
  <si>
    <t>曲和</t>
  </si>
  <si>
    <t>152326196903157116</t>
  </si>
  <si>
    <t>轩桂兰</t>
  </si>
  <si>
    <t>152326196903287148</t>
  </si>
  <si>
    <t>申久财</t>
  </si>
  <si>
    <t>152326196904047138</t>
  </si>
  <si>
    <t>陆淑梅</t>
  </si>
  <si>
    <t>152326196905067122</t>
  </si>
  <si>
    <t>152326196905097110</t>
  </si>
  <si>
    <t>梁庆领</t>
  </si>
  <si>
    <t>15232619690603711X</t>
  </si>
  <si>
    <t>庄树玲</t>
  </si>
  <si>
    <t>152326196906037128</t>
  </si>
  <si>
    <t>李德林</t>
  </si>
  <si>
    <t>152326196907127117</t>
  </si>
  <si>
    <t>152326196907137112</t>
  </si>
  <si>
    <t>刘海伍</t>
  </si>
  <si>
    <t>152326196907207117</t>
  </si>
  <si>
    <t>李春</t>
  </si>
  <si>
    <t>152326196907257114</t>
  </si>
  <si>
    <t>刘海军</t>
  </si>
  <si>
    <t>152326196908097116</t>
  </si>
  <si>
    <t>张利华</t>
  </si>
  <si>
    <t>152326196909207129</t>
  </si>
  <si>
    <t>何秀荣</t>
  </si>
  <si>
    <t>152326196910157149</t>
  </si>
  <si>
    <t>王井海</t>
  </si>
  <si>
    <t>152326196911017113</t>
  </si>
  <si>
    <t>肖凤娥</t>
  </si>
  <si>
    <t>152326196911117149</t>
  </si>
  <si>
    <t>王海</t>
  </si>
  <si>
    <t>152326196911167111</t>
  </si>
  <si>
    <t>152326197001017645</t>
  </si>
  <si>
    <t>152326197001127123</t>
  </si>
  <si>
    <t>李任英</t>
  </si>
  <si>
    <t>152326197002207141</t>
  </si>
  <si>
    <t>张财</t>
  </si>
  <si>
    <t>15232619700223713X</t>
  </si>
  <si>
    <t>王玉君</t>
  </si>
  <si>
    <t>152326197003027118</t>
  </si>
  <si>
    <t>王淑红</t>
  </si>
  <si>
    <t>152326197003157123</t>
  </si>
  <si>
    <t>152326197004057124</t>
  </si>
  <si>
    <t>152326197004077117</t>
  </si>
  <si>
    <t>152326197005107138</t>
  </si>
  <si>
    <t>王福成</t>
  </si>
  <si>
    <t>152326197006047114</t>
  </si>
  <si>
    <t>武贵贤</t>
  </si>
  <si>
    <t>152326197006197120</t>
  </si>
  <si>
    <t>周子玲</t>
  </si>
  <si>
    <t>152326197006207149</t>
  </si>
  <si>
    <t>杨海</t>
  </si>
  <si>
    <t>152326197008197116</t>
  </si>
  <si>
    <t>王井山</t>
  </si>
  <si>
    <t>152326197010117138</t>
  </si>
  <si>
    <t>张瑞银</t>
  </si>
  <si>
    <t>152326197010197115</t>
  </si>
  <si>
    <t>胡广文</t>
  </si>
  <si>
    <t>152326197011197117</t>
  </si>
  <si>
    <t>王福玉</t>
  </si>
  <si>
    <t>15232619701122711X</t>
  </si>
  <si>
    <t>152326197011237123</t>
  </si>
  <si>
    <t>152326197012057167</t>
  </si>
  <si>
    <t>152326197101087122</t>
  </si>
  <si>
    <t>张学</t>
  </si>
  <si>
    <t>152326197102207114</t>
  </si>
  <si>
    <t>单志军</t>
  </si>
  <si>
    <t>152326197102207130</t>
  </si>
  <si>
    <t>周井春</t>
  </si>
  <si>
    <t>152326197103247134</t>
  </si>
  <si>
    <t>李常江</t>
  </si>
  <si>
    <t>152326197103247150</t>
  </si>
  <si>
    <t>田立</t>
  </si>
  <si>
    <t>152326197104047118</t>
  </si>
  <si>
    <t>王树丽</t>
  </si>
  <si>
    <t>152326197104067143</t>
  </si>
  <si>
    <t>张洪成</t>
  </si>
  <si>
    <t>152326197104077114</t>
  </si>
  <si>
    <t>赵井宇</t>
  </si>
  <si>
    <t>152326197105107135</t>
  </si>
  <si>
    <t>152326197106037116</t>
  </si>
  <si>
    <t>王淑兰</t>
  </si>
  <si>
    <t>152326197106057125</t>
  </si>
  <si>
    <t>臧贵海</t>
  </si>
  <si>
    <t>15232619710605715X</t>
  </si>
  <si>
    <t>152326197107027139</t>
  </si>
  <si>
    <t>王卫</t>
  </si>
  <si>
    <t>152326197107237136</t>
  </si>
  <si>
    <t>陈玉芬</t>
  </si>
  <si>
    <t>152326197107296902</t>
  </si>
  <si>
    <t>金桂艳</t>
  </si>
  <si>
    <t>152326197108027122</t>
  </si>
  <si>
    <t>王彦珍</t>
  </si>
  <si>
    <t>15232619710804714X</t>
  </si>
  <si>
    <t>刘风华</t>
  </si>
  <si>
    <t>152326197108097147</t>
  </si>
  <si>
    <t>马树权</t>
  </si>
  <si>
    <t>152326197108167117</t>
  </si>
  <si>
    <t>沈国权</t>
  </si>
  <si>
    <t>152326197109077156</t>
  </si>
  <si>
    <t>周景红</t>
  </si>
  <si>
    <t>152326197109097122</t>
  </si>
  <si>
    <t>152326197109117306</t>
  </si>
  <si>
    <t>李艳华</t>
  </si>
  <si>
    <t>152326197109307126</t>
  </si>
  <si>
    <t>王元</t>
  </si>
  <si>
    <t>152326197110147131</t>
  </si>
  <si>
    <t>郭洪珍</t>
  </si>
  <si>
    <t>152326197110147182</t>
  </si>
  <si>
    <t>张文华</t>
  </si>
  <si>
    <t>152326197110267117</t>
  </si>
  <si>
    <t>王连军</t>
  </si>
  <si>
    <t>152326197111067117</t>
  </si>
  <si>
    <t>林树江</t>
  </si>
  <si>
    <t>152326197112057113</t>
  </si>
  <si>
    <t>王淑会</t>
  </si>
  <si>
    <t>152326197112107141</t>
  </si>
  <si>
    <t>梁庆丽</t>
  </si>
  <si>
    <t>152326197112127126</t>
  </si>
  <si>
    <t>赵秀文</t>
  </si>
  <si>
    <t>21132119711215366X</t>
  </si>
  <si>
    <t>王树芬</t>
  </si>
  <si>
    <t>152326197112267145</t>
  </si>
  <si>
    <t>高桂芬</t>
  </si>
  <si>
    <t>152326197201017121</t>
  </si>
  <si>
    <t>许哲峰</t>
  </si>
  <si>
    <t>152326197201107135</t>
  </si>
  <si>
    <t>152326197201297127</t>
  </si>
  <si>
    <t>王福银</t>
  </si>
  <si>
    <t>152326197201307110</t>
  </si>
  <si>
    <t>肖辉军</t>
  </si>
  <si>
    <t>152326197202017131</t>
  </si>
  <si>
    <t>沈小春</t>
  </si>
  <si>
    <t>152326197202147120</t>
  </si>
  <si>
    <t>王国枝</t>
  </si>
  <si>
    <t>152326197203017125</t>
  </si>
  <si>
    <t>王玉权</t>
  </si>
  <si>
    <t>152326197203027171</t>
  </si>
  <si>
    <t>王雨</t>
  </si>
  <si>
    <t>152326197203037118</t>
  </si>
  <si>
    <t>于风成</t>
  </si>
  <si>
    <t>152326197204057137</t>
  </si>
  <si>
    <t>刘海双</t>
  </si>
  <si>
    <t>152326197205047117</t>
  </si>
  <si>
    <t>李香奎</t>
  </si>
  <si>
    <t>152326197205127133</t>
  </si>
  <si>
    <t>刘海云</t>
  </si>
  <si>
    <t>152326197205187128</t>
  </si>
  <si>
    <t>刘海华</t>
  </si>
  <si>
    <t>152326197206037121</t>
  </si>
  <si>
    <t>赵景海</t>
  </si>
  <si>
    <t>152326197206247110</t>
  </si>
  <si>
    <t>魏淑霞</t>
  </si>
  <si>
    <t>152326197207197127</t>
  </si>
  <si>
    <t>王艳云</t>
  </si>
  <si>
    <t>152326197207257142</t>
  </si>
  <si>
    <t>张瑞才</t>
  </si>
  <si>
    <t>152326197208017271</t>
  </si>
  <si>
    <t>沈秀华</t>
  </si>
  <si>
    <t>152326197208247122</t>
  </si>
  <si>
    <t>刘海丰</t>
  </si>
  <si>
    <t>152326197209237110</t>
  </si>
  <si>
    <t>白俊生</t>
  </si>
  <si>
    <t>152326197210017131</t>
  </si>
  <si>
    <t>许淑华</t>
  </si>
  <si>
    <t>152326197211017141</t>
  </si>
  <si>
    <t>柴玉红</t>
  </si>
  <si>
    <t>152326197211237128</t>
  </si>
  <si>
    <t>赵井辉</t>
  </si>
  <si>
    <t>152326197212137110</t>
  </si>
  <si>
    <t>轩桂云</t>
  </si>
  <si>
    <t>152326197212287282</t>
  </si>
  <si>
    <t>沈建华</t>
  </si>
  <si>
    <t>152326197302017112</t>
  </si>
  <si>
    <t>周井生</t>
  </si>
  <si>
    <t>152326197302117113</t>
  </si>
  <si>
    <t>胡淑燕</t>
  </si>
  <si>
    <t>152326197302267146</t>
  </si>
  <si>
    <t>152326197303107128</t>
  </si>
  <si>
    <t>孙井林</t>
  </si>
  <si>
    <t>152326197303137116</t>
  </si>
  <si>
    <t>贾玉华</t>
  </si>
  <si>
    <t>152326197304047147</t>
  </si>
  <si>
    <t>王福友</t>
  </si>
  <si>
    <t>152326197305107113</t>
  </si>
  <si>
    <t>侯玉国</t>
  </si>
  <si>
    <t>152326197305147115</t>
  </si>
  <si>
    <t>李艳丽</t>
  </si>
  <si>
    <t>152326197306087126</t>
  </si>
  <si>
    <t>李桂娥</t>
  </si>
  <si>
    <t>152326197306107123</t>
  </si>
  <si>
    <t>王立新</t>
  </si>
  <si>
    <t>152326197307157122</t>
  </si>
  <si>
    <t>152326197307177123</t>
  </si>
  <si>
    <t>张兴权</t>
  </si>
  <si>
    <t>152326197308057115</t>
  </si>
  <si>
    <t>林忠风</t>
  </si>
  <si>
    <t>152326197308137123</t>
  </si>
  <si>
    <t>15232619730813714X</t>
  </si>
  <si>
    <t>王晓玲</t>
  </si>
  <si>
    <t>152326197308147129</t>
  </si>
  <si>
    <t>15232619730904712X</t>
  </si>
  <si>
    <t>于凤国</t>
  </si>
  <si>
    <t>152326197309187114</t>
  </si>
  <si>
    <t>武贵山</t>
  </si>
  <si>
    <t>152326197309297110</t>
  </si>
  <si>
    <t>李艳春</t>
  </si>
  <si>
    <t>152326197309307120</t>
  </si>
  <si>
    <t>王芳</t>
  </si>
  <si>
    <t>152326197310091187</t>
  </si>
  <si>
    <t>赵虎</t>
  </si>
  <si>
    <t>152326197310167137</t>
  </si>
  <si>
    <t>徐丽丽</t>
  </si>
  <si>
    <t>152326197311037123</t>
  </si>
  <si>
    <t>152326197401297121</t>
  </si>
  <si>
    <t>152326197402067141</t>
  </si>
  <si>
    <t>王艳玲</t>
  </si>
  <si>
    <t>152326197402227125</t>
  </si>
  <si>
    <t>沈国俊</t>
  </si>
  <si>
    <t>152326197403077130</t>
  </si>
  <si>
    <t>152326197404277126</t>
  </si>
  <si>
    <t>152326197405037124</t>
  </si>
  <si>
    <t>郭洪学</t>
  </si>
  <si>
    <t>152326197406297171</t>
  </si>
  <si>
    <t>刘艳军</t>
  </si>
  <si>
    <t>15232619740711711X</t>
  </si>
  <si>
    <t>王凤元</t>
  </si>
  <si>
    <t>152326197407157154</t>
  </si>
  <si>
    <t>田秀玲</t>
  </si>
  <si>
    <t>152326197407297122</t>
  </si>
  <si>
    <t>林学</t>
  </si>
  <si>
    <t>152326197408157113</t>
  </si>
  <si>
    <t>肖志民</t>
  </si>
  <si>
    <t>152326197408167119</t>
  </si>
  <si>
    <t>肖凤玲</t>
  </si>
  <si>
    <t>152326197410097121</t>
  </si>
  <si>
    <t>王小红</t>
  </si>
  <si>
    <t>152326197410127124</t>
  </si>
  <si>
    <t>高秀春</t>
  </si>
  <si>
    <t>152326197410127140</t>
  </si>
  <si>
    <t>孙学红</t>
  </si>
  <si>
    <t>152326197410186861</t>
  </si>
  <si>
    <t>邱福云</t>
  </si>
  <si>
    <t>152326197410227125</t>
  </si>
  <si>
    <t>李淑芳</t>
  </si>
  <si>
    <t>152326197411217121</t>
  </si>
  <si>
    <t>刘志刚</t>
  </si>
  <si>
    <t>152326197412077116</t>
  </si>
  <si>
    <t>152326197412217115</t>
  </si>
  <si>
    <t>15232619741221714X</t>
  </si>
  <si>
    <t>张兴华</t>
  </si>
  <si>
    <t>152326197501057117</t>
  </si>
  <si>
    <t>152326197501117124</t>
  </si>
  <si>
    <t>周井和</t>
  </si>
  <si>
    <t>152326197501287115</t>
  </si>
  <si>
    <t>周景新</t>
  </si>
  <si>
    <t>152326197504157121</t>
  </si>
  <si>
    <t>林文学</t>
  </si>
  <si>
    <t>15232619750602711X</t>
  </si>
  <si>
    <t>白俊明</t>
  </si>
  <si>
    <t>152326197506057116</t>
  </si>
  <si>
    <t>王伟华</t>
  </si>
  <si>
    <t>152326197507227113</t>
  </si>
  <si>
    <t>张树军</t>
  </si>
  <si>
    <t>152326197508157110</t>
  </si>
  <si>
    <t>王洪祥</t>
  </si>
  <si>
    <t>152326197508227115</t>
  </si>
  <si>
    <t>152326197509027115</t>
  </si>
  <si>
    <t>王国友</t>
  </si>
  <si>
    <t>152326197509027131</t>
  </si>
  <si>
    <t>张春艳</t>
  </si>
  <si>
    <t>15232619750905712X</t>
  </si>
  <si>
    <t>王立艳</t>
  </si>
  <si>
    <t>152326197510077128</t>
  </si>
  <si>
    <t>王秀红</t>
  </si>
  <si>
    <t>152326197510077144</t>
  </si>
  <si>
    <t>肖辉权</t>
  </si>
  <si>
    <t>152326197510107155</t>
  </si>
  <si>
    <t>陆建华</t>
  </si>
  <si>
    <t>152326197511207115</t>
  </si>
  <si>
    <t>张立霞</t>
  </si>
  <si>
    <t>132337197511221246</t>
  </si>
  <si>
    <t>王凤军</t>
  </si>
  <si>
    <t>152326197512207117</t>
  </si>
  <si>
    <t>王风臣</t>
  </si>
  <si>
    <t>152326197512207133</t>
  </si>
  <si>
    <t>轩德龙</t>
  </si>
  <si>
    <t>152326197512287110</t>
  </si>
  <si>
    <t>刘玉凤</t>
  </si>
  <si>
    <t>152326197601097124</t>
  </si>
  <si>
    <t>项海军</t>
  </si>
  <si>
    <t>152326197601107118</t>
  </si>
  <si>
    <t>张洪锁</t>
  </si>
  <si>
    <t>152326197601157115</t>
  </si>
  <si>
    <t>董田苍</t>
  </si>
  <si>
    <t>152326197601257124</t>
  </si>
  <si>
    <t>高桂颜</t>
  </si>
  <si>
    <t>152326197602257126</t>
  </si>
  <si>
    <t>马云志</t>
  </si>
  <si>
    <t>152326197602267113</t>
  </si>
  <si>
    <t>15232619760319688X</t>
  </si>
  <si>
    <t>赵景成</t>
  </si>
  <si>
    <t>152326197604047114</t>
  </si>
  <si>
    <t>王杰</t>
  </si>
  <si>
    <t>152326197605097113</t>
  </si>
  <si>
    <t>王继飞</t>
  </si>
  <si>
    <t>152326197606187110</t>
  </si>
  <si>
    <t>张庆海</t>
  </si>
  <si>
    <t>152326197607107135</t>
  </si>
  <si>
    <t>王继才</t>
  </si>
  <si>
    <t>152326197607167111</t>
  </si>
  <si>
    <t>152326197608227120</t>
  </si>
  <si>
    <t>王金玲</t>
  </si>
  <si>
    <t>152326197609207148</t>
  </si>
  <si>
    <t>林树学</t>
  </si>
  <si>
    <t>152326197609247115</t>
  </si>
  <si>
    <t>李树兰</t>
  </si>
  <si>
    <t>152326197609257129</t>
  </si>
  <si>
    <t>王爱民</t>
  </si>
  <si>
    <t>15232619761010711X</t>
  </si>
  <si>
    <t>刘海权</t>
  </si>
  <si>
    <t>152326197610157117</t>
  </si>
  <si>
    <t>李振山</t>
  </si>
  <si>
    <t>15232619761029711X</t>
  </si>
  <si>
    <t>李振国</t>
  </si>
  <si>
    <t>152326197611117133</t>
  </si>
  <si>
    <t>刘清华</t>
  </si>
  <si>
    <t>152326197611137126</t>
  </si>
  <si>
    <t>肖淑娥</t>
  </si>
  <si>
    <t>152326197612017126</t>
  </si>
  <si>
    <t>金明礼</t>
  </si>
  <si>
    <t>152326197612097138</t>
  </si>
  <si>
    <t>侯美玲</t>
  </si>
  <si>
    <t>152326197612267125</t>
  </si>
  <si>
    <t>许云峰</t>
  </si>
  <si>
    <t>15232619770109713X</t>
  </si>
  <si>
    <t>王凤金</t>
  </si>
  <si>
    <t>152326197701177113</t>
  </si>
  <si>
    <t>王财</t>
  </si>
  <si>
    <t>152326197701207132</t>
  </si>
  <si>
    <t>白俊国</t>
  </si>
  <si>
    <t>152326197702077114</t>
  </si>
  <si>
    <t>王艳梅</t>
  </si>
  <si>
    <t>152326197702247128</t>
  </si>
  <si>
    <t>152326197703037122</t>
  </si>
  <si>
    <t>王永生</t>
  </si>
  <si>
    <t>152326197704107137</t>
  </si>
  <si>
    <t>吴桂英</t>
  </si>
  <si>
    <t>152326197704217125</t>
  </si>
  <si>
    <t>冯佰丽</t>
  </si>
  <si>
    <t>220621197705280768</t>
  </si>
  <si>
    <t>刘凤红</t>
  </si>
  <si>
    <t>152326197706277121</t>
  </si>
  <si>
    <t>梁志新</t>
  </si>
  <si>
    <t>152326197709137124</t>
  </si>
  <si>
    <t>王秀凤</t>
  </si>
  <si>
    <t>152326197710177166</t>
  </si>
  <si>
    <t>郭红芹</t>
  </si>
  <si>
    <t>15232619771022716X</t>
  </si>
  <si>
    <t>王连红</t>
  </si>
  <si>
    <t>152326197711097125</t>
  </si>
  <si>
    <t>肖辉德</t>
  </si>
  <si>
    <t>152326197711157132</t>
  </si>
  <si>
    <t>李德成</t>
  </si>
  <si>
    <t>152326197712257119</t>
  </si>
  <si>
    <t>刘春梅</t>
  </si>
  <si>
    <t>15232419771228662X</t>
  </si>
  <si>
    <t>王燕春</t>
  </si>
  <si>
    <t>152326197802017127</t>
  </si>
  <si>
    <t>王俊义</t>
  </si>
  <si>
    <t>152326197806157119</t>
  </si>
  <si>
    <t>王玉花</t>
  </si>
  <si>
    <t>152326197806167122</t>
  </si>
  <si>
    <t>李虎</t>
  </si>
  <si>
    <t>152326197809047118</t>
  </si>
  <si>
    <t>任树坤</t>
  </si>
  <si>
    <t>152326197810137110</t>
  </si>
  <si>
    <t>佟向伶</t>
  </si>
  <si>
    <t>152326197811266862</t>
  </si>
  <si>
    <t>周彦芬</t>
  </si>
  <si>
    <t>152326197901107128</t>
  </si>
  <si>
    <t>李来</t>
  </si>
  <si>
    <t>152326197901157117</t>
  </si>
  <si>
    <t>刘志强</t>
  </si>
  <si>
    <t>152326197901167112</t>
  </si>
  <si>
    <t>高秀娟</t>
  </si>
  <si>
    <t>152326197901257142</t>
  </si>
  <si>
    <t>王淑英</t>
  </si>
  <si>
    <t>152326197901277127</t>
  </si>
  <si>
    <t>王立国</t>
  </si>
  <si>
    <t>152326197902057118</t>
  </si>
  <si>
    <t>李辉</t>
  </si>
  <si>
    <t>152326197903127114</t>
  </si>
  <si>
    <t>高秀芹</t>
  </si>
  <si>
    <t>152326197903227123</t>
  </si>
  <si>
    <t>刘海珍</t>
  </si>
  <si>
    <t>152326197903237129</t>
  </si>
  <si>
    <t>沈小艳</t>
  </si>
  <si>
    <t>152326197904277122</t>
  </si>
  <si>
    <t>武云</t>
  </si>
  <si>
    <t>152326197905297117</t>
  </si>
  <si>
    <t>152326197907037124</t>
  </si>
  <si>
    <t>佟亚琴</t>
  </si>
  <si>
    <t>152326197908037142</t>
  </si>
  <si>
    <t>王玉琢</t>
  </si>
  <si>
    <t>152326197908077128</t>
  </si>
  <si>
    <t>王宏成</t>
  </si>
  <si>
    <t>152326197908267116</t>
  </si>
  <si>
    <t>王凤玲</t>
  </si>
  <si>
    <t>152326197909017127</t>
  </si>
  <si>
    <t>沈建民</t>
  </si>
  <si>
    <t>152326197909207115</t>
  </si>
  <si>
    <t>王燕玲</t>
  </si>
  <si>
    <t>152326197910057126</t>
  </si>
  <si>
    <t>田艳荣</t>
  </si>
  <si>
    <t>152326197911066884</t>
  </si>
  <si>
    <t>王洪勋</t>
  </si>
  <si>
    <t>152326197911067115</t>
  </si>
  <si>
    <t>张洪波</t>
  </si>
  <si>
    <t>152326197912097113</t>
  </si>
  <si>
    <t>张志强</t>
  </si>
  <si>
    <t>152326198001087111</t>
  </si>
  <si>
    <t>张爱军</t>
  </si>
  <si>
    <t>152326198002047111</t>
  </si>
  <si>
    <t>尚立军</t>
  </si>
  <si>
    <t>152326198003137119</t>
  </si>
  <si>
    <t>152326198003156889</t>
  </si>
  <si>
    <t>马小梅</t>
  </si>
  <si>
    <t>152326198005107167</t>
  </si>
  <si>
    <t>152326198006247110</t>
  </si>
  <si>
    <t>张兴杰</t>
  </si>
  <si>
    <t>152326198006287120</t>
  </si>
  <si>
    <t>计彩红</t>
  </si>
  <si>
    <t>15232619800715686X</t>
  </si>
  <si>
    <t>沈建飞</t>
  </si>
  <si>
    <t>152326198007207110</t>
  </si>
  <si>
    <t>沈建波</t>
  </si>
  <si>
    <t>15232619800809711X</t>
  </si>
  <si>
    <t>刘海霞</t>
  </si>
  <si>
    <t>152326198009117127</t>
  </si>
  <si>
    <t>王玉阁</t>
  </si>
  <si>
    <t>152326198009167132</t>
  </si>
  <si>
    <t>李振民</t>
  </si>
  <si>
    <t>152326198009227115</t>
  </si>
  <si>
    <t>梁兴强</t>
  </si>
  <si>
    <t>152326198009257138</t>
  </si>
  <si>
    <t>任树艳</t>
  </si>
  <si>
    <t>152326198010037167</t>
  </si>
  <si>
    <t>王洪波</t>
  </si>
  <si>
    <t>152326198010117116</t>
  </si>
  <si>
    <t>王井颜</t>
  </si>
  <si>
    <t>152326198010147120</t>
  </si>
  <si>
    <t>王喜均</t>
  </si>
  <si>
    <t>152326198010267114</t>
  </si>
  <si>
    <t>高金艳</t>
  </si>
  <si>
    <t>152326198011257129</t>
  </si>
  <si>
    <t>周国柱</t>
  </si>
  <si>
    <t>152326198011297112</t>
  </si>
  <si>
    <t>刘志广</t>
  </si>
  <si>
    <t>152326198012237111</t>
  </si>
  <si>
    <t>高建</t>
  </si>
  <si>
    <t>152326198101017110</t>
  </si>
  <si>
    <t>周国军</t>
  </si>
  <si>
    <t>152326198101057112</t>
  </si>
  <si>
    <t>姜海花</t>
  </si>
  <si>
    <t>152326198101127125</t>
  </si>
  <si>
    <t>王新华</t>
  </si>
  <si>
    <t>152326198102057114</t>
  </si>
  <si>
    <t>李淑玲</t>
  </si>
  <si>
    <t>152326198102147128</t>
  </si>
  <si>
    <t>陆彦华</t>
  </si>
  <si>
    <t>152326198103207129</t>
  </si>
  <si>
    <t>李树华</t>
  </si>
  <si>
    <t>152326198105067115</t>
  </si>
  <si>
    <t>单亚娟</t>
  </si>
  <si>
    <t>152326198108282283</t>
  </si>
  <si>
    <t>海花</t>
  </si>
  <si>
    <t>152326198108287121</t>
  </si>
  <si>
    <t>王燕丽</t>
  </si>
  <si>
    <t>15232619810904712X</t>
  </si>
  <si>
    <t>李广</t>
  </si>
  <si>
    <t>152326198109157150</t>
  </si>
  <si>
    <t>轩德岐</t>
  </si>
  <si>
    <t>15232619810916713X</t>
  </si>
  <si>
    <t>孙国燕</t>
  </si>
  <si>
    <t>152324198109261449</t>
  </si>
  <si>
    <t>李建华</t>
  </si>
  <si>
    <t>152326198110057114</t>
  </si>
  <si>
    <t>张志芳</t>
  </si>
  <si>
    <t>152326198110067128</t>
  </si>
  <si>
    <t>郭洪兵</t>
  </si>
  <si>
    <t>152326198110207119</t>
  </si>
  <si>
    <t>王洪伟</t>
  </si>
  <si>
    <t>152326198110287139</t>
  </si>
  <si>
    <t>张志明</t>
  </si>
  <si>
    <t>152326198111307111</t>
  </si>
  <si>
    <t>刘志明</t>
  </si>
  <si>
    <t>15232619811209711X</t>
  </si>
  <si>
    <t>王红</t>
  </si>
  <si>
    <t>152326198112256889</t>
  </si>
  <si>
    <t>张艳艳</t>
  </si>
  <si>
    <t>152326198201027121</t>
  </si>
  <si>
    <t>王洪玲</t>
  </si>
  <si>
    <t>152326198201197120</t>
  </si>
  <si>
    <t>王景华</t>
  </si>
  <si>
    <t>152326198203087128</t>
  </si>
  <si>
    <t>侯国辉</t>
  </si>
  <si>
    <t>152326198203147119</t>
  </si>
  <si>
    <t>张淑华</t>
  </si>
  <si>
    <t>152326198203207169</t>
  </si>
  <si>
    <t>刘海侠</t>
  </si>
  <si>
    <t>152326198203217121</t>
  </si>
  <si>
    <t>肖辉财</t>
  </si>
  <si>
    <t>152326198204187112</t>
  </si>
  <si>
    <t>152326198205237126</t>
  </si>
  <si>
    <t>白立华</t>
  </si>
  <si>
    <t>152326198208287129</t>
  </si>
  <si>
    <t>王凤宝</t>
  </si>
  <si>
    <t>152326198208317113</t>
  </si>
  <si>
    <t>152326198209056883</t>
  </si>
  <si>
    <t>东海飞</t>
  </si>
  <si>
    <t>152326198209207135</t>
  </si>
  <si>
    <t>刘海琴</t>
  </si>
  <si>
    <t>152326198210037145</t>
  </si>
  <si>
    <t>152326198210087118</t>
  </si>
  <si>
    <t>152326198301207111</t>
  </si>
  <si>
    <t>沈小青</t>
  </si>
  <si>
    <t>15232619830120712X</t>
  </si>
  <si>
    <t>王汉学</t>
  </si>
  <si>
    <t>152326198301247113</t>
  </si>
  <si>
    <t>孙晓玲</t>
  </si>
  <si>
    <t>152326198304207125</t>
  </si>
  <si>
    <t>郭洪龙</t>
  </si>
  <si>
    <t>152326198308147131</t>
  </si>
  <si>
    <t>刘雅凤</t>
  </si>
  <si>
    <t>152326198309026868</t>
  </si>
  <si>
    <t>桑秀环</t>
  </si>
  <si>
    <t>152326198309067125</t>
  </si>
  <si>
    <t>152326198309196883</t>
  </si>
  <si>
    <t>马明华</t>
  </si>
  <si>
    <t>152326198309197114</t>
  </si>
  <si>
    <t>林洪园</t>
  </si>
  <si>
    <t>152326198312057120</t>
  </si>
  <si>
    <t>李云波</t>
  </si>
  <si>
    <t>152326198404267117</t>
  </si>
  <si>
    <t>王红艳</t>
  </si>
  <si>
    <t>15232619840609714X</t>
  </si>
  <si>
    <t>152326198408017123</t>
  </si>
  <si>
    <t>刘海玲</t>
  </si>
  <si>
    <t>152326198408167121</t>
  </si>
  <si>
    <t>高海新</t>
  </si>
  <si>
    <t>152326198410087112</t>
  </si>
  <si>
    <t>王艳菲</t>
  </si>
  <si>
    <t>152326198411067121</t>
  </si>
  <si>
    <t>周国齐</t>
  </si>
  <si>
    <t>152326198411237119</t>
  </si>
  <si>
    <t>李淑利</t>
  </si>
  <si>
    <t>152326198411277129</t>
  </si>
  <si>
    <t>海东</t>
  </si>
  <si>
    <t>152222198502273157</t>
  </si>
  <si>
    <t>吴萨如拉</t>
  </si>
  <si>
    <t>152326198508057122</t>
  </si>
  <si>
    <t>张志环</t>
  </si>
  <si>
    <t>152326198508197117</t>
  </si>
  <si>
    <t>周国辉</t>
  </si>
  <si>
    <t>152326198509067111</t>
  </si>
  <si>
    <t>魏晓茹</t>
  </si>
  <si>
    <t>152326198509136885</t>
  </si>
  <si>
    <t>152326198510257123</t>
  </si>
  <si>
    <t>杨叶</t>
  </si>
  <si>
    <t>140411198605181229</t>
  </si>
  <si>
    <t>赵永春</t>
  </si>
  <si>
    <t>152326198606227113</t>
  </si>
  <si>
    <t>江龙</t>
  </si>
  <si>
    <t>152222198607253136</t>
  </si>
  <si>
    <t>贾翠艳</t>
  </si>
  <si>
    <t>152324198608083528</t>
  </si>
  <si>
    <t>桑秀友</t>
  </si>
  <si>
    <t>152326198609057113</t>
  </si>
  <si>
    <t>周成波</t>
  </si>
  <si>
    <t>152326198609207118</t>
  </si>
  <si>
    <t>王美玲</t>
  </si>
  <si>
    <t>152326198610077146</t>
  </si>
  <si>
    <t>张占华</t>
  </si>
  <si>
    <t>152326198611057112</t>
  </si>
  <si>
    <t>刘海波</t>
  </si>
  <si>
    <t>152326198612017120</t>
  </si>
  <si>
    <t>邵广华</t>
  </si>
  <si>
    <t>152326198612127119</t>
  </si>
  <si>
    <t>田秀圆</t>
  </si>
  <si>
    <t>152326198612137122</t>
  </si>
  <si>
    <t>臧晓艳</t>
  </si>
  <si>
    <t>152326198702057126</t>
  </si>
  <si>
    <t>王晓燕</t>
  </si>
  <si>
    <t>152326198702237127</t>
  </si>
  <si>
    <t>刘海媛</t>
  </si>
  <si>
    <t>152326198703157129</t>
  </si>
  <si>
    <t>张永辉</t>
  </si>
  <si>
    <t>15232619870401711X</t>
  </si>
  <si>
    <t>王红梅</t>
  </si>
  <si>
    <t>152326198706067129</t>
  </si>
  <si>
    <t>张广华</t>
  </si>
  <si>
    <t>152326198706157116</t>
  </si>
  <si>
    <t>姜燕杰</t>
  </si>
  <si>
    <t>152326198707176925</t>
  </si>
  <si>
    <t>张光华</t>
  </si>
  <si>
    <t>152326198708027112</t>
  </si>
  <si>
    <t>王亚东</t>
  </si>
  <si>
    <t>152326198712136629</t>
  </si>
  <si>
    <t>轩德生</t>
  </si>
  <si>
    <t>15232619880116711X</t>
  </si>
  <si>
    <t>152326198801307119</t>
  </si>
  <si>
    <t>孙永春</t>
  </si>
  <si>
    <t>152326198802196908</t>
  </si>
  <si>
    <t>高香静</t>
  </si>
  <si>
    <t>152324198804041421</t>
  </si>
  <si>
    <t>王洪利</t>
  </si>
  <si>
    <t>152326198805187150</t>
  </si>
  <si>
    <t>152326198805187310</t>
  </si>
  <si>
    <t>152326198805207115</t>
  </si>
  <si>
    <t>张庆春</t>
  </si>
  <si>
    <t>152326198806027116</t>
  </si>
  <si>
    <t>李文龙</t>
  </si>
  <si>
    <t>152326198807297118</t>
  </si>
  <si>
    <t>梁兴龙</t>
  </si>
  <si>
    <t>152326198811197136</t>
  </si>
  <si>
    <t>王春艳</t>
  </si>
  <si>
    <t>152326198812207148</t>
  </si>
  <si>
    <t>周颜舞</t>
  </si>
  <si>
    <t>152326198901277121</t>
  </si>
  <si>
    <t>张海丽</t>
  </si>
  <si>
    <t>152326198902027124</t>
  </si>
  <si>
    <t>王井红</t>
  </si>
  <si>
    <t>152326198902067126</t>
  </si>
  <si>
    <t>152326198909027127</t>
  </si>
  <si>
    <t>项海波</t>
  </si>
  <si>
    <t>152326198910037111</t>
  </si>
  <si>
    <t>单玉生</t>
  </si>
  <si>
    <t>152326198911027118</t>
  </si>
  <si>
    <t>王景强</t>
  </si>
  <si>
    <t>152326198912107152</t>
  </si>
  <si>
    <t>董燕杰</t>
  </si>
  <si>
    <t>152326198912236886</t>
  </si>
  <si>
    <t>马爱新</t>
  </si>
  <si>
    <t>152326199004047144</t>
  </si>
  <si>
    <t>孙晓伟</t>
  </si>
  <si>
    <t>152326199004157124</t>
  </si>
  <si>
    <t>李楠</t>
  </si>
  <si>
    <t>152326199004287121</t>
  </si>
  <si>
    <t>石头</t>
  </si>
  <si>
    <t>152326199009297118</t>
  </si>
  <si>
    <t>高磊</t>
  </si>
  <si>
    <t>152326199102157136</t>
  </si>
  <si>
    <t>王然然</t>
  </si>
  <si>
    <t>152326199105137114</t>
  </si>
  <si>
    <t>张佳丽</t>
  </si>
  <si>
    <t>152326199109042286</t>
  </si>
  <si>
    <t>张志印</t>
  </si>
  <si>
    <t>152326199110067114</t>
  </si>
  <si>
    <t>马云江</t>
  </si>
  <si>
    <t>152326199202027136</t>
  </si>
  <si>
    <t>臧晓强</t>
  </si>
  <si>
    <t>152326199202207129</t>
  </si>
  <si>
    <t>杨志新</t>
  </si>
  <si>
    <t>152326199203127120</t>
  </si>
  <si>
    <t>211321199205293660</t>
  </si>
  <si>
    <t>胡俊松</t>
  </si>
  <si>
    <t>152326199208167113</t>
  </si>
  <si>
    <t>王欢欢</t>
  </si>
  <si>
    <t>152326199302157122</t>
  </si>
  <si>
    <t>张艳新</t>
  </si>
  <si>
    <t>152326199306287127</t>
  </si>
  <si>
    <t>王洪越</t>
  </si>
  <si>
    <t>152326199311077116</t>
  </si>
  <si>
    <t>马云超</t>
  </si>
  <si>
    <t>152326199703257116</t>
  </si>
  <si>
    <t>王树生</t>
  </si>
  <si>
    <t>152326197402167134</t>
  </si>
  <si>
    <t>王爱华</t>
  </si>
  <si>
    <t>152326197409077123</t>
  </si>
  <si>
    <t>李建</t>
  </si>
  <si>
    <t>152326197108077111</t>
  </si>
  <si>
    <t>周国权</t>
  </si>
  <si>
    <t>152326198406127118</t>
  </si>
  <si>
    <t>于金凤</t>
  </si>
  <si>
    <t>152326198402207129</t>
  </si>
  <si>
    <t>王国兵</t>
  </si>
  <si>
    <t>152326197602057132</t>
  </si>
  <si>
    <t>陈海玲</t>
  </si>
  <si>
    <t>152326197707157148</t>
  </si>
  <si>
    <t>高宝二</t>
  </si>
  <si>
    <t>152326197611062113</t>
  </si>
  <si>
    <t>152326197809087128</t>
  </si>
  <si>
    <t>周海霞</t>
  </si>
  <si>
    <t>152326198306127129</t>
  </si>
  <si>
    <t>何权</t>
  </si>
  <si>
    <t>152326195901107110</t>
  </si>
  <si>
    <t>142200</t>
  </si>
  <si>
    <t>福兴村2020年养老保险缴费名单</t>
  </si>
  <si>
    <t>福兴村</t>
  </si>
  <si>
    <t>陆素英</t>
  </si>
  <si>
    <t>152326196101037120</t>
  </si>
  <si>
    <t>张玉芩</t>
  </si>
  <si>
    <t>152326196104057127</t>
  </si>
  <si>
    <t>刘井贵</t>
  </si>
  <si>
    <t>152326196105217110</t>
  </si>
  <si>
    <t>张占祥</t>
  </si>
  <si>
    <t>152326196109057118</t>
  </si>
  <si>
    <t>王秀霞</t>
  </si>
  <si>
    <t>152326196111017123</t>
  </si>
  <si>
    <t>马柱</t>
  </si>
  <si>
    <t>152326196111227139</t>
  </si>
  <si>
    <t>152326196112117126</t>
  </si>
  <si>
    <t>毕秀荣</t>
  </si>
  <si>
    <t>152326196203167145</t>
  </si>
  <si>
    <t>王玉荣</t>
  </si>
  <si>
    <t>152326196203167161</t>
  </si>
  <si>
    <t>毛桂琴</t>
  </si>
  <si>
    <t>152326196204087120</t>
  </si>
  <si>
    <t>152326196206267117</t>
  </si>
  <si>
    <t>杜俊和</t>
  </si>
  <si>
    <t>152326196207077112</t>
  </si>
  <si>
    <t>王志学</t>
  </si>
  <si>
    <t>152326196207237112</t>
  </si>
  <si>
    <t>林文山</t>
  </si>
  <si>
    <t>152326196207247118</t>
  </si>
  <si>
    <t>于庆</t>
  </si>
  <si>
    <t>152326196211057130</t>
  </si>
  <si>
    <t>陈殿军</t>
  </si>
  <si>
    <t>152326196211107118</t>
  </si>
  <si>
    <t>吴学</t>
  </si>
  <si>
    <t>152326196212157117</t>
  </si>
  <si>
    <t>李明才</t>
  </si>
  <si>
    <t>152326196302017118</t>
  </si>
  <si>
    <t>庞淑华</t>
  </si>
  <si>
    <t>152326196302227123</t>
  </si>
  <si>
    <t>庞景龙</t>
  </si>
  <si>
    <t>152326196303027131</t>
  </si>
  <si>
    <t>张国侠</t>
  </si>
  <si>
    <t>15232619630305712X</t>
  </si>
  <si>
    <t>车万海</t>
  </si>
  <si>
    <t>152326196303127116</t>
  </si>
  <si>
    <t>孙淑平</t>
  </si>
  <si>
    <t>152326196303197122</t>
  </si>
  <si>
    <t>刘素华</t>
  </si>
  <si>
    <t>152326196304087128</t>
  </si>
  <si>
    <t>陆凤花</t>
  </si>
  <si>
    <t>152326196304267129</t>
  </si>
  <si>
    <t>戴玉芳</t>
  </si>
  <si>
    <t>152326196306137125</t>
  </si>
  <si>
    <t>王树志</t>
  </si>
  <si>
    <t>152326196308047115</t>
  </si>
  <si>
    <t>冯雅杰</t>
  </si>
  <si>
    <t>152326196309047141</t>
  </si>
  <si>
    <t>刘显华</t>
  </si>
  <si>
    <t>152326196309047168</t>
  </si>
  <si>
    <t>152326196312137121</t>
  </si>
  <si>
    <t>任桂侠</t>
  </si>
  <si>
    <t>152326196312227127</t>
  </si>
  <si>
    <t>152326196401277118</t>
  </si>
  <si>
    <t>杨桂军</t>
  </si>
  <si>
    <t>152326196403137119</t>
  </si>
  <si>
    <t>高广德</t>
  </si>
  <si>
    <t>152326196404057110</t>
  </si>
  <si>
    <t>黄桂琢</t>
  </si>
  <si>
    <t>15232619640415712X</t>
  </si>
  <si>
    <t>李香英</t>
  </si>
  <si>
    <t>152326196405037146</t>
  </si>
  <si>
    <t>吉木苏</t>
  </si>
  <si>
    <t>152326196405067142</t>
  </si>
  <si>
    <t>刘井祥</t>
  </si>
  <si>
    <t>152326196405217112</t>
  </si>
  <si>
    <t>杨贵祥</t>
  </si>
  <si>
    <t>152326196408027111</t>
  </si>
  <si>
    <t>吴山</t>
  </si>
  <si>
    <t>152326196408217118</t>
  </si>
  <si>
    <t>刘淑英</t>
  </si>
  <si>
    <t>15232619640829712X</t>
  </si>
  <si>
    <t>于桂芹</t>
  </si>
  <si>
    <t>152326196409027121</t>
  </si>
  <si>
    <t>张玉良</t>
  </si>
  <si>
    <t>152326196409107113</t>
  </si>
  <si>
    <t>任秀云</t>
  </si>
  <si>
    <t>152326196409197147</t>
  </si>
  <si>
    <t>闫洪军</t>
  </si>
  <si>
    <t>152326196409297113</t>
  </si>
  <si>
    <t>刘桂君</t>
  </si>
  <si>
    <t>152326196410087121</t>
  </si>
  <si>
    <t>杜俊国</t>
  </si>
  <si>
    <t>152326196410167113</t>
  </si>
  <si>
    <t>李文辉</t>
  </si>
  <si>
    <t>152326196411047113</t>
  </si>
  <si>
    <t>吴海金</t>
  </si>
  <si>
    <t>152326196412277113</t>
  </si>
  <si>
    <t>高广才</t>
  </si>
  <si>
    <t>152326196502247110</t>
  </si>
  <si>
    <t>王彩芝</t>
  </si>
  <si>
    <t>152326196503107128</t>
  </si>
  <si>
    <t>于俊云</t>
  </si>
  <si>
    <t>152326196506037129</t>
  </si>
  <si>
    <t>冯素荣</t>
  </si>
  <si>
    <t>152326196507217121</t>
  </si>
  <si>
    <t>王志福</t>
  </si>
  <si>
    <t>15232619650820711X</t>
  </si>
  <si>
    <t>庞景华</t>
  </si>
  <si>
    <t>152326196510257132</t>
  </si>
  <si>
    <t>孙秀苹</t>
  </si>
  <si>
    <t>152326196601157129</t>
  </si>
  <si>
    <t>于宝玉</t>
  </si>
  <si>
    <t>152326196602137138</t>
  </si>
  <si>
    <t>庞树江</t>
  </si>
  <si>
    <t>152326196603107117</t>
  </si>
  <si>
    <t>刘艳娥</t>
  </si>
  <si>
    <t>152326196605207146</t>
  </si>
  <si>
    <t>樊洪生</t>
  </si>
  <si>
    <t>152326196606247115</t>
  </si>
  <si>
    <t>吴海峰</t>
  </si>
  <si>
    <t>152326196608067134</t>
  </si>
  <si>
    <t>马凤玲</t>
  </si>
  <si>
    <t>152326196609097140</t>
  </si>
  <si>
    <t>152326196609257132</t>
  </si>
  <si>
    <t>闫喜</t>
  </si>
  <si>
    <t>152326196609277133</t>
  </si>
  <si>
    <t>张占民</t>
  </si>
  <si>
    <t>152326196610157112</t>
  </si>
  <si>
    <t>杨桂云</t>
  </si>
  <si>
    <t>152326196610287128</t>
  </si>
  <si>
    <t>岳桂芝</t>
  </si>
  <si>
    <t>152326196612277142</t>
  </si>
  <si>
    <t>孙风琴</t>
  </si>
  <si>
    <t>152326196702057127</t>
  </si>
  <si>
    <t>王志江</t>
  </si>
  <si>
    <t>152326196703057110</t>
  </si>
  <si>
    <t>152326196704057112</t>
  </si>
  <si>
    <t>152326196704287129</t>
  </si>
  <si>
    <t>王玉芳</t>
  </si>
  <si>
    <t>152326196705017147</t>
  </si>
  <si>
    <t>宋学</t>
  </si>
  <si>
    <t>152326196705207119</t>
  </si>
  <si>
    <t>吴风艳</t>
  </si>
  <si>
    <t>152326196705207127</t>
  </si>
  <si>
    <t>李明芳</t>
  </si>
  <si>
    <t>152326196707087114</t>
  </si>
  <si>
    <t>王淑玲</t>
  </si>
  <si>
    <t>152326196708017126</t>
  </si>
  <si>
    <t>冯金华</t>
  </si>
  <si>
    <t>152326196710027120</t>
  </si>
  <si>
    <t>152326196710177110</t>
  </si>
  <si>
    <t>吴春朋</t>
  </si>
  <si>
    <t>152326196710297112</t>
  </si>
  <si>
    <t>车万江</t>
  </si>
  <si>
    <t>152326196712227118</t>
  </si>
  <si>
    <t>路秀玲</t>
  </si>
  <si>
    <t>152326196802047129</t>
  </si>
  <si>
    <t>张淑兰</t>
  </si>
  <si>
    <t>152326196802087120</t>
  </si>
  <si>
    <t>王淑芹</t>
  </si>
  <si>
    <t>152326196802207129</t>
  </si>
  <si>
    <t>陈秀英</t>
  </si>
  <si>
    <t>152326196804057128</t>
  </si>
  <si>
    <t>樊洪军</t>
  </si>
  <si>
    <t>152326196808087113</t>
  </si>
  <si>
    <t>陈佰军</t>
  </si>
  <si>
    <t>152326196809057119</t>
  </si>
  <si>
    <t>冯素琴</t>
  </si>
  <si>
    <t>152326196810047129</t>
  </si>
  <si>
    <t>马海军</t>
  </si>
  <si>
    <t>152326196810167112</t>
  </si>
  <si>
    <t>冯玉柱</t>
  </si>
  <si>
    <t>152326196811217118</t>
  </si>
  <si>
    <t>冯玉军</t>
  </si>
  <si>
    <t>152326196812206891</t>
  </si>
  <si>
    <t>152326196901177121</t>
  </si>
  <si>
    <t>杨利忠</t>
  </si>
  <si>
    <t>152326196901237112</t>
  </si>
  <si>
    <t>林文有</t>
  </si>
  <si>
    <t>152326196902037112</t>
  </si>
  <si>
    <t>庞树明</t>
  </si>
  <si>
    <t>15232619690224711X</t>
  </si>
  <si>
    <t>张玉民</t>
  </si>
  <si>
    <t>15232619690301713X</t>
  </si>
  <si>
    <t>周国有</t>
  </si>
  <si>
    <t>152326196904037116</t>
  </si>
  <si>
    <t>闫贵</t>
  </si>
  <si>
    <t>15232619690405715X</t>
  </si>
  <si>
    <t>152326196904177119</t>
  </si>
  <si>
    <t>于俊华</t>
  </si>
  <si>
    <t>152326196906097120</t>
  </si>
  <si>
    <t>魏秀云</t>
  </si>
  <si>
    <t>152326196906107122</t>
  </si>
  <si>
    <t>林文军</t>
  </si>
  <si>
    <t>152326197002207117</t>
  </si>
  <si>
    <t>任淑玲</t>
  </si>
  <si>
    <t>152326197002287129</t>
  </si>
  <si>
    <t>杨宝贵</t>
  </si>
  <si>
    <t>152326197003087110</t>
  </si>
  <si>
    <t>于秀华</t>
  </si>
  <si>
    <t>152326197003117121</t>
  </si>
  <si>
    <t>李明福</t>
  </si>
  <si>
    <t>152326197005077119</t>
  </si>
  <si>
    <t>周翠环</t>
  </si>
  <si>
    <t>152326197005227121</t>
  </si>
  <si>
    <t>王景存</t>
  </si>
  <si>
    <t>152326197010197131</t>
  </si>
  <si>
    <t>季艳辉</t>
  </si>
  <si>
    <t>152326197011076884</t>
  </si>
  <si>
    <t>吴凤恩</t>
  </si>
  <si>
    <t>152326197012017114</t>
  </si>
  <si>
    <t>樊洪春</t>
  </si>
  <si>
    <t>152326197012137116</t>
  </si>
  <si>
    <t>152326197012237125</t>
  </si>
  <si>
    <t>陈殿民</t>
  </si>
  <si>
    <t>152326197101087114</t>
  </si>
  <si>
    <t>魏向军</t>
  </si>
  <si>
    <t>152326197101107138</t>
  </si>
  <si>
    <t>吴春香</t>
  </si>
  <si>
    <t>152326197101217126</t>
  </si>
  <si>
    <t>王志辉</t>
  </si>
  <si>
    <t>152326197103167150</t>
  </si>
  <si>
    <t>马海燕</t>
  </si>
  <si>
    <t>152326197104057148</t>
  </si>
  <si>
    <t>王素华</t>
  </si>
  <si>
    <t>152326197104067127</t>
  </si>
  <si>
    <t>杨立国</t>
  </si>
  <si>
    <t>152326197104137113</t>
  </si>
  <si>
    <t>闫海洋</t>
  </si>
  <si>
    <t>15232619710504711X</t>
  </si>
  <si>
    <t>152326197108247125</t>
  </si>
  <si>
    <t>冯玉蛟</t>
  </si>
  <si>
    <t>152326197111207116</t>
  </si>
  <si>
    <t>王国红</t>
  </si>
  <si>
    <t>152326197111227125</t>
  </si>
  <si>
    <t>152326197111297123</t>
  </si>
  <si>
    <t>高金玲</t>
  </si>
  <si>
    <t>152326197201117122</t>
  </si>
  <si>
    <t>闫文</t>
  </si>
  <si>
    <t>15232619720120711X</t>
  </si>
  <si>
    <t>王志义</t>
  </si>
  <si>
    <t>152326197202027137</t>
  </si>
  <si>
    <t>李国珍</t>
  </si>
  <si>
    <t>152326197203047121</t>
  </si>
  <si>
    <t>152326197204037136</t>
  </si>
  <si>
    <t>陈万奎</t>
  </si>
  <si>
    <t>152326197205027116</t>
  </si>
  <si>
    <t>温桂侠</t>
  </si>
  <si>
    <t>152326197206107126</t>
  </si>
  <si>
    <t>田秀红</t>
  </si>
  <si>
    <t>152326197207037123</t>
  </si>
  <si>
    <t>杨艳国</t>
  </si>
  <si>
    <t>15232619720710711X</t>
  </si>
  <si>
    <t>152326197207257126</t>
  </si>
  <si>
    <t>辛艳辉</t>
  </si>
  <si>
    <t>152326197209057136</t>
  </si>
  <si>
    <t>吴凤龙</t>
  </si>
  <si>
    <t>152326197210017115</t>
  </si>
  <si>
    <t>周翠香</t>
  </si>
  <si>
    <t>152326197211117126</t>
  </si>
  <si>
    <t>车万合</t>
  </si>
  <si>
    <t>152326197211137119</t>
  </si>
  <si>
    <t>152326197302237123</t>
  </si>
  <si>
    <t>冯素青</t>
  </si>
  <si>
    <t>15232619730226712X</t>
  </si>
  <si>
    <t>冯玉志</t>
  </si>
  <si>
    <t>152326197303057132</t>
  </si>
  <si>
    <t>朱洪海</t>
  </si>
  <si>
    <t>15232619730318713X</t>
  </si>
  <si>
    <t>石风华</t>
  </si>
  <si>
    <t>15232619730410712X</t>
  </si>
  <si>
    <t>闫海宽</t>
  </si>
  <si>
    <t>152326197305177111</t>
  </si>
  <si>
    <t>张桂荣</t>
  </si>
  <si>
    <t>152326197306207140</t>
  </si>
  <si>
    <t>李杰</t>
  </si>
  <si>
    <t>152326197308117114</t>
  </si>
  <si>
    <t>杨民辉</t>
  </si>
  <si>
    <t>152326197309037116</t>
  </si>
  <si>
    <t>苏凤霞</t>
  </si>
  <si>
    <t>152326197309127146</t>
  </si>
  <si>
    <t>闫海川</t>
  </si>
  <si>
    <t>152326197309177135</t>
  </si>
  <si>
    <t>王井祥</t>
  </si>
  <si>
    <t>152326197310057114</t>
  </si>
  <si>
    <t>冯金明</t>
  </si>
  <si>
    <t>152326197312057118</t>
  </si>
  <si>
    <t>赵金英</t>
  </si>
  <si>
    <t>652322197401011528</t>
  </si>
  <si>
    <t>张国玲</t>
  </si>
  <si>
    <t>152326197401157145</t>
  </si>
  <si>
    <t>夏国芳</t>
  </si>
  <si>
    <t>152326197402097121</t>
  </si>
  <si>
    <t>陈万春</t>
  </si>
  <si>
    <t>152326197402207116</t>
  </si>
  <si>
    <t>闫海玉</t>
  </si>
  <si>
    <t>152326197402287136</t>
  </si>
  <si>
    <t>王井全</t>
  </si>
  <si>
    <t>152326197403057113</t>
  </si>
  <si>
    <t>宋桂芝</t>
  </si>
  <si>
    <t>152326197404047128</t>
  </si>
  <si>
    <t>包春华</t>
  </si>
  <si>
    <t>152326197405017123</t>
  </si>
  <si>
    <t>冯金辉</t>
  </si>
  <si>
    <t>152326197405147112</t>
  </si>
  <si>
    <t>马海深</t>
  </si>
  <si>
    <t>152326197405187114</t>
  </si>
  <si>
    <t>齐彩玲</t>
  </si>
  <si>
    <t>152326197409137149</t>
  </si>
  <si>
    <t>杨明山</t>
  </si>
  <si>
    <t>152326197412297119</t>
  </si>
  <si>
    <t>闫龙</t>
  </si>
  <si>
    <t>152326197502187116</t>
  </si>
  <si>
    <t>吴海江</t>
  </si>
  <si>
    <t>152326197503017119</t>
  </si>
  <si>
    <t>15232619750304714X</t>
  </si>
  <si>
    <t>孙永丽</t>
  </si>
  <si>
    <t>152326197503057129</t>
  </si>
  <si>
    <t>152326197503107122</t>
  </si>
  <si>
    <t>杨利学</t>
  </si>
  <si>
    <t>152326197503127115</t>
  </si>
  <si>
    <t>尹春艳</t>
  </si>
  <si>
    <t>152326197504287145</t>
  </si>
  <si>
    <t>石红芳</t>
  </si>
  <si>
    <t>15232619750702712X</t>
  </si>
  <si>
    <t>赵春英</t>
  </si>
  <si>
    <t>152326197507037141</t>
  </si>
  <si>
    <t>张玉付</t>
  </si>
  <si>
    <t>152326197507217118</t>
  </si>
  <si>
    <t>闫成</t>
  </si>
  <si>
    <t>152326197508127114</t>
  </si>
  <si>
    <t>庞志刚</t>
  </si>
  <si>
    <t>152326197508197112</t>
  </si>
  <si>
    <t>韩利红</t>
  </si>
  <si>
    <t>152326197509237147</t>
  </si>
  <si>
    <t>闫红民</t>
  </si>
  <si>
    <t>152326197512147118</t>
  </si>
  <si>
    <t>宋晓军</t>
  </si>
  <si>
    <t>152326197601247110</t>
  </si>
  <si>
    <t>庞艳民</t>
  </si>
  <si>
    <t>152326197605177113</t>
  </si>
  <si>
    <t>杨桂芳</t>
  </si>
  <si>
    <t>152326197608067147</t>
  </si>
  <si>
    <t>张丽华</t>
  </si>
  <si>
    <t>152326197609227122</t>
  </si>
  <si>
    <t>王爱春</t>
  </si>
  <si>
    <t>152326197609247166</t>
  </si>
  <si>
    <t>姜翠玲</t>
  </si>
  <si>
    <t>152326197611127147</t>
  </si>
  <si>
    <t>闫海慧</t>
  </si>
  <si>
    <t>152326197704097135</t>
  </si>
  <si>
    <t>残疾人</t>
  </si>
  <si>
    <t>闫辉</t>
  </si>
  <si>
    <t>152326197706137110</t>
  </si>
  <si>
    <t>冯金梅</t>
  </si>
  <si>
    <t>152326197708107126</t>
  </si>
  <si>
    <t>毛艳春</t>
  </si>
  <si>
    <t>152326197801227122</t>
  </si>
  <si>
    <t>王景飞</t>
  </si>
  <si>
    <t>152326197803037111</t>
  </si>
  <si>
    <t>孙艳玲</t>
  </si>
  <si>
    <t>152326197806156861</t>
  </si>
  <si>
    <t>刘海香</t>
  </si>
  <si>
    <t>152326197809117120</t>
  </si>
  <si>
    <t>毕国霞</t>
  </si>
  <si>
    <t>152326197809167128</t>
  </si>
  <si>
    <t>高红艳</t>
  </si>
  <si>
    <t>152326197810047123</t>
  </si>
  <si>
    <t>张素侠</t>
  </si>
  <si>
    <t>152326197910137142</t>
  </si>
  <si>
    <t>刘占义</t>
  </si>
  <si>
    <t>152326197911077137</t>
  </si>
  <si>
    <t>贾红梅</t>
  </si>
  <si>
    <t>152326198003077128</t>
  </si>
  <si>
    <t>于金柱</t>
  </si>
  <si>
    <t>152326198005097130</t>
  </si>
  <si>
    <t>陈万福</t>
  </si>
  <si>
    <t>152326198009157137</t>
  </si>
  <si>
    <t>李明亮</t>
  </si>
  <si>
    <t>152326198009207130</t>
  </si>
  <si>
    <t>陆春香</t>
  </si>
  <si>
    <t>152326198011177129</t>
  </si>
  <si>
    <t>庞海波</t>
  </si>
  <si>
    <t>152326198012027114</t>
  </si>
  <si>
    <t>高艳红</t>
  </si>
  <si>
    <t>150525198101256886</t>
  </si>
  <si>
    <t>赵艳华</t>
  </si>
  <si>
    <t>152326198102271209</t>
  </si>
  <si>
    <t>张玲玲</t>
  </si>
  <si>
    <t>15232119810325242X</t>
  </si>
  <si>
    <t>季学岩</t>
  </si>
  <si>
    <t>152326198108147145</t>
  </si>
  <si>
    <t>152326198111157125</t>
  </si>
  <si>
    <t>冯金福</t>
  </si>
  <si>
    <t>152326198112077119</t>
  </si>
  <si>
    <t>杨淑红</t>
  </si>
  <si>
    <t>152326198112287140</t>
  </si>
  <si>
    <t>邱金凤</t>
  </si>
  <si>
    <t>152326198201137128</t>
  </si>
  <si>
    <t>张玉利</t>
  </si>
  <si>
    <t>152326198202207116</t>
  </si>
  <si>
    <t>杨丽华</t>
  </si>
  <si>
    <t>152326198204107127</t>
  </si>
  <si>
    <t>152326198204227129</t>
  </si>
  <si>
    <t>闫武</t>
  </si>
  <si>
    <t>152326198208087119</t>
  </si>
  <si>
    <t>冯海亮</t>
  </si>
  <si>
    <t>152326198211227119</t>
  </si>
  <si>
    <t>张晓华</t>
  </si>
  <si>
    <t>152326198212147145</t>
  </si>
  <si>
    <t>冯金来</t>
  </si>
  <si>
    <t>152326198304127117</t>
  </si>
  <si>
    <t>杨青松</t>
  </si>
  <si>
    <t>152326198307247114</t>
  </si>
  <si>
    <t>吴玉娟</t>
  </si>
  <si>
    <t>152326198309037129</t>
  </si>
  <si>
    <t>刘鹏宇</t>
  </si>
  <si>
    <t>152326198309167177</t>
  </si>
  <si>
    <t>宋晓立</t>
  </si>
  <si>
    <t>152326198310127113</t>
  </si>
  <si>
    <t>朱园园</t>
  </si>
  <si>
    <t>152326198311198183</t>
  </si>
  <si>
    <t>马海波</t>
  </si>
  <si>
    <t>152326198311257139</t>
  </si>
  <si>
    <t>吴风虎</t>
  </si>
  <si>
    <t>152326198402057132</t>
  </si>
  <si>
    <t>杜洪峰</t>
  </si>
  <si>
    <t>152301198405046538</t>
  </si>
  <si>
    <t>李迎春</t>
  </si>
  <si>
    <t>152326198410057140</t>
  </si>
  <si>
    <t>宋亚丽</t>
  </si>
  <si>
    <t>152326198410287122</t>
  </si>
  <si>
    <t>152326198501107123</t>
  </si>
  <si>
    <t>吴刚</t>
  </si>
  <si>
    <t>152326198501207116</t>
  </si>
  <si>
    <t>李文欢</t>
  </si>
  <si>
    <t>152326198507247119</t>
  </si>
  <si>
    <t>冯小娟</t>
  </si>
  <si>
    <t>152326198511227129</t>
  </si>
  <si>
    <t>刘占明</t>
  </si>
  <si>
    <t>152326198609187110</t>
  </si>
  <si>
    <t>冯小亮</t>
  </si>
  <si>
    <t>15232619861011711X</t>
  </si>
  <si>
    <t>杜洪艳</t>
  </si>
  <si>
    <t>152326198704207124</t>
  </si>
  <si>
    <t>陈万江</t>
  </si>
  <si>
    <t>15232619870620711X</t>
  </si>
  <si>
    <t>陈万利</t>
  </si>
  <si>
    <t>152326198801157114</t>
  </si>
  <si>
    <t>周海红</t>
  </si>
  <si>
    <t>152326198801157122</t>
  </si>
  <si>
    <t>李武杰</t>
  </si>
  <si>
    <t>152326198805047115</t>
  </si>
  <si>
    <t>于金明</t>
  </si>
  <si>
    <t>152326198810107119</t>
  </si>
  <si>
    <t>李武波</t>
  </si>
  <si>
    <t>152326199007047115</t>
  </si>
  <si>
    <t>杜洪双</t>
  </si>
  <si>
    <t>152326199008107124</t>
  </si>
  <si>
    <t>冯常利</t>
  </si>
  <si>
    <t>152326199102247115</t>
  </si>
  <si>
    <t>陈万强</t>
  </si>
  <si>
    <t>152326199207227110</t>
  </si>
  <si>
    <t>冯金凤</t>
  </si>
  <si>
    <t>15232619920919712X</t>
  </si>
  <si>
    <t>杨延立</t>
  </si>
  <si>
    <t>15232619921110712X</t>
  </si>
  <si>
    <t>王丽媛</t>
  </si>
  <si>
    <t>152326199212047122</t>
  </si>
  <si>
    <t>152324197604201123</t>
  </si>
  <si>
    <t>陈万柱</t>
  </si>
  <si>
    <t>152326198206267111</t>
  </si>
  <si>
    <t>高艳飞</t>
  </si>
  <si>
    <t>152326198311287127</t>
  </si>
  <si>
    <t>张大卫</t>
  </si>
  <si>
    <t>152326199110207113</t>
  </si>
  <si>
    <t>张玉福</t>
  </si>
  <si>
    <t>152326198802017113</t>
  </si>
  <si>
    <t>于金伟</t>
  </si>
  <si>
    <t>152326198802287113</t>
  </si>
  <si>
    <t>石艳洁</t>
  </si>
  <si>
    <t>152326199005216966</t>
  </si>
  <si>
    <t>杜红伟</t>
  </si>
  <si>
    <t>152326197401167116</t>
  </si>
  <si>
    <t>张新华</t>
  </si>
  <si>
    <t>152326197604057128</t>
  </si>
  <si>
    <t>冯金波</t>
  </si>
  <si>
    <t>152326198809207112</t>
  </si>
  <si>
    <t>刘海利</t>
  </si>
  <si>
    <t>152326198811027129</t>
  </si>
  <si>
    <t>张丽英</t>
  </si>
  <si>
    <t>152326197306077120</t>
  </si>
  <si>
    <t>刘占伟</t>
  </si>
  <si>
    <t>152326197110117110</t>
  </si>
  <si>
    <t>李秀云</t>
  </si>
  <si>
    <t>152326196810137124</t>
  </si>
  <si>
    <t>吴淑侠</t>
  </si>
  <si>
    <t>152326196707287129</t>
  </si>
  <si>
    <t>包秋玲</t>
  </si>
  <si>
    <t>152326198109177127</t>
  </si>
  <si>
    <t>60200</t>
  </si>
  <si>
    <t>清河村2020年养老保险缴费名单</t>
  </si>
  <si>
    <t>清河村</t>
  </si>
  <si>
    <t>石海春</t>
  </si>
  <si>
    <t>152326198303087117</t>
  </si>
  <si>
    <t>贾云东</t>
  </si>
  <si>
    <t>15232619630125711X</t>
  </si>
  <si>
    <t>徐翠环</t>
  </si>
  <si>
    <t>152326196612107127</t>
  </si>
  <si>
    <t>侯健杰</t>
  </si>
  <si>
    <t>152326198306167120</t>
  </si>
  <si>
    <t>徐景侠</t>
  </si>
  <si>
    <t>152326196211017120</t>
  </si>
  <si>
    <t>152326196207237139</t>
  </si>
  <si>
    <t>王金花</t>
  </si>
  <si>
    <t>152326197407187126</t>
  </si>
  <si>
    <t>陈树龙</t>
  </si>
  <si>
    <t>152326197001297114</t>
  </si>
  <si>
    <t>蔡爱新</t>
  </si>
  <si>
    <t>152326197805057116</t>
  </si>
  <si>
    <t>陈素红</t>
  </si>
  <si>
    <t>152326197307247128</t>
  </si>
  <si>
    <t>石红岩</t>
  </si>
  <si>
    <t>152326197903277120</t>
  </si>
  <si>
    <t>陈树山</t>
  </si>
  <si>
    <t>152326196401017113</t>
  </si>
  <si>
    <t>秦常全</t>
  </si>
  <si>
    <t>15232619641115711X</t>
  </si>
  <si>
    <t>贾云学</t>
  </si>
  <si>
    <t>152326196510117113</t>
  </si>
  <si>
    <t>赵金</t>
  </si>
  <si>
    <t>15232619650222711X</t>
  </si>
  <si>
    <t>孙淑君</t>
  </si>
  <si>
    <t>152326196207037129</t>
  </si>
  <si>
    <t>孙凤青</t>
  </si>
  <si>
    <t>152326196902107125</t>
  </si>
  <si>
    <t>任艳东</t>
  </si>
  <si>
    <t>152326197911077110</t>
  </si>
  <si>
    <t>赵玉华</t>
  </si>
  <si>
    <t>152326198011147149</t>
  </si>
  <si>
    <t>陈久枝</t>
  </si>
  <si>
    <t>152326196106307126</t>
  </si>
  <si>
    <t>152326196805237112</t>
  </si>
  <si>
    <t>寇玉荣</t>
  </si>
  <si>
    <t>152326197005227148</t>
  </si>
  <si>
    <t>季跃民</t>
  </si>
  <si>
    <t>152326196911297119</t>
  </si>
  <si>
    <t>152326197002227126</t>
  </si>
  <si>
    <t>石志文</t>
  </si>
  <si>
    <t>152326197601257116</t>
  </si>
  <si>
    <t>蔡爱庆</t>
  </si>
  <si>
    <t>152326198203227119</t>
  </si>
  <si>
    <t>李玉杰</t>
  </si>
  <si>
    <t>152324197811283045</t>
  </si>
  <si>
    <t>韩玉莲</t>
  </si>
  <si>
    <t>15232619771028712X</t>
  </si>
  <si>
    <t>陈树江</t>
  </si>
  <si>
    <t>152326196311187119</t>
  </si>
  <si>
    <t>齐广君</t>
  </si>
  <si>
    <t>152326197803067118</t>
  </si>
  <si>
    <t>张凤枝</t>
  </si>
  <si>
    <t>152326196311187127</t>
  </si>
  <si>
    <t>张淑春</t>
  </si>
  <si>
    <t>152326197605257121</t>
  </si>
  <si>
    <t>代勇</t>
  </si>
  <si>
    <t>152326196506217111</t>
  </si>
  <si>
    <t>张洗德</t>
  </si>
  <si>
    <t>152326196801257132</t>
  </si>
  <si>
    <t>刘宪彪</t>
  </si>
  <si>
    <t>152326196210127117</t>
  </si>
  <si>
    <t>张淑凤</t>
  </si>
  <si>
    <t>152326196207167126</t>
  </si>
  <si>
    <t>刘艳平</t>
  </si>
  <si>
    <t>152326197505017112</t>
  </si>
  <si>
    <t>刘宪志</t>
  </si>
  <si>
    <t>152326196601257111</t>
  </si>
  <si>
    <t>于万华</t>
  </si>
  <si>
    <t>15232619720116712X</t>
  </si>
  <si>
    <t>尹玉山</t>
  </si>
  <si>
    <t>152326196212177118</t>
  </si>
  <si>
    <t>林淑芳</t>
  </si>
  <si>
    <t>152326196408157127</t>
  </si>
  <si>
    <t>15232619690926713X</t>
  </si>
  <si>
    <t>王玉</t>
  </si>
  <si>
    <t>152326196111037116</t>
  </si>
  <si>
    <t>王树萍</t>
  </si>
  <si>
    <t>152326197010177122</t>
  </si>
  <si>
    <t>陈树梅</t>
  </si>
  <si>
    <t>152326196605247148</t>
  </si>
  <si>
    <t>王文龙</t>
  </si>
  <si>
    <t>152326196710257110</t>
  </si>
  <si>
    <t>152326196503207145</t>
  </si>
  <si>
    <t>何海彪</t>
  </si>
  <si>
    <t>152326196508237116</t>
  </si>
  <si>
    <t>马春玲</t>
  </si>
  <si>
    <t>152326196401067129</t>
  </si>
  <si>
    <t>赵淑枝</t>
  </si>
  <si>
    <t>152326196611107125</t>
  </si>
  <si>
    <t>王久义</t>
  </si>
  <si>
    <t>152326196111207111</t>
  </si>
  <si>
    <t>王亚琴</t>
  </si>
  <si>
    <t>152326196206157129</t>
  </si>
  <si>
    <t>高凤贤</t>
  </si>
  <si>
    <t>152326196210027124</t>
  </si>
  <si>
    <t>刘宪杰</t>
  </si>
  <si>
    <t>152326196908197117</t>
  </si>
  <si>
    <t>152326196806107125</t>
  </si>
  <si>
    <t>张庆武</t>
  </si>
  <si>
    <t>152326197107027112</t>
  </si>
  <si>
    <t>倪素玲</t>
  </si>
  <si>
    <t>152326197002207125</t>
  </si>
  <si>
    <t>张庆芳</t>
  </si>
  <si>
    <t>152326196212017114</t>
  </si>
  <si>
    <t>季学华</t>
  </si>
  <si>
    <t>152326196409237129</t>
  </si>
  <si>
    <t>张宝金</t>
  </si>
  <si>
    <t>152326196206257111</t>
  </si>
  <si>
    <t>任秀珍</t>
  </si>
  <si>
    <t>152326196109177128</t>
  </si>
  <si>
    <t>邱福全</t>
  </si>
  <si>
    <t>152326196906067116</t>
  </si>
  <si>
    <t>152326196307017117</t>
  </si>
  <si>
    <t>石凤香</t>
  </si>
  <si>
    <t>15232619630516712X</t>
  </si>
  <si>
    <t>陈久林</t>
  </si>
  <si>
    <t>152326196206077137</t>
  </si>
  <si>
    <t>张秀芹</t>
  </si>
  <si>
    <t>152326196403297120</t>
  </si>
  <si>
    <t>耿秀兰</t>
  </si>
  <si>
    <t>152326196212267148</t>
  </si>
  <si>
    <t>荆国凤</t>
  </si>
  <si>
    <t>152326196711137129</t>
  </si>
  <si>
    <t>刘玉发</t>
  </si>
  <si>
    <t>152326196409067115</t>
  </si>
  <si>
    <t>刘宪权</t>
  </si>
  <si>
    <t>152326196312107117</t>
  </si>
  <si>
    <t>李玉青</t>
  </si>
  <si>
    <t>152326196902047126</t>
  </si>
  <si>
    <t>韩国臣</t>
  </si>
  <si>
    <t>152326196905017133</t>
  </si>
  <si>
    <t>张凤学</t>
  </si>
  <si>
    <t>152326196210297116</t>
  </si>
  <si>
    <t>孙秀凤</t>
  </si>
  <si>
    <t>152326196104067122</t>
  </si>
  <si>
    <t>于占武</t>
  </si>
  <si>
    <t>152326196811057118</t>
  </si>
  <si>
    <t>张艳云</t>
  </si>
  <si>
    <t>152326197002047125</t>
  </si>
  <si>
    <t>刘宪富</t>
  </si>
  <si>
    <t>152326196802267113</t>
  </si>
  <si>
    <t>付贵彬</t>
  </si>
  <si>
    <t>152326198102217114</t>
  </si>
  <si>
    <t>李鹏羽</t>
  </si>
  <si>
    <t>152326198801087152</t>
  </si>
  <si>
    <t>蝉淑云</t>
  </si>
  <si>
    <t>152326196212017122</t>
  </si>
  <si>
    <t>皮国柱</t>
  </si>
  <si>
    <t>152326196208097115</t>
  </si>
  <si>
    <t>王洪</t>
  </si>
  <si>
    <t>152326196607247117</t>
  </si>
  <si>
    <t>刘玉玲</t>
  </si>
  <si>
    <t>152326196511017122</t>
  </si>
  <si>
    <t>吕凤海</t>
  </si>
  <si>
    <t>152326196809247115</t>
  </si>
  <si>
    <t>李琴</t>
  </si>
  <si>
    <t>152326196810177126</t>
  </si>
  <si>
    <t>王凤珍</t>
  </si>
  <si>
    <t>152326196105137129</t>
  </si>
  <si>
    <t>王国春</t>
  </si>
  <si>
    <t>152326196312117139</t>
  </si>
  <si>
    <t>王泽国</t>
  </si>
  <si>
    <t>152326196703227116</t>
  </si>
  <si>
    <t>苗淑侠</t>
  </si>
  <si>
    <t>152326197202147163</t>
  </si>
  <si>
    <t>赵凤芹</t>
  </si>
  <si>
    <t>152326196304107141</t>
  </si>
  <si>
    <t>15232619631009712X</t>
  </si>
  <si>
    <t>金秀莲</t>
  </si>
  <si>
    <t>152326196806307127</t>
  </si>
  <si>
    <t>王术明</t>
  </si>
  <si>
    <t>152326196511237117</t>
  </si>
  <si>
    <t>姚占国</t>
  </si>
  <si>
    <t>152326196306127111</t>
  </si>
  <si>
    <t>解春荣</t>
  </si>
  <si>
    <t>152326196507257123</t>
  </si>
  <si>
    <t>勾常秀</t>
  </si>
  <si>
    <t>152326196308237111</t>
  </si>
  <si>
    <t>白桂云</t>
  </si>
  <si>
    <t>152326196504207120</t>
  </si>
  <si>
    <t>王忠杰</t>
  </si>
  <si>
    <t>152326196203267111</t>
  </si>
  <si>
    <t>吴春凤</t>
  </si>
  <si>
    <t>152326196209257125</t>
  </si>
  <si>
    <t>左艳辉</t>
  </si>
  <si>
    <t>152326196612207160</t>
  </si>
  <si>
    <t>宋保军</t>
  </si>
  <si>
    <t>152326196504127112</t>
  </si>
  <si>
    <t>王国海</t>
  </si>
  <si>
    <t>152326197008297117</t>
  </si>
  <si>
    <t>李江</t>
  </si>
  <si>
    <t>152326197512097114</t>
  </si>
  <si>
    <t>陈树华</t>
  </si>
  <si>
    <t>152326196608137112</t>
  </si>
  <si>
    <t>吕桂芹</t>
  </si>
  <si>
    <t>152326196807087162</t>
  </si>
  <si>
    <t>于金财</t>
  </si>
  <si>
    <t>152326197102017118</t>
  </si>
  <si>
    <t>王凤丽</t>
  </si>
  <si>
    <t>152326197007147125</t>
  </si>
  <si>
    <t>陈树学</t>
  </si>
  <si>
    <t>152326196702217119</t>
  </si>
  <si>
    <t>郭建新</t>
  </si>
  <si>
    <t>152326196607017127</t>
  </si>
  <si>
    <t>王忠民</t>
  </si>
  <si>
    <t>152326196801177116</t>
  </si>
  <si>
    <t>152326196905277146</t>
  </si>
  <si>
    <t>董斯琴高娃</t>
  </si>
  <si>
    <t>152326197410257121</t>
  </si>
  <si>
    <t>尹凤龙</t>
  </si>
  <si>
    <t>152326196701057117</t>
  </si>
  <si>
    <t>刘宪茹</t>
  </si>
  <si>
    <t>15232619690914712X</t>
  </si>
  <si>
    <t>沈秀荣</t>
  </si>
  <si>
    <t>152326196404127166</t>
  </si>
  <si>
    <t>刘宪坤</t>
  </si>
  <si>
    <t>152326196603127134</t>
  </si>
  <si>
    <t>毛艳袖</t>
  </si>
  <si>
    <t>152326198107157114</t>
  </si>
  <si>
    <t>陈芳芳</t>
  </si>
  <si>
    <t>152324198101012149</t>
  </si>
  <si>
    <t>高志会</t>
  </si>
  <si>
    <t>152326196807157116</t>
  </si>
  <si>
    <t>王凤君</t>
  </si>
  <si>
    <t>152326196806067127</t>
  </si>
  <si>
    <t>152326196603187110</t>
  </si>
  <si>
    <t>高志梅</t>
  </si>
  <si>
    <t>152326196506157120</t>
  </si>
  <si>
    <t>张喜廷</t>
  </si>
  <si>
    <t>152326197005187115</t>
  </si>
  <si>
    <t>杨凤香</t>
  </si>
  <si>
    <t>152326197110307123</t>
  </si>
  <si>
    <t>贾云军</t>
  </si>
  <si>
    <t>152326197010297132</t>
  </si>
  <si>
    <t>杨艳玲</t>
  </si>
  <si>
    <t>152326197010057163</t>
  </si>
  <si>
    <t>齐广华</t>
  </si>
  <si>
    <t>152326197803207117</t>
  </si>
  <si>
    <t>冯金香</t>
  </si>
  <si>
    <t>152326197804077123</t>
  </si>
  <si>
    <t>林桂英</t>
  </si>
  <si>
    <t>152326196209297143</t>
  </si>
  <si>
    <t>周翠珠</t>
  </si>
  <si>
    <t>152324197909252124</t>
  </si>
  <si>
    <t>齐玉君</t>
  </si>
  <si>
    <t>152326197607107119</t>
  </si>
  <si>
    <t>张桂芬</t>
  </si>
  <si>
    <t>152324198106216028</t>
  </si>
  <si>
    <t>寇国利</t>
  </si>
  <si>
    <t>152326197609117134</t>
  </si>
  <si>
    <t>杨春霞</t>
  </si>
  <si>
    <t>152326197808276867</t>
  </si>
  <si>
    <t>赵桂英</t>
  </si>
  <si>
    <t>152326196411107120</t>
  </si>
  <si>
    <t>曹淑侠</t>
  </si>
  <si>
    <t>15232619630815712X</t>
  </si>
  <si>
    <t>152326196207247126</t>
  </si>
  <si>
    <t>贾云华</t>
  </si>
  <si>
    <t>15232619760501711X</t>
  </si>
  <si>
    <t>毛艳飞</t>
  </si>
  <si>
    <t>150525197601056878</t>
  </si>
  <si>
    <t>肖风枝</t>
  </si>
  <si>
    <t>152326197506107128</t>
  </si>
  <si>
    <t>毛艳青</t>
  </si>
  <si>
    <t>152326198504257119</t>
  </si>
  <si>
    <t>史小强</t>
  </si>
  <si>
    <t>152326198409116887</t>
  </si>
  <si>
    <t>常有</t>
  </si>
  <si>
    <t>152326197008037112</t>
  </si>
  <si>
    <t>姜永芬</t>
  </si>
  <si>
    <t>152326196810017165</t>
  </si>
  <si>
    <t>齐广民</t>
  </si>
  <si>
    <t>152326197605157112</t>
  </si>
  <si>
    <t>刘英棋</t>
  </si>
  <si>
    <t>152326197803077121</t>
  </si>
  <si>
    <t>陈广祥</t>
  </si>
  <si>
    <t>152326196608087119</t>
  </si>
  <si>
    <t>尹海琢</t>
  </si>
  <si>
    <t>152326197003057122</t>
  </si>
  <si>
    <t>陈晓敏</t>
  </si>
  <si>
    <t>15232619930519712X</t>
  </si>
  <si>
    <t>152326196303147141</t>
  </si>
  <si>
    <t>李桂香</t>
  </si>
  <si>
    <t>152326196111117124</t>
  </si>
  <si>
    <t>于金有</t>
  </si>
  <si>
    <t>152326196110097117</t>
  </si>
  <si>
    <t>刘昭丽</t>
  </si>
  <si>
    <t>152326196912147147</t>
  </si>
  <si>
    <t>152326198212277126</t>
  </si>
  <si>
    <t>裴志国</t>
  </si>
  <si>
    <t>152326197009127115</t>
  </si>
  <si>
    <t>于长荣</t>
  </si>
  <si>
    <t>152326197510247123</t>
  </si>
  <si>
    <t>刘艳新</t>
  </si>
  <si>
    <t>152326197105237116</t>
  </si>
  <si>
    <t>赵亚秀</t>
  </si>
  <si>
    <t>152326197107137127</t>
  </si>
  <si>
    <t>赵吉生</t>
  </si>
  <si>
    <t>152326197004207110</t>
  </si>
  <si>
    <t>付翠兰</t>
  </si>
  <si>
    <t>152326196905087123</t>
  </si>
  <si>
    <t>于金华</t>
  </si>
  <si>
    <t>15232619751107712X</t>
  </si>
  <si>
    <t>林树海</t>
  </si>
  <si>
    <t>152326197202027110</t>
  </si>
  <si>
    <t>王凤枝</t>
  </si>
  <si>
    <t>152326196305207128</t>
  </si>
  <si>
    <t>李景武</t>
  </si>
  <si>
    <t>152326196208297117</t>
  </si>
  <si>
    <t>常玉芹</t>
  </si>
  <si>
    <t>15232619631201712X</t>
  </si>
  <si>
    <t>毛艳岭</t>
  </si>
  <si>
    <t>152326197809147119</t>
  </si>
  <si>
    <t>许桂玲</t>
  </si>
  <si>
    <t>152326196504017124</t>
  </si>
  <si>
    <t>陈树春</t>
  </si>
  <si>
    <t>15232619630301711X</t>
  </si>
  <si>
    <t>任秀芬</t>
  </si>
  <si>
    <t>152326197003137122</t>
  </si>
  <si>
    <t>王文圣</t>
  </si>
  <si>
    <t>152326197210077134</t>
  </si>
  <si>
    <t>赵龙</t>
  </si>
  <si>
    <t>152326196610247118</t>
  </si>
  <si>
    <t>152326196310177111</t>
  </si>
  <si>
    <t>柴秀芹</t>
  </si>
  <si>
    <t>15232619650824712X</t>
  </si>
  <si>
    <t>杭玉珍</t>
  </si>
  <si>
    <t>152326196508127128</t>
  </si>
  <si>
    <t>李占琴</t>
  </si>
  <si>
    <t>152326196110207128</t>
  </si>
  <si>
    <t>152326197210167121</t>
  </si>
  <si>
    <t>任艳彬</t>
  </si>
  <si>
    <t>152326197109207117</t>
  </si>
  <si>
    <t>张立永</t>
  </si>
  <si>
    <t>152326198702277110</t>
  </si>
  <si>
    <t>赵玉净</t>
  </si>
  <si>
    <t>15232619850308712X</t>
  </si>
  <si>
    <t>152326197205077113</t>
  </si>
  <si>
    <t>赵桂香</t>
  </si>
  <si>
    <t>152326197007037129</t>
  </si>
  <si>
    <t>150525196608066871</t>
  </si>
  <si>
    <t>麦秀玲</t>
  </si>
  <si>
    <t>152326196910117120</t>
  </si>
  <si>
    <t>152326198002217125</t>
  </si>
  <si>
    <t>方杰</t>
  </si>
  <si>
    <t>152326198402027144</t>
  </si>
  <si>
    <t>任艳彪</t>
  </si>
  <si>
    <t>152326198310197111</t>
  </si>
  <si>
    <t>李伟</t>
  </si>
  <si>
    <t>152326197310097116</t>
  </si>
  <si>
    <t>任亚力</t>
  </si>
  <si>
    <t>152326197701167126</t>
  </si>
  <si>
    <t>勾明芳</t>
  </si>
  <si>
    <t>152326198612047127</t>
  </si>
  <si>
    <t>152326197004057140</t>
  </si>
  <si>
    <t>任艳军</t>
  </si>
  <si>
    <t>152326196911137115</t>
  </si>
  <si>
    <t>152326198412246885</t>
  </si>
  <si>
    <t>于春花</t>
  </si>
  <si>
    <t>152326198102027126</t>
  </si>
  <si>
    <t>张喜军</t>
  </si>
  <si>
    <t>152326196907207133</t>
  </si>
  <si>
    <t>刘素珍</t>
  </si>
  <si>
    <t>152326197008237122</t>
  </si>
  <si>
    <t>陈树权</t>
  </si>
  <si>
    <t>152326198207087117</t>
  </si>
  <si>
    <t>张翠云</t>
  </si>
  <si>
    <t>152326196502017147</t>
  </si>
  <si>
    <t>苏俊苓</t>
  </si>
  <si>
    <t>152326197405077126</t>
  </si>
  <si>
    <t>陈瑞玲</t>
  </si>
  <si>
    <t>152326196410217125</t>
  </si>
  <si>
    <t>贾云海</t>
  </si>
  <si>
    <t>152326196204137116</t>
  </si>
  <si>
    <t>于春凯</t>
  </si>
  <si>
    <t>152326197203087115</t>
  </si>
  <si>
    <t>包桂芬</t>
  </si>
  <si>
    <t>152326196908177124</t>
  </si>
  <si>
    <t>梁桂珍</t>
  </si>
  <si>
    <t>15232619640810712X</t>
  </si>
  <si>
    <t>毛魁</t>
  </si>
  <si>
    <t>15232619660711711X</t>
  </si>
  <si>
    <t>152326196907017129</t>
  </si>
  <si>
    <t>代坤</t>
  </si>
  <si>
    <t>152326197003247110</t>
  </si>
  <si>
    <t>高淑琴</t>
  </si>
  <si>
    <t>220319196904157460</t>
  </si>
  <si>
    <t>毕明华</t>
  </si>
  <si>
    <t>152326197711067110</t>
  </si>
  <si>
    <t>15232619770404712X</t>
  </si>
  <si>
    <t>张海艳</t>
  </si>
  <si>
    <t>152326197006087116</t>
  </si>
  <si>
    <t>高凤玲</t>
  </si>
  <si>
    <t>152326197304257128</t>
  </si>
  <si>
    <t>张海华</t>
  </si>
  <si>
    <t>152326197602057124</t>
  </si>
  <si>
    <t>张海颖</t>
  </si>
  <si>
    <t>152326198408057125</t>
  </si>
  <si>
    <t>王金龙</t>
  </si>
  <si>
    <t>152326196601147115</t>
  </si>
  <si>
    <t>152326196603247128</t>
  </si>
  <si>
    <t>张喜友</t>
  </si>
  <si>
    <t>152326196705087137</t>
  </si>
  <si>
    <t>冦玉侠</t>
  </si>
  <si>
    <t>152326196801197125</t>
  </si>
  <si>
    <t>姜国彬</t>
  </si>
  <si>
    <t>152326196608037111</t>
  </si>
  <si>
    <t>魏学荣</t>
  </si>
  <si>
    <t>152324196407061120</t>
  </si>
  <si>
    <t>代生</t>
  </si>
  <si>
    <t>152326196801267111</t>
  </si>
  <si>
    <t>齐彩华</t>
  </si>
  <si>
    <t>152326196801127127</t>
  </si>
  <si>
    <t>代亚琢</t>
  </si>
  <si>
    <t>152326197107247115</t>
  </si>
  <si>
    <t>苏凤华</t>
  </si>
  <si>
    <t>152326197301247127</t>
  </si>
  <si>
    <t>毛艳波</t>
  </si>
  <si>
    <t>152326198310257110</t>
  </si>
  <si>
    <t>王井丽</t>
  </si>
  <si>
    <t>152326198505287125</t>
  </si>
  <si>
    <t>陈晓雪</t>
  </si>
  <si>
    <t>152326199710277123</t>
  </si>
  <si>
    <t>152326199704287114</t>
  </si>
  <si>
    <t>152326196309237121</t>
  </si>
  <si>
    <t>刘淑云</t>
  </si>
  <si>
    <t>152326196201057129</t>
  </si>
  <si>
    <t>王海清</t>
  </si>
  <si>
    <t>152326196803107111</t>
  </si>
  <si>
    <t>152326196111297110</t>
  </si>
  <si>
    <t>代君</t>
  </si>
  <si>
    <t>152326196508037114</t>
  </si>
  <si>
    <t>饶翠侠</t>
  </si>
  <si>
    <t>152326196309177122</t>
  </si>
  <si>
    <t>韩帅</t>
  </si>
  <si>
    <t>152326197801047113</t>
  </si>
  <si>
    <t>时常丽</t>
  </si>
  <si>
    <t>152326197802037128</t>
  </si>
  <si>
    <t>王维国</t>
  </si>
  <si>
    <t>152326198009067115</t>
  </si>
  <si>
    <t>赵玉红</t>
  </si>
  <si>
    <t>152326198203147127</t>
  </si>
  <si>
    <t>孔庆龙</t>
  </si>
  <si>
    <t>152326198410287114</t>
  </si>
  <si>
    <t>徐艳茹</t>
  </si>
  <si>
    <t>152326198212166864</t>
  </si>
  <si>
    <t>崔国有</t>
  </si>
  <si>
    <t>152326196504287116</t>
  </si>
  <si>
    <t>秦常江</t>
  </si>
  <si>
    <t>152326196201247715</t>
  </si>
  <si>
    <t>秦常龙</t>
  </si>
  <si>
    <t>152326196809137119</t>
  </si>
  <si>
    <t>董叶</t>
  </si>
  <si>
    <t>152326196701017123</t>
  </si>
  <si>
    <t>刘广起</t>
  </si>
  <si>
    <t>15232619611231711X</t>
  </si>
  <si>
    <t>孙桂荣</t>
  </si>
  <si>
    <t>152326196211177124</t>
  </si>
  <si>
    <t>高洪波</t>
  </si>
  <si>
    <t>152326197810177112</t>
  </si>
  <si>
    <t>包春龙</t>
  </si>
  <si>
    <t>15232619710413713X</t>
  </si>
  <si>
    <t>吴春艳</t>
  </si>
  <si>
    <t>152326197411247128</t>
  </si>
  <si>
    <t>冯金花</t>
  </si>
  <si>
    <t>152326197801097129</t>
  </si>
  <si>
    <t>贾学文</t>
  </si>
  <si>
    <t>152326197702287138</t>
  </si>
  <si>
    <t>时常艳</t>
  </si>
  <si>
    <t>152326197009237124</t>
  </si>
  <si>
    <t>姜洪生</t>
  </si>
  <si>
    <t>152326198110047135</t>
  </si>
  <si>
    <t>李树</t>
  </si>
  <si>
    <t>152326197111237139</t>
  </si>
  <si>
    <t>任庆侠</t>
  </si>
  <si>
    <t>152326197305047122</t>
  </si>
  <si>
    <t>张中华</t>
  </si>
  <si>
    <t>152326197401226868</t>
  </si>
  <si>
    <t>赵显明</t>
  </si>
  <si>
    <t>152326197103197114</t>
  </si>
  <si>
    <t>谭海英</t>
  </si>
  <si>
    <t>15052519750924688X</t>
  </si>
  <si>
    <t>韩爱国</t>
  </si>
  <si>
    <t>152326197604047130</t>
  </si>
  <si>
    <t>韩国华</t>
  </si>
  <si>
    <t>152326197307077114</t>
  </si>
  <si>
    <t>150525197002176886</t>
  </si>
  <si>
    <t>张淑青</t>
  </si>
  <si>
    <t>152326197510037126</t>
  </si>
  <si>
    <t>于占文</t>
  </si>
  <si>
    <t>152326197507107111</t>
  </si>
  <si>
    <t>张艳如</t>
  </si>
  <si>
    <t>152326197504157148</t>
  </si>
  <si>
    <t>高红伟</t>
  </si>
  <si>
    <t>152326197401077110</t>
  </si>
  <si>
    <t>崔著友</t>
  </si>
  <si>
    <t>370782197111256614</t>
  </si>
  <si>
    <t>陈树环</t>
  </si>
  <si>
    <t>15232619751203712X</t>
  </si>
  <si>
    <t>胡海丰</t>
  </si>
  <si>
    <t>152326197404217131</t>
  </si>
  <si>
    <t>杨金辉</t>
  </si>
  <si>
    <t>152326197802087125</t>
  </si>
  <si>
    <t>林翠英</t>
  </si>
  <si>
    <t>152326197105057123</t>
  </si>
  <si>
    <t>张国</t>
  </si>
  <si>
    <t>152326197005117117</t>
  </si>
  <si>
    <t>张建民</t>
  </si>
  <si>
    <t>152326197209067115</t>
  </si>
  <si>
    <t>裴志群</t>
  </si>
  <si>
    <t>152326197311077125</t>
  </si>
  <si>
    <t>杨志</t>
  </si>
  <si>
    <t>152326196509157134</t>
  </si>
  <si>
    <t>152326196503257134</t>
  </si>
  <si>
    <t>时建华</t>
  </si>
  <si>
    <t>152326196602237120</t>
  </si>
  <si>
    <t>152326196702037126</t>
  </si>
  <si>
    <t>尹立民</t>
  </si>
  <si>
    <t>152326196911087111</t>
  </si>
  <si>
    <t>季学凤</t>
  </si>
  <si>
    <t>152326196702277111</t>
  </si>
  <si>
    <t>152326196908247110</t>
  </si>
  <si>
    <t>任秀文</t>
  </si>
  <si>
    <t>152326196704117111</t>
  </si>
  <si>
    <t>赵桂荣</t>
  </si>
  <si>
    <t>152326196805207124</t>
  </si>
  <si>
    <t>陈树昆</t>
  </si>
  <si>
    <t>152326196804147115</t>
  </si>
  <si>
    <t>包梅花</t>
  </si>
  <si>
    <t>152322196604242526</t>
  </si>
  <si>
    <t>刘旭东</t>
  </si>
  <si>
    <t>152326198211217113</t>
  </si>
  <si>
    <t>赵春娥</t>
  </si>
  <si>
    <t>152326198307117125</t>
  </si>
  <si>
    <t>时常波</t>
  </si>
  <si>
    <t>152326197607077167</t>
  </si>
  <si>
    <t>孙昌文</t>
  </si>
  <si>
    <t>152326197602227111</t>
  </si>
  <si>
    <t>徐国平</t>
  </si>
  <si>
    <t>152326196805177113</t>
  </si>
  <si>
    <t>152326197201097125</t>
  </si>
  <si>
    <t>尹立军</t>
  </si>
  <si>
    <t>152326197307037139</t>
  </si>
  <si>
    <t>1000</t>
  </si>
  <si>
    <t>胡丽香</t>
  </si>
  <si>
    <t>15232619740525716X</t>
  </si>
  <si>
    <t>解云海</t>
  </si>
  <si>
    <t>152326197609087131</t>
  </si>
  <si>
    <t>贾宏丽</t>
  </si>
  <si>
    <t>152326198307147121</t>
  </si>
  <si>
    <t>徐桂艳</t>
  </si>
  <si>
    <t>150525197809266882</t>
  </si>
  <si>
    <t>李林</t>
  </si>
  <si>
    <t>152326197508097111</t>
  </si>
  <si>
    <t>贾文平</t>
  </si>
  <si>
    <t>152326196501097122</t>
  </si>
  <si>
    <t>陈树财</t>
  </si>
  <si>
    <t>152326196610287136</t>
  </si>
  <si>
    <t>蔡艳红</t>
  </si>
  <si>
    <t>152326198110047143</t>
  </si>
  <si>
    <t>曲焕玲</t>
  </si>
  <si>
    <t>15232619720918002X</t>
  </si>
  <si>
    <t>梁大双</t>
  </si>
  <si>
    <t>152326198611097122</t>
  </si>
  <si>
    <t>陈树文</t>
  </si>
  <si>
    <t>152326197409157115</t>
  </si>
  <si>
    <t>姚波</t>
  </si>
  <si>
    <t>152326198204227110</t>
  </si>
  <si>
    <t>152326198212211186</t>
  </si>
  <si>
    <t>陈树君</t>
  </si>
  <si>
    <t>152326197012317117</t>
  </si>
  <si>
    <t>王宏波</t>
  </si>
  <si>
    <t>152326197905197116</t>
  </si>
  <si>
    <t>152326198001277126</t>
  </si>
  <si>
    <t>152326197409247110</t>
  </si>
  <si>
    <t>银梅</t>
  </si>
  <si>
    <t>152324197503046320</t>
  </si>
  <si>
    <t>陈淑虹</t>
  </si>
  <si>
    <t>152326198101207125</t>
  </si>
  <si>
    <t>马振东</t>
  </si>
  <si>
    <t>152326197709277119</t>
  </si>
  <si>
    <t>任秀武</t>
  </si>
  <si>
    <t>152326196707197110</t>
  </si>
  <si>
    <t>田秀侠</t>
  </si>
  <si>
    <t>152326196603047126</t>
  </si>
  <si>
    <t>刘玉财</t>
  </si>
  <si>
    <t>152326196611157114</t>
  </si>
  <si>
    <t>张喜彬</t>
  </si>
  <si>
    <t>152326196501027132</t>
  </si>
  <si>
    <t>李雅枝</t>
  </si>
  <si>
    <t>152326196901167142</t>
  </si>
  <si>
    <t>毕宏华</t>
  </si>
  <si>
    <t>152326197209127173</t>
  </si>
  <si>
    <t>姜晓梅</t>
  </si>
  <si>
    <t>152326197211147122</t>
  </si>
  <si>
    <t>毕建华</t>
  </si>
  <si>
    <t>152326197208227113</t>
  </si>
  <si>
    <t>庞风铃</t>
  </si>
  <si>
    <t>152326196709097121</t>
  </si>
  <si>
    <t>牛海枝</t>
  </si>
  <si>
    <t>15232619740502004X</t>
  </si>
  <si>
    <t>陈树有</t>
  </si>
  <si>
    <t>152326197109137139</t>
  </si>
  <si>
    <t>李占生</t>
  </si>
  <si>
    <t>152326196411107112</t>
  </si>
  <si>
    <t>郭秀兰</t>
  </si>
  <si>
    <t>152326196701117124</t>
  </si>
  <si>
    <t>季学艳</t>
  </si>
  <si>
    <t>152326197009097125</t>
  </si>
  <si>
    <t>徐文艳</t>
  </si>
  <si>
    <t>152326197203117142</t>
  </si>
  <si>
    <t>赵春梅</t>
  </si>
  <si>
    <t>152326197710167128</t>
  </si>
  <si>
    <t>张立新</t>
  </si>
  <si>
    <t>152326197409077115</t>
  </si>
  <si>
    <t>于金红</t>
  </si>
  <si>
    <t>152326197711067129</t>
  </si>
  <si>
    <t>付贵林</t>
  </si>
  <si>
    <t>15232619760824713X</t>
  </si>
  <si>
    <t>毕连华</t>
  </si>
  <si>
    <t>152326197903077110</t>
  </si>
  <si>
    <t>于春丽</t>
  </si>
  <si>
    <t>152326197809296907</t>
  </si>
  <si>
    <t>秦常青</t>
  </si>
  <si>
    <t>152326197305037119</t>
  </si>
  <si>
    <t>任庆和</t>
  </si>
  <si>
    <t>152326196709147117</t>
  </si>
  <si>
    <t>宋玉芳</t>
  </si>
  <si>
    <t>152326197108217129</t>
  </si>
  <si>
    <t>毕金华</t>
  </si>
  <si>
    <t>152326197305227115</t>
  </si>
  <si>
    <t>152326198006087110</t>
  </si>
  <si>
    <t>皮玉红</t>
  </si>
  <si>
    <t>152326198208047125</t>
  </si>
  <si>
    <t>132629196204144422</t>
  </si>
  <si>
    <t>陈东丽</t>
  </si>
  <si>
    <t>152326198412167124</t>
  </si>
  <si>
    <t>张立群</t>
  </si>
  <si>
    <t>15232619851104711X</t>
  </si>
  <si>
    <t>皮玉辉</t>
  </si>
  <si>
    <t>152326197706247117</t>
  </si>
  <si>
    <t>152326198609067119</t>
  </si>
  <si>
    <t>王景明</t>
  </si>
  <si>
    <t>152326198509287122</t>
  </si>
  <si>
    <t>赵庆国</t>
  </si>
  <si>
    <t>152326197205017110</t>
  </si>
  <si>
    <t>闫海侠</t>
  </si>
  <si>
    <t>152326197510017125</t>
  </si>
  <si>
    <t>于井芳</t>
  </si>
  <si>
    <t>152326198411267123</t>
  </si>
  <si>
    <t>郭连花</t>
  </si>
  <si>
    <t>152326198108077124</t>
  </si>
  <si>
    <t>解云虎</t>
  </si>
  <si>
    <t>152326198108107119</t>
  </si>
  <si>
    <t>沈小伟</t>
  </si>
  <si>
    <t>152326198312077121</t>
  </si>
  <si>
    <t>邱福有</t>
  </si>
  <si>
    <t>152326197210017158</t>
  </si>
  <si>
    <t>陈树虎</t>
  </si>
  <si>
    <t>152326197607087111</t>
  </si>
  <si>
    <t>张喜民</t>
  </si>
  <si>
    <t>152326197212207158</t>
  </si>
  <si>
    <t>林淑娟</t>
  </si>
  <si>
    <t>152326197109307142</t>
  </si>
  <si>
    <t>金红利</t>
  </si>
  <si>
    <t>152326198003037118</t>
  </si>
  <si>
    <t>刘翠萍</t>
  </si>
  <si>
    <t>152326197303247120</t>
  </si>
  <si>
    <t>赵常波</t>
  </si>
  <si>
    <t>152326197703197118</t>
  </si>
  <si>
    <t>张立敏</t>
  </si>
  <si>
    <t>152326198305037121</t>
  </si>
  <si>
    <t>张迎起</t>
  </si>
  <si>
    <t>152326198109167113</t>
  </si>
  <si>
    <t>金宏艳</t>
  </si>
  <si>
    <t>150525198312196887</t>
  </si>
  <si>
    <t>王武</t>
  </si>
  <si>
    <t>152326197511237111</t>
  </si>
  <si>
    <t>韩宗青</t>
  </si>
  <si>
    <t>152326197501027129</t>
  </si>
  <si>
    <t>152326197209087140</t>
  </si>
  <si>
    <t>吴宝金</t>
  </si>
  <si>
    <t>152326197012207110</t>
  </si>
  <si>
    <t>152326197507307113</t>
  </si>
  <si>
    <t>陈淑花</t>
  </si>
  <si>
    <t>152326197302247129</t>
  </si>
  <si>
    <t>152326199010287128</t>
  </si>
  <si>
    <t>勾明丽</t>
  </si>
  <si>
    <t>152326198410217124</t>
  </si>
  <si>
    <t>贾文利</t>
  </si>
  <si>
    <t>15232619750918716X</t>
  </si>
  <si>
    <t>赵玉明</t>
  </si>
  <si>
    <t>152326198701177118</t>
  </si>
  <si>
    <t>代晓萌</t>
  </si>
  <si>
    <t>152326198801267129</t>
  </si>
  <si>
    <t>赵显华</t>
  </si>
  <si>
    <t>152326197609227114</t>
  </si>
  <si>
    <t>姜国武</t>
  </si>
  <si>
    <t>152326197611157135</t>
  </si>
  <si>
    <t>姜国民</t>
  </si>
  <si>
    <t>152326197404217115</t>
  </si>
  <si>
    <t>武利</t>
  </si>
  <si>
    <t>152326197401017118</t>
  </si>
  <si>
    <t>寇玉环</t>
  </si>
  <si>
    <t>15232619770105712X</t>
  </si>
  <si>
    <t>王志国</t>
  </si>
  <si>
    <t>152326198610237111</t>
  </si>
  <si>
    <t>赵庆民</t>
  </si>
  <si>
    <t>152326198602187118</t>
  </si>
  <si>
    <t>152326197009257117</t>
  </si>
  <si>
    <t>刘晓春</t>
  </si>
  <si>
    <t>152326198403067113</t>
  </si>
  <si>
    <t>刘庆波</t>
  </si>
  <si>
    <t>152326198509087139</t>
  </si>
  <si>
    <t>哈顺高娃</t>
  </si>
  <si>
    <t>152325198312012524</t>
  </si>
  <si>
    <t>宝青松</t>
  </si>
  <si>
    <t>152326197908277111</t>
  </si>
  <si>
    <t>皮玉伟</t>
  </si>
  <si>
    <t>152326198508217114</t>
  </si>
  <si>
    <t>于红卫</t>
  </si>
  <si>
    <t>15232619860619688X</t>
  </si>
  <si>
    <t>荆俊勇</t>
  </si>
  <si>
    <t>152326198311297114</t>
  </si>
  <si>
    <t>152326198412134082</t>
  </si>
  <si>
    <t>152326196807187112</t>
  </si>
  <si>
    <t>裴志亚</t>
  </si>
  <si>
    <t>150525197109156885</t>
  </si>
  <si>
    <t>张爱华</t>
  </si>
  <si>
    <t>15232619681127688X</t>
  </si>
  <si>
    <t>齐广富</t>
  </si>
  <si>
    <t>152326197208157119</t>
  </si>
  <si>
    <t>白玉</t>
  </si>
  <si>
    <t>152326197201027127</t>
  </si>
  <si>
    <t>张敬春</t>
  </si>
  <si>
    <t>152326196806257115</t>
  </si>
  <si>
    <t>刘彩珠</t>
  </si>
  <si>
    <t>152326196812047122</t>
  </si>
  <si>
    <t>王晓军</t>
  </si>
  <si>
    <t>15232619870903711X</t>
  </si>
  <si>
    <t>王志强</t>
  </si>
  <si>
    <t>152326198603127117</t>
  </si>
  <si>
    <t>邵丽娟</t>
  </si>
  <si>
    <t>152326198607167124</t>
  </si>
  <si>
    <t>邱福军</t>
  </si>
  <si>
    <t>152326197905207118</t>
  </si>
  <si>
    <t>燕春英</t>
  </si>
  <si>
    <t>152326197602097126</t>
  </si>
  <si>
    <t>任艳庆</t>
  </si>
  <si>
    <t>152326199111297114</t>
  </si>
  <si>
    <t>齐广原</t>
  </si>
  <si>
    <t>152326198305057114</t>
  </si>
  <si>
    <t>包文红</t>
  </si>
  <si>
    <t>152326199410267126</t>
  </si>
  <si>
    <t>孔宪和</t>
  </si>
  <si>
    <t>152326196608107116</t>
  </si>
  <si>
    <t>霍桂兰</t>
  </si>
  <si>
    <t>152326196808017123</t>
  </si>
  <si>
    <t>季龙</t>
  </si>
  <si>
    <t>152326196302027113</t>
  </si>
  <si>
    <t>徐子金</t>
  </si>
  <si>
    <t>15232619770427711X</t>
  </si>
  <si>
    <t>于凤艳</t>
  </si>
  <si>
    <t>152326197901257126</t>
  </si>
  <si>
    <t>王文贺</t>
  </si>
  <si>
    <t>152326198901207115</t>
  </si>
  <si>
    <t>张静书</t>
  </si>
  <si>
    <t>152326197610297128</t>
  </si>
  <si>
    <t>张静辉</t>
  </si>
  <si>
    <t>152326197501257119</t>
  </si>
  <si>
    <t>王根小</t>
  </si>
  <si>
    <t>152326196911097125</t>
  </si>
  <si>
    <t>陈木华</t>
  </si>
  <si>
    <t>152326197512087119</t>
  </si>
  <si>
    <t>杜红花</t>
  </si>
  <si>
    <t>152326197711237124</t>
  </si>
  <si>
    <t>任艳春</t>
  </si>
  <si>
    <t>152326197602017114</t>
  </si>
  <si>
    <t>廉井华</t>
  </si>
  <si>
    <t>15232619770209714X</t>
  </si>
  <si>
    <t>15232619690202715X</t>
  </si>
  <si>
    <t>王殿芳</t>
  </si>
  <si>
    <t>15232619701222712X</t>
  </si>
  <si>
    <t xml:space="preserve"> 赵玉环</t>
  </si>
  <si>
    <t>152326199012107127</t>
  </si>
  <si>
    <t>李云鹏</t>
  </si>
  <si>
    <t>152326200001197118</t>
  </si>
  <si>
    <t>毛艳明</t>
  </si>
  <si>
    <t>152326198909097117</t>
  </si>
  <si>
    <t>孙永新</t>
  </si>
  <si>
    <t>152326199011176905</t>
  </si>
  <si>
    <t>李传强</t>
  </si>
  <si>
    <t>230223198302181615</t>
  </si>
  <si>
    <t>152326197306017128</t>
  </si>
  <si>
    <t>王文义</t>
  </si>
  <si>
    <t>152326197908217119</t>
  </si>
  <si>
    <t>152326198010157126</t>
  </si>
  <si>
    <t>刘艳杰</t>
  </si>
  <si>
    <t>152326197301147118</t>
  </si>
  <si>
    <t>庞春香</t>
  </si>
  <si>
    <t>152326197703047128</t>
  </si>
  <si>
    <t>姜海龙</t>
  </si>
  <si>
    <t>152326198010107110</t>
  </si>
  <si>
    <t>谭宇琴</t>
  </si>
  <si>
    <t>152326198209202289</t>
  </si>
  <si>
    <t>朱国亮</t>
  </si>
  <si>
    <t>152326198607147115</t>
  </si>
  <si>
    <t>152326198603187128</t>
  </si>
  <si>
    <t>孔庆江</t>
  </si>
  <si>
    <t>152326197609067114</t>
  </si>
  <si>
    <t>荆鹤利</t>
  </si>
  <si>
    <t>152326199004107119</t>
  </si>
  <si>
    <t>张小雪</t>
  </si>
  <si>
    <t>152326199011306909</t>
  </si>
  <si>
    <t>荆鹤明</t>
  </si>
  <si>
    <t>152326198812067114</t>
  </si>
  <si>
    <t>陈德强</t>
  </si>
  <si>
    <t>152326198210137111</t>
  </si>
  <si>
    <t>常月侠</t>
  </si>
  <si>
    <t>152326198101047125</t>
  </si>
  <si>
    <t>于占有</t>
  </si>
  <si>
    <t>152326197902047112</t>
  </si>
  <si>
    <t>金秀文</t>
  </si>
  <si>
    <t>152326197808257121</t>
  </si>
  <si>
    <t>15232619840827711X</t>
  </si>
  <si>
    <t>冷晓丽</t>
  </si>
  <si>
    <t>152321198709040325</t>
  </si>
  <si>
    <t>苏学武</t>
  </si>
  <si>
    <t>152326197711147110</t>
  </si>
  <si>
    <t>孔宪国</t>
  </si>
  <si>
    <t>152326196907117138</t>
  </si>
  <si>
    <t>刘庆增</t>
  </si>
  <si>
    <t>152326199101087113</t>
  </si>
  <si>
    <t>褚丹丹</t>
  </si>
  <si>
    <t>131181199304150062</t>
  </si>
  <si>
    <t>赵淑兰</t>
  </si>
  <si>
    <t>152326196609207127</t>
  </si>
  <si>
    <t>吴志刚</t>
  </si>
  <si>
    <t>152326197501117116</t>
  </si>
  <si>
    <t>何群</t>
  </si>
  <si>
    <t>152326199109247118</t>
  </si>
  <si>
    <t>林树奎</t>
  </si>
  <si>
    <t>152326197701017136</t>
  </si>
  <si>
    <t>胡海波</t>
  </si>
  <si>
    <t>152326197902287140</t>
  </si>
  <si>
    <t>赵志强</t>
  </si>
  <si>
    <t>152326198701147111</t>
  </si>
  <si>
    <t>金明辉</t>
  </si>
  <si>
    <t>152326197307277159</t>
  </si>
  <si>
    <t>梁华</t>
  </si>
  <si>
    <t>152326197402017128</t>
  </si>
  <si>
    <t>方永凤</t>
  </si>
  <si>
    <t>413026198203107326</t>
  </si>
  <si>
    <t>邱万豪</t>
  </si>
  <si>
    <t>152326200010167113</t>
  </si>
  <si>
    <t>贾云杰</t>
  </si>
  <si>
    <t>152326197002217112</t>
  </si>
  <si>
    <t>贾云江</t>
  </si>
  <si>
    <t>152326196807267139</t>
  </si>
  <si>
    <t>贾云成</t>
  </si>
  <si>
    <t>152326197408207133</t>
  </si>
  <si>
    <t>王文娟</t>
  </si>
  <si>
    <t>152326198008117141</t>
  </si>
  <si>
    <t>张海豹</t>
  </si>
  <si>
    <t>152326197012157133</t>
  </si>
  <si>
    <t>张玉杰</t>
  </si>
  <si>
    <t>152326197101017124</t>
  </si>
  <si>
    <t>张超</t>
  </si>
  <si>
    <t>152326199610237116</t>
  </si>
  <si>
    <t>王维民</t>
  </si>
  <si>
    <t>152326198302287133</t>
  </si>
  <si>
    <t>152326198211127169</t>
  </si>
  <si>
    <t>季学虎</t>
  </si>
  <si>
    <t>152326197401227115</t>
  </si>
  <si>
    <t>孟凡梅</t>
  </si>
  <si>
    <t>152326197512127125</t>
  </si>
  <si>
    <t>赵庆檩</t>
  </si>
  <si>
    <t>152326198602027130</t>
  </si>
  <si>
    <t>贾丽施</t>
  </si>
  <si>
    <t>152326198809237127</t>
  </si>
  <si>
    <t>徐子艳</t>
  </si>
  <si>
    <t>152326198502047126</t>
  </si>
  <si>
    <t>李国云</t>
  </si>
  <si>
    <t>152326196401287121</t>
  </si>
  <si>
    <t>博乐梯</t>
  </si>
  <si>
    <t>152326200001256827</t>
  </si>
  <si>
    <t>张晓颖</t>
  </si>
  <si>
    <t>152326199209027120</t>
  </si>
  <si>
    <t>周杰</t>
  </si>
  <si>
    <t>152326198611227142</t>
  </si>
  <si>
    <t>周菲</t>
  </si>
  <si>
    <t>152326198905057142</t>
  </si>
  <si>
    <t>武艳华</t>
  </si>
  <si>
    <t>152326197912117129</t>
  </si>
  <si>
    <t>褚英春</t>
  </si>
  <si>
    <t>152326199202202280</t>
  </si>
  <si>
    <t>任亚玲</t>
  </si>
  <si>
    <t>152326197907237126</t>
  </si>
  <si>
    <t>152326198901047115</t>
  </si>
  <si>
    <t>孔庆波</t>
  </si>
  <si>
    <t>152326198210107115</t>
  </si>
  <si>
    <t>152324198112266363</t>
  </si>
  <si>
    <t>齐玉红</t>
  </si>
  <si>
    <t>152326197910257128</t>
  </si>
  <si>
    <t>张海飞</t>
  </si>
  <si>
    <t>152326197502087115</t>
  </si>
  <si>
    <t>蔡贺利</t>
  </si>
  <si>
    <t>152326197208157127</t>
  </si>
  <si>
    <t>152326197909087125</t>
  </si>
  <si>
    <t>姚龙</t>
  </si>
  <si>
    <t>152326197508167116</t>
  </si>
  <si>
    <t>152326198505067114</t>
  </si>
  <si>
    <t>姚健</t>
  </si>
  <si>
    <t>15232619841205711X</t>
  </si>
  <si>
    <t>时国华</t>
  </si>
  <si>
    <t>152326197901027152</t>
  </si>
  <si>
    <t>王秀茹</t>
  </si>
  <si>
    <t>152326197902067121</t>
  </si>
  <si>
    <t>林树茂</t>
  </si>
  <si>
    <t>152326197810237111</t>
  </si>
  <si>
    <t>陈树艳</t>
  </si>
  <si>
    <t>152326196701027129</t>
  </si>
  <si>
    <t>苏学文</t>
  </si>
  <si>
    <t>152326197407047131</t>
  </si>
  <si>
    <t>田淑辉</t>
  </si>
  <si>
    <t>152326197405097143</t>
  </si>
  <si>
    <t>孙昌会</t>
  </si>
  <si>
    <t>152326196808117116</t>
  </si>
  <si>
    <t>尹海侠</t>
  </si>
  <si>
    <t>152326197109257122</t>
  </si>
  <si>
    <t>114400</t>
  </si>
  <si>
    <t>大段嘎查2020年养老保险缴费名单</t>
  </si>
  <si>
    <t>大段嘎查</t>
  </si>
  <si>
    <t>褚金桩</t>
  </si>
  <si>
    <t>152326197309207111</t>
  </si>
  <si>
    <t>郭红丽</t>
  </si>
  <si>
    <t>152326197510147122</t>
  </si>
  <si>
    <t>边树森</t>
  </si>
  <si>
    <t>152326197010177114</t>
  </si>
  <si>
    <t>梁海梅</t>
  </si>
  <si>
    <t>152326197710137148</t>
  </si>
  <si>
    <t>代秀云</t>
  </si>
  <si>
    <t>152326196801027126</t>
  </si>
  <si>
    <t>董久成</t>
  </si>
  <si>
    <t>152326196706137116</t>
  </si>
  <si>
    <t>董艳华</t>
  </si>
  <si>
    <t>152326198001227110</t>
  </si>
  <si>
    <t>刘春兰</t>
  </si>
  <si>
    <t>152326198311087125</t>
  </si>
  <si>
    <t>席素兰</t>
  </si>
  <si>
    <t>152326196911197126</t>
  </si>
  <si>
    <t>戴文学</t>
  </si>
  <si>
    <t>152326196206267133</t>
  </si>
  <si>
    <t>戴天柱</t>
  </si>
  <si>
    <t>152326199211257136</t>
  </si>
  <si>
    <t>宝淑花</t>
  </si>
  <si>
    <t>152326196201277121</t>
  </si>
  <si>
    <t>董久富</t>
  </si>
  <si>
    <t>152326197212027114</t>
  </si>
  <si>
    <t>韩玉梅</t>
  </si>
  <si>
    <t>152326197308237124</t>
  </si>
  <si>
    <t>董艳磊</t>
  </si>
  <si>
    <t>152326199609217118</t>
  </si>
  <si>
    <t>张建峰</t>
  </si>
  <si>
    <t>15232619790727711X</t>
  </si>
  <si>
    <t>尹小英</t>
  </si>
  <si>
    <t>152326197704237126</t>
  </si>
  <si>
    <t>安亚光</t>
  </si>
  <si>
    <t>152326198011037118</t>
  </si>
  <si>
    <t>陈东香</t>
  </si>
  <si>
    <t>152326198305197125</t>
  </si>
  <si>
    <t>王艳凤</t>
  </si>
  <si>
    <t>152326197007077120</t>
  </si>
  <si>
    <t>褚金龙</t>
  </si>
  <si>
    <t>152326196701057133</t>
  </si>
  <si>
    <t>褚殿军</t>
  </si>
  <si>
    <t>152326199205187119</t>
  </si>
  <si>
    <t>白姑娘</t>
  </si>
  <si>
    <t>152326196303237120</t>
  </si>
  <si>
    <t>谢红艳</t>
  </si>
  <si>
    <t>152326199002287128</t>
  </si>
  <si>
    <t>安广林</t>
  </si>
  <si>
    <t>152326196302267117</t>
  </si>
  <si>
    <t>包桂荣</t>
  </si>
  <si>
    <t>152326196401097125</t>
  </si>
  <si>
    <t>杨金财</t>
  </si>
  <si>
    <t>152326196909267113</t>
  </si>
  <si>
    <t>戴凤侠</t>
  </si>
  <si>
    <t>152326197312267123</t>
  </si>
  <si>
    <t>杨金库</t>
  </si>
  <si>
    <t>152326198007117115</t>
  </si>
  <si>
    <t>杨金富</t>
  </si>
  <si>
    <t>152326197105237132</t>
  </si>
  <si>
    <t>张志红</t>
  </si>
  <si>
    <t>152326196303207140</t>
  </si>
  <si>
    <t>褚金利</t>
  </si>
  <si>
    <t>152326198404287126</t>
  </si>
  <si>
    <t>褚金燕</t>
  </si>
  <si>
    <t>152326197907117124</t>
  </si>
  <si>
    <t>安广星</t>
  </si>
  <si>
    <t>152326196710257137</t>
  </si>
  <si>
    <t>丁喜红</t>
  </si>
  <si>
    <t>152326197308087146</t>
  </si>
  <si>
    <t>安志超</t>
  </si>
  <si>
    <t>152326199603237118</t>
  </si>
  <si>
    <t>安妮</t>
  </si>
  <si>
    <t>15232620021005712X</t>
  </si>
  <si>
    <t>赵文江</t>
  </si>
  <si>
    <t>15232619710301711X</t>
  </si>
  <si>
    <t>安淑侠</t>
  </si>
  <si>
    <t>152326196809077128</t>
  </si>
  <si>
    <t>佟铁强</t>
  </si>
  <si>
    <t>152326198410117115</t>
  </si>
  <si>
    <t>安广金</t>
  </si>
  <si>
    <t>152326196712017110</t>
  </si>
  <si>
    <t>包英</t>
  </si>
  <si>
    <t>152326197108017127</t>
  </si>
  <si>
    <t>佟铁燕</t>
  </si>
  <si>
    <t>152326198110107142</t>
  </si>
  <si>
    <t>张少锋</t>
  </si>
  <si>
    <t>152326196909047110</t>
  </si>
  <si>
    <t>152326197007077147</t>
  </si>
  <si>
    <t>张绍海</t>
  </si>
  <si>
    <t>152326197304127112</t>
  </si>
  <si>
    <t>张绍雨</t>
  </si>
  <si>
    <t>152326197804047119</t>
  </si>
  <si>
    <t>佟永华</t>
  </si>
  <si>
    <t>152326198208217112</t>
  </si>
  <si>
    <t>韩玉琴</t>
  </si>
  <si>
    <t>152326198411192280</t>
  </si>
  <si>
    <t>梁桂琴</t>
  </si>
  <si>
    <t>152326196203107126</t>
  </si>
  <si>
    <t>安广亮</t>
  </si>
  <si>
    <t>152326196302247132</t>
  </si>
  <si>
    <t>张素芹</t>
  </si>
  <si>
    <t>152326196602027182</t>
  </si>
  <si>
    <t>安春华</t>
  </si>
  <si>
    <t>15232619930113712X</t>
  </si>
  <si>
    <t>肖和</t>
  </si>
  <si>
    <t>152326196110217115</t>
  </si>
  <si>
    <t>安秀梅</t>
  </si>
  <si>
    <t>152326196510017120</t>
  </si>
  <si>
    <t>江志琴</t>
  </si>
  <si>
    <t>152326198110157123</t>
  </si>
  <si>
    <t>刘永国</t>
  </si>
  <si>
    <t>152324197802281419</t>
  </si>
  <si>
    <t>安彩丽</t>
  </si>
  <si>
    <t>152326198102087129</t>
  </si>
  <si>
    <t>安国平</t>
  </si>
  <si>
    <t>152326198502257115</t>
  </si>
  <si>
    <t>江志云</t>
  </si>
  <si>
    <t>152326198312217120</t>
  </si>
  <si>
    <t>安海林</t>
  </si>
  <si>
    <t>152326197711267112</t>
  </si>
  <si>
    <t>王振刚</t>
  </si>
  <si>
    <t>152326197808257113</t>
  </si>
  <si>
    <t>冯志敏</t>
  </si>
  <si>
    <t>152326197902167149</t>
  </si>
  <si>
    <t>赵文林</t>
  </si>
  <si>
    <t>152326196502027134</t>
  </si>
  <si>
    <t>152326196903107127</t>
  </si>
  <si>
    <t>吕海</t>
  </si>
  <si>
    <t>152326196303127132</t>
  </si>
  <si>
    <t>张月梅</t>
  </si>
  <si>
    <t>15232619660731712X</t>
  </si>
  <si>
    <t>安广龙</t>
  </si>
  <si>
    <t>15232619691008711X</t>
  </si>
  <si>
    <t>安志远</t>
  </si>
  <si>
    <t>152326199810127114</t>
  </si>
  <si>
    <t>敖特根</t>
  </si>
  <si>
    <t>152326197404287121</t>
  </si>
  <si>
    <t>赵文福</t>
  </si>
  <si>
    <t>152326196405197115</t>
  </si>
  <si>
    <t>包桂云</t>
  </si>
  <si>
    <t>152326196306097127</t>
  </si>
  <si>
    <t>周立宝</t>
  </si>
  <si>
    <t>15232619821228713X</t>
  </si>
  <si>
    <t>佟铁柱</t>
  </si>
  <si>
    <t>152326197708167110</t>
  </si>
  <si>
    <t>冯有全</t>
  </si>
  <si>
    <t>152326196702017117</t>
  </si>
  <si>
    <t>张立艳</t>
  </si>
  <si>
    <t>152326197207057124</t>
  </si>
  <si>
    <t>王春侠</t>
  </si>
  <si>
    <t>152326197606147127</t>
  </si>
  <si>
    <t>安国辉</t>
  </si>
  <si>
    <t>152326197306157112</t>
  </si>
  <si>
    <t>马云忠</t>
  </si>
  <si>
    <t>152326196912267114</t>
  </si>
  <si>
    <t>戴凤红</t>
  </si>
  <si>
    <t>15232619710302714X</t>
  </si>
  <si>
    <t>李香芬</t>
  </si>
  <si>
    <t>152326196803107146</t>
  </si>
  <si>
    <t>佟永军</t>
  </si>
  <si>
    <t>152326197408227118</t>
  </si>
  <si>
    <t>152326197212287127</t>
  </si>
  <si>
    <t>宝玉明</t>
  </si>
  <si>
    <t>152326197409287112</t>
  </si>
  <si>
    <t>安彩红</t>
  </si>
  <si>
    <t>152326197604227123</t>
  </si>
  <si>
    <t>王振起</t>
  </si>
  <si>
    <t>152326197209197112</t>
  </si>
  <si>
    <t>边树华</t>
  </si>
  <si>
    <t>152326196602047183</t>
  </si>
  <si>
    <t>常金才</t>
  </si>
  <si>
    <t>152326196206247132</t>
  </si>
  <si>
    <t>宝玉侠</t>
  </si>
  <si>
    <t>152326196602027203</t>
  </si>
  <si>
    <t>江有</t>
  </si>
  <si>
    <t>152326196304097115</t>
  </si>
  <si>
    <t>江志国</t>
  </si>
  <si>
    <t>152326198002037116</t>
  </si>
  <si>
    <t>常金刚</t>
  </si>
  <si>
    <t>152326198302147114</t>
  </si>
  <si>
    <t>李志忠</t>
  </si>
  <si>
    <t>152326197301077113</t>
  </si>
  <si>
    <t>刘燕春</t>
  </si>
  <si>
    <t>152326197608157126</t>
  </si>
  <si>
    <t>苏宝香</t>
  </si>
  <si>
    <t>152326196410077118</t>
  </si>
  <si>
    <t>佟红燕</t>
  </si>
  <si>
    <t>152326198407127128</t>
  </si>
  <si>
    <t>常金義</t>
  </si>
  <si>
    <t>152326196211177116</t>
  </si>
  <si>
    <t>152326196807087138</t>
  </si>
  <si>
    <t>152326197709217116</t>
  </si>
  <si>
    <t>谢俊华</t>
  </si>
  <si>
    <t>152326196910257115</t>
  </si>
  <si>
    <t>谢秀梅</t>
  </si>
  <si>
    <t>15232619640423712X</t>
  </si>
  <si>
    <t>李连红</t>
  </si>
  <si>
    <t>152326198011127148</t>
  </si>
  <si>
    <t>董彦苹</t>
  </si>
  <si>
    <t>152326198407147145</t>
  </si>
  <si>
    <t>王振兴</t>
  </si>
  <si>
    <t>152326197201047136</t>
  </si>
  <si>
    <t>刘燕红</t>
  </si>
  <si>
    <t>152326197412287148</t>
  </si>
  <si>
    <t>152326197810277113</t>
  </si>
  <si>
    <t>于金茹</t>
  </si>
  <si>
    <t>152326198008157143</t>
  </si>
  <si>
    <t>安亚慧</t>
  </si>
  <si>
    <t>152326198609256876</t>
  </si>
  <si>
    <t>苏学双</t>
  </si>
  <si>
    <t>152326197712237118</t>
  </si>
  <si>
    <t>张双叶</t>
  </si>
  <si>
    <t>152326197509157120</t>
  </si>
  <si>
    <t>苏凤红</t>
  </si>
  <si>
    <t>152326198302287141</t>
  </si>
  <si>
    <t>吕淑侠</t>
  </si>
  <si>
    <t>152326196502197125</t>
  </si>
  <si>
    <t>刘瑞财</t>
  </si>
  <si>
    <t>152326196901197114</t>
  </si>
  <si>
    <t>苏秀侠</t>
  </si>
  <si>
    <t>152326196406127127</t>
  </si>
  <si>
    <t>152326196611277116</t>
  </si>
  <si>
    <t>吴彩枝</t>
  </si>
  <si>
    <t>152326196604297127</t>
  </si>
  <si>
    <t>佟冬花</t>
  </si>
  <si>
    <t>152326199012077140</t>
  </si>
  <si>
    <t>佟永强</t>
  </si>
  <si>
    <t>152326199210157117</t>
  </si>
  <si>
    <t>石志坚</t>
  </si>
  <si>
    <t>152326198001177117</t>
  </si>
  <si>
    <t>152326198601044086</t>
  </si>
  <si>
    <t>佟永生</t>
  </si>
  <si>
    <t>152326197610077117</t>
  </si>
  <si>
    <t>张晓红</t>
  </si>
  <si>
    <t>152326198007291180</t>
  </si>
  <si>
    <t>王家宝</t>
  </si>
  <si>
    <t>152326199709197118</t>
  </si>
  <si>
    <t>刘彦辉</t>
  </si>
  <si>
    <t>152326198303077111</t>
  </si>
  <si>
    <t>贺殿辉</t>
  </si>
  <si>
    <t>150430198306192703</t>
  </si>
  <si>
    <t>梁海龙</t>
  </si>
  <si>
    <t>152326198410207110</t>
  </si>
  <si>
    <t>褚金宝</t>
  </si>
  <si>
    <t>152326197508027113</t>
  </si>
  <si>
    <t>石风艳</t>
  </si>
  <si>
    <t>152326197407217145</t>
  </si>
  <si>
    <t>褚金玲</t>
  </si>
  <si>
    <t>152326197712117140</t>
  </si>
  <si>
    <t>褚金仓</t>
  </si>
  <si>
    <t>15232619830116713X</t>
  </si>
  <si>
    <t>包玉兰</t>
  </si>
  <si>
    <t>15232619820918712X</t>
  </si>
  <si>
    <t>褚忠合</t>
  </si>
  <si>
    <t>152326196401087111</t>
  </si>
  <si>
    <t>霍占华</t>
  </si>
  <si>
    <t>152326196705127127</t>
  </si>
  <si>
    <t>孙永坤</t>
  </si>
  <si>
    <t>152326197809286899</t>
  </si>
  <si>
    <t>安广全</t>
  </si>
  <si>
    <t>152326196902027133</t>
  </si>
  <si>
    <t>齐艳宏</t>
  </si>
  <si>
    <t>152326196803037125</t>
  </si>
  <si>
    <t>安国彬</t>
  </si>
  <si>
    <t>152326197701087118</t>
  </si>
  <si>
    <t>马敖斯老</t>
  </si>
  <si>
    <t>152326197710207126</t>
  </si>
  <si>
    <t>周立敏</t>
  </si>
  <si>
    <t>152326197804157115</t>
  </si>
  <si>
    <t>常金珠</t>
  </si>
  <si>
    <t>152326198109207146</t>
  </si>
  <si>
    <t>安国志</t>
  </si>
  <si>
    <t>152326197105017113</t>
  </si>
  <si>
    <t>赵立新</t>
  </si>
  <si>
    <t>152326198806137139</t>
  </si>
  <si>
    <t>金宝海</t>
  </si>
  <si>
    <t>152326197606017111</t>
  </si>
  <si>
    <t>赵立元</t>
  </si>
  <si>
    <t>152326198902117111</t>
  </si>
  <si>
    <t>肖利明</t>
  </si>
  <si>
    <t>152326198709047131</t>
  </si>
  <si>
    <t>董艳鑫</t>
  </si>
  <si>
    <t>152326199009217122</t>
  </si>
  <si>
    <t>安广银</t>
  </si>
  <si>
    <t>152326197206277133</t>
  </si>
  <si>
    <t>乌兰艾勒嘎查2020年养老保险缴费名单</t>
  </si>
  <si>
    <t>乌兰艾勒</t>
  </si>
  <si>
    <t>英格尔</t>
  </si>
  <si>
    <t>152325198403202526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</si>
  <si>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020</t>
    </r>
  </si>
  <si>
    <t>赵西如巴特尔</t>
  </si>
  <si>
    <t>152326196907087119</t>
  </si>
  <si>
    <t>白玉荣</t>
  </si>
  <si>
    <t>152326197408046886</t>
  </si>
  <si>
    <r>
      <rPr>
        <sz val="11"/>
        <color theme="1"/>
        <rFont val="宋体"/>
        <charset val="134"/>
        <scheme val="minor"/>
      </rPr>
      <t>2020</t>
    </r>
  </si>
  <si>
    <t>赵图们乌力吉</t>
  </si>
  <si>
    <t>152326197603057118</t>
  </si>
  <si>
    <t>常明</t>
  </si>
  <si>
    <t>152326197701087134</t>
  </si>
  <si>
    <t>敖吉木苏</t>
  </si>
  <si>
    <t>152326197701097121</t>
  </si>
  <si>
    <t>梁宝力高</t>
  </si>
  <si>
    <t>152326198010097151</t>
  </si>
  <si>
    <t>包查干巴拉</t>
  </si>
  <si>
    <t>152326198101287110</t>
  </si>
  <si>
    <t>尹宝音德力根</t>
  </si>
  <si>
    <t>152326198302287117</t>
  </si>
  <si>
    <t>赵阿古拉</t>
  </si>
  <si>
    <t>152326198307077119</t>
  </si>
  <si>
    <t>萨乐</t>
  </si>
  <si>
    <t>152326198409294085</t>
  </si>
  <si>
    <t>其乐木格</t>
  </si>
  <si>
    <t>152326199007237111</t>
  </si>
  <si>
    <t>152326197101247114</t>
  </si>
  <si>
    <t>李宝柱</t>
  </si>
  <si>
    <t>152326197112037112</t>
  </si>
  <si>
    <t>尹格日乐</t>
  </si>
  <si>
    <t>152326197210257127</t>
  </si>
  <si>
    <t>152326197301167119</t>
  </si>
  <si>
    <t>四七格</t>
  </si>
  <si>
    <t>152326197312247122</t>
  </si>
  <si>
    <t>梁图门勿力吉</t>
  </si>
  <si>
    <t>152326196906237138</t>
  </si>
  <si>
    <t>哈日义很</t>
  </si>
  <si>
    <t>152326197004047129</t>
  </si>
  <si>
    <t>席巴音敖拉</t>
  </si>
  <si>
    <t>152326197405097119</t>
  </si>
  <si>
    <t>布仁高娃</t>
  </si>
  <si>
    <t>150421198304305122</t>
  </si>
  <si>
    <t>萨茹拉其其格</t>
  </si>
  <si>
    <t>150421198404205129</t>
  </si>
  <si>
    <t>150525197203106884</t>
  </si>
  <si>
    <t>152324198101283328</t>
  </si>
  <si>
    <t>宝孟和</t>
  </si>
  <si>
    <t>152326196110017121</t>
  </si>
  <si>
    <t>赵额尔敦白音</t>
  </si>
  <si>
    <t>152326196204097118</t>
  </si>
  <si>
    <t>152326196205077127</t>
  </si>
  <si>
    <t>赵兰英</t>
  </si>
  <si>
    <t>15232619620510712X</t>
  </si>
  <si>
    <t>田格日乐</t>
  </si>
  <si>
    <t>152326196207257121</t>
  </si>
  <si>
    <t>安淑珍</t>
  </si>
  <si>
    <t>152326196309207141</t>
  </si>
  <si>
    <t>满他根</t>
  </si>
  <si>
    <t>152326196311227117</t>
  </si>
  <si>
    <t>宝志岭</t>
  </si>
  <si>
    <t>152326196312167128</t>
  </si>
  <si>
    <t>吴胡套日高</t>
  </si>
  <si>
    <t>152326196407047129</t>
  </si>
  <si>
    <t>何套高</t>
  </si>
  <si>
    <t>152326196409267117</t>
  </si>
  <si>
    <t>勿云必力格</t>
  </si>
  <si>
    <t>152326196410257143</t>
  </si>
  <si>
    <t>张桂英</t>
  </si>
  <si>
    <t>152326196502022309</t>
  </si>
  <si>
    <t>那拉</t>
  </si>
  <si>
    <t>15232619650207714X</t>
  </si>
  <si>
    <t>梁达木日加卜</t>
  </si>
  <si>
    <t>152326196504197110</t>
  </si>
  <si>
    <t>152326196509297129</t>
  </si>
  <si>
    <t>梁朝鲁</t>
  </si>
  <si>
    <t>152326196602017152</t>
  </si>
  <si>
    <t>董得格吉日胡</t>
  </si>
  <si>
    <t>152326196603157114</t>
  </si>
  <si>
    <t>赵福成</t>
  </si>
  <si>
    <t>152326196612217115</t>
  </si>
  <si>
    <t>尹扎力散</t>
  </si>
  <si>
    <t>152326196701137133</t>
  </si>
  <si>
    <t>152326196702087123</t>
  </si>
  <si>
    <t>吴金叶</t>
  </si>
  <si>
    <t>152326196704277123</t>
  </si>
  <si>
    <t>梁额尔敦胡拉</t>
  </si>
  <si>
    <t>152326196709197114</t>
  </si>
  <si>
    <t>宝云志</t>
  </si>
  <si>
    <t>15232619680210711X</t>
  </si>
  <si>
    <t>吴散仁格日乐</t>
  </si>
  <si>
    <t>152326196803067148</t>
  </si>
  <si>
    <t>宝前达门</t>
  </si>
  <si>
    <t>152326196807137131</t>
  </si>
  <si>
    <t>陈巴特尔</t>
  </si>
  <si>
    <t>152326196902157114</t>
  </si>
  <si>
    <t>李海荣</t>
  </si>
  <si>
    <t>152326196903257141</t>
  </si>
  <si>
    <t>敖力根码</t>
  </si>
  <si>
    <t>152326196903287121</t>
  </si>
  <si>
    <t>15232619690401714X</t>
  </si>
  <si>
    <t>李金荣</t>
  </si>
  <si>
    <t>152326196905217127</t>
  </si>
  <si>
    <t>赵胖小</t>
  </si>
  <si>
    <t>152326196906117152</t>
  </si>
  <si>
    <t>散茹拉</t>
  </si>
  <si>
    <t>152326196908077123</t>
  </si>
  <si>
    <t>吴如侯</t>
  </si>
  <si>
    <t>152326196912067120</t>
  </si>
  <si>
    <t>吴哈日侯</t>
  </si>
  <si>
    <t>152326197001177112</t>
  </si>
  <si>
    <t>包德</t>
  </si>
  <si>
    <t>152326197006037119</t>
  </si>
  <si>
    <t>梁高娃</t>
  </si>
  <si>
    <t>152326197007177148</t>
  </si>
  <si>
    <t>吴金宝</t>
  </si>
  <si>
    <t>152326197012176879</t>
  </si>
  <si>
    <t>高早得敖</t>
  </si>
  <si>
    <t>152326197012187113</t>
  </si>
  <si>
    <t>宝代来</t>
  </si>
  <si>
    <t>152326197101167114</t>
  </si>
  <si>
    <t>蔡马莲</t>
  </si>
  <si>
    <t>152326197103057111</t>
  </si>
  <si>
    <t>何敖特根白音拉</t>
  </si>
  <si>
    <t>152326197103247118</t>
  </si>
  <si>
    <t>李海芳</t>
  </si>
  <si>
    <t>152326197103257121</t>
  </si>
  <si>
    <t>宝秀英</t>
  </si>
  <si>
    <t>15232619710401712X</t>
  </si>
  <si>
    <t>宋金宝</t>
  </si>
  <si>
    <t>152326197104057113</t>
  </si>
  <si>
    <t>韩哈日义很</t>
  </si>
  <si>
    <t>152326197107067149</t>
  </si>
  <si>
    <t>吴通亮</t>
  </si>
  <si>
    <t>152326197110017118</t>
  </si>
  <si>
    <t>吴甫套</t>
  </si>
  <si>
    <t>152326197202287123</t>
  </si>
  <si>
    <t>尹德财</t>
  </si>
  <si>
    <t>152326197210077118</t>
  </si>
  <si>
    <t>田满苍</t>
  </si>
  <si>
    <t>15232619721115711X</t>
  </si>
  <si>
    <t>尹扎力根</t>
  </si>
  <si>
    <t>152326197212287119</t>
  </si>
  <si>
    <t>白正月</t>
  </si>
  <si>
    <t>152326197301067126</t>
  </si>
  <si>
    <t>满达</t>
  </si>
  <si>
    <t>152326197301217120</t>
  </si>
  <si>
    <t>15232619730216792X</t>
  </si>
  <si>
    <t>杜吉牙</t>
  </si>
  <si>
    <t>152326197303177142</t>
  </si>
  <si>
    <t>15232619730402712X</t>
  </si>
  <si>
    <t>魏福亮</t>
  </si>
  <si>
    <t>152326197404067110</t>
  </si>
  <si>
    <t>陈斯琴巴特尔</t>
  </si>
  <si>
    <t>152326197404222811</t>
  </si>
  <si>
    <t>田哈斯格日乐</t>
  </si>
  <si>
    <t>15232619740627712X</t>
  </si>
  <si>
    <t>包金才</t>
  </si>
  <si>
    <t>152326197407087117</t>
  </si>
  <si>
    <t>152326197409107126</t>
  </si>
  <si>
    <t>尹海龙</t>
  </si>
  <si>
    <t>152326197412197118</t>
  </si>
  <si>
    <t>陈道格土包力高</t>
  </si>
  <si>
    <t>152326197503097112</t>
  </si>
  <si>
    <t>赵乌力吉仓</t>
  </si>
  <si>
    <t>152326197505017139</t>
  </si>
  <si>
    <t>刘常青</t>
  </si>
  <si>
    <t>152326197506257118</t>
  </si>
  <si>
    <t>包阿木古冷</t>
  </si>
  <si>
    <t>152326197507067113</t>
  </si>
  <si>
    <t>梁玉荣</t>
  </si>
  <si>
    <t>152326197507137126</t>
  </si>
  <si>
    <t>宫久花</t>
  </si>
  <si>
    <t>152326197509247142</t>
  </si>
  <si>
    <t>王特格西扎力根</t>
  </si>
  <si>
    <t>152326197510037134</t>
  </si>
  <si>
    <t>梁朝鲁巴根</t>
  </si>
  <si>
    <t>152326197510247115</t>
  </si>
  <si>
    <t>尹巴塔</t>
  </si>
  <si>
    <t>152326197511147116</t>
  </si>
  <si>
    <t>赵伊日胡</t>
  </si>
  <si>
    <t>152326197603057126</t>
  </si>
  <si>
    <t>刘银花</t>
  </si>
  <si>
    <t>152326197604197120</t>
  </si>
  <si>
    <t>梁接小</t>
  </si>
  <si>
    <t>152326197611057126</t>
  </si>
  <si>
    <t>梁其其格</t>
  </si>
  <si>
    <t>152326197705106865</t>
  </si>
  <si>
    <t>赵田小</t>
  </si>
  <si>
    <t>152326197804297126</t>
  </si>
  <si>
    <t>吴通力嘎</t>
  </si>
  <si>
    <t>152326197807037119</t>
  </si>
  <si>
    <t>德乐黑</t>
  </si>
  <si>
    <t>152326197809137113</t>
  </si>
  <si>
    <t>漫都拉</t>
  </si>
  <si>
    <t>152326197902217118</t>
  </si>
  <si>
    <t>董海峰</t>
  </si>
  <si>
    <t>152326197909097112</t>
  </si>
  <si>
    <t>吴勿日图那斯图</t>
  </si>
  <si>
    <t>152326197909297114</t>
  </si>
  <si>
    <t>尹勿力吉</t>
  </si>
  <si>
    <t>152326198001027135</t>
  </si>
  <si>
    <t>陈海宝</t>
  </si>
  <si>
    <t>152326198001247138</t>
  </si>
  <si>
    <t>152326198002067163</t>
  </si>
  <si>
    <t>斯琴</t>
  </si>
  <si>
    <t>152326198101124100</t>
  </si>
  <si>
    <t>于梅</t>
  </si>
  <si>
    <t>152326198101127141</t>
  </si>
  <si>
    <t>沈根强</t>
  </si>
  <si>
    <t>152326198102087110</t>
  </si>
  <si>
    <t>梁铁梅</t>
  </si>
  <si>
    <t>152326198102167129</t>
  </si>
  <si>
    <t>呼义热</t>
  </si>
  <si>
    <t>152326198102197125</t>
  </si>
  <si>
    <t>尹海峰</t>
  </si>
  <si>
    <t>152326198104057134</t>
  </si>
  <si>
    <t>郭白已拉</t>
  </si>
  <si>
    <t>152326198204237116</t>
  </si>
  <si>
    <t>白额尔敦宝力高</t>
  </si>
  <si>
    <t>152326198205246620</t>
  </si>
  <si>
    <t>152326198207057110</t>
  </si>
  <si>
    <t>吴勿兰</t>
  </si>
  <si>
    <t>15232619820818148X</t>
  </si>
  <si>
    <t>包力道</t>
  </si>
  <si>
    <t>152326198301097119</t>
  </si>
  <si>
    <t>胡阿古达木</t>
  </si>
  <si>
    <t>152326198308177111</t>
  </si>
  <si>
    <t>陈达日胡</t>
  </si>
  <si>
    <t>15232619831021716X</t>
  </si>
  <si>
    <t>梁满达</t>
  </si>
  <si>
    <t>152326198312177130</t>
  </si>
  <si>
    <t>宋小红</t>
  </si>
  <si>
    <t>152326198401247129</t>
  </si>
  <si>
    <t>梁义热胡</t>
  </si>
  <si>
    <t>152326198408127146</t>
  </si>
  <si>
    <t>152326198411186884</t>
  </si>
  <si>
    <t>尹宝音道图</t>
  </si>
  <si>
    <t>152326198505257137</t>
  </si>
  <si>
    <t>吴明</t>
  </si>
  <si>
    <t>152326198602187134</t>
  </si>
  <si>
    <t>高卫荣</t>
  </si>
  <si>
    <t>152326198603107124</t>
  </si>
  <si>
    <t>青梅</t>
  </si>
  <si>
    <t>152326199102037126</t>
  </si>
  <si>
    <t>高伟亮</t>
  </si>
  <si>
    <t>15232619921010711X</t>
  </si>
  <si>
    <t>其乐根</t>
  </si>
  <si>
    <t>152326199407047122</t>
  </si>
  <si>
    <t>双宝</t>
  </si>
  <si>
    <t>152326199411267136</t>
  </si>
  <si>
    <t>赵丽珍</t>
  </si>
  <si>
    <t>15280119700409278X</t>
  </si>
  <si>
    <t>青松</t>
  </si>
  <si>
    <t>152326198904047110</t>
  </si>
  <si>
    <t>赵淑娟</t>
  </si>
  <si>
    <t>152326199707037129</t>
  </si>
  <si>
    <t>152326196605077118</t>
  </si>
  <si>
    <t>李芳</t>
  </si>
  <si>
    <t>370883198304213027</t>
  </si>
  <si>
    <t>董吉如何</t>
  </si>
  <si>
    <t>152326196203157123</t>
  </si>
  <si>
    <t>152326197810107149</t>
  </si>
  <si>
    <t>勿云呼</t>
  </si>
  <si>
    <t>152326198212177117</t>
  </si>
  <si>
    <t>桂兰</t>
  </si>
  <si>
    <t>152323198504052720</t>
  </si>
  <si>
    <t>宝常清</t>
  </si>
  <si>
    <t>152326198801064102</t>
  </si>
  <si>
    <t>赵七十二</t>
  </si>
  <si>
    <t>152326198202077139</t>
  </si>
  <si>
    <t>韩根柱</t>
  </si>
  <si>
    <t>152326197611097136</t>
  </si>
  <si>
    <t>陈金风</t>
  </si>
  <si>
    <t>152222198704043149</t>
  </si>
  <si>
    <t>田布和德力根</t>
  </si>
  <si>
    <t>152326196302097111</t>
  </si>
  <si>
    <t>于宝</t>
  </si>
  <si>
    <t>152326198312147118</t>
  </si>
  <si>
    <t>吴叶</t>
  </si>
  <si>
    <t>152326198409227122</t>
  </si>
  <si>
    <t>何田小</t>
  </si>
  <si>
    <t>152326196212287149</t>
  </si>
  <si>
    <t>150426198502093265</t>
  </si>
  <si>
    <t>陈道格土仓</t>
  </si>
  <si>
    <t>15232619791105711X</t>
  </si>
  <si>
    <t>152326198409077128</t>
  </si>
  <si>
    <t>刘常明</t>
  </si>
  <si>
    <t>152326197408067118</t>
  </si>
  <si>
    <t>韩格日乐</t>
  </si>
  <si>
    <t>150525197201156888</t>
  </si>
  <si>
    <t>33000</t>
  </si>
  <si>
    <t>永安村2020年养老保险缴费名单</t>
  </si>
  <si>
    <t>永安村</t>
  </si>
  <si>
    <t>沈树文</t>
  </si>
  <si>
    <t>152326196101157130</t>
  </si>
  <si>
    <t>孟庆学</t>
  </si>
  <si>
    <t>152326196101177115</t>
  </si>
  <si>
    <t>姜凤芝</t>
  </si>
  <si>
    <t>152326196103087121</t>
  </si>
  <si>
    <t>邱玉玲</t>
  </si>
  <si>
    <t>152326196104087123</t>
  </si>
  <si>
    <t>金洪久</t>
  </si>
  <si>
    <t>152326196104217119</t>
  </si>
  <si>
    <t>孟庆海</t>
  </si>
  <si>
    <t>152326196104247115</t>
  </si>
  <si>
    <t>付充民</t>
  </si>
  <si>
    <t>152326196104307114</t>
  </si>
  <si>
    <t>孟庆祥</t>
  </si>
  <si>
    <t>152326196107077115</t>
  </si>
  <si>
    <t>152326196108177126</t>
  </si>
  <si>
    <t>焦全</t>
  </si>
  <si>
    <t>152326196108277119</t>
  </si>
  <si>
    <t>赵景和</t>
  </si>
  <si>
    <t>152326196109067113</t>
  </si>
  <si>
    <t>152326196111257127</t>
  </si>
  <si>
    <t>许洪金</t>
  </si>
  <si>
    <t>152326196111287115</t>
  </si>
  <si>
    <t>项凤和</t>
  </si>
  <si>
    <t>152326196202017110</t>
  </si>
  <si>
    <t>梁秀花</t>
  </si>
  <si>
    <t>152326196202177122</t>
  </si>
  <si>
    <t>杨玉荣</t>
  </si>
  <si>
    <t>152326196202287145</t>
  </si>
  <si>
    <t>庞凤芹</t>
  </si>
  <si>
    <t>152326196203027126</t>
  </si>
  <si>
    <t>于桂荣</t>
  </si>
  <si>
    <t>152326196203067128</t>
  </si>
  <si>
    <t>付茂杰</t>
  </si>
  <si>
    <t>152326196204047110</t>
  </si>
  <si>
    <t>152326196204057124</t>
  </si>
  <si>
    <t>侯作文</t>
  </si>
  <si>
    <t>152326196205037117</t>
  </si>
  <si>
    <t>周淑华</t>
  </si>
  <si>
    <t>152326196206037127</t>
  </si>
  <si>
    <t>荣福宝</t>
  </si>
  <si>
    <t>152326196206057136</t>
  </si>
  <si>
    <t>苏文江</t>
  </si>
  <si>
    <t>152326196206097138</t>
  </si>
  <si>
    <t>刘桂花</t>
  </si>
  <si>
    <t>15232619620617712X</t>
  </si>
  <si>
    <t>荣玉兰</t>
  </si>
  <si>
    <t>152326196209067129</t>
  </si>
  <si>
    <t>宋福霞</t>
  </si>
  <si>
    <t>152326196209147129</t>
  </si>
  <si>
    <t>陈秀玲</t>
  </si>
  <si>
    <t>152326196210027140</t>
  </si>
  <si>
    <t>152326196210067126</t>
  </si>
  <si>
    <t>邢淑英</t>
  </si>
  <si>
    <t>152326196210067142</t>
  </si>
  <si>
    <t>王庆和</t>
  </si>
  <si>
    <t>152326196301207139</t>
  </si>
  <si>
    <t>于艳玲</t>
  </si>
  <si>
    <t>152326196301287124</t>
  </si>
  <si>
    <t>李树云</t>
  </si>
  <si>
    <t>152326196302057160</t>
  </si>
  <si>
    <t>金玉国</t>
  </si>
  <si>
    <t>152326196302167116</t>
  </si>
  <si>
    <t>刘宝贵</t>
  </si>
  <si>
    <t>152326196303147117</t>
  </si>
  <si>
    <t>李桂凤</t>
  </si>
  <si>
    <t>152326196303187127</t>
  </si>
  <si>
    <t>孟庆林</t>
  </si>
  <si>
    <t>152326196304087152</t>
  </si>
  <si>
    <t>高桂花</t>
  </si>
  <si>
    <t>152326196304257123</t>
  </si>
  <si>
    <t>于桂芝</t>
  </si>
  <si>
    <t>152326196304297125</t>
  </si>
  <si>
    <t>152326196307127121</t>
  </si>
  <si>
    <t>朱桂芝</t>
  </si>
  <si>
    <t>152326196307297120</t>
  </si>
  <si>
    <t>侯作芝</t>
  </si>
  <si>
    <t>152326196401267147</t>
  </si>
  <si>
    <t>刘树霞</t>
  </si>
  <si>
    <t>152326196404127123</t>
  </si>
  <si>
    <t>王井江</t>
  </si>
  <si>
    <t>152326196404237111</t>
  </si>
  <si>
    <t>焦春</t>
  </si>
  <si>
    <t>152326196404237138</t>
  </si>
  <si>
    <t>沈树云</t>
  </si>
  <si>
    <t>152326196404247125</t>
  </si>
  <si>
    <t>岳风英</t>
  </si>
  <si>
    <t>152326196404267126</t>
  </si>
  <si>
    <t>程财</t>
  </si>
  <si>
    <t>152326196409177111</t>
  </si>
  <si>
    <t>张士芹</t>
  </si>
  <si>
    <t>152326196409197120</t>
  </si>
  <si>
    <t>许洪亮</t>
  </si>
  <si>
    <t>152326196412017119</t>
  </si>
  <si>
    <t>陈廷有</t>
  </si>
  <si>
    <t>152326196412017135</t>
  </si>
  <si>
    <t>152326196412162308</t>
  </si>
  <si>
    <t>包桂芹</t>
  </si>
  <si>
    <t>152326196501247143</t>
  </si>
  <si>
    <r>
      <rPr>
        <sz val="11"/>
        <rFont val="楷体_GB2312"/>
        <charset val="134"/>
      </rPr>
      <t>苏秀</t>
    </r>
    <r>
      <rPr>
        <sz val="11"/>
        <rFont val="宋体"/>
        <charset val="134"/>
      </rPr>
      <t>雲</t>
    </r>
  </si>
  <si>
    <t>152326196503207129</t>
  </si>
  <si>
    <t>郭存富</t>
  </si>
  <si>
    <t>152326196503227111</t>
  </si>
  <si>
    <t>于炳芝</t>
  </si>
  <si>
    <t>152326196505047122</t>
  </si>
  <si>
    <t>田树兰</t>
  </si>
  <si>
    <t>152325196508297120</t>
  </si>
  <si>
    <t>152326196509187122</t>
  </si>
  <si>
    <t>孙立芹</t>
  </si>
  <si>
    <t>152326196510077123</t>
  </si>
  <si>
    <t>金玉忠</t>
  </si>
  <si>
    <t>152326196510197117</t>
  </si>
  <si>
    <t>张川贵</t>
  </si>
  <si>
    <t>152326196511037115</t>
  </si>
  <si>
    <t>程英</t>
  </si>
  <si>
    <t>152326196511117115</t>
  </si>
  <si>
    <t>陈桂芹</t>
  </si>
  <si>
    <t>152326196511197127</t>
  </si>
  <si>
    <t>徐桂英</t>
  </si>
  <si>
    <t>152326196511217124</t>
  </si>
  <si>
    <t>宋玉芹</t>
  </si>
  <si>
    <t>152326196603247144</t>
  </si>
  <si>
    <t>杨学文</t>
  </si>
  <si>
    <t>152326196607057110</t>
  </si>
  <si>
    <t>刘保财</t>
  </si>
  <si>
    <t>152326196607197113</t>
  </si>
  <si>
    <t>杨龙</t>
  </si>
  <si>
    <t>152326196609247110</t>
  </si>
  <si>
    <t>程宝</t>
  </si>
  <si>
    <t>152326196611127118</t>
  </si>
  <si>
    <t>扶贫户</t>
  </si>
  <si>
    <t>荣富财</t>
  </si>
  <si>
    <t>152326196612077132</t>
  </si>
  <si>
    <t>沈淑艳</t>
  </si>
  <si>
    <t>152326196704017129</t>
  </si>
  <si>
    <t>宗海坤</t>
  </si>
  <si>
    <t>152326196704047117</t>
  </si>
  <si>
    <t>沈树霞</t>
  </si>
  <si>
    <t>152326196704167127</t>
  </si>
  <si>
    <t>徐桂云</t>
  </si>
  <si>
    <t>152326196705047127</t>
  </si>
  <si>
    <t>丁淑珍</t>
  </si>
  <si>
    <t>152326196707057169</t>
  </si>
  <si>
    <t>焦爱忠</t>
  </si>
  <si>
    <t>15232619670805711X</t>
  </si>
  <si>
    <t>王庆丰</t>
  </si>
  <si>
    <t>152326196708307115</t>
  </si>
  <si>
    <t>152326196710067114</t>
  </si>
  <si>
    <t>褚洪全</t>
  </si>
  <si>
    <t>152326196710177137</t>
  </si>
  <si>
    <t>岳文财</t>
  </si>
  <si>
    <t>152326196710177153</t>
  </si>
  <si>
    <t>程强</t>
  </si>
  <si>
    <t>152326196712137139</t>
  </si>
  <si>
    <t>特困人员</t>
  </si>
  <si>
    <t>敖特根其格</t>
  </si>
  <si>
    <t>152326196801087129</t>
  </si>
  <si>
    <t>杨学武</t>
  </si>
  <si>
    <t>152326196801167110</t>
  </si>
  <si>
    <t>李桂芹</t>
  </si>
  <si>
    <t>152326196801237123</t>
  </si>
  <si>
    <t>曹淑春</t>
  </si>
  <si>
    <t>15232619680302712X</t>
  </si>
  <si>
    <t>侯作先</t>
  </si>
  <si>
    <t>152326196803057118</t>
  </si>
  <si>
    <t>陈亚丽</t>
  </si>
  <si>
    <t>152326196803127120</t>
  </si>
  <si>
    <t>季学芹</t>
  </si>
  <si>
    <t>152326196805067125</t>
  </si>
  <si>
    <t>勿力吉那日拉</t>
  </si>
  <si>
    <t>152326196807057115</t>
  </si>
  <si>
    <t>金长久</t>
  </si>
  <si>
    <t>152326196807057131</t>
  </si>
  <si>
    <t>楮凤玲</t>
  </si>
  <si>
    <t>152326196808217125</t>
  </si>
  <si>
    <t>李桂玲</t>
  </si>
  <si>
    <t>152326196810107144</t>
  </si>
  <si>
    <t>温广财</t>
  </si>
  <si>
    <t>152326196902077114</t>
  </si>
  <si>
    <t>王秀荣</t>
  </si>
  <si>
    <t>15232619690228712X</t>
  </si>
  <si>
    <t>152326196903017148</t>
  </si>
  <si>
    <t>陈义军</t>
  </si>
  <si>
    <t>152326196905167131</t>
  </si>
  <si>
    <t>温广军</t>
  </si>
  <si>
    <t>152326196909217132</t>
  </si>
  <si>
    <t>焦海</t>
  </si>
  <si>
    <t>152326196909227111</t>
  </si>
  <si>
    <t>程云</t>
  </si>
  <si>
    <t>152326196910017111</t>
  </si>
  <si>
    <t>荣福志</t>
  </si>
  <si>
    <t>152326196910237114</t>
  </si>
  <si>
    <t>程起</t>
  </si>
  <si>
    <t>152326196911077116</t>
  </si>
  <si>
    <t>特困人员供养</t>
  </si>
  <si>
    <t>杨学君</t>
  </si>
  <si>
    <t>152326197001137110</t>
  </si>
  <si>
    <t>杨贵</t>
  </si>
  <si>
    <t>152326197003157115</t>
  </si>
  <si>
    <t>152326197003277125</t>
  </si>
  <si>
    <t>张国春</t>
  </si>
  <si>
    <t>152326197005147113</t>
  </si>
  <si>
    <t>152326197006177111</t>
  </si>
  <si>
    <t>赵金荣</t>
  </si>
  <si>
    <t>152326197007027123</t>
  </si>
  <si>
    <t>金国久</t>
  </si>
  <si>
    <t>152326197009307110</t>
  </si>
  <si>
    <t>张秀莲</t>
  </si>
  <si>
    <t>152326197012137124</t>
  </si>
  <si>
    <t>薛才</t>
  </si>
  <si>
    <t>152326197012287114</t>
  </si>
  <si>
    <t>王庆发</t>
  </si>
  <si>
    <t>152326197101137118</t>
  </si>
  <si>
    <t>杨丽霞</t>
  </si>
  <si>
    <t>15232619710126714X</t>
  </si>
  <si>
    <t>杨宝</t>
  </si>
  <si>
    <t>152326197103167134</t>
  </si>
  <si>
    <t>152326197104107117</t>
  </si>
  <si>
    <t>王秀苗</t>
  </si>
  <si>
    <t>152326197105207128</t>
  </si>
  <si>
    <t>金玉青</t>
  </si>
  <si>
    <t>152326197107097110</t>
  </si>
  <si>
    <t>温广有</t>
  </si>
  <si>
    <t>15232619710723711X</t>
  </si>
  <si>
    <t>邱金良</t>
  </si>
  <si>
    <t>152326197111217111</t>
  </si>
  <si>
    <t>刘宝发</t>
  </si>
  <si>
    <t>152326197111277114</t>
  </si>
  <si>
    <t>安秀丽</t>
  </si>
  <si>
    <t>152326197201017148</t>
  </si>
  <si>
    <t>李春荣</t>
  </si>
  <si>
    <t>152326197201037122</t>
  </si>
  <si>
    <t>王庆学</t>
  </si>
  <si>
    <t>152326197201257117</t>
  </si>
  <si>
    <t>董白李</t>
  </si>
  <si>
    <t>152326197204127123</t>
  </si>
  <si>
    <t>李树霞</t>
  </si>
  <si>
    <t>152326197209207149</t>
  </si>
  <si>
    <t>张建海</t>
  </si>
  <si>
    <t>152326197211207113</t>
  </si>
  <si>
    <t>杨玉梅</t>
  </si>
  <si>
    <t>152326197212017127</t>
  </si>
  <si>
    <t>吴淑红</t>
  </si>
  <si>
    <t>152326197301027124</t>
  </si>
  <si>
    <t>焦桂芬</t>
  </si>
  <si>
    <t>15232619730127714X</t>
  </si>
  <si>
    <t>李守玲</t>
  </si>
  <si>
    <t>152326197302057122</t>
  </si>
  <si>
    <t>金生久</t>
  </si>
  <si>
    <t>152326197302197117</t>
  </si>
  <si>
    <t>苏秀珍</t>
  </si>
  <si>
    <t>152326197303157125</t>
  </si>
  <si>
    <t>焦晓飞</t>
  </si>
  <si>
    <t>152326197306057111</t>
  </si>
  <si>
    <t>杨富</t>
  </si>
  <si>
    <t>152326197306177113</t>
  </si>
  <si>
    <t>范海军</t>
  </si>
  <si>
    <t>152326197306247118</t>
  </si>
  <si>
    <t>张俊</t>
  </si>
  <si>
    <t>152326197309287115</t>
  </si>
  <si>
    <t>徐彩丽</t>
  </si>
  <si>
    <t>152326197310077123</t>
  </si>
  <si>
    <t>程金</t>
  </si>
  <si>
    <t>152326197310197133</t>
  </si>
  <si>
    <t>金明军</t>
  </si>
  <si>
    <t>152326197310257116</t>
  </si>
  <si>
    <t>赵亚波</t>
  </si>
  <si>
    <t>152326197311287114</t>
  </si>
  <si>
    <t>李险萍</t>
  </si>
  <si>
    <t>152324197401285320</t>
  </si>
  <si>
    <t>金明世</t>
  </si>
  <si>
    <t>152326197403127134</t>
  </si>
  <si>
    <t>包格日乐其木格</t>
  </si>
  <si>
    <t>152326197405266867</t>
  </si>
  <si>
    <t>孟凡强</t>
  </si>
  <si>
    <t>152326197406117134</t>
  </si>
  <si>
    <t>郝继英</t>
  </si>
  <si>
    <t>152326197406147122</t>
  </si>
  <si>
    <t>王俊</t>
  </si>
  <si>
    <t>152326197406297112</t>
  </si>
  <si>
    <t>152326197406297139</t>
  </si>
  <si>
    <t>岳文路</t>
  </si>
  <si>
    <t>152326197407047115</t>
  </si>
  <si>
    <t>刘宝友</t>
  </si>
  <si>
    <t>152326197408247119</t>
  </si>
  <si>
    <t>张秀梅</t>
  </si>
  <si>
    <t>152326197409167129</t>
  </si>
  <si>
    <t>褚洪海</t>
  </si>
  <si>
    <t>152326197501237118</t>
  </si>
  <si>
    <t>高爱红</t>
  </si>
  <si>
    <t>152326197502047121</t>
  </si>
  <si>
    <t>李春兴</t>
  </si>
  <si>
    <t>15232619750204713X</t>
  </si>
  <si>
    <t>152326197503057145</t>
  </si>
  <si>
    <t>陈义文</t>
  </si>
  <si>
    <t>152326197504157113</t>
  </si>
  <si>
    <t>杨辉</t>
  </si>
  <si>
    <t>152326197506127110</t>
  </si>
  <si>
    <t>包彩梅</t>
  </si>
  <si>
    <t>152326197508057128</t>
  </si>
  <si>
    <t>焦建丽</t>
  </si>
  <si>
    <t>152326197510177129</t>
  </si>
  <si>
    <t>152326197601157131</t>
  </si>
  <si>
    <t>陈艳</t>
  </si>
  <si>
    <t>152326197602107160</t>
  </si>
  <si>
    <t>张建华</t>
  </si>
  <si>
    <t>152326197602167112</t>
  </si>
  <si>
    <t>孟繁珍</t>
  </si>
  <si>
    <t>152326197604067123</t>
  </si>
  <si>
    <t>宋奎</t>
  </si>
  <si>
    <t>152326197604077110</t>
  </si>
  <si>
    <t>尉凤兰</t>
  </si>
  <si>
    <t>152324197605280046</t>
  </si>
  <si>
    <t>杨树华</t>
  </si>
  <si>
    <t>15232619760601712X</t>
  </si>
  <si>
    <t>庞景学</t>
  </si>
  <si>
    <t>152326197606107117</t>
  </si>
  <si>
    <t>152326197608257119</t>
  </si>
  <si>
    <t>苏秀红</t>
  </si>
  <si>
    <t>152326197610127129</t>
  </si>
  <si>
    <t>石海龙</t>
  </si>
  <si>
    <t>152326197611077119</t>
  </si>
  <si>
    <t>张建伟</t>
  </si>
  <si>
    <t>152326197611247114</t>
  </si>
  <si>
    <t>佟亚丽</t>
  </si>
  <si>
    <t>152326197611287124</t>
  </si>
  <si>
    <t>杨丽艳</t>
  </si>
  <si>
    <t>152326197612227123</t>
  </si>
  <si>
    <t>赵亚庆</t>
  </si>
  <si>
    <t>152326197701047116</t>
  </si>
  <si>
    <t>152326197701062287</t>
  </si>
  <si>
    <t>吴艳辉</t>
  </si>
  <si>
    <t>152326197701177121</t>
  </si>
  <si>
    <t>于海芬</t>
  </si>
  <si>
    <t>152326197702287146</t>
  </si>
  <si>
    <t>152326197703077124</t>
  </si>
  <si>
    <t>尉凤玲</t>
  </si>
  <si>
    <t>152324197705200023</t>
  </si>
  <si>
    <t>陈小杰</t>
  </si>
  <si>
    <t>152324197707045821</t>
  </si>
  <si>
    <t>杨勇</t>
  </si>
  <si>
    <t>152326197707157113</t>
  </si>
  <si>
    <t>赵志华</t>
  </si>
  <si>
    <t>152326197707227126</t>
  </si>
  <si>
    <t>刘春香</t>
  </si>
  <si>
    <t>15232619770815714X</t>
  </si>
  <si>
    <t>温占军</t>
  </si>
  <si>
    <t>152326197709097134</t>
  </si>
  <si>
    <t>项艳青</t>
  </si>
  <si>
    <t>152326197710077122</t>
  </si>
  <si>
    <t>焦爱虎</t>
  </si>
  <si>
    <t>152326197712057117</t>
  </si>
  <si>
    <t>钟秀华</t>
  </si>
  <si>
    <t>152324197801203048</t>
  </si>
  <si>
    <t>李紫阳</t>
  </si>
  <si>
    <t>152326197802037152</t>
  </si>
  <si>
    <t>杨飞</t>
  </si>
  <si>
    <t>152326197802087117</t>
  </si>
  <si>
    <t>孟凡东</t>
  </si>
  <si>
    <t>152326197803257114</t>
  </si>
  <si>
    <t>王丽华</t>
  </si>
  <si>
    <t>152326197805137124</t>
  </si>
  <si>
    <t>152326197810017119</t>
  </si>
  <si>
    <t>包玉荣</t>
  </si>
  <si>
    <t>152326197901247163</t>
  </si>
  <si>
    <t>152326197903153582</t>
  </si>
  <si>
    <t>金玉成</t>
  </si>
  <si>
    <t>152326197904127116</t>
  </si>
  <si>
    <t>潘素杰</t>
  </si>
  <si>
    <t>152326197904266909</t>
  </si>
  <si>
    <t>王俊华</t>
  </si>
  <si>
    <t>152326197909246886</t>
  </si>
  <si>
    <t>许东升</t>
  </si>
  <si>
    <t>152326197911147115</t>
  </si>
  <si>
    <t>项艳全</t>
  </si>
  <si>
    <t>152326198001037114</t>
  </si>
  <si>
    <t>苑海茹</t>
  </si>
  <si>
    <t>152326198001171847</t>
  </si>
  <si>
    <t>庞春艳</t>
  </si>
  <si>
    <t>152326198002067147</t>
  </si>
  <si>
    <t>杨立杰</t>
  </si>
  <si>
    <t>152326198003097129</t>
  </si>
  <si>
    <t>卢宗杰</t>
  </si>
  <si>
    <t>152326198003124107</t>
  </si>
  <si>
    <t>杨立敏</t>
  </si>
  <si>
    <t>152326198003217127</t>
  </si>
  <si>
    <t>程艳龙</t>
  </si>
  <si>
    <t>15232619810203713X</t>
  </si>
  <si>
    <t>石海香</t>
  </si>
  <si>
    <t>152326198107167128</t>
  </si>
  <si>
    <t>金玉刚</t>
  </si>
  <si>
    <t>152326198108047152</t>
  </si>
  <si>
    <t>赵亚春</t>
  </si>
  <si>
    <t>152326198110117113</t>
  </si>
  <si>
    <t>杨立秀</t>
  </si>
  <si>
    <t>152326198111207129</t>
  </si>
  <si>
    <t>于立红</t>
  </si>
  <si>
    <t>152326198112197129</t>
  </si>
  <si>
    <t>许艳立</t>
  </si>
  <si>
    <t>152326198201197147</t>
  </si>
  <si>
    <t>包文净</t>
  </si>
  <si>
    <t>152326198206117126</t>
  </si>
  <si>
    <t>赵志刚</t>
  </si>
  <si>
    <t>152326198209027118</t>
  </si>
  <si>
    <t>王大成</t>
  </si>
  <si>
    <t>152326198209057157</t>
  </si>
  <si>
    <t>王立飞</t>
  </si>
  <si>
    <t>152326198209097116</t>
  </si>
  <si>
    <t>李艳红</t>
  </si>
  <si>
    <t>152326198209177124</t>
  </si>
  <si>
    <t>沈秀丽</t>
  </si>
  <si>
    <t>152326198209197125</t>
  </si>
  <si>
    <t>152326198210147117</t>
  </si>
  <si>
    <t>张建刚</t>
  </si>
  <si>
    <t>152326198212307110</t>
  </si>
  <si>
    <t>程艳鹏</t>
  </si>
  <si>
    <t>152326198301117116</t>
  </si>
  <si>
    <t>王哲</t>
  </si>
  <si>
    <t>152326198303207115</t>
  </si>
  <si>
    <t>李紫飞</t>
  </si>
  <si>
    <t>152326198303307116</t>
  </si>
  <si>
    <t>白云龙</t>
  </si>
  <si>
    <t>152326198305167137</t>
  </si>
  <si>
    <t>152326198307207112</t>
  </si>
  <si>
    <t>152326198309037145</t>
  </si>
  <si>
    <t>邱金柱</t>
  </si>
  <si>
    <t>152326198309147117</t>
  </si>
  <si>
    <t>岳强</t>
  </si>
  <si>
    <t>152326198310067114</t>
  </si>
  <si>
    <t>王坤</t>
  </si>
  <si>
    <t>152326198310177110</t>
  </si>
  <si>
    <t>张磊</t>
  </si>
  <si>
    <t>152326198310287117</t>
  </si>
  <si>
    <t>马利燕</t>
  </si>
  <si>
    <t>220722198310291645</t>
  </si>
  <si>
    <t>于海春</t>
  </si>
  <si>
    <t>152326198311027122</t>
  </si>
  <si>
    <t>152326198312087127</t>
  </si>
  <si>
    <t>郭来锁</t>
  </si>
  <si>
    <t>152326198312137139</t>
  </si>
  <si>
    <t>王猛</t>
  </si>
  <si>
    <t>15232619831215713X</t>
  </si>
  <si>
    <t>刘庆明</t>
  </si>
  <si>
    <t>152326198401077123</t>
  </si>
  <si>
    <t>赵亚鹤</t>
  </si>
  <si>
    <t>152326198402117115</t>
  </si>
  <si>
    <t>152326198402157125</t>
  </si>
  <si>
    <t>152326198406057113</t>
  </si>
  <si>
    <t>庞晓光</t>
  </si>
  <si>
    <t>152326198406287111</t>
  </si>
  <si>
    <t>张志秀</t>
  </si>
  <si>
    <t>152326198408067120</t>
  </si>
  <si>
    <t>陈丽军</t>
  </si>
  <si>
    <t>152326198410027144</t>
  </si>
  <si>
    <t>庞春红</t>
  </si>
  <si>
    <t>152326198412157129</t>
  </si>
  <si>
    <t>于雪梅</t>
  </si>
  <si>
    <t>152326198412157161</t>
  </si>
  <si>
    <t>谢海燕</t>
  </si>
  <si>
    <t>152326198502147127</t>
  </si>
  <si>
    <t>陈春艳</t>
  </si>
  <si>
    <t>152326198503067129</t>
  </si>
  <si>
    <t>孙立香</t>
  </si>
  <si>
    <t>152326198504264087</t>
  </si>
  <si>
    <t>王虎</t>
  </si>
  <si>
    <t>152326198508017112</t>
  </si>
  <si>
    <t>高景香</t>
  </si>
  <si>
    <t>152324198508151140</t>
  </si>
  <si>
    <t>庞海军</t>
  </si>
  <si>
    <t>152326198510057113</t>
  </si>
  <si>
    <t>额尔顿胡</t>
  </si>
  <si>
    <t>152326198510067127</t>
  </si>
  <si>
    <t>15232619851204712X</t>
  </si>
  <si>
    <t>金玉柱</t>
  </si>
  <si>
    <t>152326198601087115</t>
  </si>
  <si>
    <t>项艳军</t>
  </si>
  <si>
    <t>152326198603027116</t>
  </si>
  <si>
    <t>赵金枝</t>
  </si>
  <si>
    <t>152326198604127127</t>
  </si>
  <si>
    <t>于井霞</t>
  </si>
  <si>
    <t>152326198606247122</t>
  </si>
  <si>
    <t>焦晓娟</t>
  </si>
  <si>
    <t>15232619860717712X</t>
  </si>
  <si>
    <t>岳兴</t>
  </si>
  <si>
    <t>152326198610087117</t>
  </si>
  <si>
    <t>唐丽圆</t>
  </si>
  <si>
    <t>152321198611040968</t>
  </si>
  <si>
    <t>焦建国</t>
  </si>
  <si>
    <t>152326198611167119</t>
  </si>
  <si>
    <t>王丽新</t>
  </si>
  <si>
    <t>152326198703237129</t>
  </si>
  <si>
    <t>152326198706237116</t>
  </si>
  <si>
    <t>15232619870719711X</t>
  </si>
  <si>
    <t>温磊</t>
  </si>
  <si>
    <t>152326198711127114</t>
  </si>
  <si>
    <t>于东梅</t>
  </si>
  <si>
    <t>152326198711267125</t>
  </si>
  <si>
    <t>王立志</t>
  </si>
  <si>
    <t>152326198802187112</t>
  </si>
  <si>
    <t>152324198808286047</t>
  </si>
  <si>
    <t>庞春利</t>
  </si>
  <si>
    <t>152326198812167123</t>
  </si>
  <si>
    <t>范海龙</t>
  </si>
  <si>
    <t>152326198908027176</t>
  </si>
  <si>
    <t>项艳华</t>
  </si>
  <si>
    <t>152326199001167116</t>
  </si>
  <si>
    <t>王洪艳</t>
  </si>
  <si>
    <t>152326199006027120</t>
  </si>
  <si>
    <t>李春生</t>
  </si>
  <si>
    <t>152326199009077115</t>
  </si>
  <si>
    <t>焦美齐</t>
  </si>
  <si>
    <t>152326199009087129</t>
  </si>
  <si>
    <t>宗强</t>
  </si>
  <si>
    <t>152326199011027117</t>
  </si>
  <si>
    <t>王立德</t>
  </si>
  <si>
    <t>152326199201027118</t>
  </si>
  <si>
    <t>苏峰</t>
  </si>
  <si>
    <t>152326199312047111</t>
  </si>
  <si>
    <t>卢红艳</t>
  </si>
  <si>
    <t>152326199401297120</t>
  </si>
  <si>
    <t>张学成</t>
  </si>
  <si>
    <t>152326199403067118</t>
  </si>
  <si>
    <t>杨明辉</t>
  </si>
  <si>
    <t>152326199410247117</t>
  </si>
  <si>
    <t>焦双宝</t>
  </si>
  <si>
    <t>152326199510107111</t>
  </si>
  <si>
    <t>焦美玲</t>
  </si>
  <si>
    <t>152326199512307125</t>
  </si>
  <si>
    <t>李晓英</t>
  </si>
  <si>
    <t>150430199601102066</t>
  </si>
  <si>
    <t>王贺</t>
  </si>
  <si>
    <t>15232619960116711X</t>
  </si>
  <si>
    <t>152326199602177141</t>
  </si>
  <si>
    <t>杨晓全</t>
  </si>
  <si>
    <t>152326199710307118</t>
  </si>
  <si>
    <t>刘子明</t>
  </si>
  <si>
    <t>152326199803097113</t>
  </si>
  <si>
    <t>王小虎</t>
  </si>
  <si>
    <t>152326199808312273</t>
  </si>
  <si>
    <t>152326198910277123</t>
  </si>
  <si>
    <t>孟凡波</t>
  </si>
  <si>
    <t>152326197709097150</t>
  </si>
  <si>
    <t>王丹丹</t>
  </si>
  <si>
    <t>152326198503207160</t>
  </si>
  <si>
    <t>歹芳霞</t>
  </si>
  <si>
    <t>622429199001205423</t>
  </si>
  <si>
    <t>张玉花</t>
  </si>
  <si>
    <t>152324197202046327</t>
  </si>
  <si>
    <t>岳桂玲</t>
  </si>
  <si>
    <t>152326197003067144</t>
  </si>
  <si>
    <t>李风华</t>
  </si>
  <si>
    <t>152326196201247125</t>
  </si>
  <si>
    <t>太平屯村2020年养老保险缴费名单</t>
  </si>
  <si>
    <t>太平屯</t>
  </si>
  <si>
    <t>安庆华</t>
  </si>
  <si>
    <t>152326198609077149</t>
  </si>
  <si>
    <t>包彩玲</t>
  </si>
  <si>
    <t>152326197508057144</t>
  </si>
  <si>
    <t>包风</t>
  </si>
  <si>
    <t>152326196606107120</t>
  </si>
  <si>
    <t>宝金荣</t>
  </si>
  <si>
    <t>152326198312017145</t>
  </si>
  <si>
    <t>卜凡东</t>
  </si>
  <si>
    <t>152326197811157113</t>
  </si>
  <si>
    <t>卜庆春</t>
  </si>
  <si>
    <t>152326198703097111</t>
  </si>
  <si>
    <t>卜庆贺</t>
  </si>
  <si>
    <t>152326198304077113</t>
  </si>
  <si>
    <t>卜庆莉</t>
  </si>
  <si>
    <t>152326198504047146</t>
  </si>
  <si>
    <t>卜宪峰</t>
  </si>
  <si>
    <t>152326196304047118</t>
  </si>
  <si>
    <t>蔡爱丽</t>
  </si>
  <si>
    <t>152326197906047128</t>
  </si>
  <si>
    <t>蔡贺萍</t>
  </si>
  <si>
    <t>152326197212307124</t>
  </si>
  <si>
    <t>陈瑞华</t>
  </si>
  <si>
    <t>152326196410257127</t>
  </si>
  <si>
    <t>陈瑞环</t>
  </si>
  <si>
    <t>152326197109137120</t>
  </si>
  <si>
    <t>陈香</t>
  </si>
  <si>
    <t>152326197610077125</t>
  </si>
  <si>
    <t>陈延坤</t>
  </si>
  <si>
    <t>15232619781003711X</t>
  </si>
  <si>
    <t>陈延明</t>
  </si>
  <si>
    <t>15232619800710711X</t>
  </si>
  <si>
    <t>褚桂芹</t>
  </si>
  <si>
    <t>152326196102267120</t>
  </si>
  <si>
    <t>褚金花</t>
  </si>
  <si>
    <t>152326197005177128</t>
  </si>
  <si>
    <t>褚金芝</t>
  </si>
  <si>
    <t>152326198011127121</t>
  </si>
  <si>
    <t>崔犇</t>
  </si>
  <si>
    <t>152326198402187113</t>
  </si>
  <si>
    <t>崔波</t>
  </si>
  <si>
    <t>152326198012157111</t>
  </si>
  <si>
    <t>崔国玲</t>
  </si>
  <si>
    <t>152326196409137128</t>
  </si>
  <si>
    <t>残疾建档立卡</t>
  </si>
  <si>
    <t>崔辉</t>
  </si>
  <si>
    <t>152326197709157117</t>
  </si>
  <si>
    <t>崔辑</t>
  </si>
  <si>
    <t>152326198102047119</t>
  </si>
  <si>
    <t>崔军</t>
  </si>
  <si>
    <t>152326197110177111</t>
  </si>
  <si>
    <t>崔丽平</t>
  </si>
  <si>
    <t>152326197610157125</t>
  </si>
  <si>
    <t>崔利侠</t>
  </si>
  <si>
    <t>15232619731106712X</t>
  </si>
  <si>
    <t>崔素洁</t>
  </si>
  <si>
    <t>152326198005277123</t>
  </si>
  <si>
    <t>崔艳梅</t>
  </si>
  <si>
    <t>152326197909127123</t>
  </si>
  <si>
    <t>邓永梅</t>
  </si>
  <si>
    <t>152326198410081220</t>
  </si>
  <si>
    <t>丁艳新</t>
  </si>
  <si>
    <t>152326196610197122</t>
  </si>
  <si>
    <t>丁占侠</t>
  </si>
  <si>
    <t>152326196710107163</t>
  </si>
  <si>
    <t>低保残疾</t>
  </si>
  <si>
    <t>董风祥</t>
  </si>
  <si>
    <t>152326196203217114</t>
  </si>
  <si>
    <t>杜风艳</t>
  </si>
  <si>
    <t>152326197005117125</t>
  </si>
  <si>
    <t>杜军</t>
  </si>
  <si>
    <t>152326197410247118</t>
  </si>
  <si>
    <t>杜玉梅</t>
  </si>
  <si>
    <t>152326197603177128</t>
  </si>
  <si>
    <t>冯秀玲</t>
  </si>
  <si>
    <t>15232619800810712X</t>
  </si>
  <si>
    <t>付志敏</t>
  </si>
  <si>
    <t>152326198107237122</t>
  </si>
  <si>
    <t>高彩云</t>
  </si>
  <si>
    <t>152326196402187122</t>
  </si>
  <si>
    <t>高风英</t>
  </si>
  <si>
    <t>152326197302087145</t>
  </si>
  <si>
    <t>高秀华</t>
  </si>
  <si>
    <t>152324197812211422</t>
  </si>
  <si>
    <t>高秀青</t>
  </si>
  <si>
    <t>152326196609017147</t>
  </si>
  <si>
    <t>高艳慧</t>
  </si>
  <si>
    <t>152326197006277120</t>
  </si>
  <si>
    <t>152326197011167137</t>
  </si>
  <si>
    <t>高子苗</t>
  </si>
  <si>
    <t>152326198606067121</t>
  </si>
  <si>
    <t>韩殿荣</t>
  </si>
  <si>
    <t>152326197303277127</t>
  </si>
  <si>
    <t>韩殿芝</t>
  </si>
  <si>
    <t>152326198007197127</t>
  </si>
  <si>
    <t>韩树兰</t>
  </si>
  <si>
    <t>152326197109267128</t>
  </si>
  <si>
    <t>郝占霞</t>
  </si>
  <si>
    <t>152326197710267145</t>
  </si>
  <si>
    <t>郝占颖</t>
  </si>
  <si>
    <t>152326197608217133</t>
  </si>
  <si>
    <t>何海春</t>
  </si>
  <si>
    <t>15232619811011713X</t>
  </si>
  <si>
    <t>何海玲</t>
  </si>
  <si>
    <t>152326197203077128</t>
  </si>
  <si>
    <t>何海鹏</t>
  </si>
  <si>
    <t>152326197501167113</t>
  </si>
  <si>
    <t>何海艳</t>
  </si>
  <si>
    <t>152326197211127121</t>
  </si>
  <si>
    <t>胡彩侠</t>
  </si>
  <si>
    <t>152326196609097167</t>
  </si>
  <si>
    <t>152326198406017111</t>
  </si>
  <si>
    <t>胡海林</t>
  </si>
  <si>
    <t>15232619751023711X</t>
  </si>
  <si>
    <t>胡守辉</t>
  </si>
  <si>
    <t>152326197301017110</t>
  </si>
  <si>
    <t>胡守山</t>
  </si>
  <si>
    <t>152326196506167118</t>
  </si>
  <si>
    <t>胡淑萍</t>
  </si>
  <si>
    <t>152326197910197145</t>
  </si>
  <si>
    <t>胡淑清</t>
  </si>
  <si>
    <t>152326196712147126</t>
  </si>
  <si>
    <t>胡树国</t>
  </si>
  <si>
    <t>15232619770101711X</t>
  </si>
  <si>
    <t>胡艳敏</t>
  </si>
  <si>
    <t>152326198603227126</t>
  </si>
  <si>
    <t>华泽树</t>
  </si>
  <si>
    <t>152326196112017117</t>
  </si>
  <si>
    <t>华政丽</t>
  </si>
  <si>
    <t>152326197909037128</t>
  </si>
  <si>
    <t>霍占峰</t>
  </si>
  <si>
    <t>152326196509047138</t>
  </si>
  <si>
    <t>霍占龙</t>
  </si>
  <si>
    <t>152326197412307110</t>
  </si>
  <si>
    <t>霍占山</t>
  </si>
  <si>
    <t>152326197101067113</t>
  </si>
  <si>
    <t>霍占伟</t>
  </si>
  <si>
    <t>152326197211097110</t>
  </si>
  <si>
    <t>霍占先</t>
  </si>
  <si>
    <t>152326196509047111</t>
  </si>
  <si>
    <t>贾文艳</t>
  </si>
  <si>
    <t>152326196501197123</t>
  </si>
  <si>
    <t>15232619720729711X</t>
  </si>
  <si>
    <t>姜超</t>
  </si>
  <si>
    <t>152326197308107119</t>
  </si>
  <si>
    <t>姜海红</t>
  </si>
  <si>
    <t>152326197402027123</t>
  </si>
  <si>
    <t>姜建东</t>
  </si>
  <si>
    <t>152326198011017125</t>
  </si>
  <si>
    <t>姜建桥</t>
  </si>
  <si>
    <t>152326198705107133</t>
  </si>
  <si>
    <t>姜坤</t>
  </si>
  <si>
    <t>15232619620621711X</t>
  </si>
  <si>
    <t>姜猛</t>
  </si>
  <si>
    <t>15232619910802713X</t>
  </si>
  <si>
    <t>姜萍</t>
  </si>
  <si>
    <t>152326196709227125</t>
  </si>
  <si>
    <t>姜瑞</t>
  </si>
  <si>
    <t>152326196104207113</t>
  </si>
  <si>
    <t>姜淑英</t>
  </si>
  <si>
    <t>152326198207117128</t>
  </si>
  <si>
    <t>姜帅</t>
  </si>
  <si>
    <t>152326198407147110</t>
  </si>
  <si>
    <t>姜维辉</t>
  </si>
  <si>
    <t>15232619660826711X</t>
  </si>
  <si>
    <t>152326197002027140</t>
  </si>
  <si>
    <t>姜文</t>
  </si>
  <si>
    <t>152326196609277117</t>
  </si>
  <si>
    <t>姜武</t>
  </si>
  <si>
    <t>152326197006037135</t>
  </si>
  <si>
    <t>姜秀侠</t>
  </si>
  <si>
    <t>152326196411207121</t>
  </si>
  <si>
    <t>姜延龙</t>
  </si>
  <si>
    <t>152326198810017113</t>
  </si>
  <si>
    <t>蒋树玲</t>
  </si>
  <si>
    <t>152326196102147129</t>
  </si>
  <si>
    <t>金秀艳</t>
  </si>
  <si>
    <t>152326197211097129</t>
  </si>
  <si>
    <t>李风</t>
  </si>
  <si>
    <t>152326196508207152</t>
  </si>
  <si>
    <t>李风军</t>
  </si>
  <si>
    <t>152326196706297136</t>
  </si>
  <si>
    <t>李广华</t>
  </si>
  <si>
    <t>152326198208277123</t>
  </si>
  <si>
    <t>李国荣</t>
  </si>
  <si>
    <t>152326197609127148</t>
  </si>
  <si>
    <t>李合</t>
  </si>
  <si>
    <t>15232619660922711X</t>
  </si>
  <si>
    <t>李立军</t>
  </si>
  <si>
    <t>150525197111106879</t>
  </si>
  <si>
    <t>李立新</t>
  </si>
  <si>
    <t>15232619681010711X</t>
  </si>
  <si>
    <t>李美丽</t>
  </si>
  <si>
    <t>152326198305167129</t>
  </si>
  <si>
    <t>李瑞杰</t>
  </si>
  <si>
    <t>152326196908027126</t>
  </si>
  <si>
    <t>李守英</t>
  </si>
  <si>
    <t>152326196404047123</t>
  </si>
  <si>
    <t>152326197909247125</t>
  </si>
  <si>
    <t>152326198107207126</t>
  </si>
  <si>
    <t>李素芬</t>
  </si>
  <si>
    <t>152326196504047120</t>
  </si>
  <si>
    <t>李素云</t>
  </si>
  <si>
    <t>152326197102127122</t>
  </si>
  <si>
    <t>李秀琴</t>
  </si>
  <si>
    <t>152326196107047127</t>
  </si>
  <si>
    <t>李亚莲</t>
  </si>
  <si>
    <t>152326197010087127</t>
  </si>
  <si>
    <t>李延波</t>
  </si>
  <si>
    <t>15230119800902605X</t>
  </si>
  <si>
    <t>李延华</t>
  </si>
  <si>
    <t>152326197408297124</t>
  </si>
  <si>
    <t>李延玲</t>
  </si>
  <si>
    <t>152326197109017129</t>
  </si>
  <si>
    <t>李延平</t>
  </si>
  <si>
    <t>152326197708127143</t>
  </si>
  <si>
    <t>李延文</t>
  </si>
  <si>
    <t>152326197311067111</t>
  </si>
  <si>
    <t>李延武</t>
  </si>
  <si>
    <t>152326197610247112</t>
  </si>
  <si>
    <t>李延新</t>
  </si>
  <si>
    <t>152326197601037113</t>
  </si>
  <si>
    <t>李延志</t>
  </si>
  <si>
    <t>152326198108027119</t>
  </si>
  <si>
    <t>李彦博</t>
  </si>
  <si>
    <t>152326197408147150</t>
  </si>
  <si>
    <t>五保残疾</t>
  </si>
  <si>
    <t>李艳波</t>
  </si>
  <si>
    <t>152326197905067127</t>
  </si>
  <si>
    <t>152326197408207125</t>
  </si>
  <si>
    <t>李艳辉</t>
  </si>
  <si>
    <t>152326198106277122</t>
  </si>
  <si>
    <t>李艳坤</t>
  </si>
  <si>
    <t>152326197406097110</t>
  </si>
  <si>
    <t>152326197910227113</t>
  </si>
  <si>
    <t>李颖军</t>
  </si>
  <si>
    <t>152326197609124078</t>
  </si>
  <si>
    <t>李长军</t>
  </si>
  <si>
    <t>152326197704137117</t>
  </si>
  <si>
    <t>李长青</t>
  </si>
  <si>
    <t>152326197310247110</t>
  </si>
  <si>
    <t>李志琴</t>
  </si>
  <si>
    <t>152326196209067145</t>
  </si>
  <si>
    <t>李忠平</t>
  </si>
  <si>
    <t>152326197202017158</t>
  </si>
  <si>
    <t>李忠全</t>
  </si>
  <si>
    <t>152326196412287119</t>
  </si>
  <si>
    <t>李子义</t>
  </si>
  <si>
    <t>152326197907137117</t>
  </si>
  <si>
    <t>李子原</t>
  </si>
  <si>
    <t>152326197507267115</t>
  </si>
  <si>
    <t>林桂红</t>
  </si>
  <si>
    <t>152326197403097123</t>
  </si>
  <si>
    <t>林海栋</t>
  </si>
  <si>
    <t>152326197506157133</t>
  </si>
  <si>
    <t>林海蕾</t>
  </si>
  <si>
    <t>152326197504287129</t>
  </si>
  <si>
    <t>林海忠</t>
  </si>
  <si>
    <t>152326197111047116</t>
  </si>
  <si>
    <t>152326197310247137</t>
  </si>
  <si>
    <t>刘彩云</t>
  </si>
  <si>
    <t>152326196307217127</t>
  </si>
  <si>
    <t>152326196705107118</t>
  </si>
  <si>
    <t>刘丛</t>
  </si>
  <si>
    <t>152326196805297115</t>
  </si>
  <si>
    <t>刘德</t>
  </si>
  <si>
    <t>152324197803056010</t>
  </si>
  <si>
    <t>刘福金</t>
  </si>
  <si>
    <t>152326198110137114</t>
  </si>
  <si>
    <t>刘广辉</t>
  </si>
  <si>
    <t>152326198409097110</t>
  </si>
  <si>
    <t>刘广秀</t>
  </si>
  <si>
    <t>152326198112197145</t>
  </si>
  <si>
    <t>刘国文</t>
  </si>
  <si>
    <t>152326197008107117</t>
  </si>
  <si>
    <t>刘国新</t>
  </si>
  <si>
    <t>15232619740707712X</t>
  </si>
  <si>
    <t>刘海燕</t>
  </si>
  <si>
    <t>152324198009126020</t>
  </si>
  <si>
    <t>刘庆芝</t>
  </si>
  <si>
    <t>152326196208187129</t>
  </si>
  <si>
    <t>刘宪丽</t>
  </si>
  <si>
    <t>152326196711207123</t>
  </si>
  <si>
    <t>刘小新</t>
  </si>
  <si>
    <t>152326198805197121</t>
  </si>
  <si>
    <t>152326199006247123</t>
  </si>
  <si>
    <t>刘艳</t>
  </si>
  <si>
    <t>152326197808247126</t>
  </si>
  <si>
    <t>刘艳宏</t>
  </si>
  <si>
    <t>152326197203147122</t>
  </si>
  <si>
    <t>刘艳苹</t>
  </si>
  <si>
    <t>152326198108197126</t>
  </si>
  <si>
    <t>刘艳忠</t>
  </si>
  <si>
    <t>152326197509037137</t>
  </si>
  <si>
    <t>刘玉芳</t>
  </si>
  <si>
    <t>15232619720526711X</t>
  </si>
  <si>
    <t>刘玉峰</t>
  </si>
  <si>
    <t>15232619790428711X</t>
  </si>
  <si>
    <t>刘玉兰</t>
  </si>
  <si>
    <t>152326196309097149</t>
  </si>
  <si>
    <t>刘玉青</t>
  </si>
  <si>
    <t>152326196702017133</t>
  </si>
  <si>
    <t>刘振国</t>
  </si>
  <si>
    <t>152326197107017133</t>
  </si>
  <si>
    <t>刘志国</t>
  </si>
  <si>
    <t>152326198103127110</t>
  </si>
  <si>
    <t>刘志军</t>
  </si>
  <si>
    <t>152326197201157132</t>
  </si>
  <si>
    <t>152326197411297117</t>
  </si>
  <si>
    <t>刘志坤</t>
  </si>
  <si>
    <t>152326198210057111</t>
  </si>
  <si>
    <t>刘志玲</t>
  </si>
  <si>
    <t>152326198110117121</t>
  </si>
  <si>
    <t>152326198501087118</t>
  </si>
  <si>
    <t>刘志荧</t>
  </si>
  <si>
    <t>152326197908037134</t>
  </si>
  <si>
    <t>刘志勇</t>
  </si>
  <si>
    <t>152326198311187118</t>
  </si>
  <si>
    <t>陆风琴</t>
  </si>
  <si>
    <t>152326196502097124</t>
  </si>
  <si>
    <t>陆香华</t>
  </si>
  <si>
    <t>152326197202067120</t>
  </si>
  <si>
    <t>陆续华</t>
  </si>
  <si>
    <t>152326196909047129</t>
  </si>
  <si>
    <t>吕海堂</t>
  </si>
  <si>
    <t>152326196910247144</t>
  </si>
  <si>
    <t>马才</t>
  </si>
  <si>
    <t>152326196109247114</t>
  </si>
  <si>
    <t>马风霞</t>
  </si>
  <si>
    <t>152326196708247124</t>
  </si>
  <si>
    <t>马清龙</t>
  </si>
  <si>
    <t>152326198910207133</t>
  </si>
  <si>
    <t>马清余</t>
  </si>
  <si>
    <t>152326198506087117</t>
  </si>
  <si>
    <t>马喜红</t>
  </si>
  <si>
    <t>150525197601046880</t>
  </si>
  <si>
    <t>马喜军</t>
  </si>
  <si>
    <t>152326197004187156</t>
  </si>
  <si>
    <t>马喜玲</t>
  </si>
  <si>
    <t>150525197302036885</t>
  </si>
  <si>
    <t>马喜民</t>
  </si>
  <si>
    <t>150525197211046877</t>
  </si>
  <si>
    <t>马喜山</t>
  </si>
  <si>
    <t>152326196705087110</t>
  </si>
  <si>
    <t>马喜文</t>
  </si>
  <si>
    <t>152326197110177154</t>
  </si>
  <si>
    <t>马喜艳</t>
  </si>
  <si>
    <t>152326197401067123</t>
  </si>
  <si>
    <t>马喜中</t>
  </si>
  <si>
    <t>152326196910087136</t>
  </si>
  <si>
    <t>马玉萍</t>
  </si>
  <si>
    <t>152326196402027129</t>
  </si>
  <si>
    <t>马云芹</t>
  </si>
  <si>
    <t>152326196706297144</t>
  </si>
  <si>
    <t>马振英</t>
  </si>
  <si>
    <t>152326196901037129</t>
  </si>
  <si>
    <t>孟凡姝</t>
  </si>
  <si>
    <t>152326197212027122</t>
  </si>
  <si>
    <t>孟庆梅</t>
  </si>
  <si>
    <t>152326197004077125</t>
  </si>
  <si>
    <t>齐彩侠</t>
  </si>
  <si>
    <t>152326196707057126</t>
  </si>
  <si>
    <t>齐彩珍</t>
  </si>
  <si>
    <t>15232619640401716X</t>
  </si>
  <si>
    <t>齐学杰</t>
  </si>
  <si>
    <t>15232619730126711X</t>
  </si>
  <si>
    <t>齐学立</t>
  </si>
  <si>
    <t>152326197802207123</t>
  </si>
  <si>
    <t>齐学全</t>
  </si>
  <si>
    <t>15232619740623711X</t>
  </si>
  <si>
    <t>齐学英</t>
  </si>
  <si>
    <t>152326198010067120</t>
  </si>
  <si>
    <t>齐艳军</t>
  </si>
  <si>
    <t>152326196808127154</t>
  </si>
  <si>
    <t>齐艳梅</t>
  </si>
  <si>
    <t>152326197111157120</t>
  </si>
  <si>
    <t>齐艳新</t>
  </si>
  <si>
    <t>152326197809057148</t>
  </si>
  <si>
    <t>齐振英</t>
  </si>
  <si>
    <t>152326196504097128</t>
  </si>
  <si>
    <t>秦玉珍</t>
  </si>
  <si>
    <t>152326196112287125</t>
  </si>
  <si>
    <t>秦玉芝</t>
  </si>
  <si>
    <t>152326197104037120</t>
  </si>
  <si>
    <t>尚国荣</t>
  </si>
  <si>
    <t>152326196305267120</t>
  </si>
  <si>
    <t>邵风侠</t>
  </si>
  <si>
    <t>152326197611307121</t>
  </si>
  <si>
    <t>邵桂芹</t>
  </si>
  <si>
    <t>152326197005067121</t>
  </si>
  <si>
    <t>邵国刚</t>
  </si>
  <si>
    <t>152326197408207117</t>
  </si>
  <si>
    <t>邵国江</t>
  </si>
  <si>
    <t>152326196709187135</t>
  </si>
  <si>
    <t>邵国军</t>
  </si>
  <si>
    <t>152326196910177115</t>
  </si>
  <si>
    <t>邵国先</t>
  </si>
  <si>
    <t>152326196905067114</t>
  </si>
  <si>
    <t>邵国友</t>
  </si>
  <si>
    <t>152326197911117119</t>
  </si>
  <si>
    <t>邵金玲</t>
  </si>
  <si>
    <t>152326199208247121</t>
  </si>
  <si>
    <t>申桂侠</t>
  </si>
  <si>
    <t>152326196508157140</t>
  </si>
  <si>
    <t>申桂云</t>
  </si>
  <si>
    <t>152326197011017120</t>
  </si>
  <si>
    <t>申久红</t>
  </si>
  <si>
    <t>152326197102247124</t>
  </si>
  <si>
    <t>申玉华</t>
  </si>
  <si>
    <t>150525197205106888</t>
  </si>
  <si>
    <t>石风青</t>
  </si>
  <si>
    <t>152326197703277169</t>
  </si>
  <si>
    <t>宋风香</t>
  </si>
  <si>
    <t>152326196210237121</t>
  </si>
  <si>
    <t>宋华</t>
  </si>
  <si>
    <t>152326197512267128</t>
  </si>
  <si>
    <t>宋亚茹</t>
  </si>
  <si>
    <t>152326198301077126</t>
  </si>
  <si>
    <t>苏秀梅</t>
  </si>
  <si>
    <t>152326196706077125</t>
  </si>
  <si>
    <t>苏秀敏</t>
  </si>
  <si>
    <t>152326196202067126</t>
  </si>
  <si>
    <t>孙凤芝</t>
  </si>
  <si>
    <t>152326196905296902</t>
  </si>
  <si>
    <t>孙桂英</t>
  </si>
  <si>
    <t>152326197210067120</t>
  </si>
  <si>
    <t>孙国宝</t>
  </si>
  <si>
    <t>152326198703157110</t>
  </si>
  <si>
    <t>孙国莉</t>
  </si>
  <si>
    <t>152326198208177122</t>
  </si>
  <si>
    <t>孙国强</t>
  </si>
  <si>
    <t>152326198312087119</t>
  </si>
  <si>
    <t>孙连波</t>
  </si>
  <si>
    <t>152326197210027110</t>
  </si>
  <si>
    <t>孙连峰</t>
  </si>
  <si>
    <t>152326196507147119</t>
  </si>
  <si>
    <t>孙连海</t>
  </si>
  <si>
    <t>152326196802137132</t>
  </si>
  <si>
    <t>孙连华</t>
  </si>
  <si>
    <t>152326196711097120</t>
  </si>
  <si>
    <t>孙连江</t>
  </si>
  <si>
    <t>152326196211277117</t>
  </si>
  <si>
    <t>孙连坤</t>
  </si>
  <si>
    <t>152326197005167114</t>
  </si>
  <si>
    <t>孙连生</t>
  </si>
  <si>
    <t>152326197601267111</t>
  </si>
  <si>
    <t>孙连文</t>
  </si>
  <si>
    <t>152326196211217114</t>
  </si>
  <si>
    <t>孙连友</t>
  </si>
  <si>
    <t>152326196602147117</t>
  </si>
  <si>
    <t>孙连悦</t>
  </si>
  <si>
    <t>152326197410267119</t>
  </si>
  <si>
    <t>孙龙明</t>
  </si>
  <si>
    <t>15232619620920711X</t>
  </si>
  <si>
    <t>孙龙全</t>
  </si>
  <si>
    <t>152326196807267112</t>
  </si>
  <si>
    <t>152326197802047115</t>
  </si>
  <si>
    <t>孙亚芹</t>
  </si>
  <si>
    <t>152326196409187125</t>
  </si>
  <si>
    <t>孙亚琴</t>
  </si>
  <si>
    <t>152326197301047141</t>
  </si>
  <si>
    <t>谭淑晶</t>
  </si>
  <si>
    <t>152326197012257142</t>
  </si>
  <si>
    <t>谭淑萍</t>
  </si>
  <si>
    <t>152326196708307123</t>
  </si>
  <si>
    <t>谭淑艳</t>
  </si>
  <si>
    <t>152326196604177125</t>
  </si>
  <si>
    <t>谭树华</t>
  </si>
  <si>
    <t>152326196509067112</t>
  </si>
  <si>
    <t>陶亚楠</t>
  </si>
  <si>
    <t>152326198709037128</t>
  </si>
  <si>
    <t>陶玉华</t>
  </si>
  <si>
    <t>152326197610107160</t>
  </si>
  <si>
    <t>田春龙</t>
  </si>
  <si>
    <t>152326197601057114</t>
  </si>
  <si>
    <t>田密峰</t>
  </si>
  <si>
    <t>152326196101097115</t>
  </si>
  <si>
    <t>田密海</t>
  </si>
  <si>
    <t>152326196901037110</t>
  </si>
  <si>
    <t>田密金</t>
  </si>
  <si>
    <t>152326196110177117</t>
  </si>
  <si>
    <t>田密京</t>
  </si>
  <si>
    <t>152326197105067137</t>
  </si>
  <si>
    <t>田密武</t>
  </si>
  <si>
    <t>152326196510097116</t>
  </si>
  <si>
    <t>田密学</t>
  </si>
  <si>
    <t>152326197005107111</t>
  </si>
  <si>
    <t>田文波</t>
  </si>
  <si>
    <t>152326198307267115</t>
  </si>
  <si>
    <t>田文飞</t>
  </si>
  <si>
    <t>152326199110297147</t>
  </si>
  <si>
    <t>田文通</t>
  </si>
  <si>
    <t>152326199201127119</t>
  </si>
  <si>
    <t>田永红</t>
  </si>
  <si>
    <t>152326198009227123</t>
  </si>
  <si>
    <t>佟永玲</t>
  </si>
  <si>
    <t>15232619720711714X</t>
  </si>
  <si>
    <t>152326197202067139</t>
  </si>
  <si>
    <t>王福刚</t>
  </si>
  <si>
    <t>152326197602067111</t>
  </si>
  <si>
    <t>王福民</t>
  </si>
  <si>
    <t>152326197803097114</t>
  </si>
  <si>
    <t>152326197603267115</t>
  </si>
  <si>
    <t>152326197309057133</t>
  </si>
  <si>
    <t>王海娟</t>
  </si>
  <si>
    <t>152326198407207128</t>
  </si>
  <si>
    <t>王海昆</t>
  </si>
  <si>
    <t>152326197808297115</t>
  </si>
  <si>
    <t>152326197511127123</t>
  </si>
  <si>
    <t>152326198008247122</t>
  </si>
  <si>
    <t>412824196610083529</t>
  </si>
  <si>
    <t>152326196307057119</t>
  </si>
  <si>
    <t>152326196107107118</t>
  </si>
  <si>
    <t>王丽凤</t>
  </si>
  <si>
    <t>152326197609087123</t>
  </si>
  <si>
    <t>王丽民</t>
  </si>
  <si>
    <t>15232619741108711X</t>
  </si>
  <si>
    <t>王丽香</t>
  </si>
  <si>
    <t>152326196802017122</t>
  </si>
  <si>
    <t>王利奎</t>
  </si>
  <si>
    <t>152326197206027134</t>
  </si>
  <si>
    <t>王利强</t>
  </si>
  <si>
    <t>152326197510037118</t>
  </si>
  <si>
    <t>152326198108147110</t>
  </si>
  <si>
    <t>王利新</t>
  </si>
  <si>
    <t>152326197111287128</t>
  </si>
  <si>
    <t>王秋燕</t>
  </si>
  <si>
    <t>152326198408234080</t>
  </si>
  <si>
    <t>王少梅</t>
  </si>
  <si>
    <t>152326198710207147</t>
  </si>
  <si>
    <t>王绍军</t>
  </si>
  <si>
    <t>152326196906197113</t>
  </si>
  <si>
    <t>王绍柱</t>
  </si>
  <si>
    <t>152326196111077118</t>
  </si>
  <si>
    <t>王淑世</t>
  </si>
  <si>
    <t>150525197207036887</t>
  </si>
  <si>
    <t>王小军</t>
  </si>
  <si>
    <t>152326197301047117</t>
  </si>
  <si>
    <t>王秀芳</t>
  </si>
  <si>
    <t>152326196807237124</t>
  </si>
  <si>
    <t>152326198910274109</t>
  </si>
  <si>
    <t>王秀琴</t>
  </si>
  <si>
    <t>152326196212127129</t>
  </si>
  <si>
    <t>152326196301227121</t>
  </si>
  <si>
    <t>王亚青</t>
  </si>
  <si>
    <t>152326196309097165</t>
  </si>
  <si>
    <t>152326197905212283</t>
  </si>
  <si>
    <t>王玉侠</t>
  </si>
  <si>
    <t>152326196111097127</t>
  </si>
  <si>
    <t>王照先</t>
  </si>
  <si>
    <t>152326197710137164</t>
  </si>
  <si>
    <t>152326198104237119</t>
  </si>
  <si>
    <t>王志彬</t>
  </si>
  <si>
    <t>15232619710405713X</t>
  </si>
  <si>
    <t>152326198307057118</t>
  </si>
  <si>
    <t>王志会</t>
  </si>
  <si>
    <t>152326196612207136</t>
  </si>
  <si>
    <t>魏国侠</t>
  </si>
  <si>
    <t>152326196404087125</t>
  </si>
  <si>
    <t>魏立华</t>
  </si>
  <si>
    <t>152326198902017110</t>
  </si>
  <si>
    <t>魏利春</t>
  </si>
  <si>
    <t>152326198402137116</t>
  </si>
  <si>
    <t>魏喜才</t>
  </si>
  <si>
    <t>152326196206077110</t>
  </si>
  <si>
    <t>魏喜成</t>
  </si>
  <si>
    <t>152326197101017116</t>
  </si>
  <si>
    <t>魏喜全</t>
  </si>
  <si>
    <t>152326196407237117</t>
  </si>
  <si>
    <t>152326196603037120</t>
  </si>
  <si>
    <t>武风玲</t>
  </si>
  <si>
    <t>152326197010177149</t>
  </si>
  <si>
    <t>项风琴</t>
  </si>
  <si>
    <t>152326196207107123</t>
  </si>
  <si>
    <t>肖蝉合</t>
  </si>
  <si>
    <t>152326196103187114</t>
  </si>
  <si>
    <t>肖敬维</t>
  </si>
  <si>
    <t>152326197405277128</t>
  </si>
  <si>
    <t>肖树军</t>
  </si>
  <si>
    <t>152326197309217133</t>
  </si>
  <si>
    <t>肖树坤</t>
  </si>
  <si>
    <t>152326197905147135</t>
  </si>
  <si>
    <t>肖树文</t>
  </si>
  <si>
    <t>152326197411207118</t>
  </si>
  <si>
    <t>辛风刚</t>
  </si>
  <si>
    <t>152326197310017112</t>
  </si>
  <si>
    <t>辛风国</t>
  </si>
  <si>
    <t>152326197104207134</t>
  </si>
  <si>
    <t>辛风林</t>
  </si>
  <si>
    <t>152326196507027117</t>
  </si>
  <si>
    <t>辛风武</t>
  </si>
  <si>
    <t>152326196802117115</t>
  </si>
  <si>
    <t>辛红</t>
  </si>
  <si>
    <t>152326198705127126</t>
  </si>
  <si>
    <t>辛建花</t>
  </si>
  <si>
    <t>152326197403037120</t>
  </si>
  <si>
    <t>辛建军</t>
  </si>
  <si>
    <t>152326197604187117</t>
  </si>
  <si>
    <t>辛建志</t>
  </si>
  <si>
    <t>152326198712047116</t>
  </si>
  <si>
    <t>辛建忠</t>
  </si>
  <si>
    <t>152326198209277117</t>
  </si>
  <si>
    <t>辛伟</t>
  </si>
  <si>
    <t>152326198908027133</t>
  </si>
  <si>
    <t>辛志慧</t>
  </si>
  <si>
    <t>152326197104027141</t>
  </si>
  <si>
    <t>徐凤侠</t>
  </si>
  <si>
    <t>152326196305207144</t>
  </si>
  <si>
    <t>徐广茹</t>
  </si>
  <si>
    <t>152326197211187140</t>
  </si>
  <si>
    <t>徐文江</t>
  </si>
  <si>
    <t>15232619630619711X</t>
  </si>
  <si>
    <t>徐文军</t>
  </si>
  <si>
    <t>152326196901197157</t>
  </si>
  <si>
    <t>徐文贤</t>
  </si>
  <si>
    <t>152326196302107121</t>
  </si>
  <si>
    <t>徐长青</t>
  </si>
  <si>
    <t>152326197001027114</t>
  </si>
  <si>
    <t>薛艳梅</t>
  </si>
  <si>
    <t>152326197112107125</t>
  </si>
  <si>
    <t>闫淑芬</t>
  </si>
  <si>
    <t>152326197008127126</t>
  </si>
  <si>
    <t>闫玉芹</t>
  </si>
  <si>
    <t>152326196502057122</t>
  </si>
  <si>
    <t>严玉侠</t>
  </si>
  <si>
    <t>15232619630118714X</t>
  </si>
  <si>
    <t>杨丽娟</t>
  </si>
  <si>
    <t>152326196208067127</t>
  </si>
  <si>
    <t>152326197601087129</t>
  </si>
  <si>
    <t>杨学民</t>
  </si>
  <si>
    <t>152326196304157114</t>
  </si>
  <si>
    <t>152326197304187115</t>
  </si>
  <si>
    <t>尹秀军</t>
  </si>
  <si>
    <t>152326197701267119</t>
  </si>
  <si>
    <t>尹秀艳</t>
  </si>
  <si>
    <t>152326197609117126</t>
  </si>
  <si>
    <t>于金叶</t>
  </si>
  <si>
    <t>152326196810117123</t>
  </si>
  <si>
    <t>于井华</t>
  </si>
  <si>
    <t>152326197408137147</t>
  </si>
  <si>
    <t>于景春</t>
  </si>
  <si>
    <t>152326197811217120</t>
  </si>
  <si>
    <t>于景花</t>
  </si>
  <si>
    <t>152326197511147140</t>
  </si>
  <si>
    <t>于丽</t>
  </si>
  <si>
    <t>150525199403206889</t>
  </si>
  <si>
    <t>152326197110217128</t>
  </si>
  <si>
    <t>于兆荣</t>
  </si>
  <si>
    <t>152326196208097123</t>
  </si>
  <si>
    <t>袁亚苓</t>
  </si>
  <si>
    <t>152326197208277129</t>
  </si>
  <si>
    <t>岳凤英</t>
  </si>
  <si>
    <t>152326196204167147</t>
  </si>
  <si>
    <t>张宝晨</t>
  </si>
  <si>
    <t>152326197408067134</t>
  </si>
  <si>
    <t>张宝恒</t>
  </si>
  <si>
    <t>152326196110157116</t>
  </si>
  <si>
    <t>张波</t>
  </si>
  <si>
    <t>152326198106157155</t>
  </si>
  <si>
    <t>张风起</t>
  </si>
  <si>
    <t>152326198003257110</t>
  </si>
  <si>
    <t>张凤兰</t>
  </si>
  <si>
    <t>152326196812087124</t>
  </si>
  <si>
    <t>张凤山</t>
  </si>
  <si>
    <t>152326196410257135</t>
  </si>
  <si>
    <t>张富</t>
  </si>
  <si>
    <t>152326196301067113</t>
  </si>
  <si>
    <t>152326197108177120</t>
  </si>
  <si>
    <t>152326197308167111</t>
  </si>
  <si>
    <t>张国军</t>
  </si>
  <si>
    <t>152326197502147114</t>
  </si>
  <si>
    <t>张国强</t>
  </si>
  <si>
    <t>152326197712127111</t>
  </si>
  <si>
    <t>张国忠</t>
  </si>
  <si>
    <t>152326196206097111</t>
  </si>
  <si>
    <t>152326197505047119</t>
  </si>
  <si>
    <t>张海娟</t>
  </si>
  <si>
    <t>152326197509187127</t>
  </si>
  <si>
    <t>张海荣</t>
  </si>
  <si>
    <t>152326196712217120</t>
  </si>
  <si>
    <t>张海雨</t>
  </si>
  <si>
    <t>152326197609137127</t>
  </si>
  <si>
    <t>152326197403107117</t>
  </si>
  <si>
    <t>152326196812187125</t>
  </si>
  <si>
    <t>张科</t>
  </si>
  <si>
    <t>152326197105207136</t>
  </si>
  <si>
    <t>张立刚</t>
  </si>
  <si>
    <t>152326197908147130</t>
  </si>
  <si>
    <t>张立国</t>
  </si>
  <si>
    <t>152326197911087116</t>
  </si>
  <si>
    <t>15232619791009711X</t>
  </si>
  <si>
    <t>152326197602107128</t>
  </si>
  <si>
    <t>152326197708197125</t>
  </si>
  <si>
    <t>张丽坤</t>
  </si>
  <si>
    <t>15232619891210711X</t>
  </si>
  <si>
    <t>张丽梅</t>
  </si>
  <si>
    <t>152326197802197121</t>
  </si>
  <si>
    <t>张丽文</t>
  </si>
  <si>
    <t>152326198002097119</t>
  </si>
  <si>
    <t>张利志</t>
  </si>
  <si>
    <t>15232619670215711X</t>
  </si>
  <si>
    <t>张明亮</t>
  </si>
  <si>
    <t>152222198202133144</t>
  </si>
  <si>
    <t>张荣丽</t>
  </si>
  <si>
    <t>152326198708197146</t>
  </si>
  <si>
    <t>152326197410077120</t>
  </si>
  <si>
    <t>张淑娟</t>
  </si>
  <si>
    <t>152326196911187120</t>
  </si>
  <si>
    <t>张淑梅</t>
  </si>
  <si>
    <t>152326197208127120</t>
  </si>
  <si>
    <t>张淑英</t>
  </si>
  <si>
    <t>152326196202107124</t>
  </si>
  <si>
    <t>张树艳</t>
  </si>
  <si>
    <t>152326197911207122</t>
  </si>
  <si>
    <t>张涛</t>
  </si>
  <si>
    <t>152326198301107110</t>
  </si>
  <si>
    <t>张文</t>
  </si>
  <si>
    <t>152326196610207116</t>
  </si>
  <si>
    <t>张秀芳</t>
  </si>
  <si>
    <t>152326197209107121</t>
  </si>
  <si>
    <t>张秀华</t>
  </si>
  <si>
    <t>152326197107107120</t>
  </si>
  <si>
    <t>张秀娟</t>
  </si>
  <si>
    <t>152326198308297121</t>
  </si>
  <si>
    <t>152326197510257129</t>
  </si>
  <si>
    <t>152326198111247120</t>
  </si>
  <si>
    <t>152326197309237118</t>
  </si>
  <si>
    <t>张雪飞</t>
  </si>
  <si>
    <t>152326198711167116</t>
  </si>
  <si>
    <t>张艳</t>
  </si>
  <si>
    <t>152326197106097127</t>
  </si>
  <si>
    <t>152326198101157121</t>
  </si>
  <si>
    <t>张永生</t>
  </si>
  <si>
    <t>152326198602267118</t>
  </si>
  <si>
    <t>152326196608177114</t>
  </si>
  <si>
    <t>张玉江</t>
  </si>
  <si>
    <t>152326196109087130</t>
  </si>
  <si>
    <t>张玉明</t>
  </si>
  <si>
    <t>152326197110107113</t>
  </si>
  <si>
    <t>张玉琦</t>
  </si>
  <si>
    <t>152326196401247111</t>
  </si>
  <si>
    <t>张玉强</t>
  </si>
  <si>
    <t>152326197410207132</t>
  </si>
  <si>
    <t>张玉双</t>
  </si>
  <si>
    <t>152326197002167119</t>
  </si>
  <si>
    <t>张玉学</t>
  </si>
  <si>
    <t>15232619670201715X</t>
  </si>
  <si>
    <t>张长顺</t>
  </si>
  <si>
    <t>152326198110057122</t>
  </si>
  <si>
    <t>张振华</t>
  </si>
  <si>
    <t>152326197810177120</t>
  </si>
  <si>
    <t>张忠</t>
  </si>
  <si>
    <t>152326197009087138</t>
  </si>
  <si>
    <t>张忠国</t>
  </si>
  <si>
    <t>152326197001067116</t>
  </si>
  <si>
    <t>张忠友</t>
  </si>
  <si>
    <t>152326196506037110</t>
  </si>
  <si>
    <t>赵海山</t>
  </si>
  <si>
    <t>152326196808237134</t>
  </si>
  <si>
    <t>赵胜军</t>
  </si>
  <si>
    <t>152326197612067115</t>
  </si>
  <si>
    <t>赵胜利</t>
  </si>
  <si>
    <t>152326196501047117</t>
  </si>
  <si>
    <t>152326196310277120</t>
  </si>
  <si>
    <t>郑权</t>
  </si>
  <si>
    <t>152326197508067115</t>
  </si>
  <si>
    <t>郑学</t>
  </si>
  <si>
    <t>152326197201067110</t>
  </si>
  <si>
    <t>郑玉红</t>
  </si>
  <si>
    <t>152326197101077127</t>
  </si>
  <si>
    <t>郑玉莲</t>
  </si>
  <si>
    <t>152326197003227128</t>
  </si>
  <si>
    <t>周宝珍</t>
  </si>
  <si>
    <t>152326197209027121</t>
  </si>
  <si>
    <t>周风梅</t>
  </si>
  <si>
    <t>152326196402157126</t>
  </si>
  <si>
    <t>周福丛</t>
  </si>
  <si>
    <t>15232619691120711X</t>
  </si>
  <si>
    <t>周福军</t>
  </si>
  <si>
    <t>152326196808287115</t>
  </si>
  <si>
    <t>周福来</t>
  </si>
  <si>
    <t>152326197011197133</t>
  </si>
  <si>
    <t>周福玉</t>
  </si>
  <si>
    <t>152326196106197115</t>
  </si>
  <si>
    <t>周桂玲</t>
  </si>
  <si>
    <t>152326196612207128</t>
  </si>
  <si>
    <t>周行</t>
  </si>
  <si>
    <t>152326199210037115</t>
  </si>
  <si>
    <t>周辉</t>
  </si>
  <si>
    <t>152326197911157110</t>
  </si>
  <si>
    <t>152326196312057121</t>
  </si>
  <si>
    <t>152326198304287129</t>
  </si>
  <si>
    <t>周龙</t>
  </si>
  <si>
    <t>152326199110227114</t>
  </si>
  <si>
    <t>周明</t>
  </si>
  <si>
    <t>152326197602117131</t>
  </si>
  <si>
    <t>周文</t>
  </si>
  <si>
    <t>152326197501227112</t>
  </si>
  <si>
    <t>周晓光</t>
  </si>
  <si>
    <t>152326197404087111</t>
  </si>
  <si>
    <t>周晓昆</t>
  </si>
  <si>
    <t>152326197902157119</t>
  </si>
  <si>
    <t>周晓莉</t>
  </si>
  <si>
    <t>152326198002267122</t>
  </si>
  <si>
    <t>朱青云</t>
  </si>
  <si>
    <t>152326197009117122</t>
  </si>
  <si>
    <t>华政海</t>
  </si>
  <si>
    <t>152326198104287132</t>
  </si>
  <si>
    <t>谭桂生</t>
  </si>
  <si>
    <t>152326196802287114</t>
  </si>
  <si>
    <t>于连芝</t>
  </si>
  <si>
    <t>152326197102017126</t>
  </si>
  <si>
    <t>邵敏</t>
  </si>
  <si>
    <t>15232719820312292X</t>
  </si>
  <si>
    <t>陈双喜</t>
  </si>
  <si>
    <t>15232619810310711X</t>
  </si>
  <si>
    <t>于春辉</t>
  </si>
  <si>
    <t>152326199306297122</t>
  </si>
  <si>
    <t>刘国峰</t>
  </si>
  <si>
    <t>152326196110097133</t>
  </si>
  <si>
    <t>李海霞</t>
  </si>
  <si>
    <t>150421197511097026</t>
  </si>
  <si>
    <t>徐小明</t>
  </si>
  <si>
    <t>152326199701147116</t>
  </si>
  <si>
    <t>辛建璋</t>
  </si>
  <si>
    <t>152326198311017135</t>
  </si>
  <si>
    <t>石海萍</t>
  </si>
  <si>
    <t>152326198211247128</t>
  </si>
  <si>
    <t>152326198308257111</t>
  </si>
  <si>
    <t>刘燕伟</t>
  </si>
  <si>
    <t>152326198412227123</t>
  </si>
  <si>
    <t>张永波</t>
  </si>
  <si>
    <t>152326198512217117</t>
  </si>
  <si>
    <t>赵丽</t>
  </si>
  <si>
    <t>15232419780215142X</t>
  </si>
  <si>
    <t>邵成龙</t>
  </si>
  <si>
    <t>152326200104297111</t>
  </si>
  <si>
    <t>牟宪峰</t>
  </si>
  <si>
    <t>152326197002017153</t>
  </si>
  <si>
    <t>林海祥</t>
  </si>
  <si>
    <t>152326196609187111</t>
  </si>
  <si>
    <t>152326196701027145</t>
  </si>
  <si>
    <t>齐艳青</t>
  </si>
  <si>
    <t>152326197705127113</t>
  </si>
  <si>
    <t>贾文龙</t>
  </si>
  <si>
    <t>152326198112067113</t>
  </si>
  <si>
    <t>辛龙</t>
  </si>
  <si>
    <t>152326198001287113</t>
  </si>
  <si>
    <t>张增宝</t>
  </si>
  <si>
    <t>15232619950102711X</t>
  </si>
  <si>
    <t>张建英</t>
  </si>
  <si>
    <t>230230196201180749</t>
  </si>
  <si>
    <t>李守信</t>
  </si>
  <si>
    <t>152326196708097111</t>
  </si>
  <si>
    <t>于春梅</t>
  </si>
  <si>
    <t>152326198502287146</t>
  </si>
  <si>
    <t>陈建卫</t>
  </si>
  <si>
    <t>152326198509047110</t>
  </si>
  <si>
    <t>赵玉荣</t>
  </si>
  <si>
    <t>15232619650306712X</t>
  </si>
  <si>
    <t>陈玉申</t>
  </si>
  <si>
    <t>152326196311257113</t>
  </si>
  <si>
    <t>米金华</t>
  </si>
  <si>
    <t>152326198412037127</t>
  </si>
  <si>
    <t>李桂保</t>
  </si>
  <si>
    <t>152326198308017118</t>
  </si>
  <si>
    <t>吕美南</t>
  </si>
  <si>
    <t>152326199006107120</t>
  </si>
  <si>
    <t>孙国庆</t>
  </si>
  <si>
    <t>152326199103277113</t>
  </si>
  <si>
    <t>胡树文</t>
  </si>
  <si>
    <t>152326197903087116</t>
  </si>
  <si>
    <t>李东</t>
  </si>
  <si>
    <t>152326198607047114</t>
  </si>
  <si>
    <t>张玥</t>
  </si>
  <si>
    <t>152326200104307121</t>
  </si>
  <si>
    <t>项亚茹</t>
  </si>
  <si>
    <t>152326199503187125</t>
  </si>
  <si>
    <t>华玉宣</t>
  </si>
  <si>
    <t>15232619800921711X</t>
  </si>
  <si>
    <t>姜淑艳</t>
  </si>
  <si>
    <t>152326198102037121</t>
  </si>
  <si>
    <t>田文昌</t>
  </si>
  <si>
    <t>152326198409037118</t>
  </si>
  <si>
    <t>于春艳</t>
  </si>
  <si>
    <t>152326198402177126</t>
  </si>
  <si>
    <t>田密国</t>
  </si>
  <si>
    <t>152326196304177115</t>
  </si>
  <si>
    <t>郑淑娥</t>
  </si>
  <si>
    <t>15232619640204712X</t>
  </si>
  <si>
    <t>田文石</t>
  </si>
  <si>
    <t>152326198412107113</t>
  </si>
  <si>
    <t>刘小莲</t>
  </si>
  <si>
    <t>152326198511197126</t>
  </si>
  <si>
    <t>李子贺</t>
  </si>
  <si>
    <t>152326198502277116</t>
  </si>
  <si>
    <t>李广玲</t>
  </si>
  <si>
    <t>152326198606117141</t>
  </si>
  <si>
    <t>林海良</t>
  </si>
  <si>
    <t>15232619830503713X</t>
  </si>
  <si>
    <t>邵风艳</t>
  </si>
  <si>
    <t>152326198201127122</t>
  </si>
  <si>
    <t>刘长明</t>
  </si>
  <si>
    <t>152326197912047116</t>
  </si>
  <si>
    <t>高艳锋</t>
  </si>
  <si>
    <t>152326197707027116</t>
  </si>
  <si>
    <t>152326198102037148</t>
  </si>
  <si>
    <t>华泽友</t>
  </si>
  <si>
    <t>152326196512207139</t>
  </si>
  <si>
    <t>刘桂玲</t>
  </si>
  <si>
    <t>152326196501247127</t>
  </si>
  <si>
    <t>魏丽辉</t>
  </si>
  <si>
    <t>15232619870102711X</t>
  </si>
  <si>
    <t>马爱军</t>
  </si>
  <si>
    <t>152326198804127148</t>
  </si>
  <si>
    <t>周志远</t>
  </si>
  <si>
    <t>152326199705317119</t>
  </si>
  <si>
    <t>石红然</t>
  </si>
  <si>
    <t>15232619950309712X</t>
  </si>
  <si>
    <t>张宏达</t>
  </si>
  <si>
    <t>152326200302087115</t>
  </si>
  <si>
    <t>邢海英</t>
  </si>
  <si>
    <t>152326196808227120</t>
  </si>
  <si>
    <t>孙连超</t>
  </si>
  <si>
    <t>152326198411087114</t>
  </si>
  <si>
    <t>焦晓翠</t>
  </si>
  <si>
    <t>152326198511037122</t>
  </si>
  <si>
    <t>高彩萍</t>
  </si>
  <si>
    <t>140223198203145027</t>
  </si>
  <si>
    <t>王丽月</t>
  </si>
  <si>
    <t>152326198908107117</t>
  </si>
  <si>
    <t>152326198710287116</t>
  </si>
  <si>
    <t>梁志城</t>
  </si>
  <si>
    <t>152326198709107122</t>
  </si>
  <si>
    <t>马喜春</t>
  </si>
  <si>
    <t>152326196701217117</t>
  </si>
  <si>
    <t>秦玉英</t>
  </si>
  <si>
    <t>152326196706097126</t>
  </si>
  <si>
    <t>孙亚军</t>
  </si>
  <si>
    <t>152326197301197115</t>
  </si>
  <si>
    <t>尚国玲</t>
  </si>
  <si>
    <t>152326197304017124</t>
  </si>
  <si>
    <t>田文喜</t>
  </si>
  <si>
    <t>152326199605237111</t>
  </si>
  <si>
    <t>谭桂儒</t>
  </si>
  <si>
    <t>152326197507137118</t>
  </si>
  <si>
    <t>152326198210231204</t>
  </si>
  <si>
    <t>辛建华</t>
  </si>
  <si>
    <t>152326196912127111</t>
  </si>
  <si>
    <t>152326197012197127</t>
  </si>
  <si>
    <t>辛朋</t>
  </si>
  <si>
    <t>152326198903076892</t>
  </si>
  <si>
    <t>辛小静</t>
  </si>
  <si>
    <t>152326199210017122</t>
  </si>
  <si>
    <t>王少占</t>
  </si>
  <si>
    <t>152326198403197110</t>
  </si>
  <si>
    <t>张牡丹</t>
  </si>
  <si>
    <t>152326198508207127</t>
  </si>
  <si>
    <t>张永志</t>
  </si>
  <si>
    <t>152326198004197113</t>
  </si>
  <si>
    <t>江海侠</t>
  </si>
  <si>
    <t>152326198504077126</t>
  </si>
  <si>
    <t>张永立</t>
  </si>
  <si>
    <t>152326199504307117</t>
  </si>
  <si>
    <t>刘艳珠</t>
  </si>
  <si>
    <t>152326199110247115</t>
  </si>
  <si>
    <t>刘艳博</t>
  </si>
  <si>
    <t>152326199601097131</t>
  </si>
  <si>
    <t>张雪剑</t>
  </si>
  <si>
    <t>152326198911017112</t>
  </si>
  <si>
    <t>杜志伟</t>
  </si>
  <si>
    <t>152326200001317116</t>
  </si>
  <si>
    <t>李桂磊</t>
  </si>
  <si>
    <t>152326199308037121</t>
  </si>
  <si>
    <t>王少坤</t>
  </si>
  <si>
    <t>152326199006287117</t>
  </si>
  <si>
    <t>崔艳鹏</t>
  </si>
  <si>
    <t>152326199801027111</t>
  </si>
  <si>
    <t>崔艳茹</t>
  </si>
  <si>
    <t>152326199308017147</t>
  </si>
  <si>
    <t>刘艳东</t>
  </si>
  <si>
    <t>152326197408277115</t>
  </si>
  <si>
    <t>李淑君</t>
  </si>
  <si>
    <t>152326197609097129</t>
  </si>
  <si>
    <t>王春华</t>
  </si>
  <si>
    <t>152326199501037123</t>
  </si>
  <si>
    <t>魏立军</t>
  </si>
  <si>
    <t>152326198305087110</t>
  </si>
  <si>
    <t>张丽全</t>
  </si>
  <si>
    <t>152326198301177119</t>
  </si>
  <si>
    <t>黄春月</t>
  </si>
  <si>
    <t>130324198901074262</t>
  </si>
  <si>
    <t>贾文伟</t>
  </si>
  <si>
    <t>152326198009167116</t>
  </si>
  <si>
    <t>王冬梅</t>
  </si>
  <si>
    <t>152326198904017149</t>
  </si>
  <si>
    <t>华玉文</t>
  </si>
  <si>
    <t>152326198212077116</t>
  </si>
  <si>
    <t>马雪蕾</t>
  </si>
  <si>
    <t>152324199412086828</t>
  </si>
  <si>
    <t>魏立明</t>
  </si>
  <si>
    <t>152326199601097115</t>
  </si>
  <si>
    <t>孙国旭</t>
  </si>
  <si>
    <t>152326199901147129</t>
  </si>
  <si>
    <t>周美琪</t>
  </si>
  <si>
    <t>152326200309127124</t>
  </si>
  <si>
    <t>田永纲</t>
  </si>
  <si>
    <t>15232619840405711X</t>
  </si>
  <si>
    <t>王海飞</t>
  </si>
  <si>
    <t>152326198410067162</t>
  </si>
  <si>
    <t>崔艳栋</t>
  </si>
  <si>
    <t>152326200311067116</t>
  </si>
  <si>
    <t>田文宝</t>
  </si>
  <si>
    <t>15232619900201711X</t>
  </si>
  <si>
    <t>刘长波</t>
  </si>
  <si>
    <t>152326198105287118</t>
  </si>
  <si>
    <t>沈艳花</t>
  </si>
  <si>
    <t>152326198303017127</t>
  </si>
  <si>
    <t>王宗伟</t>
  </si>
  <si>
    <t>152326199505267110</t>
  </si>
  <si>
    <t>杨金花</t>
  </si>
  <si>
    <t>152326199501054126</t>
  </si>
  <si>
    <t>王少柱</t>
  </si>
  <si>
    <t>152326197801057119</t>
  </si>
  <si>
    <t>杨小娟</t>
  </si>
  <si>
    <t>15232619790317712X</t>
  </si>
  <si>
    <t>姜维然</t>
  </si>
  <si>
    <t>152326196201017135</t>
  </si>
  <si>
    <t>程淑珍</t>
  </si>
  <si>
    <t>152326196306197128</t>
  </si>
  <si>
    <t>姜天</t>
  </si>
  <si>
    <t>152326199009287112</t>
  </si>
  <si>
    <t>于媛园</t>
  </si>
  <si>
    <t>152326199210237125</t>
  </si>
  <si>
    <t>陈相东</t>
  </si>
  <si>
    <t>152326199912127115</t>
  </si>
  <si>
    <t>王少江</t>
  </si>
  <si>
    <t>152326199110107112</t>
  </si>
  <si>
    <t>崔丽艳</t>
  </si>
  <si>
    <t>152324199203266048</t>
  </si>
  <si>
    <t>吕云凤</t>
  </si>
  <si>
    <t>152324198711144923</t>
  </si>
  <si>
    <t>孙连颖</t>
  </si>
  <si>
    <t>152326199202127129</t>
  </si>
  <si>
    <t>张立丛</t>
  </si>
  <si>
    <t>15232619920501711X</t>
  </si>
  <si>
    <t>宋亚娟</t>
  </si>
  <si>
    <t>152326199302147127</t>
  </si>
  <si>
    <t>张小凤</t>
  </si>
  <si>
    <t>152326199412227128</t>
  </si>
  <si>
    <t>李子龙</t>
  </si>
  <si>
    <t>152326199209107112</t>
  </si>
  <si>
    <t>姚桂贤</t>
  </si>
  <si>
    <t>152326196104287125</t>
  </si>
  <si>
    <t>周惠</t>
  </si>
  <si>
    <t>152326198505277111</t>
  </si>
  <si>
    <t>刘玉龙</t>
  </si>
  <si>
    <t>152326197808027115</t>
  </si>
  <si>
    <t>王少华</t>
  </si>
  <si>
    <t>152326198111047145</t>
  </si>
  <si>
    <t>李颖</t>
  </si>
  <si>
    <t>152326199805087146</t>
  </si>
  <si>
    <t>王永贺</t>
  </si>
  <si>
    <t>152326199512207116</t>
  </si>
  <si>
    <t>周晓辉</t>
  </si>
  <si>
    <t>152326197610227111</t>
  </si>
  <si>
    <t>康立杰</t>
  </si>
  <si>
    <t>152326197909257120</t>
  </si>
  <si>
    <t>刘志华</t>
  </si>
  <si>
    <t>152326197311157117</t>
  </si>
  <si>
    <t>褚金荣</t>
  </si>
  <si>
    <t>152326197610107144</t>
  </si>
  <si>
    <t>刘俊清</t>
  </si>
  <si>
    <t>152326199704307111</t>
  </si>
  <si>
    <t>焦颖</t>
  </si>
  <si>
    <t>152324199310086026</t>
  </si>
  <si>
    <t>152326199302067135</t>
  </si>
  <si>
    <t>姜健贺</t>
  </si>
  <si>
    <t>152326199404087129</t>
  </si>
  <si>
    <t>王辉龙</t>
  </si>
  <si>
    <t>152326197901217132</t>
  </si>
  <si>
    <t>林会影</t>
  </si>
  <si>
    <t>152326199505017111</t>
  </si>
  <si>
    <t>李桂竹</t>
  </si>
  <si>
    <t>152326198612107134</t>
  </si>
  <si>
    <t>田会玲</t>
  </si>
  <si>
    <t>152326197602187121</t>
  </si>
  <si>
    <t>王辉军</t>
  </si>
  <si>
    <t>152326197102027156</t>
  </si>
  <si>
    <t>邵风兰</t>
  </si>
  <si>
    <t>152326197408017145</t>
  </si>
  <si>
    <t>魏喜军</t>
  </si>
  <si>
    <t>152326196710157136</t>
  </si>
  <si>
    <t>152326196504177128</t>
  </si>
  <si>
    <t>郑辉</t>
  </si>
  <si>
    <t>152326198110127119</t>
  </si>
  <si>
    <t>王辉江</t>
  </si>
  <si>
    <t>152326197307267110</t>
  </si>
  <si>
    <t>152326197804087129</t>
  </si>
  <si>
    <t>华泽纪</t>
  </si>
  <si>
    <t>15232619751111711X</t>
  </si>
  <si>
    <t>152326197201017201</t>
  </si>
  <si>
    <t>陈向宇</t>
  </si>
  <si>
    <t>152326200410287114</t>
  </si>
  <si>
    <t>魏立国</t>
  </si>
  <si>
    <t>152326197605047116</t>
  </si>
  <si>
    <t>陈玉侠</t>
  </si>
  <si>
    <t>152326197608067120</t>
  </si>
  <si>
    <t>辛风文</t>
  </si>
  <si>
    <t>152326196701247113</t>
  </si>
  <si>
    <t>周桂荣</t>
  </si>
  <si>
    <t>152326196810207129</t>
  </si>
  <si>
    <t>姜志</t>
  </si>
  <si>
    <t>152326196501077113</t>
  </si>
  <si>
    <t>胡树玲</t>
  </si>
  <si>
    <t>152326196609197141</t>
  </si>
  <si>
    <t>姜延东</t>
  </si>
  <si>
    <t>152326199210187113</t>
  </si>
  <si>
    <t>王世杰</t>
  </si>
  <si>
    <t>152326199505097115</t>
  </si>
  <si>
    <t>152326199710037111</t>
  </si>
  <si>
    <t>魏喜发</t>
  </si>
  <si>
    <t>152326196506067117</t>
  </si>
  <si>
    <t>林海燕</t>
  </si>
  <si>
    <t>152326196409057128</t>
  </si>
  <si>
    <t>马丽月</t>
  </si>
  <si>
    <t>15232619950907712X</t>
  </si>
  <si>
    <t>张立强</t>
  </si>
  <si>
    <t>152326199011127118</t>
  </si>
  <si>
    <t>雷风荣</t>
  </si>
  <si>
    <t>152326196306097119</t>
  </si>
  <si>
    <t>李成</t>
  </si>
  <si>
    <t>152326196608077121</t>
  </si>
  <si>
    <t>王立振</t>
  </si>
  <si>
    <t>152326198404127130</t>
  </si>
  <si>
    <t>赵胜才</t>
  </si>
  <si>
    <t>152326198307067113</t>
  </si>
  <si>
    <t>高艳龙</t>
  </si>
  <si>
    <t>152326198810067110</t>
  </si>
  <si>
    <t>152326199602167111</t>
  </si>
  <si>
    <t>陈亚慧</t>
  </si>
  <si>
    <t>152326197407227140</t>
  </si>
  <si>
    <t>华玉盈</t>
  </si>
  <si>
    <t>152326198409287117</t>
  </si>
  <si>
    <t>周华</t>
  </si>
  <si>
    <t>152326199401017117</t>
  </si>
  <si>
    <t>152326197705267140</t>
  </si>
  <si>
    <t>152326196501127168</t>
  </si>
  <si>
    <t>杨丽丽</t>
  </si>
  <si>
    <t>152326199211057126</t>
  </si>
  <si>
    <t>2020新增</t>
  </si>
  <si>
    <t>轩桂强</t>
  </si>
  <si>
    <t>152326199202077125</t>
  </si>
  <si>
    <t>辛亮</t>
  </si>
  <si>
    <t>152326199004257133</t>
  </si>
  <si>
    <t>马磊</t>
  </si>
  <si>
    <t>152326199504087118</t>
  </si>
  <si>
    <t>郑翠美</t>
  </si>
  <si>
    <t>15232619950501712X</t>
  </si>
  <si>
    <t>刘丽娟</t>
  </si>
  <si>
    <t>15232619810410712X</t>
  </si>
  <si>
    <t>卜庆军</t>
  </si>
  <si>
    <t>152326197605207116</t>
  </si>
  <si>
    <t>152326197611207120</t>
  </si>
  <si>
    <t>林海彬</t>
  </si>
  <si>
    <t>152326196411187116</t>
  </si>
  <si>
    <t>荣秀兰</t>
  </si>
  <si>
    <t>152326196610097121</t>
  </si>
  <si>
    <t>齐文华</t>
  </si>
  <si>
    <t>152326196608167119</t>
  </si>
  <si>
    <t>146900</t>
  </si>
  <si>
    <t>兴隆村2020年养老保险缴费名单</t>
  </si>
  <si>
    <t>兴隆村</t>
  </si>
  <si>
    <t>张庆友</t>
  </si>
  <si>
    <t>152326196509227112</t>
  </si>
  <si>
    <t>152326196709247126</t>
  </si>
  <si>
    <t>侯振海</t>
  </si>
  <si>
    <t>15232619700410711X</t>
  </si>
  <si>
    <t>152326197110237129</t>
  </si>
  <si>
    <t>李守志</t>
  </si>
  <si>
    <t>152326196907097130</t>
  </si>
  <si>
    <t>贾秀芹</t>
  </si>
  <si>
    <t>152326196907017145</t>
  </si>
  <si>
    <t>郑金龙</t>
  </si>
  <si>
    <t>152326197007057111</t>
  </si>
  <si>
    <t>吕春燕</t>
  </si>
  <si>
    <t>152326197401207122</t>
  </si>
  <si>
    <t>陈洪军</t>
  </si>
  <si>
    <t>152326197608127111</t>
  </si>
  <si>
    <t>徐淑敏</t>
  </si>
  <si>
    <t>152326197605087126</t>
  </si>
  <si>
    <t>吕国成</t>
  </si>
  <si>
    <t>152326196106087119</t>
  </si>
  <si>
    <t>王店侠</t>
  </si>
  <si>
    <t>152326196206277120</t>
  </si>
  <si>
    <t>丁艳华</t>
  </si>
  <si>
    <t>152326196409167124</t>
  </si>
  <si>
    <t>姜喜峰</t>
  </si>
  <si>
    <t>152326196511117131</t>
  </si>
  <si>
    <t>侯玉玲</t>
  </si>
  <si>
    <t>152326196709237120</t>
  </si>
  <si>
    <t>吕金发</t>
  </si>
  <si>
    <t>152326197106167113</t>
  </si>
  <si>
    <t>韩凤华</t>
  </si>
  <si>
    <t>152326197104197124</t>
  </si>
  <si>
    <t>刘长征</t>
  </si>
  <si>
    <t>15232619760901715X</t>
  </si>
  <si>
    <t>李春秀</t>
  </si>
  <si>
    <t>152326197703277185</t>
  </si>
  <si>
    <t>张孝东</t>
  </si>
  <si>
    <t>152326196905117118</t>
  </si>
  <si>
    <t>152326196705027126</t>
  </si>
  <si>
    <t>张荣国</t>
  </si>
  <si>
    <t>15232619650724711X</t>
  </si>
  <si>
    <t>韩凤珍</t>
  </si>
  <si>
    <t>152326196804207122</t>
  </si>
  <si>
    <t>李素华</t>
  </si>
  <si>
    <t>152326196505047149</t>
  </si>
  <si>
    <t>傅玉学</t>
  </si>
  <si>
    <t>152326196405277115</t>
  </si>
  <si>
    <t>孙宏艳</t>
  </si>
  <si>
    <t>152326196605247121</t>
  </si>
  <si>
    <t>贾宏军</t>
  </si>
  <si>
    <t>152326197211087131</t>
  </si>
  <si>
    <t>杜玉珍</t>
  </si>
  <si>
    <t>152326197202087121</t>
  </si>
  <si>
    <t>152326196302127114</t>
  </si>
  <si>
    <t>尚国侠</t>
  </si>
  <si>
    <t>15232619610811714X</t>
  </si>
  <si>
    <t>郑海军</t>
  </si>
  <si>
    <t>152326196411097110</t>
  </si>
  <si>
    <t>张素芝</t>
  </si>
  <si>
    <t>15232619601010712X</t>
  </si>
  <si>
    <t>王成江</t>
  </si>
  <si>
    <t>152326196612107119</t>
  </si>
  <si>
    <t>李世华</t>
  </si>
  <si>
    <t>152326196905027120</t>
  </si>
  <si>
    <t>高凤芝</t>
  </si>
  <si>
    <t>152326196204027128</t>
  </si>
  <si>
    <t>152326196601207130</t>
  </si>
  <si>
    <t>吴彩凤</t>
  </si>
  <si>
    <t>152326197209107148</t>
  </si>
  <si>
    <t>张素玲</t>
  </si>
  <si>
    <t>152326196211017147</t>
  </si>
  <si>
    <t>尚国学</t>
  </si>
  <si>
    <t>152326196202237113</t>
  </si>
  <si>
    <t>张孝军</t>
  </si>
  <si>
    <t>152326196703087117</t>
  </si>
  <si>
    <t>申玉玲</t>
  </si>
  <si>
    <t>152326197205237121</t>
  </si>
  <si>
    <t>152326196601247124</t>
  </si>
  <si>
    <t>王成玉</t>
  </si>
  <si>
    <t>152326196202277158</t>
  </si>
  <si>
    <t>周淑艳</t>
  </si>
  <si>
    <t>152326196209127128</t>
  </si>
  <si>
    <t>吕金山</t>
  </si>
  <si>
    <t>152326196901027115</t>
  </si>
  <si>
    <t>霍艳春</t>
  </si>
  <si>
    <t>152326197004137124</t>
  </si>
  <si>
    <t>张凤兴</t>
  </si>
  <si>
    <t>152326197604257146</t>
  </si>
  <si>
    <t>赵青双</t>
  </si>
  <si>
    <t>152326197605027158</t>
  </si>
  <si>
    <t>贾桂华</t>
  </si>
  <si>
    <t>152326196306077126</t>
  </si>
  <si>
    <t>152326197403047126</t>
  </si>
  <si>
    <t>贾相有</t>
  </si>
  <si>
    <t>152326197301177130</t>
  </si>
  <si>
    <t>赵素凤</t>
  </si>
  <si>
    <t>152326196810087120</t>
  </si>
  <si>
    <t>燕振成</t>
  </si>
  <si>
    <t>152326197011057114</t>
  </si>
  <si>
    <t>侯铁钢</t>
  </si>
  <si>
    <t>152326197708017139</t>
  </si>
  <si>
    <t>张国萍</t>
  </si>
  <si>
    <t>152326197903257162</t>
  </si>
  <si>
    <t>丁占国</t>
  </si>
  <si>
    <t>152326197006187117</t>
  </si>
  <si>
    <t>刘艳梅</t>
  </si>
  <si>
    <t>152326197005157127</t>
  </si>
  <si>
    <t>王海军</t>
  </si>
  <si>
    <t>152326196611177115</t>
  </si>
  <si>
    <t>冯桂云</t>
  </si>
  <si>
    <t>152326196902027125</t>
  </si>
  <si>
    <t>岳爱国</t>
  </si>
  <si>
    <t>152326196303037153</t>
  </si>
  <si>
    <t>侯秀兰</t>
  </si>
  <si>
    <t>152326196303297123</t>
  </si>
  <si>
    <t>马银</t>
  </si>
  <si>
    <t>152326196711207115</t>
  </si>
  <si>
    <t>152326196707067121</t>
  </si>
  <si>
    <t>林付</t>
  </si>
  <si>
    <t>152326196309117111</t>
  </si>
  <si>
    <t>郭文华</t>
  </si>
  <si>
    <t>152326196502197141</t>
  </si>
  <si>
    <t>郭文芹</t>
  </si>
  <si>
    <t>152326196208297125</t>
  </si>
  <si>
    <t>刘丽文</t>
  </si>
  <si>
    <t>152326197804217114</t>
  </si>
  <si>
    <t>孙洪玉</t>
  </si>
  <si>
    <t>152326196205167114</t>
  </si>
  <si>
    <t>152326196205077143</t>
  </si>
  <si>
    <t>郭宝</t>
  </si>
  <si>
    <t>15232619730107713X</t>
  </si>
  <si>
    <t>徐世娟</t>
  </si>
  <si>
    <t>15232619730824712X</t>
  </si>
  <si>
    <t>郭成</t>
  </si>
  <si>
    <t>152326196802147111</t>
  </si>
  <si>
    <t>李桂芳</t>
  </si>
  <si>
    <t>152326196804167124</t>
  </si>
  <si>
    <t>东常辉</t>
  </si>
  <si>
    <t>15232619820617688X</t>
  </si>
  <si>
    <t>梁术生</t>
  </si>
  <si>
    <r>
      <rPr>
        <sz val="11"/>
        <color theme="1"/>
        <rFont val="宋体"/>
        <charset val="134"/>
        <scheme val="minor"/>
      </rPr>
      <t>15232619651001711</t>
    </r>
    <r>
      <rPr>
        <sz val="11"/>
        <color theme="1"/>
        <rFont val="宋体"/>
        <charset val="134"/>
        <scheme val="minor"/>
      </rPr>
      <t>2</t>
    </r>
  </si>
  <si>
    <t>贾素侠</t>
  </si>
  <si>
    <t>15232619630719712X</t>
  </si>
  <si>
    <t>梁小双</t>
  </si>
  <si>
    <t>152326198611097149</t>
  </si>
  <si>
    <t>闫孟</t>
  </si>
  <si>
    <t>152326198202197130</t>
  </si>
  <si>
    <t>于在岭</t>
  </si>
  <si>
    <t>152326197809027133</t>
  </si>
  <si>
    <t>樊素红</t>
  </si>
  <si>
    <t>152326197911277120</t>
  </si>
  <si>
    <t>陈瑞梅</t>
  </si>
  <si>
    <t>152326196812197120</t>
  </si>
  <si>
    <t>贾军</t>
  </si>
  <si>
    <t>152326196802247112</t>
  </si>
  <si>
    <t>郭桂玲</t>
  </si>
  <si>
    <t>152326196905127121</t>
  </si>
  <si>
    <t>贾树娟</t>
  </si>
  <si>
    <t>152326199203177128</t>
  </si>
  <si>
    <t>贾树利</t>
  </si>
  <si>
    <t>152326200105107121</t>
  </si>
  <si>
    <t>李景军</t>
  </si>
  <si>
    <t>152326196610157139</t>
  </si>
  <si>
    <t>152326196811267123</t>
  </si>
  <si>
    <t>张丽云</t>
  </si>
  <si>
    <t>152326196204247147</t>
  </si>
  <si>
    <t>张俊民</t>
  </si>
  <si>
    <t>152326196801027134</t>
  </si>
  <si>
    <t>赵桂芬</t>
  </si>
  <si>
    <t>152326196903067129</t>
  </si>
  <si>
    <t>徐军</t>
  </si>
  <si>
    <t>152326196612247111</t>
  </si>
  <si>
    <t>祁彦春</t>
  </si>
  <si>
    <t>152326196901017128</t>
  </si>
  <si>
    <t>侯玉锡</t>
  </si>
  <si>
    <t>152326197201277126</t>
  </si>
  <si>
    <t>杨青祥</t>
  </si>
  <si>
    <t>152326196505067115</t>
  </si>
  <si>
    <t>冯素芬</t>
  </si>
  <si>
    <t>152326196401257141</t>
  </si>
  <si>
    <t>王维</t>
  </si>
  <si>
    <t>150525198202056875</t>
  </si>
  <si>
    <t>杨桂新</t>
  </si>
  <si>
    <t>152326198706017121</t>
  </si>
  <si>
    <t>任树玲</t>
  </si>
  <si>
    <t>152326196711167125</t>
  </si>
  <si>
    <t>刘广军</t>
  </si>
  <si>
    <t>152326196903017156</t>
  </si>
  <si>
    <t>152326196910257123</t>
  </si>
  <si>
    <t>姜喜祥</t>
  </si>
  <si>
    <t>15232619801105687X</t>
  </si>
  <si>
    <t xml:space="preserve">杨青 </t>
  </si>
  <si>
    <t>152326196104277111</t>
  </si>
  <si>
    <t>152326196504087114</t>
  </si>
  <si>
    <t>李玉芹</t>
  </si>
  <si>
    <t>152326196310277147</t>
  </si>
  <si>
    <t>杨燕</t>
  </si>
  <si>
    <t>152326197602237133</t>
  </si>
  <si>
    <t>冯金枝</t>
  </si>
  <si>
    <t>152326197302197125</t>
  </si>
  <si>
    <t>杨福</t>
  </si>
  <si>
    <t>152326197201157116</t>
  </si>
  <si>
    <t>胡金凤</t>
  </si>
  <si>
    <t>152326197409067128</t>
  </si>
  <si>
    <t>蔺树福</t>
  </si>
  <si>
    <t>152326197404157116</t>
  </si>
  <si>
    <t>白凤枝</t>
  </si>
  <si>
    <t>152326197402267127</t>
  </si>
  <si>
    <t>蔺树奎</t>
  </si>
  <si>
    <t>152326196612297135</t>
  </si>
  <si>
    <t>徐立梅</t>
  </si>
  <si>
    <t>152326196901097121</t>
  </si>
  <si>
    <t>林全</t>
  </si>
  <si>
    <t>152326196106187136</t>
  </si>
  <si>
    <t>王树国</t>
  </si>
  <si>
    <t>152326196301187123</t>
  </si>
  <si>
    <t>152326197906057115</t>
  </si>
  <si>
    <t>肖冬苹</t>
  </si>
  <si>
    <t>152326198004107122</t>
  </si>
  <si>
    <t>李金彪</t>
  </si>
  <si>
    <t>152326198712207132</t>
  </si>
  <si>
    <t>唐萌</t>
  </si>
  <si>
    <t>510121199612065269</t>
  </si>
  <si>
    <t>燕长柱</t>
  </si>
  <si>
    <t>152326197708037113</t>
  </si>
  <si>
    <t>150525197712106882</t>
  </si>
  <si>
    <t>肖敬芝</t>
  </si>
  <si>
    <t>152326196112217127</t>
  </si>
  <si>
    <t>孙宏义</t>
  </si>
  <si>
    <t>152326196602137111</t>
  </si>
  <si>
    <t>华泽虹</t>
  </si>
  <si>
    <t>152326196712127125</t>
  </si>
  <si>
    <t>段立军</t>
  </si>
  <si>
    <t>152326196309257114</t>
  </si>
  <si>
    <t>徐彩荣</t>
  </si>
  <si>
    <t>15232619621003712X</t>
  </si>
  <si>
    <t>王晓艳</t>
  </si>
  <si>
    <t>152326198208157121</t>
  </si>
  <si>
    <t>152326198110297118</t>
  </si>
  <si>
    <t>刘桂琴</t>
  </si>
  <si>
    <t>152326196504127120</t>
  </si>
  <si>
    <t>李景生</t>
  </si>
  <si>
    <t>152326196701137117</t>
  </si>
  <si>
    <t>王艳春</t>
  </si>
  <si>
    <t>152326196512277129</t>
  </si>
  <si>
    <t>152326196404167141</t>
  </si>
  <si>
    <t>王成林</t>
  </si>
  <si>
    <t>152326196308017119</t>
  </si>
  <si>
    <t>林玉兰</t>
  </si>
  <si>
    <t>15232619670905712X</t>
  </si>
  <si>
    <t>刘桂云</t>
  </si>
  <si>
    <t>15232619610427712X</t>
  </si>
  <si>
    <t>郑子洲</t>
  </si>
  <si>
    <t>152326196401287113</t>
  </si>
  <si>
    <t>于显芝</t>
  </si>
  <si>
    <t>152326196611097123</t>
  </si>
  <si>
    <t>李培锋</t>
  </si>
  <si>
    <t>152326197909197113</t>
  </si>
  <si>
    <t>梁志红</t>
  </si>
  <si>
    <t>152326197810177147</t>
  </si>
  <si>
    <t>王凤颜</t>
  </si>
  <si>
    <t>152326198205107129</t>
  </si>
  <si>
    <t>李春林</t>
  </si>
  <si>
    <t>152326196209157132</t>
  </si>
  <si>
    <t>傅玉玲</t>
  </si>
  <si>
    <t>152326196210017129</t>
  </si>
  <si>
    <t>付玉才</t>
  </si>
  <si>
    <t>152326196710107112</t>
  </si>
  <si>
    <t>孟繁文</t>
  </si>
  <si>
    <t>152326196811137126</t>
  </si>
  <si>
    <t>152326196208017111</t>
  </si>
  <si>
    <t>吴翠玲</t>
  </si>
  <si>
    <t>15232619610605718X</t>
  </si>
  <si>
    <t>张素云</t>
  </si>
  <si>
    <t>152326196312297125</t>
  </si>
  <si>
    <t>王振国</t>
  </si>
  <si>
    <t>152326196602017179</t>
  </si>
  <si>
    <t>周淑平</t>
  </si>
  <si>
    <t>152326196409067144</t>
  </si>
  <si>
    <t>马素芳</t>
  </si>
  <si>
    <t>152326196403077128</t>
  </si>
  <si>
    <t>张声</t>
  </si>
  <si>
    <t>152326196511277119</t>
  </si>
  <si>
    <t>马斌</t>
  </si>
  <si>
    <t>152326196210177130</t>
  </si>
  <si>
    <t>多交，存到2021年</t>
  </si>
  <si>
    <t>王丽云</t>
  </si>
  <si>
    <t>152326196301137126</t>
  </si>
  <si>
    <t>存到2022年</t>
  </si>
  <si>
    <t>燕长华</t>
  </si>
  <si>
    <t>152326196902267110</t>
  </si>
  <si>
    <t>姜雨莲</t>
  </si>
  <si>
    <t>152326196903017121</t>
  </si>
  <si>
    <t>徐凤荣</t>
  </si>
  <si>
    <t>152326196501307126</t>
  </si>
  <si>
    <t>15232619690910711X</t>
  </si>
  <si>
    <t>于秀春</t>
  </si>
  <si>
    <t>152326197103047140</t>
  </si>
  <si>
    <t>郑海欣</t>
  </si>
  <si>
    <t>152326197105157116</t>
  </si>
  <si>
    <t>梁秀银</t>
  </si>
  <si>
    <t>152326196804147166</t>
  </si>
  <si>
    <t>郑海付</t>
  </si>
  <si>
    <t>152326196903277118</t>
  </si>
  <si>
    <t>杜玉华</t>
  </si>
  <si>
    <t>152326197212127123</t>
  </si>
  <si>
    <t>王红红</t>
  </si>
  <si>
    <t>152326198202017128</t>
  </si>
  <si>
    <t>尚国军</t>
  </si>
  <si>
    <t>152326196910197116</t>
  </si>
  <si>
    <t>高艳丽</t>
  </si>
  <si>
    <t>152322197704230025</t>
  </si>
  <si>
    <t>郭云祥</t>
  </si>
  <si>
    <t>152326197902087114</t>
  </si>
  <si>
    <t>152326198109247885</t>
  </si>
  <si>
    <t>毛占水</t>
  </si>
  <si>
    <t>152326197008207118</t>
  </si>
  <si>
    <t>荣玉华</t>
  </si>
  <si>
    <t>152326197302157123</t>
  </si>
  <si>
    <t>安雪梅</t>
  </si>
  <si>
    <t>150429197007143442</t>
  </si>
  <si>
    <t>荣海龙</t>
  </si>
  <si>
    <t>152326197701037110</t>
  </si>
  <si>
    <t>李长君</t>
  </si>
  <si>
    <t>152326197705027112</t>
  </si>
  <si>
    <t>荣玉玲</t>
  </si>
  <si>
    <t>152326197501307120</t>
  </si>
  <si>
    <t>齐桂香</t>
  </si>
  <si>
    <t>152326196803057126</t>
  </si>
  <si>
    <t>尚国华</t>
  </si>
  <si>
    <t>152326197002167127</t>
  </si>
  <si>
    <t>152326198402177134</t>
  </si>
  <si>
    <t>于海燕</t>
  </si>
  <si>
    <t>152326198108037122</t>
  </si>
  <si>
    <t>姜喜红</t>
  </si>
  <si>
    <t>152326197509067117</t>
  </si>
  <si>
    <t>侯玉芳</t>
  </si>
  <si>
    <t>152326198003057127</t>
  </si>
  <si>
    <t>姜文媛</t>
  </si>
  <si>
    <t>152326200103107128</t>
  </si>
  <si>
    <t>152326197211057119</t>
  </si>
  <si>
    <t>姜艳玲</t>
  </si>
  <si>
    <t>152326197510067122</t>
  </si>
  <si>
    <t>姜艳丽</t>
  </si>
  <si>
    <t>152326198008167122</t>
  </si>
  <si>
    <t>林国喜</t>
  </si>
  <si>
    <t>152326196305017113</t>
  </si>
  <si>
    <t>孙洪玲</t>
  </si>
  <si>
    <t>152326196402137141</t>
  </si>
  <si>
    <t>邵青山</t>
  </si>
  <si>
    <t>152326196211057114</t>
  </si>
  <si>
    <t>吕非英</t>
  </si>
  <si>
    <t>152326196309157121</t>
  </si>
  <si>
    <t>辛玉芹</t>
  </si>
  <si>
    <t>152326196110107143</t>
  </si>
  <si>
    <t>陈军</t>
  </si>
  <si>
    <t>152326196304037112</t>
  </si>
  <si>
    <t>姜凤华</t>
  </si>
  <si>
    <t>152326196805087126</t>
  </si>
  <si>
    <t>于显军</t>
  </si>
  <si>
    <t>152326196410147112</t>
  </si>
  <si>
    <t>董文华</t>
  </si>
  <si>
    <t>152326196205107162</t>
  </si>
  <si>
    <t>152326197501047146</t>
  </si>
  <si>
    <t>赵素珍</t>
  </si>
  <si>
    <t>15232619621118712X</t>
  </si>
  <si>
    <t>李培林</t>
  </si>
  <si>
    <t>152326197106157118</t>
  </si>
  <si>
    <t>倪海英</t>
  </si>
  <si>
    <t>152326196906197121</t>
  </si>
  <si>
    <t>李基金</t>
  </si>
  <si>
    <t>152326199210047110</t>
  </si>
  <si>
    <t>15232419921229354X</t>
  </si>
  <si>
    <t>马玉</t>
  </si>
  <si>
    <t>152326196305027119</t>
  </si>
  <si>
    <t>于风英</t>
  </si>
  <si>
    <t>152326196211087129</t>
  </si>
  <si>
    <t>姜雨民</t>
  </si>
  <si>
    <t>152326196308157111</t>
  </si>
  <si>
    <t>高狱雨</t>
  </si>
  <si>
    <t>15232619620801712X</t>
  </si>
  <si>
    <t>王海江</t>
  </si>
  <si>
    <t>152326196507187110</t>
  </si>
  <si>
    <t>徐国珍</t>
  </si>
  <si>
    <t>152326196503127145</t>
  </si>
  <si>
    <t>刘广学</t>
  </si>
  <si>
    <t>152326196604287113</t>
  </si>
  <si>
    <t>朱桂琴</t>
  </si>
  <si>
    <t>152326196706297128</t>
  </si>
  <si>
    <t>丁艳辉</t>
  </si>
  <si>
    <t>152326196202247127</t>
  </si>
  <si>
    <t>丁艳杰</t>
  </si>
  <si>
    <t>152326197512047117</t>
  </si>
  <si>
    <t>曲焕杰</t>
  </si>
  <si>
    <t>152326196603047134</t>
  </si>
  <si>
    <t>闫玉芳</t>
  </si>
  <si>
    <t>152326196305017148</t>
  </si>
  <si>
    <t>曲志永</t>
  </si>
  <si>
    <t>152326198708117118</t>
  </si>
  <si>
    <t>燕常德</t>
  </si>
  <si>
    <t>152326198506077111</t>
  </si>
  <si>
    <t>闫丽梅</t>
  </si>
  <si>
    <t>152326198812017125</t>
  </si>
  <si>
    <t>孙宏信</t>
  </si>
  <si>
    <t>152326196205017116</t>
  </si>
  <si>
    <t>蔺树枝</t>
  </si>
  <si>
    <t>15232619610216712X</t>
  </si>
  <si>
    <t>董文会</t>
  </si>
  <si>
    <t>152326196207057154</t>
  </si>
  <si>
    <t>152326196312017111</t>
  </si>
  <si>
    <t>董文琴</t>
  </si>
  <si>
    <t>15232619630110712X</t>
  </si>
  <si>
    <t>孙宏军</t>
  </si>
  <si>
    <t>152326196508157116</t>
  </si>
  <si>
    <t>孟凡艳</t>
  </si>
  <si>
    <t>152326196811177128</t>
  </si>
  <si>
    <t>王成国</t>
  </si>
  <si>
    <t>152326196408097136</t>
  </si>
  <si>
    <t>孟庆芳</t>
  </si>
  <si>
    <t>152326196109127120</t>
  </si>
  <si>
    <t>王成双</t>
  </si>
  <si>
    <t>15232619610618711X</t>
  </si>
  <si>
    <t>张进侠</t>
  </si>
  <si>
    <t>152326196202197123</t>
  </si>
  <si>
    <t>郭凤玉</t>
  </si>
  <si>
    <t>152326196611297117</t>
  </si>
  <si>
    <t>申久华</t>
  </si>
  <si>
    <t>15232619650701712X</t>
  </si>
  <si>
    <t>王广才</t>
  </si>
  <si>
    <t>152326196607087117</t>
  </si>
  <si>
    <t>吴占花</t>
  </si>
  <si>
    <t>152326197302087129</t>
  </si>
  <si>
    <t>林万山</t>
  </si>
  <si>
    <t>152326196401027119</t>
  </si>
  <si>
    <t>包金仓</t>
  </si>
  <si>
    <t>152326196904017123</t>
  </si>
  <si>
    <t>杨春</t>
  </si>
  <si>
    <t>152326197012057159</t>
  </si>
  <si>
    <t>陈占花</t>
  </si>
  <si>
    <t>15232619680724712X</t>
  </si>
  <si>
    <t>李春侠</t>
  </si>
  <si>
    <t>152326196307057127</t>
  </si>
  <si>
    <t>王丽春</t>
  </si>
  <si>
    <t>152326197607017121</t>
  </si>
  <si>
    <t>陈子霞</t>
  </si>
  <si>
    <t>152326196201267126</t>
  </si>
  <si>
    <t>孟凡起</t>
  </si>
  <si>
    <t>152326196201017119</t>
  </si>
  <si>
    <t>高非侠</t>
  </si>
  <si>
    <t>152326196210187128</t>
  </si>
  <si>
    <t>孟祥龙</t>
  </si>
  <si>
    <t>152326198402267113</t>
  </si>
  <si>
    <t>冯利艳</t>
  </si>
  <si>
    <t>152326198410087120</t>
  </si>
  <si>
    <t>吴桂侠</t>
  </si>
  <si>
    <t>152326196209097125</t>
  </si>
  <si>
    <t>姜自友</t>
  </si>
  <si>
    <t>152326196210117111</t>
  </si>
  <si>
    <t>郭军</t>
  </si>
  <si>
    <t>152326196906227116</t>
  </si>
  <si>
    <t>吴秀娥</t>
  </si>
  <si>
    <t>152326196612197126</t>
  </si>
  <si>
    <t>吴成民</t>
  </si>
  <si>
    <t>152326197111057111</t>
  </si>
  <si>
    <t>耿春清</t>
  </si>
  <si>
    <t>152326197201017180</t>
  </si>
  <si>
    <t>吴相民</t>
  </si>
  <si>
    <t>152326197309187130</t>
  </si>
  <si>
    <t>宋国</t>
  </si>
  <si>
    <t>152326196604177117</t>
  </si>
  <si>
    <t>林海侠</t>
  </si>
  <si>
    <t>152326196807017121</t>
  </si>
  <si>
    <t>152326196810137175</t>
  </si>
  <si>
    <t>杨树芬</t>
  </si>
  <si>
    <t>152326196708057128</t>
  </si>
  <si>
    <t>张殿江</t>
  </si>
  <si>
    <t>152326196907107116</t>
  </si>
  <si>
    <t>152326197012287122</t>
  </si>
  <si>
    <t>张店付</t>
  </si>
  <si>
    <t>152326196509157118</t>
  </si>
  <si>
    <t>倪海春</t>
  </si>
  <si>
    <t>15232619650214711X</t>
  </si>
  <si>
    <t>刘桂枝</t>
  </si>
  <si>
    <t>152326196706027128</t>
  </si>
  <si>
    <t>杨才</t>
  </si>
  <si>
    <t>15232619640320713X</t>
  </si>
  <si>
    <t>高凤云</t>
  </si>
  <si>
    <t>152326197006087124</t>
  </si>
  <si>
    <t>杨小东</t>
  </si>
  <si>
    <t>152326199807057119</t>
  </si>
  <si>
    <t>邵青友</t>
  </si>
  <si>
    <t>152326197212207131</t>
  </si>
  <si>
    <t>152326197402067125</t>
  </si>
  <si>
    <t>闫东</t>
  </si>
  <si>
    <t>152326197608057117</t>
  </si>
  <si>
    <t>吴宗梅</t>
  </si>
  <si>
    <t>152326197906287121</t>
  </si>
  <si>
    <t>李树山</t>
  </si>
  <si>
    <t>152326196701147112</t>
  </si>
  <si>
    <t>刘彦华</t>
  </si>
  <si>
    <t>15232619660301712X</t>
  </si>
  <si>
    <t>潘跃轩</t>
  </si>
  <si>
    <t>152326198609067135</t>
  </si>
  <si>
    <t>高丽杰</t>
  </si>
  <si>
    <t>152326198604017120</t>
  </si>
  <si>
    <t>潘云成</t>
  </si>
  <si>
    <t>152326196504267115</t>
  </si>
  <si>
    <t>刘凤芝</t>
  </si>
  <si>
    <t>152326196303147125</t>
  </si>
  <si>
    <t>李宏伟</t>
  </si>
  <si>
    <t>152326197908287117</t>
  </si>
  <si>
    <t>潘跃波</t>
  </si>
  <si>
    <t>152326198708307114</t>
  </si>
  <si>
    <t>郭凤合</t>
  </si>
  <si>
    <t>152326197012197119</t>
  </si>
  <si>
    <t>152326197104057164</t>
  </si>
  <si>
    <t>马志</t>
  </si>
  <si>
    <t>152326196609107134</t>
  </si>
  <si>
    <t>李素珍</t>
  </si>
  <si>
    <t>152326196305217123</t>
  </si>
  <si>
    <t>马林</t>
  </si>
  <si>
    <t>152326197405227112</t>
  </si>
  <si>
    <t>杜风新</t>
  </si>
  <si>
    <t>152326196505097111</t>
  </si>
  <si>
    <t>马秀芝</t>
  </si>
  <si>
    <t>152326196304067127</t>
  </si>
  <si>
    <t>毛占河</t>
  </si>
  <si>
    <t>152326196808297137</t>
  </si>
  <si>
    <t>152326196907297124</t>
  </si>
  <si>
    <t>姜雨录</t>
  </si>
  <si>
    <t>152326196907017110</t>
  </si>
  <si>
    <t>杨桂英</t>
  </si>
  <si>
    <t>152326197008067127</t>
  </si>
  <si>
    <t>152326196209227110</t>
  </si>
  <si>
    <t>赵青荣</t>
  </si>
  <si>
    <t>152326196401207128</t>
  </si>
  <si>
    <t>郭凤成</t>
  </si>
  <si>
    <t>152326197308107135</t>
  </si>
  <si>
    <t>李春平</t>
  </si>
  <si>
    <t>152326197503117144</t>
  </si>
  <si>
    <t>吕国军</t>
  </si>
  <si>
    <t>152326196608257114</t>
  </si>
  <si>
    <t>于显玲</t>
  </si>
  <si>
    <t>15232619740408712X</t>
  </si>
  <si>
    <t>孙宏会</t>
  </si>
  <si>
    <t>152326197107137119</t>
  </si>
  <si>
    <t>152326197309297129</t>
  </si>
  <si>
    <t>152326198309157112</t>
  </si>
  <si>
    <t>杨宝玲</t>
  </si>
  <si>
    <t>152326198101277123</t>
  </si>
  <si>
    <t>152326197309167113</t>
  </si>
  <si>
    <t>刘艳红</t>
  </si>
  <si>
    <t>152326197407227124</t>
  </si>
  <si>
    <t>于春莲</t>
  </si>
  <si>
    <t>152326197304047120</t>
  </si>
  <si>
    <t>赵青华</t>
  </si>
  <si>
    <t>152326196412157111</t>
  </si>
  <si>
    <t>梁秀侠</t>
  </si>
  <si>
    <t>152326196308177120</t>
  </si>
  <si>
    <t>林翠华</t>
  </si>
  <si>
    <t>152326196302167140</t>
  </si>
  <si>
    <t>杨军</t>
  </si>
  <si>
    <t>152326197312117133</t>
  </si>
  <si>
    <t>于树芝</t>
  </si>
  <si>
    <t>152326197402207124</t>
  </si>
  <si>
    <t>杨瑞</t>
  </si>
  <si>
    <t>152326197304257136</t>
  </si>
  <si>
    <t>王金平</t>
  </si>
  <si>
    <t>152326197304287124</t>
  </si>
  <si>
    <t>黄志玲</t>
  </si>
  <si>
    <t>152326198201157129</t>
  </si>
  <si>
    <t>黄志平</t>
  </si>
  <si>
    <t>152326198402247120</t>
  </si>
  <si>
    <t>郑金荣</t>
  </si>
  <si>
    <t>152326196604157124</t>
  </si>
  <si>
    <t>马财</t>
  </si>
  <si>
    <t>15232619601017711X</t>
  </si>
  <si>
    <t>肖风云</t>
  </si>
  <si>
    <t>152326196212287122</t>
  </si>
  <si>
    <t>马丽辉</t>
  </si>
  <si>
    <t>152326198212287121</t>
  </si>
  <si>
    <t>152326197109157164</t>
  </si>
  <si>
    <t>高立国</t>
  </si>
  <si>
    <t>152326197206117113</t>
  </si>
  <si>
    <t>高立君</t>
  </si>
  <si>
    <t>152326196807147110</t>
  </si>
  <si>
    <t>贾莉荣</t>
  </si>
  <si>
    <t>15232619650103712X</t>
  </si>
  <si>
    <t>张国龙</t>
  </si>
  <si>
    <t>152326196201247133</t>
  </si>
  <si>
    <t>张艳苹</t>
  </si>
  <si>
    <t>152326196411147122</t>
  </si>
  <si>
    <t>林桂芹</t>
  </si>
  <si>
    <t>152326196802097126</t>
  </si>
  <si>
    <t>152326196304107117</t>
  </si>
  <si>
    <t>李云荣</t>
  </si>
  <si>
    <t>152326196212157141</t>
  </si>
  <si>
    <t>辛跃民</t>
  </si>
  <si>
    <t>152326197411127118</t>
  </si>
  <si>
    <t>肖冬云</t>
  </si>
  <si>
    <t>152326197403077122</t>
  </si>
  <si>
    <t>王志成</t>
  </si>
  <si>
    <t>152325196509127115</t>
  </si>
  <si>
    <t>陈洪伟</t>
  </si>
  <si>
    <t>152326197402037137</t>
  </si>
  <si>
    <t>高玉春</t>
  </si>
  <si>
    <t>152326197410197122</t>
  </si>
  <si>
    <t>杨树玲</t>
  </si>
  <si>
    <t>152326196810017181</t>
  </si>
  <si>
    <t>田会清</t>
  </si>
  <si>
    <t>152326196808057117</t>
  </si>
  <si>
    <t>王翠娟</t>
  </si>
  <si>
    <t>152326197405197128</t>
  </si>
  <si>
    <t>田桂珍</t>
  </si>
  <si>
    <t>152326196212247120</t>
  </si>
  <si>
    <t>田会玉</t>
  </si>
  <si>
    <t>152326196511087112</t>
  </si>
  <si>
    <t>白银花</t>
  </si>
  <si>
    <t>152326196608057120</t>
  </si>
  <si>
    <t>贾占江</t>
  </si>
  <si>
    <t>152326196312077114</t>
  </si>
  <si>
    <t>闫桂英</t>
  </si>
  <si>
    <t>152326196403157128</t>
  </si>
  <si>
    <t>张凤立</t>
  </si>
  <si>
    <t>152326197104217148</t>
  </si>
  <si>
    <t>郭云凤</t>
  </si>
  <si>
    <t>152326197801267132</t>
  </si>
  <si>
    <t>郑海金</t>
  </si>
  <si>
    <t>152326196908297118</t>
  </si>
  <si>
    <t>谭风芹</t>
  </si>
  <si>
    <t>152326196807077140</t>
  </si>
  <si>
    <t>杨杰</t>
  </si>
  <si>
    <t>152326196403207156</t>
  </si>
  <si>
    <t xml:space="preserve">王乃英 </t>
  </si>
  <si>
    <t>152326196402057125</t>
  </si>
  <si>
    <t>郑海宝</t>
  </si>
  <si>
    <t>15232619770320711X</t>
  </si>
  <si>
    <t>白英宏</t>
  </si>
  <si>
    <t>152326198011297120</t>
  </si>
  <si>
    <t>侯炳文</t>
  </si>
  <si>
    <t>15232619620904711X</t>
  </si>
  <si>
    <t>于俊兰</t>
  </si>
  <si>
    <t>152326196302277120</t>
  </si>
  <si>
    <t>152326196302067115</t>
  </si>
  <si>
    <t>王刚娟</t>
  </si>
  <si>
    <t>152326197703067145</t>
  </si>
  <si>
    <t>王召强</t>
  </si>
  <si>
    <t>15232620020228711X</t>
  </si>
  <si>
    <t>王福江</t>
  </si>
  <si>
    <t>152326196505227115</t>
  </si>
  <si>
    <t>刘井林</t>
  </si>
  <si>
    <t>152326197002237113</t>
  </si>
  <si>
    <t>谭风珍</t>
  </si>
  <si>
    <t>152326197012157125</t>
  </si>
  <si>
    <t>郑海国</t>
  </si>
  <si>
    <t>152326197301057155</t>
  </si>
  <si>
    <t>152326197305197120</t>
  </si>
  <si>
    <t>王燕燕</t>
  </si>
  <si>
    <t>152326199402267126</t>
  </si>
  <si>
    <t>刘福艳</t>
  </si>
  <si>
    <t>152326198203277116</t>
  </si>
  <si>
    <t>徐桂茹</t>
  </si>
  <si>
    <t>15232619820520712X</t>
  </si>
  <si>
    <t>丁淑华</t>
  </si>
  <si>
    <t>152326197510237128</t>
  </si>
  <si>
    <t>岳爱华</t>
  </si>
  <si>
    <t>152326197103247177</t>
  </si>
  <si>
    <t>董文英</t>
  </si>
  <si>
    <t>152326196909117123</t>
  </si>
  <si>
    <t>徐亚芹</t>
  </si>
  <si>
    <t>15232619730901714X</t>
  </si>
  <si>
    <t>宫军</t>
  </si>
  <si>
    <t>152326196403047113</t>
  </si>
  <si>
    <t>马小艳</t>
  </si>
  <si>
    <t>152326196711017127</t>
  </si>
  <si>
    <t>孙宏伟</t>
  </si>
  <si>
    <t>152326197410207116</t>
  </si>
  <si>
    <t>韩宗艳</t>
  </si>
  <si>
    <t>15232619720618712X</t>
  </si>
  <si>
    <t>张国超</t>
  </si>
  <si>
    <t>152326196902287111</t>
  </si>
  <si>
    <t>尚国风</t>
  </si>
  <si>
    <t>152326197010027124</t>
  </si>
  <si>
    <t>季银玲</t>
  </si>
  <si>
    <t>152326196705137122</t>
  </si>
  <si>
    <t>刘义</t>
  </si>
  <si>
    <t>152326196211127119</t>
  </si>
  <si>
    <t>张翠琴</t>
  </si>
  <si>
    <t>152326196103057141</t>
  </si>
  <si>
    <t>王福祥</t>
  </si>
  <si>
    <t>152326195804247138</t>
  </si>
  <si>
    <t>郭井飞</t>
  </si>
  <si>
    <t>152326197112227119</t>
  </si>
  <si>
    <t>袁文俭</t>
  </si>
  <si>
    <t>15232619590506711X</t>
  </si>
  <si>
    <t>杨桂霞</t>
  </si>
  <si>
    <t>152326196205127120</t>
  </si>
  <si>
    <t>毛占江</t>
  </si>
  <si>
    <t>152326196204277135</t>
  </si>
  <si>
    <t>丁淑芹</t>
  </si>
  <si>
    <t>152326196301257144</t>
  </si>
  <si>
    <t>尹淑芝</t>
  </si>
  <si>
    <r>
      <rPr>
        <sz val="11"/>
        <color theme="1"/>
        <rFont val="宋体"/>
        <charset val="134"/>
        <scheme val="minor"/>
      </rPr>
      <t>15232619640317712</t>
    </r>
    <r>
      <rPr>
        <sz val="11"/>
        <color theme="1"/>
        <rFont val="宋体"/>
        <charset val="134"/>
        <scheme val="minor"/>
      </rPr>
      <t>9</t>
    </r>
  </si>
  <si>
    <t>倪海青</t>
  </si>
  <si>
    <t>152326197010057112</t>
  </si>
  <si>
    <t>王翠连</t>
  </si>
  <si>
    <t>152326197104247128</t>
  </si>
  <si>
    <t>任彩玉</t>
  </si>
  <si>
    <t>152326196710087123</t>
  </si>
  <si>
    <t>董海彬</t>
  </si>
  <si>
    <t>152326196006237116</t>
  </si>
  <si>
    <t>张桂侠</t>
  </si>
  <si>
    <t>152326195801017142</t>
  </si>
  <si>
    <t>王树芝</t>
  </si>
  <si>
    <t>152326196709177121</t>
  </si>
  <si>
    <t>徐继祥</t>
  </si>
  <si>
    <t>152326196701217133</t>
  </si>
  <si>
    <t>谭辉</t>
  </si>
  <si>
    <t>152326196603127118</t>
  </si>
  <si>
    <t>张秀英</t>
  </si>
  <si>
    <t>152326196603237149</t>
  </si>
  <si>
    <t>韩凤兰</t>
  </si>
  <si>
    <t>152326196412127123</t>
  </si>
  <si>
    <t>周淑云</t>
  </si>
  <si>
    <t>152326196308247125</t>
  </si>
  <si>
    <t>张树华</t>
  </si>
  <si>
    <t>152326197412297143</t>
  </si>
  <si>
    <t>孙立民</t>
  </si>
  <si>
    <t>152326198105017118</t>
  </si>
  <si>
    <t>申大鹏</t>
  </si>
  <si>
    <t>152326198303047115</t>
  </si>
  <si>
    <t>尚国文</t>
  </si>
  <si>
    <t>152326197509137111</t>
  </si>
  <si>
    <t>周志明</t>
  </si>
  <si>
    <t>152326198911117156</t>
  </si>
  <si>
    <t>152326197710057113</t>
  </si>
  <si>
    <t>张志钢</t>
  </si>
  <si>
    <t>152326197707147118</t>
  </si>
  <si>
    <t>郭小辉</t>
  </si>
  <si>
    <t>152326197707017129</t>
  </si>
  <si>
    <t>燕常俊</t>
  </si>
  <si>
    <t>152326198312207117</t>
  </si>
  <si>
    <t>梁素英</t>
  </si>
  <si>
    <t>152326198101237148</t>
  </si>
  <si>
    <t>张满红</t>
  </si>
  <si>
    <t>152326198507167127</t>
  </si>
  <si>
    <t>刘铁英</t>
  </si>
  <si>
    <t>152326195903107122</t>
  </si>
  <si>
    <t>林永和</t>
  </si>
  <si>
    <t>152326195708107119</t>
  </si>
  <si>
    <t>15232619601205712X</t>
  </si>
  <si>
    <t>吕国山</t>
  </si>
  <si>
    <t>152326195708157116</t>
  </si>
  <si>
    <t>乔桂珍</t>
  </si>
  <si>
    <t>152326195801167124</t>
  </si>
  <si>
    <t>霍艳红</t>
  </si>
  <si>
    <t>152324197910016065</t>
  </si>
  <si>
    <t>王建国</t>
  </si>
  <si>
    <t>152326197101047112</t>
  </si>
  <si>
    <t>赵晓梅</t>
  </si>
  <si>
    <t>152326197510027120</t>
  </si>
  <si>
    <t>135000</t>
  </si>
  <si>
    <t>四方地村2020年养老保险缴费名单</t>
  </si>
  <si>
    <t>四方地村</t>
  </si>
  <si>
    <t>韩利利</t>
  </si>
  <si>
    <t>152326198511107143</t>
  </si>
  <si>
    <t>刘宝成</t>
  </si>
  <si>
    <t>152326199012287113</t>
  </si>
  <si>
    <t>尹秀玲</t>
  </si>
  <si>
    <t>152326197104107125</t>
  </si>
  <si>
    <t>倪建华</t>
  </si>
  <si>
    <t>152326196711257120</t>
  </si>
  <si>
    <t>150430197604292708</t>
  </si>
  <si>
    <t>齐亚春</t>
  </si>
  <si>
    <t>150525197408266881</t>
  </si>
  <si>
    <t>15232419741118112X</t>
  </si>
  <si>
    <t>15232419770716584X</t>
  </si>
  <si>
    <t>齐素荣</t>
  </si>
  <si>
    <t>15232619610101712X</t>
  </si>
  <si>
    <t>王玉芝</t>
  </si>
  <si>
    <t>152326196101227127</t>
  </si>
  <si>
    <t>白桂清</t>
  </si>
  <si>
    <t>152326196103057125</t>
  </si>
  <si>
    <t>于国</t>
  </si>
  <si>
    <t>152326196110147110</t>
  </si>
  <si>
    <t>王喜山</t>
  </si>
  <si>
    <t>152326196112287117</t>
  </si>
  <si>
    <t>李景英</t>
  </si>
  <si>
    <t>152326196201207123</t>
  </si>
  <si>
    <t>于宝风</t>
  </si>
  <si>
    <t>15232619620218711X</t>
  </si>
  <si>
    <t>于宽</t>
  </si>
  <si>
    <t>152326196203027118</t>
  </si>
  <si>
    <t>石桂香</t>
  </si>
  <si>
    <t>152326196203047127</t>
  </si>
  <si>
    <t>石海生</t>
  </si>
  <si>
    <t>152326196210057139</t>
  </si>
  <si>
    <t>李胜海</t>
  </si>
  <si>
    <t>152326196210257114</t>
  </si>
  <si>
    <t>于宝仓</t>
  </si>
  <si>
    <t>152326196210267136</t>
  </si>
  <si>
    <t>孙连云</t>
  </si>
  <si>
    <t>152326196212217124</t>
  </si>
  <si>
    <t>胡守华</t>
  </si>
  <si>
    <t>152326196301267115</t>
  </si>
  <si>
    <t>刘国芬</t>
  </si>
  <si>
    <t>152326196302057144</t>
  </si>
  <si>
    <t>潘国霞</t>
  </si>
  <si>
    <t>152326196303057146</t>
  </si>
  <si>
    <t>刘国忠</t>
  </si>
  <si>
    <t>152326196304227119</t>
  </si>
  <si>
    <t>林海华</t>
  </si>
  <si>
    <t>15232619630612712X</t>
  </si>
  <si>
    <t>孔显珍</t>
  </si>
  <si>
    <t>152326196308147140</t>
  </si>
  <si>
    <t>胡守富</t>
  </si>
  <si>
    <t>152326196310107113</t>
  </si>
  <si>
    <t>于宝林</t>
  </si>
  <si>
    <t>152326196310247116</t>
  </si>
  <si>
    <t>卢占国</t>
  </si>
  <si>
    <t>152326196401097117</t>
  </si>
  <si>
    <t>152326196401167111</t>
  </si>
  <si>
    <t>董士良</t>
  </si>
  <si>
    <t>152326196402077118</t>
  </si>
  <si>
    <t>15232619640212712X</t>
  </si>
  <si>
    <t>张秀芝</t>
  </si>
  <si>
    <t>152326196402127146</t>
  </si>
  <si>
    <t>周月良</t>
  </si>
  <si>
    <t>152326196403057127</t>
  </si>
  <si>
    <t>韩殿龙</t>
  </si>
  <si>
    <t>152326196403117118</t>
  </si>
  <si>
    <t>郭风芹</t>
  </si>
  <si>
    <t>152326196405207125</t>
  </si>
  <si>
    <t>15232619640618712X</t>
  </si>
  <si>
    <t>李淑芹</t>
  </si>
  <si>
    <t>152326196406247145</t>
  </si>
  <si>
    <t>高井俊</t>
  </si>
  <si>
    <t>152326196409087116</t>
  </si>
  <si>
    <t>刘延彬</t>
  </si>
  <si>
    <t>152326196410037116</t>
  </si>
  <si>
    <t>江青兰</t>
  </si>
  <si>
    <t>152326196410137125</t>
  </si>
  <si>
    <t>于才</t>
  </si>
  <si>
    <t>152326196411017133</t>
  </si>
  <si>
    <t>李胜军</t>
  </si>
  <si>
    <t>152326196502047135</t>
  </si>
  <si>
    <t>王喜文</t>
  </si>
  <si>
    <t>152326196502197117</t>
  </si>
  <si>
    <t>胡德有</t>
  </si>
  <si>
    <t>152326196502287112</t>
  </si>
  <si>
    <t>152326196503057140</t>
  </si>
  <si>
    <t>王喜宝</t>
  </si>
  <si>
    <t>152326196506147117</t>
  </si>
  <si>
    <t>耿海石</t>
  </si>
  <si>
    <t>152326196508077116</t>
  </si>
  <si>
    <t>杨树深</t>
  </si>
  <si>
    <t>152326196509227139</t>
  </si>
  <si>
    <t>石海军</t>
  </si>
  <si>
    <t>152326196512247114</t>
  </si>
  <si>
    <t>152326196602077120</t>
  </si>
  <si>
    <t>陶吉青</t>
  </si>
  <si>
    <t>152326196602257113</t>
  </si>
  <si>
    <t>于淑玲</t>
  </si>
  <si>
    <t>152326196604187147</t>
  </si>
  <si>
    <t>李振</t>
  </si>
  <si>
    <t>152326196604297119</t>
  </si>
  <si>
    <t>吴风云</t>
  </si>
  <si>
    <t>152326196606047121</t>
  </si>
  <si>
    <t>王翠平</t>
  </si>
  <si>
    <t>152326196606097129</t>
  </si>
  <si>
    <t>152326196606177110</t>
  </si>
  <si>
    <t>张国荣</t>
  </si>
  <si>
    <t>152326196606247123</t>
  </si>
  <si>
    <t>胡守新</t>
  </si>
  <si>
    <t>152326196608147118</t>
  </si>
  <si>
    <t>高井树</t>
  </si>
  <si>
    <t>152326196609257116</t>
  </si>
  <si>
    <t>宋风华</t>
  </si>
  <si>
    <t>152326196610287160</t>
  </si>
  <si>
    <t>贾凤艳</t>
  </si>
  <si>
    <t>152326196611107141</t>
  </si>
  <si>
    <t>刘月香</t>
  </si>
  <si>
    <t>152326196611157165</t>
  </si>
  <si>
    <t>于宝良</t>
  </si>
  <si>
    <t>152326196612197118</t>
  </si>
  <si>
    <t>孙秀芬</t>
  </si>
  <si>
    <t>152326196702027120</t>
  </si>
  <si>
    <t>孔令霞</t>
  </si>
  <si>
    <t>152326196702047121</t>
  </si>
  <si>
    <t>张景园</t>
  </si>
  <si>
    <t>152326196703227132</t>
  </si>
  <si>
    <t>152326196704237113</t>
  </si>
  <si>
    <t>高玉芝</t>
  </si>
  <si>
    <t>152326196706117123</t>
  </si>
  <si>
    <t>胡德华</t>
  </si>
  <si>
    <t>152326196708157129</t>
  </si>
  <si>
    <t>张淑侠</t>
  </si>
  <si>
    <t>152326196711067124</t>
  </si>
  <si>
    <t>陶景芳</t>
  </si>
  <si>
    <t>152326196711097112</t>
  </si>
  <si>
    <t>王延杰</t>
  </si>
  <si>
    <t>152326196712247127</t>
  </si>
  <si>
    <t>吴宗华</t>
  </si>
  <si>
    <t>152326196712267128</t>
  </si>
  <si>
    <t>李风山</t>
  </si>
  <si>
    <t>152326196801247110</t>
  </si>
  <si>
    <t>于军</t>
  </si>
  <si>
    <t>152326196804257111</t>
  </si>
  <si>
    <t>万宝辉</t>
  </si>
  <si>
    <t>152326196806027125</t>
  </si>
  <si>
    <t>刘延玲</t>
  </si>
  <si>
    <t>152326196807057123</t>
  </si>
  <si>
    <t>石海峰</t>
  </si>
  <si>
    <t>152326196807067110</t>
  </si>
  <si>
    <t>张文霞</t>
  </si>
  <si>
    <t>152326196807087146</t>
  </si>
  <si>
    <t>胡钢</t>
  </si>
  <si>
    <t>152326196809017117</t>
  </si>
  <si>
    <t>于臣</t>
  </si>
  <si>
    <t>152326196809197138</t>
  </si>
  <si>
    <t>王振才</t>
  </si>
  <si>
    <t>152326196811267115</t>
  </si>
  <si>
    <t>倪建敏</t>
  </si>
  <si>
    <t>152326196812147123</t>
  </si>
  <si>
    <t>李凤军</t>
  </si>
  <si>
    <t>152326196901067117</t>
  </si>
  <si>
    <t>152326196902147127</t>
  </si>
  <si>
    <t>王海风</t>
  </si>
  <si>
    <t>152326196902157157</t>
  </si>
  <si>
    <t>付桂莲</t>
  </si>
  <si>
    <t>152326196903277126</t>
  </si>
  <si>
    <t>郑月荣</t>
  </si>
  <si>
    <t>152326196904117124</t>
  </si>
  <si>
    <t>江海燕</t>
  </si>
  <si>
    <t>152326196905217143</t>
  </si>
  <si>
    <t>152326196906207115</t>
  </si>
  <si>
    <t>孙连武</t>
  </si>
  <si>
    <t>152326196907157113</t>
  </si>
  <si>
    <t>宋占文</t>
  </si>
  <si>
    <t>152326196908197133</t>
  </si>
  <si>
    <t>刘延军</t>
  </si>
  <si>
    <t>152326196909177118</t>
  </si>
  <si>
    <t>152326196911077132</t>
  </si>
  <si>
    <t>杨月英</t>
  </si>
  <si>
    <t>152326196911257125</t>
  </si>
  <si>
    <t>霍占侠</t>
  </si>
  <si>
    <t>152326197004157125</t>
  </si>
  <si>
    <t>陶井玉</t>
  </si>
  <si>
    <t>152326197006207114</t>
  </si>
  <si>
    <t>胡利霞</t>
  </si>
  <si>
    <t>152326197009107127</t>
  </si>
  <si>
    <t>李风春</t>
  </si>
  <si>
    <t>152326197010257130</t>
  </si>
  <si>
    <t>胡德财</t>
  </si>
  <si>
    <t>152326197011247137</t>
  </si>
  <si>
    <t>倪素新</t>
  </si>
  <si>
    <t>152326197012257169</t>
  </si>
  <si>
    <t>胡德云</t>
  </si>
  <si>
    <t>152326197102037119</t>
  </si>
  <si>
    <t>江海福</t>
  </si>
  <si>
    <t>152326197102227115</t>
  </si>
  <si>
    <t>王继国</t>
  </si>
  <si>
    <t>152326197102287118</t>
  </si>
  <si>
    <t>李凤玲</t>
  </si>
  <si>
    <t>152326197103087126</t>
  </si>
  <si>
    <t>刘月玲</t>
  </si>
  <si>
    <t>15232619710313712X</t>
  </si>
  <si>
    <t>152326197104027125</t>
  </si>
  <si>
    <t>152326197104057121</t>
  </si>
  <si>
    <t>152326197104097131</t>
  </si>
  <si>
    <t>卢占芹</t>
  </si>
  <si>
    <t>152326197105237124</t>
  </si>
  <si>
    <t>152326197105257125</t>
  </si>
  <si>
    <t>张辉</t>
  </si>
  <si>
    <t>152326197106067139</t>
  </si>
  <si>
    <t>杨树春</t>
  </si>
  <si>
    <t>152326197109117111</t>
  </si>
  <si>
    <t>张永</t>
  </si>
  <si>
    <t>152326197109157156</t>
  </si>
  <si>
    <t>陶素苓</t>
  </si>
  <si>
    <t>152326197110147123</t>
  </si>
  <si>
    <t>付桂贤</t>
  </si>
  <si>
    <t>15232619711105712X</t>
  </si>
  <si>
    <t>宋占辉</t>
  </si>
  <si>
    <t>152326197202137133</t>
  </si>
  <si>
    <t>韩殿伟</t>
  </si>
  <si>
    <t>152326197202147139</t>
  </si>
  <si>
    <t>崔国福</t>
  </si>
  <si>
    <t>152326197202157118</t>
  </si>
  <si>
    <t>152326197203207121</t>
  </si>
  <si>
    <t>刘延华</t>
  </si>
  <si>
    <t>152326197205087127</t>
  </si>
  <si>
    <t>胡国</t>
  </si>
  <si>
    <t>15232619720905711X</t>
  </si>
  <si>
    <t>于纲</t>
  </si>
  <si>
    <t>152326197210107137</t>
  </si>
  <si>
    <t>李凤艳</t>
  </si>
  <si>
    <t>152326197210157126</t>
  </si>
  <si>
    <t>王继顺</t>
  </si>
  <si>
    <t>152326197210177119</t>
  </si>
  <si>
    <t>胡德昌</t>
  </si>
  <si>
    <t>152326197211067130</t>
  </si>
  <si>
    <t>152326197211227130</t>
  </si>
  <si>
    <t>江海龙</t>
  </si>
  <si>
    <t>152326197211247115</t>
  </si>
  <si>
    <t>苏秀艳</t>
  </si>
  <si>
    <t>152326197212217129</t>
  </si>
  <si>
    <t>胡秀丽</t>
  </si>
  <si>
    <t>152326197303087120</t>
  </si>
  <si>
    <t>石红梅</t>
  </si>
  <si>
    <t>152326197304067148</t>
  </si>
  <si>
    <t>马振红</t>
  </si>
  <si>
    <t>152326197309017166</t>
  </si>
  <si>
    <t>杨树军</t>
  </si>
  <si>
    <t>152326197309257119</t>
  </si>
  <si>
    <t>李少飞</t>
  </si>
  <si>
    <t>152326197310167110</t>
  </si>
  <si>
    <t>王志勇</t>
  </si>
  <si>
    <t>152326197310197117</t>
  </si>
  <si>
    <t>张国芹</t>
  </si>
  <si>
    <t>152326197312077127</t>
  </si>
  <si>
    <t>董爱军</t>
  </si>
  <si>
    <t>152326197401017126</t>
  </si>
  <si>
    <t>霍占荣</t>
  </si>
  <si>
    <t>152326197401137128</t>
  </si>
  <si>
    <t>江海涛</t>
  </si>
  <si>
    <t>152326197401167132</t>
  </si>
  <si>
    <t>15232619740202714X</t>
  </si>
  <si>
    <t>周桂花</t>
  </si>
  <si>
    <t>152326197402167118</t>
  </si>
  <si>
    <t>152326197402227117</t>
  </si>
  <si>
    <t>张贵泳</t>
  </si>
  <si>
    <t>152326197404157132</t>
  </si>
  <si>
    <t>卢占军</t>
  </si>
  <si>
    <t>152326197404187112</t>
  </si>
  <si>
    <t>吕凤玲</t>
  </si>
  <si>
    <t>152326197405257143</t>
  </si>
  <si>
    <t>陶素荣</t>
  </si>
  <si>
    <t>152326197405267122</t>
  </si>
  <si>
    <t>于海坤</t>
  </si>
  <si>
    <t>152326197405297110</t>
  </si>
  <si>
    <t>王海波</t>
  </si>
  <si>
    <t>152326197406087115</t>
  </si>
  <si>
    <t>陶井春</t>
  </si>
  <si>
    <t>152326197408257114</t>
  </si>
  <si>
    <t>王海臣</t>
  </si>
  <si>
    <t>152326197409157131</t>
  </si>
  <si>
    <t>王继文</t>
  </si>
  <si>
    <t>152326197410237112</t>
  </si>
  <si>
    <t>白玉玲</t>
  </si>
  <si>
    <t>152326197410247126</t>
  </si>
  <si>
    <t>李子英</t>
  </si>
  <si>
    <t>152326197411257123</t>
  </si>
  <si>
    <t>胡海满</t>
  </si>
  <si>
    <t>15232619750415713X</t>
  </si>
  <si>
    <t>152326197505077115</t>
  </si>
  <si>
    <t>倪国良</t>
  </si>
  <si>
    <t>152326197506157117</t>
  </si>
  <si>
    <t>建档立卡户</t>
  </si>
  <si>
    <t>152326197506207110</t>
  </si>
  <si>
    <t>温桂雲</t>
  </si>
  <si>
    <t>152326197506217124</t>
  </si>
  <si>
    <t>米金玲</t>
  </si>
  <si>
    <t>152326197507017124</t>
  </si>
  <si>
    <t>152326197507037125</t>
  </si>
  <si>
    <t>张贵名</t>
  </si>
  <si>
    <t>152326197509187135</t>
  </si>
  <si>
    <t>152326197509277114</t>
  </si>
  <si>
    <t>齐艳辉</t>
  </si>
  <si>
    <t>152326197510157128</t>
  </si>
  <si>
    <t>孙连志</t>
  </si>
  <si>
    <t>152326197510197111</t>
  </si>
  <si>
    <t>王国玲</t>
  </si>
  <si>
    <t>152326197510217127</t>
  </si>
  <si>
    <t>于宝平</t>
  </si>
  <si>
    <t>152326197510307114</t>
  </si>
  <si>
    <t>徐世红</t>
  </si>
  <si>
    <t>152326197511057129</t>
  </si>
  <si>
    <t>王振辉</t>
  </si>
  <si>
    <t>152326197511117136</t>
  </si>
  <si>
    <t>李志辉</t>
  </si>
  <si>
    <t>152326197601287139</t>
  </si>
  <si>
    <t>于海军</t>
  </si>
  <si>
    <t>152326197604157110</t>
  </si>
  <si>
    <t>齐学梅</t>
  </si>
  <si>
    <t>152326197604297121</t>
  </si>
  <si>
    <t>15232619760712711X</t>
  </si>
  <si>
    <t>王海金</t>
  </si>
  <si>
    <t>152326197608017115</t>
  </si>
  <si>
    <t>辛建燕</t>
  </si>
  <si>
    <t>152326197608027129</t>
  </si>
  <si>
    <t>崔华</t>
  </si>
  <si>
    <t>152326197608087113</t>
  </si>
  <si>
    <t>韩殿波</t>
  </si>
  <si>
    <t>152326197608257135</t>
  </si>
  <si>
    <t>牛德全</t>
  </si>
  <si>
    <t>152326197609087115</t>
  </si>
  <si>
    <t>于明</t>
  </si>
  <si>
    <t>152326197612047114</t>
  </si>
  <si>
    <t>赵志慧</t>
  </si>
  <si>
    <t>152326197612287118</t>
  </si>
  <si>
    <t>何海荣</t>
  </si>
  <si>
    <t>152326197701067125</t>
  </si>
  <si>
    <t>江海青</t>
  </si>
  <si>
    <t>152326197701207116</t>
  </si>
  <si>
    <t>152326197701247134</t>
  </si>
  <si>
    <t>江海华</t>
  </si>
  <si>
    <t>152326197702217121</t>
  </si>
  <si>
    <t>杨小坤</t>
  </si>
  <si>
    <t>152326197702227143</t>
  </si>
  <si>
    <t>岳风玲</t>
  </si>
  <si>
    <t>152326197704117124</t>
  </si>
  <si>
    <t>152326197704227120</t>
  </si>
  <si>
    <t>陶振华</t>
  </si>
  <si>
    <t>152326197705017117</t>
  </si>
  <si>
    <t>15232619770519712X</t>
  </si>
  <si>
    <t>李春玲</t>
  </si>
  <si>
    <t>152326197707077121</t>
  </si>
  <si>
    <t>胡海彪</t>
  </si>
  <si>
    <t>152326197707117111</t>
  </si>
  <si>
    <t>郑红梅</t>
  </si>
  <si>
    <t>152326197708057122</t>
  </si>
  <si>
    <t>陶玉苹</t>
  </si>
  <si>
    <t>152326197708127127</t>
  </si>
  <si>
    <t>王翠苓</t>
  </si>
  <si>
    <t>15232619771001712X</t>
  </si>
  <si>
    <t>孟繁萍</t>
  </si>
  <si>
    <t>152326197710137121</t>
  </si>
  <si>
    <t>王海华</t>
  </si>
  <si>
    <t>15232619780101715X</t>
  </si>
  <si>
    <t>陶井强</t>
  </si>
  <si>
    <t>152326197801267116</t>
  </si>
  <si>
    <t>吴燕春</t>
  </si>
  <si>
    <t>152326197803077113</t>
  </si>
  <si>
    <t>李志文</t>
  </si>
  <si>
    <t>152326197807197112</t>
  </si>
  <si>
    <t>谭海鹏</t>
  </si>
  <si>
    <t>152326197807227115</t>
  </si>
  <si>
    <t>于宝春</t>
  </si>
  <si>
    <t>15232619780908711X</t>
  </si>
  <si>
    <t>石红杰</t>
  </si>
  <si>
    <t>152326197809187129</t>
  </si>
  <si>
    <t>152326197810027122</t>
  </si>
  <si>
    <t>胡海俊</t>
  </si>
  <si>
    <t>152326197810127115</t>
  </si>
  <si>
    <t>152326197811117111</t>
  </si>
  <si>
    <t>李培凤</t>
  </si>
  <si>
    <t>152326197902017124</t>
  </si>
  <si>
    <t>赵志丽</t>
  </si>
  <si>
    <t>152326197902277129</t>
  </si>
  <si>
    <t>刘广民</t>
  </si>
  <si>
    <t>152326197903227115</t>
  </si>
  <si>
    <t>蔡智慧</t>
  </si>
  <si>
    <t>152326197903287118</t>
  </si>
  <si>
    <t>152326197905297125</t>
  </si>
  <si>
    <t>崔燕</t>
  </si>
  <si>
    <t>152326197906067110</t>
  </si>
  <si>
    <t>崔利红</t>
  </si>
  <si>
    <t>15232619790701714X</t>
  </si>
  <si>
    <t>张春红</t>
  </si>
  <si>
    <t>152326197907207146</t>
  </si>
  <si>
    <t>于敏</t>
  </si>
  <si>
    <t>152326197909167117</t>
  </si>
  <si>
    <t>贾淑梅</t>
  </si>
  <si>
    <t>152326198001207128</t>
  </si>
  <si>
    <t>宋晓红</t>
  </si>
  <si>
    <t>152326198002137125</t>
  </si>
  <si>
    <t>152326198006087129</t>
  </si>
  <si>
    <t>孙亚力</t>
  </si>
  <si>
    <t>152326198009037127</t>
  </si>
  <si>
    <t>胡宝</t>
  </si>
  <si>
    <t>152326198010047138</t>
  </si>
  <si>
    <t>152326198010087113</t>
  </si>
  <si>
    <t>王福</t>
  </si>
  <si>
    <t>152326198010247113</t>
  </si>
  <si>
    <t>张亚辉</t>
  </si>
  <si>
    <t>15232619801107711X</t>
  </si>
  <si>
    <t>耿春梅</t>
  </si>
  <si>
    <t>152326198011147165</t>
  </si>
  <si>
    <t>胡春燕</t>
  </si>
  <si>
    <t>152326198011177161</t>
  </si>
  <si>
    <t>白春玲</t>
  </si>
  <si>
    <t>152326198101017129</t>
  </si>
  <si>
    <t>赵亚宏</t>
  </si>
  <si>
    <t>152326198101247127</t>
  </si>
  <si>
    <t>牛志艳</t>
  </si>
  <si>
    <t>152326198103127129</t>
  </si>
  <si>
    <t>蔡志国</t>
  </si>
  <si>
    <t>152326198105077110</t>
  </si>
  <si>
    <t>152326198109057125</t>
  </si>
  <si>
    <t>张国利</t>
  </si>
  <si>
    <t>152326198110087129</t>
  </si>
  <si>
    <t>于飞</t>
  </si>
  <si>
    <t>152326198201067115</t>
  </si>
  <si>
    <t>胡海军</t>
  </si>
  <si>
    <t>152326198201207114</t>
  </si>
  <si>
    <t>王海玲</t>
  </si>
  <si>
    <t>152326198201267125</t>
  </si>
  <si>
    <t>于亮</t>
  </si>
  <si>
    <t>152326198204107119</t>
  </si>
  <si>
    <t>胡明</t>
  </si>
  <si>
    <t>152326198204187139</t>
  </si>
  <si>
    <t>张国民</t>
  </si>
  <si>
    <t>152326198206027112</t>
  </si>
  <si>
    <t>胡小飞</t>
  </si>
  <si>
    <t>152326198209277133</t>
  </si>
  <si>
    <t>方华</t>
  </si>
  <si>
    <t>152326198211217121</t>
  </si>
  <si>
    <t>樊素丽</t>
  </si>
  <si>
    <t>152326198212207144</t>
  </si>
  <si>
    <t>152326198303077138</t>
  </si>
  <si>
    <t>石红波</t>
  </si>
  <si>
    <t>152326198303107114</t>
  </si>
  <si>
    <t>江海平</t>
  </si>
  <si>
    <t>152326198304017129</t>
  </si>
  <si>
    <t>张桂杨</t>
  </si>
  <si>
    <t>152326198308067115</t>
  </si>
  <si>
    <t>152326198310017133</t>
  </si>
  <si>
    <t>陶振富</t>
  </si>
  <si>
    <t>152326198310037134</t>
  </si>
  <si>
    <t>胡海利</t>
  </si>
  <si>
    <t>152326198310137135</t>
  </si>
  <si>
    <t>胡海舟</t>
  </si>
  <si>
    <t>152326198402177150</t>
  </si>
  <si>
    <t>孟庆利</t>
  </si>
  <si>
    <t>15232619850320308X</t>
  </si>
  <si>
    <t>赵代弟</t>
  </si>
  <si>
    <t>152326198510027125</t>
  </si>
  <si>
    <t>胡海涛</t>
  </si>
  <si>
    <t>152326198603107175</t>
  </si>
  <si>
    <t>王海东</t>
  </si>
  <si>
    <t>152326198605237117</t>
  </si>
  <si>
    <t>王志利</t>
  </si>
  <si>
    <t>152326198611247119</t>
  </si>
  <si>
    <t>152326198801287111</t>
  </si>
  <si>
    <t>陶志海</t>
  </si>
  <si>
    <t>152326198810247111</t>
  </si>
  <si>
    <t>马占丽</t>
  </si>
  <si>
    <t>152326198904097126</t>
  </si>
  <si>
    <t>石宏军</t>
  </si>
  <si>
    <t>15232619890901713X</t>
  </si>
  <si>
    <t>152326198910057120</t>
  </si>
  <si>
    <t>152326199006097110</t>
  </si>
  <si>
    <t>于柱</t>
  </si>
  <si>
    <t>152326199307217112</t>
  </si>
  <si>
    <t>江红星</t>
  </si>
  <si>
    <t>152326199408127116</t>
  </si>
  <si>
    <t>王国辉</t>
  </si>
  <si>
    <t>152326199501247112</t>
  </si>
  <si>
    <t>152326196801057122</t>
  </si>
  <si>
    <t>江海春</t>
  </si>
  <si>
    <t>15232619680608711X</t>
  </si>
  <si>
    <t>于平</t>
  </si>
  <si>
    <t>152326196610067117</t>
  </si>
  <si>
    <t>胡雷</t>
  </si>
  <si>
    <t>152326199309127110</t>
  </si>
  <si>
    <t>刘利成</t>
  </si>
  <si>
    <t>152326198612177116</t>
  </si>
  <si>
    <t>于虎</t>
  </si>
  <si>
    <t>152326197701237112</t>
  </si>
  <si>
    <t>石海琢</t>
  </si>
  <si>
    <t>152326197402137111</t>
  </si>
  <si>
    <t>新增补缴</t>
  </si>
  <si>
    <t>杨淑芹</t>
  </si>
  <si>
    <t>152326196002057126</t>
  </si>
  <si>
    <t>宋占军</t>
  </si>
  <si>
    <t>152326196001297136</t>
  </si>
  <si>
    <t>、</t>
  </si>
  <si>
    <t>四合福村2020年养老保险缴费名单</t>
  </si>
  <si>
    <t>四合福</t>
  </si>
  <si>
    <t>张雪丽</t>
  </si>
  <si>
    <t>15232620021216712X</t>
  </si>
  <si>
    <t>刘亚萍</t>
  </si>
  <si>
    <t>刘文秀</t>
  </si>
  <si>
    <t>董晓红</t>
  </si>
  <si>
    <t>樊素娟</t>
  </si>
  <si>
    <t>樊素影</t>
  </si>
  <si>
    <t>张忠慧</t>
  </si>
  <si>
    <t>刘长军</t>
  </si>
  <si>
    <t>高彦秋</t>
  </si>
  <si>
    <t>曹羽</t>
  </si>
  <si>
    <t>高明华</t>
  </si>
  <si>
    <t>张云龙</t>
  </si>
  <si>
    <t>15232619880108711X</t>
  </si>
  <si>
    <t>李敬</t>
  </si>
  <si>
    <t>朱彦辉</t>
  </si>
  <si>
    <t>="152326198805087117"</t>
  </si>
  <si>
    <t>二级残</t>
  </si>
  <si>
    <t>申国美</t>
  </si>
  <si>
    <t>15232619881104712X</t>
  </si>
  <si>
    <t>冯利娟</t>
  </si>
  <si>
    <t>李广先</t>
  </si>
  <si>
    <t>李小刚</t>
  </si>
  <si>
    <t>李宏莲</t>
  </si>
  <si>
    <t>董小梅</t>
  </si>
  <si>
    <t>李国芬</t>
  </si>
  <si>
    <t>朱艳芳</t>
  </si>
  <si>
    <t>15232619841010711X</t>
  </si>
  <si>
    <t>侯占路</t>
  </si>
  <si>
    <t>程明花</t>
  </si>
  <si>
    <t>李忠权</t>
  </si>
  <si>
    <t>高艳忠</t>
  </si>
  <si>
    <t>高子春</t>
  </si>
  <si>
    <t>侯广利</t>
  </si>
  <si>
    <t>庞恩凤</t>
  </si>
  <si>
    <t>曹贺</t>
  </si>
  <si>
    <t>高艳强</t>
  </si>
  <si>
    <t>邢秀娟</t>
  </si>
  <si>
    <t>冯立双</t>
  </si>
  <si>
    <t>樊红军</t>
  </si>
  <si>
    <t>李艳东</t>
  </si>
  <si>
    <t>王洪成</t>
  </si>
  <si>
    <t>张艳波</t>
  </si>
  <si>
    <t>王志艳</t>
  </si>
  <si>
    <t>杨玉龙</t>
  </si>
  <si>
    <t>刘明礼</t>
  </si>
  <si>
    <t>陈艳茹</t>
  </si>
  <si>
    <t>15232619800227711X</t>
  </si>
  <si>
    <t>贾力双</t>
  </si>
  <si>
    <t>张亚茹</t>
  </si>
  <si>
    <t>朱华</t>
  </si>
  <si>
    <t>任艳华</t>
  </si>
  <si>
    <t>李万青</t>
  </si>
  <si>
    <t>梁冠华</t>
  </si>
  <si>
    <t>高彦飞</t>
  </si>
  <si>
    <t>樊振东</t>
  </si>
  <si>
    <t>董国慧</t>
  </si>
  <si>
    <t>15232619790305711X</t>
  </si>
  <si>
    <t>张云权</t>
  </si>
  <si>
    <t>侯占军</t>
  </si>
  <si>
    <t>刘利梅</t>
  </si>
  <si>
    <t>张新</t>
  </si>
  <si>
    <t>樊振武</t>
  </si>
  <si>
    <t>15232619780203711X</t>
  </si>
  <si>
    <t>董立辉</t>
  </si>
  <si>
    <t>李艳萍</t>
  </si>
  <si>
    <t>于树苓</t>
  </si>
  <si>
    <t>张洪艳</t>
  </si>
  <si>
    <t>于晓华</t>
  </si>
  <si>
    <t>张云忠</t>
  </si>
  <si>
    <t>15232619780307713X</t>
  </si>
  <si>
    <t>张丽艳</t>
  </si>
  <si>
    <t>刘向红</t>
  </si>
  <si>
    <t>邵凤珍</t>
  </si>
  <si>
    <t>谭向华</t>
  </si>
  <si>
    <t>李万红</t>
  </si>
  <si>
    <t>冯利刚</t>
  </si>
  <si>
    <t>李忠哲</t>
  </si>
  <si>
    <t>黄秀梅</t>
  </si>
  <si>
    <t>康旭文</t>
  </si>
  <si>
    <t>朱裕</t>
  </si>
  <si>
    <t>陈立新</t>
  </si>
  <si>
    <t>="152326197609204086"</t>
  </si>
  <si>
    <t>梁明和</t>
  </si>
  <si>
    <t>李子红</t>
  </si>
  <si>
    <t>董利军</t>
  </si>
  <si>
    <t>刘艳龙</t>
  </si>
  <si>
    <t>="152326197606057113"</t>
  </si>
  <si>
    <t>刘扬</t>
  </si>
  <si>
    <t>王金英</t>
  </si>
  <si>
    <t>樊红艳</t>
  </si>
  <si>
    <t>高彦辉</t>
  </si>
  <si>
    <t>辛志华</t>
  </si>
  <si>
    <t>高彦羽</t>
  </si>
  <si>
    <t>杜艳平</t>
  </si>
  <si>
    <t>于跃</t>
  </si>
  <si>
    <t>贾风来</t>
  </si>
  <si>
    <t>庞恩艳</t>
  </si>
  <si>
    <t>焦晓梅</t>
  </si>
  <si>
    <t>15232619750726714X</t>
  </si>
  <si>
    <t>于晓忠</t>
  </si>
  <si>
    <t>高丽云</t>
  </si>
  <si>
    <t>樊宏梅</t>
  </si>
  <si>
    <t>胡秀梅</t>
  </si>
  <si>
    <t>董国军</t>
  </si>
  <si>
    <t>李风伟</t>
  </si>
  <si>
    <t>李万海</t>
  </si>
  <si>
    <t>刘俊</t>
  </si>
  <si>
    <t>郝树辉</t>
  </si>
  <si>
    <t>李国臣</t>
  </si>
  <si>
    <t>马永生</t>
  </si>
  <si>
    <t>张成林</t>
  </si>
  <si>
    <t>李广哲</t>
  </si>
  <si>
    <t>潘国军</t>
  </si>
  <si>
    <t>梁明坤</t>
  </si>
  <si>
    <t>高利彦</t>
  </si>
  <si>
    <t>高彦梅</t>
  </si>
  <si>
    <t>齐福财</t>
  </si>
  <si>
    <t>侯作平</t>
  </si>
  <si>
    <t>朱喜</t>
  </si>
  <si>
    <t>15232619730310711X</t>
  </si>
  <si>
    <t>田晓民</t>
  </si>
  <si>
    <t>王铁英</t>
  </si>
  <si>
    <t>贾力宇</t>
  </si>
  <si>
    <t>王义刚</t>
  </si>
  <si>
    <t>季学荣</t>
  </si>
  <si>
    <t>张国辉</t>
  </si>
  <si>
    <t>刘月侠</t>
  </si>
  <si>
    <t>贾立坤</t>
  </si>
  <si>
    <t>赵淑华</t>
  </si>
  <si>
    <t>15232619720212712X</t>
  </si>
  <si>
    <t>高彦志</t>
  </si>
  <si>
    <t>李景红</t>
  </si>
  <si>
    <t>路凤侠</t>
  </si>
  <si>
    <t>冯利国</t>
  </si>
  <si>
    <t>李连花</t>
  </si>
  <si>
    <t>马永武</t>
  </si>
  <si>
    <t>15232619710210713X</t>
  </si>
  <si>
    <t>肖敬凤</t>
  </si>
  <si>
    <t>刘永</t>
  </si>
  <si>
    <t>高彦军</t>
  </si>
  <si>
    <t>15232619710907713X</t>
  </si>
  <si>
    <t>侯作梅</t>
  </si>
  <si>
    <t>梁淑梅</t>
  </si>
  <si>
    <t>于恒臣</t>
  </si>
  <si>
    <t>韩成贵</t>
  </si>
  <si>
    <t>王艳奎</t>
  </si>
  <si>
    <t>王洪军</t>
  </si>
  <si>
    <t>田晓军</t>
  </si>
  <si>
    <t>张文玲</t>
  </si>
  <si>
    <t>马晓华</t>
  </si>
  <si>
    <t>张月云</t>
  </si>
  <si>
    <t>张国福</t>
  </si>
  <si>
    <t>邵风华</t>
  </si>
  <si>
    <t>15232619700921714X</t>
  </si>
  <si>
    <t>张忠华</t>
  </si>
  <si>
    <t>李艳清</t>
  </si>
  <si>
    <t>陈玉英</t>
  </si>
  <si>
    <t>王凤奎</t>
  </si>
  <si>
    <t>15232619700509711X</t>
  </si>
  <si>
    <t>赵红伟</t>
  </si>
  <si>
    <t>樊素玲</t>
  </si>
  <si>
    <t>杨桂玲</t>
  </si>
  <si>
    <t>于祥</t>
  </si>
  <si>
    <t>贾桂平</t>
  </si>
  <si>
    <t>张国全</t>
  </si>
  <si>
    <t>15232619691112711X</t>
  </si>
  <si>
    <t>李志芳</t>
  </si>
  <si>
    <t>韩翠花</t>
  </si>
  <si>
    <t>贾凤芹</t>
  </si>
  <si>
    <t>贾立侠</t>
  </si>
  <si>
    <t>李英军</t>
  </si>
  <si>
    <t>赵永刚</t>
  </si>
  <si>
    <t>樊振海</t>
  </si>
  <si>
    <t>李应文</t>
  </si>
  <si>
    <t>路广福</t>
  </si>
  <si>
    <t>华泽玲</t>
  </si>
  <si>
    <t>丁淑云</t>
  </si>
  <si>
    <t>吴彩文</t>
  </si>
  <si>
    <t>崔艳军</t>
  </si>
  <si>
    <t>冯利友</t>
  </si>
  <si>
    <t>侯作忠</t>
  </si>
  <si>
    <t>韩桂玲</t>
  </si>
  <si>
    <t>李志起</t>
  </si>
  <si>
    <t>武风华</t>
  </si>
  <si>
    <t>季学新</t>
  </si>
  <si>
    <t>张国芝</t>
  </si>
  <si>
    <t>陈玉红</t>
  </si>
  <si>
    <t>高力</t>
  </si>
  <si>
    <t>15232619680624711X</t>
  </si>
  <si>
    <t>刘月英</t>
  </si>
  <si>
    <t>张志军</t>
  </si>
  <si>
    <t>樊振喜</t>
  </si>
  <si>
    <t>李万臣</t>
  </si>
  <si>
    <t>樊素香</t>
  </si>
  <si>
    <t>路广军</t>
  </si>
  <si>
    <t>王利平</t>
  </si>
  <si>
    <t>刘俊英</t>
  </si>
  <si>
    <t>于恒军</t>
  </si>
  <si>
    <t>陈玉</t>
  </si>
  <si>
    <t>15232619670127711X</t>
  </si>
  <si>
    <t>贾利军</t>
  </si>
  <si>
    <t>马新</t>
  </si>
  <si>
    <t>冯立霞</t>
  </si>
  <si>
    <t>崔艳珍</t>
  </si>
  <si>
    <t>王翠玲</t>
  </si>
  <si>
    <t>李洪武</t>
  </si>
  <si>
    <t>高永</t>
  </si>
  <si>
    <t>崔清华</t>
  </si>
  <si>
    <t>侯作军</t>
  </si>
  <si>
    <t>孙淑霞</t>
  </si>
  <si>
    <t>王艳东</t>
  </si>
  <si>
    <t>15232619661028711X</t>
  </si>
  <si>
    <t>吴彩芹</t>
  </si>
  <si>
    <t>张忠喜</t>
  </si>
  <si>
    <t>藏桂珍</t>
  </si>
  <si>
    <t>张玉娟</t>
  </si>
  <si>
    <t>高宾</t>
  </si>
  <si>
    <t>李素花</t>
  </si>
  <si>
    <t>邵风芹</t>
  </si>
  <si>
    <t>刘忠</t>
  </si>
  <si>
    <t>田云峰</t>
  </si>
  <si>
    <t>季淑兰</t>
  </si>
  <si>
    <t>王威</t>
  </si>
  <si>
    <t>周桂云</t>
  </si>
  <si>
    <t>张翠萍</t>
  </si>
  <si>
    <t>高素月</t>
  </si>
  <si>
    <t>李希文</t>
  </si>
  <si>
    <t>季翠芬</t>
  </si>
  <si>
    <t>尚瑞珍</t>
  </si>
  <si>
    <t>侯香莲</t>
  </si>
  <si>
    <t>韩有</t>
  </si>
  <si>
    <t>李平海</t>
  </si>
  <si>
    <t>吴风芹</t>
  </si>
  <si>
    <t>潘国義</t>
  </si>
  <si>
    <t>15232619640809711X</t>
  </si>
  <si>
    <t>刘万华</t>
  </si>
  <si>
    <t>马喜芹</t>
  </si>
  <si>
    <t>陶素秀</t>
  </si>
  <si>
    <t>冯连富</t>
  </si>
  <si>
    <t>15232619640913711X</t>
  </si>
  <si>
    <t>申久玲</t>
  </si>
  <si>
    <t>郭秀英</t>
  </si>
  <si>
    <t>杨金荣</t>
  </si>
  <si>
    <t>张贵杰</t>
  </si>
  <si>
    <t>谭福侠</t>
  </si>
  <si>
    <t>崔桂侠</t>
  </si>
  <si>
    <t>="152326196301047147"</t>
  </si>
  <si>
    <t>刘月娥</t>
  </si>
  <si>
    <t>15232619631006714X</t>
  </si>
  <si>
    <t>华泽芹</t>
  </si>
  <si>
    <t>15232619630417714X</t>
  </si>
  <si>
    <t>李洪文</t>
  </si>
  <si>
    <t>曹孟和</t>
  </si>
  <si>
    <t>张桂起</t>
  </si>
  <si>
    <t>王丙荣</t>
  </si>
  <si>
    <t>孙国臣</t>
  </si>
  <si>
    <t>包忠</t>
  </si>
  <si>
    <t>刘国芹</t>
  </si>
  <si>
    <t>15232619620107712X</t>
  </si>
  <si>
    <t>张国金</t>
  </si>
  <si>
    <t>郭秀芬</t>
  </si>
  <si>
    <t>孙国艳</t>
  </si>
  <si>
    <t>于国芹</t>
  </si>
  <si>
    <t>樊秀珍</t>
  </si>
  <si>
    <t>马素侠</t>
  </si>
  <si>
    <t>李宝兰</t>
  </si>
  <si>
    <t>李平义</t>
  </si>
  <si>
    <t>董清范</t>
  </si>
  <si>
    <t>高发</t>
  </si>
  <si>
    <t>侯作海</t>
  </si>
  <si>
    <t>路广平</t>
  </si>
  <si>
    <t>樊国良</t>
  </si>
  <si>
    <t>叶品军</t>
  </si>
  <si>
    <t>白玉芹</t>
  </si>
  <si>
    <t>宋海凤</t>
  </si>
  <si>
    <t>李志梅</t>
  </si>
  <si>
    <t>季素花</t>
  </si>
  <si>
    <t>高财</t>
  </si>
  <si>
    <t>孙玉坤</t>
  </si>
  <si>
    <t>高春</t>
  </si>
  <si>
    <t>唐喜春</t>
  </si>
  <si>
    <t>152326197801107139</t>
  </si>
  <si>
    <t>李艳玲</t>
  </si>
  <si>
    <t>152326197911037127</t>
  </si>
  <si>
    <t>董小娟</t>
  </si>
  <si>
    <t>152326198606197129</t>
  </si>
  <si>
    <t>高艳明</t>
  </si>
  <si>
    <t>152326198801277116</t>
  </si>
  <si>
    <t>张哲</t>
  </si>
  <si>
    <t>152326198312237113</t>
  </si>
  <si>
    <t>李玲</t>
  </si>
  <si>
    <t>152326198502217121</t>
  </si>
  <si>
    <t>李广印</t>
  </si>
  <si>
    <t>152326197603017116</t>
  </si>
  <si>
    <t>董国华</t>
  </si>
  <si>
    <t>152326197609037126</t>
  </si>
  <si>
    <t>李国君</t>
  </si>
  <si>
    <t>15232619720921711X</t>
  </si>
  <si>
    <t>李志泉</t>
  </si>
  <si>
    <t>152326197106047111</t>
  </si>
  <si>
    <t>李淑辉</t>
  </si>
  <si>
    <t>152326197307097123</t>
  </si>
  <si>
    <t>李志军</t>
  </si>
  <si>
    <t>152326197405117116</t>
  </si>
  <si>
    <t>左志娟</t>
  </si>
  <si>
    <t>152326197107027120</t>
  </si>
  <si>
    <t>高艳杰</t>
  </si>
  <si>
    <t>152326198205137133</t>
  </si>
  <si>
    <t>范海燕</t>
  </si>
  <si>
    <t>152326197204057129</t>
  </si>
  <si>
    <t>152326197201097117</t>
  </si>
  <si>
    <t>侯作荣</t>
  </si>
  <si>
    <t>152326197102287126</t>
  </si>
  <si>
    <t>152326197112257115</t>
  </si>
  <si>
    <t>李广栋</t>
  </si>
  <si>
    <t>152326198506057110</t>
  </si>
  <si>
    <t>张艳花</t>
  </si>
  <si>
    <t>152326199105027142</t>
  </si>
  <si>
    <t>张路</t>
  </si>
  <si>
    <t>152326199105187111</t>
  </si>
  <si>
    <t>张文杰</t>
  </si>
  <si>
    <t>152326197508187117</t>
  </si>
  <si>
    <t>李鑫</t>
  </si>
  <si>
    <t>152326198712227117</t>
  </si>
  <si>
    <t>高彦生</t>
  </si>
  <si>
    <t>152326198901207131</t>
  </si>
  <si>
    <t>冯艳杰</t>
  </si>
  <si>
    <t>152326199107197129</t>
  </si>
  <si>
    <t>包利利</t>
  </si>
  <si>
    <t>152326198802047128</t>
  </si>
  <si>
    <t>刘小磊</t>
  </si>
  <si>
    <t>152326199403297124</t>
  </si>
  <si>
    <t>王宁</t>
  </si>
  <si>
    <t>152326199312077118</t>
  </si>
  <si>
    <t>152326197906267120</t>
  </si>
  <si>
    <t>高艳成</t>
  </si>
  <si>
    <t>152326197912077155</t>
  </si>
  <si>
    <t>齐福有</t>
  </si>
  <si>
    <t>张桂林</t>
  </si>
  <si>
    <t>张志刚</t>
  </si>
  <si>
    <t>吴俊</t>
  </si>
  <si>
    <t>152326197502137119</t>
  </si>
  <si>
    <t>安秀艳</t>
  </si>
  <si>
    <t>152326197512167127</t>
  </si>
  <si>
    <t>武冬梅</t>
  </si>
  <si>
    <t>152324198512041120</t>
  </si>
  <si>
    <t>申喜芝</t>
  </si>
  <si>
    <t>152326196503017149</t>
  </si>
  <si>
    <t>张忠玉</t>
  </si>
  <si>
    <t>152326197302107118</t>
  </si>
  <si>
    <t>高风玲</t>
  </si>
  <si>
    <t>152326197501257127</t>
  </si>
  <si>
    <t>高艳学</t>
  </si>
  <si>
    <t>152326199502277110</t>
  </si>
  <si>
    <t>152326197709256860</t>
  </si>
  <si>
    <t>马双贺</t>
  </si>
  <si>
    <t>152326199411037111</t>
  </si>
  <si>
    <t>马永国</t>
  </si>
  <si>
    <t>15232619740102713X</t>
  </si>
  <si>
    <t>南东梅</t>
  </si>
  <si>
    <t>152324197908041827</t>
  </si>
  <si>
    <t>张文海</t>
  </si>
  <si>
    <t>15232619720910713X</t>
  </si>
  <si>
    <t>张文财</t>
  </si>
  <si>
    <t>152326196208297133</t>
  </si>
  <si>
    <t>赵永生</t>
  </si>
  <si>
    <t>152326197402177113</t>
  </si>
  <si>
    <t>152326197002147134</t>
  </si>
  <si>
    <t>蒋成</t>
  </si>
  <si>
    <t>152326196904297110</t>
  </si>
  <si>
    <t>吴彩华</t>
  </si>
  <si>
    <t>152326196904307120</t>
  </si>
  <si>
    <t>当海嘎查2020年养老保险缴费名单</t>
  </si>
  <si>
    <t>当海嘎查</t>
  </si>
  <si>
    <t>高友森</t>
  </si>
  <si>
    <t>152326196210137112</t>
  </si>
  <si>
    <t>152326196905087131</t>
  </si>
  <si>
    <t>陈建冻</t>
  </si>
  <si>
    <t>152326198411077119</t>
  </si>
  <si>
    <t>李月梅</t>
  </si>
  <si>
    <t>152326198611087143</t>
  </si>
  <si>
    <t>吴晓永</t>
  </si>
  <si>
    <t>152326197407157111</t>
  </si>
  <si>
    <t>于再华</t>
  </si>
  <si>
    <t>152326197609207164</t>
  </si>
  <si>
    <t>152326196208157122</t>
  </si>
  <si>
    <t>高卫堂</t>
  </si>
  <si>
    <t>152326196107107126</t>
  </si>
  <si>
    <t>刘俊学</t>
  </si>
  <si>
    <t>152326197510227114</t>
  </si>
  <si>
    <t>王桂琢</t>
  </si>
  <si>
    <t>152326197508287126</t>
  </si>
  <si>
    <t>白强</t>
  </si>
  <si>
    <t>152326197009137131</t>
  </si>
  <si>
    <t>包清河</t>
  </si>
  <si>
    <t>152326197207177126</t>
  </si>
  <si>
    <t>白永</t>
  </si>
  <si>
    <t>152326198311137110</t>
  </si>
  <si>
    <t>吕海亮</t>
  </si>
  <si>
    <t>152326197109217139</t>
  </si>
  <si>
    <t>赵春玲</t>
  </si>
  <si>
    <t>152326197210107129</t>
  </si>
  <si>
    <t>于连军</t>
  </si>
  <si>
    <t>152326197009077132</t>
  </si>
  <si>
    <t>白玉花</t>
  </si>
  <si>
    <t>152326196910157122</t>
  </si>
  <si>
    <t>王玉保</t>
  </si>
  <si>
    <t>152326198403227133</t>
  </si>
  <si>
    <t>佟和春</t>
  </si>
  <si>
    <t>152326198401037113</t>
  </si>
  <si>
    <t>于艳秋</t>
  </si>
  <si>
    <t>152327198908204167</t>
  </si>
  <si>
    <t>于国杰</t>
  </si>
  <si>
    <t>152326196907087127</t>
  </si>
  <si>
    <t>于根山</t>
  </si>
  <si>
    <t>152326198309167134</t>
  </si>
  <si>
    <t>庞学艳</t>
  </si>
  <si>
    <t>152326197905042288</t>
  </si>
  <si>
    <t>金丽华</t>
  </si>
  <si>
    <t>152326196805117129</t>
  </si>
  <si>
    <t>李春雨</t>
  </si>
  <si>
    <t>152326198102037113</t>
  </si>
  <si>
    <t>吴艳丽</t>
  </si>
  <si>
    <t>152326198309227141</t>
  </si>
  <si>
    <t>刘俊成</t>
  </si>
  <si>
    <t>152326197212147116</t>
  </si>
  <si>
    <t>152326199903227130</t>
  </si>
  <si>
    <t>刘晶晶</t>
  </si>
  <si>
    <t>152326199310267161</t>
  </si>
  <si>
    <t>刘阳阳</t>
  </si>
  <si>
    <t>152326199710227126</t>
  </si>
  <si>
    <t>刘智明</t>
  </si>
  <si>
    <t>152326200204057115</t>
  </si>
  <si>
    <t>于德财</t>
  </si>
  <si>
    <t>152326196410087113</t>
  </si>
  <si>
    <t>姜素文</t>
  </si>
  <si>
    <t>15232619670825712X</t>
  </si>
  <si>
    <t>姜素艳</t>
  </si>
  <si>
    <t>152326196603017146</t>
  </si>
  <si>
    <t>尹铁军</t>
  </si>
  <si>
    <t>152326198608117110</t>
  </si>
  <si>
    <t>152324199101106828</t>
  </si>
  <si>
    <t>马英</t>
  </si>
  <si>
    <t>15232619871009711X</t>
  </si>
  <si>
    <t>王娇娇</t>
  </si>
  <si>
    <t>152327198807140723</t>
  </si>
  <si>
    <t>聂才</t>
  </si>
  <si>
    <t>152326196403267116</t>
  </si>
  <si>
    <t>李翠兰</t>
  </si>
  <si>
    <t>152326196502287120</t>
  </si>
  <si>
    <t>高金龙</t>
  </si>
  <si>
    <t>152326198205137117</t>
  </si>
  <si>
    <t>152326198009017126</t>
  </si>
  <si>
    <t>吴玉柱</t>
  </si>
  <si>
    <t>152326198001277118</t>
  </si>
  <si>
    <t>王明丽</t>
  </si>
  <si>
    <t>152326198001007125</t>
  </si>
  <si>
    <t>王明星</t>
  </si>
  <si>
    <t>152326198410107144</t>
  </si>
  <si>
    <t>刘振清</t>
  </si>
  <si>
    <t>152326196711027114</t>
  </si>
  <si>
    <t>152326196805247126</t>
  </si>
  <si>
    <t>陶俊林</t>
  </si>
  <si>
    <t>152326196904027110</t>
  </si>
  <si>
    <t>赵青丽</t>
  </si>
  <si>
    <t>152326196802277127</t>
  </si>
  <si>
    <t>152326197503237111</t>
  </si>
  <si>
    <t>152326197411267129</t>
  </si>
  <si>
    <t>于立伟</t>
  </si>
  <si>
    <t>152326200207177112</t>
  </si>
  <si>
    <t>王双花</t>
  </si>
  <si>
    <t>152326197709117123</t>
  </si>
  <si>
    <t>李长莲</t>
  </si>
  <si>
    <t>152326196505017142</t>
  </si>
  <si>
    <t>刘立</t>
  </si>
  <si>
    <t>152326198708217135</t>
  </si>
  <si>
    <t>刘利奎</t>
  </si>
  <si>
    <t>15232619920528711X</t>
  </si>
  <si>
    <t>152326196604247111</t>
  </si>
  <si>
    <t>罗翠莲</t>
  </si>
  <si>
    <t>152326196503277127</t>
  </si>
  <si>
    <t>侯文雪</t>
  </si>
  <si>
    <t>152326199110247123</t>
  </si>
  <si>
    <t>李相林</t>
  </si>
  <si>
    <t>152326196401217131</t>
  </si>
  <si>
    <t>杨俊芝</t>
  </si>
  <si>
    <t>152326196201297122</t>
  </si>
  <si>
    <t>152326198804197111</t>
  </si>
  <si>
    <t>李永丽</t>
  </si>
  <si>
    <t>15232619921129712X</t>
  </si>
  <si>
    <t>聂春喜</t>
  </si>
  <si>
    <t>152326196210097114</t>
  </si>
  <si>
    <t>残疾低保</t>
  </si>
  <si>
    <t>王跃新</t>
  </si>
  <si>
    <t>152326196803277129</t>
  </si>
  <si>
    <t>聂志雨</t>
  </si>
  <si>
    <t>152326199006257110</t>
  </si>
  <si>
    <t>152326197211067114</t>
  </si>
  <si>
    <t>韩桂芝</t>
  </si>
  <si>
    <t>152326197703227129</t>
  </si>
  <si>
    <t>王景琪</t>
  </si>
  <si>
    <t>152326200104137118</t>
  </si>
  <si>
    <t>152326196112307122</t>
  </si>
  <si>
    <t>152326198505207148</t>
  </si>
  <si>
    <t>王丽君</t>
  </si>
  <si>
    <t>152326198701137124</t>
  </si>
  <si>
    <t>周军</t>
  </si>
  <si>
    <t>152324196901192118</t>
  </si>
  <si>
    <t>隋艳</t>
  </si>
  <si>
    <t>152324197204032121</t>
  </si>
  <si>
    <t>周宏丽</t>
  </si>
  <si>
    <t>15232619740504712X</t>
  </si>
  <si>
    <t>王素文</t>
  </si>
  <si>
    <t>152326196508197126</t>
  </si>
  <si>
    <t>曹素军</t>
  </si>
  <si>
    <t>152326197010287129</t>
  </si>
  <si>
    <t>张文艳</t>
  </si>
  <si>
    <t>152324197603146046</t>
  </si>
  <si>
    <t>林桂珍</t>
  </si>
  <si>
    <t>152326196411017125</t>
  </si>
  <si>
    <t>高金生</t>
  </si>
  <si>
    <t>15232619641203711X</t>
  </si>
  <si>
    <t>田秀珍</t>
  </si>
  <si>
    <t>152326196301257128</t>
  </si>
  <si>
    <t>张杰</t>
  </si>
  <si>
    <t>152326198508197133</t>
  </si>
  <si>
    <t>吴风军</t>
  </si>
  <si>
    <t>152326198703207122</t>
  </si>
  <si>
    <t>152326198803077118</t>
  </si>
  <si>
    <t>姜欢</t>
  </si>
  <si>
    <t>152326199101127146</t>
  </si>
  <si>
    <t>张玉春</t>
  </si>
  <si>
    <t>152326196602087134</t>
  </si>
  <si>
    <t>高向东</t>
  </si>
  <si>
    <t>152326196210057120</t>
  </si>
  <si>
    <t>白翠珍</t>
  </si>
  <si>
    <t>152326196206127122</t>
  </si>
  <si>
    <t>152326196203167129</t>
  </si>
  <si>
    <t>152326197009287113</t>
  </si>
  <si>
    <t>朱玉莲</t>
  </si>
  <si>
    <t>152326197103027123</t>
  </si>
  <si>
    <t>韩月</t>
  </si>
  <si>
    <t>152326198701157133</t>
  </si>
  <si>
    <t>韩超</t>
  </si>
  <si>
    <t>152326198410087171</t>
  </si>
  <si>
    <t>王宝顺</t>
  </si>
  <si>
    <t>152326198307267131</t>
  </si>
  <si>
    <t>杨金凤</t>
  </si>
  <si>
    <t>152324198412126020</t>
  </si>
  <si>
    <t>刘艳成</t>
  </si>
  <si>
    <t>152326196801107134</t>
  </si>
  <si>
    <t>金丽新</t>
  </si>
  <si>
    <t>152326197209117143</t>
  </si>
  <si>
    <t>于勇</t>
  </si>
  <si>
    <t>152326197910237119</t>
  </si>
  <si>
    <t>根彩花</t>
  </si>
  <si>
    <t>152326197702107125</t>
  </si>
  <si>
    <t>包温都苏</t>
  </si>
  <si>
    <t>152326198106027115</t>
  </si>
  <si>
    <t>尹广凤</t>
  </si>
  <si>
    <t>152324198212186029</t>
  </si>
  <si>
    <t>152326197502247115</t>
  </si>
  <si>
    <t>刘俊艳</t>
  </si>
  <si>
    <t>152326197107107147</t>
  </si>
  <si>
    <t>王越</t>
  </si>
  <si>
    <t>152326199609117125</t>
  </si>
  <si>
    <t>152326200101017110</t>
  </si>
  <si>
    <t>于志国</t>
  </si>
  <si>
    <t>152326197811287110</t>
  </si>
  <si>
    <t>佟艳丽</t>
  </si>
  <si>
    <t>152326197803197123</t>
  </si>
  <si>
    <t>席强</t>
  </si>
  <si>
    <t>152326197005127139</t>
  </si>
  <si>
    <t>包学芹</t>
  </si>
  <si>
    <t>152326197302167129</t>
  </si>
  <si>
    <t>席晶喆</t>
  </si>
  <si>
    <t>152326200106227117</t>
  </si>
  <si>
    <t>席艳艳</t>
  </si>
  <si>
    <t>152326199410127123</t>
  </si>
  <si>
    <t>席占</t>
  </si>
  <si>
    <t>152326197202117124</t>
  </si>
  <si>
    <t>王俊学</t>
  </si>
  <si>
    <t>152326196301017132</t>
  </si>
  <si>
    <t>白巴根那</t>
  </si>
  <si>
    <t>152326197512117138</t>
  </si>
  <si>
    <t>曲丽苹</t>
  </si>
  <si>
    <t>152326197511207123</t>
  </si>
  <si>
    <t>刘艳学</t>
  </si>
  <si>
    <t>152326196707017116</t>
  </si>
  <si>
    <t>152326197010057147</t>
  </si>
  <si>
    <t>刘壯</t>
  </si>
  <si>
    <t>152326199412087110</t>
  </si>
  <si>
    <t>刘晓梅</t>
  </si>
  <si>
    <t>152326199011067127</t>
  </si>
  <si>
    <t>于连付</t>
  </si>
  <si>
    <t>152326197305167116</t>
  </si>
  <si>
    <t>郑海玲</t>
  </si>
  <si>
    <t>152326197705227122</t>
  </si>
  <si>
    <t>边西武</t>
  </si>
  <si>
    <t>152326197610087112</t>
  </si>
  <si>
    <t>包俄等</t>
  </si>
  <si>
    <t>152326197408017129</t>
  </si>
  <si>
    <t>刘艳喜</t>
  </si>
  <si>
    <t>152326197008057113</t>
  </si>
  <si>
    <t>王秀春</t>
  </si>
  <si>
    <t>152326196811147121</t>
  </si>
  <si>
    <t>王波</t>
  </si>
  <si>
    <t>152326197609107112</t>
  </si>
  <si>
    <t>白艳宏</t>
  </si>
  <si>
    <t>152326197105157124</t>
  </si>
  <si>
    <t>152326197107267124</t>
  </si>
  <si>
    <t>乎日乐</t>
  </si>
  <si>
    <t>152326196409217128</t>
  </si>
  <si>
    <t>王力新</t>
  </si>
  <si>
    <t>152326197105107151</t>
  </si>
  <si>
    <t>白金英</t>
  </si>
  <si>
    <t>152326196702187124</t>
  </si>
  <si>
    <t>王鹏</t>
  </si>
  <si>
    <t>152326199202167112</t>
  </si>
  <si>
    <t>李佳杰</t>
  </si>
  <si>
    <t>152326199207067129</t>
  </si>
  <si>
    <t>王鑫辉</t>
  </si>
  <si>
    <t>152326198111097118</t>
  </si>
  <si>
    <t>安秀杰</t>
  </si>
  <si>
    <t>152326196309057120</t>
  </si>
  <si>
    <t>吕海成</t>
  </si>
  <si>
    <t>152326197110317110</t>
  </si>
  <si>
    <t>张国凤</t>
  </si>
  <si>
    <t>152326197109307169</t>
  </si>
  <si>
    <t>王占林</t>
  </si>
  <si>
    <t>152326196612067110</t>
  </si>
  <si>
    <t>王守云</t>
  </si>
  <si>
    <t>152326196810215620</t>
  </si>
  <si>
    <t>庄树霞</t>
  </si>
  <si>
    <t>152326196206167133</t>
  </si>
  <si>
    <t>席财</t>
  </si>
  <si>
    <t>152326197201257133</t>
  </si>
  <si>
    <t>包桂香</t>
  </si>
  <si>
    <t>152326197204057145</t>
  </si>
  <si>
    <t>何林智</t>
  </si>
  <si>
    <t>152326196208157114</t>
  </si>
  <si>
    <t>白艳花</t>
  </si>
  <si>
    <t>152326196204247120</t>
  </si>
  <si>
    <t>陈建秋</t>
  </si>
  <si>
    <t>152326198109307112</t>
  </si>
  <si>
    <t>姜艳杰</t>
  </si>
  <si>
    <t>152326198407204103</t>
  </si>
  <si>
    <t>包玉喜</t>
  </si>
  <si>
    <t>152326196801217114</t>
  </si>
  <si>
    <t>孙莲凤</t>
  </si>
  <si>
    <t>152326197209287126</t>
  </si>
  <si>
    <t>梁勿吉木苏</t>
  </si>
  <si>
    <t>152326196108117123</t>
  </si>
  <si>
    <t>李春风</t>
  </si>
  <si>
    <t>152326197309177119</t>
  </si>
  <si>
    <t>范淑梅</t>
  </si>
  <si>
    <t>152326197311097142</t>
  </si>
  <si>
    <t>152326197301277123</t>
  </si>
  <si>
    <t>赵安琦</t>
  </si>
  <si>
    <t>152326200204097117</t>
  </si>
  <si>
    <t>邢金虎</t>
  </si>
  <si>
    <t>152326198707047111</t>
  </si>
  <si>
    <t>152326198701287122</t>
  </si>
  <si>
    <t>邢金斗</t>
  </si>
  <si>
    <t>152326198505187132</t>
  </si>
  <si>
    <t>152326196308147124</t>
  </si>
  <si>
    <t>白洁</t>
  </si>
  <si>
    <t>152326196909157125</t>
  </si>
  <si>
    <t>王晓辉</t>
  </si>
  <si>
    <t>152326198103057116</t>
  </si>
  <si>
    <t>吕志环</t>
  </si>
  <si>
    <t>152326198106147125</t>
  </si>
  <si>
    <t>史占祥</t>
  </si>
  <si>
    <t>152326198002177119</t>
  </si>
  <si>
    <t>岳红梅</t>
  </si>
  <si>
    <t>152326198107267129</t>
  </si>
  <si>
    <t>吴常清</t>
  </si>
  <si>
    <t>152326196806177115</t>
  </si>
  <si>
    <t>田秀梅</t>
  </si>
  <si>
    <t>15232619670817712X</t>
  </si>
  <si>
    <t>肖占文</t>
  </si>
  <si>
    <t>152326197403177115</t>
  </si>
  <si>
    <t>李志敏</t>
  </si>
  <si>
    <t>152326197609177129</t>
  </si>
  <si>
    <t>152326198007217116</t>
  </si>
  <si>
    <t>张立辉</t>
  </si>
  <si>
    <t>152326198112137126</t>
  </si>
  <si>
    <t>于青</t>
  </si>
  <si>
    <t>152326196909237117</t>
  </si>
  <si>
    <t>李长芹</t>
  </si>
  <si>
    <t>152326197210187122</t>
  </si>
  <si>
    <t>于智丽</t>
  </si>
  <si>
    <t>15232619951002712X</t>
  </si>
  <si>
    <t>白希日木</t>
  </si>
  <si>
    <t>152326197811237113</t>
  </si>
  <si>
    <t>陶俊生</t>
  </si>
  <si>
    <t>152326196706177118</t>
  </si>
  <si>
    <t>白艳丽</t>
  </si>
  <si>
    <t>152326197203027120</t>
  </si>
  <si>
    <t>陈建国</t>
  </si>
  <si>
    <t>152326196601207114</t>
  </si>
  <si>
    <t>白丽红</t>
  </si>
  <si>
    <t>152326196603067127</t>
  </si>
  <si>
    <t>白丽春</t>
  </si>
  <si>
    <t>152326197406307114</t>
  </si>
  <si>
    <t>郑玉荣</t>
  </si>
  <si>
    <t>15232619740923714X</t>
  </si>
  <si>
    <t>宋宁布</t>
  </si>
  <si>
    <t>152326197404297119</t>
  </si>
  <si>
    <t>尹铁莲</t>
  </si>
  <si>
    <t>152326197404047144</t>
  </si>
  <si>
    <t>包玉雷</t>
  </si>
  <si>
    <t>15232619810513711X</t>
  </si>
  <si>
    <t>刘俊路</t>
  </si>
  <si>
    <t>152326198308027121</t>
  </si>
  <si>
    <t>高金成</t>
  </si>
  <si>
    <t>150525198012186871</t>
  </si>
  <si>
    <t>陶俊五</t>
  </si>
  <si>
    <t>152326197212267118</t>
  </si>
  <si>
    <t>陶俊锋</t>
  </si>
  <si>
    <t>152326196506237112</t>
  </si>
  <si>
    <t>郭桂云</t>
  </si>
  <si>
    <t>152326196310057128</t>
  </si>
  <si>
    <t>白海利</t>
  </si>
  <si>
    <t>152326198801277132</t>
  </si>
  <si>
    <t>王静</t>
  </si>
  <si>
    <t>152326198912127145</t>
  </si>
  <si>
    <t>白志学</t>
  </si>
  <si>
    <t>15232619640112711X</t>
  </si>
  <si>
    <t>152326196310017126</t>
  </si>
  <si>
    <t>李井坤</t>
  </si>
  <si>
    <t>152326196401087138</t>
  </si>
  <si>
    <t>152326196304197124</t>
  </si>
  <si>
    <t>林翠兰</t>
  </si>
  <si>
    <t>152326196406247129</t>
  </si>
  <si>
    <t>张青</t>
  </si>
  <si>
    <t>152326198401107118</t>
  </si>
  <si>
    <t>李显红</t>
  </si>
  <si>
    <t>152326198512217141</t>
  </si>
  <si>
    <t>张玉林</t>
  </si>
  <si>
    <t>152326196302177138</t>
  </si>
  <si>
    <t>王钦卫</t>
  </si>
  <si>
    <t>152326198209167137</t>
  </si>
  <si>
    <t>王钦敏</t>
  </si>
  <si>
    <t>152326198801107117</t>
  </si>
  <si>
    <t>肖占宏</t>
  </si>
  <si>
    <t>152326198211057113</t>
  </si>
  <si>
    <t>152326198609211184</t>
  </si>
  <si>
    <t>王立杰</t>
  </si>
  <si>
    <t>152326199102177110</t>
  </si>
  <si>
    <t>王立华</t>
  </si>
  <si>
    <t>152326198812097129</t>
  </si>
  <si>
    <t>赵伟锋</t>
  </si>
  <si>
    <t>152326198410257118</t>
  </si>
  <si>
    <t>152324198611296049</t>
  </si>
  <si>
    <t>佟艳珍</t>
  </si>
  <si>
    <t>15232619741208712X</t>
  </si>
  <si>
    <t>152326197008067143</t>
  </si>
  <si>
    <t>于德雨</t>
  </si>
  <si>
    <t>152326196706107136</t>
  </si>
  <si>
    <t>孟凡青</t>
  </si>
  <si>
    <t>152326196711287127</t>
  </si>
  <si>
    <t>张月</t>
  </si>
  <si>
    <t>152326200207087125</t>
  </si>
  <si>
    <t>张方</t>
  </si>
  <si>
    <t>152326200207087141</t>
  </si>
  <si>
    <t>于铁柱</t>
  </si>
  <si>
    <t>152326197409057114</t>
  </si>
  <si>
    <t>包青</t>
  </si>
  <si>
    <t>152326196510087110</t>
  </si>
  <si>
    <t>152326197704217117</t>
  </si>
  <si>
    <t>于景齐</t>
  </si>
  <si>
    <t>152326200301247113</t>
  </si>
  <si>
    <t>白文龙</t>
  </si>
  <si>
    <t>152326197808117110</t>
  </si>
  <si>
    <t>李丽卫</t>
  </si>
  <si>
    <t>152324197701086024</t>
  </si>
  <si>
    <t>陈建顺</t>
  </si>
  <si>
    <t>152326198209017112</t>
  </si>
  <si>
    <t>152327198409294129</t>
  </si>
  <si>
    <t>邢宝文</t>
  </si>
  <si>
    <t>152326196304287138</t>
  </si>
  <si>
    <t>程艳春</t>
  </si>
  <si>
    <t>152326196701147120</t>
  </si>
  <si>
    <t>15232619880308713X</t>
  </si>
  <si>
    <t>吴云良</t>
  </si>
  <si>
    <t>152326198808197127</t>
  </si>
  <si>
    <t>白音朝古拉</t>
  </si>
  <si>
    <t>152326199404047135</t>
  </si>
  <si>
    <t>刘冬雪</t>
  </si>
  <si>
    <t>152326199311107127</t>
  </si>
  <si>
    <t>宋力武</t>
  </si>
  <si>
    <t>152326197511297114</t>
  </si>
  <si>
    <t>陈建新</t>
  </si>
  <si>
    <t>152326197606057121</t>
  </si>
  <si>
    <t>赵显玲</t>
  </si>
  <si>
    <t>152326197611157143</t>
  </si>
  <si>
    <t>佟海军</t>
  </si>
  <si>
    <t>152326197506087112</t>
  </si>
  <si>
    <t>金玉</t>
  </si>
  <si>
    <t>152326196206057152</t>
  </si>
  <si>
    <t>梁晓辉</t>
  </si>
  <si>
    <t>152326198109127146</t>
  </si>
  <si>
    <t>邢宝富</t>
  </si>
  <si>
    <t>152326196509247113</t>
  </si>
  <si>
    <t>邢宝伍</t>
  </si>
  <si>
    <t>152326197101117117</t>
  </si>
  <si>
    <t>李春园</t>
  </si>
  <si>
    <t>152326198304067118</t>
  </si>
  <si>
    <t>何金宝</t>
  </si>
  <si>
    <t>152326196710117118</t>
  </si>
  <si>
    <t>152326197404157124</t>
  </si>
  <si>
    <t>聂桂琴</t>
  </si>
  <si>
    <t>152326196410027129</t>
  </si>
  <si>
    <t>樊振凤</t>
  </si>
  <si>
    <t>152326198202127124</t>
  </si>
  <si>
    <t>杨玉凤</t>
  </si>
  <si>
    <t>152326197901217140</t>
  </si>
  <si>
    <t>152326197903257146</t>
  </si>
  <si>
    <t>15232619781118711X</t>
  </si>
  <si>
    <t>王哲琦</t>
  </si>
  <si>
    <t>152301200011030015</t>
  </si>
  <si>
    <t>佟艳成</t>
  </si>
  <si>
    <t>152326198204077116</t>
  </si>
  <si>
    <t>包团亮</t>
  </si>
  <si>
    <t>152326198005147628</t>
  </si>
  <si>
    <t>15232619830319713X</t>
  </si>
  <si>
    <t>董晓青</t>
  </si>
  <si>
    <t>152326197612187117</t>
  </si>
  <si>
    <t>王鑫华</t>
  </si>
  <si>
    <t>152326197910107111</t>
  </si>
  <si>
    <t>白艳玲</t>
  </si>
  <si>
    <t>152326197808287128</t>
  </si>
  <si>
    <t>孙国金</t>
  </si>
  <si>
    <t>152326197001137137</t>
  </si>
  <si>
    <t>秀英</t>
  </si>
  <si>
    <t>15232619720522120X</t>
  </si>
  <si>
    <t>吴晓东</t>
  </si>
  <si>
    <t>152326197007247118</t>
  </si>
  <si>
    <t>王丽娟</t>
  </si>
  <si>
    <t>152326197203027147</t>
  </si>
  <si>
    <t>吴晓锋</t>
  </si>
  <si>
    <t>152326197210167113</t>
  </si>
  <si>
    <t>152326196403037126</t>
  </si>
  <si>
    <t>何玉良</t>
  </si>
  <si>
    <t>152326197311207110</t>
  </si>
  <si>
    <t>席金</t>
  </si>
  <si>
    <t>152326196407117115</t>
  </si>
  <si>
    <t>佟艳霞</t>
  </si>
  <si>
    <t>152326196810287122</t>
  </si>
  <si>
    <t>152326197701247118</t>
  </si>
  <si>
    <t>15232619780821712X</t>
  </si>
  <si>
    <t>吕海军</t>
  </si>
  <si>
    <t>152326197601277117</t>
  </si>
  <si>
    <t>马莲花</t>
  </si>
  <si>
    <t>152326198107012820</t>
  </si>
  <si>
    <t>王明超</t>
  </si>
  <si>
    <t>152326198109297137</t>
  </si>
  <si>
    <t>刘立春</t>
  </si>
  <si>
    <t>15232619761210713X</t>
  </si>
  <si>
    <t>152326197908287125</t>
  </si>
  <si>
    <t>包德全</t>
  </si>
  <si>
    <t>152326196710127113</t>
  </si>
  <si>
    <t>李相兰</t>
  </si>
  <si>
    <t>152326196602047124</t>
  </si>
  <si>
    <t>2010</t>
  </si>
  <si>
    <t>辣椒铺嘎查2020年养老保险缴费名单</t>
  </si>
  <si>
    <t>辣椒铺</t>
  </si>
  <si>
    <t>常宝山</t>
  </si>
  <si>
    <t>152326200103167139</t>
  </si>
  <si>
    <t>刘小鹏</t>
  </si>
  <si>
    <t>152326199710277115</t>
  </si>
  <si>
    <t>于建强</t>
  </si>
  <si>
    <t>152326199612207113</t>
  </si>
  <si>
    <t>152326199606167127</t>
  </si>
  <si>
    <t>刘丽超</t>
  </si>
  <si>
    <t>152326199601077114</t>
  </si>
  <si>
    <t>宝宏</t>
  </si>
  <si>
    <t>152326199505067135</t>
  </si>
  <si>
    <t>宝日勒</t>
  </si>
  <si>
    <t>152326199509067116</t>
  </si>
  <si>
    <t>代彬彬</t>
  </si>
  <si>
    <t>152326199512057111</t>
  </si>
  <si>
    <t>常宝宝</t>
  </si>
  <si>
    <t>152326199501207110</t>
  </si>
  <si>
    <t>152326199504237112</t>
  </si>
  <si>
    <t>庞学彬</t>
  </si>
  <si>
    <t>152326199406187115</t>
  </si>
  <si>
    <t>代成成</t>
  </si>
  <si>
    <t>152326199307297116</t>
  </si>
  <si>
    <t>陈丽强</t>
  </si>
  <si>
    <t>152326199303137115</t>
  </si>
  <si>
    <t>李建辉</t>
  </si>
  <si>
    <t>15232619921202713X</t>
  </si>
  <si>
    <t>包丽丽</t>
  </si>
  <si>
    <t>152326199201277168</t>
  </si>
  <si>
    <t>乌日乐</t>
  </si>
  <si>
    <t>152326199108104107</t>
  </si>
  <si>
    <t>代保宏</t>
  </si>
  <si>
    <t>152326199108277120</t>
  </si>
  <si>
    <t>于建秋</t>
  </si>
  <si>
    <t>152326199108287118</t>
  </si>
  <si>
    <t>刘晓欢</t>
  </si>
  <si>
    <t>152326199108047122</t>
  </si>
  <si>
    <t>宝园园</t>
  </si>
  <si>
    <t>152326199111147124</t>
  </si>
  <si>
    <t>梁金保</t>
  </si>
  <si>
    <t>152326199107187131</t>
  </si>
  <si>
    <t>梁玉柱</t>
  </si>
  <si>
    <t>152326199007287119</t>
  </si>
  <si>
    <t>宝宝荣</t>
  </si>
  <si>
    <t>152326199011107168</t>
  </si>
  <si>
    <t>152326199011297141</t>
  </si>
  <si>
    <t>吕中丹</t>
  </si>
  <si>
    <t>220284198903181929</t>
  </si>
  <si>
    <t>杨彩凤</t>
  </si>
  <si>
    <t>15232619891119408X</t>
  </si>
  <si>
    <t>崔立红</t>
  </si>
  <si>
    <t>152324198911026024</t>
  </si>
  <si>
    <t>辛小强</t>
  </si>
  <si>
    <t>152326198909247111</t>
  </si>
  <si>
    <t>吴巴特</t>
  </si>
  <si>
    <t>152326198908127118</t>
  </si>
  <si>
    <t>张小敏</t>
  </si>
  <si>
    <t>15232619871010712X</t>
  </si>
  <si>
    <t>訾红杰</t>
  </si>
  <si>
    <t>152326198703057128</t>
  </si>
  <si>
    <t>李建飞</t>
  </si>
  <si>
    <t>152326198710017116</t>
  </si>
  <si>
    <t>白金花</t>
  </si>
  <si>
    <t>152326198709107149</t>
  </si>
  <si>
    <t>贾春波</t>
  </si>
  <si>
    <t>152326198703127114</t>
  </si>
  <si>
    <t>李彦春</t>
  </si>
  <si>
    <t>152326198712227133</t>
  </si>
  <si>
    <t>李彦星</t>
  </si>
  <si>
    <t>152326198707257135</t>
  </si>
  <si>
    <t>林占丽</t>
  </si>
  <si>
    <t>152324198711061124</t>
  </si>
  <si>
    <t>尹海春</t>
  </si>
  <si>
    <t>152326198702247122</t>
  </si>
  <si>
    <t>宝海春</t>
  </si>
  <si>
    <t>152326198607127114</t>
  </si>
  <si>
    <t>代保虎</t>
  </si>
  <si>
    <t>152326198610017119</t>
  </si>
  <si>
    <t>包春梅</t>
  </si>
  <si>
    <t>152326198612287120</t>
  </si>
  <si>
    <t>152326198606257128</t>
  </si>
  <si>
    <t>梁洪丽</t>
  </si>
  <si>
    <t>152326198602147124</t>
  </si>
  <si>
    <t>李春莲</t>
  </si>
  <si>
    <t>152324198609241129</t>
  </si>
  <si>
    <t>訾红丽</t>
  </si>
  <si>
    <t>15232619860127712X</t>
  </si>
  <si>
    <t>许春明</t>
  </si>
  <si>
    <t>15232619850216711X</t>
  </si>
  <si>
    <t>贾春艳</t>
  </si>
  <si>
    <t>152326198501167126</t>
  </si>
  <si>
    <t>崔亚利</t>
  </si>
  <si>
    <t>152324198509296026</t>
  </si>
  <si>
    <t>李彦丽</t>
  </si>
  <si>
    <t>152326198507257122</t>
  </si>
  <si>
    <t>杨光昊</t>
  </si>
  <si>
    <t>152326198508087137</t>
  </si>
  <si>
    <t>张小卫</t>
  </si>
  <si>
    <t>152326198510197159</t>
  </si>
  <si>
    <t>张长明</t>
  </si>
  <si>
    <t>152326198502127118</t>
  </si>
  <si>
    <t>李彦军</t>
  </si>
  <si>
    <t>152326198409097137</t>
  </si>
  <si>
    <t>包利平</t>
  </si>
  <si>
    <t>152326198412137128</t>
  </si>
  <si>
    <t>代宝龙</t>
  </si>
  <si>
    <t>152326198410247112</t>
  </si>
  <si>
    <t>包春花</t>
  </si>
  <si>
    <t>152326198404187141</t>
  </si>
  <si>
    <t>梁洪波</t>
  </si>
  <si>
    <t>152326198410177134</t>
  </si>
  <si>
    <t>邵勇</t>
  </si>
  <si>
    <t>152326198402077117</t>
  </si>
  <si>
    <t>于彦娇</t>
  </si>
  <si>
    <t>152326198410177126</t>
  </si>
  <si>
    <t>燕淑芬</t>
  </si>
  <si>
    <t>152326198410134089</t>
  </si>
  <si>
    <t>孔德娜</t>
  </si>
  <si>
    <t>152326198309184081</t>
  </si>
  <si>
    <t>杨芳</t>
  </si>
  <si>
    <t>152326198301277128</t>
  </si>
  <si>
    <t>包春玲</t>
  </si>
  <si>
    <t>152326198305207127</t>
  </si>
  <si>
    <t>张小亮</t>
  </si>
  <si>
    <t>152326198303207131</t>
  </si>
  <si>
    <t>包利飞</t>
  </si>
  <si>
    <t>152326198208077113</t>
  </si>
  <si>
    <t>许春玲</t>
  </si>
  <si>
    <t>152326198202197122</t>
  </si>
  <si>
    <t>特木高特</t>
  </si>
  <si>
    <t>152326198208107116</t>
  </si>
  <si>
    <t>152326198204147110</t>
  </si>
  <si>
    <t>包志国</t>
  </si>
  <si>
    <t>152326198202187135</t>
  </si>
  <si>
    <t>李彦华</t>
  </si>
  <si>
    <t>152326198202117129</t>
  </si>
  <si>
    <t>15232619820810410X</t>
  </si>
  <si>
    <t>訾洪军</t>
  </si>
  <si>
    <t>152326198203027117</t>
  </si>
  <si>
    <t>王水连</t>
  </si>
  <si>
    <t>15232619821101712X</t>
  </si>
  <si>
    <t>李小彦</t>
  </si>
  <si>
    <t>152326198201297121</t>
  </si>
  <si>
    <t>刘龙</t>
  </si>
  <si>
    <t>152326198105077137</t>
  </si>
  <si>
    <t>荷叶</t>
  </si>
  <si>
    <t>15232619810526408X</t>
  </si>
  <si>
    <t>152326198103177134</t>
  </si>
  <si>
    <t>152326198106117110</t>
  </si>
  <si>
    <t>邵保栓</t>
  </si>
  <si>
    <t>152326198103037115</t>
  </si>
  <si>
    <t>魏丽燕</t>
  </si>
  <si>
    <t>15232619801020712X</t>
  </si>
  <si>
    <t>王伟泽</t>
  </si>
  <si>
    <t>150525198001246875</t>
  </si>
  <si>
    <t>包海丽</t>
  </si>
  <si>
    <t>152326198004134120</t>
  </si>
  <si>
    <t>包利娟</t>
  </si>
  <si>
    <t>152326198001027143</t>
  </si>
  <si>
    <t>邵志忠</t>
  </si>
  <si>
    <t>152326198002047138</t>
  </si>
  <si>
    <t>152326198008227121</t>
  </si>
  <si>
    <t>修青珠</t>
  </si>
  <si>
    <t>152326198010237126</t>
  </si>
  <si>
    <t>孙国阳</t>
  </si>
  <si>
    <t>152326197909027122</t>
  </si>
  <si>
    <t>李娜布琪</t>
  </si>
  <si>
    <t>152326197912207124</t>
  </si>
  <si>
    <t>邵春</t>
  </si>
  <si>
    <t>152326197903237110</t>
  </si>
  <si>
    <t>邵迪</t>
  </si>
  <si>
    <t>15232619790209711X</t>
  </si>
  <si>
    <t>王国顺</t>
  </si>
  <si>
    <t>152326197906137131</t>
  </si>
  <si>
    <t>吴俊苓</t>
  </si>
  <si>
    <t>152326197908247123</t>
  </si>
  <si>
    <t>邵凤</t>
  </si>
  <si>
    <t>152326197909137129</t>
  </si>
  <si>
    <t>152326197804227128</t>
  </si>
  <si>
    <t>邵华</t>
  </si>
  <si>
    <t>152326197810037136</t>
  </si>
  <si>
    <t>陈站柱</t>
  </si>
  <si>
    <t>152326197810057110</t>
  </si>
  <si>
    <t>徐继春</t>
  </si>
  <si>
    <t>152326197804087110</t>
  </si>
  <si>
    <t>许彩利</t>
  </si>
  <si>
    <t>152326197812227128</t>
  </si>
  <si>
    <t>152326197809177123</t>
  </si>
  <si>
    <t>李振喜</t>
  </si>
  <si>
    <t>152326197701097113</t>
  </si>
  <si>
    <t>张春梅</t>
  </si>
  <si>
    <t>152326197703107143</t>
  </si>
  <si>
    <t>宝勿力吉</t>
  </si>
  <si>
    <t>152326197710187110</t>
  </si>
  <si>
    <t>邵志国</t>
  </si>
  <si>
    <t>152326197710157114</t>
  </si>
  <si>
    <t>梁军</t>
  </si>
  <si>
    <t>152326197702257131</t>
  </si>
  <si>
    <t>满堤玛</t>
  </si>
  <si>
    <t>152326197701197122</t>
  </si>
  <si>
    <t>邵艳</t>
  </si>
  <si>
    <t>152326197612077129</t>
  </si>
  <si>
    <t>那日同力嘎</t>
  </si>
  <si>
    <t>152326197612074104</t>
  </si>
  <si>
    <t>辛跃广</t>
  </si>
  <si>
    <t>152326197602147111</t>
  </si>
  <si>
    <t>陈福海</t>
  </si>
  <si>
    <t>152326197607147110</t>
  </si>
  <si>
    <t>张少辉</t>
  </si>
  <si>
    <t>15232619760409712X</t>
  </si>
  <si>
    <t>152326197512107116</t>
  </si>
  <si>
    <t>初一</t>
  </si>
  <si>
    <t>152326197509014082</t>
  </si>
  <si>
    <t>李国军</t>
  </si>
  <si>
    <t>152326197506307111</t>
  </si>
  <si>
    <t>刘艳滨</t>
  </si>
  <si>
    <t>152326197512197115</t>
  </si>
  <si>
    <t>徐继莉</t>
  </si>
  <si>
    <t>152326197510257145</t>
  </si>
  <si>
    <t>贾立平</t>
  </si>
  <si>
    <t>152326197505137122</t>
  </si>
  <si>
    <t>薛凤玲</t>
  </si>
  <si>
    <t>152326197409027126</t>
  </si>
  <si>
    <t>林海花</t>
  </si>
  <si>
    <t>152326197407037128</t>
  </si>
  <si>
    <t>吴国民</t>
  </si>
  <si>
    <t>152326197309267114</t>
  </si>
  <si>
    <t>刘兴军</t>
  </si>
  <si>
    <t>152326197305097111</t>
  </si>
  <si>
    <t>李桂彦</t>
  </si>
  <si>
    <t>152326197306197122</t>
  </si>
  <si>
    <t>李树全</t>
  </si>
  <si>
    <t>15232619731014711X</t>
  </si>
  <si>
    <t>陆香春</t>
  </si>
  <si>
    <t>15232619731114712X</t>
  </si>
  <si>
    <t>代文义</t>
  </si>
  <si>
    <t>152326197302157115</t>
  </si>
  <si>
    <t>庞恩勇</t>
  </si>
  <si>
    <t>152326197306297115</t>
  </si>
  <si>
    <t>孟凡成</t>
  </si>
  <si>
    <t>152326197307287111</t>
  </si>
  <si>
    <t>包文军</t>
  </si>
  <si>
    <t>15232619730708711X</t>
  </si>
  <si>
    <t>152326197312237119</t>
  </si>
  <si>
    <t>徐世玲</t>
  </si>
  <si>
    <t>152326197204217145</t>
  </si>
  <si>
    <t>152326197204047123</t>
  </si>
  <si>
    <t>吴国芹</t>
  </si>
  <si>
    <t>152326197202147147</t>
  </si>
  <si>
    <t>尹宝海</t>
  </si>
  <si>
    <t>152326197203287117</t>
  </si>
  <si>
    <t>张志伟</t>
  </si>
  <si>
    <t>152326197212037128</t>
  </si>
  <si>
    <t>代文玉</t>
  </si>
  <si>
    <t>152326197207057116</t>
  </si>
  <si>
    <t>吴宝山</t>
  </si>
  <si>
    <t>152326197203187116</t>
  </si>
  <si>
    <t>于俭</t>
  </si>
  <si>
    <t>152326197111087118</t>
  </si>
  <si>
    <t>刘俊莲</t>
  </si>
  <si>
    <t>152326197102157129</t>
  </si>
  <si>
    <t>常胜</t>
  </si>
  <si>
    <t>152326197105067110</t>
  </si>
  <si>
    <t>徐世贺</t>
  </si>
  <si>
    <t>152326197112027117</t>
  </si>
  <si>
    <t>赵洪梅</t>
  </si>
  <si>
    <t>152326197111227141</t>
  </si>
  <si>
    <t>李振合</t>
  </si>
  <si>
    <t>152326197102087116</t>
  </si>
  <si>
    <t>152326197102247140</t>
  </si>
  <si>
    <t>152326197103037129</t>
  </si>
  <si>
    <t>梁海云</t>
  </si>
  <si>
    <t>152326197103207124</t>
  </si>
  <si>
    <t>李树海</t>
  </si>
  <si>
    <t>152326197103257113</t>
  </si>
  <si>
    <t>尹秀华</t>
  </si>
  <si>
    <t>152326197105077124</t>
  </si>
  <si>
    <t>梁志刚</t>
  </si>
  <si>
    <t>152326197107127113</t>
  </si>
  <si>
    <t>包文海</t>
  </si>
  <si>
    <t>152326197011107118</t>
  </si>
  <si>
    <t>刘兴国</t>
  </si>
  <si>
    <t>152326197002017137</t>
  </si>
  <si>
    <t>庞恩武</t>
  </si>
  <si>
    <t>152326197009107119</t>
  </si>
  <si>
    <t>邢永发</t>
  </si>
  <si>
    <t>152326197009257133</t>
  </si>
  <si>
    <t>于奎</t>
  </si>
  <si>
    <t>152326197005157119</t>
  </si>
  <si>
    <t>包格勒</t>
  </si>
  <si>
    <t>152326197003017120</t>
  </si>
  <si>
    <t>根日勒</t>
  </si>
  <si>
    <t>152326196907077121</t>
  </si>
  <si>
    <t>吴国军</t>
  </si>
  <si>
    <t>152326196909197119</t>
  </si>
  <si>
    <t>徐世友</t>
  </si>
  <si>
    <t>15232619691216713X</t>
  </si>
  <si>
    <t>代文友</t>
  </si>
  <si>
    <t>152326196912217117</t>
  </si>
  <si>
    <t>152326196908087129</t>
  </si>
  <si>
    <t>马喜华</t>
  </si>
  <si>
    <t>152326196903037122</t>
  </si>
  <si>
    <t>宝权富</t>
  </si>
  <si>
    <t>152326196904047111</t>
  </si>
  <si>
    <t>152326196810057140</t>
  </si>
  <si>
    <t>152326196804197120</t>
  </si>
  <si>
    <t>梁志强</t>
  </si>
  <si>
    <t>152326196809067114</t>
  </si>
  <si>
    <t>腾玉红</t>
  </si>
  <si>
    <t>152326196810057167</t>
  </si>
  <si>
    <t>15232619681129712X</t>
  </si>
  <si>
    <t>152326196812117127</t>
  </si>
  <si>
    <t>许金侠</t>
  </si>
  <si>
    <t>152326196809127121</t>
  </si>
  <si>
    <t>152326196805047124</t>
  </si>
  <si>
    <t>付桂荣</t>
  </si>
  <si>
    <t>152326196710157128</t>
  </si>
  <si>
    <t>152326196712097114</t>
  </si>
  <si>
    <t>152326196702127113</t>
  </si>
  <si>
    <t>梁国花</t>
  </si>
  <si>
    <t>15232619670504716X</t>
  </si>
  <si>
    <t>梁海侠</t>
  </si>
  <si>
    <t>152326196708237129</t>
  </si>
  <si>
    <t>刘兴华</t>
  </si>
  <si>
    <t>152326196702067122</t>
  </si>
  <si>
    <t>梁玉清</t>
  </si>
  <si>
    <t>152326196604237132</t>
  </si>
  <si>
    <t>宝全友</t>
  </si>
  <si>
    <t>152326196604057115</t>
  </si>
  <si>
    <t>白玉侠</t>
  </si>
  <si>
    <t>152326196606057127</t>
  </si>
  <si>
    <t>徐世军</t>
  </si>
  <si>
    <t>152326196612157116</t>
  </si>
  <si>
    <t>邵振祥</t>
  </si>
  <si>
    <t>152326196604257133</t>
  </si>
  <si>
    <t>包文忠</t>
  </si>
  <si>
    <t>152326196502027118</t>
  </si>
  <si>
    <t>齐木格</t>
  </si>
  <si>
    <t>152326196502257124</t>
  </si>
  <si>
    <t>刘明柱</t>
  </si>
  <si>
    <t>152326196501287110</t>
  </si>
  <si>
    <t>梁敏</t>
  </si>
  <si>
    <t>152326196511237125</t>
  </si>
  <si>
    <t>李振德</t>
  </si>
  <si>
    <t>152326196502047119</t>
  </si>
  <si>
    <t>杜春荣</t>
  </si>
  <si>
    <t>152326196505057128</t>
  </si>
  <si>
    <t>梁国民</t>
  </si>
  <si>
    <t>152326196504057118</t>
  </si>
  <si>
    <t>许金友</t>
  </si>
  <si>
    <t>15232619651006711X</t>
  </si>
  <si>
    <t>李永清</t>
  </si>
  <si>
    <t>152326196511057116</t>
  </si>
  <si>
    <t>李树青</t>
  </si>
  <si>
    <t>152326196512287116</t>
  </si>
  <si>
    <t>冯亚珍</t>
  </si>
  <si>
    <t>152326196408057126</t>
  </si>
  <si>
    <t>152326196401077124</t>
  </si>
  <si>
    <t>152326196411017141</t>
  </si>
  <si>
    <t>辛洪明</t>
  </si>
  <si>
    <t>152326196312117112</t>
  </si>
  <si>
    <t>宝全发</t>
  </si>
  <si>
    <t>152326196302087116</t>
  </si>
  <si>
    <t>徐世武</t>
  </si>
  <si>
    <t>15232619630213711X</t>
  </si>
  <si>
    <t>梁桂芝</t>
  </si>
  <si>
    <t>152326196309257122</t>
  </si>
  <si>
    <t>李永江</t>
  </si>
  <si>
    <t>152326196311157139</t>
  </si>
  <si>
    <t>徐世国</t>
  </si>
  <si>
    <t>152326196304157130</t>
  </si>
  <si>
    <t>贾文香</t>
  </si>
  <si>
    <t>152326196304047126</t>
  </si>
  <si>
    <t>李振芳</t>
  </si>
  <si>
    <t>152326196312187137</t>
  </si>
  <si>
    <t>魏喜芝</t>
  </si>
  <si>
    <t>152326196310067123</t>
  </si>
  <si>
    <t>得利根</t>
  </si>
  <si>
    <t>152326196208167128</t>
  </si>
  <si>
    <t>李振申</t>
  </si>
  <si>
    <t>152326196204057116</t>
  </si>
  <si>
    <t>张宝林</t>
  </si>
  <si>
    <t>152326196211297118</t>
  </si>
  <si>
    <t>胡桂芹</t>
  </si>
  <si>
    <t>152326196208147127</t>
  </si>
  <si>
    <t>包文成</t>
  </si>
  <si>
    <t>152326196204217116</t>
  </si>
  <si>
    <t>邵振明</t>
  </si>
  <si>
    <t>152326196206247116</t>
  </si>
  <si>
    <t>张凤芹</t>
  </si>
  <si>
    <t>152326196211237123</t>
  </si>
  <si>
    <t>谢庆花</t>
  </si>
  <si>
    <t>152326196210157121</t>
  </si>
  <si>
    <t>张宝山</t>
  </si>
  <si>
    <t>152326196202257114</t>
  </si>
  <si>
    <t>杨香香</t>
  </si>
  <si>
    <t>152326196202257122</t>
  </si>
  <si>
    <t>许金花</t>
  </si>
  <si>
    <t>152326196110287121</t>
  </si>
  <si>
    <t>邵振芳</t>
  </si>
  <si>
    <t>152326196111127111</t>
  </si>
  <si>
    <t>修占才</t>
  </si>
  <si>
    <t>152326196110067110</t>
  </si>
  <si>
    <t>倪素芝</t>
  </si>
  <si>
    <t>152326196104157128</t>
  </si>
  <si>
    <t>付立平</t>
  </si>
  <si>
    <t>152324198402101428</t>
  </si>
  <si>
    <t>152326200010017115</t>
  </si>
  <si>
    <t>张常宝</t>
  </si>
  <si>
    <t>152326198512087113</t>
  </si>
  <si>
    <t>宝石</t>
  </si>
  <si>
    <t>152326198401207119</t>
  </si>
  <si>
    <t>邵朋</t>
  </si>
  <si>
    <t>15232619910717711X</t>
  </si>
  <si>
    <t>陈丽娜</t>
  </si>
  <si>
    <t>15232620020408712X</t>
  </si>
  <si>
    <t>徐继福</t>
  </si>
  <si>
    <t>152326198609117112</t>
  </si>
  <si>
    <t>春燕</t>
  </si>
  <si>
    <t>152326198504014088</t>
  </si>
  <si>
    <t>吴海波</t>
  </si>
  <si>
    <t>152326198409257137</t>
  </si>
  <si>
    <t>宝福荣</t>
  </si>
  <si>
    <t>152326198609147127</t>
  </si>
  <si>
    <t>李小辉</t>
  </si>
  <si>
    <t>152326199509207123</t>
  </si>
  <si>
    <t>刘小明</t>
  </si>
  <si>
    <t>152326197907207111</t>
  </si>
  <si>
    <t>吴颖</t>
  </si>
  <si>
    <t>152326199002017128</t>
  </si>
  <si>
    <t>陈颖</t>
  </si>
  <si>
    <t>152326199502182726</t>
  </si>
  <si>
    <t>吴迪</t>
  </si>
  <si>
    <t>152326199406217118</t>
  </si>
  <si>
    <t>梁静</t>
  </si>
  <si>
    <t>152326199410107149</t>
  </si>
  <si>
    <t>152326198812247115</t>
  </si>
  <si>
    <t>包利民</t>
  </si>
  <si>
    <t>152326198403047112</t>
  </si>
  <si>
    <t>包立波</t>
  </si>
  <si>
    <t>152326198602217110</t>
  </si>
  <si>
    <t>常敖特花</t>
  </si>
  <si>
    <t>152326198105207122</t>
  </si>
  <si>
    <t>马力丽</t>
  </si>
  <si>
    <t>152326197701167142</t>
  </si>
  <si>
    <t>刘小龙</t>
  </si>
  <si>
    <t>152326198011277111</t>
  </si>
  <si>
    <t>徐继成</t>
  </si>
  <si>
    <t>152326199312097119</t>
  </si>
  <si>
    <t>包丽红</t>
  </si>
  <si>
    <t>152326199506017121</t>
  </si>
  <si>
    <t>梁建军</t>
  </si>
  <si>
    <t>152326198108187112</t>
  </si>
  <si>
    <t>王井艳</t>
  </si>
  <si>
    <t>152326198202287144</t>
  </si>
  <si>
    <t>姜玉荣</t>
  </si>
  <si>
    <t>152326197206277125</t>
  </si>
  <si>
    <t>邵付</t>
  </si>
  <si>
    <t>152326197212207115</t>
  </si>
  <si>
    <t>152326198108077140</t>
  </si>
  <si>
    <t>李树财</t>
  </si>
  <si>
    <t>152326196712277115</t>
  </si>
  <si>
    <t>林海芹</t>
  </si>
  <si>
    <t>15232619671211712X</t>
  </si>
  <si>
    <t>张迁</t>
  </si>
  <si>
    <t>152326196210107132</t>
  </si>
  <si>
    <t>陆素芬</t>
  </si>
  <si>
    <t>152326196212267121</t>
  </si>
  <si>
    <t>梁玉春</t>
  </si>
  <si>
    <t>152326196802067111</t>
  </si>
  <si>
    <t>贾丽梅</t>
  </si>
  <si>
    <t>152326196810057124</t>
  </si>
  <si>
    <t>斯布呼勒敖包嘎查2020年养老保险缴费名单</t>
  </si>
  <si>
    <t>斯布呼勒敖包</t>
  </si>
  <si>
    <t>林佳昊</t>
  </si>
  <si>
    <t>正常续缴</t>
  </si>
  <si>
    <t>包满达</t>
  </si>
  <si>
    <t>152326199701177139</t>
  </si>
  <si>
    <t>林男男</t>
  </si>
  <si>
    <t>152326199302037147</t>
  </si>
  <si>
    <t>吴燕</t>
  </si>
  <si>
    <t>吴彬</t>
  </si>
  <si>
    <t>林俊刚</t>
  </si>
  <si>
    <t>包山</t>
  </si>
  <si>
    <t>15232619850101711X</t>
  </si>
  <si>
    <t>邵羿</t>
  </si>
  <si>
    <t>宋占魁</t>
  </si>
  <si>
    <t>呼日都呼</t>
  </si>
  <si>
    <t>王金光</t>
  </si>
  <si>
    <t>孔庆凤</t>
  </si>
  <si>
    <t>包海连</t>
  </si>
  <si>
    <t>吴斯日古冷</t>
  </si>
  <si>
    <t>孔庆红</t>
  </si>
  <si>
    <t>15232619831115712X</t>
  </si>
  <si>
    <t>宋长明</t>
  </si>
  <si>
    <t>白格日勒图</t>
  </si>
  <si>
    <t>包格图雅</t>
  </si>
  <si>
    <t>15232619820201711X</t>
  </si>
  <si>
    <t>辛建艳</t>
  </si>
  <si>
    <t>张晓琦</t>
  </si>
  <si>
    <t>高海英</t>
  </si>
  <si>
    <t>梁斯芹高娃</t>
  </si>
  <si>
    <t>宋清梅</t>
  </si>
  <si>
    <t>包额尔郭代来</t>
  </si>
  <si>
    <t>15232619800112711X</t>
  </si>
  <si>
    <t>李春华</t>
  </si>
  <si>
    <t>林俊龙</t>
  </si>
  <si>
    <t>乌云</t>
  </si>
  <si>
    <t>梁小亮</t>
  </si>
  <si>
    <t>15232619790219688X</t>
  </si>
  <si>
    <t>宋龙堂</t>
  </si>
  <si>
    <t>海山</t>
  </si>
  <si>
    <t>包海青</t>
  </si>
  <si>
    <t>安淑红</t>
  </si>
  <si>
    <t>吴双艳</t>
  </si>
  <si>
    <t>李格日勒</t>
  </si>
  <si>
    <t>尹铁梅</t>
  </si>
  <si>
    <t>梁潘丽花</t>
  </si>
  <si>
    <t>15232619760529714X</t>
  </si>
  <si>
    <t>王莫德格</t>
  </si>
  <si>
    <t>林俊江</t>
  </si>
  <si>
    <t>包额尔郭图</t>
  </si>
  <si>
    <t>格日乐其木格</t>
  </si>
  <si>
    <t>李铁刚</t>
  </si>
  <si>
    <t>高葡萄</t>
  </si>
  <si>
    <t>梁田所</t>
  </si>
  <si>
    <t>白额勒布格仓</t>
  </si>
  <si>
    <t>包海军</t>
  </si>
  <si>
    <t>宋振宏</t>
  </si>
  <si>
    <t>吴永梅</t>
  </si>
  <si>
    <t>包财音图</t>
  </si>
  <si>
    <t>15232619741116711X</t>
  </si>
  <si>
    <t>梁志光</t>
  </si>
  <si>
    <t>赵胡格吉勒图</t>
  </si>
  <si>
    <t>哈斯额尔敦</t>
  </si>
  <si>
    <t>吴金亮</t>
  </si>
  <si>
    <t>梁铁旦</t>
  </si>
  <si>
    <t>宋振琴</t>
  </si>
  <si>
    <t>梁海花</t>
  </si>
  <si>
    <t>李布合朝老</t>
  </si>
  <si>
    <t>15232619730329711X</t>
  </si>
  <si>
    <t>哈斯格日乐</t>
  </si>
  <si>
    <t>王白虎</t>
  </si>
  <si>
    <t>15232619731225711X</t>
  </si>
  <si>
    <t>韩牡丹</t>
  </si>
  <si>
    <t>王扎拉嘎图</t>
  </si>
  <si>
    <t>宋振梅</t>
  </si>
  <si>
    <t>白丽英</t>
  </si>
  <si>
    <t>贾刚</t>
  </si>
  <si>
    <t>宝梅花</t>
  </si>
  <si>
    <t>15232619720714712X</t>
  </si>
  <si>
    <t>宝朝伦巴根</t>
  </si>
  <si>
    <t>宋振月</t>
  </si>
  <si>
    <t>王金海</t>
  </si>
  <si>
    <t>152326197104037112</t>
  </si>
  <si>
    <t>张美荣</t>
  </si>
  <si>
    <t>包常江</t>
  </si>
  <si>
    <t>陈七月</t>
  </si>
  <si>
    <t>陈艳珠</t>
  </si>
  <si>
    <t>包额尔德木图</t>
  </si>
  <si>
    <t>林俊华</t>
  </si>
  <si>
    <t>林玉河</t>
  </si>
  <si>
    <t>包胡宝</t>
  </si>
  <si>
    <t>付树霞</t>
  </si>
  <si>
    <t>勿日吉木斯</t>
  </si>
  <si>
    <t>宋振波</t>
  </si>
  <si>
    <t>王毛敖海</t>
  </si>
  <si>
    <t>吴限永</t>
  </si>
  <si>
    <t>吴春梅</t>
  </si>
  <si>
    <t>15232619700916712X</t>
  </si>
  <si>
    <t>白布仁仓</t>
  </si>
  <si>
    <t>宝领小</t>
  </si>
  <si>
    <t>参旦嘎力布</t>
  </si>
  <si>
    <t>胡吉牙</t>
  </si>
  <si>
    <t>李雅荣</t>
  </si>
  <si>
    <t>包斯琴格日勒</t>
  </si>
  <si>
    <t>包喜</t>
  </si>
  <si>
    <t>额尔德</t>
  </si>
  <si>
    <t>15232619701011712X</t>
  </si>
  <si>
    <t>包巴特尔</t>
  </si>
  <si>
    <t>包布合哈达</t>
  </si>
  <si>
    <t>陈侠</t>
  </si>
  <si>
    <t>林俊忠</t>
  </si>
  <si>
    <t>15232619690208711X</t>
  </si>
  <si>
    <t>宋玉春</t>
  </si>
  <si>
    <t>王敖特根白乙拉</t>
  </si>
  <si>
    <t>王金和</t>
  </si>
  <si>
    <t>吴限琴</t>
  </si>
  <si>
    <t>白桂花</t>
  </si>
  <si>
    <t>包格日勒图</t>
  </si>
  <si>
    <t>刁花拉</t>
  </si>
  <si>
    <t>15232619681011714X</t>
  </si>
  <si>
    <t>韩宝玉</t>
  </si>
  <si>
    <t>林国久</t>
  </si>
  <si>
    <t>斯芹通力嘎</t>
  </si>
  <si>
    <t>梁乌仁高娃</t>
  </si>
  <si>
    <t>包额日古木吉</t>
  </si>
  <si>
    <t>宋振远</t>
  </si>
  <si>
    <t>包敖特根仓</t>
  </si>
  <si>
    <t>152326196702137119</t>
  </si>
  <si>
    <t>冬梅</t>
  </si>
  <si>
    <t>包朝伦巴根</t>
  </si>
  <si>
    <t>15232619670610711X</t>
  </si>
  <si>
    <t>宋振清</t>
  </si>
  <si>
    <t>谭三丹嘎力卜</t>
  </si>
  <si>
    <t>王合喜格图</t>
  </si>
  <si>
    <t>15232619661220711X</t>
  </si>
  <si>
    <t>王树兰</t>
  </si>
  <si>
    <t>代玉花</t>
  </si>
  <si>
    <t>范秀云</t>
  </si>
  <si>
    <t>152326196606257129</t>
  </si>
  <si>
    <t>赖树春</t>
  </si>
  <si>
    <t>王朝伦巴根</t>
  </si>
  <si>
    <t>勿日其其格</t>
  </si>
  <si>
    <t>徐国玲</t>
  </si>
  <si>
    <t>于桂英</t>
  </si>
  <si>
    <t>包满达拉</t>
  </si>
  <si>
    <t>包特木勒</t>
  </si>
  <si>
    <t>陈朝伦巴根</t>
  </si>
  <si>
    <t>包哈斯朝鲁</t>
  </si>
  <si>
    <t>刘胡兰</t>
  </si>
  <si>
    <t>包韩宝</t>
  </si>
  <si>
    <t>梁玉山</t>
  </si>
  <si>
    <t>王布合</t>
  </si>
  <si>
    <t>闫淑金</t>
  </si>
  <si>
    <t>王哈斯布和</t>
  </si>
  <si>
    <t>包小常宝</t>
  </si>
  <si>
    <t>王满女</t>
  </si>
  <si>
    <t>152326196309097122</t>
  </si>
  <si>
    <t>林国贵</t>
  </si>
  <si>
    <t>白阿拉他其其格</t>
  </si>
  <si>
    <t>王巴雅拉图</t>
  </si>
  <si>
    <t>梁珍</t>
  </si>
  <si>
    <t>152326196210057147</t>
  </si>
  <si>
    <t>包显</t>
  </si>
  <si>
    <t>包银梅</t>
  </si>
  <si>
    <t>152326196209117122</t>
  </si>
  <si>
    <t>卜祥荣</t>
  </si>
  <si>
    <t>伟华</t>
  </si>
  <si>
    <t>宝玉琴</t>
  </si>
  <si>
    <t>霍根花</t>
  </si>
  <si>
    <t>包哈日套高</t>
  </si>
  <si>
    <t>152326196302247116</t>
  </si>
  <si>
    <t>布仁其其格</t>
  </si>
  <si>
    <t>152326196501237121</t>
  </si>
  <si>
    <r>
      <rPr>
        <sz val="11"/>
        <color theme="1"/>
        <rFont val="宋体"/>
        <charset val="134"/>
        <scheme val="minor"/>
      </rPr>
      <t>原来1</t>
    </r>
    <r>
      <rPr>
        <sz val="11"/>
        <color theme="1"/>
        <rFont val="宋体"/>
        <charset val="134"/>
        <scheme val="minor"/>
      </rPr>
      <t>9年里都导错成152326196201237121</t>
    </r>
  </si>
  <si>
    <t>王安平</t>
  </si>
  <si>
    <t>152326198812087115</t>
  </si>
  <si>
    <t>萨仁其木格</t>
  </si>
  <si>
    <t>152326198706244084</t>
  </si>
  <si>
    <t>包额尔德木图都冷</t>
  </si>
  <si>
    <t>包银荣</t>
  </si>
  <si>
    <t>包财音那木拉</t>
  </si>
  <si>
    <t>150421197310253328</t>
  </si>
  <si>
    <t>白泉</t>
  </si>
  <si>
    <t>152326197801247115</t>
  </si>
  <si>
    <t>包勿力吉都冷</t>
  </si>
  <si>
    <t>吴木兰</t>
  </si>
  <si>
    <t>宋振宝</t>
  </si>
  <si>
    <t>白玉山</t>
  </si>
  <si>
    <t>152326196912177119</t>
  </si>
  <si>
    <t>金桂荣</t>
  </si>
  <si>
    <t>林俊平</t>
  </si>
  <si>
    <t>152326197809237114</t>
  </si>
  <si>
    <t>陈树光</t>
  </si>
  <si>
    <t>152326198706237132</t>
  </si>
  <si>
    <t>阿仓</t>
  </si>
  <si>
    <t>152326197402207132</t>
  </si>
  <si>
    <t>高金喜</t>
  </si>
  <si>
    <t>152326197409047127</t>
  </si>
  <si>
    <t>包军</t>
  </si>
  <si>
    <t>152326199701177112</t>
  </si>
  <si>
    <t>李宝显</t>
  </si>
  <si>
    <t>152326196010167114</t>
  </si>
  <si>
    <t>赵香梅</t>
  </si>
  <si>
    <t>152326196511157141</t>
  </si>
  <si>
    <t>吴限志</t>
  </si>
  <si>
    <t>152326197111297115</t>
  </si>
  <si>
    <t>宋振刚</t>
  </si>
  <si>
    <t>152326196303297131</t>
  </si>
  <si>
    <t>张秀玲</t>
  </si>
  <si>
    <t>152326196206057128</t>
  </si>
  <si>
    <t>56100</t>
  </si>
  <si>
    <t>保安村2020年养老保险缴费名单</t>
  </si>
  <si>
    <t>保安村</t>
  </si>
  <si>
    <t>肖依然</t>
  </si>
  <si>
    <t>王晓明</t>
  </si>
  <si>
    <t>152302199302152523</t>
  </si>
  <si>
    <t>张鹏</t>
  </si>
  <si>
    <t>勾双印</t>
  </si>
  <si>
    <t>152326199209226875</t>
  </si>
  <si>
    <t>马国安</t>
  </si>
  <si>
    <t>152326199108176872</t>
  </si>
  <si>
    <t>张雪圆</t>
  </si>
  <si>
    <t>刘德宝</t>
  </si>
  <si>
    <t>152326199112116872</t>
  </si>
  <si>
    <t>王小明</t>
  </si>
  <si>
    <t>张艳美</t>
  </si>
  <si>
    <t>赵新</t>
  </si>
  <si>
    <t>王雪梅</t>
  </si>
  <si>
    <t>刘德元</t>
  </si>
  <si>
    <t>田俊龙</t>
  </si>
  <si>
    <t>刘庆圆</t>
  </si>
  <si>
    <t>张洪博</t>
  </si>
  <si>
    <t>隋立艳</t>
  </si>
  <si>
    <t>152326198707176888</t>
  </si>
  <si>
    <t>王福志</t>
  </si>
  <si>
    <t>15232619881227691X</t>
  </si>
  <si>
    <t>陈百鹏</t>
  </si>
  <si>
    <t>张洪萍</t>
  </si>
  <si>
    <t>田小光</t>
  </si>
  <si>
    <t>左静</t>
  </si>
  <si>
    <t>周亚波</t>
  </si>
  <si>
    <t>于德秀</t>
  </si>
  <si>
    <t>刘德平</t>
  </si>
  <si>
    <t>李艳慧</t>
  </si>
  <si>
    <t>张秀永</t>
  </si>
  <si>
    <t>王树平</t>
  </si>
  <si>
    <t>田小那</t>
  </si>
  <si>
    <t>王百顺</t>
  </si>
  <si>
    <t>吕洪飞</t>
  </si>
  <si>
    <t>于德利</t>
  </si>
  <si>
    <t>沈艳东</t>
  </si>
  <si>
    <t>翟向丽</t>
  </si>
  <si>
    <t>徐海英</t>
  </si>
  <si>
    <t>王俊清</t>
  </si>
  <si>
    <t>15232619840320689X</t>
  </si>
  <si>
    <t>王红伟</t>
  </si>
  <si>
    <t>姜雪</t>
  </si>
  <si>
    <t>陈艳淑</t>
  </si>
  <si>
    <t>张洪江</t>
  </si>
  <si>
    <t>师立新</t>
  </si>
  <si>
    <t>张洪莹</t>
  </si>
  <si>
    <t>马志卫</t>
  </si>
  <si>
    <t>赵井才</t>
  </si>
  <si>
    <t>152326198310016894</t>
  </si>
  <si>
    <t>陈爱国</t>
  </si>
  <si>
    <t>孙丽云</t>
  </si>
  <si>
    <t>符志军</t>
  </si>
  <si>
    <t>陈艳华</t>
  </si>
  <si>
    <t>卜宪玉</t>
  </si>
  <si>
    <t>宣常明</t>
  </si>
  <si>
    <t>15232619820715691X</t>
  </si>
  <si>
    <t>赵井刚</t>
  </si>
  <si>
    <t>胡海春</t>
  </si>
  <si>
    <t>于德志</t>
  </si>
  <si>
    <t>勾洪锁</t>
  </si>
  <si>
    <t>于红亚</t>
  </si>
  <si>
    <t>152326198208176883</t>
  </si>
  <si>
    <t>于青松</t>
  </si>
  <si>
    <t>符艳军</t>
  </si>
  <si>
    <t>吴利红</t>
  </si>
  <si>
    <t>勾洪志</t>
  </si>
  <si>
    <t>桑红艳</t>
  </si>
  <si>
    <t>152326198101047141</t>
  </si>
  <si>
    <t>张程燕</t>
  </si>
  <si>
    <t>陈百超</t>
  </si>
  <si>
    <t>姜秀辉</t>
  </si>
  <si>
    <t>15232619810304688X</t>
  </si>
  <si>
    <t>于成城</t>
  </si>
  <si>
    <t>孙丽娟</t>
  </si>
  <si>
    <t>田俊</t>
  </si>
  <si>
    <t>15232619801113687X</t>
  </si>
  <si>
    <t>苑红杰</t>
  </si>
  <si>
    <t>王桂华</t>
  </si>
  <si>
    <t>于东林</t>
  </si>
  <si>
    <t>刘艳春</t>
  </si>
  <si>
    <t>15232619800301686X</t>
  </si>
  <si>
    <t>吴彦忠</t>
  </si>
  <si>
    <t>15232619800727687X</t>
  </si>
  <si>
    <t>于德印</t>
  </si>
  <si>
    <t>任国平</t>
  </si>
  <si>
    <t>贾淑艳</t>
  </si>
  <si>
    <t>张雅辉</t>
  </si>
  <si>
    <t>15232619790705686X</t>
  </si>
  <si>
    <t>李春波</t>
  </si>
  <si>
    <t>石红娟</t>
  </si>
  <si>
    <t>15232619790824714X</t>
  </si>
  <si>
    <t>于青丰</t>
  </si>
  <si>
    <t>程海霞</t>
  </si>
  <si>
    <t>王俊忠</t>
  </si>
  <si>
    <t>15232619791226687X</t>
  </si>
  <si>
    <t>于清利</t>
  </si>
  <si>
    <t>赵井利</t>
  </si>
  <si>
    <t>15232619790813687X</t>
  </si>
  <si>
    <t>郝玉忠</t>
  </si>
  <si>
    <t>王彦民</t>
  </si>
  <si>
    <t>150525197311230022</t>
  </si>
  <si>
    <t>于洪玲</t>
  </si>
  <si>
    <t>封春节</t>
  </si>
  <si>
    <t>史建民</t>
  </si>
  <si>
    <t>蒲金艳</t>
  </si>
  <si>
    <t>闫春华</t>
  </si>
  <si>
    <t>张洪霞</t>
  </si>
  <si>
    <t>魏志</t>
  </si>
  <si>
    <t>于德军</t>
  </si>
  <si>
    <t>董翠芹</t>
  </si>
  <si>
    <t>许春艳</t>
  </si>
  <si>
    <t>宣树军</t>
  </si>
  <si>
    <t>于彩丽</t>
  </si>
  <si>
    <t>马志峰</t>
  </si>
  <si>
    <t>田勇</t>
  </si>
  <si>
    <t>于东辉</t>
  </si>
  <si>
    <t>王雨超</t>
  </si>
  <si>
    <t>史小云</t>
  </si>
  <si>
    <t>于凤连</t>
  </si>
  <si>
    <t>白晓敏</t>
  </si>
  <si>
    <t>王俊杰</t>
  </si>
  <si>
    <t>吴跃玲</t>
  </si>
  <si>
    <t>于红彦</t>
  </si>
  <si>
    <t>张秀凤</t>
  </si>
  <si>
    <t>张秀国</t>
  </si>
  <si>
    <t>周宝军</t>
  </si>
  <si>
    <t>赵井会</t>
  </si>
  <si>
    <t>15232619740103687X</t>
  </si>
  <si>
    <t>张清峰</t>
  </si>
  <si>
    <t>张清海</t>
  </si>
  <si>
    <t>15232619740410687X</t>
  </si>
  <si>
    <t>勾洪生</t>
  </si>
  <si>
    <t>勾洪艳</t>
  </si>
  <si>
    <t>马志国</t>
  </si>
  <si>
    <t>张小玲</t>
  </si>
  <si>
    <t>张国庆</t>
  </si>
  <si>
    <t>张亚芹</t>
  </si>
  <si>
    <t>王宝良</t>
  </si>
  <si>
    <t>李玉新</t>
  </si>
  <si>
    <t>郝国清</t>
  </si>
  <si>
    <t>翟凤平</t>
  </si>
  <si>
    <t>吴银梅</t>
  </si>
  <si>
    <t>顾辉</t>
  </si>
  <si>
    <t>沈万军</t>
  </si>
  <si>
    <t>姜翠荣</t>
  </si>
  <si>
    <t>陈士军</t>
  </si>
  <si>
    <t>姜永立</t>
  </si>
  <si>
    <t>史永红</t>
  </si>
  <si>
    <t>周青霞</t>
  </si>
  <si>
    <t>张宝荣</t>
  </si>
  <si>
    <t>赵景丰</t>
  </si>
  <si>
    <t>陈凤强</t>
  </si>
  <si>
    <t>孙凤云</t>
  </si>
  <si>
    <t>孙立新</t>
  </si>
  <si>
    <t>吴跃辉</t>
  </si>
  <si>
    <t>勾洪海</t>
  </si>
  <si>
    <t>孙艳梅</t>
  </si>
  <si>
    <t>肖志国</t>
  </si>
  <si>
    <t>张成</t>
  </si>
  <si>
    <t>马志勇</t>
  </si>
  <si>
    <t>史永明</t>
  </si>
  <si>
    <t>王桂英</t>
  </si>
  <si>
    <t>15232619710807712X</t>
  </si>
  <si>
    <t>席田小</t>
  </si>
  <si>
    <t>15232619710517686X</t>
  </si>
  <si>
    <t>李玉辉</t>
  </si>
  <si>
    <t>张海东</t>
  </si>
  <si>
    <t>15232619710625687X</t>
  </si>
  <si>
    <t>王志金</t>
  </si>
  <si>
    <t>姜子红</t>
  </si>
  <si>
    <t>马志强</t>
  </si>
  <si>
    <t>马志华</t>
  </si>
  <si>
    <t>15232619701020686X</t>
  </si>
  <si>
    <t>苑庆英</t>
  </si>
  <si>
    <t>勾玉梅</t>
  </si>
  <si>
    <t>张淑强</t>
  </si>
  <si>
    <t>魏作华</t>
  </si>
  <si>
    <t>王国华</t>
  </si>
  <si>
    <t>刘文娟</t>
  </si>
  <si>
    <t>22232519690515202X</t>
  </si>
  <si>
    <t>孙学华</t>
  </si>
  <si>
    <t>周宝林</t>
  </si>
  <si>
    <t>布和朝老</t>
  </si>
  <si>
    <t>陈百成</t>
  </si>
  <si>
    <t>马树义</t>
  </si>
  <si>
    <t>15232619680106711X</t>
  </si>
  <si>
    <t>于连成</t>
  </si>
  <si>
    <t>马志刚</t>
  </si>
  <si>
    <t>田彦</t>
  </si>
  <si>
    <t>白玉平</t>
  </si>
  <si>
    <t>付显玲</t>
  </si>
  <si>
    <t>王树新</t>
  </si>
  <si>
    <t>张素珍</t>
  </si>
  <si>
    <t>王永清</t>
  </si>
  <si>
    <t>李玉祥</t>
  </si>
  <si>
    <t>王彦均</t>
  </si>
  <si>
    <t>孙书云</t>
  </si>
  <si>
    <t>李宪均</t>
  </si>
  <si>
    <t>15232619671013687X</t>
  </si>
  <si>
    <t>李凤平</t>
  </si>
  <si>
    <t>史永德</t>
  </si>
  <si>
    <t>勾洪坤</t>
  </si>
  <si>
    <t>张士军</t>
  </si>
  <si>
    <t>田江</t>
  </si>
  <si>
    <t>刘玉军</t>
  </si>
  <si>
    <t>包包姐</t>
  </si>
  <si>
    <t>宦俊</t>
  </si>
  <si>
    <t>15232619670504687X</t>
  </si>
  <si>
    <t>刘淑新</t>
  </si>
  <si>
    <t>田明</t>
  </si>
  <si>
    <t>王翠芳</t>
  </si>
  <si>
    <t>白玉英</t>
  </si>
  <si>
    <t>15232619660919686X</t>
  </si>
  <si>
    <t>田淑香</t>
  </si>
  <si>
    <t>赵福彦</t>
  </si>
  <si>
    <t>于彩娥</t>
  </si>
  <si>
    <t>姜永华</t>
  </si>
  <si>
    <t>周保树</t>
  </si>
  <si>
    <t>马玉琴</t>
  </si>
  <si>
    <t>15232619650315686X</t>
  </si>
  <si>
    <t>李文芝</t>
  </si>
  <si>
    <t>李彩芝</t>
  </si>
  <si>
    <t>张玉环</t>
  </si>
  <si>
    <t>赵淑环</t>
  </si>
  <si>
    <t>王翠杰</t>
  </si>
  <si>
    <t>王国彬</t>
  </si>
  <si>
    <t>15232419650510143X</t>
  </si>
  <si>
    <t>于连武</t>
  </si>
  <si>
    <t>姜永文</t>
  </si>
  <si>
    <t>宦民</t>
  </si>
  <si>
    <t>王作向</t>
  </si>
  <si>
    <t>杨秀云</t>
  </si>
  <si>
    <t>刘玉忠</t>
  </si>
  <si>
    <t>符玉</t>
  </si>
  <si>
    <t>张海涛</t>
  </si>
  <si>
    <t>田申</t>
  </si>
  <si>
    <t>孙丽芬</t>
  </si>
  <si>
    <t>15232619641128686X</t>
  </si>
  <si>
    <t>宣文俭</t>
  </si>
  <si>
    <t>15232619640513689X</t>
  </si>
  <si>
    <t>张瑞平</t>
  </si>
  <si>
    <t>田喜文</t>
  </si>
  <si>
    <t>15232619640508687X</t>
  </si>
  <si>
    <t>王淑芬</t>
  </si>
  <si>
    <t>陈玉环</t>
  </si>
  <si>
    <t>李洪霞</t>
  </si>
  <si>
    <t>王国丰</t>
  </si>
  <si>
    <t>张琢</t>
  </si>
  <si>
    <t>季秀英</t>
  </si>
  <si>
    <t>15232619630514688X</t>
  </si>
  <si>
    <t>陈凤忠</t>
  </si>
  <si>
    <t>滕金霞</t>
  </si>
  <si>
    <t>史永刚</t>
  </si>
  <si>
    <t>15232619620515687X</t>
  </si>
  <si>
    <t>符翠霞</t>
  </si>
  <si>
    <t>15232619620511686X</t>
  </si>
  <si>
    <t>孙淑琴</t>
  </si>
  <si>
    <t>15232619621020686X</t>
  </si>
  <si>
    <t>田永文</t>
  </si>
  <si>
    <t>苑清云</t>
  </si>
  <si>
    <t>刘英环</t>
  </si>
  <si>
    <t>吴清霞</t>
  </si>
  <si>
    <t>程玉华</t>
  </si>
  <si>
    <t>张淑荣</t>
  </si>
  <si>
    <t>陈百万</t>
  </si>
  <si>
    <t>丁向臣</t>
  </si>
  <si>
    <t>15232619620301689X</t>
  </si>
  <si>
    <t>包九莲</t>
  </si>
  <si>
    <t>闫秀琴</t>
  </si>
  <si>
    <t>勾凤荣</t>
  </si>
  <si>
    <t>林玉玲</t>
  </si>
  <si>
    <t>张琴</t>
  </si>
  <si>
    <t>周紫香</t>
  </si>
  <si>
    <t>15232619620415686X</t>
  </si>
  <si>
    <t>潘淑香</t>
  </si>
  <si>
    <t>田淑玲</t>
  </si>
  <si>
    <t>15232619611017686X</t>
  </si>
  <si>
    <t>邓桂珍</t>
  </si>
  <si>
    <t>="152326196108296862"</t>
  </si>
  <si>
    <t>张玉忠</t>
  </si>
  <si>
    <t>152326196103286876</t>
  </si>
  <si>
    <t>刘玉华</t>
  </si>
  <si>
    <t>152326197001126876</t>
  </si>
  <si>
    <t>姜珍</t>
  </si>
  <si>
    <t>152326197210126864</t>
  </si>
  <si>
    <t>李玉武</t>
  </si>
  <si>
    <t>152326197203046874</t>
  </si>
  <si>
    <t>陈立艳</t>
  </si>
  <si>
    <t>152326198306047129</t>
  </si>
  <si>
    <t>吴跃兴</t>
  </si>
  <si>
    <t>152326197704186875</t>
  </si>
  <si>
    <t>152326197801056888</t>
  </si>
  <si>
    <t>李彦明</t>
  </si>
  <si>
    <t>152326198306186874</t>
  </si>
  <si>
    <t>周亚光</t>
  </si>
  <si>
    <t>152324198511138027</t>
  </si>
  <si>
    <t>于德全</t>
  </si>
  <si>
    <t>152326197806086875</t>
  </si>
  <si>
    <t>于洪秀</t>
  </si>
  <si>
    <t>152326197909086886</t>
  </si>
  <si>
    <t>沈艳艳</t>
  </si>
  <si>
    <t>152326198307046881</t>
  </si>
  <si>
    <t>王国玉</t>
  </si>
  <si>
    <t>152326196807156885</t>
  </si>
  <si>
    <t>宦文</t>
  </si>
  <si>
    <t>152326196608156874</t>
  </si>
  <si>
    <t>王春霞</t>
  </si>
  <si>
    <t>152326196509156860</t>
  </si>
  <si>
    <t>宦义</t>
  </si>
  <si>
    <t>152326196107146870</t>
  </si>
  <si>
    <t>任春英</t>
  </si>
  <si>
    <t>152326196508156885</t>
  </si>
  <si>
    <t>田新</t>
  </si>
  <si>
    <t>152326197306026892</t>
  </si>
  <si>
    <t>苑庆环</t>
  </si>
  <si>
    <t>152326197009176886</t>
  </si>
  <si>
    <t>巴日嘎斯台嘎查2020年养老保险缴费名单</t>
  </si>
  <si>
    <t>巴日嘎斯台嘎查</t>
  </si>
  <si>
    <t>韩国兴</t>
  </si>
  <si>
    <t>15232619610923687X</t>
  </si>
  <si>
    <t>迟凤英</t>
  </si>
  <si>
    <t>152326196709156881</t>
  </si>
  <si>
    <t>包玉霞</t>
  </si>
  <si>
    <t>152326198302067886</t>
  </si>
  <si>
    <t>152326198311036870</t>
  </si>
  <si>
    <t>田胡</t>
  </si>
  <si>
    <t>152326197210146881</t>
  </si>
  <si>
    <t>吴银柱</t>
  </si>
  <si>
    <t>152326197012116876</t>
  </si>
  <si>
    <t>吴广</t>
  </si>
  <si>
    <t>152326197209276873</t>
  </si>
  <si>
    <t>赖秀梅</t>
  </si>
  <si>
    <t>152326198209176885</t>
  </si>
  <si>
    <t>韩得胜</t>
  </si>
  <si>
    <t>152326198106116898</t>
  </si>
  <si>
    <t>韩树军</t>
  </si>
  <si>
    <t>152326197606036873</t>
  </si>
  <si>
    <t>娜日苏</t>
  </si>
  <si>
    <t>152326197704051188</t>
  </si>
  <si>
    <t>代永军</t>
  </si>
  <si>
    <t>152326197904106892</t>
  </si>
  <si>
    <t>152326198005056865</t>
  </si>
  <si>
    <t>王守民</t>
  </si>
  <si>
    <t>152326196307206874</t>
  </si>
  <si>
    <t>刘伟玲</t>
  </si>
  <si>
    <t>152326197109076903</t>
  </si>
  <si>
    <t>吴秀泉</t>
  </si>
  <si>
    <t>152326196210066879</t>
  </si>
  <si>
    <t>哈斯必力格</t>
  </si>
  <si>
    <t>152326196210086861</t>
  </si>
  <si>
    <t>韩双德</t>
  </si>
  <si>
    <t>152326197110216870</t>
  </si>
  <si>
    <t>席仁其木格</t>
  </si>
  <si>
    <t>152326197002156866</t>
  </si>
  <si>
    <t>宫玉华</t>
  </si>
  <si>
    <t>150525197408026888</t>
  </si>
  <si>
    <t>吴秀红</t>
  </si>
  <si>
    <t>152326197704226865</t>
  </si>
  <si>
    <t>李洪春</t>
  </si>
  <si>
    <t>152326197704046899</t>
  </si>
  <si>
    <t>吴秀芹</t>
  </si>
  <si>
    <t>152326198404246885</t>
  </si>
  <si>
    <t>吴玉荣</t>
  </si>
  <si>
    <t>15232619750926118X</t>
  </si>
  <si>
    <t>吴宝全</t>
  </si>
  <si>
    <t>152326197409016873</t>
  </si>
  <si>
    <t>王金红</t>
  </si>
  <si>
    <t>152326197312056887</t>
  </si>
  <si>
    <t>李洪林</t>
  </si>
  <si>
    <t>152326197311146899</t>
  </si>
  <si>
    <t>代全宝</t>
  </si>
  <si>
    <t>152326198202206957</t>
  </si>
  <si>
    <t>龚桂兰</t>
  </si>
  <si>
    <t>15232619840122228X</t>
  </si>
  <si>
    <t>刘忠义</t>
  </si>
  <si>
    <t>152326196608236874</t>
  </si>
  <si>
    <t>陈玉新</t>
  </si>
  <si>
    <t>15232619671028686X</t>
  </si>
  <si>
    <t>双德</t>
  </si>
  <si>
    <t>152326198010086874</t>
  </si>
  <si>
    <t>韩高娃</t>
  </si>
  <si>
    <t>152326197908106865</t>
  </si>
  <si>
    <t>佟艳春</t>
  </si>
  <si>
    <t>152326196912086882</t>
  </si>
  <si>
    <t>迟凤民</t>
  </si>
  <si>
    <t>152326196309116872</t>
  </si>
  <si>
    <t>陈双叶</t>
  </si>
  <si>
    <t>152326196502261182</t>
  </si>
  <si>
    <t>代德喜</t>
  </si>
  <si>
    <t>15232619690529689X</t>
  </si>
  <si>
    <t>韩文德</t>
  </si>
  <si>
    <t>152326197803126878</t>
  </si>
  <si>
    <t>李春芹</t>
  </si>
  <si>
    <t>152326197709096860</t>
  </si>
  <si>
    <t>陈玉兰</t>
  </si>
  <si>
    <t>152326196104246868</t>
  </si>
  <si>
    <t>韩永军</t>
  </si>
  <si>
    <t>152326197802136871</t>
  </si>
  <si>
    <t>白晓令</t>
  </si>
  <si>
    <t>15232619810927148X</t>
  </si>
  <si>
    <t>152326197107186877</t>
  </si>
  <si>
    <t>王海琴</t>
  </si>
  <si>
    <t>152326197007106868</t>
  </si>
  <si>
    <t>宝莲花</t>
  </si>
  <si>
    <t>152326196707086883</t>
  </si>
  <si>
    <t>吴秀东</t>
  </si>
  <si>
    <t>152326196602166879</t>
  </si>
  <si>
    <t>王永梅</t>
  </si>
  <si>
    <t>152326197302056904</t>
  </si>
  <si>
    <t>徐国芹</t>
  </si>
  <si>
    <t>152326196308106867</t>
  </si>
  <si>
    <t>于云玲</t>
  </si>
  <si>
    <t>152326196211126941</t>
  </si>
  <si>
    <t>李根小</t>
  </si>
  <si>
    <t>152326196510026887</t>
  </si>
  <si>
    <t>韩桂兰</t>
  </si>
  <si>
    <t>152326196210106906</t>
  </si>
  <si>
    <t>董国祥</t>
  </si>
  <si>
    <t>152326196411116879</t>
  </si>
  <si>
    <t>王双锁</t>
  </si>
  <si>
    <t>152326198301016876</t>
  </si>
  <si>
    <t>梁玉珍</t>
  </si>
  <si>
    <t>152326196305066863</t>
  </si>
  <si>
    <t>代初一</t>
  </si>
  <si>
    <t>152326198011016878</t>
  </si>
  <si>
    <t>龚彩英</t>
  </si>
  <si>
    <t>152326196405056881</t>
  </si>
  <si>
    <t>李宁布</t>
  </si>
  <si>
    <t>152326196211306870</t>
  </si>
  <si>
    <t>152326196404276866</t>
  </si>
  <si>
    <t>吴秀宝</t>
  </si>
  <si>
    <t>152326196408116878</t>
  </si>
  <si>
    <t>152326196509166866</t>
  </si>
  <si>
    <t>高志文</t>
  </si>
  <si>
    <t>152326196312156875</t>
  </si>
  <si>
    <t>代彩音其木格</t>
  </si>
  <si>
    <t>152326196806176884</t>
  </si>
  <si>
    <t>152326196306036869</t>
  </si>
  <si>
    <t>韩宝山</t>
  </si>
  <si>
    <t>152326197204156899</t>
  </si>
  <si>
    <t>李贵林</t>
  </si>
  <si>
    <t>152326197902196898</t>
  </si>
  <si>
    <t>徐春艳</t>
  </si>
  <si>
    <t>152326197805162303</t>
  </si>
  <si>
    <t>152326196711026867</t>
  </si>
  <si>
    <t>韩孟和</t>
  </si>
  <si>
    <t>152326198002146910</t>
  </si>
  <si>
    <t>胡宝力高</t>
  </si>
  <si>
    <t>152326198110216947</t>
  </si>
  <si>
    <t>桃拉</t>
  </si>
  <si>
    <t>152326196602126885</t>
  </si>
  <si>
    <t>吴七十二</t>
  </si>
  <si>
    <t>152326197010016871</t>
  </si>
  <si>
    <t>吴银锁</t>
  </si>
  <si>
    <t>152326197510056896</t>
  </si>
  <si>
    <t>于金木舍</t>
  </si>
  <si>
    <t>152326197411286880</t>
  </si>
  <si>
    <t>吴秀强</t>
  </si>
  <si>
    <t>152326196801106879</t>
  </si>
  <si>
    <t>吴海玲</t>
  </si>
  <si>
    <t>152326199409276885</t>
  </si>
  <si>
    <t>15232619720616688X</t>
  </si>
  <si>
    <t>谢亚芹</t>
  </si>
  <si>
    <t>152326196508076885</t>
  </si>
  <si>
    <t>李双梅</t>
  </si>
  <si>
    <t>152326197912230762</t>
  </si>
  <si>
    <t>代金锁</t>
  </si>
  <si>
    <t>152326197904106876</t>
  </si>
  <si>
    <t>韩海军</t>
  </si>
  <si>
    <t>152326198107226917</t>
  </si>
  <si>
    <t>代小</t>
  </si>
  <si>
    <t>152326198101156882</t>
  </si>
  <si>
    <t>吴秀文</t>
  </si>
  <si>
    <t>152326196609146870</t>
  </si>
  <si>
    <t>宝吉木斯</t>
  </si>
  <si>
    <t>15232619690720686X</t>
  </si>
  <si>
    <t>152326197810056871</t>
  </si>
  <si>
    <t>邢明茹</t>
  </si>
  <si>
    <t>152326198406276885</t>
  </si>
  <si>
    <t>张洪伟</t>
  </si>
  <si>
    <t>152326198312076882</t>
  </si>
  <si>
    <t>高志武</t>
  </si>
  <si>
    <t>15232619651215687X</t>
  </si>
  <si>
    <t>高志强</t>
  </si>
  <si>
    <t>152326197205136873</t>
  </si>
  <si>
    <t>152326197410011201</t>
  </si>
  <si>
    <t>吴巨力和</t>
  </si>
  <si>
    <t>152326197902176897</t>
  </si>
  <si>
    <t>152326196810286875</t>
  </si>
  <si>
    <t>宝翁和其格</t>
  </si>
  <si>
    <t>152326196705066862</t>
  </si>
  <si>
    <t>扎力嘎</t>
  </si>
  <si>
    <t>152326196603076883</t>
  </si>
  <si>
    <t>何双喜</t>
  </si>
  <si>
    <t>152326197012096617</t>
  </si>
  <si>
    <t>高怀玉</t>
  </si>
  <si>
    <t>152326196107056875</t>
  </si>
  <si>
    <t>迟凤雷</t>
  </si>
  <si>
    <t>152326197403126879</t>
  </si>
  <si>
    <t>曲凤辉</t>
  </si>
  <si>
    <t>150430198106081881</t>
  </si>
  <si>
    <t>代永全</t>
  </si>
  <si>
    <t>152326197411186871</t>
  </si>
  <si>
    <t>梁其木格</t>
  </si>
  <si>
    <t>152326197206106860</t>
  </si>
  <si>
    <t>吴格日乐图</t>
  </si>
  <si>
    <t>152326197608296871</t>
  </si>
  <si>
    <t>152326197603226882</t>
  </si>
  <si>
    <t>韩青升</t>
  </si>
  <si>
    <t>152326198310056896</t>
  </si>
  <si>
    <t>阿其马</t>
  </si>
  <si>
    <t>152326198801096884</t>
  </si>
  <si>
    <t>霍振山</t>
  </si>
  <si>
    <t>152326197212096873</t>
  </si>
  <si>
    <t>吴秀平</t>
  </si>
  <si>
    <t>152326196401126889</t>
  </si>
  <si>
    <t>额尔敦都冷</t>
  </si>
  <si>
    <t>152324197203203312</t>
  </si>
  <si>
    <t>高银荣</t>
  </si>
  <si>
    <t>152326197001096881</t>
  </si>
  <si>
    <t>韩马连</t>
  </si>
  <si>
    <t>152326197610056877</t>
  </si>
  <si>
    <t>韩东升</t>
  </si>
  <si>
    <t>152326197611136879</t>
  </si>
  <si>
    <t>152326197503117128</t>
  </si>
  <si>
    <t>佟宝林</t>
  </si>
  <si>
    <t>152326197409086871</t>
  </si>
  <si>
    <t>吴海山</t>
  </si>
  <si>
    <t>152326197902256870</t>
  </si>
  <si>
    <t>152326197306016862</t>
  </si>
  <si>
    <t>代双全</t>
  </si>
  <si>
    <t>152326197310296895</t>
  </si>
  <si>
    <t>陈秀杰</t>
  </si>
  <si>
    <t>220821197301134546</t>
  </si>
  <si>
    <t>刘玉珍</t>
  </si>
  <si>
    <t>152326197104026907</t>
  </si>
  <si>
    <t>张彩红</t>
  </si>
  <si>
    <t>152326196905286886</t>
  </si>
  <si>
    <t>韩树林</t>
  </si>
  <si>
    <t>152326197106036877</t>
  </si>
  <si>
    <t>宝其木格</t>
  </si>
  <si>
    <t>152326197007176882</t>
  </si>
  <si>
    <t>王海柱</t>
  </si>
  <si>
    <t>152326197108256873</t>
  </si>
  <si>
    <t>齐彩云</t>
  </si>
  <si>
    <t>152326196707156909</t>
  </si>
  <si>
    <t>新参保-补缴</t>
  </si>
  <si>
    <t>年月日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</si>
</sst>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53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name val="Tahoma"/>
      <charset val="134"/>
    </font>
    <font>
      <sz val="11"/>
      <name val="Arial"/>
      <charset val="134"/>
    </font>
    <font>
      <sz val="11"/>
      <name val="楷体_GB2312"/>
      <charset val="134"/>
    </font>
    <font>
      <sz val="11"/>
      <color theme="1"/>
      <name val="宋体"/>
      <charset val="134"/>
    </font>
    <font>
      <sz val="11"/>
      <color theme="1"/>
      <name val="楷体_GB2312"/>
      <charset val="134"/>
    </font>
    <font>
      <sz val="11"/>
      <color indexed="8"/>
      <name val="宋体"/>
      <charset val="134"/>
    </font>
    <font>
      <sz val="12"/>
      <name val="宋体"/>
      <charset val="134"/>
      <scheme val="minor"/>
    </font>
    <font>
      <sz val="11"/>
      <name val="Arial"/>
      <charset val="0"/>
    </font>
    <font>
      <sz val="11"/>
      <color rgb="FF000000"/>
      <name val="宋体"/>
      <charset val="134"/>
      <scheme val="minor"/>
    </font>
    <font>
      <sz val="11"/>
      <color indexed="8"/>
      <name val="等线"/>
      <charset val="134"/>
    </font>
    <font>
      <sz val="10"/>
      <name val="Arial"/>
      <charset val="0"/>
    </font>
    <font>
      <sz val="1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等线"/>
      <charset val="134"/>
    </font>
    <font>
      <sz val="9"/>
      <name val="Arial"/>
      <charset val="0"/>
    </font>
    <font>
      <sz val="11"/>
      <color indexed="8"/>
      <name val="楷体_GB2312"/>
      <charset val="134"/>
    </font>
    <font>
      <sz val="11"/>
      <name val="宋体"/>
      <charset val="0"/>
    </font>
    <font>
      <sz val="11"/>
      <color indexed="8"/>
      <name val="Arial"/>
      <charset val="134"/>
    </font>
    <font>
      <sz val="11"/>
      <color rgb="FF7030A0"/>
      <name val="楷体_GB2312"/>
      <charset val="134"/>
    </font>
    <font>
      <sz val="11"/>
      <name val="宋体"/>
      <charset val="134"/>
      <scheme val="major"/>
    </font>
    <font>
      <sz val="12"/>
      <name val="楷体_GB2312"/>
      <charset val="134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name val="宋体"/>
      <charset val="134"/>
    </font>
    <font>
      <b/>
      <sz val="14"/>
      <color theme="1"/>
      <name val="宋体"/>
      <charset val="134"/>
      <scheme val="minor"/>
    </font>
    <font>
      <sz val="11"/>
      <color rgb="FFFF0000"/>
      <name val="宋体"/>
      <charset val="134"/>
    </font>
    <font>
      <sz val="10"/>
      <name val="Arial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Tahoma"/>
      <charset val="134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50" fillId="32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2" borderId="20" applyNumberFormat="0" applyFont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51" fillId="21" borderId="22" applyNumberFormat="0" applyAlignment="0" applyProtection="0">
      <alignment vertical="center"/>
    </xf>
    <xf numFmtId="0" fontId="42" fillId="21" borderId="19" applyNumberFormat="0" applyAlignment="0" applyProtection="0">
      <alignment vertical="center"/>
    </xf>
    <xf numFmtId="0" fontId="41" fillId="17" borderId="18" applyNumberFormat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40" fillId="0" borderId="0"/>
    <xf numFmtId="0" fontId="44" fillId="26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6" fillId="0" borderId="0"/>
    <xf numFmtId="0" fontId="37" fillId="15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2" fillId="0" borderId="0" applyNumberFormat="0" applyFont="0" applyFill="0" applyBorder="0" applyAlignment="0" applyProtection="0"/>
    <xf numFmtId="0" fontId="40" fillId="0" borderId="0"/>
    <xf numFmtId="0" fontId="37" fillId="11" borderId="0" applyNumberFormat="0" applyBorder="0" applyAlignment="0" applyProtection="0">
      <alignment vertical="center"/>
    </xf>
    <xf numFmtId="0" fontId="16" fillId="0" borderId="0"/>
    <xf numFmtId="0" fontId="33" fillId="28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0" fillId="0" borderId="0"/>
  </cellStyleXfs>
  <cellXfs count="280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49" fontId="1" fillId="2" borderId="1" xfId="54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/>
    </xf>
    <xf numFmtId="49" fontId="0" fillId="2" borderId="1" xfId="0" applyNumberFormat="1" applyFont="1" applyFill="1" applyBorder="1" applyAlignment="1">
      <alignment horizontal="center" vertical="center"/>
    </xf>
    <xf numFmtId="49" fontId="1" fillId="2" borderId="1" xfId="54" applyNumberFormat="1" applyFont="1" applyFill="1" applyBorder="1" applyAlignment="1">
      <alignment horizontal="center"/>
    </xf>
    <xf numFmtId="49" fontId="3" fillId="2" borderId="1" xfId="54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49" fontId="5" fillId="2" borderId="1" xfId="56" applyNumberFormat="1" applyFont="1" applyFill="1" applyBorder="1" applyAlignment="1">
      <alignment horizontal="center" vertical="center"/>
    </xf>
    <xf numFmtId="49" fontId="4" fillId="2" borderId="1" xfId="54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9" fillId="2" borderId="1" xfId="54" applyNumberFormat="1" applyFont="1" applyFill="1" applyBorder="1" applyAlignment="1">
      <alignment horizontal="center"/>
    </xf>
    <xf numFmtId="0" fontId="10" fillId="2" borderId="1" xfId="54" applyFont="1" applyFill="1" applyBorder="1" applyAlignment="1">
      <alignment horizontal="center" vertical="center"/>
    </xf>
    <xf numFmtId="49" fontId="10" fillId="2" borderId="1" xfId="54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 vertical="center"/>
    </xf>
    <xf numFmtId="49" fontId="1" fillId="2" borderId="1" xfId="49" applyNumberFormat="1" applyFont="1" applyFill="1" applyBorder="1" applyAlignment="1">
      <alignment horizontal="center"/>
    </xf>
    <xf numFmtId="49" fontId="3" fillId="2" borderId="1" xfId="49" applyNumberFormat="1" applyFont="1" applyFill="1" applyBorder="1" applyAlignment="1">
      <alignment horizontal="center"/>
    </xf>
    <xf numFmtId="0" fontId="12" fillId="2" borderId="1" xfId="54" applyNumberFormat="1" applyFont="1" applyFill="1" applyBorder="1" applyAlignment="1">
      <alignment horizontal="center"/>
    </xf>
    <xf numFmtId="49" fontId="1" fillId="2" borderId="1" xfId="56" applyNumberFormat="1" applyFont="1" applyFill="1" applyBorder="1" applyAlignment="1">
      <alignment horizontal="center" vertical="center"/>
    </xf>
    <xf numFmtId="49" fontId="13" fillId="2" borderId="1" xfId="54" applyNumberFormat="1" applyFont="1" applyFill="1" applyBorder="1" applyAlignment="1">
      <alignment horizontal="center" vertical="center"/>
    </xf>
    <xf numFmtId="49" fontId="13" fillId="2" borderId="1" xfId="57" applyNumberFormat="1" applyFont="1" applyFill="1" applyBorder="1" applyAlignment="1">
      <alignment horizontal="center" vertical="center"/>
    </xf>
    <xf numFmtId="49" fontId="1" fillId="2" borderId="1" xfId="54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" fillId="2" borderId="1" xfId="57" applyNumberFormat="1" applyFont="1" applyFill="1" applyBorder="1" applyAlignment="1">
      <alignment horizontal="center" vertical="center"/>
    </xf>
    <xf numFmtId="49" fontId="4" fillId="2" borderId="1" xfId="57" applyNumberFormat="1" applyFont="1" applyFill="1" applyBorder="1" applyAlignment="1" applyProtection="1">
      <alignment horizontal="center" vertical="center"/>
    </xf>
    <xf numFmtId="49" fontId="0" fillId="2" borderId="1" xfId="57" applyNumberFormat="1" applyFont="1" applyFill="1" applyBorder="1" applyAlignment="1">
      <alignment horizontal="center"/>
    </xf>
    <xf numFmtId="0" fontId="0" fillId="2" borderId="1" xfId="0" applyFill="1" applyBorder="1">
      <alignment vertical="center"/>
    </xf>
    <xf numFmtId="0" fontId="2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/>
    <xf numFmtId="0" fontId="0" fillId="2" borderId="1" xfId="0" applyFont="1" applyFill="1" applyBorder="1" applyAlignment="1">
      <alignment vertical="center"/>
    </xf>
    <xf numFmtId="0" fontId="1" fillId="2" borderId="1" xfId="54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/>
    </xf>
    <xf numFmtId="49" fontId="14" fillId="2" borderId="1" xfId="54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49" fontId="13" fillId="2" borderId="1" xfId="54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/>
    <xf numFmtId="49" fontId="16" fillId="2" borderId="1" xfId="57" applyNumberFormat="1" applyFont="1" applyFill="1" applyBorder="1" applyAlignment="1">
      <alignment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/>
    </xf>
    <xf numFmtId="49" fontId="18" fillId="2" borderId="1" xfId="57" applyNumberFormat="1" applyFont="1" applyFill="1" applyBorder="1" applyAlignment="1">
      <alignment horizontal="center" vertical="center"/>
    </xf>
    <xf numFmtId="49" fontId="0" fillId="2" borderId="1" xfId="31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wrapText="1"/>
    </xf>
    <xf numFmtId="49" fontId="19" fillId="2" borderId="1" xfId="57" applyNumberFormat="1" applyFont="1" applyFill="1" applyBorder="1" applyAlignment="1" applyProtection="1">
      <alignment horizontal="center" vertical="center"/>
    </xf>
    <xf numFmtId="49" fontId="4" fillId="2" borderId="1" xfId="57" applyNumberFormat="1" applyFont="1" applyFill="1" applyBorder="1" applyAlignment="1" applyProtection="1">
      <alignment horizontal="center"/>
    </xf>
    <xf numFmtId="49" fontId="20" fillId="2" borderId="1" xfId="54" applyNumberFormat="1" applyFont="1" applyFill="1" applyBorder="1" applyAlignment="1">
      <alignment horizontal="center"/>
    </xf>
    <xf numFmtId="49" fontId="16" fillId="2" borderId="1" xfId="57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/>
    </xf>
    <xf numFmtId="49" fontId="13" fillId="2" borderId="1" xfId="55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/>
    </xf>
    <xf numFmtId="49" fontId="13" fillId="2" borderId="1" xfId="0" applyNumberFormat="1" applyFont="1" applyFill="1" applyBorder="1" applyAlignment="1">
      <alignment horizontal="center"/>
    </xf>
    <xf numFmtId="49" fontId="4" fillId="2" borderId="1" xfId="45" applyNumberFormat="1" applyFont="1" applyFill="1" applyBorder="1" applyAlignment="1">
      <alignment horizontal="center" vertical="center"/>
    </xf>
    <xf numFmtId="49" fontId="7" fillId="2" borderId="1" xfId="57" applyNumberFormat="1" applyFont="1" applyFill="1" applyBorder="1" applyAlignment="1" applyProtection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49" fontId="22" fillId="2" borderId="1" xfId="0" applyNumberFormat="1" applyFont="1" applyFill="1" applyBorder="1" applyAlignment="1">
      <alignment horizontal="center" vertical="center"/>
    </xf>
    <xf numFmtId="49" fontId="13" fillId="2" borderId="1" xfId="52" applyNumberFormat="1" applyFont="1" applyFill="1" applyBorder="1" applyAlignment="1">
      <alignment horizontal="center" vertical="center" wrapText="1"/>
    </xf>
    <xf numFmtId="49" fontId="13" fillId="2" borderId="1" xfId="45" applyNumberFormat="1" applyFont="1" applyFill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/>
    </xf>
    <xf numFmtId="49" fontId="0" fillId="2" borderId="1" xfId="55" applyNumberFormat="1" applyFont="1" applyFill="1" applyBorder="1" applyAlignment="1">
      <alignment horizontal="center" vertical="center"/>
    </xf>
    <xf numFmtId="49" fontId="13" fillId="2" borderId="1" xfId="55" applyNumberFormat="1" applyFont="1" applyFill="1" applyBorder="1" applyAlignment="1">
      <alignment horizontal="center" vertical="center"/>
    </xf>
    <xf numFmtId="49" fontId="5" fillId="2" borderId="1" xfId="54" applyNumberFormat="1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vertical="center"/>
    </xf>
    <xf numFmtId="0" fontId="13" fillId="2" borderId="1" xfId="54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/>
    </xf>
    <xf numFmtId="0" fontId="9" fillId="2" borderId="1" xfId="54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/>
    </xf>
    <xf numFmtId="49" fontId="26" fillId="2" borderId="1" xfId="0" applyNumberFormat="1" applyFont="1" applyFill="1" applyBorder="1" applyAlignment="1">
      <alignment horizontal="center" vertical="center"/>
    </xf>
    <xf numFmtId="49" fontId="26" fillId="2" borderId="1" xfId="0" applyNumberFormat="1" applyFont="1" applyFill="1" applyBorder="1" applyAlignment="1">
      <alignment horizontal="center"/>
    </xf>
    <xf numFmtId="49" fontId="13" fillId="2" borderId="1" xfId="54" applyNumberFormat="1" applyFont="1" applyFill="1" applyBorder="1" applyAlignment="1">
      <alignment horizontal="left" vertical="center"/>
    </xf>
    <xf numFmtId="49" fontId="13" fillId="2" borderId="1" xfId="54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49" fontId="0" fillId="2" borderId="1" xfId="5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 applyProtection="1">
      <alignment horizontal="center" vertical="center"/>
      <protection locked="0"/>
    </xf>
    <xf numFmtId="49" fontId="4" fillId="2" borderId="1" xfId="54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49" fontId="5" fillId="2" borderId="1" xfId="55" applyNumberFormat="1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15" fillId="0" borderId="0" xfId="0" applyFont="1">
      <alignment vertical="center"/>
    </xf>
    <xf numFmtId="0" fontId="0" fillId="0" borderId="0" xfId="0" applyFont="1">
      <alignment vertical="center"/>
    </xf>
    <xf numFmtId="0" fontId="0" fillId="2" borderId="0" xfId="0" applyFill="1">
      <alignment vertical="center"/>
    </xf>
    <xf numFmtId="49" fontId="29" fillId="0" borderId="0" xfId="0" applyNumberFormat="1" applyFont="1" applyFill="1" applyAlignment="1">
      <alignment horizontal="center" vertical="center"/>
    </xf>
    <xf numFmtId="49" fontId="30" fillId="0" borderId="0" xfId="0" applyNumberFormat="1" applyFont="1" applyFill="1" applyAlignment="1">
      <alignment horizontal="center" vertical="center"/>
    </xf>
    <xf numFmtId="49" fontId="30" fillId="2" borderId="0" xfId="0" applyNumberFormat="1" applyFont="1" applyFill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49" fontId="14" fillId="4" borderId="1" xfId="54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5" fillId="5" borderId="1" xfId="56" applyNumberFormat="1" applyFont="1" applyFill="1" applyBorder="1" applyAlignment="1">
      <alignment horizontal="center" vertical="center"/>
    </xf>
    <xf numFmtId="49" fontId="0" fillId="5" borderId="1" xfId="0" applyNumberFormat="1" applyFont="1" applyFill="1" applyBorder="1" applyAlignment="1">
      <alignment horizontal="center"/>
    </xf>
    <xf numFmtId="0" fontId="0" fillId="0" borderId="1" xfId="0" applyBorder="1">
      <alignment vertical="center"/>
    </xf>
    <xf numFmtId="49" fontId="0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49" fontId="0" fillId="2" borderId="0" xfId="0" applyNumberFormat="1" applyFill="1" applyAlignment="1">
      <alignment horizontal="center"/>
    </xf>
    <xf numFmtId="0" fontId="0" fillId="0" borderId="0" xfId="0" applyFill="1" applyAlignment="1">
      <alignment vertical="center"/>
    </xf>
    <xf numFmtId="49" fontId="0" fillId="0" borderId="0" xfId="0" applyNumberFormat="1" applyFill="1" applyAlignment="1">
      <alignment vertical="center"/>
    </xf>
    <xf numFmtId="49" fontId="0" fillId="2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0" fillId="2" borderId="0" xfId="0" applyNumberFormat="1" applyFill="1" applyAlignment="1">
      <alignment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0" fillId="5" borderId="1" xfId="55" applyNumberFormat="1" applyFont="1" applyFill="1" applyBorder="1" applyAlignment="1">
      <alignment horizontal="center" vertical="center"/>
    </xf>
    <xf numFmtId="49" fontId="13" fillId="0" borderId="1" xfId="55" applyNumberFormat="1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0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/>
    </xf>
    <xf numFmtId="49" fontId="0" fillId="0" borderId="0" xfId="0" applyNumberFormat="1" applyFont="1" applyFill="1" applyAlignment="1">
      <alignment vertical="center"/>
    </xf>
    <xf numFmtId="49" fontId="0" fillId="5" borderId="0" xfId="0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/>
    </xf>
    <xf numFmtId="49" fontId="5" fillId="0" borderId="1" xfId="56" applyNumberFormat="1" applyFont="1" applyBorder="1" applyAlignment="1">
      <alignment horizontal="center" vertical="center"/>
    </xf>
    <xf numFmtId="49" fontId="0" fillId="0" borderId="0" xfId="0" applyNumberFormat="1" applyFill="1" applyAlignment="1"/>
    <xf numFmtId="49" fontId="0" fillId="2" borderId="0" xfId="0" applyNumberFormat="1" applyFill="1" applyAlignment="1"/>
    <xf numFmtId="49" fontId="1" fillId="0" borderId="1" xfId="0" applyNumberFormat="1" applyFont="1" applyFill="1" applyBorder="1" applyAlignment="1">
      <alignment horizontal="center"/>
    </xf>
    <xf numFmtId="49" fontId="0" fillId="2" borderId="0" xfId="0" applyNumberFormat="1" applyFont="1" applyFill="1" applyAlignment="1"/>
    <xf numFmtId="49" fontId="4" fillId="0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13" fillId="6" borderId="1" xfId="0" applyNumberFormat="1" applyFont="1" applyFill="1" applyBorder="1" applyAlignment="1">
      <alignment horizontal="center" vertical="center"/>
    </xf>
    <xf numFmtId="49" fontId="13" fillId="6" borderId="1" xfId="0" applyNumberFormat="1" applyFont="1" applyFill="1" applyBorder="1" applyAlignment="1">
      <alignment horizontal="center"/>
    </xf>
    <xf numFmtId="49" fontId="0" fillId="6" borderId="1" xfId="0" applyNumberFormat="1" applyFont="1" applyFill="1" applyBorder="1" applyAlignment="1">
      <alignment horizontal="center"/>
    </xf>
    <xf numFmtId="49" fontId="4" fillId="0" borderId="1" xfId="54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0" fillId="5" borderId="0" xfId="0" applyNumberFormat="1" applyFont="1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/>
    <xf numFmtId="0" fontId="0" fillId="3" borderId="0" xfId="0" applyFill="1" applyAlignment="1"/>
    <xf numFmtId="0" fontId="0" fillId="2" borderId="0" xfId="0" applyFill="1" applyAlignment="1"/>
    <xf numFmtId="49" fontId="0" fillId="0" borderId="1" xfId="0" applyNumberFormat="1" applyFill="1" applyBorder="1" applyAlignment="1">
      <alignment horizontal="center"/>
    </xf>
    <xf numFmtId="49" fontId="15" fillId="0" borderId="1" xfId="0" applyNumberFormat="1" applyFont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/>
    </xf>
    <xf numFmtId="49" fontId="13" fillId="0" borderId="1" xfId="57" applyNumberFormat="1" applyFont="1" applyBorder="1" applyAlignment="1">
      <alignment horizontal="center" vertical="center"/>
    </xf>
    <xf numFmtId="49" fontId="0" fillId="0" borderId="1" xfId="50" applyNumberFormat="1" applyFont="1" applyBorder="1" applyAlignment="1">
      <alignment horizontal="center" vertical="center"/>
    </xf>
    <xf numFmtId="0" fontId="0" fillId="0" borderId="1" xfId="0" applyFill="1" applyBorder="1" applyAlignment="1"/>
    <xf numFmtId="49" fontId="13" fillId="0" borderId="1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/>
    </xf>
    <xf numFmtId="49" fontId="13" fillId="5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49" fontId="0" fillId="0" borderId="1" xfId="57" applyNumberFormat="1" applyFont="1" applyBorder="1" applyAlignment="1">
      <alignment horizontal="center"/>
    </xf>
    <xf numFmtId="49" fontId="0" fillId="6" borderId="1" xfId="57" applyNumberFormat="1" applyFont="1" applyFill="1" applyBorder="1" applyAlignment="1">
      <alignment horizontal="center"/>
    </xf>
    <xf numFmtId="0" fontId="0" fillId="2" borderId="0" xfId="0" applyFont="1" applyFill="1" applyAlignment="1"/>
    <xf numFmtId="49" fontId="25" fillId="0" borderId="0" xfId="0" applyNumberFormat="1" applyFont="1" applyFill="1" applyAlignment="1">
      <alignment vertical="center"/>
    </xf>
    <xf numFmtId="49" fontId="25" fillId="2" borderId="0" xfId="0" applyNumberFormat="1" applyFont="1" applyFill="1" applyAlignment="1">
      <alignment vertical="center"/>
    </xf>
    <xf numFmtId="49" fontId="4" fillId="0" borderId="1" xfId="0" applyNumberFormat="1" applyFont="1" applyFill="1" applyBorder="1" applyAlignment="1">
      <alignment horizontal="center"/>
    </xf>
    <xf numFmtId="49" fontId="4" fillId="0" borderId="1" xfId="54" applyNumberFormat="1" applyFont="1" applyBorder="1" applyAlignment="1">
      <alignment horizontal="center"/>
    </xf>
    <xf numFmtId="49" fontId="25" fillId="0" borderId="1" xfId="0" applyNumberFormat="1" applyFont="1" applyFill="1" applyBorder="1" applyAlignment="1">
      <alignment horizontal="center" vertical="center"/>
    </xf>
    <xf numFmtId="0" fontId="9" fillId="3" borderId="1" xfId="54" applyNumberFormat="1" applyFont="1" applyFill="1" applyBorder="1" applyAlignment="1">
      <alignment horizontal="center"/>
    </xf>
    <xf numFmtId="0" fontId="9" fillId="3" borderId="1" xfId="0" applyNumberFormat="1" applyFont="1" applyFill="1" applyBorder="1" applyAlignment="1">
      <alignment horizontal="center"/>
    </xf>
    <xf numFmtId="0" fontId="26" fillId="0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49" fontId="0" fillId="0" borderId="0" xfId="0" applyNumberFormat="1" applyFont="1" applyFill="1" applyAlignment="1">
      <alignment horizontal="center"/>
    </xf>
    <xf numFmtId="49" fontId="0" fillId="5" borderId="1" xfId="0" applyNumberFormat="1" applyFont="1" applyFill="1" applyBorder="1" applyAlignment="1">
      <alignment horizontal="center" vertical="center"/>
    </xf>
    <xf numFmtId="49" fontId="0" fillId="6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9" fontId="24" fillId="0" borderId="2" xfId="0" applyNumberFormat="1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 vertical="center"/>
    </xf>
    <xf numFmtId="49" fontId="25" fillId="0" borderId="3" xfId="0" applyNumberFormat="1" applyFont="1" applyFill="1" applyBorder="1" applyAlignment="1">
      <alignment vertical="center"/>
    </xf>
    <xf numFmtId="49" fontId="0" fillId="2" borderId="4" xfId="0" applyNumberFormat="1" applyFont="1" applyFill="1" applyBorder="1" applyAlignment="1">
      <alignment horizontal="center"/>
    </xf>
    <xf numFmtId="49" fontId="0" fillId="2" borderId="4" xfId="0" applyNumberFormat="1" applyFill="1" applyBorder="1" applyAlignment="1">
      <alignment horizontal="center"/>
    </xf>
    <xf numFmtId="49" fontId="25" fillId="5" borderId="5" xfId="0" applyNumberFormat="1" applyFont="1" applyFill="1" applyBorder="1" applyAlignment="1">
      <alignment horizontal="center" vertical="center"/>
    </xf>
    <xf numFmtId="49" fontId="24" fillId="2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24" fillId="0" borderId="7" xfId="0" applyNumberFormat="1" applyFont="1" applyFill="1" applyBorder="1" applyAlignment="1">
      <alignment horizontal="center" vertical="center"/>
    </xf>
    <xf numFmtId="49" fontId="25" fillId="0" borderId="7" xfId="0" applyNumberFormat="1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vertical="center"/>
    </xf>
    <xf numFmtId="49" fontId="0" fillId="2" borderId="6" xfId="0" applyNumberFormat="1" applyFont="1" applyFill="1" applyBorder="1" applyAlignment="1">
      <alignment horizontal="center"/>
    </xf>
    <xf numFmtId="49" fontId="0" fillId="2" borderId="6" xfId="0" applyNumberFormat="1" applyFill="1" applyBorder="1" applyAlignment="1">
      <alignment horizontal="center"/>
    </xf>
    <xf numFmtId="49" fontId="25" fillId="5" borderId="9" xfId="0" applyNumberFormat="1" applyFont="1" applyFill="1" applyBorder="1" applyAlignment="1">
      <alignment horizontal="center" vertical="center"/>
    </xf>
    <xf numFmtId="49" fontId="24" fillId="2" borderId="7" xfId="0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vertical="center"/>
    </xf>
    <xf numFmtId="49" fontId="25" fillId="5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25" fillId="2" borderId="2" xfId="0" applyNumberFormat="1" applyFont="1" applyFill="1" applyBorder="1" applyAlignment="1">
      <alignment vertical="center"/>
    </xf>
    <xf numFmtId="49" fontId="25" fillId="2" borderId="7" xfId="0" applyNumberFormat="1" applyFont="1" applyFill="1" applyBorder="1" applyAlignment="1">
      <alignment vertical="center"/>
    </xf>
    <xf numFmtId="49" fontId="0" fillId="0" borderId="0" xfId="0" applyNumberFormat="1" applyFont="1" applyFill="1" applyAlignment="1"/>
    <xf numFmtId="49" fontId="15" fillId="0" borderId="0" xfId="0" applyNumberFormat="1" applyFont="1" applyFill="1" applyAlignment="1">
      <alignment horizontal="center" vertical="center"/>
    </xf>
    <xf numFmtId="49" fontId="0" fillId="0" borderId="1" xfId="0" applyNumberFormat="1" applyFont="1" applyFill="1" applyBorder="1" applyAlignment="1"/>
    <xf numFmtId="0" fontId="27" fillId="0" borderId="1" xfId="0" applyFont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/>
    </xf>
    <xf numFmtId="49" fontId="5" fillId="0" borderId="1" xfId="54" applyNumberFormat="1" applyFont="1" applyBorder="1" applyAlignment="1">
      <alignment horizontal="center" vertical="center" wrapText="1"/>
    </xf>
    <xf numFmtId="49" fontId="3" fillId="0" borderId="1" xfId="54" applyNumberFormat="1" applyFont="1" applyBorder="1" applyAlignment="1">
      <alignment horizontal="center"/>
    </xf>
    <xf numFmtId="49" fontId="1" fillId="0" borderId="1" xfId="54" applyNumberFormat="1" applyFont="1" applyBorder="1" applyAlignment="1">
      <alignment horizontal="center"/>
    </xf>
    <xf numFmtId="49" fontId="20" fillId="5" borderId="1" xfId="54" applyNumberFormat="1" applyFont="1" applyFill="1" applyBorder="1" applyAlignment="1">
      <alignment horizontal="center"/>
    </xf>
    <xf numFmtId="49" fontId="9" fillId="5" borderId="1" xfId="54" applyNumberFormat="1" applyFont="1" applyFill="1" applyBorder="1" applyAlignment="1">
      <alignment horizontal="center"/>
    </xf>
    <xf numFmtId="49" fontId="4" fillId="0" borderId="1" xfId="45" applyNumberFormat="1" applyFont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/>
    </xf>
    <xf numFmtId="49" fontId="3" fillId="0" borderId="1" xfId="49" applyNumberFormat="1" applyFont="1" applyFill="1" applyBorder="1" applyAlignment="1">
      <alignment horizontal="center"/>
    </xf>
    <xf numFmtId="49" fontId="26" fillId="5" borderId="1" xfId="0" applyNumberFormat="1" applyFont="1" applyFill="1" applyBorder="1" applyAlignment="1">
      <alignment horizontal="center" vertical="center"/>
    </xf>
    <xf numFmtId="49" fontId="26" fillId="5" borderId="1" xfId="0" applyNumberFormat="1" applyFont="1" applyFill="1" applyBorder="1" applyAlignment="1">
      <alignment horizontal="center"/>
    </xf>
    <xf numFmtId="49" fontId="18" fillId="0" borderId="10" xfId="57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13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 vertical="center"/>
    </xf>
    <xf numFmtId="49" fontId="18" fillId="0" borderId="11" xfId="57" applyNumberFormat="1" applyFont="1" applyFill="1" applyBorder="1" applyAlignment="1">
      <alignment horizontal="center" vertical="center"/>
    </xf>
    <xf numFmtId="49" fontId="18" fillId="0" borderId="1" xfId="57" applyNumberFormat="1" applyFon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30" fillId="0" borderId="0" xfId="0" applyFont="1">
      <alignment vertical="center"/>
    </xf>
    <xf numFmtId="49" fontId="29" fillId="0" borderId="1" xfId="0" applyNumberFormat="1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/>
    </xf>
    <xf numFmtId="49" fontId="22" fillId="6" borderId="1" xfId="0" applyNumberFormat="1" applyFont="1" applyFill="1" applyBorder="1" applyAlignment="1">
      <alignment horizontal="center" vertical="center"/>
    </xf>
    <xf numFmtId="49" fontId="5" fillId="6" borderId="1" xfId="56" applyNumberFormat="1" applyFont="1" applyFill="1" applyBorder="1" applyAlignment="1">
      <alignment horizontal="center" vertical="center"/>
    </xf>
    <xf numFmtId="49" fontId="4" fillId="6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49" fontId="25" fillId="0" borderId="0" xfId="0" applyNumberFormat="1" applyFont="1" applyFill="1" applyAlignment="1">
      <alignment horizontal="center" vertical="center"/>
    </xf>
    <xf numFmtId="49" fontId="25" fillId="2" borderId="0" xfId="0" applyNumberFormat="1" applyFont="1" applyFill="1" applyAlignment="1">
      <alignment horizontal="center" vertical="center"/>
    </xf>
    <xf numFmtId="49" fontId="29" fillId="2" borderId="0" xfId="0" applyNumberFormat="1" applyFont="1" applyFill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/>
    </xf>
    <xf numFmtId="49" fontId="29" fillId="0" borderId="12" xfId="0" applyNumberFormat="1" applyFont="1" applyFill="1" applyBorder="1" applyAlignment="1">
      <alignment horizontal="center" vertical="center"/>
    </xf>
    <xf numFmtId="49" fontId="30" fillId="0" borderId="13" xfId="0" applyNumberFormat="1" applyFont="1" applyFill="1" applyBorder="1" applyAlignment="1">
      <alignment horizontal="center" vertical="center"/>
    </xf>
    <xf numFmtId="49" fontId="21" fillId="3" borderId="1" xfId="0" applyNumberFormat="1" applyFont="1" applyFill="1" applyBorder="1" applyAlignment="1">
      <alignment horizontal="center" vertical="center"/>
    </xf>
    <xf numFmtId="49" fontId="21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Font="1" applyFill="1" applyAlignment="1"/>
    <xf numFmtId="49" fontId="15" fillId="2" borderId="0" xfId="0" applyNumberFormat="1" applyFont="1" applyFill="1" applyAlignment="1"/>
    <xf numFmtId="49" fontId="7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/>
    </xf>
    <xf numFmtId="49" fontId="15" fillId="2" borderId="1" xfId="0" applyNumberFormat="1" applyFont="1" applyFill="1" applyBorder="1" applyAlignment="1"/>
    <xf numFmtId="0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49" fontId="13" fillId="0" borderId="1" xfId="54" applyNumberFormat="1" applyFont="1" applyBorder="1" applyAlignment="1">
      <alignment horizontal="center" vertical="center"/>
    </xf>
    <xf numFmtId="49" fontId="0" fillId="2" borderId="0" xfId="0" applyNumberFormat="1" applyFont="1" applyFill="1" applyAlignment="1">
      <alignment vertical="center"/>
    </xf>
    <xf numFmtId="49" fontId="1" fillId="4" borderId="1" xfId="54" applyNumberFormat="1" applyFont="1" applyFill="1" applyBorder="1" applyAlignment="1">
      <alignment horizontal="center" vertical="center" wrapText="1"/>
    </xf>
    <xf numFmtId="49" fontId="13" fillId="0" borderId="1" xfId="54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wrapText="1"/>
    </xf>
    <xf numFmtId="49" fontId="7" fillId="4" borderId="1" xfId="0" applyNumberFormat="1" applyFont="1" applyFill="1" applyBorder="1" applyAlignment="1">
      <alignment horizontal="center"/>
    </xf>
    <xf numFmtId="49" fontId="13" fillId="6" borderId="1" xfId="57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2" fillId="0" borderId="0" xfId="54" applyNumberFormat="1" applyFont="1" applyFill="1" applyBorder="1" applyAlignment="1">
      <alignment horizontal="center"/>
    </xf>
    <xf numFmtId="49" fontId="1" fillId="0" borderId="1" xfId="56" applyNumberFormat="1" applyFont="1" applyBorder="1" applyAlignment="1">
      <alignment horizontal="center" vertical="center"/>
    </xf>
    <xf numFmtId="49" fontId="5" fillId="0" borderId="1" xfId="54" applyNumberFormat="1" applyFont="1" applyBorder="1" applyAlignment="1">
      <alignment horizontal="center" vertical="center"/>
    </xf>
    <xf numFmtId="49" fontId="5" fillId="0" borderId="1" xfId="55" applyNumberFormat="1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49" fontId="5" fillId="3" borderId="1" xfId="56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49" fontId="1" fillId="2" borderId="0" xfId="0" applyNumberFormat="1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left" vertical="center"/>
    </xf>
    <xf numFmtId="49" fontId="1" fillId="2" borderId="14" xfId="54" applyNumberFormat="1" applyFont="1" applyFill="1" applyBorder="1" applyAlignment="1">
      <alignment horizontal="center" vertical="center" wrapText="1"/>
    </xf>
    <xf numFmtId="49" fontId="1" fillId="2" borderId="15" xfId="54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/>
    </xf>
    <xf numFmtId="49" fontId="1" fillId="7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/>
    </xf>
    <xf numFmtId="0" fontId="12" fillId="0" borderId="0" xfId="54" applyNumberFormat="1" applyFont="1" applyFill="1" applyBorder="1" applyAlignment="1" quotePrefix="1">
      <alignment horizontal="center"/>
    </xf>
    <xf numFmtId="49" fontId="7" fillId="0" borderId="1" xfId="0" applyNumberFormat="1" applyFont="1" applyFill="1" applyBorder="1" applyAlignment="1" quotePrefix="1">
      <alignment horizontal="center" vertical="center"/>
    </xf>
    <xf numFmtId="49" fontId="1" fillId="3" borderId="1" xfId="0" applyNumberFormat="1" applyFont="1" applyFill="1" applyBorder="1" applyAlignment="1" quotePrefix="1">
      <alignment horizontal="center" vertical="center"/>
    </xf>
    <xf numFmtId="49" fontId="7" fillId="4" borderId="1" xfId="0" applyNumberFormat="1" applyFont="1" applyFill="1" applyBorder="1" applyAlignment="1" quotePrefix="1">
      <alignment horizontal="center"/>
    </xf>
    <xf numFmtId="49" fontId="4" fillId="0" borderId="1" xfId="0" applyNumberFormat="1" applyFont="1" applyFill="1" applyBorder="1" applyAlignment="1" quotePrefix="1">
      <alignment horizontal="center" vertical="center"/>
    </xf>
    <xf numFmtId="49" fontId="4" fillId="3" borderId="1" xfId="0" applyNumberFormat="1" applyFont="1" applyFill="1" applyBorder="1" applyAlignment="1" quotePrefix="1">
      <alignment horizontal="center" vertical="center"/>
    </xf>
    <xf numFmtId="49" fontId="11" fillId="0" borderId="1" xfId="0" applyNumberFormat="1" applyFont="1" applyFill="1" applyBorder="1" applyAlignment="1" quotePrefix="1">
      <alignment horizontal="center"/>
    </xf>
    <xf numFmtId="49" fontId="4" fillId="2" borderId="1" xfId="0" applyNumberFormat="1" applyFont="1" applyFill="1" applyBorder="1" applyAlignment="1" quotePrefix="1">
      <alignment horizontal="center" vertical="center"/>
    </xf>
    <xf numFmtId="49" fontId="0" fillId="0" borderId="1" xfId="0" applyNumberFormat="1" applyFont="1" applyFill="1" applyBorder="1" applyAlignment="1" quotePrefix="1">
      <alignment horizontal="center" vertical="center"/>
    </xf>
    <xf numFmtId="49" fontId="6" fillId="0" borderId="1" xfId="0" applyNumberFormat="1" applyFont="1" applyFill="1" applyBorder="1" applyAlignment="1" quotePrefix="1">
      <alignment horizontal="center" vertical="center"/>
    </xf>
    <xf numFmtId="49" fontId="21" fillId="3" borderId="1" xfId="0" applyNumberFormat="1" applyFont="1" applyFill="1" applyBorder="1" applyAlignment="1" quotePrefix="1">
      <alignment horizontal="center" vertical="center"/>
    </xf>
    <xf numFmtId="49" fontId="21" fillId="5" borderId="1" xfId="0" applyNumberFormat="1" applyFont="1" applyFill="1" applyBorder="1" applyAlignment="1" quotePrefix="1">
      <alignment horizontal="center" vertical="center"/>
    </xf>
    <xf numFmtId="49" fontId="0" fillId="5" borderId="1" xfId="0" applyNumberFormat="1" applyFont="1" applyFill="1" applyBorder="1" applyAlignment="1" quotePrefix="1">
      <alignment horizontal="center" vertical="center"/>
    </xf>
    <xf numFmtId="49" fontId="0" fillId="2" borderId="1" xfId="0" applyNumberFormat="1" applyFont="1" applyFill="1" applyBorder="1" applyAlignment="1" quotePrefix="1">
      <alignment horizontal="center" vertical="center"/>
    </xf>
    <xf numFmtId="49" fontId="13" fillId="0" borderId="1" xfId="0" applyNumberFormat="1" applyFont="1" applyFill="1" applyBorder="1" applyAlignment="1" quotePrefix="1">
      <alignment horizontal="center" vertical="center"/>
    </xf>
    <xf numFmtId="49" fontId="3" fillId="2" borderId="1" xfId="0" applyNumberFormat="1" applyFont="1" applyFill="1" applyBorder="1" applyAlignment="1" quotePrefix="1">
      <alignment horizontal="center"/>
    </xf>
    <xf numFmtId="49" fontId="0" fillId="2" borderId="1" xfId="0" applyNumberFormat="1" applyFont="1" applyFill="1" applyBorder="1" applyAlignment="1" quotePrefix="1">
      <alignment horizontal="center"/>
    </xf>
    <xf numFmtId="49" fontId="0" fillId="0" borderId="1" xfId="0" applyNumberFormat="1" applyFont="1" applyFill="1" applyBorder="1" applyAlignment="1" quotePrefix="1">
      <alignment horizontal="center"/>
    </xf>
    <xf numFmtId="49" fontId="0" fillId="3" borderId="1" xfId="0" applyNumberFormat="1" applyFont="1" applyFill="1" applyBorder="1" applyAlignment="1" quotePrefix="1">
      <alignment horizontal="center"/>
    </xf>
    <xf numFmtId="0" fontId="9" fillId="0" borderId="0" xfId="0" applyNumberFormat="1" applyFont="1" applyFill="1" applyBorder="1" applyAlignment="1" quotePrefix="1">
      <alignment horizontal="center"/>
    </xf>
    <xf numFmtId="49" fontId="25" fillId="0" borderId="3" xfId="0" applyNumberFormat="1" applyFont="1" applyFill="1" applyBorder="1" applyAlignment="1" quotePrefix="1">
      <alignment vertical="center"/>
    </xf>
    <xf numFmtId="49" fontId="25" fillId="0" borderId="8" xfId="0" applyNumberFormat="1" applyFont="1" applyFill="1" applyBorder="1" applyAlignment="1" quotePrefix="1">
      <alignment vertical="center"/>
    </xf>
    <xf numFmtId="49" fontId="25" fillId="0" borderId="1" xfId="0" applyNumberFormat="1" applyFont="1" applyFill="1" applyBorder="1" applyAlignment="1" quotePrefix="1">
      <alignment vertical="center"/>
    </xf>
    <xf numFmtId="0" fontId="4" fillId="0" borderId="1" xfId="0" applyNumberFormat="1" applyFont="1" applyFill="1" applyBorder="1" applyAlignment="1" applyProtection="1" quotePrefix="1">
      <alignment horizontal="center" vertical="center"/>
    </xf>
    <xf numFmtId="49" fontId="13" fillId="2" borderId="1" xfId="0" applyNumberFormat="1" applyFont="1" applyFill="1" applyBorder="1" applyAlignment="1" quotePrefix="1">
      <alignment horizontal="center" vertical="center"/>
    </xf>
    <xf numFmtId="49" fontId="13" fillId="2" borderId="1" xfId="0" applyNumberFormat="1" applyFont="1" applyFill="1" applyBorder="1" applyAlignment="1" applyProtection="1" quotePrefix="1">
      <alignment horizontal="center" vertical="center"/>
      <protection locked="0"/>
    </xf>
    <xf numFmtId="49" fontId="7" fillId="2" borderId="1" xfId="0" applyNumberFormat="1" applyFont="1" applyFill="1" applyBorder="1" applyAlignment="1" quotePrefix="1">
      <alignment horizontal="center" vertical="center"/>
    </xf>
    <xf numFmtId="0" fontId="9" fillId="2" borderId="1" xfId="54" applyNumberFormat="1" applyFont="1" applyFill="1" applyBorder="1" applyAlignment="1" quotePrefix="1">
      <alignment horizontal="center"/>
    </xf>
    <xf numFmtId="0" fontId="9" fillId="3" borderId="1" xfId="54" applyNumberFormat="1" applyFont="1" applyFill="1" applyBorder="1" applyAlignment="1" quotePrefix="1">
      <alignment horizontal="center"/>
    </xf>
    <xf numFmtId="0" fontId="9" fillId="2" borderId="1" xfId="0" applyNumberFormat="1" applyFont="1" applyFill="1" applyBorder="1" applyAlignment="1" quotePrefix="1">
      <alignment horizontal="center"/>
    </xf>
    <xf numFmtId="0" fontId="9" fillId="3" borderId="1" xfId="0" applyNumberFormat="1" applyFont="1" applyFill="1" applyBorder="1" applyAlignment="1" quotePrefix="1">
      <alignment horizontal="center"/>
    </xf>
    <xf numFmtId="49" fontId="3" fillId="0" borderId="1" xfId="0" applyNumberFormat="1" applyFont="1" applyFill="1" applyBorder="1" applyAlignment="1" quotePrefix="1">
      <alignment horizontal="center"/>
    </xf>
    <xf numFmtId="49" fontId="1" fillId="0" borderId="1" xfId="0" applyNumberFormat="1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/>
    </xf>
    <xf numFmtId="0" fontId="0" fillId="2" borderId="1" xfId="0" applyFont="1" applyFill="1" applyBorder="1" applyAlignment="1" quotePrefix="1">
      <alignment horizontal="center"/>
    </xf>
    <xf numFmtId="49" fontId="1" fillId="2" borderId="1" xfId="0" applyNumberFormat="1" applyFont="1" applyFill="1" applyBorder="1" applyAlignment="1" quotePrefix="1">
      <alignment horizontal="center" vertical="center"/>
    </xf>
    <xf numFmtId="0" fontId="12" fillId="2" borderId="1" xfId="54" applyNumberFormat="1" applyFont="1" applyFill="1" applyBorder="1" applyAlignment="1" quotePrefix="1">
      <alignment horizontal="center"/>
    </xf>
    <xf numFmtId="49" fontId="7" fillId="2" borderId="1" xfId="0" applyNumberFormat="1" applyFont="1" applyFill="1" applyBorder="1" applyAlignment="1" quotePrefix="1">
      <alignment horizontal="center"/>
    </xf>
    <xf numFmtId="49" fontId="21" fillId="2" borderId="1" xfId="0" applyNumberFormat="1" applyFont="1" applyFill="1" applyBorder="1" applyAlignment="1" quotePrefix="1">
      <alignment horizontal="center" vertical="center"/>
    </xf>
    <xf numFmtId="49" fontId="25" fillId="2" borderId="1" xfId="0" applyNumberFormat="1" applyFont="1" applyFill="1" applyBorder="1" applyAlignment="1" quotePrefix="1">
      <alignment vertical="center"/>
    </xf>
    <xf numFmtId="49" fontId="6" fillId="2" borderId="1" xfId="0" applyNumberFormat="1" applyFont="1" applyFill="1" applyBorder="1" applyAlignment="1" quotePrefix="1">
      <alignment horizontal="center" vertical="center"/>
    </xf>
    <xf numFmtId="49" fontId="11" fillId="2" borderId="1" xfId="0" applyNumberFormat="1" applyFont="1" applyFill="1" applyBorder="1" applyAlignment="1" quotePrefix="1">
      <alignment horizontal="center"/>
    </xf>
    <xf numFmtId="0" fontId="4" fillId="2" borderId="1" xfId="0" applyNumberFormat="1" applyFont="1" applyFill="1" applyBorder="1" applyAlignment="1" applyProtection="1" quotePrefix="1">
      <alignment horizontal="center"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常规 27" xfId="31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常规 2 3" xfId="49"/>
    <cellStyle name="常规 10" xfId="50"/>
    <cellStyle name="40% - 强调文字颜色 6" xfId="51" builtinId="51"/>
    <cellStyle name="常规 10 2" xfId="52"/>
    <cellStyle name="60% - 强调文字颜色 6" xfId="53" builtinId="52"/>
    <cellStyle name="常规 2" xfId="54"/>
    <cellStyle name="常规 3" xfId="55"/>
    <cellStyle name="常规 4" xfId="56"/>
    <cellStyle name="常规 5" xfId="57"/>
  </cellStyles>
  <dxfs count="1">
    <dxf>
      <font>
        <b val="0"/>
        <color indexed="5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haredStrings" Target="sharedStrings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7"/>
  <sheetViews>
    <sheetView topLeftCell="A110" workbookViewId="0">
      <selection activeCell="A2" sqref="A2:L146"/>
    </sheetView>
  </sheetViews>
  <sheetFormatPr defaultColWidth="9" defaultRowHeight="13.5"/>
  <cols>
    <col min="1" max="1" width="5.75" style="273" customWidth="1"/>
    <col min="2" max="2" width="9" style="273"/>
    <col min="3" max="3" width="13.75" style="273" customWidth="1"/>
    <col min="4" max="4" width="20.25" style="273" customWidth="1"/>
    <col min="5" max="6" width="11.5" style="273" customWidth="1"/>
    <col min="7" max="7" width="14.5" style="273" customWidth="1"/>
    <col min="8" max="8" width="11" style="273" customWidth="1"/>
    <col min="9" max="9" width="9.375" style="273" customWidth="1"/>
    <col min="10" max="10" width="14.375" style="273" customWidth="1"/>
    <col min="11" max="11" width="10.625" style="274" customWidth="1"/>
    <col min="12" max="12" width="11.75" customWidth="1"/>
  </cols>
  <sheetData>
    <row r="1" s="95" customFormat="1" ht="18.75" spans="1:11">
      <c r="A1" s="99" t="s">
        <v>0</v>
      </c>
      <c r="B1" s="100"/>
      <c r="C1" s="100"/>
      <c r="D1" s="100"/>
      <c r="E1" s="100"/>
      <c r="F1" s="100"/>
      <c r="G1" s="101"/>
      <c r="H1" s="100"/>
      <c r="I1" s="100"/>
      <c r="J1" s="100"/>
      <c r="K1" s="100"/>
    </row>
    <row r="2" s="97" customFormat="1" ht="16" customHeight="1" spans="1:12">
      <c r="A2" s="2" t="s">
        <v>1</v>
      </c>
      <c r="B2" s="2" t="s">
        <v>2</v>
      </c>
      <c r="C2" s="2" t="s">
        <v>3</v>
      </c>
      <c r="D2" s="2" t="s">
        <v>4</v>
      </c>
      <c r="E2" s="275" t="s">
        <v>5</v>
      </c>
      <c r="F2" s="276"/>
      <c r="G2" s="2" t="s">
        <v>6</v>
      </c>
      <c r="H2" s="2" t="s">
        <v>7</v>
      </c>
      <c r="I2" s="2" t="s">
        <v>8</v>
      </c>
      <c r="J2" s="2" t="s">
        <v>9</v>
      </c>
      <c r="K2" s="260" t="s">
        <v>10</v>
      </c>
      <c r="L2" s="104" t="s">
        <v>11</v>
      </c>
    </row>
    <row r="3" ht="16" customHeight="1" spans="1:12">
      <c r="A3" s="2">
        <v>1</v>
      </c>
      <c r="B3" s="2" t="s">
        <v>12</v>
      </c>
      <c r="C3" s="2" t="s">
        <v>13</v>
      </c>
      <c r="D3" s="2" t="s">
        <v>14</v>
      </c>
      <c r="E3" s="130" t="s">
        <v>15</v>
      </c>
      <c r="F3" s="130" t="s">
        <v>15</v>
      </c>
      <c r="G3" s="2" t="s">
        <v>16</v>
      </c>
      <c r="H3" s="2">
        <v>200</v>
      </c>
      <c r="I3" s="2">
        <v>200</v>
      </c>
      <c r="J3" s="2"/>
      <c r="K3" s="2"/>
      <c r="L3" s="105">
        <v>20201118</v>
      </c>
    </row>
    <row r="4" ht="16" customHeight="1" spans="1:12">
      <c r="A4" s="2">
        <v>2</v>
      </c>
      <c r="B4" s="2" t="s">
        <v>12</v>
      </c>
      <c r="C4" s="2" t="s">
        <v>17</v>
      </c>
      <c r="D4" s="2" t="s">
        <v>18</v>
      </c>
      <c r="E4" s="130" t="s">
        <v>15</v>
      </c>
      <c r="F4" s="130" t="s">
        <v>15</v>
      </c>
      <c r="G4" s="2" t="s">
        <v>16</v>
      </c>
      <c r="H4" s="2">
        <v>500</v>
      </c>
      <c r="I4" s="2">
        <v>500</v>
      </c>
      <c r="J4" s="2"/>
      <c r="K4" s="2"/>
      <c r="L4" s="105">
        <v>20201118</v>
      </c>
    </row>
    <row r="5" ht="16" customHeight="1" spans="1:12">
      <c r="A5" s="2">
        <v>3</v>
      </c>
      <c r="B5" s="2" t="s">
        <v>12</v>
      </c>
      <c r="C5" s="2" t="s">
        <v>19</v>
      </c>
      <c r="D5" s="2" t="s">
        <v>20</v>
      </c>
      <c r="E5" s="130" t="s">
        <v>15</v>
      </c>
      <c r="F5" s="130" t="s">
        <v>15</v>
      </c>
      <c r="G5" s="2" t="s">
        <v>16</v>
      </c>
      <c r="H5" s="2">
        <v>200</v>
      </c>
      <c r="I5" s="2">
        <v>200</v>
      </c>
      <c r="J5" s="2"/>
      <c r="K5" s="2"/>
      <c r="L5" s="105">
        <v>20201118</v>
      </c>
    </row>
    <row r="6" ht="16" customHeight="1" spans="1:12">
      <c r="A6" s="2">
        <v>4</v>
      </c>
      <c r="B6" s="2" t="s">
        <v>12</v>
      </c>
      <c r="C6" s="2" t="s">
        <v>21</v>
      </c>
      <c r="D6" s="2" t="s">
        <v>22</v>
      </c>
      <c r="E6" s="130" t="s">
        <v>15</v>
      </c>
      <c r="F6" s="130" t="s">
        <v>15</v>
      </c>
      <c r="G6" s="2" t="s">
        <v>16</v>
      </c>
      <c r="H6" s="2">
        <v>500</v>
      </c>
      <c r="I6" s="2">
        <v>500</v>
      </c>
      <c r="J6" s="2"/>
      <c r="K6" s="2"/>
      <c r="L6" s="105">
        <v>20201118</v>
      </c>
    </row>
    <row r="7" ht="16" customHeight="1" spans="1:12">
      <c r="A7" s="2">
        <v>5</v>
      </c>
      <c r="B7" s="2" t="s">
        <v>12</v>
      </c>
      <c r="C7" s="2" t="s">
        <v>23</v>
      </c>
      <c r="D7" s="2" t="s">
        <v>24</v>
      </c>
      <c r="E7" s="130" t="s">
        <v>15</v>
      </c>
      <c r="F7" s="130" t="s">
        <v>15</v>
      </c>
      <c r="G7" s="2" t="s">
        <v>16</v>
      </c>
      <c r="H7" s="2">
        <v>500</v>
      </c>
      <c r="I7" s="2">
        <v>500</v>
      </c>
      <c r="J7" s="2"/>
      <c r="K7" s="2"/>
      <c r="L7" s="105">
        <v>20201118</v>
      </c>
    </row>
    <row r="8" ht="16" customHeight="1" spans="1:12">
      <c r="A8" s="2">
        <v>6</v>
      </c>
      <c r="B8" s="2" t="s">
        <v>12</v>
      </c>
      <c r="C8" s="2" t="s">
        <v>25</v>
      </c>
      <c r="D8" s="2" t="s">
        <v>26</v>
      </c>
      <c r="E8" s="130" t="s">
        <v>15</v>
      </c>
      <c r="F8" s="130" t="s">
        <v>15</v>
      </c>
      <c r="G8" s="2" t="s">
        <v>16</v>
      </c>
      <c r="H8" s="2">
        <v>200</v>
      </c>
      <c r="I8" s="2">
        <v>200</v>
      </c>
      <c r="J8" s="2"/>
      <c r="K8" s="2"/>
      <c r="L8" s="105">
        <v>20201118</v>
      </c>
    </row>
    <row r="9" ht="16" customHeight="1" spans="1:12">
      <c r="A9" s="2">
        <v>7</v>
      </c>
      <c r="B9" s="2" t="s">
        <v>12</v>
      </c>
      <c r="C9" s="2" t="s">
        <v>27</v>
      </c>
      <c r="D9" s="2" t="s">
        <v>28</v>
      </c>
      <c r="E9" s="130" t="s">
        <v>15</v>
      </c>
      <c r="F9" s="130" t="s">
        <v>15</v>
      </c>
      <c r="G9" s="2" t="s">
        <v>16</v>
      </c>
      <c r="H9" s="2">
        <v>500</v>
      </c>
      <c r="I9" s="2">
        <v>500</v>
      </c>
      <c r="J9" s="2"/>
      <c r="K9" s="2"/>
      <c r="L9" s="105">
        <v>20201118</v>
      </c>
    </row>
    <row r="10" ht="16" customHeight="1" spans="1:12">
      <c r="A10" s="2">
        <v>8</v>
      </c>
      <c r="B10" s="2" t="s">
        <v>12</v>
      </c>
      <c r="C10" s="2" t="s">
        <v>29</v>
      </c>
      <c r="D10" s="2" t="s">
        <v>30</v>
      </c>
      <c r="E10" s="130" t="s">
        <v>15</v>
      </c>
      <c r="F10" s="130" t="s">
        <v>15</v>
      </c>
      <c r="G10" s="2" t="s">
        <v>16</v>
      </c>
      <c r="H10" s="2">
        <v>200</v>
      </c>
      <c r="I10" s="2">
        <v>200</v>
      </c>
      <c r="J10" s="2"/>
      <c r="K10" s="2"/>
      <c r="L10" s="105">
        <v>20201118</v>
      </c>
    </row>
    <row r="11" ht="16" customHeight="1" spans="1:12">
      <c r="A11" s="2">
        <v>9</v>
      </c>
      <c r="B11" s="2" t="s">
        <v>12</v>
      </c>
      <c r="C11" s="2" t="s">
        <v>31</v>
      </c>
      <c r="D11" s="2" t="s">
        <v>32</v>
      </c>
      <c r="E11" s="130" t="s">
        <v>15</v>
      </c>
      <c r="F11" s="130" t="s">
        <v>15</v>
      </c>
      <c r="G11" s="2" t="s">
        <v>16</v>
      </c>
      <c r="H11" s="2">
        <v>200</v>
      </c>
      <c r="I11" s="2">
        <v>200</v>
      </c>
      <c r="J11" s="2"/>
      <c r="K11" s="2"/>
      <c r="L11" s="105">
        <v>20201118</v>
      </c>
    </row>
    <row r="12" ht="16" customHeight="1" spans="1:12">
      <c r="A12" s="2">
        <v>10</v>
      </c>
      <c r="B12" s="2" t="s">
        <v>12</v>
      </c>
      <c r="C12" s="2" t="s">
        <v>33</v>
      </c>
      <c r="D12" s="2" t="s">
        <v>34</v>
      </c>
      <c r="E12" s="130" t="s">
        <v>15</v>
      </c>
      <c r="F12" s="130" t="s">
        <v>15</v>
      </c>
      <c r="G12" s="2" t="s">
        <v>16</v>
      </c>
      <c r="H12" s="2">
        <v>500</v>
      </c>
      <c r="I12" s="2">
        <v>500</v>
      </c>
      <c r="J12" s="2"/>
      <c r="K12" s="2" t="s">
        <v>35</v>
      </c>
      <c r="L12" s="105">
        <v>20201118</v>
      </c>
    </row>
    <row r="13" ht="16" customHeight="1" spans="1:12">
      <c r="A13" s="2">
        <v>11</v>
      </c>
      <c r="B13" s="2" t="s">
        <v>12</v>
      </c>
      <c r="C13" s="2" t="s">
        <v>36</v>
      </c>
      <c r="D13" s="2" t="s">
        <v>37</v>
      </c>
      <c r="E13" s="130" t="s">
        <v>15</v>
      </c>
      <c r="F13" s="130" t="s">
        <v>15</v>
      </c>
      <c r="G13" s="2" t="s">
        <v>16</v>
      </c>
      <c r="H13" s="2">
        <v>500</v>
      </c>
      <c r="I13" s="2">
        <v>500</v>
      </c>
      <c r="J13" s="2"/>
      <c r="K13" s="2" t="s">
        <v>35</v>
      </c>
      <c r="L13" s="105">
        <v>20201118</v>
      </c>
    </row>
    <row r="14" ht="16" customHeight="1" spans="1:12">
      <c r="A14" s="2">
        <v>12</v>
      </c>
      <c r="B14" s="2" t="s">
        <v>12</v>
      </c>
      <c r="C14" s="2" t="s">
        <v>38</v>
      </c>
      <c r="D14" s="2" t="s">
        <v>39</v>
      </c>
      <c r="E14" s="130" t="s">
        <v>15</v>
      </c>
      <c r="F14" s="130" t="s">
        <v>15</v>
      </c>
      <c r="G14" s="2" t="s">
        <v>16</v>
      </c>
      <c r="H14" s="2">
        <v>200</v>
      </c>
      <c r="I14" s="2">
        <v>200</v>
      </c>
      <c r="J14" s="2"/>
      <c r="K14" s="2"/>
      <c r="L14" s="105">
        <v>20201118</v>
      </c>
    </row>
    <row r="15" ht="16" customHeight="1" spans="1:12">
      <c r="A15" s="2">
        <v>13</v>
      </c>
      <c r="B15" s="2" t="s">
        <v>12</v>
      </c>
      <c r="C15" s="2" t="s">
        <v>40</v>
      </c>
      <c r="D15" s="2" t="s">
        <v>41</v>
      </c>
      <c r="E15" s="130" t="s">
        <v>15</v>
      </c>
      <c r="F15" s="130" t="s">
        <v>15</v>
      </c>
      <c r="G15" s="2" t="s">
        <v>16</v>
      </c>
      <c r="H15" s="2">
        <v>200</v>
      </c>
      <c r="I15" s="2">
        <v>200</v>
      </c>
      <c r="J15" s="2"/>
      <c r="K15" s="2"/>
      <c r="L15" s="105">
        <v>20201118</v>
      </c>
    </row>
    <row r="16" ht="16" customHeight="1" spans="1:12">
      <c r="A16" s="2">
        <v>14</v>
      </c>
      <c r="B16" s="2" t="s">
        <v>12</v>
      </c>
      <c r="C16" s="2" t="s">
        <v>42</v>
      </c>
      <c r="D16" s="2" t="s">
        <v>43</v>
      </c>
      <c r="E16" s="130" t="s">
        <v>15</v>
      </c>
      <c r="F16" s="130" t="s">
        <v>15</v>
      </c>
      <c r="G16" s="2" t="s">
        <v>16</v>
      </c>
      <c r="H16" s="2">
        <v>200</v>
      </c>
      <c r="I16" s="2">
        <v>200</v>
      </c>
      <c r="J16" s="2"/>
      <c r="K16" s="2"/>
      <c r="L16" s="105">
        <v>20201118</v>
      </c>
    </row>
    <row r="17" ht="16" customHeight="1" spans="1:12">
      <c r="A17" s="2">
        <v>15</v>
      </c>
      <c r="B17" s="31" t="s">
        <v>12</v>
      </c>
      <c r="C17" s="31" t="s">
        <v>44</v>
      </c>
      <c r="D17" s="31" t="s">
        <v>45</v>
      </c>
      <c r="E17" s="130" t="s">
        <v>15</v>
      </c>
      <c r="F17" s="130" t="s">
        <v>15</v>
      </c>
      <c r="G17" s="2" t="s">
        <v>16</v>
      </c>
      <c r="H17" s="31">
        <v>500</v>
      </c>
      <c r="I17" s="31">
        <v>500</v>
      </c>
      <c r="J17" s="31"/>
      <c r="K17" s="17"/>
      <c r="L17" s="105">
        <v>20201118</v>
      </c>
    </row>
    <row r="18" ht="16" customHeight="1" spans="1:12">
      <c r="A18" s="2">
        <v>16</v>
      </c>
      <c r="B18" s="31" t="s">
        <v>12</v>
      </c>
      <c r="C18" s="17" t="s">
        <v>46</v>
      </c>
      <c r="D18" s="17" t="s">
        <v>47</v>
      </c>
      <c r="E18" s="130" t="s">
        <v>15</v>
      </c>
      <c r="F18" s="130" t="s">
        <v>15</v>
      </c>
      <c r="G18" s="2" t="s">
        <v>16</v>
      </c>
      <c r="H18" s="17">
        <v>200</v>
      </c>
      <c r="I18" s="17">
        <v>200</v>
      </c>
      <c r="J18" s="31"/>
      <c r="K18" s="17"/>
      <c r="L18" s="105">
        <v>20201118</v>
      </c>
    </row>
    <row r="19" ht="16" customHeight="1" spans="1:12">
      <c r="A19" s="2">
        <v>17</v>
      </c>
      <c r="B19" s="2" t="s">
        <v>12</v>
      </c>
      <c r="C19" s="17" t="s">
        <v>48</v>
      </c>
      <c r="D19" s="17" t="s">
        <v>49</v>
      </c>
      <c r="E19" s="130" t="s">
        <v>15</v>
      </c>
      <c r="F19" s="130" t="s">
        <v>15</v>
      </c>
      <c r="G19" s="2" t="s">
        <v>16</v>
      </c>
      <c r="H19" s="17">
        <v>300</v>
      </c>
      <c r="I19" s="17">
        <v>300</v>
      </c>
      <c r="J19" s="31"/>
      <c r="K19" s="17"/>
      <c r="L19" s="105">
        <v>20201118</v>
      </c>
    </row>
    <row r="20" ht="16" customHeight="1" spans="1:12">
      <c r="A20" s="2">
        <v>18</v>
      </c>
      <c r="B20" s="31" t="s">
        <v>12</v>
      </c>
      <c r="C20" s="17" t="s">
        <v>50</v>
      </c>
      <c r="D20" s="17" t="s">
        <v>51</v>
      </c>
      <c r="E20" s="130" t="s">
        <v>15</v>
      </c>
      <c r="F20" s="130" t="s">
        <v>15</v>
      </c>
      <c r="G20" s="2" t="s">
        <v>16</v>
      </c>
      <c r="H20" s="17">
        <v>300</v>
      </c>
      <c r="I20" s="17">
        <v>300</v>
      </c>
      <c r="J20" s="31"/>
      <c r="K20" s="17"/>
      <c r="L20" s="105">
        <v>20201118</v>
      </c>
    </row>
    <row r="21" ht="16" customHeight="1" spans="1:12">
      <c r="A21" s="2">
        <v>19</v>
      </c>
      <c r="B21" s="31" t="s">
        <v>12</v>
      </c>
      <c r="C21" s="17" t="s">
        <v>52</v>
      </c>
      <c r="D21" s="17" t="s">
        <v>53</v>
      </c>
      <c r="E21" s="130" t="s">
        <v>15</v>
      </c>
      <c r="F21" s="130" t="s">
        <v>15</v>
      </c>
      <c r="G21" s="2" t="s">
        <v>16</v>
      </c>
      <c r="H21" s="17">
        <v>300</v>
      </c>
      <c r="I21" s="17">
        <v>300</v>
      </c>
      <c r="J21" s="31"/>
      <c r="K21" s="17"/>
      <c r="L21" s="105">
        <v>20201118</v>
      </c>
    </row>
    <row r="22" ht="16" customHeight="1" spans="1:12">
      <c r="A22" s="2">
        <v>20</v>
      </c>
      <c r="B22" s="31" t="s">
        <v>12</v>
      </c>
      <c r="C22" s="17" t="s">
        <v>54</v>
      </c>
      <c r="D22" s="17" t="s">
        <v>55</v>
      </c>
      <c r="E22" s="130" t="s">
        <v>15</v>
      </c>
      <c r="F22" s="130" t="s">
        <v>15</v>
      </c>
      <c r="G22" s="2" t="s">
        <v>16</v>
      </c>
      <c r="H22" s="17">
        <v>300</v>
      </c>
      <c r="I22" s="17">
        <v>300</v>
      </c>
      <c r="J22" s="31"/>
      <c r="K22" s="17"/>
      <c r="L22" s="105">
        <v>20201118</v>
      </c>
    </row>
    <row r="23" ht="16" customHeight="1" spans="1:12">
      <c r="A23" s="2">
        <v>21</v>
      </c>
      <c r="B23" s="31" t="s">
        <v>12</v>
      </c>
      <c r="C23" s="17" t="s">
        <v>56</v>
      </c>
      <c r="D23" s="17" t="s">
        <v>57</v>
      </c>
      <c r="E23" s="130" t="s">
        <v>15</v>
      </c>
      <c r="F23" s="130" t="s">
        <v>15</v>
      </c>
      <c r="G23" s="2" t="s">
        <v>16</v>
      </c>
      <c r="H23" s="17">
        <v>200</v>
      </c>
      <c r="I23" s="17">
        <v>200</v>
      </c>
      <c r="J23" s="31"/>
      <c r="K23" s="17"/>
      <c r="L23" s="105">
        <v>20201118</v>
      </c>
    </row>
    <row r="24" ht="16" customHeight="1" spans="1:12">
      <c r="A24" s="2">
        <v>22</v>
      </c>
      <c r="B24" s="2" t="s">
        <v>12</v>
      </c>
      <c r="C24" s="17" t="s">
        <v>58</v>
      </c>
      <c r="D24" s="17" t="s">
        <v>59</v>
      </c>
      <c r="E24" s="130" t="s">
        <v>15</v>
      </c>
      <c r="F24" s="130" t="s">
        <v>15</v>
      </c>
      <c r="G24" s="2" t="s">
        <v>16</v>
      </c>
      <c r="H24" s="17">
        <v>200</v>
      </c>
      <c r="I24" s="17">
        <v>200</v>
      </c>
      <c r="J24" s="31"/>
      <c r="K24" s="17"/>
      <c r="L24" s="105">
        <v>20201118</v>
      </c>
    </row>
    <row r="25" ht="16" customHeight="1" spans="1:12">
      <c r="A25" s="2">
        <v>23</v>
      </c>
      <c r="B25" s="31" t="s">
        <v>12</v>
      </c>
      <c r="C25" s="17" t="s">
        <v>60</v>
      </c>
      <c r="D25" s="17" t="s">
        <v>61</v>
      </c>
      <c r="E25" s="130" t="s">
        <v>15</v>
      </c>
      <c r="F25" s="130" t="s">
        <v>15</v>
      </c>
      <c r="G25" s="2" t="s">
        <v>16</v>
      </c>
      <c r="H25" s="17">
        <v>500</v>
      </c>
      <c r="I25" s="17">
        <v>500</v>
      </c>
      <c r="J25" s="31"/>
      <c r="K25" s="17" t="s">
        <v>35</v>
      </c>
      <c r="L25" s="105">
        <v>20201118</v>
      </c>
    </row>
    <row r="26" ht="16" customHeight="1" spans="1:12">
      <c r="A26" s="2">
        <v>24</v>
      </c>
      <c r="B26" s="31" t="s">
        <v>12</v>
      </c>
      <c r="C26" s="17" t="s">
        <v>62</v>
      </c>
      <c r="D26" s="17" t="s">
        <v>63</v>
      </c>
      <c r="E26" s="130" t="s">
        <v>15</v>
      </c>
      <c r="F26" s="130" t="s">
        <v>15</v>
      </c>
      <c r="G26" s="2" t="s">
        <v>16</v>
      </c>
      <c r="H26" s="17">
        <v>500</v>
      </c>
      <c r="I26" s="17">
        <v>500</v>
      </c>
      <c r="J26" s="31"/>
      <c r="K26" s="17" t="s">
        <v>35</v>
      </c>
      <c r="L26" s="105">
        <v>20201118</v>
      </c>
    </row>
    <row r="27" ht="16" customHeight="1" spans="1:12">
      <c r="A27" s="2">
        <v>25</v>
      </c>
      <c r="B27" s="31" t="s">
        <v>12</v>
      </c>
      <c r="C27" s="17" t="s">
        <v>64</v>
      </c>
      <c r="D27" s="17" t="s">
        <v>65</v>
      </c>
      <c r="E27" s="130" t="s">
        <v>15</v>
      </c>
      <c r="F27" s="130" t="s">
        <v>15</v>
      </c>
      <c r="G27" s="2" t="s">
        <v>16</v>
      </c>
      <c r="H27" s="17">
        <v>500</v>
      </c>
      <c r="I27" s="17">
        <v>500</v>
      </c>
      <c r="J27" s="31"/>
      <c r="K27" s="17"/>
      <c r="L27" s="105">
        <v>20201118</v>
      </c>
    </row>
    <row r="28" ht="16" customHeight="1" spans="1:12">
      <c r="A28" s="2">
        <v>26</v>
      </c>
      <c r="B28" s="31" t="s">
        <v>12</v>
      </c>
      <c r="C28" s="17" t="s">
        <v>66</v>
      </c>
      <c r="D28" s="17" t="s">
        <v>67</v>
      </c>
      <c r="E28" s="130" t="s">
        <v>15</v>
      </c>
      <c r="F28" s="130" t="s">
        <v>15</v>
      </c>
      <c r="G28" s="2" t="s">
        <v>16</v>
      </c>
      <c r="H28" s="17">
        <v>200</v>
      </c>
      <c r="I28" s="17">
        <v>200</v>
      </c>
      <c r="J28" s="31"/>
      <c r="K28" s="17"/>
      <c r="L28" s="105">
        <v>20201118</v>
      </c>
    </row>
    <row r="29" ht="16" customHeight="1" spans="1:12">
      <c r="A29" s="2">
        <v>27</v>
      </c>
      <c r="B29" s="2" t="s">
        <v>12</v>
      </c>
      <c r="C29" s="17" t="s">
        <v>68</v>
      </c>
      <c r="D29" s="17" t="s">
        <v>69</v>
      </c>
      <c r="E29" s="130" t="s">
        <v>15</v>
      </c>
      <c r="F29" s="130" t="s">
        <v>15</v>
      </c>
      <c r="G29" s="2" t="s">
        <v>16</v>
      </c>
      <c r="H29" s="17">
        <v>300</v>
      </c>
      <c r="I29" s="17">
        <v>300</v>
      </c>
      <c r="J29" s="31"/>
      <c r="K29" s="17"/>
      <c r="L29" s="105">
        <v>20201118</v>
      </c>
    </row>
    <row r="30" ht="16" customHeight="1" spans="1:12">
      <c r="A30" s="2">
        <v>28</v>
      </c>
      <c r="B30" s="31" t="s">
        <v>12</v>
      </c>
      <c r="C30" s="17" t="s">
        <v>70</v>
      </c>
      <c r="D30" s="17" t="s">
        <v>71</v>
      </c>
      <c r="E30" s="130" t="s">
        <v>15</v>
      </c>
      <c r="F30" s="130" t="s">
        <v>15</v>
      </c>
      <c r="G30" s="2" t="s">
        <v>16</v>
      </c>
      <c r="H30" s="17">
        <v>500</v>
      </c>
      <c r="I30" s="17">
        <v>500</v>
      </c>
      <c r="J30" s="31"/>
      <c r="K30" s="17"/>
      <c r="L30" s="105">
        <v>20201118</v>
      </c>
    </row>
    <row r="31" ht="16" customHeight="1" spans="1:12">
      <c r="A31" s="2">
        <v>29</v>
      </c>
      <c r="B31" s="31" t="s">
        <v>12</v>
      </c>
      <c r="C31" s="17" t="s">
        <v>72</v>
      </c>
      <c r="D31" s="17" t="s">
        <v>73</v>
      </c>
      <c r="E31" s="130" t="s">
        <v>15</v>
      </c>
      <c r="F31" s="130" t="s">
        <v>15</v>
      </c>
      <c r="G31" s="2" t="s">
        <v>16</v>
      </c>
      <c r="H31" s="17">
        <v>500</v>
      </c>
      <c r="I31" s="17">
        <v>500</v>
      </c>
      <c r="J31" s="31"/>
      <c r="K31" s="17"/>
      <c r="L31" s="105">
        <v>20201118</v>
      </c>
    </row>
    <row r="32" ht="16" customHeight="1" spans="1:12">
      <c r="A32" s="2">
        <v>30</v>
      </c>
      <c r="B32" s="31" t="s">
        <v>12</v>
      </c>
      <c r="C32" s="17" t="s">
        <v>74</v>
      </c>
      <c r="D32" s="17" t="s">
        <v>75</v>
      </c>
      <c r="E32" s="130" t="s">
        <v>15</v>
      </c>
      <c r="F32" s="130" t="s">
        <v>15</v>
      </c>
      <c r="G32" s="2" t="s">
        <v>16</v>
      </c>
      <c r="H32" s="17">
        <v>500</v>
      </c>
      <c r="I32" s="17">
        <v>500</v>
      </c>
      <c r="J32" s="31"/>
      <c r="K32" s="17"/>
      <c r="L32" s="105">
        <v>20201118</v>
      </c>
    </row>
    <row r="33" ht="16" customHeight="1" spans="1:12">
      <c r="A33" s="2">
        <v>31</v>
      </c>
      <c r="B33" s="31" t="s">
        <v>12</v>
      </c>
      <c r="C33" s="17" t="s">
        <v>76</v>
      </c>
      <c r="D33" s="17" t="s">
        <v>77</v>
      </c>
      <c r="E33" s="130" t="s">
        <v>15</v>
      </c>
      <c r="F33" s="130" t="s">
        <v>15</v>
      </c>
      <c r="G33" s="2" t="s">
        <v>16</v>
      </c>
      <c r="H33" s="17">
        <v>500</v>
      </c>
      <c r="I33" s="17">
        <v>500</v>
      </c>
      <c r="J33" s="31"/>
      <c r="K33" s="17"/>
      <c r="L33" s="105">
        <v>20201118</v>
      </c>
    </row>
    <row r="34" ht="16" customHeight="1" spans="1:12">
      <c r="A34" s="2">
        <v>32</v>
      </c>
      <c r="B34" s="2" t="s">
        <v>12</v>
      </c>
      <c r="C34" s="17" t="s">
        <v>78</v>
      </c>
      <c r="D34" s="17" t="s">
        <v>79</v>
      </c>
      <c r="E34" s="130" t="s">
        <v>15</v>
      </c>
      <c r="F34" s="130" t="s">
        <v>15</v>
      </c>
      <c r="G34" s="2" t="s">
        <v>16</v>
      </c>
      <c r="H34" s="17">
        <v>500</v>
      </c>
      <c r="I34" s="17">
        <v>500</v>
      </c>
      <c r="J34" s="31"/>
      <c r="K34" s="17"/>
      <c r="L34" s="105">
        <v>20201118</v>
      </c>
    </row>
    <row r="35" ht="16" customHeight="1" spans="1:12">
      <c r="A35" s="2">
        <v>33</v>
      </c>
      <c r="B35" s="31" t="s">
        <v>12</v>
      </c>
      <c r="C35" s="17" t="s">
        <v>80</v>
      </c>
      <c r="D35" s="17" t="s">
        <v>81</v>
      </c>
      <c r="E35" s="130" t="s">
        <v>15</v>
      </c>
      <c r="F35" s="130" t="s">
        <v>15</v>
      </c>
      <c r="G35" s="2" t="s">
        <v>16</v>
      </c>
      <c r="H35" s="17">
        <v>200</v>
      </c>
      <c r="I35" s="17">
        <v>200</v>
      </c>
      <c r="J35" s="31"/>
      <c r="K35" s="17"/>
      <c r="L35" s="105">
        <v>20201118</v>
      </c>
    </row>
    <row r="36" ht="16" customHeight="1" spans="1:12">
      <c r="A36" s="2">
        <v>34</v>
      </c>
      <c r="B36" s="31" t="s">
        <v>12</v>
      </c>
      <c r="C36" s="17" t="s">
        <v>82</v>
      </c>
      <c r="D36" s="17" t="s">
        <v>83</v>
      </c>
      <c r="E36" s="130" t="s">
        <v>15</v>
      </c>
      <c r="F36" s="130" t="s">
        <v>15</v>
      </c>
      <c r="G36" s="2" t="s">
        <v>16</v>
      </c>
      <c r="H36" s="17">
        <v>200</v>
      </c>
      <c r="I36" s="17">
        <v>200</v>
      </c>
      <c r="J36" s="31"/>
      <c r="K36" s="17"/>
      <c r="L36" s="105">
        <v>20201118</v>
      </c>
    </row>
    <row r="37" ht="16" customHeight="1" spans="1:12">
      <c r="A37" s="2">
        <v>35</v>
      </c>
      <c r="B37" s="31" t="s">
        <v>12</v>
      </c>
      <c r="C37" s="17" t="s">
        <v>84</v>
      </c>
      <c r="D37" s="17" t="s">
        <v>85</v>
      </c>
      <c r="E37" s="130" t="s">
        <v>15</v>
      </c>
      <c r="F37" s="130" t="s">
        <v>15</v>
      </c>
      <c r="G37" s="2" t="s">
        <v>16</v>
      </c>
      <c r="H37" s="17">
        <v>500</v>
      </c>
      <c r="I37" s="17">
        <v>500</v>
      </c>
      <c r="J37" s="31"/>
      <c r="K37" s="17"/>
      <c r="L37" s="105">
        <v>20201118</v>
      </c>
    </row>
    <row r="38" ht="16" customHeight="1" spans="1:12">
      <c r="A38" s="2">
        <v>36</v>
      </c>
      <c r="B38" s="31" t="s">
        <v>12</v>
      </c>
      <c r="C38" s="17" t="s">
        <v>86</v>
      </c>
      <c r="D38" s="17" t="s">
        <v>87</v>
      </c>
      <c r="E38" s="130" t="s">
        <v>15</v>
      </c>
      <c r="F38" s="130" t="s">
        <v>15</v>
      </c>
      <c r="G38" s="2" t="s">
        <v>16</v>
      </c>
      <c r="H38" s="17">
        <v>500</v>
      </c>
      <c r="I38" s="17">
        <v>500</v>
      </c>
      <c r="J38" s="31"/>
      <c r="K38" s="17"/>
      <c r="L38" s="105">
        <v>20201118</v>
      </c>
    </row>
    <row r="39" ht="16" customHeight="1" spans="1:12">
      <c r="A39" s="2">
        <v>37</v>
      </c>
      <c r="B39" s="2" t="s">
        <v>12</v>
      </c>
      <c r="C39" s="17" t="s">
        <v>88</v>
      </c>
      <c r="D39" s="17" t="s">
        <v>89</v>
      </c>
      <c r="E39" s="130" t="s">
        <v>15</v>
      </c>
      <c r="F39" s="130" t="s">
        <v>15</v>
      </c>
      <c r="G39" s="2" t="s">
        <v>16</v>
      </c>
      <c r="H39" s="17">
        <v>500</v>
      </c>
      <c r="I39" s="17">
        <v>500</v>
      </c>
      <c r="J39" s="31"/>
      <c r="K39" s="17"/>
      <c r="L39" s="105">
        <v>20201118</v>
      </c>
    </row>
    <row r="40" ht="16" customHeight="1" spans="1:12">
      <c r="A40" s="2">
        <v>38</v>
      </c>
      <c r="B40" s="31" t="s">
        <v>12</v>
      </c>
      <c r="C40" s="17" t="s">
        <v>90</v>
      </c>
      <c r="D40" s="17" t="s">
        <v>91</v>
      </c>
      <c r="E40" s="130" t="s">
        <v>15</v>
      </c>
      <c r="F40" s="130" t="s">
        <v>15</v>
      </c>
      <c r="G40" s="2" t="s">
        <v>16</v>
      </c>
      <c r="H40" s="17">
        <v>500</v>
      </c>
      <c r="I40" s="17">
        <v>500</v>
      </c>
      <c r="J40" s="31"/>
      <c r="K40" s="17"/>
      <c r="L40" s="105">
        <v>20201118</v>
      </c>
    </row>
    <row r="41" ht="16" customHeight="1" spans="1:12">
      <c r="A41" s="2">
        <v>39</v>
      </c>
      <c r="B41" s="31" t="s">
        <v>12</v>
      </c>
      <c r="C41" s="17" t="s">
        <v>92</v>
      </c>
      <c r="D41" s="17" t="s">
        <v>93</v>
      </c>
      <c r="E41" s="130" t="s">
        <v>15</v>
      </c>
      <c r="F41" s="130" t="s">
        <v>15</v>
      </c>
      <c r="G41" s="2" t="s">
        <v>16</v>
      </c>
      <c r="H41" s="17">
        <v>200</v>
      </c>
      <c r="I41" s="17">
        <v>200</v>
      </c>
      <c r="J41" s="31"/>
      <c r="K41" s="17"/>
      <c r="L41" s="105">
        <v>20201118</v>
      </c>
    </row>
    <row r="42" ht="16" customHeight="1" spans="1:12">
      <c r="A42" s="2">
        <v>40</v>
      </c>
      <c r="B42" s="31" t="s">
        <v>12</v>
      </c>
      <c r="C42" s="17" t="s">
        <v>94</v>
      </c>
      <c r="D42" s="17" t="s">
        <v>95</v>
      </c>
      <c r="E42" s="130" t="s">
        <v>15</v>
      </c>
      <c r="F42" s="130" t="s">
        <v>15</v>
      </c>
      <c r="G42" s="2" t="s">
        <v>16</v>
      </c>
      <c r="H42" s="17">
        <v>200</v>
      </c>
      <c r="I42" s="17">
        <v>200</v>
      </c>
      <c r="J42" s="31"/>
      <c r="K42" s="17"/>
      <c r="L42" s="105">
        <v>20201118</v>
      </c>
    </row>
    <row r="43" ht="16" customHeight="1" spans="1:12">
      <c r="A43" s="2">
        <v>41</v>
      </c>
      <c r="B43" s="31" t="s">
        <v>12</v>
      </c>
      <c r="C43" s="17" t="s">
        <v>96</v>
      </c>
      <c r="D43" s="17" t="s">
        <v>97</v>
      </c>
      <c r="E43" s="130" t="s">
        <v>15</v>
      </c>
      <c r="F43" s="130" t="s">
        <v>15</v>
      </c>
      <c r="G43" s="2" t="s">
        <v>16</v>
      </c>
      <c r="H43" s="17">
        <v>200</v>
      </c>
      <c r="I43" s="17">
        <v>200</v>
      </c>
      <c r="J43" s="31"/>
      <c r="K43" s="17"/>
      <c r="L43" s="105">
        <v>20201118</v>
      </c>
    </row>
    <row r="44" ht="16" customHeight="1" spans="1:12">
      <c r="A44" s="2">
        <v>42</v>
      </c>
      <c r="B44" s="2" t="s">
        <v>12</v>
      </c>
      <c r="C44" s="17" t="s">
        <v>98</v>
      </c>
      <c r="D44" s="17" t="s">
        <v>99</v>
      </c>
      <c r="E44" s="130" t="s">
        <v>15</v>
      </c>
      <c r="F44" s="130" t="s">
        <v>15</v>
      </c>
      <c r="G44" s="2" t="s">
        <v>16</v>
      </c>
      <c r="H44" s="17">
        <v>200</v>
      </c>
      <c r="I44" s="17">
        <v>200</v>
      </c>
      <c r="J44" s="31"/>
      <c r="K44" s="17"/>
      <c r="L44" s="105">
        <v>20201118</v>
      </c>
    </row>
    <row r="45" ht="16" customHeight="1" spans="1:12">
      <c r="A45" s="2">
        <v>43</v>
      </c>
      <c r="B45" s="31" t="s">
        <v>12</v>
      </c>
      <c r="C45" s="17" t="s">
        <v>100</v>
      </c>
      <c r="D45" s="17" t="s">
        <v>101</v>
      </c>
      <c r="E45" s="130" t="s">
        <v>15</v>
      </c>
      <c r="F45" s="130" t="s">
        <v>15</v>
      </c>
      <c r="G45" s="2" t="s">
        <v>16</v>
      </c>
      <c r="H45" s="17">
        <v>300</v>
      </c>
      <c r="I45" s="17">
        <v>300</v>
      </c>
      <c r="J45" s="31"/>
      <c r="K45" s="17"/>
      <c r="L45" s="105">
        <v>20201118</v>
      </c>
    </row>
    <row r="46" ht="16" customHeight="1" spans="1:12">
      <c r="A46" s="2">
        <v>44</v>
      </c>
      <c r="B46" s="31" t="s">
        <v>12</v>
      </c>
      <c r="C46" s="17" t="s">
        <v>102</v>
      </c>
      <c r="D46" s="17" t="s">
        <v>103</v>
      </c>
      <c r="E46" s="130" t="s">
        <v>15</v>
      </c>
      <c r="F46" s="130" t="s">
        <v>15</v>
      </c>
      <c r="G46" s="2" t="s">
        <v>16</v>
      </c>
      <c r="H46" s="17">
        <v>200</v>
      </c>
      <c r="I46" s="17">
        <v>200</v>
      </c>
      <c r="J46" s="31"/>
      <c r="K46" s="17"/>
      <c r="L46" s="105">
        <v>20201118</v>
      </c>
    </row>
    <row r="47" ht="16" customHeight="1" spans="1:12">
      <c r="A47" s="2">
        <v>45</v>
      </c>
      <c r="B47" s="31" t="s">
        <v>12</v>
      </c>
      <c r="C47" s="17" t="s">
        <v>104</v>
      </c>
      <c r="D47" s="17" t="s">
        <v>105</v>
      </c>
      <c r="E47" s="130" t="s">
        <v>15</v>
      </c>
      <c r="F47" s="130" t="s">
        <v>15</v>
      </c>
      <c r="G47" s="2" t="s">
        <v>16</v>
      </c>
      <c r="H47" s="17">
        <v>200</v>
      </c>
      <c r="I47" s="17">
        <v>200</v>
      </c>
      <c r="J47" s="31"/>
      <c r="K47" s="17"/>
      <c r="L47" s="105">
        <v>20201118</v>
      </c>
    </row>
    <row r="48" ht="16" customHeight="1" spans="1:12">
      <c r="A48" s="2">
        <v>46</v>
      </c>
      <c r="B48" s="2" t="s">
        <v>12</v>
      </c>
      <c r="C48" s="17" t="s">
        <v>106</v>
      </c>
      <c r="D48" s="17" t="s">
        <v>107</v>
      </c>
      <c r="E48" s="130" t="s">
        <v>15</v>
      </c>
      <c r="F48" s="130" t="s">
        <v>15</v>
      </c>
      <c r="G48" s="2" t="s">
        <v>16</v>
      </c>
      <c r="H48" s="17">
        <v>200</v>
      </c>
      <c r="I48" s="17">
        <v>200</v>
      </c>
      <c r="J48" s="2" t="s">
        <v>108</v>
      </c>
      <c r="K48" s="17"/>
      <c r="L48" s="105">
        <v>20201118</v>
      </c>
    </row>
    <row r="49" ht="16" customHeight="1" spans="1:12">
      <c r="A49" s="2">
        <v>47</v>
      </c>
      <c r="B49" s="31" t="s">
        <v>12</v>
      </c>
      <c r="C49" s="17" t="s">
        <v>109</v>
      </c>
      <c r="D49" s="17" t="s">
        <v>110</v>
      </c>
      <c r="E49" s="130" t="s">
        <v>15</v>
      </c>
      <c r="F49" s="130" t="s">
        <v>15</v>
      </c>
      <c r="G49" s="2" t="s">
        <v>16</v>
      </c>
      <c r="H49" s="17">
        <v>200</v>
      </c>
      <c r="I49" s="17">
        <v>200</v>
      </c>
      <c r="J49" s="17"/>
      <c r="K49" s="17"/>
      <c r="L49" s="105">
        <v>20201118</v>
      </c>
    </row>
    <row r="50" ht="16" customHeight="1" spans="1:12">
      <c r="A50" s="2">
        <v>48</v>
      </c>
      <c r="B50" s="31" t="s">
        <v>12</v>
      </c>
      <c r="C50" s="17" t="s">
        <v>111</v>
      </c>
      <c r="D50" s="17" t="s">
        <v>112</v>
      </c>
      <c r="E50" s="130" t="s">
        <v>15</v>
      </c>
      <c r="F50" s="130" t="s">
        <v>15</v>
      </c>
      <c r="G50" s="2" t="s">
        <v>16</v>
      </c>
      <c r="H50" s="17">
        <v>1000</v>
      </c>
      <c r="I50" s="17">
        <v>1000</v>
      </c>
      <c r="J50" s="17"/>
      <c r="K50" s="17"/>
      <c r="L50" s="105">
        <v>20201118</v>
      </c>
    </row>
    <row r="51" ht="16" customHeight="1" spans="1:12">
      <c r="A51" s="2">
        <v>49</v>
      </c>
      <c r="B51" s="31" t="s">
        <v>12</v>
      </c>
      <c r="C51" s="17" t="s">
        <v>113</v>
      </c>
      <c r="D51" s="17" t="s">
        <v>114</v>
      </c>
      <c r="E51" s="130" t="s">
        <v>15</v>
      </c>
      <c r="F51" s="130" t="s">
        <v>15</v>
      </c>
      <c r="G51" s="2" t="s">
        <v>16</v>
      </c>
      <c r="H51" s="17">
        <v>1000</v>
      </c>
      <c r="I51" s="17">
        <v>1000</v>
      </c>
      <c r="J51" s="17"/>
      <c r="K51" s="17"/>
      <c r="L51" s="105">
        <v>20201118</v>
      </c>
    </row>
    <row r="52" ht="16" customHeight="1" spans="1:12">
      <c r="A52" s="2">
        <v>50</v>
      </c>
      <c r="B52" s="31" t="s">
        <v>12</v>
      </c>
      <c r="C52" s="17" t="s">
        <v>115</v>
      </c>
      <c r="D52" s="17" t="s">
        <v>116</v>
      </c>
      <c r="E52" s="130" t="s">
        <v>15</v>
      </c>
      <c r="F52" s="130" t="s">
        <v>15</v>
      </c>
      <c r="G52" s="2" t="s">
        <v>16</v>
      </c>
      <c r="H52" s="17">
        <v>500</v>
      </c>
      <c r="I52" s="17">
        <v>500</v>
      </c>
      <c r="J52" s="17"/>
      <c r="K52" s="17"/>
      <c r="L52" s="105">
        <v>20201118</v>
      </c>
    </row>
    <row r="53" ht="16" customHeight="1" spans="1:12">
      <c r="A53" s="2">
        <v>51</v>
      </c>
      <c r="B53" s="2" t="s">
        <v>12</v>
      </c>
      <c r="C53" s="17" t="s">
        <v>117</v>
      </c>
      <c r="D53" s="17" t="s">
        <v>118</v>
      </c>
      <c r="E53" s="130" t="s">
        <v>15</v>
      </c>
      <c r="F53" s="130" t="s">
        <v>15</v>
      </c>
      <c r="G53" s="2" t="s">
        <v>16</v>
      </c>
      <c r="H53" s="17">
        <v>200</v>
      </c>
      <c r="I53" s="17">
        <v>200</v>
      </c>
      <c r="J53" s="17"/>
      <c r="K53" s="17"/>
      <c r="L53" s="105">
        <v>20201118</v>
      </c>
    </row>
    <row r="54" ht="16" customHeight="1" spans="1:12">
      <c r="A54" s="2">
        <v>52</v>
      </c>
      <c r="B54" s="31" t="s">
        <v>12</v>
      </c>
      <c r="C54" s="17" t="s">
        <v>119</v>
      </c>
      <c r="D54" s="17" t="s">
        <v>120</v>
      </c>
      <c r="E54" s="130" t="s">
        <v>15</v>
      </c>
      <c r="F54" s="130" t="s">
        <v>15</v>
      </c>
      <c r="G54" s="2" t="s">
        <v>16</v>
      </c>
      <c r="H54" s="17">
        <v>200</v>
      </c>
      <c r="I54" s="17">
        <v>200</v>
      </c>
      <c r="J54" s="17"/>
      <c r="K54" s="17"/>
      <c r="L54" s="105">
        <v>20201118</v>
      </c>
    </row>
    <row r="55" ht="16" customHeight="1" spans="1:12">
      <c r="A55" s="2">
        <v>53</v>
      </c>
      <c r="B55" s="31" t="s">
        <v>12</v>
      </c>
      <c r="C55" s="17" t="s">
        <v>121</v>
      </c>
      <c r="D55" s="17" t="s">
        <v>122</v>
      </c>
      <c r="E55" s="130" t="s">
        <v>15</v>
      </c>
      <c r="F55" s="130" t="s">
        <v>15</v>
      </c>
      <c r="G55" s="2" t="s">
        <v>16</v>
      </c>
      <c r="H55" s="17">
        <v>200</v>
      </c>
      <c r="I55" s="17">
        <v>200</v>
      </c>
      <c r="J55" s="17"/>
      <c r="K55" s="17"/>
      <c r="L55" s="105">
        <v>20201118</v>
      </c>
    </row>
    <row r="56" ht="16" customHeight="1" spans="1:12">
      <c r="A56" s="2">
        <v>54</v>
      </c>
      <c r="B56" s="31" t="s">
        <v>12</v>
      </c>
      <c r="C56" s="17" t="s">
        <v>123</v>
      </c>
      <c r="D56" s="17" t="s">
        <v>124</v>
      </c>
      <c r="E56" s="130" t="s">
        <v>15</v>
      </c>
      <c r="F56" s="130" t="s">
        <v>15</v>
      </c>
      <c r="G56" s="2" t="s">
        <v>16</v>
      </c>
      <c r="H56" s="17">
        <v>200</v>
      </c>
      <c r="I56" s="17">
        <v>200</v>
      </c>
      <c r="J56" s="17"/>
      <c r="K56" s="17"/>
      <c r="L56" s="105">
        <v>20201118</v>
      </c>
    </row>
    <row r="57" ht="16" customHeight="1" spans="1:12">
      <c r="A57" s="2">
        <v>55</v>
      </c>
      <c r="B57" s="31" t="s">
        <v>12</v>
      </c>
      <c r="C57" s="17" t="s">
        <v>125</v>
      </c>
      <c r="D57" s="17" t="s">
        <v>126</v>
      </c>
      <c r="E57" s="130" t="s">
        <v>15</v>
      </c>
      <c r="F57" s="130" t="s">
        <v>15</v>
      </c>
      <c r="G57" s="2" t="s">
        <v>16</v>
      </c>
      <c r="H57" s="17">
        <v>200</v>
      </c>
      <c r="I57" s="17">
        <v>200</v>
      </c>
      <c r="J57" s="17"/>
      <c r="K57" s="17"/>
      <c r="L57" s="105">
        <v>20201118</v>
      </c>
    </row>
    <row r="58" ht="16" customHeight="1" spans="1:12">
      <c r="A58" s="2">
        <v>56</v>
      </c>
      <c r="B58" s="2" t="s">
        <v>12</v>
      </c>
      <c r="C58" s="17" t="s">
        <v>127</v>
      </c>
      <c r="D58" s="17" t="s">
        <v>128</v>
      </c>
      <c r="E58" s="130" t="s">
        <v>15</v>
      </c>
      <c r="F58" s="130" t="s">
        <v>15</v>
      </c>
      <c r="G58" s="2" t="s">
        <v>16</v>
      </c>
      <c r="H58" s="17">
        <v>300</v>
      </c>
      <c r="I58" s="17">
        <v>300</v>
      </c>
      <c r="J58" s="17"/>
      <c r="K58" s="17" t="s">
        <v>35</v>
      </c>
      <c r="L58" s="105">
        <v>20201118</v>
      </c>
    </row>
    <row r="59" ht="16" customHeight="1" spans="1:12">
      <c r="A59" s="2">
        <v>57</v>
      </c>
      <c r="B59" s="31" t="s">
        <v>12</v>
      </c>
      <c r="C59" s="17" t="s">
        <v>129</v>
      </c>
      <c r="D59" s="17" t="s">
        <v>130</v>
      </c>
      <c r="E59" s="130" t="s">
        <v>15</v>
      </c>
      <c r="F59" s="130" t="s">
        <v>15</v>
      </c>
      <c r="G59" s="2" t="s">
        <v>16</v>
      </c>
      <c r="H59" s="17">
        <v>300</v>
      </c>
      <c r="I59" s="17">
        <v>300</v>
      </c>
      <c r="J59" s="17"/>
      <c r="K59" s="17" t="s">
        <v>35</v>
      </c>
      <c r="L59" s="105">
        <v>20201118</v>
      </c>
    </row>
    <row r="60" ht="16" customHeight="1" spans="1:12">
      <c r="A60" s="2">
        <v>58</v>
      </c>
      <c r="B60" s="31" t="s">
        <v>12</v>
      </c>
      <c r="C60" s="17" t="s">
        <v>131</v>
      </c>
      <c r="D60" s="17" t="s">
        <v>132</v>
      </c>
      <c r="E60" s="130" t="s">
        <v>15</v>
      </c>
      <c r="F60" s="130" t="s">
        <v>15</v>
      </c>
      <c r="G60" s="2" t="s">
        <v>16</v>
      </c>
      <c r="H60" s="17">
        <v>200</v>
      </c>
      <c r="I60" s="17">
        <v>200</v>
      </c>
      <c r="J60" s="17"/>
      <c r="K60" s="17"/>
      <c r="L60" s="105">
        <v>20201118</v>
      </c>
    </row>
    <row r="61" ht="16" customHeight="1" spans="1:12">
      <c r="A61" s="2">
        <v>59</v>
      </c>
      <c r="B61" s="31" t="s">
        <v>12</v>
      </c>
      <c r="C61" s="17" t="s">
        <v>133</v>
      </c>
      <c r="D61" s="17" t="s">
        <v>134</v>
      </c>
      <c r="E61" s="130" t="s">
        <v>15</v>
      </c>
      <c r="F61" s="130" t="s">
        <v>15</v>
      </c>
      <c r="G61" s="2" t="s">
        <v>16</v>
      </c>
      <c r="H61" s="17">
        <v>200</v>
      </c>
      <c r="I61" s="17">
        <v>200</v>
      </c>
      <c r="J61" s="17"/>
      <c r="K61" s="17"/>
      <c r="L61" s="105">
        <v>20201118</v>
      </c>
    </row>
    <row r="62" ht="16" customHeight="1" spans="1:12">
      <c r="A62" s="2">
        <v>60</v>
      </c>
      <c r="B62" s="31" t="s">
        <v>12</v>
      </c>
      <c r="C62" s="17" t="s">
        <v>135</v>
      </c>
      <c r="D62" s="17" t="s">
        <v>136</v>
      </c>
      <c r="E62" s="130" t="s">
        <v>15</v>
      </c>
      <c r="F62" s="130" t="s">
        <v>15</v>
      </c>
      <c r="G62" s="2" t="s">
        <v>16</v>
      </c>
      <c r="H62" s="17">
        <v>200</v>
      </c>
      <c r="I62" s="17">
        <v>200</v>
      </c>
      <c r="J62" s="17"/>
      <c r="K62" s="17"/>
      <c r="L62" s="105">
        <v>20201118</v>
      </c>
    </row>
    <row r="63" ht="16" customHeight="1" spans="1:12">
      <c r="A63" s="2">
        <v>61</v>
      </c>
      <c r="B63" s="2" t="s">
        <v>12</v>
      </c>
      <c r="C63" s="17" t="s">
        <v>137</v>
      </c>
      <c r="D63" s="17" t="s">
        <v>138</v>
      </c>
      <c r="E63" s="130" t="s">
        <v>15</v>
      </c>
      <c r="F63" s="130" t="s">
        <v>15</v>
      </c>
      <c r="G63" s="2" t="s">
        <v>16</v>
      </c>
      <c r="H63" s="17">
        <v>200</v>
      </c>
      <c r="I63" s="17">
        <v>200</v>
      </c>
      <c r="J63" s="17"/>
      <c r="K63" s="17"/>
      <c r="L63" s="105">
        <v>20201118</v>
      </c>
    </row>
    <row r="64" ht="16" customHeight="1" spans="1:12">
      <c r="A64" s="2">
        <v>62</v>
      </c>
      <c r="B64" s="31" t="s">
        <v>12</v>
      </c>
      <c r="C64" s="17" t="s">
        <v>139</v>
      </c>
      <c r="D64" s="17" t="s">
        <v>140</v>
      </c>
      <c r="E64" s="130" t="s">
        <v>15</v>
      </c>
      <c r="F64" s="130" t="s">
        <v>15</v>
      </c>
      <c r="G64" s="2" t="s">
        <v>16</v>
      </c>
      <c r="H64" s="17">
        <v>300</v>
      </c>
      <c r="I64" s="17">
        <v>300</v>
      </c>
      <c r="J64" s="17"/>
      <c r="K64" s="17"/>
      <c r="L64" s="105">
        <v>20201118</v>
      </c>
    </row>
    <row r="65" ht="16" customHeight="1" spans="1:12">
      <c r="A65" s="2">
        <v>63</v>
      </c>
      <c r="B65" s="31" t="s">
        <v>12</v>
      </c>
      <c r="C65" s="17" t="s">
        <v>141</v>
      </c>
      <c r="D65" s="17" t="s">
        <v>142</v>
      </c>
      <c r="E65" s="130" t="s">
        <v>15</v>
      </c>
      <c r="F65" s="130" t="s">
        <v>15</v>
      </c>
      <c r="G65" s="2" t="s">
        <v>16</v>
      </c>
      <c r="H65" s="17">
        <v>300</v>
      </c>
      <c r="I65" s="17">
        <v>300</v>
      </c>
      <c r="J65" s="17"/>
      <c r="K65" s="17"/>
      <c r="L65" s="105">
        <v>20201118</v>
      </c>
    </row>
    <row r="66" ht="16" customHeight="1" spans="1:12">
      <c r="A66" s="2">
        <v>64</v>
      </c>
      <c r="B66" s="31" t="s">
        <v>12</v>
      </c>
      <c r="C66" s="17" t="s">
        <v>143</v>
      </c>
      <c r="D66" s="17" t="s">
        <v>144</v>
      </c>
      <c r="E66" s="130" t="s">
        <v>15</v>
      </c>
      <c r="F66" s="130" t="s">
        <v>15</v>
      </c>
      <c r="G66" s="2" t="s">
        <v>16</v>
      </c>
      <c r="H66" s="17">
        <v>500</v>
      </c>
      <c r="I66" s="17">
        <v>500</v>
      </c>
      <c r="J66" s="17"/>
      <c r="K66" s="17"/>
      <c r="L66" s="105">
        <v>20201118</v>
      </c>
    </row>
    <row r="67" ht="16" customHeight="1" spans="1:12">
      <c r="A67" s="2">
        <v>65</v>
      </c>
      <c r="B67" s="3" t="s">
        <v>12</v>
      </c>
      <c r="C67" s="3" t="s">
        <v>145</v>
      </c>
      <c r="D67" s="3" t="s">
        <v>146</v>
      </c>
      <c r="E67" s="130" t="s">
        <v>15</v>
      </c>
      <c r="F67" s="130" t="s">
        <v>15</v>
      </c>
      <c r="G67" s="2" t="s">
        <v>16</v>
      </c>
      <c r="H67" s="3">
        <v>500</v>
      </c>
      <c r="I67" s="3">
        <v>500</v>
      </c>
      <c r="J67" s="3"/>
      <c r="K67" s="3"/>
      <c r="L67" s="105">
        <v>20201118</v>
      </c>
    </row>
    <row r="68" ht="16" customHeight="1" spans="1:12">
      <c r="A68" s="2">
        <v>66</v>
      </c>
      <c r="B68" s="3" t="s">
        <v>12</v>
      </c>
      <c r="C68" s="3" t="s">
        <v>147</v>
      </c>
      <c r="D68" s="3" t="s">
        <v>148</v>
      </c>
      <c r="E68" s="130" t="s">
        <v>15</v>
      </c>
      <c r="F68" s="130" t="s">
        <v>15</v>
      </c>
      <c r="G68" s="2" t="s">
        <v>16</v>
      </c>
      <c r="H68" s="3">
        <v>200</v>
      </c>
      <c r="I68" s="3">
        <v>200</v>
      </c>
      <c r="J68" s="3"/>
      <c r="K68" s="3"/>
      <c r="L68" s="105">
        <v>20201118</v>
      </c>
    </row>
    <row r="69" ht="16" customHeight="1" spans="1:12">
      <c r="A69" s="2">
        <v>67</v>
      </c>
      <c r="B69" s="3" t="s">
        <v>12</v>
      </c>
      <c r="C69" s="3" t="s">
        <v>149</v>
      </c>
      <c r="D69" s="3" t="s">
        <v>150</v>
      </c>
      <c r="E69" s="130" t="s">
        <v>15</v>
      </c>
      <c r="F69" s="130" t="s">
        <v>15</v>
      </c>
      <c r="G69" s="2" t="s">
        <v>16</v>
      </c>
      <c r="H69" s="3">
        <v>200</v>
      </c>
      <c r="I69" s="3">
        <v>200</v>
      </c>
      <c r="J69" s="3"/>
      <c r="K69" s="3"/>
      <c r="L69" s="105">
        <v>20201118</v>
      </c>
    </row>
    <row r="70" ht="16" customHeight="1" spans="1:12">
      <c r="A70" s="2">
        <v>68</v>
      </c>
      <c r="B70" s="3" t="s">
        <v>12</v>
      </c>
      <c r="C70" s="3" t="s">
        <v>151</v>
      </c>
      <c r="D70" s="3" t="s">
        <v>152</v>
      </c>
      <c r="E70" s="130" t="s">
        <v>15</v>
      </c>
      <c r="F70" s="130" t="s">
        <v>15</v>
      </c>
      <c r="G70" s="2" t="s">
        <v>16</v>
      </c>
      <c r="H70" s="3">
        <v>200</v>
      </c>
      <c r="I70" s="3">
        <v>200</v>
      </c>
      <c r="J70" s="3"/>
      <c r="K70" s="3"/>
      <c r="L70" s="105">
        <v>20201118</v>
      </c>
    </row>
    <row r="71" ht="16" customHeight="1" spans="1:12">
      <c r="A71" s="2">
        <v>69</v>
      </c>
      <c r="B71" s="3" t="s">
        <v>12</v>
      </c>
      <c r="C71" s="3" t="s">
        <v>153</v>
      </c>
      <c r="D71" s="3" t="s">
        <v>154</v>
      </c>
      <c r="E71" s="130" t="s">
        <v>15</v>
      </c>
      <c r="F71" s="130" t="s">
        <v>15</v>
      </c>
      <c r="G71" s="2" t="s">
        <v>16</v>
      </c>
      <c r="H71" s="3">
        <v>200</v>
      </c>
      <c r="I71" s="3">
        <v>200</v>
      </c>
      <c r="J71" s="3"/>
      <c r="K71" s="3"/>
      <c r="L71" s="105">
        <v>20201118</v>
      </c>
    </row>
    <row r="72" ht="16" customHeight="1" spans="1:12">
      <c r="A72" s="2">
        <v>70</v>
      </c>
      <c r="B72" s="3" t="s">
        <v>12</v>
      </c>
      <c r="C72" s="3" t="s">
        <v>155</v>
      </c>
      <c r="D72" s="3" t="s">
        <v>156</v>
      </c>
      <c r="E72" s="130" t="s">
        <v>15</v>
      </c>
      <c r="F72" s="130" t="s">
        <v>15</v>
      </c>
      <c r="G72" s="2" t="s">
        <v>16</v>
      </c>
      <c r="H72" s="3">
        <v>200</v>
      </c>
      <c r="I72" s="3">
        <v>200</v>
      </c>
      <c r="J72" s="3"/>
      <c r="K72" s="3"/>
      <c r="L72" s="105">
        <v>20201118</v>
      </c>
    </row>
    <row r="73" ht="16" customHeight="1" spans="1:12">
      <c r="A73" s="2">
        <v>71</v>
      </c>
      <c r="B73" s="3" t="s">
        <v>12</v>
      </c>
      <c r="C73" s="3" t="s">
        <v>157</v>
      </c>
      <c r="D73" s="3" t="s">
        <v>158</v>
      </c>
      <c r="E73" s="130" t="s">
        <v>15</v>
      </c>
      <c r="F73" s="130" t="s">
        <v>15</v>
      </c>
      <c r="G73" s="2" t="s">
        <v>16</v>
      </c>
      <c r="H73" s="3">
        <v>200</v>
      </c>
      <c r="I73" s="3">
        <v>200</v>
      </c>
      <c r="J73" s="3"/>
      <c r="K73" s="3"/>
      <c r="L73" s="105">
        <v>20201118</v>
      </c>
    </row>
    <row r="74" ht="16" customHeight="1" spans="1:12">
      <c r="A74" s="2">
        <v>72</v>
      </c>
      <c r="B74" s="3" t="s">
        <v>12</v>
      </c>
      <c r="C74" s="3" t="s">
        <v>159</v>
      </c>
      <c r="D74" s="3" t="s">
        <v>160</v>
      </c>
      <c r="E74" s="130" t="s">
        <v>15</v>
      </c>
      <c r="F74" s="130" t="s">
        <v>15</v>
      </c>
      <c r="G74" s="2" t="s">
        <v>16</v>
      </c>
      <c r="H74" s="3">
        <v>1000</v>
      </c>
      <c r="I74" s="3">
        <v>1000</v>
      </c>
      <c r="J74" s="3"/>
      <c r="K74" s="3"/>
      <c r="L74" s="105">
        <v>20201118</v>
      </c>
    </row>
    <row r="75" ht="16" customHeight="1" spans="1:12">
      <c r="A75" s="2">
        <v>73</v>
      </c>
      <c r="B75" s="3" t="s">
        <v>12</v>
      </c>
      <c r="C75" s="3" t="s">
        <v>161</v>
      </c>
      <c r="D75" s="3" t="s">
        <v>162</v>
      </c>
      <c r="E75" s="130" t="s">
        <v>15</v>
      </c>
      <c r="F75" s="130" t="s">
        <v>15</v>
      </c>
      <c r="G75" s="2" t="s">
        <v>16</v>
      </c>
      <c r="H75" s="3">
        <v>1000</v>
      </c>
      <c r="I75" s="3">
        <v>1000</v>
      </c>
      <c r="J75" s="3"/>
      <c r="K75" s="3"/>
      <c r="L75" s="105">
        <v>20201118</v>
      </c>
    </row>
    <row r="76" ht="16" customHeight="1" spans="1:12">
      <c r="A76" s="2">
        <v>74</v>
      </c>
      <c r="B76" s="3" t="s">
        <v>12</v>
      </c>
      <c r="C76" s="3" t="s">
        <v>163</v>
      </c>
      <c r="D76" s="3" t="s">
        <v>164</v>
      </c>
      <c r="E76" s="130" t="s">
        <v>15</v>
      </c>
      <c r="F76" s="130" t="s">
        <v>15</v>
      </c>
      <c r="G76" s="2" t="s">
        <v>16</v>
      </c>
      <c r="H76" s="3">
        <v>200</v>
      </c>
      <c r="I76" s="3">
        <v>200</v>
      </c>
      <c r="J76" s="3"/>
      <c r="K76" s="3"/>
      <c r="L76" s="105">
        <v>20201118</v>
      </c>
    </row>
    <row r="77" ht="16" customHeight="1" spans="1:12">
      <c r="A77" s="2">
        <v>75</v>
      </c>
      <c r="B77" s="3" t="s">
        <v>12</v>
      </c>
      <c r="C77" s="3" t="s">
        <v>165</v>
      </c>
      <c r="D77" s="3" t="s">
        <v>166</v>
      </c>
      <c r="E77" s="130" t="s">
        <v>15</v>
      </c>
      <c r="F77" s="130" t="s">
        <v>15</v>
      </c>
      <c r="G77" s="2" t="s">
        <v>16</v>
      </c>
      <c r="H77" s="3">
        <v>200</v>
      </c>
      <c r="I77" s="3">
        <v>200</v>
      </c>
      <c r="J77" s="3"/>
      <c r="K77" s="3"/>
      <c r="L77" s="105">
        <v>20201118</v>
      </c>
    </row>
    <row r="78" ht="16" customHeight="1" spans="1:12">
      <c r="A78" s="2">
        <v>76</v>
      </c>
      <c r="B78" s="3" t="s">
        <v>12</v>
      </c>
      <c r="C78" s="3" t="s">
        <v>167</v>
      </c>
      <c r="D78" s="3" t="s">
        <v>168</v>
      </c>
      <c r="E78" s="130" t="s">
        <v>15</v>
      </c>
      <c r="F78" s="130" t="s">
        <v>15</v>
      </c>
      <c r="G78" s="2" t="s">
        <v>16</v>
      </c>
      <c r="H78" s="3">
        <v>200</v>
      </c>
      <c r="I78" s="3">
        <v>200</v>
      </c>
      <c r="J78" s="3"/>
      <c r="K78" s="3"/>
      <c r="L78" s="105">
        <v>20201118</v>
      </c>
    </row>
    <row r="79" ht="16" customHeight="1" spans="1:12">
      <c r="A79" s="2">
        <v>77</v>
      </c>
      <c r="B79" s="3" t="s">
        <v>12</v>
      </c>
      <c r="C79" s="3" t="s">
        <v>169</v>
      </c>
      <c r="D79" s="3" t="s">
        <v>170</v>
      </c>
      <c r="E79" s="130" t="s">
        <v>15</v>
      </c>
      <c r="F79" s="130" t="s">
        <v>15</v>
      </c>
      <c r="G79" s="2" t="s">
        <v>16</v>
      </c>
      <c r="H79" s="3">
        <v>200</v>
      </c>
      <c r="I79" s="3">
        <v>200</v>
      </c>
      <c r="J79" s="3"/>
      <c r="K79" s="3"/>
      <c r="L79" s="105">
        <v>20201118</v>
      </c>
    </row>
    <row r="80" ht="16" customHeight="1" spans="1:12">
      <c r="A80" s="2">
        <v>78</v>
      </c>
      <c r="B80" s="3" t="s">
        <v>12</v>
      </c>
      <c r="C80" s="3" t="s">
        <v>171</v>
      </c>
      <c r="D80" s="3" t="s">
        <v>172</v>
      </c>
      <c r="E80" s="130" t="s">
        <v>15</v>
      </c>
      <c r="F80" s="130" t="s">
        <v>15</v>
      </c>
      <c r="G80" s="2" t="s">
        <v>16</v>
      </c>
      <c r="H80" s="3">
        <v>200</v>
      </c>
      <c r="I80" s="3">
        <v>200</v>
      </c>
      <c r="J80" s="3"/>
      <c r="K80" s="3"/>
      <c r="L80" s="105">
        <v>20201118</v>
      </c>
    </row>
    <row r="81" ht="16" customHeight="1" spans="1:12">
      <c r="A81" s="2">
        <v>79</v>
      </c>
      <c r="B81" s="3" t="s">
        <v>12</v>
      </c>
      <c r="C81" s="6" t="s">
        <v>173</v>
      </c>
      <c r="D81" s="6" t="s">
        <v>174</v>
      </c>
      <c r="E81" s="130" t="s">
        <v>15</v>
      </c>
      <c r="F81" s="130" t="s">
        <v>15</v>
      </c>
      <c r="G81" s="2" t="s">
        <v>16</v>
      </c>
      <c r="H81" s="3">
        <v>300</v>
      </c>
      <c r="I81" s="3">
        <v>300</v>
      </c>
      <c r="J81" s="3"/>
      <c r="K81" s="130"/>
      <c r="L81" s="105">
        <v>20201118</v>
      </c>
    </row>
    <row r="82" ht="16" customHeight="1" spans="1:12">
      <c r="A82" s="2">
        <v>80</v>
      </c>
      <c r="B82" s="3" t="s">
        <v>12</v>
      </c>
      <c r="C82" s="6" t="s">
        <v>175</v>
      </c>
      <c r="D82" s="6" t="s">
        <v>176</v>
      </c>
      <c r="E82" s="130" t="s">
        <v>15</v>
      </c>
      <c r="F82" s="130" t="s">
        <v>15</v>
      </c>
      <c r="G82" s="2" t="s">
        <v>16</v>
      </c>
      <c r="H82" s="3">
        <v>300</v>
      </c>
      <c r="I82" s="3">
        <v>300</v>
      </c>
      <c r="J82" s="3"/>
      <c r="K82" s="130"/>
      <c r="L82" s="105">
        <v>20201118</v>
      </c>
    </row>
    <row r="83" ht="16" customHeight="1" spans="1:12">
      <c r="A83" s="2">
        <v>81</v>
      </c>
      <c r="B83" s="3" t="s">
        <v>12</v>
      </c>
      <c r="C83" s="6" t="s">
        <v>177</v>
      </c>
      <c r="D83" s="6" t="s">
        <v>178</v>
      </c>
      <c r="E83" s="130" t="s">
        <v>15</v>
      </c>
      <c r="F83" s="130" t="s">
        <v>15</v>
      </c>
      <c r="G83" s="2" t="s">
        <v>16</v>
      </c>
      <c r="H83" s="3">
        <v>200</v>
      </c>
      <c r="I83" s="3">
        <v>200</v>
      </c>
      <c r="J83" s="3"/>
      <c r="K83" s="130"/>
      <c r="L83" s="105">
        <v>20201118</v>
      </c>
    </row>
    <row r="84" ht="16" customHeight="1" spans="1:12">
      <c r="A84" s="2">
        <v>82</v>
      </c>
      <c r="B84" s="3" t="s">
        <v>12</v>
      </c>
      <c r="C84" s="6" t="s">
        <v>179</v>
      </c>
      <c r="D84" s="6" t="s">
        <v>180</v>
      </c>
      <c r="E84" s="130" t="s">
        <v>15</v>
      </c>
      <c r="F84" s="130" t="s">
        <v>15</v>
      </c>
      <c r="G84" s="2" t="s">
        <v>16</v>
      </c>
      <c r="H84" s="3">
        <v>200</v>
      </c>
      <c r="I84" s="3">
        <v>200</v>
      </c>
      <c r="J84" s="3"/>
      <c r="K84" s="130"/>
      <c r="L84" s="105">
        <v>20201118</v>
      </c>
    </row>
    <row r="85" ht="16" customHeight="1" spans="1:12">
      <c r="A85" s="2">
        <v>83</v>
      </c>
      <c r="B85" s="3" t="s">
        <v>12</v>
      </c>
      <c r="C85" s="6" t="s">
        <v>181</v>
      </c>
      <c r="D85" s="6" t="s">
        <v>182</v>
      </c>
      <c r="E85" s="130" t="s">
        <v>15</v>
      </c>
      <c r="F85" s="130" t="s">
        <v>15</v>
      </c>
      <c r="G85" s="2" t="s">
        <v>16</v>
      </c>
      <c r="H85" s="3">
        <v>500</v>
      </c>
      <c r="I85" s="3">
        <v>500</v>
      </c>
      <c r="J85" s="3"/>
      <c r="K85" s="130"/>
      <c r="L85" s="105">
        <v>20201118</v>
      </c>
    </row>
    <row r="86" ht="16" customHeight="1" spans="1:12">
      <c r="A86" s="2">
        <v>84</v>
      </c>
      <c r="B86" s="3" t="s">
        <v>12</v>
      </c>
      <c r="C86" s="6" t="s">
        <v>183</v>
      </c>
      <c r="D86" s="6" t="s">
        <v>184</v>
      </c>
      <c r="E86" s="130" t="s">
        <v>15</v>
      </c>
      <c r="F86" s="130" t="s">
        <v>15</v>
      </c>
      <c r="G86" s="2" t="s">
        <v>16</v>
      </c>
      <c r="H86" s="3">
        <v>500</v>
      </c>
      <c r="I86" s="3">
        <v>500</v>
      </c>
      <c r="J86" s="3"/>
      <c r="K86" s="130"/>
      <c r="L86" s="105">
        <v>20201118</v>
      </c>
    </row>
    <row r="87" ht="16" customHeight="1" spans="1:12">
      <c r="A87" s="2">
        <v>85</v>
      </c>
      <c r="B87" s="3" t="s">
        <v>12</v>
      </c>
      <c r="C87" s="6" t="s">
        <v>185</v>
      </c>
      <c r="D87" s="6" t="s">
        <v>186</v>
      </c>
      <c r="E87" s="130" t="s">
        <v>15</v>
      </c>
      <c r="F87" s="130" t="s">
        <v>15</v>
      </c>
      <c r="G87" s="2" t="s">
        <v>16</v>
      </c>
      <c r="H87" s="3">
        <v>300</v>
      </c>
      <c r="I87" s="3">
        <v>300</v>
      </c>
      <c r="J87" s="3"/>
      <c r="K87" s="130"/>
      <c r="L87" s="105">
        <v>20201118</v>
      </c>
    </row>
    <row r="88" ht="16" customHeight="1" spans="1:12">
      <c r="A88" s="2">
        <v>86</v>
      </c>
      <c r="B88" s="3" t="s">
        <v>12</v>
      </c>
      <c r="C88" s="6" t="s">
        <v>187</v>
      </c>
      <c r="D88" s="6" t="s">
        <v>188</v>
      </c>
      <c r="E88" s="130" t="s">
        <v>15</v>
      </c>
      <c r="F88" s="130" t="s">
        <v>15</v>
      </c>
      <c r="G88" s="277" t="s">
        <v>189</v>
      </c>
      <c r="H88" s="3">
        <v>200</v>
      </c>
      <c r="I88" s="3">
        <v>200</v>
      </c>
      <c r="J88" s="3"/>
      <c r="K88" s="130"/>
      <c r="L88" s="105">
        <v>20201118</v>
      </c>
    </row>
    <row r="89" ht="16" customHeight="1" spans="1:12">
      <c r="A89" s="2">
        <v>87</v>
      </c>
      <c r="B89" s="3" t="s">
        <v>12</v>
      </c>
      <c r="C89" s="6" t="s">
        <v>190</v>
      </c>
      <c r="D89" s="6" t="s">
        <v>191</v>
      </c>
      <c r="E89" s="130" t="s">
        <v>15</v>
      </c>
      <c r="F89" s="130" t="s">
        <v>15</v>
      </c>
      <c r="G89" s="2" t="s">
        <v>16</v>
      </c>
      <c r="H89" s="3">
        <v>200</v>
      </c>
      <c r="I89" s="3">
        <v>200</v>
      </c>
      <c r="J89" s="3"/>
      <c r="K89" s="130"/>
      <c r="L89" s="105">
        <v>20201118</v>
      </c>
    </row>
    <row r="90" ht="16" customHeight="1" spans="1:12">
      <c r="A90" s="2">
        <v>88</v>
      </c>
      <c r="B90" s="3" t="s">
        <v>12</v>
      </c>
      <c r="C90" s="6" t="s">
        <v>192</v>
      </c>
      <c r="D90" s="6" t="s">
        <v>193</v>
      </c>
      <c r="E90" s="130" t="s">
        <v>15</v>
      </c>
      <c r="F90" s="130" t="s">
        <v>15</v>
      </c>
      <c r="G90" s="2" t="s">
        <v>16</v>
      </c>
      <c r="H90" s="3">
        <v>500</v>
      </c>
      <c r="I90" s="3">
        <v>500</v>
      </c>
      <c r="J90" s="3"/>
      <c r="K90" s="130"/>
      <c r="L90" s="105">
        <v>20201118</v>
      </c>
    </row>
    <row r="91" ht="16" customHeight="1" spans="1:12">
      <c r="A91" s="2">
        <v>89</v>
      </c>
      <c r="B91" s="3" t="s">
        <v>12</v>
      </c>
      <c r="C91" s="6" t="s">
        <v>194</v>
      </c>
      <c r="D91" s="6" t="s">
        <v>195</v>
      </c>
      <c r="E91" s="130" t="s">
        <v>15</v>
      </c>
      <c r="F91" s="130" t="s">
        <v>15</v>
      </c>
      <c r="G91" s="2" t="s">
        <v>16</v>
      </c>
      <c r="H91" s="3">
        <v>500</v>
      </c>
      <c r="I91" s="3">
        <v>500</v>
      </c>
      <c r="J91" s="3"/>
      <c r="K91" s="130"/>
      <c r="L91" s="105">
        <v>20201118</v>
      </c>
    </row>
    <row r="92" ht="16" customHeight="1" spans="1:12">
      <c r="A92" s="2">
        <v>90</v>
      </c>
      <c r="B92" s="3" t="s">
        <v>12</v>
      </c>
      <c r="C92" s="6" t="s">
        <v>196</v>
      </c>
      <c r="D92" s="6" t="s">
        <v>197</v>
      </c>
      <c r="E92" s="130" t="s">
        <v>15</v>
      </c>
      <c r="F92" s="130" t="s">
        <v>15</v>
      </c>
      <c r="G92" s="2" t="s">
        <v>16</v>
      </c>
      <c r="H92" s="3">
        <v>200</v>
      </c>
      <c r="I92" s="3">
        <v>200</v>
      </c>
      <c r="J92" s="3"/>
      <c r="K92" s="130"/>
      <c r="L92" s="105">
        <v>20201118</v>
      </c>
    </row>
    <row r="93" ht="16" customHeight="1" spans="1:12">
      <c r="A93" s="2">
        <v>91</v>
      </c>
      <c r="B93" s="3" t="s">
        <v>12</v>
      </c>
      <c r="C93" s="6" t="s">
        <v>198</v>
      </c>
      <c r="D93" s="6" t="s">
        <v>199</v>
      </c>
      <c r="E93" s="130" t="s">
        <v>15</v>
      </c>
      <c r="F93" s="130" t="s">
        <v>15</v>
      </c>
      <c r="G93" s="2" t="s">
        <v>16</v>
      </c>
      <c r="H93" s="3">
        <v>200</v>
      </c>
      <c r="I93" s="3">
        <v>200</v>
      </c>
      <c r="J93" s="3"/>
      <c r="K93" s="130"/>
      <c r="L93" s="105">
        <v>20201118</v>
      </c>
    </row>
    <row r="94" ht="16" customHeight="1" spans="1:12">
      <c r="A94" s="2">
        <v>92</v>
      </c>
      <c r="B94" s="3" t="s">
        <v>12</v>
      </c>
      <c r="C94" s="6" t="s">
        <v>200</v>
      </c>
      <c r="D94" s="6" t="s">
        <v>201</v>
      </c>
      <c r="E94" s="130" t="s">
        <v>15</v>
      </c>
      <c r="F94" s="130" t="s">
        <v>15</v>
      </c>
      <c r="G94" s="2" t="s">
        <v>16</v>
      </c>
      <c r="H94" s="3">
        <v>500</v>
      </c>
      <c r="I94" s="3">
        <v>500</v>
      </c>
      <c r="J94" s="3"/>
      <c r="K94" s="130"/>
      <c r="L94" s="105">
        <v>20201118</v>
      </c>
    </row>
    <row r="95" ht="16" customHeight="1" spans="1:12">
      <c r="A95" s="2">
        <v>93</v>
      </c>
      <c r="B95" s="3" t="s">
        <v>12</v>
      </c>
      <c r="C95" s="6" t="s">
        <v>202</v>
      </c>
      <c r="D95" s="6" t="s">
        <v>203</v>
      </c>
      <c r="E95" s="130" t="s">
        <v>15</v>
      </c>
      <c r="F95" s="130" t="s">
        <v>15</v>
      </c>
      <c r="G95" s="2" t="s">
        <v>16</v>
      </c>
      <c r="H95" s="3">
        <v>500</v>
      </c>
      <c r="I95" s="3">
        <v>500</v>
      </c>
      <c r="J95" s="3"/>
      <c r="K95" s="130"/>
      <c r="L95" s="105">
        <v>20201118</v>
      </c>
    </row>
    <row r="96" ht="16" customHeight="1" spans="1:12">
      <c r="A96" s="2">
        <v>94</v>
      </c>
      <c r="B96" s="3" t="s">
        <v>12</v>
      </c>
      <c r="C96" s="6" t="s">
        <v>204</v>
      </c>
      <c r="D96" s="6" t="s">
        <v>205</v>
      </c>
      <c r="E96" s="130" t="s">
        <v>15</v>
      </c>
      <c r="F96" s="130" t="s">
        <v>15</v>
      </c>
      <c r="G96" s="2" t="s">
        <v>16</v>
      </c>
      <c r="H96" s="3">
        <v>200</v>
      </c>
      <c r="I96" s="3">
        <v>200</v>
      </c>
      <c r="J96" s="3"/>
      <c r="K96" s="130"/>
      <c r="L96" s="105">
        <v>20201118</v>
      </c>
    </row>
    <row r="97" ht="16" customHeight="1" spans="1:12">
      <c r="A97" s="2">
        <v>95</v>
      </c>
      <c r="B97" s="3" t="s">
        <v>12</v>
      </c>
      <c r="C97" s="6" t="s">
        <v>206</v>
      </c>
      <c r="D97" s="6" t="s">
        <v>207</v>
      </c>
      <c r="E97" s="130" t="s">
        <v>15</v>
      </c>
      <c r="F97" s="130" t="s">
        <v>15</v>
      </c>
      <c r="G97" s="2" t="s">
        <v>16</v>
      </c>
      <c r="H97" s="3">
        <v>200</v>
      </c>
      <c r="I97" s="3">
        <v>200</v>
      </c>
      <c r="J97" s="3"/>
      <c r="K97" s="130"/>
      <c r="L97" s="105">
        <v>20201118</v>
      </c>
    </row>
    <row r="98" ht="16" customHeight="1" spans="1:12">
      <c r="A98" s="2">
        <v>96</v>
      </c>
      <c r="B98" s="3" t="s">
        <v>12</v>
      </c>
      <c r="C98" s="6" t="s">
        <v>208</v>
      </c>
      <c r="D98" s="6" t="s">
        <v>209</v>
      </c>
      <c r="E98" s="130" t="s">
        <v>15</v>
      </c>
      <c r="F98" s="130" t="s">
        <v>15</v>
      </c>
      <c r="G98" s="2" t="s">
        <v>16</v>
      </c>
      <c r="H98" s="3">
        <v>200</v>
      </c>
      <c r="I98" s="3">
        <v>200</v>
      </c>
      <c r="J98" s="3"/>
      <c r="K98" s="130"/>
      <c r="L98" s="105">
        <v>20201118</v>
      </c>
    </row>
    <row r="99" ht="16" customHeight="1" spans="1:12">
      <c r="A99" s="2">
        <v>97</v>
      </c>
      <c r="B99" s="3" t="s">
        <v>12</v>
      </c>
      <c r="C99" s="6" t="s">
        <v>210</v>
      </c>
      <c r="D99" s="6" t="s">
        <v>211</v>
      </c>
      <c r="E99" s="130" t="s">
        <v>15</v>
      </c>
      <c r="F99" s="130" t="s">
        <v>15</v>
      </c>
      <c r="G99" s="2" t="s">
        <v>16</v>
      </c>
      <c r="H99" s="3">
        <v>500</v>
      </c>
      <c r="I99" s="3">
        <v>500</v>
      </c>
      <c r="J99" s="3"/>
      <c r="K99" s="130"/>
      <c r="L99" s="105">
        <v>20201118</v>
      </c>
    </row>
    <row r="100" ht="16" customHeight="1" spans="1:12">
      <c r="A100" s="2">
        <v>98</v>
      </c>
      <c r="B100" s="3" t="s">
        <v>12</v>
      </c>
      <c r="C100" s="6" t="s">
        <v>212</v>
      </c>
      <c r="D100" s="6" t="s">
        <v>213</v>
      </c>
      <c r="E100" s="130" t="s">
        <v>15</v>
      </c>
      <c r="F100" s="130" t="s">
        <v>15</v>
      </c>
      <c r="G100" s="2" t="s">
        <v>16</v>
      </c>
      <c r="H100" s="3">
        <v>500</v>
      </c>
      <c r="I100" s="3">
        <v>500</v>
      </c>
      <c r="J100" s="3"/>
      <c r="K100" s="130"/>
      <c r="L100" s="105">
        <v>20201118</v>
      </c>
    </row>
    <row r="101" ht="16" customHeight="1" spans="1:12">
      <c r="A101" s="2">
        <v>99</v>
      </c>
      <c r="B101" s="3" t="s">
        <v>12</v>
      </c>
      <c r="C101" s="6" t="s">
        <v>214</v>
      </c>
      <c r="D101" s="6" t="s">
        <v>215</v>
      </c>
      <c r="E101" s="130" t="s">
        <v>15</v>
      </c>
      <c r="F101" s="130" t="s">
        <v>15</v>
      </c>
      <c r="G101" s="277" t="s">
        <v>189</v>
      </c>
      <c r="H101" s="3">
        <v>200</v>
      </c>
      <c r="I101" s="3">
        <v>200</v>
      </c>
      <c r="J101" s="3"/>
      <c r="K101" s="130"/>
      <c r="L101" s="105">
        <v>20201118</v>
      </c>
    </row>
    <row r="102" ht="16" customHeight="1" spans="1:12">
      <c r="A102" s="2">
        <v>100</v>
      </c>
      <c r="B102" s="3" t="s">
        <v>12</v>
      </c>
      <c r="C102" s="6" t="s">
        <v>216</v>
      </c>
      <c r="D102" s="6" t="s">
        <v>217</v>
      </c>
      <c r="E102" s="130" t="s">
        <v>15</v>
      </c>
      <c r="F102" s="130" t="s">
        <v>15</v>
      </c>
      <c r="G102" s="277" t="s">
        <v>189</v>
      </c>
      <c r="H102" s="3">
        <v>200</v>
      </c>
      <c r="I102" s="3">
        <v>200</v>
      </c>
      <c r="J102" s="3"/>
      <c r="K102" s="130"/>
      <c r="L102" s="105">
        <v>20201118</v>
      </c>
    </row>
    <row r="103" ht="16" customHeight="1" spans="1:12">
      <c r="A103" s="2">
        <v>101</v>
      </c>
      <c r="B103" s="3" t="s">
        <v>12</v>
      </c>
      <c r="C103" s="6" t="s">
        <v>218</v>
      </c>
      <c r="D103" s="6" t="s">
        <v>219</v>
      </c>
      <c r="E103" s="130" t="s">
        <v>15</v>
      </c>
      <c r="F103" s="130" t="s">
        <v>15</v>
      </c>
      <c r="G103" s="277" t="s">
        <v>189</v>
      </c>
      <c r="H103" s="3">
        <v>200</v>
      </c>
      <c r="I103" s="3">
        <v>200</v>
      </c>
      <c r="J103" s="3"/>
      <c r="K103" s="130"/>
      <c r="L103" s="105">
        <v>20201118</v>
      </c>
    </row>
    <row r="104" ht="16" customHeight="1" spans="1:12">
      <c r="A104" s="2">
        <v>102</v>
      </c>
      <c r="B104" s="3" t="s">
        <v>12</v>
      </c>
      <c r="C104" s="6" t="s">
        <v>220</v>
      </c>
      <c r="D104" s="6" t="s">
        <v>221</v>
      </c>
      <c r="E104" s="130" t="s">
        <v>15</v>
      </c>
      <c r="F104" s="130" t="s">
        <v>15</v>
      </c>
      <c r="G104" s="277" t="s">
        <v>189</v>
      </c>
      <c r="H104" s="3">
        <v>500</v>
      </c>
      <c r="I104" s="3">
        <v>500</v>
      </c>
      <c r="J104" s="3"/>
      <c r="K104" s="130"/>
      <c r="L104" s="105">
        <v>20201118</v>
      </c>
    </row>
    <row r="105" ht="16" customHeight="1" spans="1:12">
      <c r="A105" s="2">
        <v>103</v>
      </c>
      <c r="B105" s="3" t="s">
        <v>12</v>
      </c>
      <c r="C105" s="6" t="s">
        <v>222</v>
      </c>
      <c r="D105" s="6" t="s">
        <v>223</v>
      </c>
      <c r="E105" s="130" t="s">
        <v>15</v>
      </c>
      <c r="F105" s="130" t="s">
        <v>15</v>
      </c>
      <c r="G105" s="277" t="s">
        <v>189</v>
      </c>
      <c r="H105" s="3">
        <v>300</v>
      </c>
      <c r="I105" s="3">
        <v>300</v>
      </c>
      <c r="J105" s="3"/>
      <c r="K105" s="130"/>
      <c r="L105" s="105">
        <v>20201118</v>
      </c>
    </row>
    <row r="106" ht="16" customHeight="1" spans="1:12">
      <c r="A106" s="2">
        <v>104</v>
      </c>
      <c r="B106" s="3" t="s">
        <v>12</v>
      </c>
      <c r="C106" s="6" t="s">
        <v>224</v>
      </c>
      <c r="D106" s="6" t="s">
        <v>225</v>
      </c>
      <c r="E106" s="130" t="s">
        <v>15</v>
      </c>
      <c r="F106" s="130" t="s">
        <v>15</v>
      </c>
      <c r="G106" s="277" t="s">
        <v>189</v>
      </c>
      <c r="H106" s="3">
        <v>200</v>
      </c>
      <c r="I106" s="3">
        <v>200</v>
      </c>
      <c r="J106" s="3"/>
      <c r="K106" s="130"/>
      <c r="L106" s="105">
        <v>20201118</v>
      </c>
    </row>
    <row r="107" ht="16" customHeight="1" spans="1:12">
      <c r="A107" s="2">
        <v>105</v>
      </c>
      <c r="B107" s="3" t="s">
        <v>12</v>
      </c>
      <c r="C107" s="6" t="s">
        <v>226</v>
      </c>
      <c r="D107" s="6" t="s">
        <v>227</v>
      </c>
      <c r="E107" s="130" t="s">
        <v>15</v>
      </c>
      <c r="F107" s="130" t="s">
        <v>15</v>
      </c>
      <c r="G107" s="277" t="s">
        <v>189</v>
      </c>
      <c r="H107" s="3">
        <v>200</v>
      </c>
      <c r="I107" s="3">
        <v>200</v>
      </c>
      <c r="J107" s="3"/>
      <c r="K107" s="130"/>
      <c r="L107" s="105">
        <v>20201118</v>
      </c>
    </row>
    <row r="108" ht="16" customHeight="1" spans="1:12">
      <c r="A108" s="2">
        <v>106</v>
      </c>
      <c r="B108" s="3" t="s">
        <v>12</v>
      </c>
      <c r="C108" s="6" t="s">
        <v>228</v>
      </c>
      <c r="D108" s="6" t="s">
        <v>229</v>
      </c>
      <c r="E108" s="130" t="s">
        <v>15</v>
      </c>
      <c r="F108" s="130" t="s">
        <v>15</v>
      </c>
      <c r="G108" s="2" t="s">
        <v>16</v>
      </c>
      <c r="H108" s="3">
        <v>200</v>
      </c>
      <c r="I108" s="3">
        <v>200</v>
      </c>
      <c r="J108" s="3"/>
      <c r="K108" s="130"/>
      <c r="L108" s="105">
        <v>20201118</v>
      </c>
    </row>
    <row r="109" ht="16" customHeight="1" spans="1:12">
      <c r="A109" s="2">
        <v>107</v>
      </c>
      <c r="B109" s="3" t="s">
        <v>12</v>
      </c>
      <c r="C109" s="6" t="s">
        <v>230</v>
      </c>
      <c r="D109" s="6" t="s">
        <v>231</v>
      </c>
      <c r="E109" s="130" t="s">
        <v>15</v>
      </c>
      <c r="F109" s="130" t="s">
        <v>15</v>
      </c>
      <c r="G109" s="277" t="s">
        <v>189</v>
      </c>
      <c r="H109" s="3">
        <v>200</v>
      </c>
      <c r="I109" s="3">
        <v>200</v>
      </c>
      <c r="J109" s="3"/>
      <c r="K109" s="130"/>
      <c r="L109" s="105">
        <v>20201118</v>
      </c>
    </row>
    <row r="110" ht="16" customHeight="1" spans="1:12">
      <c r="A110" s="2">
        <v>108</v>
      </c>
      <c r="B110" s="3" t="s">
        <v>12</v>
      </c>
      <c r="C110" s="6" t="s">
        <v>232</v>
      </c>
      <c r="D110" s="6" t="s">
        <v>233</v>
      </c>
      <c r="E110" s="130" t="s">
        <v>15</v>
      </c>
      <c r="F110" s="130" t="s">
        <v>15</v>
      </c>
      <c r="G110" s="277" t="s">
        <v>189</v>
      </c>
      <c r="H110" s="3">
        <v>200</v>
      </c>
      <c r="I110" s="3">
        <v>200</v>
      </c>
      <c r="J110" s="3"/>
      <c r="K110" s="130"/>
      <c r="L110" s="105">
        <v>20201118</v>
      </c>
    </row>
    <row r="111" ht="16" customHeight="1" spans="1:12">
      <c r="A111" s="2">
        <v>109</v>
      </c>
      <c r="B111" s="3" t="s">
        <v>12</v>
      </c>
      <c r="C111" s="6" t="s">
        <v>234</v>
      </c>
      <c r="D111" s="6" t="s">
        <v>235</v>
      </c>
      <c r="E111" s="130" t="s">
        <v>15</v>
      </c>
      <c r="F111" s="130" t="s">
        <v>15</v>
      </c>
      <c r="G111" s="277" t="s">
        <v>189</v>
      </c>
      <c r="H111" s="3">
        <v>200</v>
      </c>
      <c r="I111" s="3">
        <v>200</v>
      </c>
      <c r="J111" s="3"/>
      <c r="K111" s="130"/>
      <c r="L111" s="105">
        <v>20201118</v>
      </c>
    </row>
    <row r="112" ht="16" customHeight="1" spans="1:12">
      <c r="A112" s="2">
        <v>110</v>
      </c>
      <c r="B112" s="3" t="s">
        <v>12</v>
      </c>
      <c r="C112" s="6" t="s">
        <v>236</v>
      </c>
      <c r="D112" s="6" t="s">
        <v>237</v>
      </c>
      <c r="E112" s="130" t="s">
        <v>15</v>
      </c>
      <c r="F112" s="130" t="s">
        <v>15</v>
      </c>
      <c r="G112" s="277" t="s">
        <v>189</v>
      </c>
      <c r="H112" s="3">
        <v>200</v>
      </c>
      <c r="I112" s="3">
        <v>200</v>
      </c>
      <c r="J112" s="3"/>
      <c r="K112" s="130"/>
      <c r="L112" s="105">
        <v>20201118</v>
      </c>
    </row>
    <row r="113" ht="16" customHeight="1" spans="1:12">
      <c r="A113" s="2">
        <v>111</v>
      </c>
      <c r="B113" s="3" t="s">
        <v>12</v>
      </c>
      <c r="C113" s="6" t="s">
        <v>238</v>
      </c>
      <c r="D113" s="6" t="s">
        <v>239</v>
      </c>
      <c r="E113" s="130" t="s">
        <v>15</v>
      </c>
      <c r="F113" s="130" t="s">
        <v>15</v>
      </c>
      <c r="G113" s="277" t="s">
        <v>189</v>
      </c>
      <c r="H113" s="3">
        <v>200</v>
      </c>
      <c r="I113" s="3">
        <v>200</v>
      </c>
      <c r="J113" s="3"/>
      <c r="K113" s="130"/>
      <c r="L113" s="105">
        <v>20201118</v>
      </c>
    </row>
    <row r="114" ht="16" customHeight="1" spans="1:12">
      <c r="A114" s="2">
        <v>112</v>
      </c>
      <c r="B114" s="3" t="s">
        <v>12</v>
      </c>
      <c r="C114" s="6" t="s">
        <v>240</v>
      </c>
      <c r="D114" s="6" t="s">
        <v>241</v>
      </c>
      <c r="E114" s="130" t="s">
        <v>15</v>
      </c>
      <c r="F114" s="130" t="s">
        <v>15</v>
      </c>
      <c r="G114" s="277" t="s">
        <v>189</v>
      </c>
      <c r="H114" s="3">
        <v>200</v>
      </c>
      <c r="I114" s="3">
        <v>200</v>
      </c>
      <c r="J114" s="3"/>
      <c r="K114" s="130"/>
      <c r="L114" s="105">
        <v>20201118</v>
      </c>
    </row>
    <row r="115" ht="16" customHeight="1" spans="1:12">
      <c r="A115" s="2">
        <v>113</v>
      </c>
      <c r="B115" s="3" t="s">
        <v>12</v>
      </c>
      <c r="C115" s="6" t="s">
        <v>242</v>
      </c>
      <c r="D115" s="6" t="s">
        <v>243</v>
      </c>
      <c r="E115" s="130" t="s">
        <v>15</v>
      </c>
      <c r="F115" s="130" t="s">
        <v>15</v>
      </c>
      <c r="G115" s="277" t="s">
        <v>189</v>
      </c>
      <c r="H115" s="3">
        <v>200</v>
      </c>
      <c r="I115" s="3">
        <v>200</v>
      </c>
      <c r="J115" s="3"/>
      <c r="K115" s="130"/>
      <c r="L115" s="105">
        <v>20201118</v>
      </c>
    </row>
    <row r="116" ht="16" customHeight="1" spans="1:12">
      <c r="A116" s="2">
        <v>114</v>
      </c>
      <c r="B116" s="3" t="s">
        <v>12</v>
      </c>
      <c r="C116" s="6" t="s">
        <v>244</v>
      </c>
      <c r="D116" s="6" t="s">
        <v>245</v>
      </c>
      <c r="E116" s="130" t="s">
        <v>15</v>
      </c>
      <c r="F116" s="130" t="s">
        <v>15</v>
      </c>
      <c r="G116" s="277" t="s">
        <v>189</v>
      </c>
      <c r="H116" s="3">
        <v>200</v>
      </c>
      <c r="I116" s="3">
        <v>200</v>
      </c>
      <c r="J116" s="3"/>
      <c r="K116" s="130"/>
      <c r="L116" s="105">
        <v>20201118</v>
      </c>
    </row>
    <row r="117" ht="16" customHeight="1" spans="1:12">
      <c r="A117" s="2">
        <v>115</v>
      </c>
      <c r="B117" s="3" t="s">
        <v>12</v>
      </c>
      <c r="C117" s="6" t="s">
        <v>246</v>
      </c>
      <c r="D117" s="6" t="s">
        <v>247</v>
      </c>
      <c r="E117" s="130" t="s">
        <v>15</v>
      </c>
      <c r="F117" s="130" t="s">
        <v>15</v>
      </c>
      <c r="G117" s="277" t="s">
        <v>189</v>
      </c>
      <c r="H117" s="3">
        <v>200</v>
      </c>
      <c r="I117" s="3">
        <v>200</v>
      </c>
      <c r="J117" s="3"/>
      <c r="K117" s="130"/>
      <c r="L117" s="105">
        <v>20201118</v>
      </c>
    </row>
    <row r="118" ht="16" customHeight="1" spans="1:12">
      <c r="A118" s="2">
        <v>116</v>
      </c>
      <c r="B118" s="3" t="s">
        <v>12</v>
      </c>
      <c r="C118" s="6" t="s">
        <v>248</v>
      </c>
      <c r="D118" s="6" t="s">
        <v>249</v>
      </c>
      <c r="E118" s="130" t="s">
        <v>15</v>
      </c>
      <c r="F118" s="130" t="s">
        <v>15</v>
      </c>
      <c r="G118" s="277" t="s">
        <v>189</v>
      </c>
      <c r="H118" s="3">
        <v>200</v>
      </c>
      <c r="I118" s="3">
        <v>200</v>
      </c>
      <c r="J118" s="3"/>
      <c r="K118" s="130"/>
      <c r="L118" s="105">
        <v>20201118</v>
      </c>
    </row>
    <row r="119" ht="16" customHeight="1" spans="1:12">
      <c r="A119" s="2">
        <v>117</v>
      </c>
      <c r="B119" s="3" t="s">
        <v>12</v>
      </c>
      <c r="C119" s="6" t="s">
        <v>250</v>
      </c>
      <c r="D119" s="6" t="s">
        <v>251</v>
      </c>
      <c r="E119" s="130" t="s">
        <v>15</v>
      </c>
      <c r="F119" s="130" t="s">
        <v>15</v>
      </c>
      <c r="G119" s="277" t="s">
        <v>189</v>
      </c>
      <c r="H119" s="3">
        <v>200</v>
      </c>
      <c r="I119" s="3">
        <v>200</v>
      </c>
      <c r="J119" s="3"/>
      <c r="K119" s="130"/>
      <c r="L119" s="105">
        <v>20201118</v>
      </c>
    </row>
    <row r="120" ht="16" customHeight="1" spans="1:12">
      <c r="A120" s="2">
        <v>118</v>
      </c>
      <c r="B120" s="3" t="s">
        <v>12</v>
      </c>
      <c r="C120" s="6" t="s">
        <v>252</v>
      </c>
      <c r="D120" s="6" t="s">
        <v>253</v>
      </c>
      <c r="E120" s="130" t="s">
        <v>15</v>
      </c>
      <c r="F120" s="130" t="s">
        <v>15</v>
      </c>
      <c r="G120" s="277" t="s">
        <v>189</v>
      </c>
      <c r="H120" s="3">
        <v>200</v>
      </c>
      <c r="I120" s="3">
        <v>200</v>
      </c>
      <c r="J120" s="3"/>
      <c r="K120" s="130"/>
      <c r="L120" s="105">
        <v>20201118</v>
      </c>
    </row>
    <row r="121" ht="16" customHeight="1" spans="1:12">
      <c r="A121" s="2">
        <v>119</v>
      </c>
      <c r="B121" s="3" t="s">
        <v>12</v>
      </c>
      <c r="C121" s="6" t="s">
        <v>254</v>
      </c>
      <c r="D121" s="6" t="s">
        <v>255</v>
      </c>
      <c r="E121" s="130" t="s">
        <v>15</v>
      </c>
      <c r="F121" s="130" t="s">
        <v>15</v>
      </c>
      <c r="G121" s="277" t="s">
        <v>189</v>
      </c>
      <c r="H121" s="3">
        <v>500</v>
      </c>
      <c r="I121" s="3">
        <v>500</v>
      </c>
      <c r="J121" s="3"/>
      <c r="K121" s="130"/>
      <c r="L121" s="105">
        <v>20201118</v>
      </c>
    </row>
    <row r="122" ht="16" customHeight="1" spans="1:12">
      <c r="A122" s="2">
        <v>120</v>
      </c>
      <c r="B122" s="3" t="s">
        <v>12</v>
      </c>
      <c r="C122" s="6" t="s">
        <v>256</v>
      </c>
      <c r="D122" s="6" t="s">
        <v>257</v>
      </c>
      <c r="E122" s="130" t="s">
        <v>15</v>
      </c>
      <c r="F122" s="130" t="s">
        <v>15</v>
      </c>
      <c r="G122" s="277" t="s">
        <v>189</v>
      </c>
      <c r="H122" s="3">
        <v>200</v>
      </c>
      <c r="I122" s="3">
        <v>200</v>
      </c>
      <c r="J122" s="3"/>
      <c r="K122" s="130"/>
      <c r="L122" s="105">
        <v>20201118</v>
      </c>
    </row>
    <row r="123" ht="16" customHeight="1" spans="1:12">
      <c r="A123" s="2">
        <v>121</v>
      </c>
      <c r="B123" s="3" t="s">
        <v>12</v>
      </c>
      <c r="C123" s="6" t="s">
        <v>258</v>
      </c>
      <c r="D123" s="6" t="s">
        <v>259</v>
      </c>
      <c r="E123" s="130" t="s">
        <v>15</v>
      </c>
      <c r="F123" s="130" t="s">
        <v>15</v>
      </c>
      <c r="G123" s="277" t="s">
        <v>189</v>
      </c>
      <c r="H123" s="3">
        <v>200</v>
      </c>
      <c r="I123" s="3">
        <v>200</v>
      </c>
      <c r="J123" s="3"/>
      <c r="K123" s="130"/>
      <c r="L123" s="105">
        <v>20201118</v>
      </c>
    </row>
    <row r="124" ht="16" customHeight="1" spans="1:12">
      <c r="A124" s="2">
        <v>122</v>
      </c>
      <c r="B124" s="3" t="s">
        <v>12</v>
      </c>
      <c r="C124" s="6" t="s">
        <v>260</v>
      </c>
      <c r="D124" s="6" t="s">
        <v>261</v>
      </c>
      <c r="E124" s="130" t="s">
        <v>15</v>
      </c>
      <c r="F124" s="130" t="s">
        <v>15</v>
      </c>
      <c r="G124" s="277" t="s">
        <v>189</v>
      </c>
      <c r="H124" s="3">
        <v>200</v>
      </c>
      <c r="I124" s="3">
        <v>200</v>
      </c>
      <c r="J124" s="3"/>
      <c r="K124" s="3"/>
      <c r="L124" s="105">
        <v>20201118</v>
      </c>
    </row>
    <row r="125" ht="16" customHeight="1" spans="1:12">
      <c r="A125" s="2">
        <v>123</v>
      </c>
      <c r="B125" s="3" t="s">
        <v>12</v>
      </c>
      <c r="C125" s="6" t="s">
        <v>262</v>
      </c>
      <c r="D125" s="6" t="s">
        <v>263</v>
      </c>
      <c r="E125" s="130" t="s">
        <v>15</v>
      </c>
      <c r="F125" s="130" t="s">
        <v>15</v>
      </c>
      <c r="G125" s="277" t="s">
        <v>189</v>
      </c>
      <c r="H125" s="3">
        <v>200</v>
      </c>
      <c r="I125" s="3">
        <v>200</v>
      </c>
      <c r="J125" s="3"/>
      <c r="K125" s="3"/>
      <c r="L125" s="105">
        <v>20201118</v>
      </c>
    </row>
    <row r="126" ht="16" customHeight="1" spans="1:12">
      <c r="A126" s="2">
        <v>124</v>
      </c>
      <c r="B126" s="3" t="s">
        <v>12</v>
      </c>
      <c r="C126" s="6" t="s">
        <v>264</v>
      </c>
      <c r="D126" s="6" t="s">
        <v>265</v>
      </c>
      <c r="E126" s="130" t="s">
        <v>15</v>
      </c>
      <c r="F126" s="130" t="s">
        <v>15</v>
      </c>
      <c r="G126" s="277" t="s">
        <v>189</v>
      </c>
      <c r="H126" s="3">
        <v>200</v>
      </c>
      <c r="I126" s="3">
        <v>200</v>
      </c>
      <c r="J126" s="3"/>
      <c r="K126" s="130"/>
      <c r="L126" s="105">
        <v>20201118</v>
      </c>
    </row>
    <row r="127" ht="16" customHeight="1" spans="1:12">
      <c r="A127" s="2">
        <v>125</v>
      </c>
      <c r="B127" s="3" t="s">
        <v>12</v>
      </c>
      <c r="C127" s="6" t="s">
        <v>266</v>
      </c>
      <c r="D127" s="6" t="s">
        <v>267</v>
      </c>
      <c r="E127" s="130" t="s">
        <v>15</v>
      </c>
      <c r="F127" s="130" t="s">
        <v>15</v>
      </c>
      <c r="G127" s="277" t="s">
        <v>189</v>
      </c>
      <c r="H127" s="3">
        <v>200</v>
      </c>
      <c r="I127" s="3">
        <v>200</v>
      </c>
      <c r="J127" s="3"/>
      <c r="K127" s="130"/>
      <c r="L127" s="105">
        <v>20201118</v>
      </c>
    </row>
    <row r="128" ht="16" customHeight="1" spans="1:12">
      <c r="A128" s="2">
        <v>126</v>
      </c>
      <c r="B128" s="3" t="s">
        <v>12</v>
      </c>
      <c r="C128" s="6" t="s">
        <v>268</v>
      </c>
      <c r="D128" s="6" t="s">
        <v>269</v>
      </c>
      <c r="E128" s="130" t="s">
        <v>15</v>
      </c>
      <c r="F128" s="130" t="s">
        <v>15</v>
      </c>
      <c r="G128" s="277" t="s">
        <v>189</v>
      </c>
      <c r="H128" s="3">
        <v>200</v>
      </c>
      <c r="I128" s="3">
        <v>200</v>
      </c>
      <c r="J128" s="3"/>
      <c r="K128" s="130"/>
      <c r="L128" s="105">
        <v>20201118</v>
      </c>
    </row>
    <row r="129" ht="16" customHeight="1" spans="1:12">
      <c r="A129" s="2">
        <v>127</v>
      </c>
      <c r="B129" s="3" t="s">
        <v>12</v>
      </c>
      <c r="C129" s="6" t="s">
        <v>270</v>
      </c>
      <c r="D129" s="6" t="s">
        <v>271</v>
      </c>
      <c r="E129" s="130" t="s">
        <v>15</v>
      </c>
      <c r="F129" s="130" t="s">
        <v>15</v>
      </c>
      <c r="G129" s="277" t="s">
        <v>189</v>
      </c>
      <c r="H129" s="3">
        <v>200</v>
      </c>
      <c r="I129" s="3">
        <v>200</v>
      </c>
      <c r="J129" s="3"/>
      <c r="K129" s="130"/>
      <c r="L129" s="105">
        <v>20201118</v>
      </c>
    </row>
    <row r="130" ht="16" customHeight="1" spans="1:12">
      <c r="A130" s="2">
        <v>128</v>
      </c>
      <c r="B130" s="3" t="s">
        <v>12</v>
      </c>
      <c r="C130" s="6" t="s">
        <v>272</v>
      </c>
      <c r="D130" s="6" t="s">
        <v>273</v>
      </c>
      <c r="E130" s="130" t="s">
        <v>15</v>
      </c>
      <c r="F130" s="130" t="s">
        <v>15</v>
      </c>
      <c r="G130" s="277" t="s">
        <v>189</v>
      </c>
      <c r="H130" s="3">
        <v>200</v>
      </c>
      <c r="I130" s="3">
        <v>200</v>
      </c>
      <c r="J130" s="3"/>
      <c r="K130" s="130"/>
      <c r="L130" s="105">
        <v>20201118</v>
      </c>
    </row>
    <row r="131" ht="16" customHeight="1" spans="1:12">
      <c r="A131" s="2">
        <v>129</v>
      </c>
      <c r="B131" s="3" t="s">
        <v>12</v>
      </c>
      <c r="C131" s="6" t="s">
        <v>274</v>
      </c>
      <c r="D131" s="6" t="s">
        <v>275</v>
      </c>
      <c r="E131" s="130" t="s">
        <v>15</v>
      </c>
      <c r="F131" s="130" t="s">
        <v>15</v>
      </c>
      <c r="G131" s="277" t="s">
        <v>189</v>
      </c>
      <c r="H131" s="3">
        <v>200</v>
      </c>
      <c r="I131" s="3">
        <v>200</v>
      </c>
      <c r="J131" s="3"/>
      <c r="K131" s="130"/>
      <c r="L131" s="105">
        <v>20201118</v>
      </c>
    </row>
    <row r="132" ht="16" customHeight="1" spans="1:12">
      <c r="A132" s="2">
        <v>130</v>
      </c>
      <c r="B132" s="3" t="s">
        <v>12</v>
      </c>
      <c r="C132" s="6" t="s">
        <v>276</v>
      </c>
      <c r="D132" s="6" t="s">
        <v>277</v>
      </c>
      <c r="E132" s="130" t="s">
        <v>15</v>
      </c>
      <c r="F132" s="130" t="s">
        <v>15</v>
      </c>
      <c r="G132" s="277" t="s">
        <v>189</v>
      </c>
      <c r="H132" s="3">
        <v>200</v>
      </c>
      <c r="I132" s="3">
        <v>200</v>
      </c>
      <c r="J132" s="3"/>
      <c r="K132" s="130"/>
      <c r="L132" s="105">
        <v>20201118</v>
      </c>
    </row>
    <row r="133" ht="16" customHeight="1" spans="1:12">
      <c r="A133" s="2">
        <v>131</v>
      </c>
      <c r="B133" s="3" t="s">
        <v>12</v>
      </c>
      <c r="C133" s="6" t="s">
        <v>278</v>
      </c>
      <c r="D133" s="6" t="s">
        <v>279</v>
      </c>
      <c r="E133" s="130" t="s">
        <v>15</v>
      </c>
      <c r="F133" s="130" t="s">
        <v>15</v>
      </c>
      <c r="G133" s="277" t="s">
        <v>189</v>
      </c>
      <c r="H133" s="3">
        <v>200</v>
      </c>
      <c r="I133" s="3">
        <v>200</v>
      </c>
      <c r="J133" s="3"/>
      <c r="K133" s="130"/>
      <c r="L133" s="105">
        <v>20201118</v>
      </c>
    </row>
    <row r="134" ht="16" customHeight="1" spans="1:12">
      <c r="A134" s="2">
        <v>132</v>
      </c>
      <c r="B134" s="3" t="s">
        <v>12</v>
      </c>
      <c r="C134" s="3" t="s">
        <v>280</v>
      </c>
      <c r="D134" s="3" t="s">
        <v>281</v>
      </c>
      <c r="E134" s="130" t="s">
        <v>15</v>
      </c>
      <c r="F134" s="130" t="s">
        <v>15</v>
      </c>
      <c r="G134" s="277" t="s">
        <v>189</v>
      </c>
      <c r="H134" s="3">
        <v>200</v>
      </c>
      <c r="I134" s="3">
        <v>200</v>
      </c>
      <c r="J134" s="3"/>
      <c r="K134" s="130"/>
      <c r="L134" s="105">
        <v>20201118</v>
      </c>
    </row>
    <row r="135" ht="16" customHeight="1" spans="1:12">
      <c r="A135" s="2">
        <v>133</v>
      </c>
      <c r="B135" s="3" t="s">
        <v>12</v>
      </c>
      <c r="C135" s="3" t="s">
        <v>282</v>
      </c>
      <c r="D135" s="3" t="s">
        <v>283</v>
      </c>
      <c r="E135" s="130" t="s">
        <v>15</v>
      </c>
      <c r="F135" s="130" t="s">
        <v>15</v>
      </c>
      <c r="G135" s="277" t="s">
        <v>189</v>
      </c>
      <c r="H135" s="3">
        <v>200</v>
      </c>
      <c r="I135" s="3">
        <v>200</v>
      </c>
      <c r="J135" s="3"/>
      <c r="K135" s="130"/>
      <c r="L135" s="105">
        <v>20201118</v>
      </c>
    </row>
    <row r="136" ht="16" customHeight="1" spans="1:12">
      <c r="A136" s="2">
        <v>134</v>
      </c>
      <c r="B136" s="3" t="s">
        <v>12</v>
      </c>
      <c r="C136" s="3" t="s">
        <v>284</v>
      </c>
      <c r="D136" s="3" t="s">
        <v>285</v>
      </c>
      <c r="E136" s="130" t="s">
        <v>15</v>
      </c>
      <c r="F136" s="130" t="s">
        <v>15</v>
      </c>
      <c r="G136" s="277" t="s">
        <v>189</v>
      </c>
      <c r="H136" s="3">
        <v>200</v>
      </c>
      <c r="I136" s="3">
        <v>200</v>
      </c>
      <c r="J136" s="3"/>
      <c r="K136" s="130"/>
      <c r="L136" s="105">
        <v>20201118</v>
      </c>
    </row>
    <row r="137" ht="16" customHeight="1" spans="1:12">
      <c r="A137" s="2">
        <v>135</v>
      </c>
      <c r="B137" s="3" t="s">
        <v>12</v>
      </c>
      <c r="C137" s="3" t="s">
        <v>286</v>
      </c>
      <c r="D137" s="3" t="s">
        <v>287</v>
      </c>
      <c r="E137" s="278" t="s">
        <v>288</v>
      </c>
      <c r="F137" s="278" t="s">
        <v>15</v>
      </c>
      <c r="G137" s="278" t="s">
        <v>289</v>
      </c>
      <c r="H137" s="3">
        <v>200</v>
      </c>
      <c r="I137" s="3">
        <v>800</v>
      </c>
      <c r="J137" s="3"/>
      <c r="K137" s="130"/>
      <c r="L137" s="105">
        <v>20201118</v>
      </c>
    </row>
    <row r="138" ht="16" customHeight="1" spans="1:12">
      <c r="A138" s="2">
        <v>136</v>
      </c>
      <c r="B138" s="3" t="s">
        <v>12</v>
      </c>
      <c r="C138" s="3" t="s">
        <v>290</v>
      </c>
      <c r="D138" s="3" t="s">
        <v>291</v>
      </c>
      <c r="E138" s="278" t="s">
        <v>292</v>
      </c>
      <c r="F138" s="278" t="s">
        <v>15</v>
      </c>
      <c r="G138" s="278" t="s">
        <v>289</v>
      </c>
      <c r="H138" s="3">
        <v>200</v>
      </c>
      <c r="I138" s="3">
        <v>1000</v>
      </c>
      <c r="J138" s="3"/>
      <c r="K138" s="130"/>
      <c r="L138" s="105">
        <v>20201118</v>
      </c>
    </row>
    <row r="139" ht="16" customHeight="1" spans="1:12">
      <c r="A139" s="2">
        <v>137</v>
      </c>
      <c r="B139" s="3" t="s">
        <v>12</v>
      </c>
      <c r="C139" s="3" t="s">
        <v>293</v>
      </c>
      <c r="D139" s="3" t="s">
        <v>294</v>
      </c>
      <c r="E139" s="130" t="s">
        <v>15</v>
      </c>
      <c r="F139" s="130" t="s">
        <v>15</v>
      </c>
      <c r="G139" s="277" t="s">
        <v>295</v>
      </c>
      <c r="H139" s="3">
        <v>500</v>
      </c>
      <c r="I139" s="3">
        <v>500</v>
      </c>
      <c r="J139" s="3"/>
      <c r="K139" s="130"/>
      <c r="L139" s="105">
        <v>20201118</v>
      </c>
    </row>
    <row r="140" ht="16" customHeight="1" spans="1:12">
      <c r="A140" s="2">
        <v>138</v>
      </c>
      <c r="B140" s="3" t="s">
        <v>12</v>
      </c>
      <c r="C140" s="3" t="s">
        <v>296</v>
      </c>
      <c r="D140" s="3" t="s">
        <v>297</v>
      </c>
      <c r="E140" s="130" t="s">
        <v>15</v>
      </c>
      <c r="F140" s="130" t="s">
        <v>15</v>
      </c>
      <c r="G140" s="277" t="s">
        <v>295</v>
      </c>
      <c r="H140" s="3">
        <v>500</v>
      </c>
      <c r="I140" s="3">
        <v>500</v>
      </c>
      <c r="J140" s="3"/>
      <c r="K140" s="130"/>
      <c r="L140" s="105">
        <v>20201118</v>
      </c>
    </row>
    <row r="141" ht="16" customHeight="1" spans="1:12">
      <c r="A141" s="2">
        <v>139</v>
      </c>
      <c r="B141" s="3" t="s">
        <v>12</v>
      </c>
      <c r="C141" s="3" t="s">
        <v>298</v>
      </c>
      <c r="D141" s="3" t="s">
        <v>299</v>
      </c>
      <c r="E141" s="130" t="s">
        <v>15</v>
      </c>
      <c r="F141" s="130" t="s">
        <v>15</v>
      </c>
      <c r="G141" s="277" t="s">
        <v>295</v>
      </c>
      <c r="H141" s="3">
        <v>200</v>
      </c>
      <c r="I141" s="3">
        <v>200</v>
      </c>
      <c r="J141" s="3"/>
      <c r="K141" s="130"/>
      <c r="L141" s="105">
        <v>20201118</v>
      </c>
    </row>
    <row r="142" ht="16" customHeight="1" spans="1:12">
      <c r="A142" s="2">
        <v>140</v>
      </c>
      <c r="B142" s="3" t="s">
        <v>12</v>
      </c>
      <c r="C142" s="3" t="s">
        <v>300</v>
      </c>
      <c r="D142" s="3" t="s">
        <v>301</v>
      </c>
      <c r="E142" s="130" t="s">
        <v>15</v>
      </c>
      <c r="F142" s="130" t="s">
        <v>15</v>
      </c>
      <c r="G142" s="277" t="s">
        <v>295</v>
      </c>
      <c r="H142" s="3">
        <v>500</v>
      </c>
      <c r="I142" s="3">
        <v>500</v>
      </c>
      <c r="J142" s="3"/>
      <c r="K142" s="130"/>
      <c r="L142" s="105">
        <v>20201118</v>
      </c>
    </row>
    <row r="143" ht="16" customHeight="1" spans="1:12">
      <c r="A143" s="2">
        <v>141</v>
      </c>
      <c r="B143" s="3" t="s">
        <v>12</v>
      </c>
      <c r="C143" s="3" t="s">
        <v>302</v>
      </c>
      <c r="D143" s="3" t="s">
        <v>303</v>
      </c>
      <c r="E143" s="130" t="s">
        <v>15</v>
      </c>
      <c r="F143" s="130" t="s">
        <v>15</v>
      </c>
      <c r="G143" s="277" t="s">
        <v>295</v>
      </c>
      <c r="H143" s="3">
        <v>500</v>
      </c>
      <c r="I143" s="3">
        <v>500</v>
      </c>
      <c r="J143" s="3"/>
      <c r="K143" s="130"/>
      <c r="L143" s="105">
        <v>20201118</v>
      </c>
    </row>
    <row r="144" ht="16" customHeight="1" spans="1:12">
      <c r="A144" s="2">
        <v>142</v>
      </c>
      <c r="B144" s="3" t="s">
        <v>12</v>
      </c>
      <c r="C144" s="3" t="s">
        <v>304</v>
      </c>
      <c r="D144" s="3" t="s">
        <v>305</v>
      </c>
      <c r="E144" s="130" t="s">
        <v>15</v>
      </c>
      <c r="F144" s="130" t="s">
        <v>15</v>
      </c>
      <c r="G144" s="277" t="s">
        <v>295</v>
      </c>
      <c r="H144" s="3">
        <v>200</v>
      </c>
      <c r="I144" s="3">
        <v>200</v>
      </c>
      <c r="J144" s="3"/>
      <c r="K144" s="130"/>
      <c r="L144" s="105">
        <v>20201118</v>
      </c>
    </row>
    <row r="145" ht="16" customHeight="1" spans="1:12">
      <c r="A145" s="2">
        <v>143</v>
      </c>
      <c r="B145" s="3" t="s">
        <v>12</v>
      </c>
      <c r="C145" s="3" t="s">
        <v>306</v>
      </c>
      <c r="D145" s="3" t="s">
        <v>307</v>
      </c>
      <c r="E145" s="130" t="s">
        <v>15</v>
      </c>
      <c r="F145" s="130" t="s">
        <v>15</v>
      </c>
      <c r="G145" s="277" t="s">
        <v>295</v>
      </c>
      <c r="H145" s="3">
        <v>200</v>
      </c>
      <c r="I145" s="3">
        <v>200</v>
      </c>
      <c r="J145" s="3"/>
      <c r="K145" s="130"/>
      <c r="L145" s="105">
        <v>20201118</v>
      </c>
    </row>
    <row r="146" ht="16" customHeight="1" spans="1:12">
      <c r="A146" s="2">
        <v>144</v>
      </c>
      <c r="B146" s="3" t="s">
        <v>12</v>
      </c>
      <c r="C146" s="3" t="s">
        <v>308</v>
      </c>
      <c r="D146" s="3" t="s">
        <v>309</v>
      </c>
      <c r="E146" s="278" t="s">
        <v>310</v>
      </c>
      <c r="F146" s="278" t="s">
        <v>288</v>
      </c>
      <c r="G146" s="278" t="s">
        <v>289</v>
      </c>
      <c r="H146" s="3" t="s">
        <v>311</v>
      </c>
      <c r="I146" s="3">
        <v>1400</v>
      </c>
      <c r="J146" s="3"/>
      <c r="K146" s="130"/>
      <c r="L146" s="105">
        <v>20201118</v>
      </c>
    </row>
    <row r="147" ht="16" customHeight="1" spans="1:12">
      <c r="A147" s="3"/>
      <c r="B147" s="3"/>
      <c r="C147" s="3" t="s">
        <v>312</v>
      </c>
      <c r="D147" s="3"/>
      <c r="E147" s="3"/>
      <c r="F147" s="3"/>
      <c r="G147" s="3"/>
      <c r="H147" s="3" t="s">
        <v>313</v>
      </c>
      <c r="I147" s="3" t="s">
        <v>314</v>
      </c>
      <c r="J147" s="3"/>
      <c r="K147" s="279"/>
      <c r="L147" s="105"/>
    </row>
  </sheetData>
  <mergeCells count="2">
    <mergeCell ref="A1:K1"/>
    <mergeCell ref="E2:F2"/>
  </mergeCells>
  <pageMargins left="0.7" right="0.7" top="0.75" bottom="0.75" header="0.3" footer="0.3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3"/>
  <sheetViews>
    <sheetView topLeftCell="A266" workbookViewId="0">
      <selection activeCell="A3" sqref="A3:L302"/>
    </sheetView>
  </sheetViews>
  <sheetFormatPr defaultColWidth="9" defaultRowHeight="13.5"/>
  <cols>
    <col min="1" max="1" width="5.5" customWidth="1"/>
    <col min="2" max="2" width="10.125" customWidth="1"/>
    <col min="3" max="3" width="14" customWidth="1"/>
    <col min="4" max="4" width="22.5" customWidth="1"/>
    <col min="7" max="7" width="10.625" customWidth="1"/>
    <col min="10" max="10" width="14" customWidth="1"/>
    <col min="11" max="11" width="6.125" customWidth="1"/>
    <col min="12" max="12" width="11.75" customWidth="1"/>
  </cols>
  <sheetData>
    <row r="1" s="95" customFormat="1" ht="18.75" spans="1:11">
      <c r="A1" s="99" t="s">
        <v>6074</v>
      </c>
      <c r="B1" s="100"/>
      <c r="C1" s="100"/>
      <c r="D1" s="100"/>
      <c r="E1" s="100"/>
      <c r="F1" s="100"/>
      <c r="G1" s="101"/>
      <c r="H1" s="100"/>
      <c r="I1" s="100"/>
      <c r="J1" s="100"/>
      <c r="K1" s="100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03" t="s">
        <v>10</v>
      </c>
      <c r="L2" s="104" t="s">
        <v>11</v>
      </c>
    </row>
    <row r="3" ht="16" customHeight="1" spans="1:12">
      <c r="A3" s="109">
        <v>1</v>
      </c>
      <c r="B3" s="109" t="s">
        <v>6075</v>
      </c>
      <c r="C3" s="63" t="s">
        <v>6076</v>
      </c>
      <c r="D3" s="213" t="s">
        <v>6077</v>
      </c>
      <c r="E3" s="102" t="s">
        <v>15</v>
      </c>
      <c r="F3" s="102">
        <v>2020</v>
      </c>
      <c r="G3" s="109" t="s">
        <v>16</v>
      </c>
      <c r="H3" s="109">
        <v>200</v>
      </c>
      <c r="I3" s="109">
        <v>200</v>
      </c>
      <c r="J3" s="109" t="s">
        <v>108</v>
      </c>
      <c r="K3" s="104"/>
      <c r="L3" s="105">
        <v>20201118</v>
      </c>
    </row>
    <row r="4" ht="16" customHeight="1" spans="1:12">
      <c r="A4" s="109">
        <v>2</v>
      </c>
      <c r="B4" s="109" t="s">
        <v>6075</v>
      </c>
      <c r="C4" s="63" t="s">
        <v>6078</v>
      </c>
      <c r="D4" s="213" t="s">
        <v>6079</v>
      </c>
      <c r="E4" s="102" t="s">
        <v>15</v>
      </c>
      <c r="F4" s="102">
        <v>2020</v>
      </c>
      <c r="G4" s="109" t="s">
        <v>16</v>
      </c>
      <c r="H4" s="109">
        <v>500</v>
      </c>
      <c r="I4" s="109">
        <v>500</v>
      </c>
      <c r="J4" s="109"/>
      <c r="K4" s="104"/>
      <c r="L4" s="105">
        <v>20201118</v>
      </c>
    </row>
    <row r="5" ht="16" customHeight="1" spans="1:12">
      <c r="A5" s="109">
        <v>3</v>
      </c>
      <c r="B5" s="109" t="s">
        <v>6075</v>
      </c>
      <c r="C5" s="63" t="s">
        <v>6080</v>
      </c>
      <c r="D5" s="213" t="s">
        <v>6081</v>
      </c>
      <c r="E5" s="102" t="s">
        <v>15</v>
      </c>
      <c r="F5" s="102">
        <v>2020</v>
      </c>
      <c r="G5" s="109" t="s">
        <v>16</v>
      </c>
      <c r="H5" s="109">
        <v>500</v>
      </c>
      <c r="I5" s="109">
        <v>500</v>
      </c>
      <c r="J5" s="109"/>
      <c r="K5" s="104"/>
      <c r="L5" s="105">
        <v>20201118</v>
      </c>
    </row>
    <row r="6" ht="16" customHeight="1" spans="1:12">
      <c r="A6" s="109">
        <v>4</v>
      </c>
      <c r="B6" s="109" t="s">
        <v>6075</v>
      </c>
      <c r="C6" s="63" t="s">
        <v>6082</v>
      </c>
      <c r="D6" s="213" t="s">
        <v>6083</v>
      </c>
      <c r="E6" s="102" t="s">
        <v>15</v>
      </c>
      <c r="F6" s="102">
        <v>2020</v>
      </c>
      <c r="G6" s="109" t="s">
        <v>16</v>
      </c>
      <c r="H6" s="109">
        <v>200</v>
      </c>
      <c r="I6" s="109">
        <v>200</v>
      </c>
      <c r="J6" s="109"/>
      <c r="K6" s="104"/>
      <c r="L6" s="105">
        <v>20201118</v>
      </c>
    </row>
    <row r="7" ht="16" customHeight="1" spans="1:12">
      <c r="A7" s="109">
        <v>5</v>
      </c>
      <c r="B7" s="109" t="s">
        <v>6075</v>
      </c>
      <c r="C7" s="63" t="s">
        <v>6084</v>
      </c>
      <c r="D7" s="213" t="s">
        <v>6085</v>
      </c>
      <c r="E7" s="102" t="s">
        <v>15</v>
      </c>
      <c r="F7" s="102">
        <v>2020</v>
      </c>
      <c r="G7" s="109" t="s">
        <v>16</v>
      </c>
      <c r="H7" s="109">
        <v>200</v>
      </c>
      <c r="I7" s="109">
        <v>200</v>
      </c>
      <c r="J7" s="109" t="s">
        <v>108</v>
      </c>
      <c r="K7" s="104"/>
      <c r="L7" s="105">
        <v>20201118</v>
      </c>
    </row>
    <row r="8" ht="16" customHeight="1" spans="1:12">
      <c r="A8" s="109">
        <v>6</v>
      </c>
      <c r="B8" s="109" t="s">
        <v>6075</v>
      </c>
      <c r="C8" s="63" t="s">
        <v>6086</v>
      </c>
      <c r="D8" s="213" t="s">
        <v>6087</v>
      </c>
      <c r="E8" s="102" t="s">
        <v>15</v>
      </c>
      <c r="F8" s="102">
        <v>2020</v>
      </c>
      <c r="G8" s="109" t="s">
        <v>16</v>
      </c>
      <c r="H8" s="109">
        <v>200</v>
      </c>
      <c r="I8" s="109">
        <v>200</v>
      </c>
      <c r="J8" s="109" t="s">
        <v>108</v>
      </c>
      <c r="K8" s="104"/>
      <c r="L8" s="105">
        <v>20201118</v>
      </c>
    </row>
    <row r="9" ht="16" customHeight="1" spans="1:12">
      <c r="A9" s="109">
        <v>7</v>
      </c>
      <c r="B9" s="109" t="s">
        <v>6075</v>
      </c>
      <c r="C9" s="63" t="s">
        <v>6088</v>
      </c>
      <c r="D9" s="213" t="s">
        <v>6089</v>
      </c>
      <c r="E9" s="102" t="s">
        <v>15</v>
      </c>
      <c r="F9" s="102">
        <v>2020</v>
      </c>
      <c r="G9" s="109" t="s">
        <v>16</v>
      </c>
      <c r="H9" s="109">
        <v>200</v>
      </c>
      <c r="I9" s="109">
        <v>200</v>
      </c>
      <c r="J9" s="109" t="s">
        <v>108</v>
      </c>
      <c r="K9" s="104"/>
      <c r="L9" s="105">
        <v>20201118</v>
      </c>
    </row>
    <row r="10" ht="16" customHeight="1" spans="1:12">
      <c r="A10" s="109">
        <v>8</v>
      </c>
      <c r="B10" s="109" t="s">
        <v>6075</v>
      </c>
      <c r="C10" s="63" t="s">
        <v>6090</v>
      </c>
      <c r="D10" s="213" t="s">
        <v>6091</v>
      </c>
      <c r="E10" s="102" t="s">
        <v>15</v>
      </c>
      <c r="F10" s="102">
        <v>2020</v>
      </c>
      <c r="G10" s="109" t="s">
        <v>16</v>
      </c>
      <c r="H10" s="109">
        <v>200</v>
      </c>
      <c r="I10" s="109">
        <v>200</v>
      </c>
      <c r="J10" s="109"/>
      <c r="K10" s="104"/>
      <c r="L10" s="105">
        <v>20201118</v>
      </c>
    </row>
    <row r="11" ht="16" customHeight="1" spans="1:12">
      <c r="A11" s="109">
        <v>9</v>
      </c>
      <c r="B11" s="109" t="s">
        <v>6075</v>
      </c>
      <c r="C11" s="214" t="s">
        <v>6092</v>
      </c>
      <c r="D11" s="215" t="s">
        <v>6093</v>
      </c>
      <c r="E11" s="102" t="s">
        <v>15</v>
      </c>
      <c r="F11" s="102">
        <v>2020</v>
      </c>
      <c r="G11" s="109" t="s">
        <v>16</v>
      </c>
      <c r="H11" s="109">
        <v>200</v>
      </c>
      <c r="I11" s="109">
        <v>200</v>
      </c>
      <c r="J11" s="109"/>
      <c r="K11" s="104"/>
      <c r="L11" s="105">
        <v>20201118</v>
      </c>
    </row>
    <row r="12" ht="16" customHeight="1" spans="1:12">
      <c r="A12" s="109">
        <v>10</v>
      </c>
      <c r="B12" s="109" t="s">
        <v>6075</v>
      </c>
      <c r="C12" s="214" t="s">
        <v>6094</v>
      </c>
      <c r="D12" s="215" t="s">
        <v>6095</v>
      </c>
      <c r="E12" s="102" t="s">
        <v>15</v>
      </c>
      <c r="F12" s="102">
        <v>2020</v>
      </c>
      <c r="G12" s="109" t="s">
        <v>16</v>
      </c>
      <c r="H12" s="109">
        <v>200</v>
      </c>
      <c r="I12" s="109">
        <v>200</v>
      </c>
      <c r="J12" s="109"/>
      <c r="K12" s="104"/>
      <c r="L12" s="105">
        <v>20201118</v>
      </c>
    </row>
    <row r="13" ht="16" customHeight="1" spans="1:12">
      <c r="A13" s="109">
        <v>11</v>
      </c>
      <c r="B13" s="109" t="s">
        <v>6075</v>
      </c>
      <c r="C13" s="214" t="s">
        <v>5916</v>
      </c>
      <c r="D13" s="215" t="s">
        <v>6096</v>
      </c>
      <c r="E13" s="102" t="s">
        <v>15</v>
      </c>
      <c r="F13" s="102">
        <v>2020</v>
      </c>
      <c r="G13" s="109" t="s">
        <v>16</v>
      </c>
      <c r="H13" s="109">
        <v>200</v>
      </c>
      <c r="I13" s="109">
        <v>200</v>
      </c>
      <c r="J13" s="109" t="s">
        <v>6097</v>
      </c>
      <c r="K13" s="104"/>
      <c r="L13" s="105">
        <v>20201118</v>
      </c>
    </row>
    <row r="14" ht="16" customHeight="1" spans="1:12">
      <c r="A14" s="109">
        <v>12</v>
      </c>
      <c r="B14" s="109" t="s">
        <v>6075</v>
      </c>
      <c r="C14" s="214" t="s">
        <v>6098</v>
      </c>
      <c r="D14" s="215" t="s">
        <v>6099</v>
      </c>
      <c r="E14" s="102" t="s">
        <v>15</v>
      </c>
      <c r="F14" s="102">
        <v>2020</v>
      </c>
      <c r="G14" s="109" t="s">
        <v>16</v>
      </c>
      <c r="H14" s="109">
        <v>200</v>
      </c>
      <c r="I14" s="109">
        <v>200</v>
      </c>
      <c r="J14" s="109" t="s">
        <v>6097</v>
      </c>
      <c r="K14" s="104"/>
      <c r="L14" s="105">
        <v>20201118</v>
      </c>
    </row>
    <row r="15" ht="16" customHeight="1" spans="1:12">
      <c r="A15" s="109">
        <v>13</v>
      </c>
      <c r="B15" s="109" t="s">
        <v>6075</v>
      </c>
      <c r="C15" s="214" t="s">
        <v>6100</v>
      </c>
      <c r="D15" s="215" t="s">
        <v>6101</v>
      </c>
      <c r="E15" s="102" t="s">
        <v>15</v>
      </c>
      <c r="F15" s="102">
        <v>2020</v>
      </c>
      <c r="G15" s="109" t="s">
        <v>16</v>
      </c>
      <c r="H15" s="109">
        <v>200</v>
      </c>
      <c r="I15" s="109">
        <v>200</v>
      </c>
      <c r="J15" s="109"/>
      <c r="K15" s="104"/>
      <c r="L15" s="105">
        <v>20201118</v>
      </c>
    </row>
    <row r="16" ht="16" customHeight="1" spans="1:12">
      <c r="A16" s="109">
        <v>14</v>
      </c>
      <c r="B16" s="109" t="s">
        <v>6075</v>
      </c>
      <c r="C16" s="214" t="s">
        <v>6102</v>
      </c>
      <c r="D16" s="215" t="s">
        <v>6103</v>
      </c>
      <c r="E16" s="102" t="s">
        <v>15</v>
      </c>
      <c r="F16" s="102">
        <v>2020</v>
      </c>
      <c r="G16" s="109" t="s">
        <v>16</v>
      </c>
      <c r="H16" s="109">
        <v>200</v>
      </c>
      <c r="I16" s="109">
        <v>200</v>
      </c>
      <c r="J16" s="109"/>
      <c r="K16" s="104"/>
      <c r="L16" s="105">
        <v>20201118</v>
      </c>
    </row>
    <row r="17" ht="16" customHeight="1" spans="1:12">
      <c r="A17" s="109">
        <v>15</v>
      </c>
      <c r="B17" s="109" t="s">
        <v>6075</v>
      </c>
      <c r="C17" s="214" t="s">
        <v>6104</v>
      </c>
      <c r="D17" s="215" t="s">
        <v>6105</v>
      </c>
      <c r="E17" s="102" t="s">
        <v>15</v>
      </c>
      <c r="F17" s="102">
        <v>2020</v>
      </c>
      <c r="G17" s="109" t="s">
        <v>16</v>
      </c>
      <c r="H17" s="109">
        <v>200</v>
      </c>
      <c r="I17" s="109">
        <v>200</v>
      </c>
      <c r="J17" s="109" t="s">
        <v>6097</v>
      </c>
      <c r="K17" s="104"/>
      <c r="L17" s="105">
        <v>20201118</v>
      </c>
    </row>
    <row r="18" ht="16" customHeight="1" spans="1:12">
      <c r="A18" s="109">
        <v>16</v>
      </c>
      <c r="B18" s="109" t="s">
        <v>6075</v>
      </c>
      <c r="C18" s="214" t="s">
        <v>6106</v>
      </c>
      <c r="D18" s="215" t="s">
        <v>6107</v>
      </c>
      <c r="E18" s="102" t="s">
        <v>15</v>
      </c>
      <c r="F18" s="102">
        <v>2020</v>
      </c>
      <c r="G18" s="109" t="s">
        <v>16</v>
      </c>
      <c r="H18" s="109">
        <v>200</v>
      </c>
      <c r="I18" s="109">
        <v>200</v>
      </c>
      <c r="J18" s="109" t="s">
        <v>6097</v>
      </c>
      <c r="K18" s="104"/>
      <c r="L18" s="105">
        <v>20201118</v>
      </c>
    </row>
    <row r="19" ht="16" customHeight="1" spans="1:12">
      <c r="A19" s="109">
        <v>17</v>
      </c>
      <c r="B19" s="109" t="s">
        <v>6075</v>
      </c>
      <c r="C19" s="214" t="s">
        <v>6108</v>
      </c>
      <c r="D19" s="215" t="s">
        <v>6109</v>
      </c>
      <c r="E19" s="102" t="s">
        <v>15</v>
      </c>
      <c r="F19" s="102">
        <v>2020</v>
      </c>
      <c r="G19" s="109" t="s">
        <v>16</v>
      </c>
      <c r="H19" s="109">
        <v>200</v>
      </c>
      <c r="I19" s="109">
        <v>200</v>
      </c>
      <c r="J19" s="109"/>
      <c r="K19" s="104"/>
      <c r="L19" s="105">
        <v>20201118</v>
      </c>
    </row>
    <row r="20" ht="16" customHeight="1" spans="1:12">
      <c r="A20" s="109">
        <v>18</v>
      </c>
      <c r="B20" s="109" t="s">
        <v>6075</v>
      </c>
      <c r="C20" s="214" t="s">
        <v>6110</v>
      </c>
      <c r="D20" s="215" t="s">
        <v>6111</v>
      </c>
      <c r="E20" s="102" t="s">
        <v>15</v>
      </c>
      <c r="F20" s="102">
        <v>2020</v>
      </c>
      <c r="G20" s="109" t="s">
        <v>16</v>
      </c>
      <c r="H20" s="109">
        <v>200</v>
      </c>
      <c r="I20" s="109">
        <v>200</v>
      </c>
      <c r="J20" s="109"/>
      <c r="K20" s="104"/>
      <c r="L20" s="105">
        <v>20201118</v>
      </c>
    </row>
    <row r="21" ht="16" customHeight="1" spans="1:12">
      <c r="A21" s="109">
        <v>19</v>
      </c>
      <c r="B21" s="109" t="s">
        <v>6075</v>
      </c>
      <c r="C21" s="214" t="s">
        <v>6112</v>
      </c>
      <c r="D21" s="215" t="s">
        <v>6113</v>
      </c>
      <c r="E21" s="102" t="s">
        <v>15</v>
      </c>
      <c r="F21" s="102">
        <v>2020</v>
      </c>
      <c r="G21" s="109" t="s">
        <v>16</v>
      </c>
      <c r="H21" s="109">
        <v>200</v>
      </c>
      <c r="I21" s="109">
        <v>200</v>
      </c>
      <c r="J21" s="109"/>
      <c r="K21" s="104"/>
      <c r="L21" s="105">
        <v>20201118</v>
      </c>
    </row>
    <row r="22" ht="16" customHeight="1" spans="1:12">
      <c r="A22" s="109">
        <v>20</v>
      </c>
      <c r="B22" s="109" t="s">
        <v>6075</v>
      </c>
      <c r="C22" s="214" t="s">
        <v>6114</v>
      </c>
      <c r="D22" s="215" t="s">
        <v>6115</v>
      </c>
      <c r="E22" s="102" t="s">
        <v>15</v>
      </c>
      <c r="F22" s="102">
        <v>2020</v>
      </c>
      <c r="G22" s="109" t="s">
        <v>16</v>
      </c>
      <c r="H22" s="109">
        <v>200</v>
      </c>
      <c r="I22" s="109">
        <v>200</v>
      </c>
      <c r="J22" s="109"/>
      <c r="K22" s="104"/>
      <c r="L22" s="105">
        <v>20201118</v>
      </c>
    </row>
    <row r="23" ht="16" customHeight="1" spans="1:12">
      <c r="A23" s="109">
        <v>21</v>
      </c>
      <c r="B23" s="109" t="s">
        <v>6075</v>
      </c>
      <c r="C23" s="214" t="s">
        <v>6116</v>
      </c>
      <c r="D23" s="215" t="s">
        <v>6117</v>
      </c>
      <c r="E23" s="102" t="s">
        <v>15</v>
      </c>
      <c r="F23" s="102">
        <v>2020</v>
      </c>
      <c r="G23" s="109" t="s">
        <v>16</v>
      </c>
      <c r="H23" s="109">
        <v>200</v>
      </c>
      <c r="I23" s="109">
        <v>200</v>
      </c>
      <c r="J23" s="109"/>
      <c r="K23" s="104"/>
      <c r="L23" s="105">
        <v>20201118</v>
      </c>
    </row>
    <row r="24" ht="16" customHeight="1" spans="1:12">
      <c r="A24" s="109">
        <v>22</v>
      </c>
      <c r="B24" s="109" t="s">
        <v>6075</v>
      </c>
      <c r="C24" s="214" t="s">
        <v>6118</v>
      </c>
      <c r="D24" s="215" t="s">
        <v>6119</v>
      </c>
      <c r="E24" s="102" t="s">
        <v>15</v>
      </c>
      <c r="F24" s="102">
        <v>2020</v>
      </c>
      <c r="G24" s="109" t="s">
        <v>16</v>
      </c>
      <c r="H24" s="109">
        <v>200</v>
      </c>
      <c r="I24" s="109">
        <v>200</v>
      </c>
      <c r="J24" s="109"/>
      <c r="K24" s="104"/>
      <c r="L24" s="105">
        <v>20201118</v>
      </c>
    </row>
    <row r="25" ht="16" customHeight="1" spans="1:12">
      <c r="A25" s="109">
        <v>23</v>
      </c>
      <c r="B25" s="109" t="s">
        <v>6075</v>
      </c>
      <c r="C25" s="214" t="s">
        <v>6120</v>
      </c>
      <c r="D25" s="215" t="s">
        <v>6121</v>
      </c>
      <c r="E25" s="102" t="s">
        <v>15</v>
      </c>
      <c r="F25" s="102">
        <v>2020</v>
      </c>
      <c r="G25" s="109" t="s">
        <v>16</v>
      </c>
      <c r="H25" s="109">
        <v>200</v>
      </c>
      <c r="I25" s="109">
        <v>200</v>
      </c>
      <c r="J25" s="109" t="s">
        <v>6097</v>
      </c>
      <c r="K25" s="104"/>
      <c r="L25" s="105">
        <v>20201118</v>
      </c>
    </row>
    <row r="26" ht="16" customHeight="1" spans="1:12">
      <c r="A26" s="109">
        <v>24</v>
      </c>
      <c r="B26" s="109" t="s">
        <v>6075</v>
      </c>
      <c r="C26" s="214" t="s">
        <v>6122</v>
      </c>
      <c r="D26" s="215" t="s">
        <v>6123</v>
      </c>
      <c r="E26" s="102" t="s">
        <v>15</v>
      </c>
      <c r="F26" s="102">
        <v>2020</v>
      </c>
      <c r="G26" s="109" t="s">
        <v>16</v>
      </c>
      <c r="H26" s="109">
        <v>200</v>
      </c>
      <c r="I26" s="109">
        <v>200</v>
      </c>
      <c r="J26" s="109" t="s">
        <v>6097</v>
      </c>
      <c r="K26" s="104"/>
      <c r="L26" s="105">
        <v>20201118</v>
      </c>
    </row>
    <row r="27" ht="16" customHeight="1" spans="1:12">
      <c r="A27" s="109">
        <v>25</v>
      </c>
      <c r="B27" s="109" t="s">
        <v>6075</v>
      </c>
      <c r="C27" s="214" t="s">
        <v>6124</v>
      </c>
      <c r="D27" s="215" t="s">
        <v>6125</v>
      </c>
      <c r="E27" s="102" t="s">
        <v>15</v>
      </c>
      <c r="F27" s="102">
        <v>2020</v>
      </c>
      <c r="G27" s="109" t="s">
        <v>16</v>
      </c>
      <c r="H27" s="109">
        <v>200</v>
      </c>
      <c r="I27" s="109">
        <v>200</v>
      </c>
      <c r="J27" s="109"/>
      <c r="K27" s="104"/>
      <c r="L27" s="105">
        <v>20201118</v>
      </c>
    </row>
    <row r="28" ht="16" customHeight="1" spans="1:12">
      <c r="A28" s="109">
        <v>26</v>
      </c>
      <c r="B28" s="109" t="s">
        <v>6075</v>
      </c>
      <c r="C28" s="214" t="s">
        <v>374</v>
      </c>
      <c r="D28" s="215" t="s">
        <v>6126</v>
      </c>
      <c r="E28" s="102" t="s">
        <v>15</v>
      </c>
      <c r="F28" s="102">
        <v>2020</v>
      </c>
      <c r="G28" s="109" t="s">
        <v>16</v>
      </c>
      <c r="H28" s="109">
        <v>200</v>
      </c>
      <c r="I28" s="109">
        <v>200</v>
      </c>
      <c r="J28" s="109" t="s">
        <v>6097</v>
      </c>
      <c r="K28" s="104"/>
      <c r="L28" s="105">
        <v>20201118</v>
      </c>
    </row>
    <row r="29" ht="16" customHeight="1" spans="1:12">
      <c r="A29" s="109">
        <v>27</v>
      </c>
      <c r="B29" s="109" t="s">
        <v>6075</v>
      </c>
      <c r="C29" s="214" t="s">
        <v>6127</v>
      </c>
      <c r="D29" s="215" t="s">
        <v>6128</v>
      </c>
      <c r="E29" s="102" t="s">
        <v>15</v>
      </c>
      <c r="F29" s="102">
        <v>2020</v>
      </c>
      <c r="G29" s="109" t="s">
        <v>16</v>
      </c>
      <c r="H29" s="109">
        <v>200</v>
      </c>
      <c r="I29" s="109">
        <v>200</v>
      </c>
      <c r="J29" s="109" t="s">
        <v>108</v>
      </c>
      <c r="K29" s="104"/>
      <c r="L29" s="105">
        <v>20201118</v>
      </c>
    </row>
    <row r="30" ht="16" customHeight="1" spans="1:12">
      <c r="A30" s="109">
        <v>28</v>
      </c>
      <c r="B30" s="109" t="s">
        <v>6075</v>
      </c>
      <c r="C30" s="214" t="s">
        <v>6129</v>
      </c>
      <c r="D30" s="215" t="s">
        <v>6130</v>
      </c>
      <c r="E30" s="102" t="s">
        <v>15</v>
      </c>
      <c r="F30" s="102">
        <v>2020</v>
      </c>
      <c r="G30" s="109" t="s">
        <v>16</v>
      </c>
      <c r="H30" s="109">
        <v>200</v>
      </c>
      <c r="I30" s="109">
        <v>200</v>
      </c>
      <c r="J30" s="109"/>
      <c r="K30" s="104"/>
      <c r="L30" s="105">
        <v>20201118</v>
      </c>
    </row>
    <row r="31" ht="16" customHeight="1" spans="1:12">
      <c r="A31" s="109">
        <v>29</v>
      </c>
      <c r="B31" s="109" t="s">
        <v>6075</v>
      </c>
      <c r="C31" s="214" t="s">
        <v>6131</v>
      </c>
      <c r="D31" s="215" t="s">
        <v>6132</v>
      </c>
      <c r="E31" s="102" t="s">
        <v>15</v>
      </c>
      <c r="F31" s="102">
        <v>2020</v>
      </c>
      <c r="G31" s="109" t="s">
        <v>16</v>
      </c>
      <c r="H31" s="109">
        <v>200</v>
      </c>
      <c r="I31" s="109">
        <v>200</v>
      </c>
      <c r="J31" s="109"/>
      <c r="K31" s="104"/>
      <c r="L31" s="105">
        <v>20201118</v>
      </c>
    </row>
    <row r="32" ht="16" customHeight="1" spans="1:12">
      <c r="A32" s="109">
        <v>30</v>
      </c>
      <c r="B32" s="109" t="s">
        <v>6075</v>
      </c>
      <c r="C32" s="214" t="s">
        <v>6133</v>
      </c>
      <c r="D32" s="215" t="s">
        <v>6134</v>
      </c>
      <c r="E32" s="102" t="s">
        <v>15</v>
      </c>
      <c r="F32" s="102">
        <v>2020</v>
      </c>
      <c r="G32" s="109" t="s">
        <v>16</v>
      </c>
      <c r="H32" s="109">
        <v>200</v>
      </c>
      <c r="I32" s="109">
        <v>200</v>
      </c>
      <c r="J32" s="109"/>
      <c r="K32" s="104"/>
      <c r="L32" s="105">
        <v>20201118</v>
      </c>
    </row>
    <row r="33" ht="16" customHeight="1" spans="1:12">
      <c r="A33" s="109">
        <v>31</v>
      </c>
      <c r="B33" s="109" t="s">
        <v>6075</v>
      </c>
      <c r="C33" s="214" t="s">
        <v>6135</v>
      </c>
      <c r="D33" s="215" t="s">
        <v>6136</v>
      </c>
      <c r="E33" s="102" t="s">
        <v>15</v>
      </c>
      <c r="F33" s="102">
        <v>2020</v>
      </c>
      <c r="G33" s="109" t="s">
        <v>16</v>
      </c>
      <c r="H33" s="109">
        <v>200</v>
      </c>
      <c r="I33" s="109">
        <v>200</v>
      </c>
      <c r="J33" s="109"/>
      <c r="K33" s="104"/>
      <c r="L33" s="105">
        <v>20201118</v>
      </c>
    </row>
    <row r="34" ht="16" customHeight="1" spans="1:12">
      <c r="A34" s="109">
        <v>32</v>
      </c>
      <c r="B34" s="109" t="s">
        <v>6075</v>
      </c>
      <c r="C34" s="214" t="s">
        <v>6137</v>
      </c>
      <c r="D34" s="215" t="s">
        <v>6138</v>
      </c>
      <c r="E34" s="102" t="s">
        <v>15</v>
      </c>
      <c r="F34" s="102">
        <v>2020</v>
      </c>
      <c r="G34" s="109" t="s">
        <v>16</v>
      </c>
      <c r="H34" s="109">
        <v>200</v>
      </c>
      <c r="I34" s="109">
        <v>200</v>
      </c>
      <c r="J34" s="109"/>
      <c r="K34" s="104"/>
      <c r="L34" s="105">
        <v>20201118</v>
      </c>
    </row>
    <row r="35" ht="16" customHeight="1" spans="1:12">
      <c r="A35" s="109">
        <v>33</v>
      </c>
      <c r="B35" s="109" t="s">
        <v>6075</v>
      </c>
      <c r="C35" s="214" t="s">
        <v>5681</v>
      </c>
      <c r="D35" s="215" t="s">
        <v>6139</v>
      </c>
      <c r="E35" s="102" t="s">
        <v>15</v>
      </c>
      <c r="F35" s="102">
        <v>2020</v>
      </c>
      <c r="G35" s="109" t="s">
        <v>16</v>
      </c>
      <c r="H35" s="109">
        <v>200</v>
      </c>
      <c r="I35" s="109">
        <v>200</v>
      </c>
      <c r="J35" s="109"/>
      <c r="K35" s="104"/>
      <c r="L35" s="105">
        <v>20201118</v>
      </c>
    </row>
    <row r="36" ht="16" customHeight="1" spans="1:12">
      <c r="A36" s="109">
        <v>34</v>
      </c>
      <c r="B36" s="109" t="s">
        <v>6075</v>
      </c>
      <c r="C36" s="214" t="s">
        <v>6140</v>
      </c>
      <c r="D36" s="215" t="s">
        <v>6141</v>
      </c>
      <c r="E36" s="102" t="s">
        <v>15</v>
      </c>
      <c r="F36" s="102">
        <v>2020</v>
      </c>
      <c r="G36" s="109" t="s">
        <v>16</v>
      </c>
      <c r="H36" s="109">
        <v>200</v>
      </c>
      <c r="I36" s="109">
        <v>200</v>
      </c>
      <c r="J36" s="109" t="s">
        <v>108</v>
      </c>
      <c r="K36" s="104"/>
      <c r="L36" s="105">
        <v>20201118</v>
      </c>
    </row>
    <row r="37" ht="16" customHeight="1" spans="1:12">
      <c r="A37" s="109">
        <v>35</v>
      </c>
      <c r="B37" s="109" t="s">
        <v>6075</v>
      </c>
      <c r="C37" s="214" t="s">
        <v>6142</v>
      </c>
      <c r="D37" s="215" t="s">
        <v>6143</v>
      </c>
      <c r="E37" s="102" t="s">
        <v>15</v>
      </c>
      <c r="F37" s="102">
        <v>2020</v>
      </c>
      <c r="G37" s="109" t="s">
        <v>16</v>
      </c>
      <c r="H37" s="109">
        <v>200</v>
      </c>
      <c r="I37" s="109">
        <v>200</v>
      </c>
      <c r="J37" s="109" t="s">
        <v>6097</v>
      </c>
      <c r="K37" s="104"/>
      <c r="L37" s="105">
        <v>20201118</v>
      </c>
    </row>
    <row r="38" ht="16" customHeight="1" spans="1:12">
      <c r="A38" s="109">
        <v>36</v>
      </c>
      <c r="B38" s="109" t="s">
        <v>6075</v>
      </c>
      <c r="C38" s="214" t="s">
        <v>6144</v>
      </c>
      <c r="D38" s="215" t="s">
        <v>6145</v>
      </c>
      <c r="E38" s="102" t="s">
        <v>15</v>
      </c>
      <c r="F38" s="102">
        <v>2020</v>
      </c>
      <c r="G38" s="109" t="s">
        <v>16</v>
      </c>
      <c r="H38" s="109">
        <v>200</v>
      </c>
      <c r="I38" s="109">
        <v>200</v>
      </c>
      <c r="J38" s="109" t="s">
        <v>6097</v>
      </c>
      <c r="K38" s="104"/>
      <c r="L38" s="105">
        <v>20201118</v>
      </c>
    </row>
    <row r="39" ht="16" customHeight="1" spans="1:12">
      <c r="A39" s="109">
        <v>37</v>
      </c>
      <c r="B39" s="109" t="s">
        <v>6075</v>
      </c>
      <c r="C39" s="214" t="s">
        <v>6146</v>
      </c>
      <c r="D39" s="215" t="s">
        <v>6147</v>
      </c>
      <c r="E39" s="102" t="s">
        <v>15</v>
      </c>
      <c r="F39" s="102">
        <v>2020</v>
      </c>
      <c r="G39" s="109" t="s">
        <v>16</v>
      </c>
      <c r="H39" s="109">
        <v>200</v>
      </c>
      <c r="I39" s="109">
        <v>200</v>
      </c>
      <c r="J39" s="109"/>
      <c r="K39" s="104"/>
      <c r="L39" s="105">
        <v>20201118</v>
      </c>
    </row>
    <row r="40" ht="16" customHeight="1" spans="1:12">
      <c r="A40" s="109">
        <v>38</v>
      </c>
      <c r="B40" s="109" t="s">
        <v>6075</v>
      </c>
      <c r="C40" s="214" t="s">
        <v>6148</v>
      </c>
      <c r="D40" s="215" t="s">
        <v>6149</v>
      </c>
      <c r="E40" s="102" t="s">
        <v>15</v>
      </c>
      <c r="F40" s="102">
        <v>2020</v>
      </c>
      <c r="G40" s="109" t="s">
        <v>16</v>
      </c>
      <c r="H40" s="109">
        <v>200</v>
      </c>
      <c r="I40" s="109">
        <v>200</v>
      </c>
      <c r="J40" s="109"/>
      <c r="K40" s="104"/>
      <c r="L40" s="105">
        <v>20201118</v>
      </c>
    </row>
    <row r="41" ht="16" customHeight="1" spans="1:12">
      <c r="A41" s="109">
        <v>39</v>
      </c>
      <c r="B41" s="109" t="s">
        <v>6075</v>
      </c>
      <c r="C41" s="214" t="s">
        <v>6150</v>
      </c>
      <c r="D41" s="215" t="s">
        <v>6151</v>
      </c>
      <c r="E41" s="102" t="s">
        <v>15</v>
      </c>
      <c r="F41" s="102">
        <v>2020</v>
      </c>
      <c r="G41" s="109" t="s">
        <v>16</v>
      </c>
      <c r="H41" s="109">
        <v>200</v>
      </c>
      <c r="I41" s="109">
        <v>200</v>
      </c>
      <c r="J41" s="109"/>
      <c r="K41" s="104"/>
      <c r="L41" s="105">
        <v>20201118</v>
      </c>
    </row>
    <row r="42" ht="16" customHeight="1" spans="1:12">
      <c r="A42" s="109">
        <v>40</v>
      </c>
      <c r="B42" s="109" t="s">
        <v>6075</v>
      </c>
      <c r="C42" s="214" t="s">
        <v>845</v>
      </c>
      <c r="D42" s="215" t="s">
        <v>6152</v>
      </c>
      <c r="E42" s="102" t="s">
        <v>15</v>
      </c>
      <c r="F42" s="102">
        <v>2020</v>
      </c>
      <c r="G42" s="109" t="s">
        <v>16</v>
      </c>
      <c r="H42" s="109">
        <v>200</v>
      </c>
      <c r="I42" s="109">
        <v>200</v>
      </c>
      <c r="J42" s="109"/>
      <c r="K42" s="104"/>
      <c r="L42" s="105">
        <v>20201118</v>
      </c>
    </row>
    <row r="43" ht="16" customHeight="1" spans="1:12">
      <c r="A43" s="109">
        <v>41</v>
      </c>
      <c r="B43" s="109" t="s">
        <v>6075</v>
      </c>
      <c r="C43" s="214" t="s">
        <v>6153</v>
      </c>
      <c r="D43" s="215" t="s">
        <v>6154</v>
      </c>
      <c r="E43" s="102" t="s">
        <v>15</v>
      </c>
      <c r="F43" s="102">
        <v>2020</v>
      </c>
      <c r="G43" s="109" t="s">
        <v>16</v>
      </c>
      <c r="H43" s="109">
        <v>200</v>
      </c>
      <c r="I43" s="109">
        <v>200</v>
      </c>
      <c r="J43" s="109"/>
      <c r="K43" s="104"/>
      <c r="L43" s="105">
        <v>20201118</v>
      </c>
    </row>
    <row r="44" ht="16" customHeight="1" spans="1:12">
      <c r="A44" s="109">
        <v>42</v>
      </c>
      <c r="B44" s="109" t="s">
        <v>6075</v>
      </c>
      <c r="C44" s="214" t="s">
        <v>6155</v>
      </c>
      <c r="D44" s="215" t="s">
        <v>6156</v>
      </c>
      <c r="E44" s="102" t="s">
        <v>15</v>
      </c>
      <c r="F44" s="102">
        <v>2020</v>
      </c>
      <c r="G44" s="109" t="s">
        <v>16</v>
      </c>
      <c r="H44" s="109">
        <v>200</v>
      </c>
      <c r="I44" s="109">
        <v>200</v>
      </c>
      <c r="J44" s="109"/>
      <c r="K44" s="104"/>
      <c r="L44" s="105">
        <v>20201118</v>
      </c>
    </row>
    <row r="45" ht="16" customHeight="1" spans="1:12">
      <c r="A45" s="109">
        <v>43</v>
      </c>
      <c r="B45" s="109" t="s">
        <v>6075</v>
      </c>
      <c r="C45" s="214" t="s">
        <v>6157</v>
      </c>
      <c r="D45" s="215" t="s">
        <v>6158</v>
      </c>
      <c r="E45" s="102" t="s">
        <v>15</v>
      </c>
      <c r="F45" s="102">
        <v>2020</v>
      </c>
      <c r="G45" s="109" t="s">
        <v>16</v>
      </c>
      <c r="H45" s="109">
        <v>200</v>
      </c>
      <c r="I45" s="109">
        <v>200</v>
      </c>
      <c r="J45" s="109"/>
      <c r="K45" s="104"/>
      <c r="L45" s="105">
        <v>20201118</v>
      </c>
    </row>
    <row r="46" ht="16" customHeight="1" spans="1:12">
      <c r="A46" s="109">
        <v>44</v>
      </c>
      <c r="B46" s="109" t="s">
        <v>6075</v>
      </c>
      <c r="C46" s="214" t="s">
        <v>6159</v>
      </c>
      <c r="D46" s="215" t="s">
        <v>6160</v>
      </c>
      <c r="E46" s="102" t="s">
        <v>15</v>
      </c>
      <c r="F46" s="102">
        <v>2020</v>
      </c>
      <c r="G46" s="109" t="s">
        <v>16</v>
      </c>
      <c r="H46" s="109">
        <v>200</v>
      </c>
      <c r="I46" s="109">
        <v>200</v>
      </c>
      <c r="J46" s="109"/>
      <c r="K46" s="104"/>
      <c r="L46" s="105">
        <v>20201118</v>
      </c>
    </row>
    <row r="47" ht="16" customHeight="1" spans="1:12">
      <c r="A47" s="109">
        <v>45</v>
      </c>
      <c r="B47" s="109" t="s">
        <v>6075</v>
      </c>
      <c r="C47" s="214" t="s">
        <v>6161</v>
      </c>
      <c r="D47" s="215" t="s">
        <v>6162</v>
      </c>
      <c r="E47" s="102" t="s">
        <v>15</v>
      </c>
      <c r="F47" s="102">
        <v>2020</v>
      </c>
      <c r="G47" s="109" t="s">
        <v>16</v>
      </c>
      <c r="H47" s="109">
        <v>200</v>
      </c>
      <c r="I47" s="109">
        <v>200</v>
      </c>
      <c r="J47" s="109"/>
      <c r="K47" s="104"/>
      <c r="L47" s="105">
        <v>20201118</v>
      </c>
    </row>
    <row r="48" ht="16" customHeight="1" spans="1:12">
      <c r="A48" s="109">
        <v>46</v>
      </c>
      <c r="B48" s="109" t="s">
        <v>6075</v>
      </c>
      <c r="C48" s="214" t="s">
        <v>6163</v>
      </c>
      <c r="D48" s="215" t="s">
        <v>6164</v>
      </c>
      <c r="E48" s="102" t="s">
        <v>15</v>
      </c>
      <c r="F48" s="102">
        <v>2020</v>
      </c>
      <c r="G48" s="109" t="s">
        <v>16</v>
      </c>
      <c r="H48" s="109">
        <v>200</v>
      </c>
      <c r="I48" s="109">
        <v>200</v>
      </c>
      <c r="J48" s="109"/>
      <c r="K48" s="104"/>
      <c r="L48" s="105">
        <v>20201118</v>
      </c>
    </row>
    <row r="49" ht="16" customHeight="1" spans="1:12">
      <c r="A49" s="109">
        <v>47</v>
      </c>
      <c r="B49" s="109" t="s">
        <v>6075</v>
      </c>
      <c r="C49" s="214" t="s">
        <v>6165</v>
      </c>
      <c r="D49" s="215" t="s">
        <v>6166</v>
      </c>
      <c r="E49" s="102" t="s">
        <v>15</v>
      </c>
      <c r="F49" s="102">
        <v>2020</v>
      </c>
      <c r="G49" s="109" t="s">
        <v>16</v>
      </c>
      <c r="H49" s="109">
        <v>200</v>
      </c>
      <c r="I49" s="109">
        <v>200</v>
      </c>
      <c r="J49" s="109"/>
      <c r="K49" s="104"/>
      <c r="L49" s="105">
        <v>20201118</v>
      </c>
    </row>
    <row r="50" ht="16" customHeight="1" spans="1:12">
      <c r="A50" s="109">
        <v>48</v>
      </c>
      <c r="B50" s="109" t="s">
        <v>6075</v>
      </c>
      <c r="C50" s="214" t="s">
        <v>6167</v>
      </c>
      <c r="D50" s="215" t="s">
        <v>6168</v>
      </c>
      <c r="E50" s="102" t="s">
        <v>15</v>
      </c>
      <c r="F50" s="102">
        <v>2020</v>
      </c>
      <c r="G50" s="109" t="s">
        <v>16</v>
      </c>
      <c r="H50" s="109">
        <v>200</v>
      </c>
      <c r="I50" s="109">
        <v>200</v>
      </c>
      <c r="J50" s="109"/>
      <c r="K50" s="104"/>
      <c r="L50" s="105">
        <v>20201118</v>
      </c>
    </row>
    <row r="51" ht="16" customHeight="1" spans="1:12">
      <c r="A51" s="109">
        <v>49</v>
      </c>
      <c r="B51" s="109" t="s">
        <v>6075</v>
      </c>
      <c r="C51" s="214" t="s">
        <v>6169</v>
      </c>
      <c r="D51" s="215" t="s">
        <v>6170</v>
      </c>
      <c r="E51" s="102" t="s">
        <v>15</v>
      </c>
      <c r="F51" s="102">
        <v>2020</v>
      </c>
      <c r="G51" s="109" t="s">
        <v>16</v>
      </c>
      <c r="H51" s="109">
        <v>200</v>
      </c>
      <c r="I51" s="109">
        <v>200</v>
      </c>
      <c r="J51" s="109" t="s">
        <v>6097</v>
      </c>
      <c r="K51" s="104"/>
      <c r="L51" s="105">
        <v>20201118</v>
      </c>
    </row>
    <row r="52" ht="16" customHeight="1" spans="1:12">
      <c r="A52" s="109">
        <v>50</v>
      </c>
      <c r="B52" s="109" t="s">
        <v>6075</v>
      </c>
      <c r="C52" s="214" t="s">
        <v>6171</v>
      </c>
      <c r="D52" s="215" t="s">
        <v>6172</v>
      </c>
      <c r="E52" s="102" t="s">
        <v>15</v>
      </c>
      <c r="F52" s="102">
        <v>2020</v>
      </c>
      <c r="G52" s="109" t="s">
        <v>16</v>
      </c>
      <c r="H52" s="109">
        <v>200</v>
      </c>
      <c r="I52" s="109">
        <v>200</v>
      </c>
      <c r="J52" s="109"/>
      <c r="K52" s="104"/>
      <c r="L52" s="105">
        <v>20201118</v>
      </c>
    </row>
    <row r="53" ht="16" customHeight="1" spans="1:12">
      <c r="A53" s="109">
        <v>51</v>
      </c>
      <c r="B53" s="109" t="s">
        <v>6075</v>
      </c>
      <c r="C53" s="214" t="s">
        <v>6173</v>
      </c>
      <c r="D53" s="215" t="s">
        <v>6174</v>
      </c>
      <c r="E53" s="102" t="s">
        <v>15</v>
      </c>
      <c r="F53" s="102">
        <v>2020</v>
      </c>
      <c r="G53" s="109" t="s">
        <v>16</v>
      </c>
      <c r="H53" s="109">
        <v>200</v>
      </c>
      <c r="I53" s="109">
        <v>200</v>
      </c>
      <c r="J53" s="109"/>
      <c r="K53" s="104"/>
      <c r="L53" s="105">
        <v>20201118</v>
      </c>
    </row>
    <row r="54" ht="16" customHeight="1" spans="1:12">
      <c r="A54" s="109">
        <v>52</v>
      </c>
      <c r="B54" s="109" t="s">
        <v>6075</v>
      </c>
      <c r="C54" s="214" t="s">
        <v>6175</v>
      </c>
      <c r="D54" s="215" t="s">
        <v>6176</v>
      </c>
      <c r="E54" s="102" t="s">
        <v>15</v>
      </c>
      <c r="F54" s="102">
        <v>2020</v>
      </c>
      <c r="G54" s="109" t="s">
        <v>16</v>
      </c>
      <c r="H54" s="109">
        <v>200</v>
      </c>
      <c r="I54" s="109">
        <v>200</v>
      </c>
      <c r="J54" s="109"/>
      <c r="K54" s="104"/>
      <c r="L54" s="105">
        <v>20201118</v>
      </c>
    </row>
    <row r="55" ht="16" customHeight="1" spans="1:12">
      <c r="A55" s="109">
        <v>53</v>
      </c>
      <c r="B55" s="109" t="s">
        <v>6075</v>
      </c>
      <c r="C55" s="214" t="s">
        <v>6177</v>
      </c>
      <c r="D55" s="215" t="s">
        <v>6178</v>
      </c>
      <c r="E55" s="102" t="s">
        <v>15</v>
      </c>
      <c r="F55" s="102">
        <v>2020</v>
      </c>
      <c r="G55" s="109" t="s">
        <v>16</v>
      </c>
      <c r="H55" s="109">
        <v>200</v>
      </c>
      <c r="I55" s="109">
        <v>200</v>
      </c>
      <c r="J55" s="109"/>
      <c r="K55" s="104"/>
      <c r="L55" s="105">
        <v>20201118</v>
      </c>
    </row>
    <row r="56" ht="16" customHeight="1" spans="1:12">
      <c r="A56" s="109">
        <v>54</v>
      </c>
      <c r="B56" s="109" t="s">
        <v>6075</v>
      </c>
      <c r="C56" s="214" t="s">
        <v>6179</v>
      </c>
      <c r="D56" s="215" t="s">
        <v>6180</v>
      </c>
      <c r="E56" s="102" t="s">
        <v>15</v>
      </c>
      <c r="F56" s="102">
        <v>2020</v>
      </c>
      <c r="G56" s="109" t="s">
        <v>16</v>
      </c>
      <c r="H56" s="109">
        <v>200</v>
      </c>
      <c r="I56" s="109">
        <v>200</v>
      </c>
      <c r="J56" s="109"/>
      <c r="K56" s="104"/>
      <c r="L56" s="105">
        <v>20201118</v>
      </c>
    </row>
    <row r="57" ht="16" customHeight="1" spans="1:12">
      <c r="A57" s="109">
        <v>55</v>
      </c>
      <c r="B57" s="109" t="s">
        <v>6075</v>
      </c>
      <c r="C57" s="214" t="s">
        <v>6181</v>
      </c>
      <c r="D57" s="215" t="s">
        <v>6182</v>
      </c>
      <c r="E57" s="102" t="s">
        <v>15</v>
      </c>
      <c r="F57" s="102">
        <v>2020</v>
      </c>
      <c r="G57" s="109" t="s">
        <v>16</v>
      </c>
      <c r="H57" s="109">
        <v>200</v>
      </c>
      <c r="I57" s="109">
        <v>200</v>
      </c>
      <c r="J57" s="109"/>
      <c r="K57" s="104"/>
      <c r="L57" s="105">
        <v>20201118</v>
      </c>
    </row>
    <row r="58" ht="16" customHeight="1" spans="1:12">
      <c r="A58" s="109">
        <v>56</v>
      </c>
      <c r="B58" s="109" t="s">
        <v>6075</v>
      </c>
      <c r="C58" s="214" t="s">
        <v>6183</v>
      </c>
      <c r="D58" s="215" t="s">
        <v>6184</v>
      </c>
      <c r="E58" s="102" t="s">
        <v>15</v>
      </c>
      <c r="F58" s="102">
        <v>2020</v>
      </c>
      <c r="G58" s="109" t="s">
        <v>16</v>
      </c>
      <c r="H58" s="109">
        <v>200</v>
      </c>
      <c r="I58" s="109">
        <v>200</v>
      </c>
      <c r="J58" s="109"/>
      <c r="K58" s="104"/>
      <c r="L58" s="105">
        <v>20201118</v>
      </c>
    </row>
    <row r="59" ht="16" customHeight="1" spans="1:12">
      <c r="A59" s="109">
        <v>57</v>
      </c>
      <c r="B59" s="109" t="s">
        <v>6075</v>
      </c>
      <c r="C59" s="214" t="s">
        <v>6185</v>
      </c>
      <c r="D59" s="215" t="s">
        <v>6186</v>
      </c>
      <c r="E59" s="102" t="s">
        <v>15</v>
      </c>
      <c r="F59" s="102">
        <v>2020</v>
      </c>
      <c r="G59" s="109" t="s">
        <v>16</v>
      </c>
      <c r="H59" s="109">
        <v>200</v>
      </c>
      <c r="I59" s="109">
        <v>200</v>
      </c>
      <c r="J59" s="109"/>
      <c r="K59" s="104"/>
      <c r="L59" s="105">
        <v>20201118</v>
      </c>
    </row>
    <row r="60" ht="16" customHeight="1" spans="1:12">
      <c r="A60" s="109">
        <v>58</v>
      </c>
      <c r="B60" s="109" t="s">
        <v>6075</v>
      </c>
      <c r="C60" s="214" t="s">
        <v>6187</v>
      </c>
      <c r="D60" s="215" t="s">
        <v>6188</v>
      </c>
      <c r="E60" s="102" t="s">
        <v>15</v>
      </c>
      <c r="F60" s="102">
        <v>2020</v>
      </c>
      <c r="G60" s="109" t="s">
        <v>16</v>
      </c>
      <c r="H60" s="109">
        <v>200</v>
      </c>
      <c r="I60" s="109">
        <v>200</v>
      </c>
      <c r="J60" s="109"/>
      <c r="K60" s="104"/>
      <c r="L60" s="105">
        <v>20201118</v>
      </c>
    </row>
    <row r="61" ht="16" customHeight="1" spans="1:12">
      <c r="A61" s="109">
        <v>59</v>
      </c>
      <c r="B61" s="109" t="s">
        <v>6075</v>
      </c>
      <c r="C61" s="214" t="s">
        <v>6189</v>
      </c>
      <c r="D61" s="215" t="s">
        <v>6190</v>
      </c>
      <c r="E61" s="102" t="s">
        <v>15</v>
      </c>
      <c r="F61" s="102">
        <v>2020</v>
      </c>
      <c r="G61" s="109" t="s">
        <v>16</v>
      </c>
      <c r="H61" s="109">
        <v>200</v>
      </c>
      <c r="I61" s="109">
        <v>200</v>
      </c>
      <c r="J61" s="109"/>
      <c r="K61" s="104"/>
      <c r="L61" s="105">
        <v>20201118</v>
      </c>
    </row>
    <row r="62" ht="16" customHeight="1" spans="1:12">
      <c r="A62" s="109">
        <v>60</v>
      </c>
      <c r="B62" s="109" t="s">
        <v>6075</v>
      </c>
      <c r="C62" s="214" t="s">
        <v>6191</v>
      </c>
      <c r="D62" s="215" t="s">
        <v>6192</v>
      </c>
      <c r="E62" s="102" t="s">
        <v>15</v>
      </c>
      <c r="F62" s="102">
        <v>2020</v>
      </c>
      <c r="G62" s="109" t="s">
        <v>16</v>
      </c>
      <c r="H62" s="109">
        <v>200</v>
      </c>
      <c r="I62" s="109">
        <v>200</v>
      </c>
      <c r="J62" s="109"/>
      <c r="K62" s="104"/>
      <c r="L62" s="105">
        <v>20201118</v>
      </c>
    </row>
    <row r="63" ht="16" customHeight="1" spans="1:12">
      <c r="A63" s="109">
        <v>61</v>
      </c>
      <c r="B63" s="109" t="s">
        <v>6075</v>
      </c>
      <c r="C63" s="214" t="s">
        <v>6193</v>
      </c>
      <c r="D63" s="215" t="s">
        <v>6194</v>
      </c>
      <c r="E63" s="102" t="s">
        <v>15</v>
      </c>
      <c r="F63" s="102">
        <v>2020</v>
      </c>
      <c r="G63" s="109" t="s">
        <v>16</v>
      </c>
      <c r="H63" s="109">
        <v>200</v>
      </c>
      <c r="I63" s="109">
        <v>200</v>
      </c>
      <c r="J63" s="109"/>
      <c r="K63" s="104"/>
      <c r="L63" s="105">
        <v>20201118</v>
      </c>
    </row>
    <row r="64" ht="16" customHeight="1" spans="1:12">
      <c r="A64" s="109">
        <v>62</v>
      </c>
      <c r="B64" s="109" t="s">
        <v>6075</v>
      </c>
      <c r="C64" s="214" t="s">
        <v>6195</v>
      </c>
      <c r="D64" s="215" t="s">
        <v>6196</v>
      </c>
      <c r="E64" s="102" t="s">
        <v>15</v>
      </c>
      <c r="F64" s="102">
        <v>2020</v>
      </c>
      <c r="G64" s="109" t="s">
        <v>16</v>
      </c>
      <c r="H64" s="109">
        <v>200</v>
      </c>
      <c r="I64" s="109">
        <v>200</v>
      </c>
      <c r="J64" s="109"/>
      <c r="K64" s="104"/>
      <c r="L64" s="105">
        <v>20201118</v>
      </c>
    </row>
    <row r="65" ht="16" customHeight="1" spans="1:12">
      <c r="A65" s="109">
        <v>63</v>
      </c>
      <c r="B65" s="109" t="s">
        <v>6075</v>
      </c>
      <c r="C65" s="214" t="s">
        <v>6197</v>
      </c>
      <c r="D65" s="215" t="s">
        <v>6198</v>
      </c>
      <c r="E65" s="102" t="s">
        <v>15</v>
      </c>
      <c r="F65" s="102">
        <v>2020</v>
      </c>
      <c r="G65" s="109" t="s">
        <v>16</v>
      </c>
      <c r="H65" s="109">
        <v>200</v>
      </c>
      <c r="I65" s="109">
        <v>200</v>
      </c>
      <c r="J65" s="109"/>
      <c r="K65" s="104"/>
      <c r="L65" s="105">
        <v>20201118</v>
      </c>
    </row>
    <row r="66" ht="16" customHeight="1" spans="1:12">
      <c r="A66" s="109">
        <v>64</v>
      </c>
      <c r="B66" s="109" t="s">
        <v>6075</v>
      </c>
      <c r="C66" s="214" t="s">
        <v>6199</v>
      </c>
      <c r="D66" s="215" t="s">
        <v>6200</v>
      </c>
      <c r="E66" s="102" t="s">
        <v>15</v>
      </c>
      <c r="F66" s="102">
        <v>2020</v>
      </c>
      <c r="G66" s="109" t="s">
        <v>16</v>
      </c>
      <c r="H66" s="109">
        <v>200</v>
      </c>
      <c r="I66" s="109">
        <v>200</v>
      </c>
      <c r="J66" s="109"/>
      <c r="K66" s="104"/>
      <c r="L66" s="105">
        <v>20201118</v>
      </c>
    </row>
    <row r="67" ht="16" customHeight="1" spans="1:12">
      <c r="A67" s="109">
        <v>65</v>
      </c>
      <c r="B67" s="109" t="s">
        <v>6075</v>
      </c>
      <c r="C67" s="214" t="s">
        <v>6201</v>
      </c>
      <c r="D67" s="215" t="s">
        <v>6202</v>
      </c>
      <c r="E67" s="102" t="s">
        <v>15</v>
      </c>
      <c r="F67" s="102">
        <v>2020</v>
      </c>
      <c r="G67" s="109" t="s">
        <v>16</v>
      </c>
      <c r="H67" s="109">
        <v>200</v>
      </c>
      <c r="I67" s="109">
        <v>200</v>
      </c>
      <c r="J67" s="109"/>
      <c r="K67" s="104"/>
      <c r="L67" s="105">
        <v>20201118</v>
      </c>
    </row>
    <row r="68" ht="16" customHeight="1" spans="1:12">
      <c r="A68" s="109">
        <v>66</v>
      </c>
      <c r="B68" s="109" t="s">
        <v>6075</v>
      </c>
      <c r="C68" s="214" t="s">
        <v>6203</v>
      </c>
      <c r="D68" s="215" t="s">
        <v>6204</v>
      </c>
      <c r="E68" s="102" t="s">
        <v>15</v>
      </c>
      <c r="F68" s="102">
        <v>2020</v>
      </c>
      <c r="G68" s="109" t="s">
        <v>16</v>
      </c>
      <c r="H68" s="109">
        <v>200</v>
      </c>
      <c r="I68" s="109">
        <v>200</v>
      </c>
      <c r="J68" s="109" t="s">
        <v>6097</v>
      </c>
      <c r="K68" s="104"/>
      <c r="L68" s="105">
        <v>20201118</v>
      </c>
    </row>
    <row r="69" ht="16" customHeight="1" spans="1:12">
      <c r="A69" s="109">
        <v>67</v>
      </c>
      <c r="B69" s="109" t="s">
        <v>6075</v>
      </c>
      <c r="C69" s="214" t="s">
        <v>6205</v>
      </c>
      <c r="D69" s="215" t="s">
        <v>6206</v>
      </c>
      <c r="E69" s="102" t="s">
        <v>15</v>
      </c>
      <c r="F69" s="102">
        <v>2020</v>
      </c>
      <c r="G69" s="109" t="s">
        <v>16</v>
      </c>
      <c r="H69" s="109">
        <v>200</v>
      </c>
      <c r="I69" s="109">
        <v>200</v>
      </c>
      <c r="J69" s="109" t="s">
        <v>6097</v>
      </c>
      <c r="K69" s="104"/>
      <c r="L69" s="105">
        <v>20201118</v>
      </c>
    </row>
    <row r="70" ht="16" customHeight="1" spans="1:12">
      <c r="A70" s="109">
        <v>68</v>
      </c>
      <c r="B70" s="109" t="s">
        <v>6075</v>
      </c>
      <c r="C70" s="214" t="s">
        <v>6207</v>
      </c>
      <c r="D70" s="215" t="s">
        <v>6208</v>
      </c>
      <c r="E70" s="102" t="s">
        <v>15</v>
      </c>
      <c r="F70" s="102">
        <v>2020</v>
      </c>
      <c r="G70" s="109" t="s">
        <v>16</v>
      </c>
      <c r="H70" s="109">
        <v>200</v>
      </c>
      <c r="I70" s="109">
        <v>200</v>
      </c>
      <c r="J70" s="109"/>
      <c r="K70" s="104"/>
      <c r="L70" s="105">
        <v>20201118</v>
      </c>
    </row>
    <row r="71" ht="16" customHeight="1" spans="1:12">
      <c r="A71" s="109">
        <v>69</v>
      </c>
      <c r="B71" s="109" t="s">
        <v>6075</v>
      </c>
      <c r="C71" s="214" t="s">
        <v>6209</v>
      </c>
      <c r="D71" s="215" t="s">
        <v>6210</v>
      </c>
      <c r="E71" s="102" t="s">
        <v>15</v>
      </c>
      <c r="F71" s="102">
        <v>2020</v>
      </c>
      <c r="G71" s="109" t="s">
        <v>16</v>
      </c>
      <c r="H71" s="109">
        <v>200</v>
      </c>
      <c r="I71" s="109">
        <v>200</v>
      </c>
      <c r="J71" s="109"/>
      <c r="K71" s="104"/>
      <c r="L71" s="105">
        <v>20201118</v>
      </c>
    </row>
    <row r="72" ht="16" customHeight="1" spans="1:12">
      <c r="A72" s="109">
        <v>70</v>
      </c>
      <c r="B72" s="109" t="s">
        <v>6075</v>
      </c>
      <c r="C72" s="214" t="s">
        <v>6211</v>
      </c>
      <c r="D72" s="215" t="s">
        <v>6212</v>
      </c>
      <c r="E72" s="102" t="s">
        <v>15</v>
      </c>
      <c r="F72" s="102">
        <v>2020</v>
      </c>
      <c r="G72" s="109" t="s">
        <v>16</v>
      </c>
      <c r="H72" s="109">
        <v>200</v>
      </c>
      <c r="I72" s="109">
        <v>200</v>
      </c>
      <c r="J72" s="109" t="s">
        <v>6213</v>
      </c>
      <c r="K72" s="104"/>
      <c r="L72" s="105">
        <v>20201118</v>
      </c>
    </row>
    <row r="73" ht="16" customHeight="1" spans="1:12">
      <c r="A73" s="109">
        <v>71</v>
      </c>
      <c r="B73" s="109" t="s">
        <v>6075</v>
      </c>
      <c r="C73" s="214" t="s">
        <v>6214</v>
      </c>
      <c r="D73" s="215" t="s">
        <v>6215</v>
      </c>
      <c r="E73" s="102" t="s">
        <v>15</v>
      </c>
      <c r="F73" s="102">
        <v>2020</v>
      </c>
      <c r="G73" s="109" t="s">
        <v>16</v>
      </c>
      <c r="H73" s="109">
        <v>200</v>
      </c>
      <c r="I73" s="109">
        <v>200</v>
      </c>
      <c r="J73" s="109" t="s">
        <v>6213</v>
      </c>
      <c r="K73" s="104"/>
      <c r="L73" s="105">
        <v>20201118</v>
      </c>
    </row>
    <row r="74" ht="16" customHeight="1" spans="1:12">
      <c r="A74" s="109">
        <v>72</v>
      </c>
      <c r="B74" s="109" t="s">
        <v>6075</v>
      </c>
      <c r="C74" s="214" t="s">
        <v>6216</v>
      </c>
      <c r="D74" s="215" t="s">
        <v>6217</v>
      </c>
      <c r="E74" s="102" t="s">
        <v>15</v>
      </c>
      <c r="F74" s="102">
        <v>2020</v>
      </c>
      <c r="G74" s="109" t="s">
        <v>16</v>
      </c>
      <c r="H74" s="109">
        <v>200</v>
      </c>
      <c r="I74" s="109">
        <v>200</v>
      </c>
      <c r="J74" s="109"/>
      <c r="K74" s="104"/>
      <c r="L74" s="105">
        <v>20201118</v>
      </c>
    </row>
    <row r="75" ht="16" customHeight="1" spans="1:12">
      <c r="A75" s="109">
        <v>73</v>
      </c>
      <c r="B75" s="109" t="s">
        <v>6075</v>
      </c>
      <c r="C75" s="214" t="s">
        <v>6218</v>
      </c>
      <c r="D75" s="215" t="s">
        <v>6219</v>
      </c>
      <c r="E75" s="102" t="s">
        <v>15</v>
      </c>
      <c r="F75" s="102">
        <v>2020</v>
      </c>
      <c r="G75" s="109" t="s">
        <v>16</v>
      </c>
      <c r="H75" s="109">
        <v>200</v>
      </c>
      <c r="I75" s="109">
        <v>200</v>
      </c>
      <c r="J75" s="109"/>
      <c r="K75" s="104"/>
      <c r="L75" s="105">
        <v>20201118</v>
      </c>
    </row>
    <row r="76" ht="16" customHeight="1" spans="1:12">
      <c r="A76" s="109">
        <v>74</v>
      </c>
      <c r="B76" s="109" t="s">
        <v>6075</v>
      </c>
      <c r="C76" s="214" t="s">
        <v>6220</v>
      </c>
      <c r="D76" s="215" t="s">
        <v>6221</v>
      </c>
      <c r="E76" s="102" t="s">
        <v>15</v>
      </c>
      <c r="F76" s="102">
        <v>2020</v>
      </c>
      <c r="G76" s="109" t="s">
        <v>16</v>
      </c>
      <c r="H76" s="109">
        <v>200</v>
      </c>
      <c r="I76" s="109">
        <v>200</v>
      </c>
      <c r="J76" s="109"/>
      <c r="K76" s="104"/>
      <c r="L76" s="105">
        <v>20201118</v>
      </c>
    </row>
    <row r="77" ht="16" customHeight="1" spans="1:12">
      <c r="A77" s="109">
        <v>75</v>
      </c>
      <c r="B77" s="109" t="s">
        <v>6075</v>
      </c>
      <c r="C77" s="214" t="s">
        <v>6222</v>
      </c>
      <c r="D77" s="215" t="s">
        <v>6223</v>
      </c>
      <c r="E77" s="102" t="s">
        <v>15</v>
      </c>
      <c r="F77" s="102">
        <v>2020</v>
      </c>
      <c r="G77" s="109" t="s">
        <v>16</v>
      </c>
      <c r="H77" s="109">
        <v>200</v>
      </c>
      <c r="I77" s="109">
        <v>200</v>
      </c>
      <c r="J77" s="109"/>
      <c r="K77" s="104"/>
      <c r="L77" s="105">
        <v>20201118</v>
      </c>
    </row>
    <row r="78" ht="16" customHeight="1" spans="1:12">
      <c r="A78" s="109">
        <v>76</v>
      </c>
      <c r="B78" s="109" t="s">
        <v>6075</v>
      </c>
      <c r="C78" s="214" t="s">
        <v>6224</v>
      </c>
      <c r="D78" s="215" t="s">
        <v>6225</v>
      </c>
      <c r="E78" s="102" t="s">
        <v>15</v>
      </c>
      <c r="F78" s="102">
        <v>2020</v>
      </c>
      <c r="G78" s="109" t="s">
        <v>16</v>
      </c>
      <c r="H78" s="109">
        <v>200</v>
      </c>
      <c r="I78" s="109">
        <v>200</v>
      </c>
      <c r="J78" s="109"/>
      <c r="K78" s="104"/>
      <c r="L78" s="105">
        <v>20201118</v>
      </c>
    </row>
    <row r="79" ht="16" customHeight="1" spans="1:12">
      <c r="A79" s="109">
        <v>77</v>
      </c>
      <c r="B79" s="109" t="s">
        <v>6075</v>
      </c>
      <c r="C79" s="214" t="s">
        <v>6226</v>
      </c>
      <c r="D79" s="215" t="s">
        <v>6227</v>
      </c>
      <c r="E79" s="102" t="s">
        <v>15</v>
      </c>
      <c r="F79" s="102">
        <v>2020</v>
      </c>
      <c r="G79" s="109" t="s">
        <v>16</v>
      </c>
      <c r="H79" s="109">
        <v>200</v>
      </c>
      <c r="I79" s="109">
        <v>200</v>
      </c>
      <c r="J79" s="109"/>
      <c r="K79" s="104"/>
      <c r="L79" s="105">
        <v>20201118</v>
      </c>
    </row>
    <row r="80" ht="16" customHeight="1" spans="1:12">
      <c r="A80" s="109">
        <v>78</v>
      </c>
      <c r="B80" s="109" t="s">
        <v>6075</v>
      </c>
      <c r="C80" s="214" t="s">
        <v>6228</v>
      </c>
      <c r="D80" s="215" t="s">
        <v>6229</v>
      </c>
      <c r="E80" s="102" t="s">
        <v>15</v>
      </c>
      <c r="F80" s="102">
        <v>2020</v>
      </c>
      <c r="G80" s="109" t="s">
        <v>16</v>
      </c>
      <c r="H80" s="109">
        <v>200</v>
      </c>
      <c r="I80" s="109">
        <v>200</v>
      </c>
      <c r="J80" s="109"/>
      <c r="K80" s="104"/>
      <c r="L80" s="105">
        <v>20201118</v>
      </c>
    </row>
    <row r="81" ht="16" customHeight="1" spans="1:12">
      <c r="A81" s="109">
        <v>79</v>
      </c>
      <c r="B81" s="109" t="s">
        <v>6075</v>
      </c>
      <c r="C81" s="214" t="s">
        <v>6230</v>
      </c>
      <c r="D81" s="215" t="s">
        <v>6231</v>
      </c>
      <c r="E81" s="102" t="s">
        <v>15</v>
      </c>
      <c r="F81" s="102">
        <v>2020</v>
      </c>
      <c r="G81" s="109" t="s">
        <v>16</v>
      </c>
      <c r="H81" s="109">
        <v>200</v>
      </c>
      <c r="I81" s="109">
        <v>200</v>
      </c>
      <c r="J81" s="109"/>
      <c r="K81" s="104"/>
      <c r="L81" s="105">
        <v>20201118</v>
      </c>
    </row>
    <row r="82" ht="16" customHeight="1" spans="1:12">
      <c r="A82" s="109">
        <v>80</v>
      </c>
      <c r="B82" s="109" t="s">
        <v>6075</v>
      </c>
      <c r="C82" s="214" t="s">
        <v>6232</v>
      </c>
      <c r="D82" s="215" t="s">
        <v>6233</v>
      </c>
      <c r="E82" s="102" t="s">
        <v>15</v>
      </c>
      <c r="F82" s="102">
        <v>2020</v>
      </c>
      <c r="G82" s="109" t="s">
        <v>16</v>
      </c>
      <c r="H82" s="109">
        <v>200</v>
      </c>
      <c r="I82" s="109">
        <v>200</v>
      </c>
      <c r="J82" s="109"/>
      <c r="K82" s="104"/>
      <c r="L82" s="105">
        <v>20201118</v>
      </c>
    </row>
    <row r="83" ht="16" customHeight="1" spans="1:12">
      <c r="A83" s="109">
        <v>81</v>
      </c>
      <c r="B83" s="109" t="s">
        <v>6075</v>
      </c>
      <c r="C83" s="109" t="s">
        <v>6234</v>
      </c>
      <c r="D83" s="109" t="s">
        <v>6235</v>
      </c>
      <c r="E83" s="102" t="s">
        <v>15</v>
      </c>
      <c r="F83" s="102">
        <v>2020</v>
      </c>
      <c r="G83" s="109" t="s">
        <v>16</v>
      </c>
      <c r="H83" s="109">
        <v>500</v>
      </c>
      <c r="I83" s="109">
        <v>500</v>
      </c>
      <c r="J83" s="109"/>
      <c r="K83" s="104"/>
      <c r="L83" s="105">
        <v>20201118</v>
      </c>
    </row>
    <row r="84" ht="16" customHeight="1" spans="1:12">
      <c r="A84" s="109">
        <v>82</v>
      </c>
      <c r="B84" s="109" t="s">
        <v>6075</v>
      </c>
      <c r="C84" s="214" t="s">
        <v>6236</v>
      </c>
      <c r="D84" s="215" t="s">
        <v>6237</v>
      </c>
      <c r="E84" s="102" t="s">
        <v>15</v>
      </c>
      <c r="F84" s="102">
        <v>2020</v>
      </c>
      <c r="G84" s="109" t="s">
        <v>16</v>
      </c>
      <c r="H84" s="109">
        <v>200</v>
      </c>
      <c r="I84" s="109">
        <v>200</v>
      </c>
      <c r="J84" s="109" t="s">
        <v>6238</v>
      </c>
      <c r="K84" s="104"/>
      <c r="L84" s="105">
        <v>20201118</v>
      </c>
    </row>
    <row r="85" ht="16" customHeight="1" spans="1:12">
      <c r="A85" s="109">
        <v>83</v>
      </c>
      <c r="B85" s="109" t="s">
        <v>6075</v>
      </c>
      <c r="C85" s="214" t="s">
        <v>6239</v>
      </c>
      <c r="D85" s="215" t="s">
        <v>6240</v>
      </c>
      <c r="E85" s="102" t="s">
        <v>15</v>
      </c>
      <c r="F85" s="102">
        <v>2020</v>
      </c>
      <c r="G85" s="109" t="s">
        <v>16</v>
      </c>
      <c r="H85" s="109">
        <v>200</v>
      </c>
      <c r="I85" s="109">
        <v>200</v>
      </c>
      <c r="J85" s="109" t="s">
        <v>108</v>
      </c>
      <c r="K85" s="104"/>
      <c r="L85" s="105">
        <v>20201118</v>
      </c>
    </row>
    <row r="86" ht="16" customHeight="1" spans="1:12">
      <c r="A86" s="109">
        <v>84</v>
      </c>
      <c r="B86" s="109" t="s">
        <v>6075</v>
      </c>
      <c r="C86" s="214" t="s">
        <v>6241</v>
      </c>
      <c r="D86" s="215" t="s">
        <v>6242</v>
      </c>
      <c r="E86" s="102" t="s">
        <v>15</v>
      </c>
      <c r="F86" s="102">
        <v>2020</v>
      </c>
      <c r="G86" s="109" t="s">
        <v>16</v>
      </c>
      <c r="H86" s="109">
        <v>200</v>
      </c>
      <c r="I86" s="109">
        <v>200</v>
      </c>
      <c r="J86" s="109"/>
      <c r="K86" s="104"/>
      <c r="L86" s="105">
        <v>20201118</v>
      </c>
    </row>
    <row r="87" ht="16" customHeight="1" spans="1:12">
      <c r="A87" s="109">
        <v>85</v>
      </c>
      <c r="B87" s="109" t="s">
        <v>6075</v>
      </c>
      <c r="C87" s="214" t="s">
        <v>6243</v>
      </c>
      <c r="D87" s="215" t="s">
        <v>6244</v>
      </c>
      <c r="E87" s="102" t="s">
        <v>15</v>
      </c>
      <c r="F87" s="102">
        <v>2020</v>
      </c>
      <c r="G87" s="109" t="s">
        <v>16</v>
      </c>
      <c r="H87" s="109">
        <v>200</v>
      </c>
      <c r="I87" s="109">
        <v>200</v>
      </c>
      <c r="J87" s="109"/>
      <c r="K87" s="104"/>
      <c r="L87" s="105">
        <v>20201118</v>
      </c>
    </row>
    <row r="88" ht="16" customHeight="1" spans="1:12">
      <c r="A88" s="109">
        <v>86</v>
      </c>
      <c r="B88" s="109" t="s">
        <v>6075</v>
      </c>
      <c r="C88" s="214" t="s">
        <v>6245</v>
      </c>
      <c r="D88" s="215" t="s">
        <v>6246</v>
      </c>
      <c r="E88" s="102" t="s">
        <v>15</v>
      </c>
      <c r="F88" s="102">
        <v>2020</v>
      </c>
      <c r="G88" s="109" t="s">
        <v>16</v>
      </c>
      <c r="H88" s="109">
        <v>200</v>
      </c>
      <c r="I88" s="109">
        <v>200</v>
      </c>
      <c r="J88" s="109"/>
      <c r="K88" s="104"/>
      <c r="L88" s="105">
        <v>20201118</v>
      </c>
    </row>
    <row r="89" ht="16" customHeight="1" spans="1:12">
      <c r="A89" s="109">
        <v>87</v>
      </c>
      <c r="B89" s="109" t="s">
        <v>6075</v>
      </c>
      <c r="C89" s="214" t="s">
        <v>6247</v>
      </c>
      <c r="D89" s="215" t="s">
        <v>6248</v>
      </c>
      <c r="E89" s="102" t="s">
        <v>15</v>
      </c>
      <c r="F89" s="102">
        <v>2020</v>
      </c>
      <c r="G89" s="109" t="s">
        <v>16</v>
      </c>
      <c r="H89" s="109">
        <v>200</v>
      </c>
      <c r="I89" s="109">
        <v>200</v>
      </c>
      <c r="J89" s="109"/>
      <c r="K89" s="104"/>
      <c r="L89" s="105">
        <v>20201118</v>
      </c>
    </row>
    <row r="90" ht="16" customHeight="1" spans="1:12">
      <c r="A90" s="109">
        <v>88</v>
      </c>
      <c r="B90" s="109" t="s">
        <v>6075</v>
      </c>
      <c r="C90" s="214" t="s">
        <v>6249</v>
      </c>
      <c r="D90" s="215" t="s">
        <v>6250</v>
      </c>
      <c r="E90" s="102" t="s">
        <v>15</v>
      </c>
      <c r="F90" s="102">
        <v>2020</v>
      </c>
      <c r="G90" s="109" t="s">
        <v>16</v>
      </c>
      <c r="H90" s="109">
        <v>200</v>
      </c>
      <c r="I90" s="109">
        <v>200</v>
      </c>
      <c r="J90" s="109"/>
      <c r="K90" s="104"/>
      <c r="L90" s="105">
        <v>20201118</v>
      </c>
    </row>
    <row r="91" ht="16" customHeight="1" spans="1:12">
      <c r="A91" s="109">
        <v>89</v>
      </c>
      <c r="B91" s="109" t="s">
        <v>6075</v>
      </c>
      <c r="C91" s="214" t="s">
        <v>6251</v>
      </c>
      <c r="D91" s="215" t="s">
        <v>6252</v>
      </c>
      <c r="E91" s="102" t="s">
        <v>15</v>
      </c>
      <c r="F91" s="102">
        <v>2020</v>
      </c>
      <c r="G91" s="109" t="s">
        <v>16</v>
      </c>
      <c r="H91" s="109">
        <v>200</v>
      </c>
      <c r="I91" s="109">
        <v>200</v>
      </c>
      <c r="J91" s="109"/>
      <c r="K91" s="104"/>
      <c r="L91" s="105">
        <v>20201118</v>
      </c>
    </row>
    <row r="92" ht="16" customHeight="1" spans="1:12">
      <c r="A92" s="109">
        <v>90</v>
      </c>
      <c r="B92" s="109" t="s">
        <v>6075</v>
      </c>
      <c r="C92" s="214" t="s">
        <v>6253</v>
      </c>
      <c r="D92" s="215" t="s">
        <v>6254</v>
      </c>
      <c r="E92" s="102" t="s">
        <v>15</v>
      </c>
      <c r="F92" s="102">
        <v>2020</v>
      </c>
      <c r="G92" s="109" t="s">
        <v>16</v>
      </c>
      <c r="H92" s="109">
        <v>200</v>
      </c>
      <c r="I92" s="109">
        <v>200</v>
      </c>
      <c r="J92" s="109"/>
      <c r="K92" s="104"/>
      <c r="L92" s="105">
        <v>20201118</v>
      </c>
    </row>
    <row r="93" ht="16" customHeight="1" spans="1:12">
      <c r="A93" s="109">
        <v>91</v>
      </c>
      <c r="B93" s="109" t="s">
        <v>6075</v>
      </c>
      <c r="C93" s="109" t="s">
        <v>6255</v>
      </c>
      <c r="D93" s="109" t="s">
        <v>6256</v>
      </c>
      <c r="E93" s="102" t="s">
        <v>15</v>
      </c>
      <c r="F93" s="102">
        <v>2020</v>
      </c>
      <c r="G93" s="109" t="s">
        <v>16</v>
      </c>
      <c r="H93" s="109">
        <v>200</v>
      </c>
      <c r="I93" s="109">
        <v>200</v>
      </c>
      <c r="J93" s="109"/>
      <c r="K93" s="104"/>
      <c r="L93" s="105">
        <v>20201118</v>
      </c>
    </row>
    <row r="94" ht="16" customHeight="1" spans="1:12">
      <c r="A94" s="109">
        <v>92</v>
      </c>
      <c r="B94" s="109" t="s">
        <v>6075</v>
      </c>
      <c r="C94" s="214" t="s">
        <v>6257</v>
      </c>
      <c r="D94" s="215" t="s">
        <v>6258</v>
      </c>
      <c r="E94" s="102" t="s">
        <v>15</v>
      </c>
      <c r="F94" s="102">
        <v>2020</v>
      </c>
      <c r="G94" s="109" t="s">
        <v>16</v>
      </c>
      <c r="H94" s="109">
        <v>200</v>
      </c>
      <c r="I94" s="109">
        <v>200</v>
      </c>
      <c r="J94" s="109"/>
      <c r="K94" s="104"/>
      <c r="L94" s="105">
        <v>20201118</v>
      </c>
    </row>
    <row r="95" ht="16" customHeight="1" spans="1:12">
      <c r="A95" s="109">
        <v>93</v>
      </c>
      <c r="B95" s="109" t="s">
        <v>6075</v>
      </c>
      <c r="C95" s="214" t="s">
        <v>6259</v>
      </c>
      <c r="D95" s="215" t="s">
        <v>6260</v>
      </c>
      <c r="E95" s="102" t="s">
        <v>15</v>
      </c>
      <c r="F95" s="102">
        <v>2020</v>
      </c>
      <c r="G95" s="109" t="s">
        <v>16</v>
      </c>
      <c r="H95" s="109">
        <v>200</v>
      </c>
      <c r="I95" s="109">
        <v>200</v>
      </c>
      <c r="J95" s="109"/>
      <c r="K95" s="104"/>
      <c r="L95" s="105">
        <v>20201118</v>
      </c>
    </row>
    <row r="96" ht="16" customHeight="1" spans="1:12">
      <c r="A96" s="109">
        <v>94</v>
      </c>
      <c r="B96" s="109" t="s">
        <v>6075</v>
      </c>
      <c r="C96" s="214" t="s">
        <v>6261</v>
      </c>
      <c r="D96" s="215" t="s">
        <v>6262</v>
      </c>
      <c r="E96" s="102" t="s">
        <v>15</v>
      </c>
      <c r="F96" s="102">
        <v>2020</v>
      </c>
      <c r="G96" s="109" t="s">
        <v>16</v>
      </c>
      <c r="H96" s="109">
        <v>200</v>
      </c>
      <c r="I96" s="109">
        <v>200</v>
      </c>
      <c r="J96" s="109" t="s">
        <v>108</v>
      </c>
      <c r="K96" s="104"/>
      <c r="L96" s="105">
        <v>20201118</v>
      </c>
    </row>
    <row r="97" ht="16" customHeight="1" spans="1:12">
      <c r="A97" s="109">
        <v>95</v>
      </c>
      <c r="B97" s="109" t="s">
        <v>6075</v>
      </c>
      <c r="C97" s="214" t="s">
        <v>6263</v>
      </c>
      <c r="D97" s="215" t="s">
        <v>6264</v>
      </c>
      <c r="E97" s="102" t="s">
        <v>15</v>
      </c>
      <c r="F97" s="102">
        <v>2020</v>
      </c>
      <c r="G97" s="109" t="s">
        <v>16</v>
      </c>
      <c r="H97" s="109">
        <v>200</v>
      </c>
      <c r="I97" s="109">
        <v>200</v>
      </c>
      <c r="J97" s="109" t="s">
        <v>108</v>
      </c>
      <c r="K97" s="104"/>
      <c r="L97" s="105">
        <v>20201118</v>
      </c>
    </row>
    <row r="98" ht="16" customHeight="1" spans="1:12">
      <c r="A98" s="109">
        <v>96</v>
      </c>
      <c r="B98" s="109" t="s">
        <v>6075</v>
      </c>
      <c r="C98" s="214" t="s">
        <v>6265</v>
      </c>
      <c r="D98" s="215" t="s">
        <v>6266</v>
      </c>
      <c r="E98" s="102" t="s">
        <v>15</v>
      </c>
      <c r="F98" s="102">
        <v>2020</v>
      </c>
      <c r="G98" s="109" t="s">
        <v>16</v>
      </c>
      <c r="H98" s="109">
        <v>200</v>
      </c>
      <c r="I98" s="109">
        <v>200</v>
      </c>
      <c r="J98" s="109"/>
      <c r="K98" s="104"/>
      <c r="L98" s="105">
        <v>20201118</v>
      </c>
    </row>
    <row r="99" ht="16" customHeight="1" spans="1:12">
      <c r="A99" s="109">
        <v>97</v>
      </c>
      <c r="B99" s="109" t="s">
        <v>6075</v>
      </c>
      <c r="C99" s="214" t="s">
        <v>6267</v>
      </c>
      <c r="D99" s="215" t="s">
        <v>6268</v>
      </c>
      <c r="E99" s="102" t="s">
        <v>15</v>
      </c>
      <c r="F99" s="102">
        <v>2020</v>
      </c>
      <c r="G99" s="109" t="s">
        <v>16</v>
      </c>
      <c r="H99" s="109">
        <v>200</v>
      </c>
      <c r="I99" s="109">
        <v>200</v>
      </c>
      <c r="J99" s="109"/>
      <c r="K99" s="104"/>
      <c r="L99" s="105">
        <v>20201118</v>
      </c>
    </row>
    <row r="100" ht="16" customHeight="1" spans="1:12">
      <c r="A100" s="109">
        <v>98</v>
      </c>
      <c r="B100" s="109" t="s">
        <v>6075</v>
      </c>
      <c r="C100" s="214" t="s">
        <v>6269</v>
      </c>
      <c r="D100" s="215" t="s">
        <v>6270</v>
      </c>
      <c r="E100" s="102" t="s">
        <v>15</v>
      </c>
      <c r="F100" s="102">
        <v>2020</v>
      </c>
      <c r="G100" s="109" t="s">
        <v>16</v>
      </c>
      <c r="H100" s="109">
        <v>200</v>
      </c>
      <c r="I100" s="109">
        <v>200</v>
      </c>
      <c r="J100" s="109"/>
      <c r="K100" s="104"/>
      <c r="L100" s="105">
        <v>20201118</v>
      </c>
    </row>
    <row r="101" ht="16" customHeight="1" spans="1:12">
      <c r="A101" s="109">
        <v>99</v>
      </c>
      <c r="B101" s="109" t="s">
        <v>6075</v>
      </c>
      <c r="C101" s="214" t="s">
        <v>6271</v>
      </c>
      <c r="D101" s="215" t="s">
        <v>6272</v>
      </c>
      <c r="E101" s="102" t="s">
        <v>15</v>
      </c>
      <c r="F101" s="102">
        <v>2020</v>
      </c>
      <c r="G101" s="109" t="s">
        <v>16</v>
      </c>
      <c r="H101" s="109">
        <v>200</v>
      </c>
      <c r="I101" s="109">
        <v>200</v>
      </c>
      <c r="J101" s="109"/>
      <c r="K101" s="104"/>
      <c r="L101" s="105">
        <v>20201118</v>
      </c>
    </row>
    <row r="102" ht="16" customHeight="1" spans="1:12">
      <c r="A102" s="109">
        <v>100</v>
      </c>
      <c r="B102" s="109" t="s">
        <v>6075</v>
      </c>
      <c r="C102" s="214" t="s">
        <v>6273</v>
      </c>
      <c r="D102" s="215" t="s">
        <v>6274</v>
      </c>
      <c r="E102" s="102" t="s">
        <v>15</v>
      </c>
      <c r="F102" s="102">
        <v>2020</v>
      </c>
      <c r="G102" s="109" t="s">
        <v>16</v>
      </c>
      <c r="H102" s="109">
        <v>500</v>
      </c>
      <c r="I102" s="109">
        <v>500</v>
      </c>
      <c r="J102" s="109" t="s">
        <v>6097</v>
      </c>
      <c r="K102" s="104"/>
      <c r="L102" s="105">
        <v>20201118</v>
      </c>
    </row>
    <row r="103" ht="16" customHeight="1" spans="1:12">
      <c r="A103" s="109">
        <v>101</v>
      </c>
      <c r="B103" s="109" t="s">
        <v>6075</v>
      </c>
      <c r="C103" s="214" t="s">
        <v>6275</v>
      </c>
      <c r="D103" s="215" t="s">
        <v>6276</v>
      </c>
      <c r="E103" s="102" t="s">
        <v>15</v>
      </c>
      <c r="F103" s="102">
        <v>2020</v>
      </c>
      <c r="G103" s="109" t="s">
        <v>16</v>
      </c>
      <c r="H103" s="109">
        <v>200</v>
      </c>
      <c r="I103" s="109">
        <v>200</v>
      </c>
      <c r="J103" s="109" t="s">
        <v>6097</v>
      </c>
      <c r="K103" s="104"/>
      <c r="L103" s="105">
        <v>20201118</v>
      </c>
    </row>
    <row r="104" ht="16" customHeight="1" spans="1:12">
      <c r="A104" s="109">
        <v>102</v>
      </c>
      <c r="B104" s="109" t="s">
        <v>6075</v>
      </c>
      <c r="C104" s="214" t="s">
        <v>6277</v>
      </c>
      <c r="D104" s="215" t="s">
        <v>6278</v>
      </c>
      <c r="E104" s="102" t="s">
        <v>15</v>
      </c>
      <c r="F104" s="102">
        <v>2020</v>
      </c>
      <c r="G104" s="109" t="s">
        <v>16</v>
      </c>
      <c r="H104" s="109">
        <v>200</v>
      </c>
      <c r="I104" s="109">
        <v>200</v>
      </c>
      <c r="J104" s="109" t="s">
        <v>6097</v>
      </c>
      <c r="K104" s="104"/>
      <c r="L104" s="105">
        <v>20201118</v>
      </c>
    </row>
    <row r="105" ht="16" customHeight="1" spans="1:12">
      <c r="A105" s="109">
        <v>103</v>
      </c>
      <c r="B105" s="109" t="s">
        <v>6075</v>
      </c>
      <c r="C105" s="214" t="s">
        <v>6279</v>
      </c>
      <c r="D105" s="215" t="s">
        <v>6280</v>
      </c>
      <c r="E105" s="102" t="s">
        <v>15</v>
      </c>
      <c r="F105" s="102">
        <v>2020</v>
      </c>
      <c r="G105" s="109" t="s">
        <v>16</v>
      </c>
      <c r="H105" s="109">
        <v>200</v>
      </c>
      <c r="I105" s="109">
        <v>200</v>
      </c>
      <c r="J105" s="109" t="s">
        <v>108</v>
      </c>
      <c r="K105" s="104"/>
      <c r="L105" s="105">
        <v>20201118</v>
      </c>
    </row>
    <row r="106" ht="16" customHeight="1" spans="1:12">
      <c r="A106" s="109">
        <v>104</v>
      </c>
      <c r="B106" s="109" t="s">
        <v>6075</v>
      </c>
      <c r="C106" s="214" t="s">
        <v>6281</v>
      </c>
      <c r="D106" s="215" t="s">
        <v>6282</v>
      </c>
      <c r="E106" s="102" t="s">
        <v>15</v>
      </c>
      <c r="F106" s="102">
        <v>2020</v>
      </c>
      <c r="G106" s="109" t="s">
        <v>16</v>
      </c>
      <c r="H106" s="109">
        <v>200</v>
      </c>
      <c r="I106" s="109">
        <v>200</v>
      </c>
      <c r="J106" s="109" t="s">
        <v>6097</v>
      </c>
      <c r="K106" s="104"/>
      <c r="L106" s="105">
        <v>20201118</v>
      </c>
    </row>
    <row r="107" ht="16" customHeight="1" spans="1:12">
      <c r="A107" s="109">
        <v>105</v>
      </c>
      <c r="B107" s="109" t="s">
        <v>6075</v>
      </c>
      <c r="C107" s="214" t="s">
        <v>6283</v>
      </c>
      <c r="D107" s="215" t="s">
        <v>6284</v>
      </c>
      <c r="E107" s="102" t="s">
        <v>15</v>
      </c>
      <c r="F107" s="102">
        <v>2020</v>
      </c>
      <c r="G107" s="109" t="s">
        <v>16</v>
      </c>
      <c r="H107" s="109">
        <v>200</v>
      </c>
      <c r="I107" s="109">
        <v>200</v>
      </c>
      <c r="J107" s="109" t="s">
        <v>6097</v>
      </c>
      <c r="K107" s="104"/>
      <c r="L107" s="105">
        <v>20201118</v>
      </c>
    </row>
    <row r="108" ht="16" customHeight="1" spans="1:12">
      <c r="A108" s="109">
        <v>106</v>
      </c>
      <c r="B108" s="109" t="s">
        <v>6075</v>
      </c>
      <c r="C108" s="214" t="s">
        <v>6285</v>
      </c>
      <c r="D108" s="215" t="s">
        <v>6286</v>
      </c>
      <c r="E108" s="102" t="s">
        <v>15</v>
      </c>
      <c r="F108" s="102">
        <v>2020</v>
      </c>
      <c r="G108" s="109" t="s">
        <v>16</v>
      </c>
      <c r="H108" s="109">
        <v>200</v>
      </c>
      <c r="I108" s="109">
        <v>200</v>
      </c>
      <c r="J108" s="109"/>
      <c r="K108" s="104"/>
      <c r="L108" s="105">
        <v>20201118</v>
      </c>
    </row>
    <row r="109" ht="16" customHeight="1" spans="1:12">
      <c r="A109" s="109">
        <v>107</v>
      </c>
      <c r="B109" s="109" t="s">
        <v>6075</v>
      </c>
      <c r="C109" s="214" t="s">
        <v>6287</v>
      </c>
      <c r="D109" s="215" t="s">
        <v>6288</v>
      </c>
      <c r="E109" s="102" t="s">
        <v>15</v>
      </c>
      <c r="F109" s="102">
        <v>2020</v>
      </c>
      <c r="G109" s="109" t="s">
        <v>16</v>
      </c>
      <c r="H109" s="109">
        <v>200</v>
      </c>
      <c r="I109" s="109">
        <v>200</v>
      </c>
      <c r="J109" s="109"/>
      <c r="K109" s="104"/>
      <c r="L109" s="105">
        <v>20201118</v>
      </c>
    </row>
    <row r="110" ht="16" customHeight="1" spans="1:12">
      <c r="A110" s="109">
        <v>108</v>
      </c>
      <c r="B110" s="109" t="s">
        <v>6075</v>
      </c>
      <c r="C110" s="214" t="s">
        <v>6289</v>
      </c>
      <c r="D110" s="215" t="s">
        <v>6290</v>
      </c>
      <c r="E110" s="102" t="s">
        <v>15</v>
      </c>
      <c r="F110" s="102">
        <v>2020</v>
      </c>
      <c r="G110" s="109" t="s">
        <v>16</v>
      </c>
      <c r="H110" s="109">
        <v>200</v>
      </c>
      <c r="I110" s="109">
        <v>200</v>
      </c>
      <c r="J110" s="109" t="s">
        <v>6097</v>
      </c>
      <c r="K110" s="104"/>
      <c r="L110" s="105">
        <v>20201118</v>
      </c>
    </row>
    <row r="111" ht="16" customHeight="1" spans="1:12">
      <c r="A111" s="109">
        <v>109</v>
      </c>
      <c r="B111" s="109" t="s">
        <v>6075</v>
      </c>
      <c r="C111" s="214" t="s">
        <v>6291</v>
      </c>
      <c r="D111" s="215" t="s">
        <v>6292</v>
      </c>
      <c r="E111" s="102" t="s">
        <v>15</v>
      </c>
      <c r="F111" s="102">
        <v>2020</v>
      </c>
      <c r="G111" s="109" t="s">
        <v>16</v>
      </c>
      <c r="H111" s="109">
        <v>200</v>
      </c>
      <c r="I111" s="109">
        <v>200</v>
      </c>
      <c r="J111" s="109" t="s">
        <v>6097</v>
      </c>
      <c r="K111" s="104"/>
      <c r="L111" s="105">
        <v>20201118</v>
      </c>
    </row>
    <row r="112" ht="16" customHeight="1" spans="1:12">
      <c r="A112" s="109">
        <v>110</v>
      </c>
      <c r="B112" s="109" t="s">
        <v>6075</v>
      </c>
      <c r="C112" s="214" t="s">
        <v>6293</v>
      </c>
      <c r="D112" s="215" t="s">
        <v>6294</v>
      </c>
      <c r="E112" s="102" t="s">
        <v>15</v>
      </c>
      <c r="F112" s="102">
        <v>2020</v>
      </c>
      <c r="G112" s="109" t="s">
        <v>16</v>
      </c>
      <c r="H112" s="109">
        <v>200</v>
      </c>
      <c r="I112" s="109">
        <v>200</v>
      </c>
      <c r="J112" s="109" t="s">
        <v>6097</v>
      </c>
      <c r="K112" s="104"/>
      <c r="L112" s="105">
        <v>20201118</v>
      </c>
    </row>
    <row r="113" ht="16" customHeight="1" spans="1:12">
      <c r="A113" s="109">
        <v>111</v>
      </c>
      <c r="B113" s="109" t="s">
        <v>6075</v>
      </c>
      <c r="C113" s="214" t="s">
        <v>6295</v>
      </c>
      <c r="D113" s="215" t="s">
        <v>6296</v>
      </c>
      <c r="E113" s="102" t="s">
        <v>15</v>
      </c>
      <c r="F113" s="102">
        <v>2020</v>
      </c>
      <c r="G113" s="109" t="s">
        <v>16</v>
      </c>
      <c r="H113" s="109">
        <v>200</v>
      </c>
      <c r="I113" s="109">
        <v>200</v>
      </c>
      <c r="J113" s="109"/>
      <c r="K113" s="104"/>
      <c r="L113" s="105">
        <v>20201118</v>
      </c>
    </row>
    <row r="114" ht="16" customHeight="1" spans="1:12">
      <c r="A114" s="109">
        <v>112</v>
      </c>
      <c r="B114" s="109" t="s">
        <v>6075</v>
      </c>
      <c r="C114" s="214" t="s">
        <v>6297</v>
      </c>
      <c r="D114" s="215" t="s">
        <v>6298</v>
      </c>
      <c r="E114" s="102" t="s">
        <v>15</v>
      </c>
      <c r="F114" s="102">
        <v>2020</v>
      </c>
      <c r="G114" s="109" t="s">
        <v>16</v>
      </c>
      <c r="H114" s="109">
        <v>200</v>
      </c>
      <c r="I114" s="109">
        <v>200</v>
      </c>
      <c r="J114" s="109"/>
      <c r="K114" s="104"/>
      <c r="L114" s="105">
        <v>20201118</v>
      </c>
    </row>
    <row r="115" ht="16" customHeight="1" spans="1:12">
      <c r="A115" s="109">
        <v>113</v>
      </c>
      <c r="B115" s="109" t="s">
        <v>6075</v>
      </c>
      <c r="C115" s="214" t="s">
        <v>6299</v>
      </c>
      <c r="D115" s="215" t="s">
        <v>6300</v>
      </c>
      <c r="E115" s="102" t="s">
        <v>15</v>
      </c>
      <c r="F115" s="102">
        <v>2020</v>
      </c>
      <c r="G115" s="109" t="s">
        <v>16</v>
      </c>
      <c r="H115" s="109">
        <v>200</v>
      </c>
      <c r="I115" s="109">
        <v>200</v>
      </c>
      <c r="J115" s="109"/>
      <c r="K115" s="104"/>
      <c r="L115" s="105">
        <v>20201118</v>
      </c>
    </row>
    <row r="116" ht="16" customHeight="1" spans="1:12">
      <c r="A116" s="109">
        <v>114</v>
      </c>
      <c r="B116" s="109" t="s">
        <v>6075</v>
      </c>
      <c r="C116" s="214" t="s">
        <v>6301</v>
      </c>
      <c r="D116" s="215" t="s">
        <v>6302</v>
      </c>
      <c r="E116" s="102" t="s">
        <v>15</v>
      </c>
      <c r="F116" s="102">
        <v>2020</v>
      </c>
      <c r="G116" s="109" t="s">
        <v>16</v>
      </c>
      <c r="H116" s="109">
        <v>200</v>
      </c>
      <c r="I116" s="109">
        <v>200</v>
      </c>
      <c r="J116" s="109"/>
      <c r="K116" s="104"/>
      <c r="L116" s="105">
        <v>20201118</v>
      </c>
    </row>
    <row r="117" ht="16" customHeight="1" spans="1:12">
      <c r="A117" s="109">
        <v>115</v>
      </c>
      <c r="B117" s="109" t="s">
        <v>6075</v>
      </c>
      <c r="C117" s="214" t="s">
        <v>6303</v>
      </c>
      <c r="D117" s="215" t="s">
        <v>6304</v>
      </c>
      <c r="E117" s="102" t="s">
        <v>15</v>
      </c>
      <c r="F117" s="102">
        <v>2020</v>
      </c>
      <c r="G117" s="109" t="s">
        <v>16</v>
      </c>
      <c r="H117" s="109">
        <v>200</v>
      </c>
      <c r="I117" s="109">
        <v>200</v>
      </c>
      <c r="J117" s="109" t="s">
        <v>6097</v>
      </c>
      <c r="K117" s="104"/>
      <c r="L117" s="105">
        <v>20201118</v>
      </c>
    </row>
    <row r="118" ht="16" customHeight="1" spans="1:12">
      <c r="A118" s="109">
        <v>116</v>
      </c>
      <c r="B118" s="109" t="s">
        <v>6075</v>
      </c>
      <c r="C118" s="214" t="s">
        <v>6305</v>
      </c>
      <c r="D118" s="215" t="s">
        <v>6306</v>
      </c>
      <c r="E118" s="102" t="s">
        <v>15</v>
      </c>
      <c r="F118" s="102">
        <v>2020</v>
      </c>
      <c r="G118" s="109" t="s">
        <v>16</v>
      </c>
      <c r="H118" s="109">
        <v>200</v>
      </c>
      <c r="I118" s="109">
        <v>200</v>
      </c>
      <c r="J118" s="109" t="s">
        <v>6097</v>
      </c>
      <c r="K118" s="104"/>
      <c r="L118" s="105">
        <v>20201118</v>
      </c>
    </row>
    <row r="119" ht="16" customHeight="1" spans="1:12">
      <c r="A119" s="109">
        <v>117</v>
      </c>
      <c r="B119" s="109" t="s">
        <v>6075</v>
      </c>
      <c r="C119" s="214" t="s">
        <v>6307</v>
      </c>
      <c r="D119" s="215" t="s">
        <v>6308</v>
      </c>
      <c r="E119" s="102" t="s">
        <v>15</v>
      </c>
      <c r="F119" s="102">
        <v>2020</v>
      </c>
      <c r="G119" s="109" t="s">
        <v>16</v>
      </c>
      <c r="H119" s="109">
        <v>200</v>
      </c>
      <c r="I119" s="109">
        <v>200</v>
      </c>
      <c r="J119" s="109"/>
      <c r="K119" s="104"/>
      <c r="L119" s="105">
        <v>20201118</v>
      </c>
    </row>
    <row r="120" ht="16" customHeight="1" spans="1:12">
      <c r="A120" s="109">
        <v>118</v>
      </c>
      <c r="B120" s="109" t="s">
        <v>6075</v>
      </c>
      <c r="C120" s="214" t="s">
        <v>6309</v>
      </c>
      <c r="D120" s="215" t="s">
        <v>6310</v>
      </c>
      <c r="E120" s="102" t="s">
        <v>15</v>
      </c>
      <c r="F120" s="102">
        <v>2020</v>
      </c>
      <c r="G120" s="109" t="s">
        <v>16</v>
      </c>
      <c r="H120" s="109">
        <v>200</v>
      </c>
      <c r="I120" s="109">
        <v>200</v>
      </c>
      <c r="J120" s="109"/>
      <c r="K120" s="104"/>
      <c r="L120" s="105">
        <v>20201118</v>
      </c>
    </row>
    <row r="121" ht="16" customHeight="1" spans="1:12">
      <c r="A121" s="109">
        <v>119</v>
      </c>
      <c r="B121" s="109" t="s">
        <v>6075</v>
      </c>
      <c r="C121" s="214" t="s">
        <v>5133</v>
      </c>
      <c r="D121" s="215" t="s">
        <v>6311</v>
      </c>
      <c r="E121" s="102" t="s">
        <v>15</v>
      </c>
      <c r="F121" s="102">
        <v>2020</v>
      </c>
      <c r="G121" s="109" t="s">
        <v>16</v>
      </c>
      <c r="H121" s="109">
        <v>200</v>
      </c>
      <c r="I121" s="109">
        <v>200</v>
      </c>
      <c r="J121" s="109"/>
      <c r="K121" s="104"/>
      <c r="L121" s="105">
        <v>20201118</v>
      </c>
    </row>
    <row r="122" ht="16" customHeight="1" spans="1:12">
      <c r="A122" s="109">
        <v>120</v>
      </c>
      <c r="B122" s="109" t="s">
        <v>6075</v>
      </c>
      <c r="C122" s="214" t="s">
        <v>6312</v>
      </c>
      <c r="D122" s="215" t="s">
        <v>6313</v>
      </c>
      <c r="E122" s="102" t="s">
        <v>15</v>
      </c>
      <c r="F122" s="102">
        <v>2020</v>
      </c>
      <c r="G122" s="109" t="s">
        <v>16</v>
      </c>
      <c r="H122" s="109">
        <v>200</v>
      </c>
      <c r="I122" s="109">
        <v>200</v>
      </c>
      <c r="J122" s="109"/>
      <c r="K122" s="104"/>
      <c r="L122" s="105">
        <v>20201118</v>
      </c>
    </row>
    <row r="123" ht="16" customHeight="1" spans="1:12">
      <c r="A123" s="109">
        <v>121</v>
      </c>
      <c r="B123" s="109" t="s">
        <v>6075</v>
      </c>
      <c r="C123" s="214" t="s">
        <v>6314</v>
      </c>
      <c r="D123" s="215" t="s">
        <v>6315</v>
      </c>
      <c r="E123" s="102" t="s">
        <v>15</v>
      </c>
      <c r="F123" s="102">
        <v>2020</v>
      </c>
      <c r="G123" s="109" t="s">
        <v>16</v>
      </c>
      <c r="H123" s="109">
        <v>200</v>
      </c>
      <c r="I123" s="109">
        <v>200</v>
      </c>
      <c r="J123" s="109"/>
      <c r="K123" s="104"/>
      <c r="L123" s="105">
        <v>20201118</v>
      </c>
    </row>
    <row r="124" ht="16" customHeight="1" spans="1:12">
      <c r="A124" s="109">
        <v>122</v>
      </c>
      <c r="B124" s="109" t="s">
        <v>6075</v>
      </c>
      <c r="C124" s="214" t="s">
        <v>6316</v>
      </c>
      <c r="D124" s="215" t="s">
        <v>6317</v>
      </c>
      <c r="E124" s="102" t="s">
        <v>15</v>
      </c>
      <c r="F124" s="102">
        <v>2020</v>
      </c>
      <c r="G124" s="109" t="s">
        <v>16</v>
      </c>
      <c r="H124" s="109">
        <v>200</v>
      </c>
      <c r="I124" s="109">
        <v>200</v>
      </c>
      <c r="J124" s="109"/>
      <c r="K124" s="104"/>
      <c r="L124" s="105">
        <v>20201118</v>
      </c>
    </row>
    <row r="125" ht="16" customHeight="1" spans="1:12">
      <c r="A125" s="109">
        <v>123</v>
      </c>
      <c r="B125" s="109" t="s">
        <v>6075</v>
      </c>
      <c r="C125" s="214" t="s">
        <v>6318</v>
      </c>
      <c r="D125" s="215" t="s">
        <v>6319</v>
      </c>
      <c r="E125" s="102" t="s">
        <v>15</v>
      </c>
      <c r="F125" s="102">
        <v>2020</v>
      </c>
      <c r="G125" s="109" t="s">
        <v>16</v>
      </c>
      <c r="H125" s="109">
        <v>200</v>
      </c>
      <c r="I125" s="109">
        <v>200</v>
      </c>
      <c r="J125" s="109"/>
      <c r="K125" s="104"/>
      <c r="L125" s="105">
        <v>20201118</v>
      </c>
    </row>
    <row r="126" ht="16" customHeight="1" spans="1:12">
      <c r="A126" s="109">
        <v>124</v>
      </c>
      <c r="B126" s="109" t="s">
        <v>6075</v>
      </c>
      <c r="C126" s="214" t="s">
        <v>6320</v>
      </c>
      <c r="D126" s="215" t="s">
        <v>6321</v>
      </c>
      <c r="E126" s="102" t="s">
        <v>15</v>
      </c>
      <c r="F126" s="102">
        <v>2020</v>
      </c>
      <c r="G126" s="109" t="s">
        <v>16</v>
      </c>
      <c r="H126" s="109">
        <v>200</v>
      </c>
      <c r="I126" s="109">
        <v>200</v>
      </c>
      <c r="J126" s="109"/>
      <c r="K126" s="104"/>
      <c r="L126" s="105">
        <v>20201118</v>
      </c>
    </row>
    <row r="127" ht="16" customHeight="1" spans="1:12">
      <c r="A127" s="109">
        <v>125</v>
      </c>
      <c r="B127" s="109" t="s">
        <v>6075</v>
      </c>
      <c r="C127" s="214" t="s">
        <v>6322</v>
      </c>
      <c r="D127" s="215" t="s">
        <v>6323</v>
      </c>
      <c r="E127" s="102" t="s">
        <v>15</v>
      </c>
      <c r="F127" s="102">
        <v>2020</v>
      </c>
      <c r="G127" s="109" t="s">
        <v>16</v>
      </c>
      <c r="H127" s="109">
        <v>200</v>
      </c>
      <c r="I127" s="109">
        <v>200</v>
      </c>
      <c r="J127" s="109"/>
      <c r="K127" s="104"/>
      <c r="L127" s="105">
        <v>20201118</v>
      </c>
    </row>
    <row r="128" ht="16" customHeight="1" spans="1:12">
      <c r="A128" s="109">
        <v>126</v>
      </c>
      <c r="B128" s="109" t="s">
        <v>6075</v>
      </c>
      <c r="C128" s="214" t="s">
        <v>1570</v>
      </c>
      <c r="D128" s="215" t="s">
        <v>6324</v>
      </c>
      <c r="E128" s="102" t="s">
        <v>15</v>
      </c>
      <c r="F128" s="102">
        <v>2020</v>
      </c>
      <c r="G128" s="109" t="s">
        <v>16</v>
      </c>
      <c r="H128" s="109">
        <v>200</v>
      </c>
      <c r="I128" s="109">
        <v>200</v>
      </c>
      <c r="J128" s="109" t="s">
        <v>6097</v>
      </c>
      <c r="K128" s="104"/>
      <c r="L128" s="105">
        <v>20201118</v>
      </c>
    </row>
    <row r="129" ht="16" customHeight="1" spans="1:12">
      <c r="A129" s="109">
        <v>127</v>
      </c>
      <c r="B129" s="109" t="s">
        <v>6075</v>
      </c>
      <c r="C129" s="109" t="s">
        <v>6325</v>
      </c>
      <c r="D129" s="109" t="s">
        <v>6326</v>
      </c>
      <c r="E129" s="102" t="s">
        <v>15</v>
      </c>
      <c r="F129" s="102">
        <v>2020</v>
      </c>
      <c r="G129" s="109" t="s">
        <v>16</v>
      </c>
      <c r="H129" s="109">
        <v>200</v>
      </c>
      <c r="I129" s="109">
        <v>200</v>
      </c>
      <c r="J129" s="109" t="s">
        <v>6097</v>
      </c>
      <c r="K129" s="104"/>
      <c r="L129" s="105">
        <v>20201118</v>
      </c>
    </row>
    <row r="130" ht="16" customHeight="1" spans="1:12">
      <c r="A130" s="109">
        <v>128</v>
      </c>
      <c r="B130" s="109" t="s">
        <v>6075</v>
      </c>
      <c r="C130" s="214" t="s">
        <v>6327</v>
      </c>
      <c r="D130" s="215" t="s">
        <v>6328</v>
      </c>
      <c r="E130" s="102" t="s">
        <v>15</v>
      </c>
      <c r="F130" s="102">
        <v>2020</v>
      </c>
      <c r="G130" s="109" t="s">
        <v>16</v>
      </c>
      <c r="H130" s="109">
        <v>200</v>
      </c>
      <c r="I130" s="109">
        <v>200</v>
      </c>
      <c r="J130" s="109" t="s">
        <v>6097</v>
      </c>
      <c r="K130" s="104"/>
      <c r="L130" s="105">
        <v>20201118</v>
      </c>
    </row>
    <row r="131" ht="16" customHeight="1" spans="1:12">
      <c r="A131" s="109">
        <v>129</v>
      </c>
      <c r="B131" s="109" t="s">
        <v>6075</v>
      </c>
      <c r="C131" s="214" t="s">
        <v>6329</v>
      </c>
      <c r="D131" s="215" t="s">
        <v>6330</v>
      </c>
      <c r="E131" s="102" t="s">
        <v>15</v>
      </c>
      <c r="F131" s="102">
        <v>2020</v>
      </c>
      <c r="G131" s="109" t="s">
        <v>16</v>
      </c>
      <c r="H131" s="109">
        <v>200</v>
      </c>
      <c r="I131" s="109">
        <v>200</v>
      </c>
      <c r="J131" s="109" t="s">
        <v>6097</v>
      </c>
      <c r="K131" s="104"/>
      <c r="L131" s="105">
        <v>20201118</v>
      </c>
    </row>
    <row r="132" ht="16" customHeight="1" spans="1:12">
      <c r="A132" s="109">
        <v>130</v>
      </c>
      <c r="B132" s="109" t="s">
        <v>6075</v>
      </c>
      <c r="C132" s="214" t="s">
        <v>6331</v>
      </c>
      <c r="D132" s="215" t="s">
        <v>6332</v>
      </c>
      <c r="E132" s="102" t="s">
        <v>15</v>
      </c>
      <c r="F132" s="102">
        <v>2020</v>
      </c>
      <c r="G132" s="109" t="s">
        <v>16</v>
      </c>
      <c r="H132" s="109">
        <v>200</v>
      </c>
      <c r="I132" s="109">
        <v>200</v>
      </c>
      <c r="J132" s="109"/>
      <c r="K132" s="104"/>
      <c r="L132" s="105">
        <v>20201118</v>
      </c>
    </row>
    <row r="133" ht="16" customHeight="1" spans="1:12">
      <c r="A133" s="109">
        <v>131</v>
      </c>
      <c r="B133" s="109" t="s">
        <v>6075</v>
      </c>
      <c r="C133" s="214" t="s">
        <v>6333</v>
      </c>
      <c r="D133" s="215" t="s">
        <v>6334</v>
      </c>
      <c r="E133" s="102" t="s">
        <v>15</v>
      </c>
      <c r="F133" s="102">
        <v>2020</v>
      </c>
      <c r="G133" s="109" t="s">
        <v>16</v>
      </c>
      <c r="H133" s="109">
        <v>200</v>
      </c>
      <c r="I133" s="109">
        <v>200</v>
      </c>
      <c r="J133" s="109"/>
      <c r="K133" s="104"/>
      <c r="L133" s="105">
        <v>20201118</v>
      </c>
    </row>
    <row r="134" ht="16" customHeight="1" spans="1:12">
      <c r="A134" s="109">
        <v>132</v>
      </c>
      <c r="B134" s="109" t="s">
        <v>6075</v>
      </c>
      <c r="C134" s="214" t="s">
        <v>6335</v>
      </c>
      <c r="D134" s="215" t="s">
        <v>6336</v>
      </c>
      <c r="E134" s="102" t="s">
        <v>15</v>
      </c>
      <c r="F134" s="102">
        <v>2020</v>
      </c>
      <c r="G134" s="109" t="s">
        <v>16</v>
      </c>
      <c r="H134" s="109">
        <v>200</v>
      </c>
      <c r="I134" s="109">
        <v>200</v>
      </c>
      <c r="J134" s="109"/>
      <c r="K134" s="104"/>
      <c r="L134" s="105">
        <v>20201118</v>
      </c>
    </row>
    <row r="135" ht="16" customHeight="1" spans="1:12">
      <c r="A135" s="109">
        <v>133</v>
      </c>
      <c r="B135" s="109" t="s">
        <v>6075</v>
      </c>
      <c r="C135" s="214" t="s">
        <v>6337</v>
      </c>
      <c r="D135" s="215" t="s">
        <v>6338</v>
      </c>
      <c r="E135" s="102" t="s">
        <v>15</v>
      </c>
      <c r="F135" s="102">
        <v>2020</v>
      </c>
      <c r="G135" s="109" t="s">
        <v>16</v>
      </c>
      <c r="H135" s="109">
        <v>200</v>
      </c>
      <c r="I135" s="109">
        <v>200</v>
      </c>
      <c r="J135" s="109"/>
      <c r="K135" s="104"/>
      <c r="L135" s="105">
        <v>20201118</v>
      </c>
    </row>
    <row r="136" ht="16" customHeight="1" spans="1:12">
      <c r="A136" s="109">
        <v>134</v>
      </c>
      <c r="B136" s="109" t="s">
        <v>6075</v>
      </c>
      <c r="C136" s="214" t="s">
        <v>6339</v>
      </c>
      <c r="D136" s="215" t="s">
        <v>6340</v>
      </c>
      <c r="E136" s="102" t="s">
        <v>15</v>
      </c>
      <c r="F136" s="102">
        <v>2020</v>
      </c>
      <c r="G136" s="109" t="s">
        <v>16</v>
      </c>
      <c r="H136" s="109">
        <v>200</v>
      </c>
      <c r="I136" s="109">
        <v>200</v>
      </c>
      <c r="J136" s="109"/>
      <c r="K136" s="104"/>
      <c r="L136" s="105">
        <v>20201118</v>
      </c>
    </row>
    <row r="137" ht="16" customHeight="1" spans="1:12">
      <c r="A137" s="109">
        <v>135</v>
      </c>
      <c r="B137" s="109" t="s">
        <v>6075</v>
      </c>
      <c r="C137" s="214" t="s">
        <v>6341</v>
      </c>
      <c r="D137" s="215" t="s">
        <v>6342</v>
      </c>
      <c r="E137" s="102" t="s">
        <v>15</v>
      </c>
      <c r="F137" s="102">
        <v>2020</v>
      </c>
      <c r="G137" s="109" t="s">
        <v>16</v>
      </c>
      <c r="H137" s="109">
        <v>200</v>
      </c>
      <c r="I137" s="109">
        <v>200</v>
      </c>
      <c r="J137" s="109"/>
      <c r="K137" s="104"/>
      <c r="L137" s="105">
        <v>20201118</v>
      </c>
    </row>
    <row r="138" ht="16" customHeight="1" spans="1:12">
      <c r="A138" s="109">
        <v>136</v>
      </c>
      <c r="B138" s="109" t="s">
        <v>6075</v>
      </c>
      <c r="C138" s="214" t="s">
        <v>6343</v>
      </c>
      <c r="D138" s="215" t="s">
        <v>6344</v>
      </c>
      <c r="E138" s="102" t="s">
        <v>15</v>
      </c>
      <c r="F138" s="102">
        <v>2020</v>
      </c>
      <c r="G138" s="109" t="s">
        <v>16</v>
      </c>
      <c r="H138" s="109">
        <v>200</v>
      </c>
      <c r="I138" s="109">
        <v>200</v>
      </c>
      <c r="J138" s="109" t="s">
        <v>6345</v>
      </c>
      <c r="K138" s="104"/>
      <c r="L138" s="105">
        <v>20201118</v>
      </c>
    </row>
    <row r="139" ht="16" customHeight="1" spans="1:12">
      <c r="A139" s="109">
        <v>137</v>
      </c>
      <c r="B139" s="109" t="s">
        <v>6075</v>
      </c>
      <c r="C139" s="214" t="s">
        <v>6346</v>
      </c>
      <c r="D139" s="215" t="s">
        <v>6347</v>
      </c>
      <c r="E139" s="102" t="s">
        <v>15</v>
      </c>
      <c r="F139" s="102">
        <v>2020</v>
      </c>
      <c r="G139" s="109" t="s">
        <v>16</v>
      </c>
      <c r="H139" s="109">
        <v>200</v>
      </c>
      <c r="I139" s="109">
        <v>200</v>
      </c>
      <c r="J139" s="109"/>
      <c r="K139" s="104"/>
      <c r="L139" s="105">
        <v>20201118</v>
      </c>
    </row>
    <row r="140" ht="16" customHeight="1" spans="1:12">
      <c r="A140" s="109">
        <v>138</v>
      </c>
      <c r="B140" s="109" t="s">
        <v>6075</v>
      </c>
      <c r="C140" s="214" t="s">
        <v>6348</v>
      </c>
      <c r="D140" s="215" t="s">
        <v>6349</v>
      </c>
      <c r="E140" s="102" t="s">
        <v>15</v>
      </c>
      <c r="F140" s="102">
        <v>2020</v>
      </c>
      <c r="G140" s="109" t="s">
        <v>16</v>
      </c>
      <c r="H140" s="109">
        <v>200</v>
      </c>
      <c r="I140" s="109">
        <v>200</v>
      </c>
      <c r="J140" s="109"/>
      <c r="K140" s="104"/>
      <c r="L140" s="105">
        <v>20201118</v>
      </c>
    </row>
    <row r="141" ht="16" customHeight="1" spans="1:12">
      <c r="A141" s="109">
        <v>139</v>
      </c>
      <c r="B141" s="109" t="s">
        <v>6075</v>
      </c>
      <c r="C141" s="214" t="s">
        <v>6350</v>
      </c>
      <c r="D141" s="215" t="s">
        <v>6351</v>
      </c>
      <c r="E141" s="102" t="s">
        <v>15</v>
      </c>
      <c r="F141" s="102">
        <v>2020</v>
      </c>
      <c r="G141" s="109" t="s">
        <v>16</v>
      </c>
      <c r="H141" s="109">
        <v>200</v>
      </c>
      <c r="I141" s="109">
        <v>200</v>
      </c>
      <c r="J141" s="109"/>
      <c r="K141" s="104"/>
      <c r="L141" s="105">
        <v>20201118</v>
      </c>
    </row>
    <row r="142" ht="16" customHeight="1" spans="1:12">
      <c r="A142" s="109">
        <v>140</v>
      </c>
      <c r="B142" s="109" t="s">
        <v>6075</v>
      </c>
      <c r="C142" s="214" t="s">
        <v>6352</v>
      </c>
      <c r="D142" s="215" t="s">
        <v>6353</v>
      </c>
      <c r="E142" s="102" t="s">
        <v>15</v>
      </c>
      <c r="F142" s="102">
        <v>2020</v>
      </c>
      <c r="G142" s="109" t="s">
        <v>16</v>
      </c>
      <c r="H142" s="109">
        <v>200</v>
      </c>
      <c r="I142" s="109">
        <v>200</v>
      </c>
      <c r="J142" s="109"/>
      <c r="K142" s="104"/>
      <c r="L142" s="105">
        <v>20201118</v>
      </c>
    </row>
    <row r="143" ht="16" customHeight="1" spans="1:12">
      <c r="A143" s="109">
        <v>141</v>
      </c>
      <c r="B143" s="109" t="s">
        <v>6075</v>
      </c>
      <c r="C143" s="214" t="s">
        <v>6354</v>
      </c>
      <c r="D143" s="215" t="s">
        <v>6355</v>
      </c>
      <c r="E143" s="102" t="s">
        <v>15</v>
      </c>
      <c r="F143" s="102">
        <v>2020</v>
      </c>
      <c r="G143" s="109" t="s">
        <v>16</v>
      </c>
      <c r="H143" s="109">
        <v>200</v>
      </c>
      <c r="I143" s="109">
        <v>200</v>
      </c>
      <c r="J143" s="109"/>
      <c r="K143" s="104"/>
      <c r="L143" s="105">
        <v>20201118</v>
      </c>
    </row>
    <row r="144" ht="16" customHeight="1" spans="1:12">
      <c r="A144" s="109">
        <v>142</v>
      </c>
      <c r="B144" s="109" t="s">
        <v>6075</v>
      </c>
      <c r="C144" s="214" t="s">
        <v>6356</v>
      </c>
      <c r="D144" s="215" t="s">
        <v>6357</v>
      </c>
      <c r="E144" s="102" t="s">
        <v>15</v>
      </c>
      <c r="F144" s="102">
        <v>2020</v>
      </c>
      <c r="G144" s="109" t="s">
        <v>16</v>
      </c>
      <c r="H144" s="109">
        <v>200</v>
      </c>
      <c r="I144" s="109">
        <v>200</v>
      </c>
      <c r="J144" s="109"/>
      <c r="K144" s="104"/>
      <c r="L144" s="105">
        <v>20201118</v>
      </c>
    </row>
    <row r="145" ht="16" customHeight="1" spans="1:12">
      <c r="A145" s="109">
        <v>143</v>
      </c>
      <c r="B145" s="109" t="s">
        <v>6075</v>
      </c>
      <c r="C145" s="214" t="s">
        <v>6358</v>
      </c>
      <c r="D145" s="215" t="s">
        <v>6359</v>
      </c>
      <c r="E145" s="102" t="s">
        <v>15</v>
      </c>
      <c r="F145" s="102">
        <v>2020</v>
      </c>
      <c r="G145" s="109" t="s">
        <v>16</v>
      </c>
      <c r="H145" s="109">
        <v>200</v>
      </c>
      <c r="I145" s="109">
        <v>200</v>
      </c>
      <c r="J145" s="109"/>
      <c r="K145" s="104"/>
      <c r="L145" s="105">
        <v>20201118</v>
      </c>
    </row>
    <row r="146" ht="16" customHeight="1" spans="1:12">
      <c r="A146" s="109">
        <v>144</v>
      </c>
      <c r="B146" s="109" t="s">
        <v>6075</v>
      </c>
      <c r="C146" s="214" t="s">
        <v>6360</v>
      </c>
      <c r="D146" s="215" t="s">
        <v>6361</v>
      </c>
      <c r="E146" s="102" t="s">
        <v>15</v>
      </c>
      <c r="F146" s="102">
        <v>2020</v>
      </c>
      <c r="G146" s="109" t="s">
        <v>16</v>
      </c>
      <c r="H146" s="109">
        <v>200</v>
      </c>
      <c r="I146" s="109">
        <v>200</v>
      </c>
      <c r="J146" s="109"/>
      <c r="K146" s="104"/>
      <c r="L146" s="105">
        <v>20201118</v>
      </c>
    </row>
    <row r="147" ht="16" customHeight="1" spans="1:12">
      <c r="A147" s="109">
        <v>145</v>
      </c>
      <c r="B147" s="109" t="s">
        <v>6075</v>
      </c>
      <c r="C147" s="214" t="s">
        <v>6362</v>
      </c>
      <c r="D147" s="215" t="s">
        <v>6363</v>
      </c>
      <c r="E147" s="102" t="s">
        <v>15</v>
      </c>
      <c r="F147" s="102">
        <v>2020</v>
      </c>
      <c r="G147" s="109" t="s">
        <v>16</v>
      </c>
      <c r="H147" s="109">
        <v>200</v>
      </c>
      <c r="I147" s="109">
        <v>200</v>
      </c>
      <c r="J147" s="109"/>
      <c r="K147" s="104"/>
      <c r="L147" s="105">
        <v>20201118</v>
      </c>
    </row>
    <row r="148" ht="16" customHeight="1" spans="1:12">
      <c r="A148" s="109">
        <v>146</v>
      </c>
      <c r="B148" s="109" t="s">
        <v>6075</v>
      </c>
      <c r="C148" s="214" t="s">
        <v>6364</v>
      </c>
      <c r="D148" s="215" t="s">
        <v>6365</v>
      </c>
      <c r="E148" s="102" t="s">
        <v>15</v>
      </c>
      <c r="F148" s="102">
        <v>2020</v>
      </c>
      <c r="G148" s="109" t="s">
        <v>16</v>
      </c>
      <c r="H148" s="109">
        <v>200</v>
      </c>
      <c r="I148" s="109">
        <v>200</v>
      </c>
      <c r="J148" s="109"/>
      <c r="K148" s="104"/>
      <c r="L148" s="105">
        <v>20201118</v>
      </c>
    </row>
    <row r="149" ht="16" customHeight="1" spans="1:12">
      <c r="A149" s="109">
        <v>147</v>
      </c>
      <c r="B149" s="109" t="s">
        <v>6075</v>
      </c>
      <c r="C149" s="214" t="s">
        <v>4633</v>
      </c>
      <c r="D149" s="215" t="s">
        <v>6366</v>
      </c>
      <c r="E149" s="102" t="s">
        <v>15</v>
      </c>
      <c r="F149" s="102">
        <v>2020</v>
      </c>
      <c r="G149" s="109" t="s">
        <v>16</v>
      </c>
      <c r="H149" s="109">
        <v>200</v>
      </c>
      <c r="I149" s="109">
        <v>200</v>
      </c>
      <c r="J149" s="109" t="s">
        <v>6097</v>
      </c>
      <c r="K149" s="104"/>
      <c r="L149" s="105">
        <v>20201118</v>
      </c>
    </row>
    <row r="150" ht="16" customHeight="1" spans="1:12">
      <c r="A150" s="109">
        <v>148</v>
      </c>
      <c r="B150" s="109" t="s">
        <v>6075</v>
      </c>
      <c r="C150" s="214" t="s">
        <v>6367</v>
      </c>
      <c r="D150" s="215" t="s">
        <v>6368</v>
      </c>
      <c r="E150" s="102" t="s">
        <v>15</v>
      </c>
      <c r="F150" s="102">
        <v>2020</v>
      </c>
      <c r="G150" s="109" t="s">
        <v>16</v>
      </c>
      <c r="H150" s="109">
        <v>200</v>
      </c>
      <c r="I150" s="109">
        <v>200</v>
      </c>
      <c r="J150" s="109" t="s">
        <v>6097</v>
      </c>
      <c r="K150" s="104"/>
      <c r="L150" s="105">
        <v>20201118</v>
      </c>
    </row>
    <row r="151" ht="16" customHeight="1" spans="1:12">
      <c r="A151" s="109">
        <v>149</v>
      </c>
      <c r="B151" s="109" t="s">
        <v>6075</v>
      </c>
      <c r="C151" s="214" t="s">
        <v>6369</v>
      </c>
      <c r="D151" s="215" t="s">
        <v>6370</v>
      </c>
      <c r="E151" s="102" t="s">
        <v>15</v>
      </c>
      <c r="F151" s="102">
        <v>2020</v>
      </c>
      <c r="G151" s="109" t="s">
        <v>16</v>
      </c>
      <c r="H151" s="109">
        <v>200</v>
      </c>
      <c r="I151" s="109">
        <v>200</v>
      </c>
      <c r="J151" s="109"/>
      <c r="K151" s="104"/>
      <c r="L151" s="105">
        <v>20201118</v>
      </c>
    </row>
    <row r="152" ht="16" customHeight="1" spans="1:12">
      <c r="A152" s="109">
        <v>150</v>
      </c>
      <c r="B152" s="109" t="s">
        <v>6075</v>
      </c>
      <c r="C152" s="214" t="s">
        <v>6371</v>
      </c>
      <c r="D152" s="215" t="s">
        <v>6372</v>
      </c>
      <c r="E152" s="102" t="s">
        <v>15</v>
      </c>
      <c r="F152" s="102">
        <v>2020</v>
      </c>
      <c r="G152" s="109" t="s">
        <v>16</v>
      </c>
      <c r="H152" s="109">
        <v>200</v>
      </c>
      <c r="I152" s="109">
        <v>200</v>
      </c>
      <c r="J152" s="109"/>
      <c r="K152" s="104"/>
      <c r="L152" s="105">
        <v>20201118</v>
      </c>
    </row>
    <row r="153" ht="16" customHeight="1" spans="1:12">
      <c r="A153" s="109">
        <v>151</v>
      </c>
      <c r="B153" s="109" t="s">
        <v>6075</v>
      </c>
      <c r="C153" s="214" t="s">
        <v>6373</v>
      </c>
      <c r="D153" s="215" t="s">
        <v>6374</v>
      </c>
      <c r="E153" s="102" t="s">
        <v>15</v>
      </c>
      <c r="F153" s="102">
        <v>2020</v>
      </c>
      <c r="G153" s="109" t="s">
        <v>16</v>
      </c>
      <c r="H153" s="109">
        <v>200</v>
      </c>
      <c r="I153" s="109">
        <v>200</v>
      </c>
      <c r="J153" s="109"/>
      <c r="K153" s="104"/>
      <c r="L153" s="105">
        <v>20201118</v>
      </c>
    </row>
    <row r="154" ht="16" customHeight="1" spans="1:12">
      <c r="A154" s="109">
        <v>152</v>
      </c>
      <c r="B154" s="109" t="s">
        <v>6075</v>
      </c>
      <c r="C154" s="214" t="s">
        <v>6375</v>
      </c>
      <c r="D154" s="215" t="s">
        <v>6376</v>
      </c>
      <c r="E154" s="102" t="s">
        <v>15</v>
      </c>
      <c r="F154" s="102">
        <v>2020</v>
      </c>
      <c r="G154" s="109" t="s">
        <v>16</v>
      </c>
      <c r="H154" s="109">
        <v>200</v>
      </c>
      <c r="I154" s="109">
        <v>200</v>
      </c>
      <c r="J154" s="109"/>
      <c r="K154" s="104"/>
      <c r="L154" s="105">
        <v>20201118</v>
      </c>
    </row>
    <row r="155" ht="16" customHeight="1" spans="1:12">
      <c r="A155" s="109">
        <v>153</v>
      </c>
      <c r="B155" s="109" t="s">
        <v>6075</v>
      </c>
      <c r="C155" s="214" t="s">
        <v>6377</v>
      </c>
      <c r="D155" s="215" t="s">
        <v>6378</v>
      </c>
      <c r="E155" s="102" t="s">
        <v>15</v>
      </c>
      <c r="F155" s="102">
        <v>2020</v>
      </c>
      <c r="G155" s="109" t="s">
        <v>16</v>
      </c>
      <c r="H155" s="109">
        <v>200</v>
      </c>
      <c r="I155" s="109">
        <v>200</v>
      </c>
      <c r="J155" s="109"/>
      <c r="K155" s="104"/>
      <c r="L155" s="105">
        <v>20201118</v>
      </c>
    </row>
    <row r="156" ht="16" customHeight="1" spans="1:12">
      <c r="A156" s="109">
        <v>154</v>
      </c>
      <c r="B156" s="109" t="s">
        <v>6075</v>
      </c>
      <c r="C156" s="214" t="s">
        <v>6379</v>
      </c>
      <c r="D156" s="215" t="s">
        <v>6380</v>
      </c>
      <c r="E156" s="102" t="s">
        <v>15</v>
      </c>
      <c r="F156" s="102">
        <v>2020</v>
      </c>
      <c r="G156" s="109" t="s">
        <v>16</v>
      </c>
      <c r="H156" s="109">
        <v>200</v>
      </c>
      <c r="I156" s="109">
        <v>200</v>
      </c>
      <c r="J156" s="109"/>
      <c r="K156" s="104"/>
      <c r="L156" s="105">
        <v>20201118</v>
      </c>
    </row>
    <row r="157" ht="16" customHeight="1" spans="1:12">
      <c r="A157" s="109">
        <v>155</v>
      </c>
      <c r="B157" s="109" t="s">
        <v>6075</v>
      </c>
      <c r="C157" s="214" t="s">
        <v>6381</v>
      </c>
      <c r="D157" s="215" t="s">
        <v>6382</v>
      </c>
      <c r="E157" s="102" t="s">
        <v>15</v>
      </c>
      <c r="F157" s="102">
        <v>2020</v>
      </c>
      <c r="G157" s="109" t="s">
        <v>16</v>
      </c>
      <c r="H157" s="109">
        <v>200</v>
      </c>
      <c r="I157" s="109">
        <v>200</v>
      </c>
      <c r="J157" s="109"/>
      <c r="K157" s="104"/>
      <c r="L157" s="105">
        <v>20201118</v>
      </c>
    </row>
    <row r="158" ht="16" customHeight="1" spans="1:12">
      <c r="A158" s="109">
        <v>156</v>
      </c>
      <c r="B158" s="109" t="s">
        <v>6075</v>
      </c>
      <c r="C158" s="214" t="s">
        <v>6383</v>
      </c>
      <c r="D158" s="215" t="s">
        <v>6384</v>
      </c>
      <c r="E158" s="102" t="s">
        <v>15</v>
      </c>
      <c r="F158" s="102">
        <v>2020</v>
      </c>
      <c r="G158" s="109" t="s">
        <v>16</v>
      </c>
      <c r="H158" s="109">
        <v>200</v>
      </c>
      <c r="I158" s="109">
        <v>200</v>
      </c>
      <c r="J158" s="109"/>
      <c r="K158" s="104"/>
      <c r="L158" s="105">
        <v>20201118</v>
      </c>
    </row>
    <row r="159" ht="16" customHeight="1" spans="1:12">
      <c r="A159" s="109">
        <v>157</v>
      </c>
      <c r="B159" s="109" t="s">
        <v>6075</v>
      </c>
      <c r="C159" s="214" t="s">
        <v>6385</v>
      </c>
      <c r="D159" s="215" t="s">
        <v>6386</v>
      </c>
      <c r="E159" s="102" t="s">
        <v>15</v>
      </c>
      <c r="F159" s="102">
        <v>2020</v>
      </c>
      <c r="G159" s="109" t="s">
        <v>16</v>
      </c>
      <c r="H159" s="109">
        <v>200</v>
      </c>
      <c r="I159" s="109">
        <v>200</v>
      </c>
      <c r="J159" s="109" t="s">
        <v>6097</v>
      </c>
      <c r="K159" s="104"/>
      <c r="L159" s="105">
        <v>20201118</v>
      </c>
    </row>
    <row r="160" ht="16" customHeight="1" spans="1:12">
      <c r="A160" s="109">
        <v>158</v>
      </c>
      <c r="B160" s="109" t="s">
        <v>6075</v>
      </c>
      <c r="C160" s="214" t="s">
        <v>6387</v>
      </c>
      <c r="D160" s="215" t="s">
        <v>6388</v>
      </c>
      <c r="E160" s="102" t="s">
        <v>15</v>
      </c>
      <c r="F160" s="102">
        <v>2020</v>
      </c>
      <c r="G160" s="109" t="s">
        <v>16</v>
      </c>
      <c r="H160" s="109">
        <v>200</v>
      </c>
      <c r="I160" s="109">
        <v>200</v>
      </c>
      <c r="J160" s="109" t="s">
        <v>6097</v>
      </c>
      <c r="K160" s="104"/>
      <c r="L160" s="105">
        <v>20201118</v>
      </c>
    </row>
    <row r="161" ht="16" customHeight="1" spans="1:12">
      <c r="A161" s="109">
        <v>159</v>
      </c>
      <c r="B161" s="109" t="s">
        <v>6075</v>
      </c>
      <c r="C161" s="214" t="s">
        <v>1858</v>
      </c>
      <c r="D161" s="215" t="s">
        <v>6389</v>
      </c>
      <c r="E161" s="102" t="s">
        <v>15</v>
      </c>
      <c r="F161" s="102">
        <v>2020</v>
      </c>
      <c r="G161" s="109" t="s">
        <v>16</v>
      </c>
      <c r="H161" s="109">
        <v>200</v>
      </c>
      <c r="I161" s="109">
        <v>200</v>
      </c>
      <c r="J161" s="109" t="s">
        <v>6097</v>
      </c>
      <c r="K161" s="104"/>
      <c r="L161" s="105">
        <v>20201118</v>
      </c>
    </row>
    <row r="162" ht="16" customHeight="1" spans="1:12">
      <c r="A162" s="109">
        <v>160</v>
      </c>
      <c r="B162" s="109" t="s">
        <v>6075</v>
      </c>
      <c r="C162" s="214" t="s">
        <v>6390</v>
      </c>
      <c r="D162" s="215" t="s">
        <v>6391</v>
      </c>
      <c r="E162" s="102" t="s">
        <v>15</v>
      </c>
      <c r="F162" s="102">
        <v>2020</v>
      </c>
      <c r="G162" s="109" t="s">
        <v>16</v>
      </c>
      <c r="H162" s="109">
        <v>200</v>
      </c>
      <c r="I162" s="109">
        <v>200</v>
      </c>
      <c r="J162" s="109" t="s">
        <v>6097</v>
      </c>
      <c r="K162" s="104"/>
      <c r="L162" s="105">
        <v>20201118</v>
      </c>
    </row>
    <row r="163" ht="16" customHeight="1" spans="1:12">
      <c r="A163" s="109">
        <v>161</v>
      </c>
      <c r="B163" s="109" t="s">
        <v>6075</v>
      </c>
      <c r="C163" s="214" t="s">
        <v>6392</v>
      </c>
      <c r="D163" s="215" t="s">
        <v>6393</v>
      </c>
      <c r="E163" s="102" t="s">
        <v>15</v>
      </c>
      <c r="F163" s="102">
        <v>2020</v>
      </c>
      <c r="G163" s="109" t="s">
        <v>16</v>
      </c>
      <c r="H163" s="109">
        <v>200</v>
      </c>
      <c r="I163" s="109">
        <v>200</v>
      </c>
      <c r="J163" s="109"/>
      <c r="K163" s="104"/>
      <c r="L163" s="105">
        <v>20201118</v>
      </c>
    </row>
    <row r="164" ht="16" customHeight="1" spans="1:12">
      <c r="A164" s="109">
        <v>162</v>
      </c>
      <c r="B164" s="109" t="s">
        <v>6075</v>
      </c>
      <c r="C164" s="109" t="s">
        <v>6394</v>
      </c>
      <c r="D164" s="215" t="s">
        <v>6395</v>
      </c>
      <c r="E164" s="102" t="s">
        <v>15</v>
      </c>
      <c r="F164" s="102">
        <v>2020</v>
      </c>
      <c r="G164" s="109" t="s">
        <v>16</v>
      </c>
      <c r="H164" s="109">
        <v>200</v>
      </c>
      <c r="I164" s="109">
        <v>200</v>
      </c>
      <c r="J164" s="109"/>
      <c r="K164" s="104"/>
      <c r="L164" s="105">
        <v>20201118</v>
      </c>
    </row>
    <row r="165" ht="16" customHeight="1" spans="1:12">
      <c r="A165" s="109">
        <v>163</v>
      </c>
      <c r="B165" s="109" t="s">
        <v>6075</v>
      </c>
      <c r="C165" s="214" t="s">
        <v>6396</v>
      </c>
      <c r="D165" s="215" t="s">
        <v>6397</v>
      </c>
      <c r="E165" s="102" t="s">
        <v>15</v>
      </c>
      <c r="F165" s="102">
        <v>2020</v>
      </c>
      <c r="G165" s="109" t="s">
        <v>16</v>
      </c>
      <c r="H165" s="109">
        <v>200</v>
      </c>
      <c r="I165" s="109">
        <v>200</v>
      </c>
      <c r="J165" s="109"/>
      <c r="K165" s="104"/>
      <c r="L165" s="105">
        <v>20201118</v>
      </c>
    </row>
    <row r="166" ht="16" customHeight="1" spans="1:12">
      <c r="A166" s="109">
        <v>164</v>
      </c>
      <c r="B166" s="109" t="s">
        <v>6075</v>
      </c>
      <c r="C166" s="214" t="s">
        <v>6398</v>
      </c>
      <c r="D166" s="215" t="s">
        <v>6399</v>
      </c>
      <c r="E166" s="102" t="s">
        <v>15</v>
      </c>
      <c r="F166" s="102">
        <v>2020</v>
      </c>
      <c r="G166" s="109" t="s">
        <v>16</v>
      </c>
      <c r="H166" s="109">
        <v>200</v>
      </c>
      <c r="I166" s="109">
        <v>200</v>
      </c>
      <c r="J166" s="109" t="s">
        <v>6097</v>
      </c>
      <c r="K166" s="104"/>
      <c r="L166" s="105">
        <v>20201118</v>
      </c>
    </row>
    <row r="167" ht="16" customHeight="1" spans="1:12">
      <c r="A167" s="109">
        <v>165</v>
      </c>
      <c r="B167" s="216" t="s">
        <v>6075</v>
      </c>
      <c r="C167" s="216" t="s">
        <v>6400</v>
      </c>
      <c r="D167" s="216" t="s">
        <v>6401</v>
      </c>
      <c r="E167" s="217" t="s">
        <v>15</v>
      </c>
      <c r="F167" s="217">
        <v>2020</v>
      </c>
      <c r="G167" s="216" t="s">
        <v>16</v>
      </c>
      <c r="H167" s="216">
        <v>200</v>
      </c>
      <c r="I167" s="216">
        <v>200</v>
      </c>
      <c r="J167" s="216" t="s">
        <v>6402</v>
      </c>
      <c r="K167" s="104"/>
      <c r="L167" s="105">
        <v>20201118</v>
      </c>
    </row>
    <row r="168" ht="16" customHeight="1" spans="1:12">
      <c r="A168" s="109">
        <v>166</v>
      </c>
      <c r="B168" s="109" t="s">
        <v>6075</v>
      </c>
      <c r="C168" s="214" t="s">
        <v>6403</v>
      </c>
      <c r="D168" s="215" t="s">
        <v>6404</v>
      </c>
      <c r="E168" s="102" t="s">
        <v>15</v>
      </c>
      <c r="F168" s="102">
        <v>2020</v>
      </c>
      <c r="G168" s="109" t="s">
        <v>16</v>
      </c>
      <c r="H168" s="109">
        <v>200</v>
      </c>
      <c r="I168" s="109">
        <v>200</v>
      </c>
      <c r="J168" s="109"/>
      <c r="K168" s="104"/>
      <c r="L168" s="105">
        <v>20201118</v>
      </c>
    </row>
    <row r="169" ht="16" customHeight="1" spans="1:12">
      <c r="A169" s="109">
        <v>167</v>
      </c>
      <c r="B169" s="109" t="s">
        <v>6075</v>
      </c>
      <c r="C169" s="214" t="s">
        <v>6405</v>
      </c>
      <c r="D169" s="215" t="s">
        <v>6406</v>
      </c>
      <c r="E169" s="102" t="s">
        <v>15</v>
      </c>
      <c r="F169" s="102">
        <v>2020</v>
      </c>
      <c r="G169" s="109" t="s">
        <v>16</v>
      </c>
      <c r="H169" s="109">
        <v>200</v>
      </c>
      <c r="I169" s="109">
        <v>200</v>
      </c>
      <c r="J169" s="109"/>
      <c r="K169" s="104"/>
      <c r="L169" s="105">
        <v>20201118</v>
      </c>
    </row>
    <row r="170" ht="16" customHeight="1" spans="1:12">
      <c r="A170" s="109">
        <v>168</v>
      </c>
      <c r="B170" s="109" t="s">
        <v>6075</v>
      </c>
      <c r="C170" s="214" t="s">
        <v>6407</v>
      </c>
      <c r="D170" s="215" t="s">
        <v>6408</v>
      </c>
      <c r="E170" s="102" t="s">
        <v>15</v>
      </c>
      <c r="F170" s="102">
        <v>2020</v>
      </c>
      <c r="G170" s="109" t="s">
        <v>16</v>
      </c>
      <c r="H170" s="109">
        <v>200</v>
      </c>
      <c r="I170" s="109">
        <v>200</v>
      </c>
      <c r="J170" s="109"/>
      <c r="K170" s="104"/>
      <c r="L170" s="105">
        <v>20201118</v>
      </c>
    </row>
    <row r="171" ht="16" customHeight="1" spans="1:12">
      <c r="A171" s="109">
        <v>169</v>
      </c>
      <c r="B171" s="109" t="s">
        <v>6075</v>
      </c>
      <c r="C171" s="214" t="s">
        <v>6409</v>
      </c>
      <c r="D171" s="215" t="s">
        <v>6410</v>
      </c>
      <c r="E171" s="102" t="s">
        <v>15</v>
      </c>
      <c r="F171" s="102">
        <v>2020</v>
      </c>
      <c r="G171" s="109" t="s">
        <v>16</v>
      </c>
      <c r="H171" s="109">
        <v>200</v>
      </c>
      <c r="I171" s="109">
        <v>200</v>
      </c>
      <c r="J171" s="109"/>
      <c r="K171" s="104"/>
      <c r="L171" s="105">
        <v>20201118</v>
      </c>
    </row>
    <row r="172" ht="16" customHeight="1" spans="1:12">
      <c r="A172" s="109">
        <v>170</v>
      </c>
      <c r="B172" s="109" t="s">
        <v>6075</v>
      </c>
      <c r="C172" s="214" t="s">
        <v>6411</v>
      </c>
      <c r="D172" s="215" t="s">
        <v>6412</v>
      </c>
      <c r="E172" s="102" t="s">
        <v>15</v>
      </c>
      <c r="F172" s="102">
        <v>2020</v>
      </c>
      <c r="G172" s="109" t="s">
        <v>16</v>
      </c>
      <c r="H172" s="109">
        <v>200</v>
      </c>
      <c r="I172" s="109">
        <v>200</v>
      </c>
      <c r="J172" s="109"/>
      <c r="K172" s="104"/>
      <c r="L172" s="105">
        <v>20201118</v>
      </c>
    </row>
    <row r="173" ht="16" customHeight="1" spans="1:12">
      <c r="A173" s="109">
        <v>171</v>
      </c>
      <c r="B173" s="109" t="s">
        <v>6075</v>
      </c>
      <c r="C173" s="214" t="s">
        <v>6413</v>
      </c>
      <c r="D173" s="215" t="s">
        <v>6414</v>
      </c>
      <c r="E173" s="102" t="s">
        <v>15</v>
      </c>
      <c r="F173" s="102">
        <v>2020</v>
      </c>
      <c r="G173" s="109" t="s">
        <v>16</v>
      </c>
      <c r="H173" s="109">
        <v>200</v>
      </c>
      <c r="I173" s="109">
        <v>200</v>
      </c>
      <c r="J173" s="109"/>
      <c r="K173" s="104"/>
      <c r="L173" s="105">
        <v>20201118</v>
      </c>
    </row>
    <row r="174" ht="16" customHeight="1" spans="1:12">
      <c r="A174" s="109">
        <v>172</v>
      </c>
      <c r="B174" s="109" t="s">
        <v>6075</v>
      </c>
      <c r="C174" s="214" t="s">
        <v>6415</v>
      </c>
      <c r="D174" s="215" t="s">
        <v>6416</v>
      </c>
      <c r="E174" s="102" t="s">
        <v>15</v>
      </c>
      <c r="F174" s="102">
        <v>2020</v>
      </c>
      <c r="G174" s="109" t="s">
        <v>16</v>
      </c>
      <c r="H174" s="109">
        <v>200</v>
      </c>
      <c r="I174" s="109">
        <v>200</v>
      </c>
      <c r="J174" s="109"/>
      <c r="K174" s="104"/>
      <c r="L174" s="105">
        <v>20201118</v>
      </c>
    </row>
    <row r="175" ht="16" customHeight="1" spans="1:12">
      <c r="A175" s="109">
        <v>173</v>
      </c>
      <c r="B175" s="109" t="s">
        <v>6075</v>
      </c>
      <c r="C175" s="214" t="s">
        <v>6417</v>
      </c>
      <c r="D175" s="215" t="s">
        <v>6418</v>
      </c>
      <c r="E175" s="102" t="s">
        <v>15</v>
      </c>
      <c r="F175" s="102">
        <v>2020</v>
      </c>
      <c r="G175" s="109" t="s">
        <v>16</v>
      </c>
      <c r="H175" s="109">
        <v>200</v>
      </c>
      <c r="I175" s="109">
        <v>200</v>
      </c>
      <c r="J175" s="109"/>
      <c r="K175" s="104"/>
      <c r="L175" s="105">
        <v>20201118</v>
      </c>
    </row>
    <row r="176" ht="16" customHeight="1" spans="1:12">
      <c r="A176" s="109">
        <v>174</v>
      </c>
      <c r="B176" s="109" t="s">
        <v>6075</v>
      </c>
      <c r="C176" s="214" t="s">
        <v>6419</v>
      </c>
      <c r="D176" s="215" t="s">
        <v>6420</v>
      </c>
      <c r="E176" s="102" t="s">
        <v>15</v>
      </c>
      <c r="F176" s="102">
        <v>2020</v>
      </c>
      <c r="G176" s="109" t="s">
        <v>16</v>
      </c>
      <c r="H176" s="109">
        <v>200</v>
      </c>
      <c r="I176" s="109">
        <v>200</v>
      </c>
      <c r="J176" s="109"/>
      <c r="K176" s="104"/>
      <c r="L176" s="105">
        <v>20201118</v>
      </c>
    </row>
    <row r="177" ht="16" customHeight="1" spans="1:12">
      <c r="A177" s="109">
        <v>175</v>
      </c>
      <c r="B177" s="109" t="s">
        <v>6075</v>
      </c>
      <c r="C177" s="214" t="s">
        <v>6421</v>
      </c>
      <c r="D177" s="215" t="s">
        <v>6422</v>
      </c>
      <c r="E177" s="102" t="s">
        <v>15</v>
      </c>
      <c r="F177" s="102">
        <v>2020</v>
      </c>
      <c r="G177" s="109" t="s">
        <v>16</v>
      </c>
      <c r="H177" s="109">
        <v>200</v>
      </c>
      <c r="I177" s="109">
        <v>200</v>
      </c>
      <c r="J177" s="109"/>
      <c r="K177" s="104"/>
      <c r="L177" s="105">
        <v>20201118</v>
      </c>
    </row>
    <row r="178" ht="16" customHeight="1" spans="1:12">
      <c r="A178" s="109">
        <v>176</v>
      </c>
      <c r="B178" s="109" t="s">
        <v>6075</v>
      </c>
      <c r="C178" s="214" t="s">
        <v>6423</v>
      </c>
      <c r="D178" s="215" t="s">
        <v>6424</v>
      </c>
      <c r="E178" s="102" t="s">
        <v>15</v>
      </c>
      <c r="F178" s="102">
        <v>2020</v>
      </c>
      <c r="G178" s="109" t="s">
        <v>16</v>
      </c>
      <c r="H178" s="109">
        <v>200</v>
      </c>
      <c r="I178" s="109">
        <v>200</v>
      </c>
      <c r="J178" s="109"/>
      <c r="K178" s="104"/>
      <c r="L178" s="105">
        <v>20201118</v>
      </c>
    </row>
    <row r="179" ht="16" customHeight="1" spans="1:12">
      <c r="A179" s="109">
        <v>177</v>
      </c>
      <c r="B179" s="109" t="s">
        <v>6075</v>
      </c>
      <c r="C179" s="214" t="s">
        <v>6425</v>
      </c>
      <c r="D179" s="215" t="s">
        <v>6426</v>
      </c>
      <c r="E179" s="102" t="s">
        <v>15</v>
      </c>
      <c r="F179" s="102">
        <v>2020</v>
      </c>
      <c r="G179" s="109" t="s">
        <v>16</v>
      </c>
      <c r="H179" s="109">
        <v>200</v>
      </c>
      <c r="I179" s="109">
        <v>200</v>
      </c>
      <c r="J179" s="109"/>
      <c r="K179" s="104"/>
      <c r="L179" s="105">
        <v>20201118</v>
      </c>
    </row>
    <row r="180" ht="16" customHeight="1" spans="1:12">
      <c r="A180" s="109">
        <v>178</v>
      </c>
      <c r="B180" s="109" t="s">
        <v>6075</v>
      </c>
      <c r="C180" s="214" t="s">
        <v>6427</v>
      </c>
      <c r="D180" s="215" t="s">
        <v>6428</v>
      </c>
      <c r="E180" s="102" t="s">
        <v>15</v>
      </c>
      <c r="F180" s="102">
        <v>2020</v>
      </c>
      <c r="G180" s="178" t="s">
        <v>189</v>
      </c>
      <c r="H180" s="109">
        <v>200</v>
      </c>
      <c r="I180" s="109">
        <v>200</v>
      </c>
      <c r="J180" s="109"/>
      <c r="K180" s="104"/>
      <c r="L180" s="105">
        <v>20201118</v>
      </c>
    </row>
    <row r="181" ht="16" customHeight="1" spans="1:12">
      <c r="A181" s="109">
        <v>179</v>
      </c>
      <c r="B181" s="109" t="s">
        <v>6075</v>
      </c>
      <c r="C181" s="214" t="s">
        <v>6429</v>
      </c>
      <c r="D181" s="215" t="s">
        <v>6430</v>
      </c>
      <c r="E181" s="102" t="s">
        <v>15</v>
      </c>
      <c r="F181" s="102">
        <v>2020</v>
      </c>
      <c r="G181" s="109" t="s">
        <v>16</v>
      </c>
      <c r="H181" s="109">
        <v>200</v>
      </c>
      <c r="I181" s="109">
        <v>200</v>
      </c>
      <c r="J181" s="109"/>
      <c r="K181" s="104"/>
      <c r="L181" s="105">
        <v>20201118</v>
      </c>
    </row>
    <row r="182" ht="16" customHeight="1" spans="1:12">
      <c r="A182" s="109">
        <v>180</v>
      </c>
      <c r="B182" s="109" t="s">
        <v>6075</v>
      </c>
      <c r="C182" s="214" t="s">
        <v>6431</v>
      </c>
      <c r="D182" s="215" t="s">
        <v>6432</v>
      </c>
      <c r="E182" s="102" t="s">
        <v>15</v>
      </c>
      <c r="F182" s="102">
        <v>2020</v>
      </c>
      <c r="G182" s="109" t="s">
        <v>16</v>
      </c>
      <c r="H182" s="109">
        <v>200</v>
      </c>
      <c r="I182" s="109">
        <v>200</v>
      </c>
      <c r="J182" s="109"/>
      <c r="K182" s="104"/>
      <c r="L182" s="105">
        <v>20201118</v>
      </c>
    </row>
    <row r="183" ht="16" customHeight="1" spans="1:12">
      <c r="A183" s="109">
        <v>181</v>
      </c>
      <c r="B183" s="109" t="s">
        <v>6075</v>
      </c>
      <c r="C183" s="214" t="s">
        <v>6433</v>
      </c>
      <c r="D183" s="215" t="s">
        <v>6434</v>
      </c>
      <c r="E183" s="102" t="s">
        <v>15</v>
      </c>
      <c r="F183" s="102">
        <v>2020</v>
      </c>
      <c r="G183" s="109" t="s">
        <v>16</v>
      </c>
      <c r="H183" s="109">
        <v>500</v>
      </c>
      <c r="I183" s="109">
        <v>500</v>
      </c>
      <c r="J183" s="109"/>
      <c r="K183" s="104"/>
      <c r="L183" s="105">
        <v>20201118</v>
      </c>
    </row>
    <row r="184" ht="16" customHeight="1" spans="1:12">
      <c r="A184" s="109">
        <v>182</v>
      </c>
      <c r="B184" s="109" t="s">
        <v>6075</v>
      </c>
      <c r="C184" s="214" t="s">
        <v>6435</v>
      </c>
      <c r="D184" s="215" t="s">
        <v>6436</v>
      </c>
      <c r="E184" s="102" t="s">
        <v>15</v>
      </c>
      <c r="F184" s="102">
        <v>2020</v>
      </c>
      <c r="G184" s="109" t="s">
        <v>16</v>
      </c>
      <c r="H184" s="109">
        <v>500</v>
      </c>
      <c r="I184" s="109">
        <v>500</v>
      </c>
      <c r="J184" s="109"/>
      <c r="K184" s="104"/>
      <c r="L184" s="105">
        <v>20201118</v>
      </c>
    </row>
    <row r="185" ht="16" customHeight="1" spans="1:12">
      <c r="A185" s="109">
        <v>183</v>
      </c>
      <c r="B185" s="109" t="s">
        <v>6075</v>
      </c>
      <c r="C185" s="214" t="s">
        <v>6437</v>
      </c>
      <c r="D185" s="215" t="s">
        <v>6438</v>
      </c>
      <c r="E185" s="102" t="s">
        <v>15</v>
      </c>
      <c r="F185" s="102">
        <v>2020</v>
      </c>
      <c r="G185" s="109" t="s">
        <v>16</v>
      </c>
      <c r="H185" s="109">
        <v>200</v>
      </c>
      <c r="I185" s="109">
        <v>200</v>
      </c>
      <c r="J185" s="109"/>
      <c r="K185" s="104"/>
      <c r="L185" s="105">
        <v>20201118</v>
      </c>
    </row>
    <row r="186" ht="16" customHeight="1" spans="1:12">
      <c r="A186" s="109">
        <v>184</v>
      </c>
      <c r="B186" s="109" t="s">
        <v>6075</v>
      </c>
      <c r="C186" s="214" t="s">
        <v>6439</v>
      </c>
      <c r="D186" s="215" t="s">
        <v>6440</v>
      </c>
      <c r="E186" s="102" t="s">
        <v>15</v>
      </c>
      <c r="F186" s="102">
        <v>2020</v>
      </c>
      <c r="G186" s="109" t="s">
        <v>16</v>
      </c>
      <c r="H186" s="109">
        <v>200</v>
      </c>
      <c r="I186" s="109">
        <v>200</v>
      </c>
      <c r="J186" s="109"/>
      <c r="K186" s="104"/>
      <c r="L186" s="105">
        <v>20201118</v>
      </c>
    </row>
    <row r="187" ht="16" customHeight="1" spans="1:12">
      <c r="A187" s="109">
        <v>185</v>
      </c>
      <c r="B187" s="109" t="s">
        <v>6075</v>
      </c>
      <c r="C187" s="214" t="s">
        <v>6441</v>
      </c>
      <c r="D187" s="215" t="s">
        <v>6442</v>
      </c>
      <c r="E187" s="102" t="s">
        <v>15</v>
      </c>
      <c r="F187" s="102">
        <v>2020</v>
      </c>
      <c r="G187" s="109" t="s">
        <v>16</v>
      </c>
      <c r="H187" s="109">
        <v>200</v>
      </c>
      <c r="I187" s="109">
        <v>200</v>
      </c>
      <c r="J187" s="109"/>
      <c r="K187" s="104"/>
      <c r="L187" s="105">
        <v>20201118</v>
      </c>
    </row>
    <row r="188" ht="16" customHeight="1" spans="1:12">
      <c r="A188" s="109">
        <v>186</v>
      </c>
      <c r="B188" s="109" t="s">
        <v>6075</v>
      </c>
      <c r="C188" s="214" t="s">
        <v>4926</v>
      </c>
      <c r="D188" s="215" t="s">
        <v>6443</v>
      </c>
      <c r="E188" s="102" t="s">
        <v>15</v>
      </c>
      <c r="F188" s="102">
        <v>2020</v>
      </c>
      <c r="G188" s="109" t="s">
        <v>16</v>
      </c>
      <c r="H188" s="109">
        <v>200</v>
      </c>
      <c r="I188" s="109">
        <v>200</v>
      </c>
      <c r="J188" s="109"/>
      <c r="K188" s="104"/>
      <c r="L188" s="105">
        <v>20201118</v>
      </c>
    </row>
    <row r="189" ht="16" customHeight="1" spans="1:12">
      <c r="A189" s="109">
        <v>187</v>
      </c>
      <c r="B189" s="109" t="s">
        <v>6075</v>
      </c>
      <c r="C189" s="214" t="s">
        <v>6444</v>
      </c>
      <c r="D189" s="215" t="s">
        <v>6445</v>
      </c>
      <c r="E189" s="102" t="s">
        <v>15</v>
      </c>
      <c r="F189" s="102">
        <v>2020</v>
      </c>
      <c r="G189" s="109" t="s">
        <v>16</v>
      </c>
      <c r="H189" s="109">
        <v>200</v>
      </c>
      <c r="I189" s="109">
        <v>200</v>
      </c>
      <c r="J189" s="109"/>
      <c r="K189" s="104"/>
      <c r="L189" s="105">
        <v>20201118</v>
      </c>
    </row>
    <row r="190" ht="16" customHeight="1" spans="1:12">
      <c r="A190" s="109">
        <v>188</v>
      </c>
      <c r="B190" s="109" t="s">
        <v>6075</v>
      </c>
      <c r="C190" s="214" t="s">
        <v>6446</v>
      </c>
      <c r="D190" s="215" t="s">
        <v>6447</v>
      </c>
      <c r="E190" s="102" t="s">
        <v>15</v>
      </c>
      <c r="F190" s="102">
        <v>2020</v>
      </c>
      <c r="G190" s="109" t="s">
        <v>16</v>
      </c>
      <c r="H190" s="109">
        <v>200</v>
      </c>
      <c r="I190" s="109">
        <v>200</v>
      </c>
      <c r="J190" s="109"/>
      <c r="K190" s="104"/>
      <c r="L190" s="105">
        <v>20201118</v>
      </c>
    </row>
    <row r="191" ht="16" customHeight="1" spans="1:12">
      <c r="A191" s="109">
        <v>189</v>
      </c>
      <c r="B191" s="109" t="s">
        <v>6075</v>
      </c>
      <c r="C191" s="214" t="s">
        <v>6448</v>
      </c>
      <c r="D191" s="215" t="s">
        <v>6449</v>
      </c>
      <c r="E191" s="102" t="s">
        <v>15</v>
      </c>
      <c r="F191" s="102">
        <v>2020</v>
      </c>
      <c r="G191" s="109" t="s">
        <v>16</v>
      </c>
      <c r="H191" s="109">
        <v>200</v>
      </c>
      <c r="I191" s="109">
        <v>200</v>
      </c>
      <c r="J191" s="109"/>
      <c r="K191" s="104"/>
      <c r="L191" s="105">
        <v>20201118</v>
      </c>
    </row>
    <row r="192" ht="16" customHeight="1" spans="1:12">
      <c r="A192" s="109">
        <v>190</v>
      </c>
      <c r="B192" s="109" t="s">
        <v>6075</v>
      </c>
      <c r="C192" s="214" t="s">
        <v>6358</v>
      </c>
      <c r="D192" s="215" t="s">
        <v>6450</v>
      </c>
      <c r="E192" s="102" t="s">
        <v>15</v>
      </c>
      <c r="F192" s="102">
        <v>2020</v>
      </c>
      <c r="G192" s="109" t="s">
        <v>16</v>
      </c>
      <c r="H192" s="109">
        <v>200</v>
      </c>
      <c r="I192" s="109">
        <v>200</v>
      </c>
      <c r="J192" s="109"/>
      <c r="K192" s="104"/>
      <c r="L192" s="105">
        <v>20201118</v>
      </c>
    </row>
    <row r="193" ht="16" customHeight="1" spans="1:12">
      <c r="A193" s="109">
        <v>191</v>
      </c>
      <c r="B193" s="109" t="s">
        <v>6075</v>
      </c>
      <c r="C193" s="214" t="s">
        <v>6451</v>
      </c>
      <c r="D193" s="215" t="s">
        <v>6452</v>
      </c>
      <c r="E193" s="102" t="s">
        <v>15</v>
      </c>
      <c r="F193" s="102">
        <v>2020</v>
      </c>
      <c r="G193" s="109" t="s">
        <v>16</v>
      </c>
      <c r="H193" s="109">
        <v>200</v>
      </c>
      <c r="I193" s="109">
        <v>200</v>
      </c>
      <c r="J193" s="109"/>
      <c r="K193" s="104"/>
      <c r="L193" s="105">
        <v>20201118</v>
      </c>
    </row>
    <row r="194" ht="16" customHeight="1" spans="1:12">
      <c r="A194" s="109">
        <v>192</v>
      </c>
      <c r="B194" s="109" t="s">
        <v>6075</v>
      </c>
      <c r="C194" s="214" t="s">
        <v>6453</v>
      </c>
      <c r="D194" s="215" t="s">
        <v>6454</v>
      </c>
      <c r="E194" s="102" t="s">
        <v>15</v>
      </c>
      <c r="F194" s="102">
        <v>2020</v>
      </c>
      <c r="G194" s="109" t="s">
        <v>16</v>
      </c>
      <c r="H194" s="109">
        <v>200</v>
      </c>
      <c r="I194" s="109">
        <v>200</v>
      </c>
      <c r="J194" s="109"/>
      <c r="K194" s="104"/>
      <c r="L194" s="105">
        <v>20201118</v>
      </c>
    </row>
    <row r="195" ht="16" customHeight="1" spans="1:12">
      <c r="A195" s="109">
        <v>193</v>
      </c>
      <c r="B195" s="109" t="s">
        <v>6075</v>
      </c>
      <c r="C195" s="214" t="s">
        <v>6455</v>
      </c>
      <c r="D195" s="215" t="s">
        <v>6456</v>
      </c>
      <c r="E195" s="102" t="s">
        <v>15</v>
      </c>
      <c r="F195" s="102">
        <v>2020</v>
      </c>
      <c r="G195" s="109" t="s">
        <v>16</v>
      </c>
      <c r="H195" s="109">
        <v>200</v>
      </c>
      <c r="I195" s="109">
        <v>200</v>
      </c>
      <c r="J195" s="109"/>
      <c r="K195" s="104"/>
      <c r="L195" s="105">
        <v>20201118</v>
      </c>
    </row>
    <row r="196" ht="16" customHeight="1" spans="1:12">
      <c r="A196" s="109">
        <v>194</v>
      </c>
      <c r="B196" s="109" t="s">
        <v>6075</v>
      </c>
      <c r="C196" s="214" t="s">
        <v>6457</v>
      </c>
      <c r="D196" s="215" t="s">
        <v>6458</v>
      </c>
      <c r="E196" s="102" t="s">
        <v>15</v>
      </c>
      <c r="F196" s="102">
        <v>2020</v>
      </c>
      <c r="G196" s="109" t="s">
        <v>16</v>
      </c>
      <c r="H196" s="109">
        <v>200</v>
      </c>
      <c r="I196" s="109">
        <v>200</v>
      </c>
      <c r="J196" s="109"/>
      <c r="K196" s="104"/>
      <c r="L196" s="105">
        <v>20201118</v>
      </c>
    </row>
    <row r="197" ht="16" customHeight="1" spans="1:12">
      <c r="A197" s="109">
        <v>195</v>
      </c>
      <c r="B197" s="109" t="s">
        <v>6075</v>
      </c>
      <c r="C197" s="214" t="s">
        <v>6459</v>
      </c>
      <c r="D197" s="215" t="s">
        <v>6460</v>
      </c>
      <c r="E197" s="102" t="s">
        <v>15</v>
      </c>
      <c r="F197" s="102">
        <v>2020</v>
      </c>
      <c r="G197" s="109" t="s">
        <v>16</v>
      </c>
      <c r="H197" s="109">
        <v>200</v>
      </c>
      <c r="I197" s="109">
        <v>200</v>
      </c>
      <c r="J197" s="109" t="s">
        <v>6097</v>
      </c>
      <c r="K197" s="104"/>
      <c r="L197" s="105">
        <v>20201118</v>
      </c>
    </row>
    <row r="198" ht="16" customHeight="1" spans="1:12">
      <c r="A198" s="109">
        <v>196</v>
      </c>
      <c r="B198" s="109" t="s">
        <v>6075</v>
      </c>
      <c r="C198" s="214" t="s">
        <v>6461</v>
      </c>
      <c r="D198" s="215" t="s">
        <v>6462</v>
      </c>
      <c r="E198" s="102" t="s">
        <v>15</v>
      </c>
      <c r="F198" s="102">
        <v>2020</v>
      </c>
      <c r="G198" s="109" t="s">
        <v>16</v>
      </c>
      <c r="H198" s="109">
        <v>200</v>
      </c>
      <c r="I198" s="109">
        <v>200</v>
      </c>
      <c r="J198" s="109"/>
      <c r="K198" s="104"/>
      <c r="L198" s="105">
        <v>20201118</v>
      </c>
    </row>
    <row r="199" ht="16" customHeight="1" spans="1:12">
      <c r="A199" s="109">
        <v>197</v>
      </c>
      <c r="B199" s="109" t="s">
        <v>6075</v>
      </c>
      <c r="C199" s="214" t="s">
        <v>6463</v>
      </c>
      <c r="D199" s="215" t="s">
        <v>6464</v>
      </c>
      <c r="E199" s="102" t="s">
        <v>15</v>
      </c>
      <c r="F199" s="102">
        <v>2020</v>
      </c>
      <c r="G199" s="109" t="s">
        <v>16</v>
      </c>
      <c r="H199" s="109">
        <v>200</v>
      </c>
      <c r="I199" s="109">
        <v>200</v>
      </c>
      <c r="J199" s="109"/>
      <c r="K199" s="104"/>
      <c r="L199" s="105">
        <v>20201118</v>
      </c>
    </row>
    <row r="200" ht="16" customHeight="1" spans="1:12">
      <c r="A200" s="109">
        <v>198</v>
      </c>
      <c r="B200" s="109" t="s">
        <v>6075</v>
      </c>
      <c r="C200" s="214" t="s">
        <v>6465</v>
      </c>
      <c r="D200" s="215" t="s">
        <v>6466</v>
      </c>
      <c r="E200" s="102" t="s">
        <v>15</v>
      </c>
      <c r="F200" s="102">
        <v>2020</v>
      </c>
      <c r="G200" s="109" t="s">
        <v>16</v>
      </c>
      <c r="H200" s="109">
        <v>200</v>
      </c>
      <c r="I200" s="109">
        <v>200</v>
      </c>
      <c r="J200" s="109"/>
      <c r="K200" s="104"/>
      <c r="L200" s="105">
        <v>20201118</v>
      </c>
    </row>
    <row r="201" ht="16" customHeight="1" spans="1:12">
      <c r="A201" s="109">
        <v>199</v>
      </c>
      <c r="B201" s="109" t="s">
        <v>6075</v>
      </c>
      <c r="C201" s="214" t="s">
        <v>6467</v>
      </c>
      <c r="D201" s="215" t="s">
        <v>6468</v>
      </c>
      <c r="E201" s="102" t="s">
        <v>15</v>
      </c>
      <c r="F201" s="102">
        <v>2020</v>
      </c>
      <c r="G201" s="109" t="s">
        <v>16</v>
      </c>
      <c r="H201" s="109">
        <v>200</v>
      </c>
      <c r="I201" s="109">
        <v>200</v>
      </c>
      <c r="J201" s="109"/>
      <c r="K201" s="104"/>
      <c r="L201" s="105">
        <v>20201118</v>
      </c>
    </row>
    <row r="202" ht="16" customHeight="1" spans="1:12">
      <c r="A202" s="109">
        <v>200</v>
      </c>
      <c r="B202" s="109" t="s">
        <v>6075</v>
      </c>
      <c r="C202" s="214" t="s">
        <v>6469</v>
      </c>
      <c r="D202" s="215" t="s">
        <v>6470</v>
      </c>
      <c r="E202" s="102" t="s">
        <v>15</v>
      </c>
      <c r="F202" s="102">
        <v>2020</v>
      </c>
      <c r="G202" s="109" t="s">
        <v>16</v>
      </c>
      <c r="H202" s="109">
        <v>200</v>
      </c>
      <c r="I202" s="109">
        <v>200</v>
      </c>
      <c r="J202" s="109"/>
      <c r="K202" s="104"/>
      <c r="L202" s="105">
        <v>20201118</v>
      </c>
    </row>
    <row r="203" ht="16" customHeight="1" spans="1:12">
      <c r="A203" s="109">
        <v>201</v>
      </c>
      <c r="B203" s="109" t="s">
        <v>6075</v>
      </c>
      <c r="C203" s="214" t="s">
        <v>6471</v>
      </c>
      <c r="D203" s="215" t="s">
        <v>6472</v>
      </c>
      <c r="E203" s="102" t="s">
        <v>15</v>
      </c>
      <c r="F203" s="102">
        <v>2020</v>
      </c>
      <c r="G203" s="109" t="s">
        <v>16</v>
      </c>
      <c r="H203" s="109">
        <v>200</v>
      </c>
      <c r="I203" s="109">
        <v>200</v>
      </c>
      <c r="J203" s="109"/>
      <c r="K203" s="104"/>
      <c r="L203" s="105">
        <v>20201118</v>
      </c>
    </row>
    <row r="204" ht="16" customHeight="1" spans="1:12">
      <c r="A204" s="109">
        <v>202</v>
      </c>
      <c r="B204" s="109" t="s">
        <v>6075</v>
      </c>
      <c r="C204" s="214" t="s">
        <v>6473</v>
      </c>
      <c r="D204" s="215" t="s">
        <v>6474</v>
      </c>
      <c r="E204" s="102" t="s">
        <v>15</v>
      </c>
      <c r="F204" s="102">
        <v>2020</v>
      </c>
      <c r="G204" s="109" t="s">
        <v>16</v>
      </c>
      <c r="H204" s="109">
        <v>200</v>
      </c>
      <c r="I204" s="109">
        <v>200</v>
      </c>
      <c r="J204" s="109"/>
      <c r="K204" s="104"/>
      <c r="L204" s="105">
        <v>20201118</v>
      </c>
    </row>
    <row r="205" ht="16" customHeight="1" spans="1:12">
      <c r="A205" s="109">
        <v>203</v>
      </c>
      <c r="B205" s="109" t="s">
        <v>6075</v>
      </c>
      <c r="C205" s="214" t="s">
        <v>6475</v>
      </c>
      <c r="D205" s="215" t="s">
        <v>6476</v>
      </c>
      <c r="E205" s="102" t="s">
        <v>15</v>
      </c>
      <c r="F205" s="102">
        <v>2020</v>
      </c>
      <c r="G205" s="109" t="s">
        <v>16</v>
      </c>
      <c r="H205" s="109">
        <v>200</v>
      </c>
      <c r="I205" s="109">
        <v>200</v>
      </c>
      <c r="J205" s="109"/>
      <c r="K205" s="104"/>
      <c r="L205" s="105">
        <v>20201118</v>
      </c>
    </row>
    <row r="206" ht="16" customHeight="1" spans="1:12">
      <c r="A206" s="109">
        <v>204</v>
      </c>
      <c r="B206" s="109" t="s">
        <v>6075</v>
      </c>
      <c r="C206" s="214" t="s">
        <v>6477</v>
      </c>
      <c r="D206" s="215" t="s">
        <v>6478</v>
      </c>
      <c r="E206" s="102" t="s">
        <v>15</v>
      </c>
      <c r="F206" s="102">
        <v>2020</v>
      </c>
      <c r="G206" s="109" t="s">
        <v>16</v>
      </c>
      <c r="H206" s="109">
        <v>200</v>
      </c>
      <c r="I206" s="109">
        <v>200</v>
      </c>
      <c r="J206" s="109"/>
      <c r="K206" s="104"/>
      <c r="L206" s="105">
        <v>20201118</v>
      </c>
    </row>
    <row r="207" ht="16" customHeight="1" spans="1:12">
      <c r="A207" s="109">
        <v>205</v>
      </c>
      <c r="B207" s="109" t="s">
        <v>6075</v>
      </c>
      <c r="C207" s="214" t="s">
        <v>6479</v>
      </c>
      <c r="D207" s="215" t="s">
        <v>6480</v>
      </c>
      <c r="E207" s="102" t="s">
        <v>15</v>
      </c>
      <c r="F207" s="102">
        <v>2020</v>
      </c>
      <c r="G207" s="109" t="s">
        <v>16</v>
      </c>
      <c r="H207" s="109">
        <v>200</v>
      </c>
      <c r="I207" s="109">
        <v>200</v>
      </c>
      <c r="J207" s="109"/>
      <c r="K207" s="104"/>
      <c r="L207" s="105">
        <v>20201118</v>
      </c>
    </row>
    <row r="208" ht="16" customHeight="1" spans="1:12">
      <c r="A208" s="109">
        <v>206</v>
      </c>
      <c r="B208" s="109" t="s">
        <v>6075</v>
      </c>
      <c r="C208" s="214" t="s">
        <v>6481</v>
      </c>
      <c r="D208" s="215" t="s">
        <v>6482</v>
      </c>
      <c r="E208" s="102" t="s">
        <v>15</v>
      </c>
      <c r="F208" s="102">
        <v>2020</v>
      </c>
      <c r="G208" s="109" t="s">
        <v>16</v>
      </c>
      <c r="H208" s="109">
        <v>200</v>
      </c>
      <c r="I208" s="109">
        <v>200</v>
      </c>
      <c r="J208" s="109"/>
      <c r="K208" s="104"/>
      <c r="L208" s="105">
        <v>20201118</v>
      </c>
    </row>
    <row r="209" ht="16" customHeight="1" spans="1:12">
      <c r="A209" s="109">
        <v>207</v>
      </c>
      <c r="B209" s="109" t="s">
        <v>6075</v>
      </c>
      <c r="C209" s="214" t="s">
        <v>6483</v>
      </c>
      <c r="D209" s="215" t="s">
        <v>6484</v>
      </c>
      <c r="E209" s="102" t="s">
        <v>15</v>
      </c>
      <c r="F209" s="102">
        <v>2020</v>
      </c>
      <c r="G209" s="109" t="s">
        <v>16</v>
      </c>
      <c r="H209" s="109">
        <v>200</v>
      </c>
      <c r="I209" s="109">
        <v>200</v>
      </c>
      <c r="J209" s="109"/>
      <c r="K209" s="104"/>
      <c r="L209" s="105">
        <v>20201118</v>
      </c>
    </row>
    <row r="210" ht="16" customHeight="1" spans="1:12">
      <c r="A210" s="109">
        <v>208</v>
      </c>
      <c r="B210" s="109" t="s">
        <v>6075</v>
      </c>
      <c r="C210" s="214" t="s">
        <v>6485</v>
      </c>
      <c r="D210" s="215" t="s">
        <v>6486</v>
      </c>
      <c r="E210" s="102" t="s">
        <v>15</v>
      </c>
      <c r="F210" s="102">
        <v>2020</v>
      </c>
      <c r="G210" s="109" t="s">
        <v>16</v>
      </c>
      <c r="H210" s="109">
        <v>200</v>
      </c>
      <c r="I210" s="109">
        <v>200</v>
      </c>
      <c r="J210" s="109"/>
      <c r="K210" s="104"/>
      <c r="L210" s="105">
        <v>20201118</v>
      </c>
    </row>
    <row r="211" ht="16" customHeight="1" spans="1:12">
      <c r="A211" s="109">
        <v>209</v>
      </c>
      <c r="B211" s="109" t="s">
        <v>6075</v>
      </c>
      <c r="C211" s="214" t="s">
        <v>6487</v>
      </c>
      <c r="D211" s="215" t="s">
        <v>6488</v>
      </c>
      <c r="E211" s="102" t="s">
        <v>15</v>
      </c>
      <c r="F211" s="102">
        <v>2020</v>
      </c>
      <c r="G211" s="109" t="s">
        <v>16</v>
      </c>
      <c r="H211" s="109">
        <v>200</v>
      </c>
      <c r="I211" s="109">
        <v>200</v>
      </c>
      <c r="J211" s="109"/>
      <c r="K211" s="104"/>
      <c r="L211" s="105">
        <v>20201118</v>
      </c>
    </row>
    <row r="212" ht="16" customHeight="1" spans="1:12">
      <c r="A212" s="109">
        <v>210</v>
      </c>
      <c r="B212" s="109" t="s">
        <v>6075</v>
      </c>
      <c r="C212" s="214" t="s">
        <v>6489</v>
      </c>
      <c r="D212" s="215" t="s">
        <v>6490</v>
      </c>
      <c r="E212" s="102" t="s">
        <v>15</v>
      </c>
      <c r="F212" s="102">
        <v>2020</v>
      </c>
      <c r="G212" s="109" t="s">
        <v>16</v>
      </c>
      <c r="H212" s="109">
        <v>200</v>
      </c>
      <c r="I212" s="109">
        <v>200</v>
      </c>
      <c r="J212" s="109"/>
      <c r="K212" s="104"/>
      <c r="L212" s="105">
        <v>20201118</v>
      </c>
    </row>
    <row r="213" ht="16" customHeight="1" spans="1:12">
      <c r="A213" s="109">
        <v>211</v>
      </c>
      <c r="B213" s="109" t="s">
        <v>6075</v>
      </c>
      <c r="C213" s="214" t="s">
        <v>6491</v>
      </c>
      <c r="D213" s="215" t="s">
        <v>6492</v>
      </c>
      <c r="E213" s="102" t="s">
        <v>15</v>
      </c>
      <c r="F213" s="102">
        <v>2020</v>
      </c>
      <c r="G213" s="109" t="s">
        <v>16</v>
      </c>
      <c r="H213" s="109">
        <v>200</v>
      </c>
      <c r="I213" s="109">
        <v>200</v>
      </c>
      <c r="J213" s="109"/>
      <c r="K213" s="104"/>
      <c r="L213" s="105">
        <v>20201118</v>
      </c>
    </row>
    <row r="214" ht="16" customHeight="1" spans="1:12">
      <c r="A214" s="109">
        <v>212</v>
      </c>
      <c r="B214" s="109" t="s">
        <v>6075</v>
      </c>
      <c r="C214" s="214" t="s">
        <v>6493</v>
      </c>
      <c r="D214" s="215" t="s">
        <v>6494</v>
      </c>
      <c r="E214" s="102" t="s">
        <v>15</v>
      </c>
      <c r="F214" s="102">
        <v>2020</v>
      </c>
      <c r="G214" s="109" t="s">
        <v>16</v>
      </c>
      <c r="H214" s="109">
        <v>200</v>
      </c>
      <c r="I214" s="109">
        <v>200</v>
      </c>
      <c r="J214" s="109"/>
      <c r="K214" s="104"/>
      <c r="L214" s="105">
        <v>20201118</v>
      </c>
    </row>
    <row r="215" ht="16" customHeight="1" spans="1:12">
      <c r="A215" s="109">
        <v>213</v>
      </c>
      <c r="B215" s="109" t="s">
        <v>6075</v>
      </c>
      <c r="C215" s="214" t="s">
        <v>6495</v>
      </c>
      <c r="D215" s="215" t="s">
        <v>6496</v>
      </c>
      <c r="E215" s="102" t="s">
        <v>15</v>
      </c>
      <c r="F215" s="102">
        <v>2020</v>
      </c>
      <c r="G215" s="109" t="s">
        <v>16</v>
      </c>
      <c r="H215" s="109">
        <v>200</v>
      </c>
      <c r="I215" s="109">
        <v>200</v>
      </c>
      <c r="J215" s="109"/>
      <c r="K215" s="104"/>
      <c r="L215" s="105">
        <v>20201118</v>
      </c>
    </row>
    <row r="216" ht="16" customHeight="1" spans="1:12">
      <c r="A216" s="109">
        <v>214</v>
      </c>
      <c r="B216" s="109" t="s">
        <v>6075</v>
      </c>
      <c r="C216" s="214" t="s">
        <v>6497</v>
      </c>
      <c r="D216" s="215" t="s">
        <v>6498</v>
      </c>
      <c r="E216" s="102" t="s">
        <v>15</v>
      </c>
      <c r="F216" s="102">
        <v>2020</v>
      </c>
      <c r="G216" s="109" t="s">
        <v>16</v>
      </c>
      <c r="H216" s="109">
        <v>200</v>
      </c>
      <c r="I216" s="109">
        <v>200</v>
      </c>
      <c r="J216" s="109"/>
      <c r="K216" s="104"/>
      <c r="L216" s="105">
        <v>20201118</v>
      </c>
    </row>
    <row r="217" ht="16" customHeight="1" spans="1:12">
      <c r="A217" s="109">
        <v>215</v>
      </c>
      <c r="B217" s="109" t="s">
        <v>6075</v>
      </c>
      <c r="C217" s="214" t="s">
        <v>6499</v>
      </c>
      <c r="D217" s="215" t="s">
        <v>6500</v>
      </c>
      <c r="E217" s="102" t="s">
        <v>15</v>
      </c>
      <c r="F217" s="102">
        <v>2020</v>
      </c>
      <c r="G217" s="109" t="s">
        <v>16</v>
      </c>
      <c r="H217" s="109">
        <v>200</v>
      </c>
      <c r="I217" s="109">
        <v>200</v>
      </c>
      <c r="J217" s="109"/>
      <c r="K217" s="104"/>
      <c r="L217" s="105">
        <v>20201118</v>
      </c>
    </row>
    <row r="218" ht="16" customHeight="1" spans="1:12">
      <c r="A218" s="109">
        <v>216</v>
      </c>
      <c r="B218" s="109" t="s">
        <v>6075</v>
      </c>
      <c r="C218" s="214" t="s">
        <v>6501</v>
      </c>
      <c r="D218" s="215" t="s">
        <v>6502</v>
      </c>
      <c r="E218" s="102" t="s">
        <v>15</v>
      </c>
      <c r="F218" s="102">
        <v>2020</v>
      </c>
      <c r="G218" s="109" t="s">
        <v>16</v>
      </c>
      <c r="H218" s="109">
        <v>200</v>
      </c>
      <c r="I218" s="109">
        <v>200</v>
      </c>
      <c r="J218" s="109"/>
      <c r="K218" s="104"/>
      <c r="L218" s="105">
        <v>20201118</v>
      </c>
    </row>
    <row r="219" ht="16" customHeight="1" spans="1:12">
      <c r="A219" s="109">
        <v>217</v>
      </c>
      <c r="B219" s="109" t="s">
        <v>6075</v>
      </c>
      <c r="C219" s="214" t="s">
        <v>6503</v>
      </c>
      <c r="D219" s="215" t="s">
        <v>6504</v>
      </c>
      <c r="E219" s="102" t="s">
        <v>15</v>
      </c>
      <c r="F219" s="102">
        <v>2020</v>
      </c>
      <c r="G219" s="109" t="s">
        <v>16</v>
      </c>
      <c r="H219" s="109">
        <v>200</v>
      </c>
      <c r="I219" s="109">
        <v>200</v>
      </c>
      <c r="J219" s="109" t="s">
        <v>6097</v>
      </c>
      <c r="K219" s="104"/>
      <c r="L219" s="105">
        <v>20201118</v>
      </c>
    </row>
    <row r="220" ht="16" customHeight="1" spans="1:12">
      <c r="A220" s="109">
        <v>218</v>
      </c>
      <c r="B220" s="109" t="s">
        <v>6075</v>
      </c>
      <c r="C220" s="109" t="s">
        <v>6505</v>
      </c>
      <c r="D220" s="213" t="s">
        <v>6506</v>
      </c>
      <c r="E220" s="102" t="s">
        <v>15</v>
      </c>
      <c r="F220" s="102">
        <v>2020</v>
      </c>
      <c r="G220" s="109" t="s">
        <v>16</v>
      </c>
      <c r="H220" s="109">
        <v>200</v>
      </c>
      <c r="I220" s="109">
        <v>200</v>
      </c>
      <c r="J220" s="109"/>
      <c r="K220" s="104"/>
      <c r="L220" s="105">
        <v>20201118</v>
      </c>
    </row>
    <row r="221" ht="16" customHeight="1" spans="1:12">
      <c r="A221" s="109">
        <v>219</v>
      </c>
      <c r="B221" s="109" t="s">
        <v>6075</v>
      </c>
      <c r="C221" s="214" t="s">
        <v>6507</v>
      </c>
      <c r="D221" s="215" t="s">
        <v>6508</v>
      </c>
      <c r="E221" s="102" t="s">
        <v>15</v>
      </c>
      <c r="F221" s="102">
        <v>2020</v>
      </c>
      <c r="G221" s="109" t="s">
        <v>16</v>
      </c>
      <c r="H221" s="109">
        <v>200</v>
      </c>
      <c r="I221" s="109">
        <v>200</v>
      </c>
      <c r="J221" s="109"/>
      <c r="K221" s="104"/>
      <c r="L221" s="105">
        <v>20201118</v>
      </c>
    </row>
    <row r="222" ht="16" customHeight="1" spans="1:12">
      <c r="A222" s="109">
        <v>220</v>
      </c>
      <c r="B222" s="109" t="s">
        <v>6075</v>
      </c>
      <c r="C222" s="214" t="s">
        <v>6509</v>
      </c>
      <c r="D222" s="215" t="s">
        <v>6510</v>
      </c>
      <c r="E222" s="102" t="s">
        <v>15</v>
      </c>
      <c r="F222" s="102">
        <v>2020</v>
      </c>
      <c r="G222" s="109" t="s">
        <v>16</v>
      </c>
      <c r="H222" s="109">
        <v>200</v>
      </c>
      <c r="I222" s="109">
        <v>200</v>
      </c>
      <c r="J222" s="109"/>
      <c r="K222" s="104"/>
      <c r="L222" s="105">
        <v>20201118</v>
      </c>
    </row>
    <row r="223" ht="16" customHeight="1" spans="1:12">
      <c r="A223" s="109">
        <v>221</v>
      </c>
      <c r="B223" s="109" t="s">
        <v>6075</v>
      </c>
      <c r="C223" s="214" t="s">
        <v>6511</v>
      </c>
      <c r="D223" s="215" t="s">
        <v>6512</v>
      </c>
      <c r="E223" s="102" t="s">
        <v>15</v>
      </c>
      <c r="F223" s="102">
        <v>2020</v>
      </c>
      <c r="G223" s="109" t="s">
        <v>16</v>
      </c>
      <c r="H223" s="109">
        <v>200</v>
      </c>
      <c r="I223" s="109">
        <v>200</v>
      </c>
      <c r="J223" s="109"/>
      <c r="K223" s="104"/>
      <c r="L223" s="105">
        <v>20201118</v>
      </c>
    </row>
    <row r="224" ht="16" customHeight="1" spans="1:12">
      <c r="A224" s="109">
        <v>222</v>
      </c>
      <c r="B224" s="109" t="s">
        <v>6075</v>
      </c>
      <c r="C224" s="214" t="s">
        <v>6513</v>
      </c>
      <c r="D224" s="215" t="s">
        <v>6514</v>
      </c>
      <c r="E224" s="102" t="s">
        <v>15</v>
      </c>
      <c r="F224" s="102">
        <v>2020</v>
      </c>
      <c r="G224" s="109" t="s">
        <v>16</v>
      </c>
      <c r="H224" s="109">
        <v>200</v>
      </c>
      <c r="I224" s="109">
        <v>200</v>
      </c>
      <c r="J224" s="109"/>
      <c r="K224" s="104"/>
      <c r="L224" s="105">
        <v>20201118</v>
      </c>
    </row>
    <row r="225" ht="16" customHeight="1" spans="1:12">
      <c r="A225" s="109">
        <v>223</v>
      </c>
      <c r="B225" s="109" t="s">
        <v>6075</v>
      </c>
      <c r="C225" s="214" t="s">
        <v>6515</v>
      </c>
      <c r="D225" s="215" t="s">
        <v>6516</v>
      </c>
      <c r="E225" s="102" t="s">
        <v>15</v>
      </c>
      <c r="F225" s="102">
        <v>2020</v>
      </c>
      <c r="G225" s="109" t="s">
        <v>16</v>
      </c>
      <c r="H225" s="109">
        <v>200</v>
      </c>
      <c r="I225" s="109">
        <v>200</v>
      </c>
      <c r="J225" s="109"/>
      <c r="K225" s="104"/>
      <c r="L225" s="105">
        <v>20201118</v>
      </c>
    </row>
    <row r="226" ht="16" customHeight="1" spans="1:12">
      <c r="A226" s="109">
        <v>224</v>
      </c>
      <c r="B226" s="109" t="s">
        <v>6075</v>
      </c>
      <c r="C226" s="214" t="s">
        <v>6517</v>
      </c>
      <c r="D226" s="215" t="s">
        <v>6518</v>
      </c>
      <c r="E226" s="102" t="s">
        <v>15</v>
      </c>
      <c r="F226" s="102">
        <v>2020</v>
      </c>
      <c r="G226" s="109" t="s">
        <v>16</v>
      </c>
      <c r="H226" s="109">
        <v>200</v>
      </c>
      <c r="I226" s="109">
        <v>200</v>
      </c>
      <c r="J226" s="109"/>
      <c r="K226" s="104"/>
      <c r="L226" s="105">
        <v>20201118</v>
      </c>
    </row>
    <row r="227" ht="16" customHeight="1" spans="1:12">
      <c r="A227" s="109">
        <v>225</v>
      </c>
      <c r="B227" s="109" t="s">
        <v>6075</v>
      </c>
      <c r="C227" s="214" t="s">
        <v>6519</v>
      </c>
      <c r="D227" s="215" t="s">
        <v>6520</v>
      </c>
      <c r="E227" s="102" t="s">
        <v>15</v>
      </c>
      <c r="F227" s="102">
        <v>2020</v>
      </c>
      <c r="G227" s="109" t="s">
        <v>16</v>
      </c>
      <c r="H227" s="109">
        <v>200</v>
      </c>
      <c r="I227" s="109">
        <v>200</v>
      </c>
      <c r="J227" s="109"/>
      <c r="K227" s="104"/>
      <c r="L227" s="105">
        <v>20201118</v>
      </c>
    </row>
    <row r="228" ht="16" customHeight="1" spans="1:12">
      <c r="A228" s="109">
        <v>226</v>
      </c>
      <c r="B228" s="109" t="s">
        <v>6075</v>
      </c>
      <c r="C228" s="214" t="s">
        <v>6521</v>
      </c>
      <c r="D228" s="215" t="s">
        <v>6522</v>
      </c>
      <c r="E228" s="102" t="s">
        <v>15</v>
      </c>
      <c r="F228" s="102">
        <v>2020</v>
      </c>
      <c r="G228" s="109" t="s">
        <v>16</v>
      </c>
      <c r="H228" s="109">
        <v>200</v>
      </c>
      <c r="I228" s="109">
        <v>200</v>
      </c>
      <c r="J228" s="109"/>
      <c r="K228" s="104"/>
      <c r="L228" s="105">
        <v>20201118</v>
      </c>
    </row>
    <row r="229" ht="16" customHeight="1" spans="1:12">
      <c r="A229" s="109">
        <v>227</v>
      </c>
      <c r="B229" s="109" t="s">
        <v>6075</v>
      </c>
      <c r="C229" s="214" t="s">
        <v>6523</v>
      </c>
      <c r="D229" s="215" t="s">
        <v>6524</v>
      </c>
      <c r="E229" s="102" t="s">
        <v>15</v>
      </c>
      <c r="F229" s="102">
        <v>2020</v>
      </c>
      <c r="G229" s="109" t="s">
        <v>16</v>
      </c>
      <c r="H229" s="109">
        <v>200</v>
      </c>
      <c r="I229" s="109">
        <v>200</v>
      </c>
      <c r="J229" s="109"/>
      <c r="K229" s="104"/>
      <c r="L229" s="105">
        <v>20201118</v>
      </c>
    </row>
    <row r="230" ht="16" customHeight="1" spans="1:12">
      <c r="A230" s="109">
        <v>228</v>
      </c>
      <c r="B230" s="109" t="s">
        <v>6075</v>
      </c>
      <c r="C230" s="214" t="s">
        <v>6525</v>
      </c>
      <c r="D230" s="215" t="s">
        <v>6526</v>
      </c>
      <c r="E230" s="102" t="s">
        <v>15</v>
      </c>
      <c r="F230" s="102">
        <v>2020</v>
      </c>
      <c r="G230" s="109" t="s">
        <v>16</v>
      </c>
      <c r="H230" s="109">
        <v>200</v>
      </c>
      <c r="I230" s="109">
        <v>200</v>
      </c>
      <c r="J230" s="109"/>
      <c r="K230" s="104"/>
      <c r="L230" s="105">
        <v>20201118</v>
      </c>
    </row>
    <row r="231" ht="16" customHeight="1" spans="1:12">
      <c r="A231" s="109">
        <v>229</v>
      </c>
      <c r="B231" s="109" t="s">
        <v>6075</v>
      </c>
      <c r="C231" s="109" t="s">
        <v>6527</v>
      </c>
      <c r="D231" s="109" t="s">
        <v>6528</v>
      </c>
      <c r="E231" s="102" t="s">
        <v>15</v>
      </c>
      <c r="F231" s="102">
        <v>2020</v>
      </c>
      <c r="G231" s="109" t="s">
        <v>16</v>
      </c>
      <c r="H231" s="109">
        <v>200</v>
      </c>
      <c r="I231" s="109">
        <v>200</v>
      </c>
      <c r="J231" s="109"/>
      <c r="K231" s="104"/>
      <c r="L231" s="105">
        <v>20201118</v>
      </c>
    </row>
    <row r="232" ht="16" customHeight="1" spans="1:12">
      <c r="A232" s="109">
        <v>230</v>
      </c>
      <c r="B232" s="109" t="s">
        <v>6075</v>
      </c>
      <c r="C232" s="214" t="s">
        <v>6529</v>
      </c>
      <c r="D232" s="215" t="s">
        <v>6530</v>
      </c>
      <c r="E232" s="102" t="s">
        <v>15</v>
      </c>
      <c r="F232" s="102">
        <v>2020</v>
      </c>
      <c r="G232" s="109" t="s">
        <v>16</v>
      </c>
      <c r="H232" s="109">
        <v>200</v>
      </c>
      <c r="I232" s="109">
        <v>200</v>
      </c>
      <c r="J232" s="109"/>
      <c r="K232" s="104"/>
      <c r="L232" s="105">
        <v>20201118</v>
      </c>
    </row>
    <row r="233" ht="16" customHeight="1" spans="1:12">
      <c r="A233" s="109">
        <v>231</v>
      </c>
      <c r="B233" s="109" t="s">
        <v>6075</v>
      </c>
      <c r="C233" s="214" t="s">
        <v>6531</v>
      </c>
      <c r="D233" s="215" t="s">
        <v>6532</v>
      </c>
      <c r="E233" s="102" t="s">
        <v>15</v>
      </c>
      <c r="F233" s="102">
        <v>2020</v>
      </c>
      <c r="G233" s="109" t="s">
        <v>16</v>
      </c>
      <c r="H233" s="109">
        <v>200</v>
      </c>
      <c r="I233" s="109">
        <v>200</v>
      </c>
      <c r="J233" s="109" t="s">
        <v>6097</v>
      </c>
      <c r="K233" s="104"/>
      <c r="L233" s="105">
        <v>20201118</v>
      </c>
    </row>
    <row r="234" ht="16" customHeight="1" spans="1:12">
      <c r="A234" s="109">
        <v>232</v>
      </c>
      <c r="B234" s="109" t="s">
        <v>6075</v>
      </c>
      <c r="C234" s="214" t="s">
        <v>6533</v>
      </c>
      <c r="D234" s="215" t="s">
        <v>6534</v>
      </c>
      <c r="E234" s="102" t="s">
        <v>15</v>
      </c>
      <c r="F234" s="102">
        <v>2020</v>
      </c>
      <c r="G234" s="109" t="s">
        <v>16</v>
      </c>
      <c r="H234" s="109">
        <v>200</v>
      </c>
      <c r="I234" s="109">
        <v>200</v>
      </c>
      <c r="J234" s="109" t="s">
        <v>6097</v>
      </c>
      <c r="K234" s="104"/>
      <c r="L234" s="105">
        <v>20201118</v>
      </c>
    </row>
    <row r="235" ht="16" customHeight="1" spans="1:12">
      <c r="A235" s="109">
        <v>233</v>
      </c>
      <c r="B235" s="109" t="s">
        <v>6075</v>
      </c>
      <c r="C235" s="214" t="s">
        <v>6535</v>
      </c>
      <c r="D235" s="215" t="s">
        <v>6536</v>
      </c>
      <c r="E235" s="102" t="s">
        <v>15</v>
      </c>
      <c r="F235" s="102">
        <v>2020</v>
      </c>
      <c r="G235" s="109" t="s">
        <v>16</v>
      </c>
      <c r="H235" s="109">
        <v>200</v>
      </c>
      <c r="I235" s="109">
        <v>200</v>
      </c>
      <c r="J235" s="109" t="s">
        <v>6097</v>
      </c>
      <c r="K235" s="104"/>
      <c r="L235" s="105">
        <v>20201118</v>
      </c>
    </row>
    <row r="236" ht="16" customHeight="1" spans="1:12">
      <c r="A236" s="109">
        <v>234</v>
      </c>
      <c r="B236" s="109" t="s">
        <v>6075</v>
      </c>
      <c r="C236" s="214" t="s">
        <v>6537</v>
      </c>
      <c r="D236" s="215" t="s">
        <v>6538</v>
      </c>
      <c r="E236" s="102" t="s">
        <v>15</v>
      </c>
      <c r="F236" s="102">
        <v>2020</v>
      </c>
      <c r="G236" s="109" t="s">
        <v>16</v>
      </c>
      <c r="H236" s="109">
        <v>200</v>
      </c>
      <c r="I236" s="109">
        <v>200</v>
      </c>
      <c r="J236" s="109" t="s">
        <v>6097</v>
      </c>
      <c r="K236" s="104"/>
      <c r="L236" s="105">
        <v>20201118</v>
      </c>
    </row>
    <row r="237" ht="16" customHeight="1" spans="1:12">
      <c r="A237" s="109">
        <v>235</v>
      </c>
      <c r="B237" s="109" t="s">
        <v>6075</v>
      </c>
      <c r="C237" s="214" t="s">
        <v>6539</v>
      </c>
      <c r="D237" s="215" t="s">
        <v>6540</v>
      </c>
      <c r="E237" s="102" t="s">
        <v>15</v>
      </c>
      <c r="F237" s="102">
        <v>2020</v>
      </c>
      <c r="G237" s="109" t="s">
        <v>16</v>
      </c>
      <c r="H237" s="109">
        <v>200</v>
      </c>
      <c r="I237" s="109">
        <v>200</v>
      </c>
      <c r="J237" s="109"/>
      <c r="K237" s="104"/>
      <c r="L237" s="105">
        <v>20201118</v>
      </c>
    </row>
    <row r="238" ht="16" customHeight="1" spans="1:12">
      <c r="A238" s="109">
        <v>236</v>
      </c>
      <c r="B238" s="109" t="s">
        <v>6075</v>
      </c>
      <c r="C238" s="214" t="s">
        <v>272</v>
      </c>
      <c r="D238" s="215" t="s">
        <v>6541</v>
      </c>
      <c r="E238" s="102" t="s">
        <v>15</v>
      </c>
      <c r="F238" s="102">
        <v>2020</v>
      </c>
      <c r="G238" s="109" t="s">
        <v>16</v>
      </c>
      <c r="H238" s="109">
        <v>200</v>
      </c>
      <c r="I238" s="109">
        <v>200</v>
      </c>
      <c r="J238" s="109"/>
      <c r="K238" s="104"/>
      <c r="L238" s="105">
        <v>20201118</v>
      </c>
    </row>
    <row r="239" ht="16" customHeight="1" spans="1:12">
      <c r="A239" s="109">
        <v>237</v>
      </c>
      <c r="B239" s="109" t="s">
        <v>6075</v>
      </c>
      <c r="C239" s="214" t="s">
        <v>6542</v>
      </c>
      <c r="D239" s="215" t="s">
        <v>6543</v>
      </c>
      <c r="E239" s="102" t="s">
        <v>15</v>
      </c>
      <c r="F239" s="102">
        <v>2020</v>
      </c>
      <c r="G239" s="109" t="s">
        <v>16</v>
      </c>
      <c r="H239" s="109">
        <v>200</v>
      </c>
      <c r="I239" s="109">
        <v>200</v>
      </c>
      <c r="J239" s="109"/>
      <c r="K239" s="104"/>
      <c r="L239" s="105">
        <v>20201118</v>
      </c>
    </row>
    <row r="240" ht="16" customHeight="1" spans="1:12">
      <c r="A240" s="109">
        <v>238</v>
      </c>
      <c r="B240" s="109" t="s">
        <v>6075</v>
      </c>
      <c r="C240" s="214" t="s">
        <v>6544</v>
      </c>
      <c r="D240" s="215" t="s">
        <v>6545</v>
      </c>
      <c r="E240" s="102" t="s">
        <v>15</v>
      </c>
      <c r="F240" s="102">
        <v>2020</v>
      </c>
      <c r="G240" s="109" t="s">
        <v>16</v>
      </c>
      <c r="H240" s="109">
        <v>200</v>
      </c>
      <c r="I240" s="109">
        <v>200</v>
      </c>
      <c r="J240" s="109" t="s">
        <v>6345</v>
      </c>
      <c r="K240" s="104"/>
      <c r="L240" s="105">
        <v>20201118</v>
      </c>
    </row>
    <row r="241" ht="16" customHeight="1" spans="1:12">
      <c r="A241" s="109">
        <v>239</v>
      </c>
      <c r="B241" s="109" t="s">
        <v>6075</v>
      </c>
      <c r="C241" s="214" t="s">
        <v>6546</v>
      </c>
      <c r="D241" s="215" t="s">
        <v>6547</v>
      </c>
      <c r="E241" s="102" t="s">
        <v>15</v>
      </c>
      <c r="F241" s="102">
        <v>2020</v>
      </c>
      <c r="G241" s="178" t="s">
        <v>189</v>
      </c>
      <c r="H241" s="109">
        <v>200</v>
      </c>
      <c r="I241" s="109">
        <v>200</v>
      </c>
      <c r="J241" s="109"/>
      <c r="K241" s="104"/>
      <c r="L241" s="105">
        <v>20201118</v>
      </c>
    </row>
    <row r="242" ht="16" customHeight="1" spans="1:12">
      <c r="A242" s="109">
        <v>240</v>
      </c>
      <c r="B242" s="109" t="s">
        <v>6075</v>
      </c>
      <c r="C242" s="214" t="s">
        <v>6548</v>
      </c>
      <c r="D242" s="215" t="s">
        <v>6549</v>
      </c>
      <c r="E242" s="102" t="s">
        <v>15</v>
      </c>
      <c r="F242" s="102">
        <v>2020</v>
      </c>
      <c r="G242" s="109" t="s">
        <v>16</v>
      </c>
      <c r="H242" s="109">
        <v>200</v>
      </c>
      <c r="I242" s="109">
        <v>200</v>
      </c>
      <c r="J242" s="109" t="s">
        <v>6097</v>
      </c>
      <c r="K242" s="104"/>
      <c r="L242" s="105">
        <v>20201118</v>
      </c>
    </row>
    <row r="243" ht="16" customHeight="1" spans="1:12">
      <c r="A243" s="109">
        <v>241</v>
      </c>
      <c r="B243" s="109" t="s">
        <v>6075</v>
      </c>
      <c r="C243" s="214" t="s">
        <v>6550</v>
      </c>
      <c r="D243" s="215" t="s">
        <v>6551</v>
      </c>
      <c r="E243" s="102" t="s">
        <v>15</v>
      </c>
      <c r="F243" s="102">
        <v>2020</v>
      </c>
      <c r="G243" s="109" t="s">
        <v>16</v>
      </c>
      <c r="H243" s="109">
        <v>200</v>
      </c>
      <c r="I243" s="109">
        <v>200</v>
      </c>
      <c r="J243" s="109" t="s">
        <v>6097</v>
      </c>
      <c r="K243" s="104"/>
      <c r="L243" s="105">
        <v>20201118</v>
      </c>
    </row>
    <row r="244" ht="16" customHeight="1" spans="1:12">
      <c r="A244" s="109">
        <v>242</v>
      </c>
      <c r="B244" s="109" t="s">
        <v>6075</v>
      </c>
      <c r="C244" s="214" t="s">
        <v>6552</v>
      </c>
      <c r="D244" s="215" t="s">
        <v>6553</v>
      </c>
      <c r="E244" s="102" t="s">
        <v>15</v>
      </c>
      <c r="F244" s="102">
        <v>2020</v>
      </c>
      <c r="G244" s="109" t="s">
        <v>16</v>
      </c>
      <c r="H244" s="109">
        <v>200</v>
      </c>
      <c r="I244" s="109">
        <v>200</v>
      </c>
      <c r="J244" s="109" t="s">
        <v>6097</v>
      </c>
      <c r="K244" s="104"/>
      <c r="L244" s="105">
        <v>20201118</v>
      </c>
    </row>
    <row r="245" ht="16" customHeight="1" spans="1:12">
      <c r="A245" s="109">
        <v>243</v>
      </c>
      <c r="B245" s="109" t="s">
        <v>6075</v>
      </c>
      <c r="C245" s="214" t="s">
        <v>6554</v>
      </c>
      <c r="D245" s="215" t="s">
        <v>6555</v>
      </c>
      <c r="E245" s="102" t="s">
        <v>15</v>
      </c>
      <c r="F245" s="102">
        <v>2020</v>
      </c>
      <c r="G245" s="109" t="s">
        <v>16</v>
      </c>
      <c r="H245" s="109">
        <v>200</v>
      </c>
      <c r="I245" s="109">
        <v>200</v>
      </c>
      <c r="J245" s="109" t="s">
        <v>6097</v>
      </c>
      <c r="K245" s="104"/>
      <c r="L245" s="105">
        <v>20201118</v>
      </c>
    </row>
    <row r="246" ht="16" customHeight="1" spans="1:12">
      <c r="A246" s="109">
        <v>244</v>
      </c>
      <c r="B246" s="109" t="s">
        <v>6075</v>
      </c>
      <c r="C246" s="214" t="s">
        <v>6556</v>
      </c>
      <c r="D246" s="215" t="s">
        <v>6557</v>
      </c>
      <c r="E246" s="102" t="s">
        <v>15</v>
      </c>
      <c r="F246" s="102">
        <v>2020</v>
      </c>
      <c r="G246" s="109" t="s">
        <v>16</v>
      </c>
      <c r="H246" s="109">
        <v>200</v>
      </c>
      <c r="I246" s="109">
        <v>200</v>
      </c>
      <c r="J246" s="109" t="s">
        <v>6097</v>
      </c>
      <c r="K246" s="104"/>
      <c r="L246" s="105">
        <v>20201118</v>
      </c>
    </row>
    <row r="247" ht="16" customHeight="1" spans="1:12">
      <c r="A247" s="109">
        <v>245</v>
      </c>
      <c r="B247" s="109" t="s">
        <v>6075</v>
      </c>
      <c r="C247" s="214" t="s">
        <v>6558</v>
      </c>
      <c r="D247" s="215" t="s">
        <v>6559</v>
      </c>
      <c r="E247" s="102" t="s">
        <v>15</v>
      </c>
      <c r="F247" s="102">
        <v>2020</v>
      </c>
      <c r="G247" s="109" t="s">
        <v>16</v>
      </c>
      <c r="H247" s="109">
        <v>200</v>
      </c>
      <c r="I247" s="109">
        <v>200</v>
      </c>
      <c r="J247" s="109" t="s">
        <v>6097</v>
      </c>
      <c r="K247" s="104"/>
      <c r="L247" s="105">
        <v>20201118</v>
      </c>
    </row>
    <row r="248" ht="16" customHeight="1" spans="1:12">
      <c r="A248" s="109">
        <v>246</v>
      </c>
      <c r="B248" s="109" t="s">
        <v>6075</v>
      </c>
      <c r="C248" s="214" t="s">
        <v>6150</v>
      </c>
      <c r="D248" s="215" t="s">
        <v>6560</v>
      </c>
      <c r="E248" s="102" t="s">
        <v>15</v>
      </c>
      <c r="F248" s="102">
        <v>2020</v>
      </c>
      <c r="G248" s="109" t="s">
        <v>16</v>
      </c>
      <c r="H248" s="109">
        <v>200</v>
      </c>
      <c r="I248" s="109">
        <v>200</v>
      </c>
      <c r="J248" s="109"/>
      <c r="K248" s="104"/>
      <c r="L248" s="105">
        <v>20201118</v>
      </c>
    </row>
    <row r="249" ht="16" customHeight="1" spans="1:12">
      <c r="A249" s="109">
        <v>247</v>
      </c>
      <c r="B249" s="109" t="s">
        <v>6075</v>
      </c>
      <c r="C249" s="109" t="s">
        <v>6561</v>
      </c>
      <c r="D249" s="109" t="s">
        <v>6562</v>
      </c>
      <c r="E249" s="102" t="s">
        <v>15</v>
      </c>
      <c r="F249" s="102">
        <v>2020</v>
      </c>
      <c r="G249" s="109" t="s">
        <v>16</v>
      </c>
      <c r="H249" s="109">
        <v>200</v>
      </c>
      <c r="I249" s="109">
        <v>200</v>
      </c>
      <c r="J249" s="109"/>
      <c r="K249" s="104"/>
      <c r="L249" s="105">
        <v>20201118</v>
      </c>
    </row>
    <row r="250" ht="16" customHeight="1" spans="1:12">
      <c r="A250" s="109">
        <v>248</v>
      </c>
      <c r="B250" s="109" t="s">
        <v>6075</v>
      </c>
      <c r="C250" s="214" t="s">
        <v>6563</v>
      </c>
      <c r="D250" s="215" t="s">
        <v>6564</v>
      </c>
      <c r="E250" s="102" t="s">
        <v>15</v>
      </c>
      <c r="F250" s="102">
        <v>2020</v>
      </c>
      <c r="G250" s="109" t="s">
        <v>16</v>
      </c>
      <c r="H250" s="109">
        <v>200</v>
      </c>
      <c r="I250" s="109">
        <v>200</v>
      </c>
      <c r="J250" s="109"/>
      <c r="K250" s="104"/>
      <c r="L250" s="105">
        <v>20201118</v>
      </c>
    </row>
    <row r="251" ht="16" customHeight="1" spans="1:12">
      <c r="A251" s="109">
        <v>249</v>
      </c>
      <c r="B251" s="109" t="s">
        <v>6075</v>
      </c>
      <c r="C251" s="214" t="s">
        <v>6565</v>
      </c>
      <c r="D251" s="215" t="s">
        <v>6566</v>
      </c>
      <c r="E251" s="102" t="s">
        <v>15</v>
      </c>
      <c r="F251" s="102">
        <v>2020</v>
      </c>
      <c r="G251" s="109" t="s">
        <v>16</v>
      </c>
      <c r="H251" s="109">
        <v>200</v>
      </c>
      <c r="I251" s="109">
        <v>200</v>
      </c>
      <c r="J251" s="109" t="s">
        <v>6097</v>
      </c>
      <c r="K251" s="104"/>
      <c r="L251" s="105">
        <v>20201118</v>
      </c>
    </row>
    <row r="252" ht="16" customHeight="1" spans="1:12">
      <c r="A252" s="109">
        <v>250</v>
      </c>
      <c r="B252" s="109" t="s">
        <v>6075</v>
      </c>
      <c r="C252" s="214" t="s">
        <v>6567</v>
      </c>
      <c r="D252" s="215" t="s">
        <v>6568</v>
      </c>
      <c r="E252" s="102" t="s">
        <v>15</v>
      </c>
      <c r="F252" s="102">
        <v>2020</v>
      </c>
      <c r="G252" s="109" t="s">
        <v>16</v>
      </c>
      <c r="H252" s="109">
        <v>200</v>
      </c>
      <c r="I252" s="109">
        <v>200</v>
      </c>
      <c r="J252" s="109" t="s">
        <v>6097</v>
      </c>
      <c r="K252" s="104"/>
      <c r="L252" s="105">
        <v>20201118</v>
      </c>
    </row>
    <row r="253" ht="16" customHeight="1" spans="1:12">
      <c r="A253" s="109">
        <v>251</v>
      </c>
      <c r="B253" s="109" t="s">
        <v>6075</v>
      </c>
      <c r="C253" s="214" t="s">
        <v>6569</v>
      </c>
      <c r="D253" s="215" t="s">
        <v>6570</v>
      </c>
      <c r="E253" s="102" t="s">
        <v>15</v>
      </c>
      <c r="F253" s="102">
        <v>2020</v>
      </c>
      <c r="G253" s="109" t="s">
        <v>16</v>
      </c>
      <c r="H253" s="109">
        <v>200</v>
      </c>
      <c r="I253" s="109">
        <v>200</v>
      </c>
      <c r="J253" s="109" t="s">
        <v>6097</v>
      </c>
      <c r="K253" s="104"/>
      <c r="L253" s="105">
        <v>20201118</v>
      </c>
    </row>
    <row r="254" ht="16" customHeight="1" spans="1:12">
      <c r="A254" s="109">
        <v>252</v>
      </c>
      <c r="B254" s="109" t="s">
        <v>6075</v>
      </c>
      <c r="C254" s="214" t="s">
        <v>6571</v>
      </c>
      <c r="D254" s="215" t="s">
        <v>6572</v>
      </c>
      <c r="E254" s="102" t="s">
        <v>15</v>
      </c>
      <c r="F254" s="102">
        <v>2020</v>
      </c>
      <c r="G254" s="109" t="s">
        <v>16</v>
      </c>
      <c r="H254" s="109">
        <v>200</v>
      </c>
      <c r="I254" s="109">
        <v>200</v>
      </c>
      <c r="J254" s="109"/>
      <c r="K254" s="104"/>
      <c r="L254" s="105">
        <v>20201118</v>
      </c>
    </row>
    <row r="255" ht="16" customHeight="1" spans="1:12">
      <c r="A255" s="109">
        <v>253</v>
      </c>
      <c r="B255" s="109" t="s">
        <v>6075</v>
      </c>
      <c r="C255" s="214" t="s">
        <v>6573</v>
      </c>
      <c r="D255" s="215" t="s">
        <v>6574</v>
      </c>
      <c r="E255" s="102" t="s">
        <v>15</v>
      </c>
      <c r="F255" s="102">
        <v>2020</v>
      </c>
      <c r="G255" s="109" t="s">
        <v>16</v>
      </c>
      <c r="H255" s="109">
        <v>200</v>
      </c>
      <c r="I255" s="109">
        <v>200</v>
      </c>
      <c r="J255" s="109"/>
      <c r="K255" s="104"/>
      <c r="L255" s="105">
        <v>20201118</v>
      </c>
    </row>
    <row r="256" ht="16" customHeight="1" spans="1:12">
      <c r="A256" s="109">
        <v>254</v>
      </c>
      <c r="B256" s="109" t="s">
        <v>6075</v>
      </c>
      <c r="C256" s="214" t="s">
        <v>6575</v>
      </c>
      <c r="D256" s="215" t="s">
        <v>6576</v>
      </c>
      <c r="E256" s="102" t="s">
        <v>15</v>
      </c>
      <c r="F256" s="102">
        <v>2020</v>
      </c>
      <c r="G256" s="109" t="s">
        <v>16</v>
      </c>
      <c r="H256" s="109">
        <v>200</v>
      </c>
      <c r="I256" s="109">
        <v>200</v>
      </c>
      <c r="J256" s="109"/>
      <c r="K256" s="104"/>
      <c r="L256" s="105">
        <v>20201118</v>
      </c>
    </row>
    <row r="257" ht="16" customHeight="1" spans="1:12">
      <c r="A257" s="109">
        <v>255</v>
      </c>
      <c r="B257" s="109" t="s">
        <v>6075</v>
      </c>
      <c r="C257" s="214" t="s">
        <v>6577</v>
      </c>
      <c r="D257" s="215" t="s">
        <v>6578</v>
      </c>
      <c r="E257" s="102" t="s">
        <v>15</v>
      </c>
      <c r="F257" s="102">
        <v>2020</v>
      </c>
      <c r="G257" s="109" t="s">
        <v>16</v>
      </c>
      <c r="H257" s="109">
        <v>200</v>
      </c>
      <c r="I257" s="109">
        <v>200</v>
      </c>
      <c r="J257" s="109"/>
      <c r="K257" s="104"/>
      <c r="L257" s="105">
        <v>20201118</v>
      </c>
    </row>
    <row r="258" ht="16" customHeight="1" spans="1:12">
      <c r="A258" s="109">
        <v>256</v>
      </c>
      <c r="B258" s="109" t="s">
        <v>6075</v>
      </c>
      <c r="C258" s="214" t="s">
        <v>6579</v>
      </c>
      <c r="D258" s="215" t="s">
        <v>6580</v>
      </c>
      <c r="E258" s="102" t="s">
        <v>15</v>
      </c>
      <c r="F258" s="102">
        <v>2020</v>
      </c>
      <c r="G258" s="109" t="s">
        <v>16</v>
      </c>
      <c r="H258" s="109">
        <v>200</v>
      </c>
      <c r="I258" s="109">
        <v>200</v>
      </c>
      <c r="J258" s="109" t="s">
        <v>6097</v>
      </c>
      <c r="K258" s="104"/>
      <c r="L258" s="105">
        <v>20201118</v>
      </c>
    </row>
    <row r="259" ht="16" customHeight="1" spans="1:12">
      <c r="A259" s="109">
        <v>257</v>
      </c>
      <c r="B259" s="109" t="s">
        <v>6075</v>
      </c>
      <c r="C259" s="214" t="s">
        <v>6581</v>
      </c>
      <c r="D259" s="215" t="s">
        <v>6582</v>
      </c>
      <c r="E259" s="102" t="s">
        <v>15</v>
      </c>
      <c r="F259" s="102">
        <v>2020</v>
      </c>
      <c r="G259" s="109" t="s">
        <v>16</v>
      </c>
      <c r="H259" s="109">
        <v>200</v>
      </c>
      <c r="I259" s="109">
        <v>200</v>
      </c>
      <c r="J259" s="109" t="s">
        <v>6097</v>
      </c>
      <c r="K259" s="104"/>
      <c r="L259" s="105">
        <v>20201118</v>
      </c>
    </row>
    <row r="260" ht="16" customHeight="1" spans="1:12">
      <c r="A260" s="109">
        <v>258</v>
      </c>
      <c r="B260" s="109" t="s">
        <v>6075</v>
      </c>
      <c r="C260" s="109" t="s">
        <v>6583</v>
      </c>
      <c r="D260" s="109" t="s">
        <v>6584</v>
      </c>
      <c r="E260" s="102" t="s">
        <v>15</v>
      </c>
      <c r="F260" s="102">
        <v>2020</v>
      </c>
      <c r="G260" s="109" t="s">
        <v>16</v>
      </c>
      <c r="H260" s="109">
        <v>500</v>
      </c>
      <c r="I260" s="109">
        <v>500</v>
      </c>
      <c r="J260" s="109"/>
      <c r="K260" s="104"/>
      <c r="L260" s="105">
        <v>20201118</v>
      </c>
    </row>
    <row r="261" ht="16" customHeight="1" spans="1:12">
      <c r="A261" s="109">
        <v>259</v>
      </c>
      <c r="B261" s="109" t="s">
        <v>6075</v>
      </c>
      <c r="C261" s="214" t="s">
        <v>6585</v>
      </c>
      <c r="D261" s="215" t="s">
        <v>6586</v>
      </c>
      <c r="E261" s="102" t="s">
        <v>15</v>
      </c>
      <c r="F261" s="102">
        <v>2020</v>
      </c>
      <c r="G261" s="109" t="s">
        <v>16</v>
      </c>
      <c r="H261" s="109">
        <v>500</v>
      </c>
      <c r="I261" s="109">
        <v>500</v>
      </c>
      <c r="J261" s="109"/>
      <c r="K261" s="104"/>
      <c r="L261" s="105">
        <v>20201118</v>
      </c>
    </row>
    <row r="262" ht="16" customHeight="1" spans="1:12">
      <c r="A262" s="109">
        <v>260</v>
      </c>
      <c r="B262" s="109" t="s">
        <v>6075</v>
      </c>
      <c r="C262" s="214" t="s">
        <v>6587</v>
      </c>
      <c r="D262" s="215" t="s">
        <v>6588</v>
      </c>
      <c r="E262" s="102" t="s">
        <v>15</v>
      </c>
      <c r="F262" s="102">
        <v>2020</v>
      </c>
      <c r="G262" s="109" t="s">
        <v>16</v>
      </c>
      <c r="H262" s="109">
        <v>200</v>
      </c>
      <c r="I262" s="109">
        <v>200</v>
      </c>
      <c r="J262" s="109"/>
      <c r="K262" s="104"/>
      <c r="L262" s="105">
        <v>20201118</v>
      </c>
    </row>
    <row r="263" ht="16" customHeight="1" spans="1:12">
      <c r="A263" s="109">
        <v>261</v>
      </c>
      <c r="B263" s="109" t="s">
        <v>6075</v>
      </c>
      <c r="C263" s="214" t="s">
        <v>6589</v>
      </c>
      <c r="D263" s="215" t="s">
        <v>6590</v>
      </c>
      <c r="E263" s="102" t="s">
        <v>15</v>
      </c>
      <c r="F263" s="102">
        <v>2020</v>
      </c>
      <c r="G263" s="109" t="s">
        <v>16</v>
      </c>
      <c r="H263" s="109">
        <v>200</v>
      </c>
      <c r="I263" s="109">
        <v>200</v>
      </c>
      <c r="J263" s="109" t="s">
        <v>108</v>
      </c>
      <c r="K263" s="104"/>
      <c r="L263" s="105">
        <v>20201118</v>
      </c>
    </row>
    <row r="264" ht="16" customHeight="1" spans="1:12">
      <c r="A264" s="109">
        <v>262</v>
      </c>
      <c r="B264" s="109" t="s">
        <v>6075</v>
      </c>
      <c r="C264" s="214" t="s">
        <v>6591</v>
      </c>
      <c r="D264" s="215" t="s">
        <v>6592</v>
      </c>
      <c r="E264" s="102" t="s">
        <v>15</v>
      </c>
      <c r="F264" s="102">
        <v>2020</v>
      </c>
      <c r="G264" s="109" t="s">
        <v>16</v>
      </c>
      <c r="H264" s="109">
        <v>200</v>
      </c>
      <c r="I264" s="109">
        <v>200</v>
      </c>
      <c r="J264" s="109"/>
      <c r="K264" s="104"/>
      <c r="L264" s="105">
        <v>20201118</v>
      </c>
    </row>
    <row r="265" ht="16" customHeight="1" spans="1:12">
      <c r="A265" s="109">
        <v>263</v>
      </c>
      <c r="B265" s="109" t="s">
        <v>6075</v>
      </c>
      <c r="C265" s="214" t="s">
        <v>6593</v>
      </c>
      <c r="D265" s="215" t="s">
        <v>6594</v>
      </c>
      <c r="E265" s="102" t="s">
        <v>15</v>
      </c>
      <c r="F265" s="102">
        <v>2020</v>
      </c>
      <c r="G265" s="109" t="s">
        <v>16</v>
      </c>
      <c r="H265" s="109">
        <v>200</v>
      </c>
      <c r="I265" s="109">
        <v>200</v>
      </c>
      <c r="J265" s="109"/>
      <c r="K265" s="104"/>
      <c r="L265" s="105">
        <v>20201118</v>
      </c>
    </row>
    <row r="266" ht="16" customHeight="1" spans="1:12">
      <c r="A266" s="109">
        <v>264</v>
      </c>
      <c r="B266" s="109" t="s">
        <v>6075</v>
      </c>
      <c r="C266" s="109" t="s">
        <v>6595</v>
      </c>
      <c r="D266" s="109" t="s">
        <v>6596</v>
      </c>
      <c r="E266" s="102" t="s">
        <v>15</v>
      </c>
      <c r="F266" s="102">
        <v>2020</v>
      </c>
      <c r="G266" s="109" t="s">
        <v>16</v>
      </c>
      <c r="H266" s="109">
        <v>200</v>
      </c>
      <c r="I266" s="109">
        <v>200</v>
      </c>
      <c r="J266" s="109"/>
      <c r="K266" s="104"/>
      <c r="L266" s="105">
        <v>20201118</v>
      </c>
    </row>
    <row r="267" ht="16" customHeight="1" spans="1:12">
      <c r="A267" s="109">
        <v>265</v>
      </c>
      <c r="B267" s="109" t="s">
        <v>6075</v>
      </c>
      <c r="C267" s="214" t="s">
        <v>6597</v>
      </c>
      <c r="D267" s="215" t="s">
        <v>6598</v>
      </c>
      <c r="E267" s="102" t="s">
        <v>15</v>
      </c>
      <c r="F267" s="102">
        <v>2020</v>
      </c>
      <c r="G267" s="109" t="s">
        <v>16</v>
      </c>
      <c r="H267" s="109">
        <v>200</v>
      </c>
      <c r="I267" s="109">
        <v>200</v>
      </c>
      <c r="J267" s="109"/>
      <c r="K267" s="104"/>
      <c r="L267" s="105">
        <v>20201118</v>
      </c>
    </row>
    <row r="268" ht="16" customHeight="1" spans="1:12">
      <c r="A268" s="109">
        <v>266</v>
      </c>
      <c r="B268" s="109" t="s">
        <v>6075</v>
      </c>
      <c r="C268" s="214" t="s">
        <v>6599</v>
      </c>
      <c r="D268" s="215" t="s">
        <v>6600</v>
      </c>
      <c r="E268" s="102" t="s">
        <v>15</v>
      </c>
      <c r="F268" s="102">
        <v>2020</v>
      </c>
      <c r="G268" s="109" t="s">
        <v>16</v>
      </c>
      <c r="H268" s="109">
        <v>200</v>
      </c>
      <c r="I268" s="109">
        <v>200</v>
      </c>
      <c r="J268" s="109"/>
      <c r="K268" s="104"/>
      <c r="L268" s="105">
        <v>20201118</v>
      </c>
    </row>
    <row r="269" ht="16" customHeight="1" spans="1:12">
      <c r="A269" s="109">
        <v>267</v>
      </c>
      <c r="B269" s="109" t="s">
        <v>6075</v>
      </c>
      <c r="C269" s="214" t="s">
        <v>6601</v>
      </c>
      <c r="D269" s="215" t="s">
        <v>6602</v>
      </c>
      <c r="E269" s="102" t="s">
        <v>15</v>
      </c>
      <c r="F269" s="102">
        <v>2020</v>
      </c>
      <c r="G269" s="109" t="s">
        <v>16</v>
      </c>
      <c r="H269" s="109">
        <v>200</v>
      </c>
      <c r="I269" s="109">
        <v>200</v>
      </c>
      <c r="J269" s="109"/>
      <c r="K269" s="104"/>
      <c r="L269" s="105">
        <v>20201118</v>
      </c>
    </row>
    <row r="270" ht="16" customHeight="1" spans="1:12">
      <c r="A270" s="109">
        <v>268</v>
      </c>
      <c r="B270" s="109" t="s">
        <v>6075</v>
      </c>
      <c r="C270" s="214" t="s">
        <v>6603</v>
      </c>
      <c r="D270" s="215" t="s">
        <v>6604</v>
      </c>
      <c r="E270" s="102" t="s">
        <v>15</v>
      </c>
      <c r="F270" s="102">
        <v>2020</v>
      </c>
      <c r="G270" s="109" t="s">
        <v>16</v>
      </c>
      <c r="H270" s="109">
        <v>200</v>
      </c>
      <c r="I270" s="109">
        <v>200</v>
      </c>
      <c r="J270" s="109" t="s">
        <v>6097</v>
      </c>
      <c r="K270" s="104"/>
      <c r="L270" s="105">
        <v>20201118</v>
      </c>
    </row>
    <row r="271" ht="16" customHeight="1" spans="1:12">
      <c r="A271" s="109">
        <v>269</v>
      </c>
      <c r="B271" s="109" t="s">
        <v>6075</v>
      </c>
      <c r="C271" s="214" t="s">
        <v>6605</v>
      </c>
      <c r="D271" s="215" t="s">
        <v>6606</v>
      </c>
      <c r="E271" s="102" t="s">
        <v>15</v>
      </c>
      <c r="F271" s="102">
        <v>2020</v>
      </c>
      <c r="G271" s="109" t="s">
        <v>16</v>
      </c>
      <c r="H271" s="109">
        <v>200</v>
      </c>
      <c r="I271" s="109">
        <v>200</v>
      </c>
      <c r="J271" s="109" t="s">
        <v>6097</v>
      </c>
      <c r="K271" s="104"/>
      <c r="L271" s="105">
        <v>20201118</v>
      </c>
    </row>
    <row r="272" ht="16" customHeight="1" spans="1:12">
      <c r="A272" s="109">
        <v>270</v>
      </c>
      <c r="B272" s="109" t="s">
        <v>6075</v>
      </c>
      <c r="C272" s="214" t="s">
        <v>6607</v>
      </c>
      <c r="D272" s="215" t="s">
        <v>6608</v>
      </c>
      <c r="E272" s="102" t="s">
        <v>15</v>
      </c>
      <c r="F272" s="102">
        <v>2020</v>
      </c>
      <c r="G272" s="109" t="s">
        <v>16</v>
      </c>
      <c r="H272" s="109">
        <v>500</v>
      </c>
      <c r="I272" s="109">
        <v>500</v>
      </c>
      <c r="J272" s="109"/>
      <c r="K272" s="104"/>
      <c r="L272" s="105">
        <v>20201118</v>
      </c>
    </row>
    <row r="273" ht="16" customHeight="1" spans="1:12">
      <c r="A273" s="109">
        <v>271</v>
      </c>
      <c r="B273" s="109" t="s">
        <v>6075</v>
      </c>
      <c r="C273" s="214" t="s">
        <v>6609</v>
      </c>
      <c r="D273" s="215" t="s">
        <v>6610</v>
      </c>
      <c r="E273" s="102" t="s">
        <v>15</v>
      </c>
      <c r="F273" s="102">
        <v>2020</v>
      </c>
      <c r="G273" s="109" t="s">
        <v>16</v>
      </c>
      <c r="H273" s="109">
        <v>200</v>
      </c>
      <c r="I273" s="109">
        <v>200</v>
      </c>
      <c r="J273" s="109"/>
      <c r="K273" s="104"/>
      <c r="L273" s="105">
        <v>20201118</v>
      </c>
    </row>
    <row r="274" ht="16" customHeight="1" spans="1:12">
      <c r="A274" s="109">
        <v>272</v>
      </c>
      <c r="B274" s="109" t="s">
        <v>6075</v>
      </c>
      <c r="C274" s="214" t="s">
        <v>6611</v>
      </c>
      <c r="D274" s="215" t="s">
        <v>6612</v>
      </c>
      <c r="E274" s="102" t="s">
        <v>15</v>
      </c>
      <c r="F274" s="102">
        <v>2020</v>
      </c>
      <c r="G274" s="109" t="s">
        <v>16</v>
      </c>
      <c r="H274" s="109">
        <v>500</v>
      </c>
      <c r="I274" s="109">
        <v>500</v>
      </c>
      <c r="J274" s="109"/>
      <c r="K274" s="104"/>
      <c r="L274" s="105">
        <v>20201118</v>
      </c>
    </row>
    <row r="275" ht="16" customHeight="1" spans="1:12">
      <c r="A275" s="109">
        <v>273</v>
      </c>
      <c r="B275" s="109" t="s">
        <v>6075</v>
      </c>
      <c r="C275" s="214" t="s">
        <v>6613</v>
      </c>
      <c r="D275" s="215" t="s">
        <v>6614</v>
      </c>
      <c r="E275" s="102" t="s">
        <v>15</v>
      </c>
      <c r="F275" s="102">
        <v>2020</v>
      </c>
      <c r="G275" s="109" t="s">
        <v>16</v>
      </c>
      <c r="H275" s="109">
        <v>500</v>
      </c>
      <c r="I275" s="109">
        <v>500</v>
      </c>
      <c r="J275" s="109"/>
      <c r="K275" s="104"/>
      <c r="L275" s="105">
        <v>20201118</v>
      </c>
    </row>
    <row r="276" ht="16" customHeight="1" spans="1:12">
      <c r="A276" s="109">
        <v>274</v>
      </c>
      <c r="B276" s="109" t="s">
        <v>6075</v>
      </c>
      <c r="C276" s="214" t="s">
        <v>6615</v>
      </c>
      <c r="D276" s="215" t="s">
        <v>6616</v>
      </c>
      <c r="E276" s="102" t="s">
        <v>15</v>
      </c>
      <c r="F276" s="102">
        <v>2020</v>
      </c>
      <c r="G276" s="109" t="s">
        <v>16</v>
      </c>
      <c r="H276" s="109">
        <v>200</v>
      </c>
      <c r="I276" s="109">
        <v>200</v>
      </c>
      <c r="J276" s="109"/>
      <c r="K276" s="104"/>
      <c r="L276" s="105">
        <v>20201118</v>
      </c>
    </row>
    <row r="277" ht="16" customHeight="1" spans="1:12">
      <c r="A277" s="109">
        <v>275</v>
      </c>
      <c r="B277" s="109" t="s">
        <v>6075</v>
      </c>
      <c r="C277" s="214" t="s">
        <v>6617</v>
      </c>
      <c r="D277" s="215" t="s">
        <v>6618</v>
      </c>
      <c r="E277" s="102" t="s">
        <v>15</v>
      </c>
      <c r="F277" s="102">
        <v>2020</v>
      </c>
      <c r="G277" s="109" t="s">
        <v>16</v>
      </c>
      <c r="H277" s="109">
        <v>200</v>
      </c>
      <c r="I277" s="109">
        <v>200</v>
      </c>
      <c r="J277" s="109"/>
      <c r="K277" s="104"/>
      <c r="L277" s="105">
        <v>20201118</v>
      </c>
    </row>
    <row r="278" ht="16" customHeight="1" spans="1:12">
      <c r="A278" s="109">
        <v>276</v>
      </c>
      <c r="B278" s="109" t="s">
        <v>6075</v>
      </c>
      <c r="C278" s="214" t="s">
        <v>6619</v>
      </c>
      <c r="D278" s="215" t="s">
        <v>6620</v>
      </c>
      <c r="E278" s="102" t="s">
        <v>15</v>
      </c>
      <c r="F278" s="102">
        <v>2020</v>
      </c>
      <c r="G278" s="109" t="s">
        <v>16</v>
      </c>
      <c r="H278" s="109">
        <v>500</v>
      </c>
      <c r="I278" s="109">
        <v>500</v>
      </c>
      <c r="J278" s="109"/>
      <c r="K278" s="104"/>
      <c r="L278" s="105">
        <v>20201118</v>
      </c>
    </row>
    <row r="279" ht="16" customHeight="1" spans="1:12">
      <c r="A279" s="109">
        <v>277</v>
      </c>
      <c r="B279" s="109" t="s">
        <v>6075</v>
      </c>
      <c r="C279" s="214" t="s">
        <v>6621</v>
      </c>
      <c r="D279" s="215" t="s">
        <v>6622</v>
      </c>
      <c r="E279" s="102" t="s">
        <v>15</v>
      </c>
      <c r="F279" s="102">
        <v>2020</v>
      </c>
      <c r="G279" s="109" t="s">
        <v>16</v>
      </c>
      <c r="H279" s="109">
        <v>500</v>
      </c>
      <c r="I279" s="109">
        <v>500</v>
      </c>
      <c r="J279" s="109"/>
      <c r="K279" s="104"/>
      <c r="L279" s="105">
        <v>20201118</v>
      </c>
    </row>
    <row r="280" ht="16" customHeight="1" spans="1:12">
      <c r="A280" s="109">
        <v>278</v>
      </c>
      <c r="B280" s="109" t="s">
        <v>6075</v>
      </c>
      <c r="C280" s="214" t="s">
        <v>6623</v>
      </c>
      <c r="D280" s="215" t="s">
        <v>6624</v>
      </c>
      <c r="E280" s="102" t="s">
        <v>15</v>
      </c>
      <c r="F280" s="102">
        <v>2020</v>
      </c>
      <c r="G280" s="109" t="s">
        <v>16</v>
      </c>
      <c r="H280" s="109">
        <v>200</v>
      </c>
      <c r="I280" s="109">
        <v>200</v>
      </c>
      <c r="J280" s="109"/>
      <c r="K280" s="104"/>
      <c r="L280" s="105">
        <v>20201118</v>
      </c>
    </row>
    <row r="281" ht="16" customHeight="1" spans="1:12">
      <c r="A281" s="109">
        <v>279</v>
      </c>
      <c r="B281" s="109" t="s">
        <v>6075</v>
      </c>
      <c r="C281" s="214" t="s">
        <v>6625</v>
      </c>
      <c r="D281" s="215" t="s">
        <v>6626</v>
      </c>
      <c r="E281" s="102" t="s">
        <v>15</v>
      </c>
      <c r="F281" s="102">
        <v>2020</v>
      </c>
      <c r="G281" s="109" t="s">
        <v>16</v>
      </c>
      <c r="H281" s="109">
        <v>200</v>
      </c>
      <c r="I281" s="109">
        <v>200</v>
      </c>
      <c r="J281" s="109"/>
      <c r="K281" s="104"/>
      <c r="L281" s="105">
        <v>20201118</v>
      </c>
    </row>
    <row r="282" ht="16" customHeight="1" spans="1:12">
      <c r="A282" s="109">
        <v>280</v>
      </c>
      <c r="B282" s="109" t="s">
        <v>6075</v>
      </c>
      <c r="C282" s="214" t="s">
        <v>6627</v>
      </c>
      <c r="D282" s="215" t="s">
        <v>6628</v>
      </c>
      <c r="E282" s="102" t="s">
        <v>15</v>
      </c>
      <c r="F282" s="102">
        <v>2020</v>
      </c>
      <c r="G282" s="109" t="s">
        <v>16</v>
      </c>
      <c r="H282" s="109">
        <v>200</v>
      </c>
      <c r="I282" s="109">
        <v>200</v>
      </c>
      <c r="J282" s="109"/>
      <c r="K282" s="104"/>
      <c r="L282" s="105">
        <v>20201118</v>
      </c>
    </row>
    <row r="283" ht="16" customHeight="1" spans="1:12">
      <c r="A283" s="109">
        <v>281</v>
      </c>
      <c r="B283" s="109" t="s">
        <v>6075</v>
      </c>
      <c r="C283" s="214" t="s">
        <v>6629</v>
      </c>
      <c r="D283" s="215" t="s">
        <v>6630</v>
      </c>
      <c r="E283" s="102" t="s">
        <v>15</v>
      </c>
      <c r="F283" s="102">
        <v>2020</v>
      </c>
      <c r="G283" s="109" t="s">
        <v>16</v>
      </c>
      <c r="H283" s="109">
        <v>200</v>
      </c>
      <c r="I283" s="109">
        <v>200</v>
      </c>
      <c r="J283" s="109"/>
      <c r="K283" s="104"/>
      <c r="L283" s="105">
        <v>20201118</v>
      </c>
    </row>
    <row r="284" ht="16" customHeight="1" spans="1:12">
      <c r="A284" s="109">
        <v>282</v>
      </c>
      <c r="B284" s="109" t="s">
        <v>6075</v>
      </c>
      <c r="C284" s="214" t="s">
        <v>6631</v>
      </c>
      <c r="D284" s="215" t="s">
        <v>6632</v>
      </c>
      <c r="E284" s="102" t="s">
        <v>15</v>
      </c>
      <c r="F284" s="102">
        <v>2020</v>
      </c>
      <c r="G284" s="109" t="s">
        <v>16</v>
      </c>
      <c r="H284" s="109">
        <v>200</v>
      </c>
      <c r="I284" s="109">
        <v>200</v>
      </c>
      <c r="J284" s="109"/>
      <c r="K284" s="104"/>
      <c r="L284" s="105">
        <v>20201118</v>
      </c>
    </row>
    <row r="285" ht="16" customHeight="1" spans="1:12">
      <c r="A285" s="109">
        <v>283</v>
      </c>
      <c r="B285" s="109" t="s">
        <v>6075</v>
      </c>
      <c r="C285" s="214" t="s">
        <v>1526</v>
      </c>
      <c r="D285" s="215" t="s">
        <v>6633</v>
      </c>
      <c r="E285" s="102" t="s">
        <v>15</v>
      </c>
      <c r="F285" s="102">
        <v>2020</v>
      </c>
      <c r="G285" s="109" t="s">
        <v>16</v>
      </c>
      <c r="H285" s="109">
        <v>200</v>
      </c>
      <c r="I285" s="109">
        <v>200</v>
      </c>
      <c r="J285" s="109"/>
      <c r="K285" s="104"/>
      <c r="L285" s="105">
        <v>20201118</v>
      </c>
    </row>
    <row r="286" ht="16" customHeight="1" spans="1:12">
      <c r="A286" s="109">
        <v>284</v>
      </c>
      <c r="B286" s="109" t="s">
        <v>6075</v>
      </c>
      <c r="C286" s="137" t="s">
        <v>6634</v>
      </c>
      <c r="D286" s="215" t="s">
        <v>6635</v>
      </c>
      <c r="E286" s="102" t="s">
        <v>15</v>
      </c>
      <c r="F286" s="102">
        <v>2020</v>
      </c>
      <c r="G286" s="109" t="s">
        <v>16</v>
      </c>
      <c r="H286" s="109">
        <v>200</v>
      </c>
      <c r="I286" s="109">
        <v>200</v>
      </c>
      <c r="J286" s="109"/>
      <c r="K286" s="104"/>
      <c r="L286" s="105">
        <v>20201118</v>
      </c>
    </row>
    <row r="287" ht="16" customHeight="1" spans="1:12">
      <c r="A287" s="109">
        <v>285</v>
      </c>
      <c r="B287" s="109" t="s">
        <v>6075</v>
      </c>
      <c r="C287" s="109" t="s">
        <v>6636</v>
      </c>
      <c r="D287" s="215" t="s">
        <v>6637</v>
      </c>
      <c r="E287" s="102" t="s">
        <v>15</v>
      </c>
      <c r="F287" s="102">
        <v>2020</v>
      </c>
      <c r="G287" s="109" t="s">
        <v>16</v>
      </c>
      <c r="H287" s="109">
        <v>200</v>
      </c>
      <c r="I287" s="109">
        <v>200</v>
      </c>
      <c r="J287" s="109"/>
      <c r="K287" s="104"/>
      <c r="L287" s="105">
        <v>20201118</v>
      </c>
    </row>
    <row r="288" ht="16" customHeight="1" spans="1:12">
      <c r="A288" s="109">
        <v>286</v>
      </c>
      <c r="B288" s="109" t="s">
        <v>6075</v>
      </c>
      <c r="C288" s="109" t="s">
        <v>6638</v>
      </c>
      <c r="D288" s="215" t="s">
        <v>6639</v>
      </c>
      <c r="E288" s="102" t="s">
        <v>15</v>
      </c>
      <c r="F288" s="102">
        <v>2020</v>
      </c>
      <c r="G288" s="109" t="s">
        <v>16</v>
      </c>
      <c r="H288" s="109">
        <v>200</v>
      </c>
      <c r="I288" s="109">
        <v>200</v>
      </c>
      <c r="J288" s="109"/>
      <c r="K288" s="104"/>
      <c r="L288" s="105">
        <v>20201118</v>
      </c>
    </row>
    <row r="289" ht="16" customHeight="1" spans="1:12">
      <c r="A289" s="109">
        <v>287</v>
      </c>
      <c r="B289" s="109" t="s">
        <v>6075</v>
      </c>
      <c r="C289" s="102" t="s">
        <v>6640</v>
      </c>
      <c r="D289" s="215" t="s">
        <v>6641</v>
      </c>
      <c r="E289" s="141" t="s">
        <v>288</v>
      </c>
      <c r="F289" s="141">
        <v>2020</v>
      </c>
      <c r="G289" s="109" t="s">
        <v>6642</v>
      </c>
      <c r="H289" s="109">
        <v>200</v>
      </c>
      <c r="I289" s="109">
        <v>800</v>
      </c>
      <c r="J289" s="109"/>
      <c r="K289" s="104"/>
      <c r="L289" s="105">
        <v>20201118</v>
      </c>
    </row>
    <row r="290" ht="16" customHeight="1" spans="1:12">
      <c r="A290" s="109">
        <v>288</v>
      </c>
      <c r="B290" s="109" t="s">
        <v>6075</v>
      </c>
      <c r="C290" s="109" t="s">
        <v>6643</v>
      </c>
      <c r="D290" s="215" t="s">
        <v>6644</v>
      </c>
      <c r="E290" s="141" t="s">
        <v>15</v>
      </c>
      <c r="F290" s="141">
        <v>2020</v>
      </c>
      <c r="G290" s="109" t="s">
        <v>6642</v>
      </c>
      <c r="H290" s="109">
        <v>200</v>
      </c>
      <c r="I290" s="109">
        <v>200</v>
      </c>
      <c r="J290" s="109"/>
      <c r="K290" s="104"/>
      <c r="L290" s="105">
        <v>20201118</v>
      </c>
    </row>
    <row r="291" ht="16" customHeight="1" spans="1:12">
      <c r="A291" s="109">
        <v>289</v>
      </c>
      <c r="B291" s="109" t="s">
        <v>6075</v>
      </c>
      <c r="C291" s="109" t="s">
        <v>6645</v>
      </c>
      <c r="D291" s="215" t="s">
        <v>6646</v>
      </c>
      <c r="E291" s="141" t="s">
        <v>310</v>
      </c>
      <c r="F291" s="141">
        <v>2020</v>
      </c>
      <c r="G291" s="109" t="s">
        <v>6642</v>
      </c>
      <c r="H291" s="109">
        <v>200</v>
      </c>
      <c r="I291" s="109">
        <v>2000</v>
      </c>
      <c r="J291" s="109"/>
      <c r="K291" s="104"/>
      <c r="L291" s="105">
        <v>20201118</v>
      </c>
    </row>
    <row r="292" ht="16" customHeight="1" spans="1:12">
      <c r="A292" s="109">
        <v>290</v>
      </c>
      <c r="B292" s="109" t="s">
        <v>6075</v>
      </c>
      <c r="C292" s="109" t="s">
        <v>6647</v>
      </c>
      <c r="D292" s="215" t="s">
        <v>6648</v>
      </c>
      <c r="E292" s="141" t="s">
        <v>310</v>
      </c>
      <c r="F292" s="141">
        <v>2020</v>
      </c>
      <c r="G292" s="109" t="s">
        <v>6642</v>
      </c>
      <c r="H292" s="109">
        <v>200</v>
      </c>
      <c r="I292" s="109">
        <v>2000</v>
      </c>
      <c r="J292" s="109"/>
      <c r="K292" s="104"/>
      <c r="L292" s="105">
        <v>20201118</v>
      </c>
    </row>
    <row r="293" ht="16" customHeight="1" spans="1:12">
      <c r="A293" s="109">
        <v>291</v>
      </c>
      <c r="B293" s="109" t="s">
        <v>6075</v>
      </c>
      <c r="C293" s="214" t="s">
        <v>6649</v>
      </c>
      <c r="D293" s="215" t="s">
        <v>6650</v>
      </c>
      <c r="E293" s="141" t="s">
        <v>6651</v>
      </c>
      <c r="F293" s="141">
        <v>2020</v>
      </c>
      <c r="G293" s="109" t="s">
        <v>6642</v>
      </c>
      <c r="H293" s="109">
        <v>200</v>
      </c>
      <c r="I293" s="109">
        <v>1400</v>
      </c>
      <c r="J293" s="109"/>
      <c r="K293" s="104"/>
      <c r="L293" s="105">
        <v>20201118</v>
      </c>
    </row>
    <row r="294" ht="16" customHeight="1" spans="1:12">
      <c r="A294" s="109">
        <v>292</v>
      </c>
      <c r="B294" s="109" t="s">
        <v>6075</v>
      </c>
      <c r="C294" s="109" t="s">
        <v>6652</v>
      </c>
      <c r="D294" s="109" t="s">
        <v>6653</v>
      </c>
      <c r="E294" s="102" t="s">
        <v>15</v>
      </c>
      <c r="F294" s="102">
        <v>2020</v>
      </c>
      <c r="G294" s="109" t="s">
        <v>16</v>
      </c>
      <c r="H294" s="109" t="s">
        <v>311</v>
      </c>
      <c r="I294" s="109">
        <v>200</v>
      </c>
      <c r="J294" s="109"/>
      <c r="K294" s="104"/>
      <c r="L294" s="105">
        <v>20201118</v>
      </c>
    </row>
    <row r="295" ht="16" customHeight="1" spans="1:12">
      <c r="A295" s="109">
        <v>293</v>
      </c>
      <c r="B295" s="109" t="s">
        <v>6075</v>
      </c>
      <c r="C295" s="109" t="s">
        <v>6654</v>
      </c>
      <c r="D295" s="109" t="s">
        <v>6655</v>
      </c>
      <c r="E295" s="102" t="s">
        <v>15</v>
      </c>
      <c r="F295" s="102">
        <v>2020</v>
      </c>
      <c r="G295" s="109" t="s">
        <v>16</v>
      </c>
      <c r="H295" s="109" t="s">
        <v>311</v>
      </c>
      <c r="I295" s="109">
        <v>200</v>
      </c>
      <c r="J295" s="109"/>
      <c r="K295" s="104"/>
      <c r="L295" s="105">
        <v>20201118</v>
      </c>
    </row>
    <row r="296" s="98" customFormat="1" ht="16" customHeight="1" spans="1:12">
      <c r="A296" s="109">
        <v>294</v>
      </c>
      <c r="B296" s="6" t="s">
        <v>6075</v>
      </c>
      <c r="C296" s="6" t="s">
        <v>6656</v>
      </c>
      <c r="D296" s="6" t="s">
        <v>6657</v>
      </c>
      <c r="E296" s="5" t="s">
        <v>15</v>
      </c>
      <c r="F296" s="5">
        <v>2020</v>
      </c>
      <c r="G296" s="6" t="s">
        <v>16</v>
      </c>
      <c r="H296" s="6" t="s">
        <v>311</v>
      </c>
      <c r="I296" s="5">
        <v>200</v>
      </c>
      <c r="J296" s="6" t="s">
        <v>6097</v>
      </c>
      <c r="K296" s="10"/>
      <c r="L296" s="105">
        <v>20201118</v>
      </c>
    </row>
    <row r="297" ht="16" customHeight="1" spans="1:12">
      <c r="A297" s="109">
        <v>295</v>
      </c>
      <c r="B297" s="109" t="s">
        <v>6075</v>
      </c>
      <c r="C297" s="109" t="s">
        <v>6658</v>
      </c>
      <c r="D297" s="109" t="s">
        <v>6659</v>
      </c>
      <c r="E297" s="102" t="s">
        <v>15</v>
      </c>
      <c r="F297" s="102">
        <v>2020</v>
      </c>
      <c r="G297" s="109" t="s">
        <v>16</v>
      </c>
      <c r="H297" s="109" t="s">
        <v>311</v>
      </c>
      <c r="I297" s="109">
        <v>200</v>
      </c>
      <c r="J297" s="109" t="s">
        <v>6097</v>
      </c>
      <c r="K297" s="104"/>
      <c r="L297" s="105">
        <v>20201118</v>
      </c>
    </row>
    <row r="298" ht="16" customHeight="1" spans="1:12">
      <c r="A298" s="109">
        <v>296</v>
      </c>
      <c r="B298" s="109" t="s">
        <v>6075</v>
      </c>
      <c r="C298" s="137" t="s">
        <v>6660</v>
      </c>
      <c r="D298" s="137" t="s">
        <v>6661</v>
      </c>
      <c r="E298" s="102" t="s">
        <v>15</v>
      </c>
      <c r="F298" s="102">
        <v>2020</v>
      </c>
      <c r="G298" s="109" t="s">
        <v>16</v>
      </c>
      <c r="H298" s="109" t="s">
        <v>311</v>
      </c>
      <c r="I298" s="109">
        <v>200</v>
      </c>
      <c r="J298" s="109"/>
      <c r="K298" s="104"/>
      <c r="L298" s="105">
        <v>20201118</v>
      </c>
    </row>
    <row r="299" ht="16" customHeight="1" spans="1:12">
      <c r="A299" s="109">
        <v>297</v>
      </c>
      <c r="B299" s="109" t="s">
        <v>6075</v>
      </c>
      <c r="C299" s="137" t="s">
        <v>6662</v>
      </c>
      <c r="D299" s="109" t="s">
        <v>6663</v>
      </c>
      <c r="E299" s="102" t="s">
        <v>15</v>
      </c>
      <c r="F299" s="102">
        <v>2020</v>
      </c>
      <c r="G299" s="109" t="s">
        <v>16</v>
      </c>
      <c r="H299" s="109" t="s">
        <v>311</v>
      </c>
      <c r="I299" s="109">
        <v>200</v>
      </c>
      <c r="J299" s="109"/>
      <c r="K299" s="104"/>
      <c r="L299" s="105">
        <v>20201118</v>
      </c>
    </row>
    <row r="300" ht="16" customHeight="1" spans="1:12">
      <c r="A300" s="109">
        <v>298</v>
      </c>
      <c r="B300" s="109" t="s">
        <v>6075</v>
      </c>
      <c r="C300" s="137" t="s">
        <v>6664</v>
      </c>
      <c r="D300" s="109" t="s">
        <v>6665</v>
      </c>
      <c r="E300" s="102" t="s">
        <v>15</v>
      </c>
      <c r="F300" s="102">
        <v>2020</v>
      </c>
      <c r="G300" s="109" t="s">
        <v>16</v>
      </c>
      <c r="H300" s="109" t="s">
        <v>311</v>
      </c>
      <c r="I300" s="109">
        <v>200</v>
      </c>
      <c r="J300" s="109"/>
      <c r="K300" s="104"/>
      <c r="L300" s="105">
        <v>20201118</v>
      </c>
    </row>
    <row r="301" ht="16" customHeight="1" spans="1:12">
      <c r="A301" s="109">
        <v>299</v>
      </c>
      <c r="B301" s="109" t="s">
        <v>6075</v>
      </c>
      <c r="C301" s="137" t="s">
        <v>6666</v>
      </c>
      <c r="D301" s="109" t="s">
        <v>6667</v>
      </c>
      <c r="E301" s="102" t="s">
        <v>15</v>
      </c>
      <c r="F301" s="102">
        <v>2020</v>
      </c>
      <c r="G301" s="109" t="s">
        <v>16</v>
      </c>
      <c r="H301" s="109" t="s">
        <v>311</v>
      </c>
      <c r="I301" s="109">
        <v>200</v>
      </c>
      <c r="J301" s="109"/>
      <c r="K301" s="104"/>
      <c r="L301" s="105">
        <v>20201118</v>
      </c>
    </row>
    <row r="302" ht="16" customHeight="1" spans="1:12">
      <c r="A302" s="109">
        <v>300</v>
      </c>
      <c r="B302" s="109" t="s">
        <v>6075</v>
      </c>
      <c r="C302" s="137" t="s">
        <v>6668</v>
      </c>
      <c r="D302" s="109" t="s">
        <v>6669</v>
      </c>
      <c r="E302" s="102" t="s">
        <v>15</v>
      </c>
      <c r="F302" s="102">
        <v>2020</v>
      </c>
      <c r="G302" s="109" t="s">
        <v>16</v>
      </c>
      <c r="H302" s="109" t="s">
        <v>311</v>
      </c>
      <c r="I302" s="109">
        <v>200</v>
      </c>
      <c r="J302" s="109"/>
      <c r="K302" s="104"/>
      <c r="L302" s="105">
        <v>20201118</v>
      </c>
    </row>
    <row r="303" spans="1:12">
      <c r="A303" s="105"/>
      <c r="B303" s="105"/>
      <c r="C303" s="105"/>
      <c r="D303" s="105"/>
      <c r="E303" s="105"/>
      <c r="F303" s="105"/>
      <c r="G303" s="105"/>
      <c r="H303" s="105"/>
      <c r="I303" s="105">
        <v>69300</v>
      </c>
      <c r="J303" s="105"/>
      <c r="K303" s="105"/>
      <c r="L303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3"/>
  <sheetViews>
    <sheetView topLeftCell="A176" workbookViewId="0">
      <selection activeCell="A3" sqref="A3:L192"/>
    </sheetView>
  </sheetViews>
  <sheetFormatPr defaultColWidth="9" defaultRowHeight="13.5"/>
  <cols>
    <col min="1" max="1" width="5.875" style="177" customWidth="1"/>
    <col min="2" max="2" width="11.875" style="203" customWidth="1"/>
    <col min="3" max="3" width="15.75" style="177" customWidth="1"/>
    <col min="4" max="4" width="21.25" style="177" customWidth="1"/>
    <col min="5" max="5" width="10.125" style="177" customWidth="1"/>
    <col min="6" max="6" width="9.875" style="177" customWidth="1"/>
    <col min="7" max="7" width="11.375" style="177" customWidth="1"/>
    <col min="8" max="8" width="9.75" style="177" customWidth="1"/>
    <col min="9" max="9" width="9.125" style="177" customWidth="1"/>
    <col min="10" max="10" width="11.625" style="177" customWidth="1"/>
    <col min="11" max="11" width="9" style="203"/>
    <col min="12" max="12" width="11.75" customWidth="1"/>
    <col min="13" max="13" width="9" style="203"/>
    <col min="14" max="16384" width="9" style="133"/>
  </cols>
  <sheetData>
    <row r="1" s="95" customFormat="1" ht="18.75" spans="1:11">
      <c r="A1" s="99" t="s">
        <v>6670</v>
      </c>
      <c r="B1" s="100"/>
      <c r="C1" s="100"/>
      <c r="D1" s="100"/>
      <c r="E1" s="100"/>
      <c r="F1" s="100"/>
      <c r="G1" s="101"/>
      <c r="H1" s="100"/>
      <c r="I1" s="100"/>
      <c r="J1" s="100"/>
      <c r="K1" s="100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03" t="s">
        <v>10</v>
      </c>
      <c r="L2" s="104" t="s">
        <v>11</v>
      </c>
    </row>
    <row r="3" s="207" customFormat="1" ht="16" customHeight="1" spans="1:12">
      <c r="A3" s="208" t="s">
        <v>316</v>
      </c>
      <c r="B3" s="130" t="s">
        <v>6671</v>
      </c>
      <c r="C3" s="137" t="s">
        <v>6672</v>
      </c>
      <c r="D3" s="137" t="s">
        <v>6673</v>
      </c>
      <c r="E3" s="130" t="s">
        <v>15</v>
      </c>
      <c r="F3" s="130" t="s">
        <v>15</v>
      </c>
      <c r="G3" s="109" t="s">
        <v>3359</v>
      </c>
      <c r="H3" s="137">
        <v>200</v>
      </c>
      <c r="I3" s="137">
        <v>200</v>
      </c>
      <c r="J3" s="109"/>
      <c r="K3" s="130"/>
      <c r="L3" s="105">
        <v>20201118</v>
      </c>
    </row>
    <row r="4" s="207" customFormat="1" ht="16" customHeight="1" spans="1:12">
      <c r="A4" s="208" t="s">
        <v>322</v>
      </c>
      <c r="B4" s="130" t="s">
        <v>6671</v>
      </c>
      <c r="C4" s="137" t="s">
        <v>6674</v>
      </c>
      <c r="D4" s="137" t="s">
        <v>6675</v>
      </c>
      <c r="E4" s="130" t="s">
        <v>15</v>
      </c>
      <c r="F4" s="130" t="s">
        <v>15</v>
      </c>
      <c r="G4" s="109" t="s">
        <v>3359</v>
      </c>
      <c r="H4" s="137">
        <v>200</v>
      </c>
      <c r="I4" s="137">
        <v>200</v>
      </c>
      <c r="J4" s="109"/>
      <c r="K4" s="130"/>
      <c r="L4" s="105">
        <v>20201118</v>
      </c>
    </row>
    <row r="5" s="133" customFormat="1" ht="16" customHeight="1" spans="1:12">
      <c r="A5" s="208" t="s">
        <v>326</v>
      </c>
      <c r="B5" s="130" t="s">
        <v>6671</v>
      </c>
      <c r="C5" s="137" t="s">
        <v>6676</v>
      </c>
      <c r="D5" s="137" t="s">
        <v>6677</v>
      </c>
      <c r="E5" s="130" t="s">
        <v>15</v>
      </c>
      <c r="F5" s="130" t="s">
        <v>15</v>
      </c>
      <c r="G5" s="109" t="s">
        <v>3359</v>
      </c>
      <c r="H5" s="137">
        <v>200</v>
      </c>
      <c r="I5" s="137">
        <v>200</v>
      </c>
      <c r="J5" s="109"/>
      <c r="K5" s="102"/>
      <c r="L5" s="105">
        <v>20201118</v>
      </c>
    </row>
    <row r="6" s="133" customFormat="1" ht="16" customHeight="1" spans="1:12">
      <c r="A6" s="208" t="s">
        <v>331</v>
      </c>
      <c r="B6" s="130" t="s">
        <v>6671</v>
      </c>
      <c r="C6" s="137" t="s">
        <v>6678</v>
      </c>
      <c r="D6" s="137" t="s">
        <v>6679</v>
      </c>
      <c r="E6" s="130" t="s">
        <v>15</v>
      </c>
      <c r="F6" s="130" t="s">
        <v>15</v>
      </c>
      <c r="G6" s="109" t="s">
        <v>3359</v>
      </c>
      <c r="H6" s="137">
        <v>200</v>
      </c>
      <c r="I6" s="137">
        <v>200</v>
      </c>
      <c r="J6" s="109" t="s">
        <v>108</v>
      </c>
      <c r="K6" s="102"/>
      <c r="L6" s="105">
        <v>20201118</v>
      </c>
    </row>
    <row r="7" s="133" customFormat="1" ht="16" customHeight="1" spans="1:12">
      <c r="A7" s="208" t="s">
        <v>334</v>
      </c>
      <c r="B7" s="130" t="s">
        <v>6671</v>
      </c>
      <c r="C7" s="137" t="s">
        <v>6680</v>
      </c>
      <c r="D7" s="137" t="s">
        <v>6681</v>
      </c>
      <c r="E7" s="130" t="s">
        <v>15</v>
      </c>
      <c r="F7" s="130" t="s">
        <v>15</v>
      </c>
      <c r="G7" s="109" t="s">
        <v>3359</v>
      </c>
      <c r="H7" s="137">
        <v>200</v>
      </c>
      <c r="I7" s="137">
        <v>200</v>
      </c>
      <c r="J7" s="109"/>
      <c r="K7" s="102"/>
      <c r="L7" s="105">
        <v>20201118</v>
      </c>
    </row>
    <row r="8" s="133" customFormat="1" ht="16" customHeight="1" spans="1:12">
      <c r="A8" s="208" t="s">
        <v>337</v>
      </c>
      <c r="B8" s="130" t="s">
        <v>6671</v>
      </c>
      <c r="C8" s="137" t="s">
        <v>6682</v>
      </c>
      <c r="D8" s="137" t="s">
        <v>6683</v>
      </c>
      <c r="E8" s="130" t="s">
        <v>15</v>
      </c>
      <c r="F8" s="130" t="s">
        <v>15</v>
      </c>
      <c r="G8" s="109" t="s">
        <v>3359</v>
      </c>
      <c r="H8" s="137">
        <v>200</v>
      </c>
      <c r="I8" s="137">
        <v>200</v>
      </c>
      <c r="J8" s="109"/>
      <c r="K8" s="102"/>
      <c r="L8" s="105">
        <v>20201118</v>
      </c>
    </row>
    <row r="9" s="133" customFormat="1" ht="16" customHeight="1" spans="1:12">
      <c r="A9" s="208" t="s">
        <v>340</v>
      </c>
      <c r="B9" s="130" t="s">
        <v>6671</v>
      </c>
      <c r="C9" s="137" t="s">
        <v>6684</v>
      </c>
      <c r="D9" s="137" t="s">
        <v>6685</v>
      </c>
      <c r="E9" s="130" t="s">
        <v>15</v>
      </c>
      <c r="F9" s="130" t="s">
        <v>15</v>
      </c>
      <c r="G9" s="109" t="s">
        <v>3359</v>
      </c>
      <c r="H9" s="137">
        <v>200</v>
      </c>
      <c r="I9" s="137">
        <v>200</v>
      </c>
      <c r="J9" s="109"/>
      <c r="K9" s="102"/>
      <c r="L9" s="105">
        <v>20201118</v>
      </c>
    </row>
    <row r="10" s="133" customFormat="1" ht="16" customHeight="1" spans="1:12">
      <c r="A10" s="208" t="s">
        <v>343</v>
      </c>
      <c r="B10" s="130" t="s">
        <v>6671</v>
      </c>
      <c r="C10" s="137" t="s">
        <v>6686</v>
      </c>
      <c r="D10" s="137" t="s">
        <v>6687</v>
      </c>
      <c r="E10" s="130" t="s">
        <v>15</v>
      </c>
      <c r="F10" s="130" t="s">
        <v>15</v>
      </c>
      <c r="G10" s="109" t="s">
        <v>3359</v>
      </c>
      <c r="H10" s="137">
        <v>200</v>
      </c>
      <c r="I10" s="137">
        <v>200</v>
      </c>
      <c r="J10" s="109"/>
      <c r="K10" s="102"/>
      <c r="L10" s="105">
        <v>20201118</v>
      </c>
    </row>
    <row r="11" s="133" customFormat="1" ht="16" customHeight="1" spans="1:12">
      <c r="A11" s="208" t="s">
        <v>346</v>
      </c>
      <c r="B11" s="130" t="s">
        <v>6671</v>
      </c>
      <c r="C11" s="137" t="s">
        <v>6688</v>
      </c>
      <c r="D11" s="137" t="s">
        <v>6689</v>
      </c>
      <c r="E11" s="130" t="s">
        <v>15</v>
      </c>
      <c r="F11" s="130" t="s">
        <v>15</v>
      </c>
      <c r="G11" s="109" t="s">
        <v>3359</v>
      </c>
      <c r="H11" s="137">
        <v>500</v>
      </c>
      <c r="I11" s="137">
        <v>500</v>
      </c>
      <c r="J11" s="109"/>
      <c r="K11" s="102"/>
      <c r="L11" s="105">
        <v>20201118</v>
      </c>
    </row>
    <row r="12" s="133" customFormat="1" ht="16" customHeight="1" spans="1:12">
      <c r="A12" s="208" t="s">
        <v>349</v>
      </c>
      <c r="B12" s="130" t="s">
        <v>6671</v>
      </c>
      <c r="C12" s="137" t="s">
        <v>6690</v>
      </c>
      <c r="D12" s="137" t="s">
        <v>6691</v>
      </c>
      <c r="E12" s="130" t="s">
        <v>15</v>
      </c>
      <c r="F12" s="130" t="s">
        <v>15</v>
      </c>
      <c r="G12" s="109" t="s">
        <v>3359</v>
      </c>
      <c r="H12" s="137">
        <v>200</v>
      </c>
      <c r="I12" s="137">
        <v>200</v>
      </c>
      <c r="J12" s="109"/>
      <c r="K12" s="102"/>
      <c r="L12" s="105">
        <v>20201118</v>
      </c>
    </row>
    <row r="13" s="133" customFormat="1" ht="16" customHeight="1" spans="1:12">
      <c r="A13" s="208" t="s">
        <v>352</v>
      </c>
      <c r="B13" s="130" t="s">
        <v>6671</v>
      </c>
      <c r="C13" s="137" t="s">
        <v>6692</v>
      </c>
      <c r="D13" s="137" t="s">
        <v>6693</v>
      </c>
      <c r="E13" s="130" t="s">
        <v>15</v>
      </c>
      <c r="F13" s="130" t="s">
        <v>15</v>
      </c>
      <c r="G13" s="109" t="s">
        <v>3359</v>
      </c>
      <c r="H13" s="137">
        <v>200</v>
      </c>
      <c r="I13" s="137">
        <v>200</v>
      </c>
      <c r="J13" s="109"/>
      <c r="K13" s="102"/>
      <c r="L13" s="105">
        <v>20201118</v>
      </c>
    </row>
    <row r="14" s="133" customFormat="1" ht="16" customHeight="1" spans="1:12">
      <c r="A14" s="208" t="s">
        <v>355</v>
      </c>
      <c r="B14" s="130" t="s">
        <v>6671</v>
      </c>
      <c r="C14" s="137" t="s">
        <v>6694</v>
      </c>
      <c r="D14" s="137" t="s">
        <v>6695</v>
      </c>
      <c r="E14" s="130" t="s">
        <v>15</v>
      </c>
      <c r="F14" s="130" t="s">
        <v>15</v>
      </c>
      <c r="G14" s="109" t="s">
        <v>3359</v>
      </c>
      <c r="H14" s="137">
        <v>200</v>
      </c>
      <c r="I14" s="137">
        <v>200</v>
      </c>
      <c r="J14" s="109"/>
      <c r="K14" s="102"/>
      <c r="L14" s="105">
        <v>20201118</v>
      </c>
    </row>
    <row r="15" s="133" customFormat="1" ht="16" customHeight="1" spans="1:12">
      <c r="A15" s="208" t="s">
        <v>358</v>
      </c>
      <c r="B15" s="130" t="s">
        <v>6671</v>
      </c>
      <c r="C15" s="137" t="s">
        <v>1261</v>
      </c>
      <c r="D15" s="137" t="s">
        <v>6696</v>
      </c>
      <c r="E15" s="130" t="s">
        <v>15</v>
      </c>
      <c r="F15" s="130" t="s">
        <v>15</v>
      </c>
      <c r="G15" s="109" t="s">
        <v>3359</v>
      </c>
      <c r="H15" s="137">
        <v>200</v>
      </c>
      <c r="I15" s="137">
        <v>200</v>
      </c>
      <c r="J15" s="109"/>
      <c r="K15" s="102"/>
      <c r="L15" s="105">
        <v>20201118</v>
      </c>
    </row>
    <row r="16" s="133" customFormat="1" ht="16" customHeight="1" spans="1:12">
      <c r="A16" s="208" t="s">
        <v>361</v>
      </c>
      <c r="B16" s="130" t="s">
        <v>6671</v>
      </c>
      <c r="C16" s="137" t="s">
        <v>6697</v>
      </c>
      <c r="D16" s="137" t="s">
        <v>6698</v>
      </c>
      <c r="E16" s="130" t="s">
        <v>15</v>
      </c>
      <c r="F16" s="130" t="s">
        <v>15</v>
      </c>
      <c r="G16" s="109" t="s">
        <v>3359</v>
      </c>
      <c r="H16" s="137">
        <v>200</v>
      </c>
      <c r="I16" s="137">
        <v>200</v>
      </c>
      <c r="J16" s="109" t="s">
        <v>768</v>
      </c>
      <c r="K16" s="102"/>
      <c r="L16" s="105">
        <v>20201118</v>
      </c>
    </row>
    <row r="17" s="133" customFormat="1" ht="16" customHeight="1" spans="1:12">
      <c r="A17" s="208" t="s">
        <v>364</v>
      </c>
      <c r="B17" s="130" t="s">
        <v>6671</v>
      </c>
      <c r="C17" s="137" t="s">
        <v>6699</v>
      </c>
      <c r="D17" s="137" t="s">
        <v>6700</v>
      </c>
      <c r="E17" s="130" t="s">
        <v>15</v>
      </c>
      <c r="F17" s="130" t="s">
        <v>15</v>
      </c>
      <c r="G17" s="109" t="s">
        <v>3359</v>
      </c>
      <c r="H17" s="137">
        <v>200</v>
      </c>
      <c r="I17" s="137">
        <v>200</v>
      </c>
      <c r="J17" s="109"/>
      <c r="K17" s="102"/>
      <c r="L17" s="105">
        <v>20201118</v>
      </c>
    </row>
    <row r="18" s="133" customFormat="1" ht="16" customHeight="1" spans="1:12">
      <c r="A18" s="208" t="s">
        <v>367</v>
      </c>
      <c r="B18" s="130" t="s">
        <v>6671</v>
      </c>
      <c r="C18" s="137" t="s">
        <v>6701</v>
      </c>
      <c r="D18" s="137" t="s">
        <v>6702</v>
      </c>
      <c r="E18" s="130" t="s">
        <v>15</v>
      </c>
      <c r="F18" s="130" t="s">
        <v>15</v>
      </c>
      <c r="G18" s="109" t="s">
        <v>3359</v>
      </c>
      <c r="H18" s="137">
        <v>200</v>
      </c>
      <c r="I18" s="137">
        <v>200</v>
      </c>
      <c r="J18" s="109" t="s">
        <v>108</v>
      </c>
      <c r="K18" s="102"/>
      <c r="L18" s="105">
        <v>20201118</v>
      </c>
    </row>
    <row r="19" s="133" customFormat="1" ht="16" customHeight="1" spans="1:12">
      <c r="A19" s="208" t="s">
        <v>370</v>
      </c>
      <c r="B19" s="130" t="s">
        <v>6671</v>
      </c>
      <c r="C19" s="137" t="s">
        <v>1446</v>
      </c>
      <c r="D19" s="137" t="s">
        <v>6703</v>
      </c>
      <c r="E19" s="130" t="s">
        <v>15</v>
      </c>
      <c r="F19" s="130" t="s">
        <v>15</v>
      </c>
      <c r="G19" s="109" t="s">
        <v>3359</v>
      </c>
      <c r="H19" s="137">
        <v>200</v>
      </c>
      <c r="I19" s="137">
        <v>200</v>
      </c>
      <c r="J19" s="109" t="s">
        <v>108</v>
      </c>
      <c r="K19" s="102"/>
      <c r="L19" s="105">
        <v>20201118</v>
      </c>
    </row>
    <row r="20" s="133" customFormat="1" ht="16" customHeight="1" spans="1:12">
      <c r="A20" s="208" t="s">
        <v>373</v>
      </c>
      <c r="B20" s="130" t="s">
        <v>6671</v>
      </c>
      <c r="C20" s="137" t="s">
        <v>6704</v>
      </c>
      <c r="D20" s="137" t="s">
        <v>6705</v>
      </c>
      <c r="E20" s="130" t="s">
        <v>15</v>
      </c>
      <c r="F20" s="130" t="s">
        <v>15</v>
      </c>
      <c r="G20" s="109" t="s">
        <v>3359</v>
      </c>
      <c r="H20" s="137">
        <v>200</v>
      </c>
      <c r="I20" s="137">
        <v>200</v>
      </c>
      <c r="J20" s="109"/>
      <c r="K20" s="102"/>
      <c r="L20" s="105">
        <v>20201118</v>
      </c>
    </row>
    <row r="21" s="133" customFormat="1" ht="16" customHeight="1" spans="1:12">
      <c r="A21" s="208" t="s">
        <v>376</v>
      </c>
      <c r="B21" s="130" t="s">
        <v>6671</v>
      </c>
      <c r="C21" s="137" t="s">
        <v>6706</v>
      </c>
      <c r="D21" s="137" t="s">
        <v>6707</v>
      </c>
      <c r="E21" s="130" t="s">
        <v>15</v>
      </c>
      <c r="F21" s="130" t="s">
        <v>15</v>
      </c>
      <c r="G21" s="109" t="s">
        <v>3359</v>
      </c>
      <c r="H21" s="137">
        <v>200</v>
      </c>
      <c r="I21" s="137">
        <v>200</v>
      </c>
      <c r="J21" s="109"/>
      <c r="K21" s="102"/>
      <c r="L21" s="105">
        <v>20201118</v>
      </c>
    </row>
    <row r="22" s="133" customFormat="1" ht="16" customHeight="1" spans="1:12">
      <c r="A22" s="208" t="s">
        <v>379</v>
      </c>
      <c r="B22" s="130" t="s">
        <v>6671</v>
      </c>
      <c r="C22" s="137" t="s">
        <v>6708</v>
      </c>
      <c r="D22" s="137" t="s">
        <v>6709</v>
      </c>
      <c r="E22" s="130" t="s">
        <v>15</v>
      </c>
      <c r="F22" s="130" t="s">
        <v>15</v>
      </c>
      <c r="G22" s="109" t="s">
        <v>3359</v>
      </c>
      <c r="H22" s="137">
        <v>200</v>
      </c>
      <c r="I22" s="137">
        <v>200</v>
      </c>
      <c r="J22" s="109"/>
      <c r="K22" s="102"/>
      <c r="L22" s="105">
        <v>20201118</v>
      </c>
    </row>
    <row r="23" s="133" customFormat="1" ht="16" customHeight="1" spans="1:12">
      <c r="A23" s="208" t="s">
        <v>382</v>
      </c>
      <c r="B23" s="130" t="s">
        <v>6671</v>
      </c>
      <c r="C23" s="137" t="s">
        <v>6710</v>
      </c>
      <c r="D23" s="137" t="s">
        <v>6711</v>
      </c>
      <c r="E23" s="130" t="s">
        <v>15</v>
      </c>
      <c r="F23" s="130" t="s">
        <v>15</v>
      </c>
      <c r="G23" s="109" t="s">
        <v>3359</v>
      </c>
      <c r="H23" s="137">
        <v>200</v>
      </c>
      <c r="I23" s="137">
        <v>200</v>
      </c>
      <c r="J23" s="109"/>
      <c r="K23" s="102"/>
      <c r="L23" s="105">
        <v>20201118</v>
      </c>
    </row>
    <row r="24" s="133" customFormat="1" ht="16" customHeight="1" spans="1:12">
      <c r="A24" s="208" t="s">
        <v>385</v>
      </c>
      <c r="B24" s="130" t="s">
        <v>6671</v>
      </c>
      <c r="C24" s="137" t="s">
        <v>6712</v>
      </c>
      <c r="D24" s="137" t="s">
        <v>6713</v>
      </c>
      <c r="E24" s="130" t="s">
        <v>15</v>
      </c>
      <c r="F24" s="130" t="s">
        <v>15</v>
      </c>
      <c r="G24" s="109" t="s">
        <v>3359</v>
      </c>
      <c r="H24" s="137">
        <v>200</v>
      </c>
      <c r="I24" s="137">
        <v>200</v>
      </c>
      <c r="J24" s="109"/>
      <c r="K24" s="102"/>
      <c r="L24" s="105">
        <v>20201118</v>
      </c>
    </row>
    <row r="25" s="133" customFormat="1" ht="16" customHeight="1" spans="1:12">
      <c r="A25" s="208" t="s">
        <v>388</v>
      </c>
      <c r="B25" s="130" t="s">
        <v>6671</v>
      </c>
      <c r="C25" s="137" t="s">
        <v>6714</v>
      </c>
      <c r="D25" s="137" t="s">
        <v>6715</v>
      </c>
      <c r="E25" s="130" t="s">
        <v>15</v>
      </c>
      <c r="F25" s="130" t="s">
        <v>15</v>
      </c>
      <c r="G25" s="109" t="s">
        <v>3359</v>
      </c>
      <c r="H25" s="137">
        <v>200</v>
      </c>
      <c r="I25" s="137">
        <v>200</v>
      </c>
      <c r="J25" s="109"/>
      <c r="K25" s="102"/>
      <c r="L25" s="105">
        <v>20201118</v>
      </c>
    </row>
    <row r="26" s="133" customFormat="1" ht="16" customHeight="1" spans="1:12">
      <c r="A26" s="208" t="s">
        <v>391</v>
      </c>
      <c r="B26" s="130" t="s">
        <v>6671</v>
      </c>
      <c r="C26" s="137" t="s">
        <v>6716</v>
      </c>
      <c r="D26" s="137" t="s">
        <v>6717</v>
      </c>
      <c r="E26" s="130" t="s">
        <v>15</v>
      </c>
      <c r="F26" s="130" t="s">
        <v>15</v>
      </c>
      <c r="G26" s="109" t="s">
        <v>3359</v>
      </c>
      <c r="H26" s="137">
        <v>200</v>
      </c>
      <c r="I26" s="137">
        <v>200</v>
      </c>
      <c r="J26" s="109"/>
      <c r="K26" s="102"/>
      <c r="L26" s="105">
        <v>20201118</v>
      </c>
    </row>
    <row r="27" s="133" customFormat="1" ht="16" customHeight="1" spans="1:12">
      <c r="A27" s="208" t="s">
        <v>394</v>
      </c>
      <c r="B27" s="130" t="s">
        <v>6671</v>
      </c>
      <c r="C27" s="137" t="s">
        <v>6718</v>
      </c>
      <c r="D27" s="137" t="s">
        <v>6719</v>
      </c>
      <c r="E27" s="130" t="s">
        <v>15</v>
      </c>
      <c r="F27" s="130" t="s">
        <v>15</v>
      </c>
      <c r="G27" s="109" t="s">
        <v>3359</v>
      </c>
      <c r="H27" s="137">
        <v>200</v>
      </c>
      <c r="I27" s="137">
        <v>200</v>
      </c>
      <c r="J27" s="109"/>
      <c r="K27" s="102"/>
      <c r="L27" s="105">
        <v>20201118</v>
      </c>
    </row>
    <row r="28" s="133" customFormat="1" ht="16" customHeight="1" spans="1:12">
      <c r="A28" s="208" t="s">
        <v>397</v>
      </c>
      <c r="B28" s="130" t="s">
        <v>6671</v>
      </c>
      <c r="C28" s="137" t="s">
        <v>6720</v>
      </c>
      <c r="D28" s="137" t="s">
        <v>6721</v>
      </c>
      <c r="E28" s="130" t="s">
        <v>15</v>
      </c>
      <c r="F28" s="130" t="s">
        <v>15</v>
      </c>
      <c r="G28" s="109" t="s">
        <v>3359</v>
      </c>
      <c r="H28" s="137">
        <v>200</v>
      </c>
      <c r="I28" s="137">
        <v>200</v>
      </c>
      <c r="J28" s="109"/>
      <c r="K28" s="102"/>
      <c r="L28" s="105">
        <v>20201118</v>
      </c>
    </row>
    <row r="29" s="133" customFormat="1" ht="16" customHeight="1" spans="1:12">
      <c r="A29" s="208" t="s">
        <v>400</v>
      </c>
      <c r="B29" s="130" t="s">
        <v>6671</v>
      </c>
      <c r="C29" s="137" t="s">
        <v>6722</v>
      </c>
      <c r="D29" s="137" t="s">
        <v>6723</v>
      </c>
      <c r="E29" s="130" t="s">
        <v>15</v>
      </c>
      <c r="F29" s="130" t="s">
        <v>15</v>
      </c>
      <c r="G29" s="109" t="s">
        <v>3359</v>
      </c>
      <c r="H29" s="137">
        <v>200</v>
      </c>
      <c r="I29" s="137">
        <v>200</v>
      </c>
      <c r="J29" s="109"/>
      <c r="K29" s="102"/>
      <c r="L29" s="105">
        <v>20201118</v>
      </c>
    </row>
    <row r="30" s="133" customFormat="1" ht="16" customHeight="1" spans="1:12">
      <c r="A30" s="208" t="s">
        <v>403</v>
      </c>
      <c r="B30" s="130" t="s">
        <v>6671</v>
      </c>
      <c r="C30" s="137" t="s">
        <v>6605</v>
      </c>
      <c r="D30" s="137" t="s">
        <v>6724</v>
      </c>
      <c r="E30" s="130" t="s">
        <v>15</v>
      </c>
      <c r="F30" s="130" t="s">
        <v>15</v>
      </c>
      <c r="G30" s="109" t="s">
        <v>3359</v>
      </c>
      <c r="H30" s="137">
        <v>200</v>
      </c>
      <c r="I30" s="137">
        <v>200</v>
      </c>
      <c r="J30" s="109"/>
      <c r="K30" s="102"/>
      <c r="L30" s="105">
        <v>20201118</v>
      </c>
    </row>
    <row r="31" s="133" customFormat="1" ht="16" customHeight="1" spans="1:12">
      <c r="A31" s="208" t="s">
        <v>406</v>
      </c>
      <c r="B31" s="130" t="s">
        <v>6671</v>
      </c>
      <c r="C31" s="137" t="s">
        <v>6725</v>
      </c>
      <c r="D31" s="137" t="s">
        <v>6726</v>
      </c>
      <c r="E31" s="130" t="s">
        <v>15</v>
      </c>
      <c r="F31" s="130" t="s">
        <v>15</v>
      </c>
      <c r="G31" s="109" t="s">
        <v>3359</v>
      </c>
      <c r="H31" s="137">
        <v>200</v>
      </c>
      <c r="I31" s="137">
        <v>200</v>
      </c>
      <c r="J31" s="109"/>
      <c r="K31" s="102"/>
      <c r="L31" s="105">
        <v>20201118</v>
      </c>
    </row>
    <row r="32" s="133" customFormat="1" ht="16" customHeight="1" spans="1:12">
      <c r="A32" s="208" t="s">
        <v>409</v>
      </c>
      <c r="B32" s="130" t="s">
        <v>6671</v>
      </c>
      <c r="C32" s="137" t="s">
        <v>6727</v>
      </c>
      <c r="D32" s="137" t="s">
        <v>6728</v>
      </c>
      <c r="E32" s="130" t="s">
        <v>15</v>
      </c>
      <c r="F32" s="130" t="s">
        <v>15</v>
      </c>
      <c r="G32" s="109" t="s">
        <v>3359</v>
      </c>
      <c r="H32" s="137">
        <v>200</v>
      </c>
      <c r="I32" s="137">
        <v>200</v>
      </c>
      <c r="J32" s="109" t="s">
        <v>108</v>
      </c>
      <c r="K32" s="102"/>
      <c r="L32" s="105">
        <v>20201118</v>
      </c>
    </row>
    <row r="33" s="133" customFormat="1" ht="16" customHeight="1" spans="1:12">
      <c r="A33" s="208" t="s">
        <v>412</v>
      </c>
      <c r="B33" s="130" t="s">
        <v>6671</v>
      </c>
      <c r="C33" s="137" t="s">
        <v>6729</v>
      </c>
      <c r="D33" s="137" t="s">
        <v>6730</v>
      </c>
      <c r="E33" s="130" t="s">
        <v>15</v>
      </c>
      <c r="F33" s="130" t="s">
        <v>15</v>
      </c>
      <c r="G33" s="109" t="s">
        <v>3359</v>
      </c>
      <c r="H33" s="137">
        <v>200</v>
      </c>
      <c r="I33" s="137">
        <v>200</v>
      </c>
      <c r="J33" s="109" t="s">
        <v>108</v>
      </c>
      <c r="K33" s="102"/>
      <c r="L33" s="105">
        <v>20201118</v>
      </c>
    </row>
    <row r="34" s="133" customFormat="1" ht="16" customHeight="1" spans="1:12">
      <c r="A34" s="208" t="s">
        <v>415</v>
      </c>
      <c r="B34" s="130" t="s">
        <v>6671</v>
      </c>
      <c r="C34" s="137" t="s">
        <v>6731</v>
      </c>
      <c r="D34" s="137" t="s">
        <v>6732</v>
      </c>
      <c r="E34" s="130" t="s">
        <v>15</v>
      </c>
      <c r="F34" s="130" t="s">
        <v>15</v>
      </c>
      <c r="G34" s="109" t="s">
        <v>3359</v>
      </c>
      <c r="H34" s="137">
        <v>200</v>
      </c>
      <c r="I34" s="137">
        <v>200</v>
      </c>
      <c r="J34" s="109"/>
      <c r="K34" s="102"/>
      <c r="L34" s="105">
        <v>20201118</v>
      </c>
    </row>
    <row r="35" s="133" customFormat="1" ht="16" customHeight="1" spans="1:12">
      <c r="A35" s="208" t="s">
        <v>418</v>
      </c>
      <c r="B35" s="130" t="s">
        <v>6671</v>
      </c>
      <c r="C35" s="137" t="s">
        <v>6733</v>
      </c>
      <c r="D35" s="137" t="s">
        <v>6734</v>
      </c>
      <c r="E35" s="130" t="s">
        <v>15</v>
      </c>
      <c r="F35" s="130" t="s">
        <v>15</v>
      </c>
      <c r="G35" s="109" t="s">
        <v>3359</v>
      </c>
      <c r="H35" s="137">
        <v>200</v>
      </c>
      <c r="I35" s="137">
        <v>200</v>
      </c>
      <c r="J35" s="109"/>
      <c r="K35" s="102"/>
      <c r="L35" s="105">
        <v>20201118</v>
      </c>
    </row>
    <row r="36" s="133" customFormat="1" ht="16" customHeight="1" spans="1:12">
      <c r="A36" s="208" t="s">
        <v>421</v>
      </c>
      <c r="B36" s="130" t="s">
        <v>6671</v>
      </c>
      <c r="C36" s="137" t="s">
        <v>2200</v>
      </c>
      <c r="D36" s="137" t="s">
        <v>6735</v>
      </c>
      <c r="E36" s="130" t="s">
        <v>15</v>
      </c>
      <c r="F36" s="130" t="s">
        <v>15</v>
      </c>
      <c r="G36" s="109" t="s">
        <v>3359</v>
      </c>
      <c r="H36" s="137">
        <v>200</v>
      </c>
      <c r="I36" s="137">
        <v>200</v>
      </c>
      <c r="J36" s="109"/>
      <c r="K36" s="102"/>
      <c r="L36" s="105">
        <v>20201118</v>
      </c>
    </row>
    <row r="37" s="133" customFormat="1" ht="16" customHeight="1" spans="1:12">
      <c r="A37" s="208" t="s">
        <v>424</v>
      </c>
      <c r="B37" s="130" t="s">
        <v>6671</v>
      </c>
      <c r="C37" s="137" t="s">
        <v>6736</v>
      </c>
      <c r="D37" s="137" t="s">
        <v>6737</v>
      </c>
      <c r="E37" s="130" t="s">
        <v>15</v>
      </c>
      <c r="F37" s="130" t="s">
        <v>15</v>
      </c>
      <c r="G37" s="109" t="s">
        <v>3359</v>
      </c>
      <c r="H37" s="137">
        <v>200</v>
      </c>
      <c r="I37" s="137">
        <v>200</v>
      </c>
      <c r="J37" s="109"/>
      <c r="K37" s="102"/>
      <c r="L37" s="105">
        <v>20201118</v>
      </c>
    </row>
    <row r="38" s="133" customFormat="1" ht="16" customHeight="1" spans="1:12">
      <c r="A38" s="208" t="s">
        <v>427</v>
      </c>
      <c r="B38" s="130" t="s">
        <v>6671</v>
      </c>
      <c r="C38" s="137" t="s">
        <v>6738</v>
      </c>
      <c r="D38" s="137" t="s">
        <v>6739</v>
      </c>
      <c r="E38" s="130" t="s">
        <v>15</v>
      </c>
      <c r="F38" s="130" t="s">
        <v>15</v>
      </c>
      <c r="G38" s="109" t="s">
        <v>3359</v>
      </c>
      <c r="H38" s="137">
        <v>200</v>
      </c>
      <c r="I38" s="137">
        <v>200</v>
      </c>
      <c r="J38" s="109"/>
      <c r="K38" s="102"/>
      <c r="L38" s="105">
        <v>20201118</v>
      </c>
    </row>
    <row r="39" s="133" customFormat="1" ht="16" customHeight="1" spans="1:12">
      <c r="A39" s="208" t="s">
        <v>430</v>
      </c>
      <c r="B39" s="130" t="s">
        <v>6671</v>
      </c>
      <c r="C39" s="137" t="s">
        <v>1130</v>
      </c>
      <c r="D39" s="137" t="s">
        <v>6740</v>
      </c>
      <c r="E39" s="130" t="s">
        <v>15</v>
      </c>
      <c r="F39" s="130" t="s">
        <v>15</v>
      </c>
      <c r="G39" s="109" t="s">
        <v>3359</v>
      </c>
      <c r="H39" s="137">
        <v>200</v>
      </c>
      <c r="I39" s="137">
        <v>200</v>
      </c>
      <c r="J39" s="109"/>
      <c r="K39" s="102"/>
      <c r="L39" s="105">
        <v>20201118</v>
      </c>
    </row>
    <row r="40" s="133" customFormat="1" ht="16" customHeight="1" spans="1:12">
      <c r="A40" s="208" t="s">
        <v>433</v>
      </c>
      <c r="B40" s="130" t="s">
        <v>6671</v>
      </c>
      <c r="C40" s="137" t="s">
        <v>6741</v>
      </c>
      <c r="D40" s="284" t="s">
        <v>6742</v>
      </c>
      <c r="E40" s="130" t="s">
        <v>15</v>
      </c>
      <c r="F40" s="130" t="s">
        <v>15</v>
      </c>
      <c r="G40" s="109" t="s">
        <v>3359</v>
      </c>
      <c r="H40" s="137">
        <v>1000</v>
      </c>
      <c r="I40" s="137">
        <v>1000</v>
      </c>
      <c r="J40" s="109"/>
      <c r="K40" s="102"/>
      <c r="L40" s="105">
        <v>20201118</v>
      </c>
    </row>
    <row r="41" s="133" customFormat="1" ht="16" customHeight="1" spans="1:12">
      <c r="A41" s="208" t="s">
        <v>436</v>
      </c>
      <c r="B41" s="130" t="s">
        <v>6671</v>
      </c>
      <c r="C41" s="137" t="s">
        <v>6743</v>
      </c>
      <c r="D41" s="284" t="s">
        <v>6744</v>
      </c>
      <c r="E41" s="130" t="s">
        <v>15</v>
      </c>
      <c r="F41" s="130" t="s">
        <v>15</v>
      </c>
      <c r="G41" s="109" t="s">
        <v>3359</v>
      </c>
      <c r="H41" s="137">
        <v>300</v>
      </c>
      <c r="I41" s="137">
        <v>300</v>
      </c>
      <c r="J41" s="109" t="s">
        <v>108</v>
      </c>
      <c r="K41" s="102"/>
      <c r="L41" s="105">
        <v>20201118</v>
      </c>
    </row>
    <row r="42" s="133" customFormat="1" ht="16" customHeight="1" spans="1:12">
      <c r="A42" s="208" t="s">
        <v>439</v>
      </c>
      <c r="B42" s="130" t="s">
        <v>6671</v>
      </c>
      <c r="C42" s="137" t="s">
        <v>6745</v>
      </c>
      <c r="D42" s="137" t="s">
        <v>6746</v>
      </c>
      <c r="E42" s="130" t="s">
        <v>15</v>
      </c>
      <c r="F42" s="130" t="s">
        <v>15</v>
      </c>
      <c r="G42" s="109" t="s">
        <v>3359</v>
      </c>
      <c r="H42" s="137">
        <v>200</v>
      </c>
      <c r="I42" s="137">
        <v>200</v>
      </c>
      <c r="J42" s="109"/>
      <c r="K42" s="102"/>
      <c r="L42" s="105">
        <v>20201118</v>
      </c>
    </row>
    <row r="43" s="133" customFormat="1" ht="16" customHeight="1" spans="1:12">
      <c r="A43" s="208" t="s">
        <v>442</v>
      </c>
      <c r="B43" s="130" t="s">
        <v>6671</v>
      </c>
      <c r="C43" s="137" t="s">
        <v>6747</v>
      </c>
      <c r="D43" s="137" t="s">
        <v>6748</v>
      </c>
      <c r="E43" s="130" t="s">
        <v>15</v>
      </c>
      <c r="F43" s="130" t="s">
        <v>15</v>
      </c>
      <c r="G43" s="109" t="s">
        <v>3359</v>
      </c>
      <c r="H43" s="137">
        <v>200</v>
      </c>
      <c r="I43" s="137">
        <v>200</v>
      </c>
      <c r="J43" s="109"/>
      <c r="K43" s="102"/>
      <c r="L43" s="105">
        <v>20201118</v>
      </c>
    </row>
    <row r="44" s="133" customFormat="1" ht="16" customHeight="1" spans="1:12">
      <c r="A44" s="208" t="s">
        <v>445</v>
      </c>
      <c r="B44" s="130" t="s">
        <v>6671</v>
      </c>
      <c r="C44" s="137" t="s">
        <v>6749</v>
      </c>
      <c r="D44" s="137" t="s">
        <v>6750</v>
      </c>
      <c r="E44" s="130" t="s">
        <v>15</v>
      </c>
      <c r="F44" s="130" t="s">
        <v>15</v>
      </c>
      <c r="G44" s="109" t="s">
        <v>3359</v>
      </c>
      <c r="H44" s="137">
        <v>200</v>
      </c>
      <c r="I44" s="137">
        <v>200</v>
      </c>
      <c r="J44" s="109"/>
      <c r="K44" s="102"/>
      <c r="L44" s="105">
        <v>20201118</v>
      </c>
    </row>
    <row r="45" s="133" customFormat="1" ht="16" customHeight="1" spans="1:12">
      <c r="A45" s="208" t="s">
        <v>448</v>
      </c>
      <c r="B45" s="130" t="s">
        <v>6671</v>
      </c>
      <c r="C45" s="137" t="s">
        <v>6751</v>
      </c>
      <c r="D45" s="137" t="s">
        <v>6752</v>
      </c>
      <c r="E45" s="130" t="s">
        <v>15</v>
      </c>
      <c r="F45" s="130" t="s">
        <v>15</v>
      </c>
      <c r="G45" s="109" t="s">
        <v>3359</v>
      </c>
      <c r="H45" s="137">
        <v>200</v>
      </c>
      <c r="I45" s="137">
        <v>200</v>
      </c>
      <c r="J45" s="109" t="s">
        <v>6753</v>
      </c>
      <c r="K45" s="102"/>
      <c r="L45" s="105">
        <v>20201118</v>
      </c>
    </row>
    <row r="46" s="133" customFormat="1" ht="16" customHeight="1" spans="1:12">
      <c r="A46" s="208" t="s">
        <v>451</v>
      </c>
      <c r="B46" s="130" t="s">
        <v>6671</v>
      </c>
      <c r="C46" s="137" t="s">
        <v>6754</v>
      </c>
      <c r="D46" s="137" t="s">
        <v>6755</v>
      </c>
      <c r="E46" s="130" t="s">
        <v>15</v>
      </c>
      <c r="F46" s="130" t="s">
        <v>15</v>
      </c>
      <c r="G46" s="109" t="s">
        <v>3359</v>
      </c>
      <c r="H46" s="137">
        <v>200</v>
      </c>
      <c r="I46" s="137">
        <v>200</v>
      </c>
      <c r="J46" s="109" t="s">
        <v>6753</v>
      </c>
      <c r="K46" s="102"/>
      <c r="L46" s="105">
        <v>20201118</v>
      </c>
    </row>
    <row r="47" s="133" customFormat="1" ht="16" customHeight="1" spans="1:12">
      <c r="A47" s="208" t="s">
        <v>454</v>
      </c>
      <c r="B47" s="130" t="s">
        <v>6671</v>
      </c>
      <c r="C47" s="137" t="s">
        <v>6756</v>
      </c>
      <c r="D47" s="137" t="s">
        <v>6757</v>
      </c>
      <c r="E47" s="130" t="s">
        <v>15</v>
      </c>
      <c r="F47" s="130" t="s">
        <v>15</v>
      </c>
      <c r="G47" s="109" t="s">
        <v>3359</v>
      </c>
      <c r="H47" s="137">
        <v>200</v>
      </c>
      <c r="I47" s="137">
        <v>200</v>
      </c>
      <c r="J47" s="109"/>
      <c r="K47" s="102"/>
      <c r="L47" s="105">
        <v>20201118</v>
      </c>
    </row>
    <row r="48" s="133" customFormat="1" ht="16" customHeight="1" spans="1:12">
      <c r="A48" s="208" t="s">
        <v>457</v>
      </c>
      <c r="B48" s="130" t="s">
        <v>6671</v>
      </c>
      <c r="C48" s="137" t="s">
        <v>6758</v>
      </c>
      <c r="D48" s="137" t="s">
        <v>6759</v>
      </c>
      <c r="E48" s="130" t="s">
        <v>15</v>
      </c>
      <c r="F48" s="130" t="s">
        <v>15</v>
      </c>
      <c r="G48" s="109" t="s">
        <v>3359</v>
      </c>
      <c r="H48" s="137">
        <v>200</v>
      </c>
      <c r="I48" s="137">
        <v>200</v>
      </c>
      <c r="J48" s="109"/>
      <c r="K48" s="102"/>
      <c r="L48" s="105">
        <v>20201118</v>
      </c>
    </row>
    <row r="49" s="133" customFormat="1" ht="16" customHeight="1" spans="1:12">
      <c r="A49" s="208" t="s">
        <v>460</v>
      </c>
      <c r="B49" s="130" t="s">
        <v>6671</v>
      </c>
      <c r="C49" s="137" t="s">
        <v>6760</v>
      </c>
      <c r="D49" s="137" t="s">
        <v>6761</v>
      </c>
      <c r="E49" s="130" t="s">
        <v>15</v>
      </c>
      <c r="F49" s="130" t="s">
        <v>15</v>
      </c>
      <c r="G49" s="109" t="s">
        <v>3359</v>
      </c>
      <c r="H49" s="137">
        <v>200</v>
      </c>
      <c r="I49" s="137">
        <v>200</v>
      </c>
      <c r="J49" s="109"/>
      <c r="K49" s="102"/>
      <c r="L49" s="105">
        <v>20201118</v>
      </c>
    </row>
    <row r="50" s="133" customFormat="1" ht="16" customHeight="1" spans="1:12">
      <c r="A50" s="208" t="s">
        <v>463</v>
      </c>
      <c r="B50" s="130" t="s">
        <v>6671</v>
      </c>
      <c r="C50" s="137" t="s">
        <v>6762</v>
      </c>
      <c r="D50" s="137" t="s">
        <v>6763</v>
      </c>
      <c r="E50" s="130" t="s">
        <v>15</v>
      </c>
      <c r="F50" s="130" t="s">
        <v>15</v>
      </c>
      <c r="G50" s="109" t="s">
        <v>3359</v>
      </c>
      <c r="H50" s="137">
        <v>200</v>
      </c>
      <c r="I50" s="137">
        <v>200</v>
      </c>
      <c r="J50" s="109"/>
      <c r="K50" s="102"/>
      <c r="L50" s="105">
        <v>20201118</v>
      </c>
    </row>
    <row r="51" s="133" customFormat="1" ht="16" customHeight="1" spans="1:12">
      <c r="A51" s="208" t="s">
        <v>466</v>
      </c>
      <c r="B51" s="130" t="s">
        <v>6671</v>
      </c>
      <c r="C51" s="137" t="s">
        <v>6764</v>
      </c>
      <c r="D51" s="137" t="s">
        <v>6765</v>
      </c>
      <c r="E51" s="130" t="s">
        <v>15</v>
      </c>
      <c r="F51" s="130" t="s">
        <v>15</v>
      </c>
      <c r="G51" s="109" t="s">
        <v>3359</v>
      </c>
      <c r="H51" s="137">
        <v>200</v>
      </c>
      <c r="I51" s="137">
        <v>200</v>
      </c>
      <c r="J51" s="109"/>
      <c r="K51" s="102"/>
      <c r="L51" s="105">
        <v>20201118</v>
      </c>
    </row>
    <row r="52" s="133" customFormat="1" ht="16" customHeight="1" spans="1:12">
      <c r="A52" s="208" t="s">
        <v>469</v>
      </c>
      <c r="B52" s="130" t="s">
        <v>6671</v>
      </c>
      <c r="C52" s="137" t="s">
        <v>6766</v>
      </c>
      <c r="D52" s="137" t="s">
        <v>6767</v>
      </c>
      <c r="E52" s="130" t="s">
        <v>15</v>
      </c>
      <c r="F52" s="130" t="s">
        <v>15</v>
      </c>
      <c r="G52" s="109" t="s">
        <v>3359</v>
      </c>
      <c r="H52" s="137">
        <v>200</v>
      </c>
      <c r="I52" s="137">
        <v>200</v>
      </c>
      <c r="J52" s="109"/>
      <c r="K52" s="102"/>
      <c r="L52" s="105">
        <v>20201118</v>
      </c>
    </row>
    <row r="53" s="133" customFormat="1" ht="16" customHeight="1" spans="1:12">
      <c r="A53" s="208" t="s">
        <v>472</v>
      </c>
      <c r="B53" s="130" t="s">
        <v>6671</v>
      </c>
      <c r="C53" s="137" t="s">
        <v>27</v>
      </c>
      <c r="D53" s="137" t="s">
        <v>6768</v>
      </c>
      <c r="E53" s="130" t="s">
        <v>15</v>
      </c>
      <c r="F53" s="130" t="s">
        <v>15</v>
      </c>
      <c r="G53" s="109" t="s">
        <v>3359</v>
      </c>
      <c r="H53" s="137">
        <v>200</v>
      </c>
      <c r="I53" s="137">
        <v>200</v>
      </c>
      <c r="J53" s="109"/>
      <c r="K53" s="102"/>
      <c r="L53" s="105">
        <v>20201118</v>
      </c>
    </row>
    <row r="54" s="133" customFormat="1" ht="16" customHeight="1" spans="1:12">
      <c r="A54" s="208" t="s">
        <v>475</v>
      </c>
      <c r="B54" s="130" t="s">
        <v>6671</v>
      </c>
      <c r="C54" s="137" t="s">
        <v>6769</v>
      </c>
      <c r="D54" s="137" t="s">
        <v>6770</v>
      </c>
      <c r="E54" s="130" t="s">
        <v>15</v>
      </c>
      <c r="F54" s="130" t="s">
        <v>15</v>
      </c>
      <c r="G54" s="109" t="s">
        <v>3359</v>
      </c>
      <c r="H54" s="137">
        <v>200</v>
      </c>
      <c r="I54" s="137">
        <v>200</v>
      </c>
      <c r="J54" s="109"/>
      <c r="K54" s="102"/>
      <c r="L54" s="105">
        <v>20201118</v>
      </c>
    </row>
    <row r="55" s="133" customFormat="1" ht="16" customHeight="1" spans="1:12">
      <c r="A55" s="208" t="s">
        <v>478</v>
      </c>
      <c r="B55" s="130" t="s">
        <v>6671</v>
      </c>
      <c r="C55" s="137" t="s">
        <v>6771</v>
      </c>
      <c r="D55" s="137" t="s">
        <v>6772</v>
      </c>
      <c r="E55" s="130" t="s">
        <v>15</v>
      </c>
      <c r="F55" s="130" t="s">
        <v>15</v>
      </c>
      <c r="G55" s="109" t="s">
        <v>3359</v>
      </c>
      <c r="H55" s="137">
        <v>200</v>
      </c>
      <c r="I55" s="137">
        <v>200</v>
      </c>
      <c r="J55" s="109"/>
      <c r="K55" s="102"/>
      <c r="L55" s="105">
        <v>20201118</v>
      </c>
    </row>
    <row r="56" s="133" customFormat="1" ht="16" customHeight="1" spans="1:12">
      <c r="A56" s="208" t="s">
        <v>481</v>
      </c>
      <c r="B56" s="130" t="s">
        <v>6671</v>
      </c>
      <c r="C56" s="137" t="s">
        <v>6773</v>
      </c>
      <c r="D56" s="137" t="s">
        <v>6774</v>
      </c>
      <c r="E56" s="130" t="s">
        <v>15</v>
      </c>
      <c r="F56" s="130" t="s">
        <v>15</v>
      </c>
      <c r="G56" s="109" t="s">
        <v>3359</v>
      </c>
      <c r="H56" s="137">
        <v>200</v>
      </c>
      <c r="I56" s="137">
        <v>200</v>
      </c>
      <c r="J56" s="109"/>
      <c r="K56" s="102"/>
      <c r="L56" s="105">
        <v>20201118</v>
      </c>
    </row>
    <row r="57" s="133" customFormat="1" ht="16" customHeight="1" spans="1:12">
      <c r="A57" s="208" t="s">
        <v>484</v>
      </c>
      <c r="B57" s="130" t="s">
        <v>6671</v>
      </c>
      <c r="C57" s="137" t="s">
        <v>6775</v>
      </c>
      <c r="D57" s="137" t="s">
        <v>6776</v>
      </c>
      <c r="E57" s="130" t="s">
        <v>15</v>
      </c>
      <c r="F57" s="130" t="s">
        <v>15</v>
      </c>
      <c r="G57" s="109" t="s">
        <v>3359</v>
      </c>
      <c r="H57" s="137">
        <v>200</v>
      </c>
      <c r="I57" s="137">
        <v>200</v>
      </c>
      <c r="J57" s="109"/>
      <c r="K57" s="102"/>
      <c r="L57" s="105">
        <v>20201118</v>
      </c>
    </row>
    <row r="58" s="133" customFormat="1" ht="16" customHeight="1" spans="1:12">
      <c r="A58" s="208" t="s">
        <v>487</v>
      </c>
      <c r="B58" s="130" t="s">
        <v>6671</v>
      </c>
      <c r="C58" s="137" t="s">
        <v>6777</v>
      </c>
      <c r="D58" s="137" t="s">
        <v>6778</v>
      </c>
      <c r="E58" s="130" t="s">
        <v>15</v>
      </c>
      <c r="F58" s="130" t="s">
        <v>15</v>
      </c>
      <c r="G58" s="109" t="s">
        <v>3359</v>
      </c>
      <c r="H58" s="137">
        <v>200</v>
      </c>
      <c r="I58" s="137">
        <v>200</v>
      </c>
      <c r="J58" s="109"/>
      <c r="K58" s="102"/>
      <c r="L58" s="105">
        <v>20201118</v>
      </c>
    </row>
    <row r="59" s="133" customFormat="1" ht="16" customHeight="1" spans="1:12">
      <c r="A59" s="208" t="s">
        <v>490</v>
      </c>
      <c r="B59" s="130" t="s">
        <v>6671</v>
      </c>
      <c r="C59" s="137" t="s">
        <v>6779</v>
      </c>
      <c r="D59" s="137" t="s">
        <v>6780</v>
      </c>
      <c r="E59" s="130" t="s">
        <v>15</v>
      </c>
      <c r="F59" s="130" t="s">
        <v>15</v>
      </c>
      <c r="G59" s="109" t="s">
        <v>3359</v>
      </c>
      <c r="H59" s="137">
        <v>200</v>
      </c>
      <c r="I59" s="137">
        <v>200</v>
      </c>
      <c r="J59" s="109"/>
      <c r="K59" s="102"/>
      <c r="L59" s="105">
        <v>20201118</v>
      </c>
    </row>
    <row r="60" s="133" customFormat="1" ht="16" customHeight="1" spans="1:12">
      <c r="A60" s="208" t="s">
        <v>493</v>
      </c>
      <c r="B60" s="130" t="s">
        <v>6671</v>
      </c>
      <c r="C60" s="137" t="s">
        <v>6781</v>
      </c>
      <c r="D60" s="137" t="s">
        <v>6782</v>
      </c>
      <c r="E60" s="130" t="s">
        <v>15</v>
      </c>
      <c r="F60" s="130" t="s">
        <v>15</v>
      </c>
      <c r="G60" s="109" t="s">
        <v>3359</v>
      </c>
      <c r="H60" s="137">
        <v>1000</v>
      </c>
      <c r="I60" s="137">
        <v>1000</v>
      </c>
      <c r="J60" s="109"/>
      <c r="K60" s="102"/>
      <c r="L60" s="105">
        <v>20201118</v>
      </c>
    </row>
    <row r="61" s="133" customFormat="1" ht="16" customHeight="1" spans="1:12">
      <c r="A61" s="208" t="s">
        <v>496</v>
      </c>
      <c r="B61" s="130" t="s">
        <v>6671</v>
      </c>
      <c r="C61" s="137" t="s">
        <v>6783</v>
      </c>
      <c r="D61" s="137" t="s">
        <v>6784</v>
      </c>
      <c r="E61" s="130" t="s">
        <v>15</v>
      </c>
      <c r="F61" s="130" t="s">
        <v>15</v>
      </c>
      <c r="G61" s="109" t="s">
        <v>3359</v>
      </c>
      <c r="H61" s="137">
        <v>200</v>
      </c>
      <c r="I61" s="137">
        <v>200</v>
      </c>
      <c r="J61" s="109"/>
      <c r="K61" s="102"/>
      <c r="L61" s="105">
        <v>20201118</v>
      </c>
    </row>
    <row r="62" s="133" customFormat="1" ht="16" customHeight="1" spans="1:12">
      <c r="A62" s="208" t="s">
        <v>499</v>
      </c>
      <c r="B62" s="130" t="s">
        <v>6671</v>
      </c>
      <c r="C62" s="137" t="s">
        <v>6785</v>
      </c>
      <c r="D62" s="137" t="s">
        <v>6786</v>
      </c>
      <c r="E62" s="130" t="s">
        <v>15</v>
      </c>
      <c r="F62" s="130" t="s">
        <v>15</v>
      </c>
      <c r="G62" s="109" t="s">
        <v>3359</v>
      </c>
      <c r="H62" s="137">
        <v>200</v>
      </c>
      <c r="I62" s="137">
        <v>200</v>
      </c>
      <c r="J62" s="109"/>
      <c r="K62" s="102"/>
      <c r="L62" s="105">
        <v>20201118</v>
      </c>
    </row>
    <row r="63" s="133" customFormat="1" ht="16" customHeight="1" spans="1:12">
      <c r="A63" s="208" t="s">
        <v>502</v>
      </c>
      <c r="B63" s="130" t="s">
        <v>6671</v>
      </c>
      <c r="C63" s="137" t="s">
        <v>6787</v>
      </c>
      <c r="D63" s="137" t="s">
        <v>6788</v>
      </c>
      <c r="E63" s="130" t="s">
        <v>15</v>
      </c>
      <c r="F63" s="130" t="s">
        <v>15</v>
      </c>
      <c r="G63" s="109" t="s">
        <v>3359</v>
      </c>
      <c r="H63" s="137">
        <v>200</v>
      </c>
      <c r="I63" s="137">
        <v>200</v>
      </c>
      <c r="J63" s="109"/>
      <c r="K63" s="102"/>
      <c r="L63" s="105">
        <v>20201118</v>
      </c>
    </row>
    <row r="64" s="133" customFormat="1" ht="16" customHeight="1" spans="1:12">
      <c r="A64" s="208" t="s">
        <v>505</v>
      </c>
      <c r="B64" s="130" t="s">
        <v>6671</v>
      </c>
      <c r="C64" s="137" t="s">
        <v>4786</v>
      </c>
      <c r="D64" s="137" t="s">
        <v>6789</v>
      </c>
      <c r="E64" s="130" t="s">
        <v>15</v>
      </c>
      <c r="F64" s="130" t="s">
        <v>15</v>
      </c>
      <c r="G64" s="109" t="s">
        <v>3359</v>
      </c>
      <c r="H64" s="137">
        <v>200</v>
      </c>
      <c r="I64" s="137">
        <v>200</v>
      </c>
      <c r="J64" s="109"/>
      <c r="K64" s="102"/>
      <c r="L64" s="105">
        <v>20201118</v>
      </c>
    </row>
    <row r="65" s="133" customFormat="1" ht="16" customHeight="1" spans="1:12">
      <c r="A65" s="208" t="s">
        <v>508</v>
      </c>
      <c r="B65" s="130" t="s">
        <v>6671</v>
      </c>
      <c r="C65" s="137" t="s">
        <v>6790</v>
      </c>
      <c r="D65" s="137" t="s">
        <v>6791</v>
      </c>
      <c r="E65" s="130" t="s">
        <v>15</v>
      </c>
      <c r="F65" s="130" t="s">
        <v>15</v>
      </c>
      <c r="G65" s="109" t="s">
        <v>3359</v>
      </c>
      <c r="H65" s="137">
        <v>200</v>
      </c>
      <c r="I65" s="137">
        <v>200</v>
      </c>
      <c r="J65" s="109"/>
      <c r="K65" s="102"/>
      <c r="L65" s="105">
        <v>20201118</v>
      </c>
    </row>
    <row r="66" s="133" customFormat="1" ht="16" customHeight="1" spans="1:12">
      <c r="A66" s="208" t="s">
        <v>511</v>
      </c>
      <c r="B66" s="130" t="s">
        <v>6671</v>
      </c>
      <c r="C66" s="137" t="s">
        <v>6792</v>
      </c>
      <c r="D66" s="137" t="s">
        <v>6793</v>
      </c>
      <c r="E66" s="130" t="s">
        <v>15</v>
      </c>
      <c r="F66" s="130" t="s">
        <v>15</v>
      </c>
      <c r="G66" s="109" t="s">
        <v>3359</v>
      </c>
      <c r="H66" s="137">
        <v>200</v>
      </c>
      <c r="I66" s="137">
        <v>200</v>
      </c>
      <c r="J66" s="109"/>
      <c r="K66" s="102"/>
      <c r="L66" s="105">
        <v>20201118</v>
      </c>
    </row>
    <row r="67" s="133" customFormat="1" ht="16" customHeight="1" spans="1:12">
      <c r="A67" s="208" t="s">
        <v>514</v>
      </c>
      <c r="B67" s="130" t="s">
        <v>6671</v>
      </c>
      <c r="C67" s="137" t="s">
        <v>6794</v>
      </c>
      <c r="D67" s="137" t="s">
        <v>6795</v>
      </c>
      <c r="E67" s="130" t="s">
        <v>15</v>
      </c>
      <c r="F67" s="130" t="s">
        <v>15</v>
      </c>
      <c r="G67" s="109" t="s">
        <v>3359</v>
      </c>
      <c r="H67" s="137">
        <v>200</v>
      </c>
      <c r="I67" s="137">
        <v>200</v>
      </c>
      <c r="J67" s="109"/>
      <c r="K67" s="102"/>
      <c r="L67" s="105">
        <v>20201118</v>
      </c>
    </row>
    <row r="68" s="133" customFormat="1" ht="16" customHeight="1" spans="1:12">
      <c r="A68" s="208" t="s">
        <v>517</v>
      </c>
      <c r="B68" s="130" t="s">
        <v>6671</v>
      </c>
      <c r="C68" s="137" t="s">
        <v>6796</v>
      </c>
      <c r="D68" s="137" t="s">
        <v>6797</v>
      </c>
      <c r="E68" s="130" t="s">
        <v>15</v>
      </c>
      <c r="F68" s="130" t="s">
        <v>15</v>
      </c>
      <c r="G68" s="109" t="s">
        <v>3359</v>
      </c>
      <c r="H68" s="137">
        <v>200</v>
      </c>
      <c r="I68" s="137">
        <v>200</v>
      </c>
      <c r="J68" s="109"/>
      <c r="K68" s="102"/>
      <c r="L68" s="105">
        <v>20201118</v>
      </c>
    </row>
    <row r="69" s="133" customFormat="1" ht="16" customHeight="1" spans="1:12">
      <c r="A69" s="208" t="s">
        <v>518</v>
      </c>
      <c r="B69" s="130" t="s">
        <v>6671</v>
      </c>
      <c r="C69" s="137" t="s">
        <v>6798</v>
      </c>
      <c r="D69" s="137" t="s">
        <v>6799</v>
      </c>
      <c r="E69" s="130" t="s">
        <v>15</v>
      </c>
      <c r="F69" s="130" t="s">
        <v>15</v>
      </c>
      <c r="G69" s="109" t="s">
        <v>3359</v>
      </c>
      <c r="H69" s="137">
        <v>200</v>
      </c>
      <c r="I69" s="137">
        <v>200</v>
      </c>
      <c r="J69" s="109"/>
      <c r="K69" s="102"/>
      <c r="L69" s="105">
        <v>20201118</v>
      </c>
    </row>
    <row r="70" s="133" customFormat="1" ht="16" customHeight="1" spans="1:12">
      <c r="A70" s="208" t="s">
        <v>521</v>
      </c>
      <c r="B70" s="130" t="s">
        <v>6671</v>
      </c>
      <c r="C70" s="137" t="s">
        <v>276</v>
      </c>
      <c r="D70" s="137" t="s">
        <v>6800</v>
      </c>
      <c r="E70" s="130" t="s">
        <v>15</v>
      </c>
      <c r="F70" s="130" t="s">
        <v>15</v>
      </c>
      <c r="G70" s="109" t="s">
        <v>3359</v>
      </c>
      <c r="H70" s="137">
        <v>200</v>
      </c>
      <c r="I70" s="137">
        <v>200</v>
      </c>
      <c r="J70" s="109"/>
      <c r="K70" s="102"/>
      <c r="L70" s="105">
        <v>20201118</v>
      </c>
    </row>
    <row r="71" s="133" customFormat="1" ht="16" customHeight="1" spans="1:12">
      <c r="A71" s="208" t="s">
        <v>524</v>
      </c>
      <c r="B71" s="130" t="s">
        <v>6671</v>
      </c>
      <c r="C71" s="137" t="s">
        <v>6801</v>
      </c>
      <c r="D71" s="137" t="s">
        <v>6802</v>
      </c>
      <c r="E71" s="130" t="s">
        <v>15</v>
      </c>
      <c r="F71" s="130" t="s">
        <v>15</v>
      </c>
      <c r="G71" s="109" t="s">
        <v>3359</v>
      </c>
      <c r="H71" s="137">
        <v>200</v>
      </c>
      <c r="I71" s="137">
        <v>200</v>
      </c>
      <c r="J71" s="109"/>
      <c r="K71" s="102"/>
      <c r="L71" s="105">
        <v>20201118</v>
      </c>
    </row>
    <row r="72" s="133" customFormat="1" ht="16" customHeight="1" spans="1:12">
      <c r="A72" s="208" t="s">
        <v>527</v>
      </c>
      <c r="B72" s="130" t="s">
        <v>6671</v>
      </c>
      <c r="C72" s="137" t="s">
        <v>6803</v>
      </c>
      <c r="D72" s="137" t="s">
        <v>6804</v>
      </c>
      <c r="E72" s="130" t="s">
        <v>15</v>
      </c>
      <c r="F72" s="130" t="s">
        <v>15</v>
      </c>
      <c r="G72" s="109" t="s">
        <v>3359</v>
      </c>
      <c r="H72" s="137">
        <v>200</v>
      </c>
      <c r="I72" s="137">
        <v>200</v>
      </c>
      <c r="J72" s="109"/>
      <c r="K72" s="102"/>
      <c r="L72" s="105">
        <v>20201118</v>
      </c>
    </row>
    <row r="73" s="133" customFormat="1" ht="16" customHeight="1" spans="1:12">
      <c r="A73" s="208" t="s">
        <v>530</v>
      </c>
      <c r="B73" s="130" t="s">
        <v>6671</v>
      </c>
      <c r="C73" s="137" t="s">
        <v>6805</v>
      </c>
      <c r="D73" s="137" t="s">
        <v>6806</v>
      </c>
      <c r="E73" s="130" t="s">
        <v>15</v>
      </c>
      <c r="F73" s="130" t="s">
        <v>15</v>
      </c>
      <c r="G73" s="109" t="s">
        <v>3359</v>
      </c>
      <c r="H73" s="137">
        <v>200</v>
      </c>
      <c r="I73" s="137">
        <v>200</v>
      </c>
      <c r="J73" s="109"/>
      <c r="K73" s="102"/>
      <c r="L73" s="105">
        <v>20201118</v>
      </c>
    </row>
    <row r="74" s="133" customFormat="1" ht="16" customHeight="1" spans="1:12">
      <c r="A74" s="208" t="s">
        <v>533</v>
      </c>
      <c r="B74" s="130" t="s">
        <v>6671</v>
      </c>
      <c r="C74" s="137" t="s">
        <v>6807</v>
      </c>
      <c r="D74" s="137" t="s">
        <v>6808</v>
      </c>
      <c r="E74" s="130" t="s">
        <v>15</v>
      </c>
      <c r="F74" s="130" t="s">
        <v>15</v>
      </c>
      <c r="G74" s="109" t="s">
        <v>3359</v>
      </c>
      <c r="H74" s="137">
        <v>200</v>
      </c>
      <c r="I74" s="137">
        <v>200</v>
      </c>
      <c r="J74" s="109"/>
      <c r="K74" s="102"/>
      <c r="L74" s="105">
        <v>20201118</v>
      </c>
    </row>
    <row r="75" s="133" customFormat="1" ht="16" customHeight="1" spans="1:12">
      <c r="A75" s="208" t="s">
        <v>536</v>
      </c>
      <c r="B75" s="130" t="s">
        <v>6671</v>
      </c>
      <c r="C75" s="137" t="s">
        <v>6809</v>
      </c>
      <c r="D75" s="137" t="s">
        <v>6810</v>
      </c>
      <c r="E75" s="130" t="s">
        <v>15</v>
      </c>
      <c r="F75" s="130" t="s">
        <v>15</v>
      </c>
      <c r="G75" s="109" t="s">
        <v>3359</v>
      </c>
      <c r="H75" s="137">
        <v>200</v>
      </c>
      <c r="I75" s="137">
        <v>200</v>
      </c>
      <c r="J75" s="109"/>
      <c r="K75" s="102"/>
      <c r="L75" s="105">
        <v>20201118</v>
      </c>
    </row>
    <row r="76" s="133" customFormat="1" ht="16" customHeight="1" spans="1:12">
      <c r="A76" s="208" t="s">
        <v>539</v>
      </c>
      <c r="B76" s="130" t="s">
        <v>6671</v>
      </c>
      <c r="C76" s="137" t="s">
        <v>6811</v>
      </c>
      <c r="D76" s="137" t="s">
        <v>6812</v>
      </c>
      <c r="E76" s="130" t="s">
        <v>15</v>
      </c>
      <c r="F76" s="130" t="s">
        <v>15</v>
      </c>
      <c r="G76" s="109" t="s">
        <v>3359</v>
      </c>
      <c r="H76" s="137">
        <v>200</v>
      </c>
      <c r="I76" s="137">
        <v>200</v>
      </c>
      <c r="J76" s="109"/>
      <c r="K76" s="102"/>
      <c r="L76" s="105">
        <v>20201118</v>
      </c>
    </row>
    <row r="77" s="133" customFormat="1" ht="16" customHeight="1" spans="1:12">
      <c r="A77" s="208" t="s">
        <v>542</v>
      </c>
      <c r="B77" s="130" t="s">
        <v>6671</v>
      </c>
      <c r="C77" s="137" t="s">
        <v>6813</v>
      </c>
      <c r="D77" s="137" t="s">
        <v>6814</v>
      </c>
      <c r="E77" s="130" t="s">
        <v>15</v>
      </c>
      <c r="F77" s="130" t="s">
        <v>15</v>
      </c>
      <c r="G77" s="109" t="s">
        <v>3359</v>
      </c>
      <c r="H77" s="137">
        <v>200</v>
      </c>
      <c r="I77" s="137">
        <v>200</v>
      </c>
      <c r="J77" s="109"/>
      <c r="K77" s="102"/>
      <c r="L77" s="105">
        <v>20201118</v>
      </c>
    </row>
    <row r="78" s="133" customFormat="1" ht="16" customHeight="1" spans="1:12">
      <c r="A78" s="208" t="s">
        <v>545</v>
      </c>
      <c r="B78" s="130" t="s">
        <v>6671</v>
      </c>
      <c r="C78" s="137" t="s">
        <v>6815</v>
      </c>
      <c r="D78" s="137" t="s">
        <v>6816</v>
      </c>
      <c r="E78" s="130" t="s">
        <v>15</v>
      </c>
      <c r="F78" s="130" t="s">
        <v>15</v>
      </c>
      <c r="G78" s="109" t="s">
        <v>3359</v>
      </c>
      <c r="H78" s="137">
        <v>200</v>
      </c>
      <c r="I78" s="137">
        <v>200</v>
      </c>
      <c r="J78" s="109"/>
      <c r="K78" s="102"/>
      <c r="L78" s="105">
        <v>20201118</v>
      </c>
    </row>
    <row r="79" s="133" customFormat="1" ht="16" customHeight="1" spans="1:12">
      <c r="A79" s="208" t="s">
        <v>548</v>
      </c>
      <c r="B79" s="130" t="s">
        <v>6671</v>
      </c>
      <c r="C79" s="137" t="s">
        <v>6817</v>
      </c>
      <c r="D79" s="137" t="s">
        <v>6818</v>
      </c>
      <c r="E79" s="130" t="s">
        <v>15</v>
      </c>
      <c r="F79" s="130" t="s">
        <v>15</v>
      </c>
      <c r="G79" s="109" t="s">
        <v>3359</v>
      </c>
      <c r="H79" s="137">
        <v>200</v>
      </c>
      <c r="I79" s="137">
        <v>200</v>
      </c>
      <c r="J79" s="109"/>
      <c r="K79" s="102"/>
      <c r="L79" s="105">
        <v>20201118</v>
      </c>
    </row>
    <row r="80" s="133" customFormat="1" ht="16" customHeight="1" spans="1:12">
      <c r="A80" s="208" t="s">
        <v>551</v>
      </c>
      <c r="B80" s="130" t="s">
        <v>6671</v>
      </c>
      <c r="C80" s="137" t="s">
        <v>4830</v>
      </c>
      <c r="D80" s="137" t="s">
        <v>6819</v>
      </c>
      <c r="E80" s="130" t="s">
        <v>15</v>
      </c>
      <c r="F80" s="130" t="s">
        <v>15</v>
      </c>
      <c r="G80" s="109" t="s">
        <v>3359</v>
      </c>
      <c r="H80" s="137">
        <v>200</v>
      </c>
      <c r="I80" s="137">
        <v>200</v>
      </c>
      <c r="J80" s="109"/>
      <c r="K80" s="102"/>
      <c r="L80" s="105">
        <v>20201118</v>
      </c>
    </row>
    <row r="81" s="133" customFormat="1" ht="16" customHeight="1" spans="1:12">
      <c r="A81" s="208" t="s">
        <v>554</v>
      </c>
      <c r="B81" s="130" t="s">
        <v>6671</v>
      </c>
      <c r="C81" s="137" t="s">
        <v>2200</v>
      </c>
      <c r="D81" s="137" t="s">
        <v>6820</v>
      </c>
      <c r="E81" s="130" t="s">
        <v>15</v>
      </c>
      <c r="F81" s="130" t="s">
        <v>15</v>
      </c>
      <c r="G81" s="109" t="s">
        <v>3359</v>
      </c>
      <c r="H81" s="137">
        <v>200</v>
      </c>
      <c r="I81" s="137">
        <v>200</v>
      </c>
      <c r="J81" s="109"/>
      <c r="K81" s="102"/>
      <c r="L81" s="105">
        <v>20201118</v>
      </c>
    </row>
    <row r="82" s="133" customFormat="1" ht="16" customHeight="1" spans="1:12">
      <c r="A82" s="208" t="s">
        <v>557</v>
      </c>
      <c r="B82" s="130" t="s">
        <v>6671</v>
      </c>
      <c r="C82" s="137" t="s">
        <v>6821</v>
      </c>
      <c r="D82" s="137" t="s">
        <v>6822</v>
      </c>
      <c r="E82" s="130" t="s">
        <v>15</v>
      </c>
      <c r="F82" s="130" t="s">
        <v>15</v>
      </c>
      <c r="G82" s="109" t="s">
        <v>3359</v>
      </c>
      <c r="H82" s="137">
        <v>200</v>
      </c>
      <c r="I82" s="137">
        <v>200</v>
      </c>
      <c r="J82" s="109"/>
      <c r="K82" s="102"/>
      <c r="L82" s="105">
        <v>20201118</v>
      </c>
    </row>
    <row r="83" s="133" customFormat="1" ht="16" customHeight="1" spans="1:12">
      <c r="A83" s="208" t="s">
        <v>560</v>
      </c>
      <c r="B83" s="130" t="s">
        <v>6671</v>
      </c>
      <c r="C83" s="137" t="s">
        <v>6823</v>
      </c>
      <c r="D83" s="137" t="s">
        <v>6824</v>
      </c>
      <c r="E83" s="130" t="s">
        <v>15</v>
      </c>
      <c r="F83" s="130" t="s">
        <v>15</v>
      </c>
      <c r="G83" s="109" t="s">
        <v>3359</v>
      </c>
      <c r="H83" s="137">
        <v>200</v>
      </c>
      <c r="I83" s="137">
        <v>200</v>
      </c>
      <c r="J83" s="109"/>
      <c r="K83" s="102"/>
      <c r="L83" s="105">
        <v>20201118</v>
      </c>
    </row>
    <row r="84" s="133" customFormat="1" ht="16" customHeight="1" spans="1:12">
      <c r="A84" s="208" t="s">
        <v>563</v>
      </c>
      <c r="B84" s="130" t="s">
        <v>6671</v>
      </c>
      <c r="C84" s="137" t="s">
        <v>6825</v>
      </c>
      <c r="D84" s="137" t="s">
        <v>6826</v>
      </c>
      <c r="E84" s="130" t="s">
        <v>15</v>
      </c>
      <c r="F84" s="130" t="s">
        <v>15</v>
      </c>
      <c r="G84" s="109" t="s">
        <v>3359</v>
      </c>
      <c r="H84" s="137">
        <v>200</v>
      </c>
      <c r="I84" s="137">
        <v>200</v>
      </c>
      <c r="J84" s="109"/>
      <c r="K84" s="102"/>
      <c r="L84" s="105">
        <v>20201118</v>
      </c>
    </row>
    <row r="85" s="133" customFormat="1" ht="16" customHeight="1" spans="1:12">
      <c r="A85" s="208" t="s">
        <v>566</v>
      </c>
      <c r="B85" s="130" t="s">
        <v>6671</v>
      </c>
      <c r="C85" s="137" t="s">
        <v>4739</v>
      </c>
      <c r="D85" s="137" t="s">
        <v>6827</v>
      </c>
      <c r="E85" s="130" t="s">
        <v>15</v>
      </c>
      <c r="F85" s="130" t="s">
        <v>15</v>
      </c>
      <c r="G85" s="109" t="s">
        <v>3359</v>
      </c>
      <c r="H85" s="137">
        <v>200</v>
      </c>
      <c r="I85" s="137">
        <v>200</v>
      </c>
      <c r="J85" s="109"/>
      <c r="K85" s="102"/>
      <c r="L85" s="105">
        <v>20201118</v>
      </c>
    </row>
    <row r="86" s="133" customFormat="1" ht="16" customHeight="1" spans="1:12">
      <c r="A86" s="208" t="s">
        <v>569</v>
      </c>
      <c r="B86" s="130" t="s">
        <v>6671</v>
      </c>
      <c r="C86" s="137" t="s">
        <v>6828</v>
      </c>
      <c r="D86" s="137" t="s">
        <v>6829</v>
      </c>
      <c r="E86" s="130" t="s">
        <v>15</v>
      </c>
      <c r="F86" s="130" t="s">
        <v>15</v>
      </c>
      <c r="G86" s="109" t="s">
        <v>3359</v>
      </c>
      <c r="H86" s="137">
        <v>200</v>
      </c>
      <c r="I86" s="137">
        <v>200</v>
      </c>
      <c r="J86" s="109"/>
      <c r="K86" s="102"/>
      <c r="L86" s="105">
        <v>20201118</v>
      </c>
    </row>
    <row r="87" s="133" customFormat="1" ht="16" customHeight="1" spans="1:12">
      <c r="A87" s="208" t="s">
        <v>572</v>
      </c>
      <c r="B87" s="130" t="s">
        <v>6671</v>
      </c>
      <c r="C87" s="137" t="s">
        <v>6830</v>
      </c>
      <c r="D87" s="137" t="s">
        <v>6831</v>
      </c>
      <c r="E87" s="130" t="s">
        <v>15</v>
      </c>
      <c r="F87" s="130" t="s">
        <v>15</v>
      </c>
      <c r="G87" s="109" t="s">
        <v>3359</v>
      </c>
      <c r="H87" s="137">
        <v>200</v>
      </c>
      <c r="I87" s="137">
        <v>200</v>
      </c>
      <c r="J87" s="109"/>
      <c r="K87" s="102"/>
      <c r="L87" s="105">
        <v>20201118</v>
      </c>
    </row>
    <row r="88" s="133" customFormat="1" ht="16" customHeight="1" spans="1:12">
      <c r="A88" s="208" t="s">
        <v>575</v>
      </c>
      <c r="B88" s="130" t="s">
        <v>6671</v>
      </c>
      <c r="C88" s="137" t="s">
        <v>6832</v>
      </c>
      <c r="D88" s="137" t="s">
        <v>6833</v>
      </c>
      <c r="E88" s="130" t="s">
        <v>15</v>
      </c>
      <c r="F88" s="130" t="s">
        <v>15</v>
      </c>
      <c r="G88" s="109" t="s">
        <v>3359</v>
      </c>
      <c r="H88" s="137">
        <v>200</v>
      </c>
      <c r="I88" s="137">
        <v>200</v>
      </c>
      <c r="J88" s="109"/>
      <c r="K88" s="102"/>
      <c r="L88" s="105">
        <v>20201118</v>
      </c>
    </row>
    <row r="89" s="133" customFormat="1" ht="16" customHeight="1" spans="1:12">
      <c r="A89" s="208" t="s">
        <v>578</v>
      </c>
      <c r="B89" s="130" t="s">
        <v>6671</v>
      </c>
      <c r="C89" s="137" t="s">
        <v>6834</v>
      </c>
      <c r="D89" s="137" t="s">
        <v>6835</v>
      </c>
      <c r="E89" s="130" t="s">
        <v>15</v>
      </c>
      <c r="F89" s="130" t="s">
        <v>15</v>
      </c>
      <c r="G89" s="109" t="s">
        <v>3359</v>
      </c>
      <c r="H89" s="137">
        <v>200</v>
      </c>
      <c r="I89" s="137">
        <v>200</v>
      </c>
      <c r="J89" s="109"/>
      <c r="K89" s="102"/>
      <c r="L89" s="105">
        <v>20201118</v>
      </c>
    </row>
    <row r="90" s="133" customFormat="1" ht="16" customHeight="1" spans="1:12">
      <c r="A90" s="208" t="s">
        <v>581</v>
      </c>
      <c r="B90" s="130" t="s">
        <v>6671</v>
      </c>
      <c r="C90" s="137" t="s">
        <v>6836</v>
      </c>
      <c r="D90" s="137" t="s">
        <v>6837</v>
      </c>
      <c r="E90" s="130" t="s">
        <v>15</v>
      </c>
      <c r="F90" s="130" t="s">
        <v>15</v>
      </c>
      <c r="G90" s="109" t="s">
        <v>3359</v>
      </c>
      <c r="H90" s="137">
        <v>200</v>
      </c>
      <c r="I90" s="137">
        <v>200</v>
      </c>
      <c r="J90" s="109"/>
      <c r="K90" s="102"/>
      <c r="L90" s="105">
        <v>20201118</v>
      </c>
    </row>
    <row r="91" s="133" customFormat="1" ht="16" customHeight="1" spans="1:12">
      <c r="A91" s="208" t="s">
        <v>584</v>
      </c>
      <c r="B91" s="130" t="s">
        <v>6671</v>
      </c>
      <c r="C91" s="137" t="s">
        <v>6838</v>
      </c>
      <c r="D91" s="137" t="s">
        <v>6839</v>
      </c>
      <c r="E91" s="130" t="s">
        <v>15</v>
      </c>
      <c r="F91" s="130" t="s">
        <v>15</v>
      </c>
      <c r="G91" s="109" t="s">
        <v>3359</v>
      </c>
      <c r="H91" s="137">
        <v>200</v>
      </c>
      <c r="I91" s="137">
        <v>200</v>
      </c>
      <c r="J91" s="109"/>
      <c r="K91" s="102"/>
      <c r="L91" s="105">
        <v>20201118</v>
      </c>
    </row>
    <row r="92" s="133" customFormat="1" ht="16" customHeight="1" spans="1:12">
      <c r="A92" s="208" t="s">
        <v>587</v>
      </c>
      <c r="B92" s="130" t="s">
        <v>6671</v>
      </c>
      <c r="C92" s="137" t="s">
        <v>6840</v>
      </c>
      <c r="D92" s="137" t="s">
        <v>6841</v>
      </c>
      <c r="E92" s="130" t="s">
        <v>15</v>
      </c>
      <c r="F92" s="130" t="s">
        <v>15</v>
      </c>
      <c r="G92" s="109" t="s">
        <v>3359</v>
      </c>
      <c r="H92" s="137">
        <v>200</v>
      </c>
      <c r="I92" s="137">
        <v>200</v>
      </c>
      <c r="J92" s="109"/>
      <c r="K92" s="102"/>
      <c r="L92" s="105">
        <v>20201118</v>
      </c>
    </row>
    <row r="93" s="133" customFormat="1" ht="16" customHeight="1" spans="1:12">
      <c r="A93" s="208" t="s">
        <v>590</v>
      </c>
      <c r="B93" s="130" t="s">
        <v>6671</v>
      </c>
      <c r="C93" s="137" t="s">
        <v>1849</v>
      </c>
      <c r="D93" s="137" t="s">
        <v>6842</v>
      </c>
      <c r="E93" s="130" t="s">
        <v>15</v>
      </c>
      <c r="F93" s="130" t="s">
        <v>15</v>
      </c>
      <c r="G93" s="109" t="s">
        <v>3359</v>
      </c>
      <c r="H93" s="137">
        <v>200</v>
      </c>
      <c r="I93" s="137">
        <v>200</v>
      </c>
      <c r="J93" s="109"/>
      <c r="K93" s="102"/>
      <c r="L93" s="105">
        <v>20201118</v>
      </c>
    </row>
    <row r="94" s="133" customFormat="1" ht="16" customHeight="1" spans="1:12">
      <c r="A94" s="208" t="s">
        <v>593</v>
      </c>
      <c r="B94" s="130" t="s">
        <v>6671</v>
      </c>
      <c r="C94" s="137" t="s">
        <v>6843</v>
      </c>
      <c r="D94" s="137" t="s">
        <v>6844</v>
      </c>
      <c r="E94" s="130" t="s">
        <v>15</v>
      </c>
      <c r="F94" s="130" t="s">
        <v>15</v>
      </c>
      <c r="G94" s="109" t="s">
        <v>3359</v>
      </c>
      <c r="H94" s="137">
        <v>200</v>
      </c>
      <c r="I94" s="137">
        <v>200</v>
      </c>
      <c r="J94" s="109"/>
      <c r="K94" s="102"/>
      <c r="L94" s="105">
        <v>20201118</v>
      </c>
    </row>
    <row r="95" s="133" customFormat="1" ht="16" customHeight="1" spans="1:12">
      <c r="A95" s="208" t="s">
        <v>596</v>
      </c>
      <c r="B95" s="130" t="s">
        <v>6671</v>
      </c>
      <c r="C95" s="137" t="s">
        <v>6845</v>
      </c>
      <c r="D95" s="137" t="s">
        <v>6846</v>
      </c>
      <c r="E95" s="130" t="s">
        <v>15</v>
      </c>
      <c r="F95" s="130" t="s">
        <v>15</v>
      </c>
      <c r="G95" s="109" t="s">
        <v>3359</v>
      </c>
      <c r="H95" s="137">
        <v>200</v>
      </c>
      <c r="I95" s="137">
        <v>200</v>
      </c>
      <c r="J95" s="109"/>
      <c r="K95" s="102"/>
      <c r="L95" s="105">
        <v>20201118</v>
      </c>
    </row>
    <row r="96" s="133" customFormat="1" ht="16" customHeight="1" spans="1:12">
      <c r="A96" s="208" t="s">
        <v>599</v>
      </c>
      <c r="B96" s="130" t="s">
        <v>6671</v>
      </c>
      <c r="C96" s="137" t="s">
        <v>2245</v>
      </c>
      <c r="D96" s="137" t="s">
        <v>6847</v>
      </c>
      <c r="E96" s="130" t="s">
        <v>15</v>
      </c>
      <c r="F96" s="130" t="s">
        <v>15</v>
      </c>
      <c r="G96" s="109" t="s">
        <v>3359</v>
      </c>
      <c r="H96" s="137">
        <v>200</v>
      </c>
      <c r="I96" s="137">
        <v>200</v>
      </c>
      <c r="J96" s="109"/>
      <c r="K96" s="102"/>
      <c r="L96" s="105">
        <v>20201118</v>
      </c>
    </row>
    <row r="97" s="133" customFormat="1" ht="16" customHeight="1" spans="1:12">
      <c r="A97" s="208" t="s">
        <v>602</v>
      </c>
      <c r="B97" s="130" t="s">
        <v>6671</v>
      </c>
      <c r="C97" s="137" t="s">
        <v>6848</v>
      </c>
      <c r="D97" s="137" t="s">
        <v>6849</v>
      </c>
      <c r="E97" s="130" t="s">
        <v>15</v>
      </c>
      <c r="F97" s="130" t="s">
        <v>15</v>
      </c>
      <c r="G97" s="109" t="s">
        <v>3359</v>
      </c>
      <c r="H97" s="137">
        <v>200</v>
      </c>
      <c r="I97" s="137">
        <v>200</v>
      </c>
      <c r="J97" s="109"/>
      <c r="K97" s="102"/>
      <c r="L97" s="105">
        <v>20201118</v>
      </c>
    </row>
    <row r="98" s="133" customFormat="1" ht="16" customHeight="1" spans="1:12">
      <c r="A98" s="208" t="s">
        <v>605</v>
      </c>
      <c r="B98" s="130" t="s">
        <v>6671</v>
      </c>
      <c r="C98" s="137" t="s">
        <v>6850</v>
      </c>
      <c r="D98" s="137" t="s">
        <v>6851</v>
      </c>
      <c r="E98" s="130" t="s">
        <v>15</v>
      </c>
      <c r="F98" s="130" t="s">
        <v>15</v>
      </c>
      <c r="G98" s="109" t="s">
        <v>3359</v>
      </c>
      <c r="H98" s="137">
        <v>200</v>
      </c>
      <c r="I98" s="137">
        <v>200</v>
      </c>
      <c r="J98" s="109"/>
      <c r="K98" s="102"/>
      <c r="L98" s="105">
        <v>20201118</v>
      </c>
    </row>
    <row r="99" s="133" customFormat="1" ht="16" customHeight="1" spans="1:12">
      <c r="A99" s="208" t="s">
        <v>608</v>
      </c>
      <c r="B99" s="130" t="s">
        <v>6671</v>
      </c>
      <c r="C99" s="137" t="s">
        <v>6852</v>
      </c>
      <c r="D99" s="137" t="s">
        <v>6853</v>
      </c>
      <c r="E99" s="130" t="s">
        <v>15</v>
      </c>
      <c r="F99" s="130" t="s">
        <v>15</v>
      </c>
      <c r="G99" s="109" t="s">
        <v>3359</v>
      </c>
      <c r="H99" s="137">
        <v>200</v>
      </c>
      <c r="I99" s="137">
        <v>200</v>
      </c>
      <c r="J99" s="109"/>
      <c r="K99" s="102"/>
      <c r="L99" s="105">
        <v>20201118</v>
      </c>
    </row>
    <row r="100" s="133" customFormat="1" ht="16" customHeight="1" spans="1:12">
      <c r="A100" s="208" t="s">
        <v>611</v>
      </c>
      <c r="B100" s="130" t="s">
        <v>6671</v>
      </c>
      <c r="C100" s="137" t="s">
        <v>5377</v>
      </c>
      <c r="D100" s="137" t="s">
        <v>6854</v>
      </c>
      <c r="E100" s="130" t="s">
        <v>15</v>
      </c>
      <c r="F100" s="130" t="s">
        <v>15</v>
      </c>
      <c r="G100" s="109" t="s">
        <v>3359</v>
      </c>
      <c r="H100" s="137">
        <v>200</v>
      </c>
      <c r="I100" s="137">
        <v>200</v>
      </c>
      <c r="J100" s="109"/>
      <c r="K100" s="102"/>
      <c r="L100" s="105">
        <v>20201118</v>
      </c>
    </row>
    <row r="101" s="133" customFormat="1" ht="16" customHeight="1" spans="1:12">
      <c r="A101" s="208" t="s">
        <v>614</v>
      </c>
      <c r="B101" s="130" t="s">
        <v>6671</v>
      </c>
      <c r="C101" s="137" t="s">
        <v>6855</v>
      </c>
      <c r="D101" s="137" t="s">
        <v>6856</v>
      </c>
      <c r="E101" s="130" t="s">
        <v>15</v>
      </c>
      <c r="F101" s="130" t="s">
        <v>15</v>
      </c>
      <c r="G101" s="109" t="s">
        <v>3359</v>
      </c>
      <c r="H101" s="137">
        <v>200</v>
      </c>
      <c r="I101" s="137">
        <v>200</v>
      </c>
      <c r="J101" s="109"/>
      <c r="K101" s="102"/>
      <c r="L101" s="105">
        <v>20201118</v>
      </c>
    </row>
    <row r="102" s="133" customFormat="1" ht="16" customHeight="1" spans="1:12">
      <c r="A102" s="208" t="s">
        <v>617</v>
      </c>
      <c r="B102" s="130" t="s">
        <v>6671</v>
      </c>
      <c r="C102" s="137" t="s">
        <v>6857</v>
      </c>
      <c r="D102" s="284" t="s">
        <v>6858</v>
      </c>
      <c r="E102" s="130" t="s">
        <v>15</v>
      </c>
      <c r="F102" s="130" t="s">
        <v>15</v>
      </c>
      <c r="G102" s="109" t="s">
        <v>3359</v>
      </c>
      <c r="H102" s="137">
        <v>200</v>
      </c>
      <c r="I102" s="137">
        <v>200</v>
      </c>
      <c r="J102" s="109"/>
      <c r="K102" s="102"/>
      <c r="L102" s="105">
        <v>20201118</v>
      </c>
    </row>
    <row r="103" s="133" customFormat="1" ht="16" customHeight="1" spans="1:12">
      <c r="A103" s="208" t="s">
        <v>620</v>
      </c>
      <c r="B103" s="130" t="s">
        <v>6671</v>
      </c>
      <c r="C103" s="137" t="s">
        <v>6859</v>
      </c>
      <c r="D103" s="284" t="s">
        <v>6860</v>
      </c>
      <c r="E103" s="130" t="s">
        <v>15</v>
      </c>
      <c r="F103" s="130" t="s">
        <v>15</v>
      </c>
      <c r="G103" s="109" t="s">
        <v>3359</v>
      </c>
      <c r="H103" s="137">
        <v>200</v>
      </c>
      <c r="I103" s="137">
        <v>200</v>
      </c>
      <c r="J103" s="109"/>
      <c r="K103" s="102"/>
      <c r="L103" s="105">
        <v>20201118</v>
      </c>
    </row>
    <row r="104" s="133" customFormat="1" ht="16" customHeight="1" spans="1:12">
      <c r="A104" s="208" t="s">
        <v>623</v>
      </c>
      <c r="B104" s="130" t="s">
        <v>6671</v>
      </c>
      <c r="C104" s="137" t="s">
        <v>6861</v>
      </c>
      <c r="D104" s="137" t="s">
        <v>6862</v>
      </c>
      <c r="E104" s="130" t="s">
        <v>15</v>
      </c>
      <c r="F104" s="130" t="s">
        <v>15</v>
      </c>
      <c r="G104" s="109" t="s">
        <v>3359</v>
      </c>
      <c r="H104" s="137">
        <v>200</v>
      </c>
      <c r="I104" s="137">
        <v>200</v>
      </c>
      <c r="J104" s="109"/>
      <c r="K104" s="102"/>
      <c r="L104" s="105">
        <v>20201118</v>
      </c>
    </row>
    <row r="105" s="133" customFormat="1" ht="16" customHeight="1" spans="1:12">
      <c r="A105" s="208" t="s">
        <v>626</v>
      </c>
      <c r="B105" s="130" t="s">
        <v>6671</v>
      </c>
      <c r="C105" s="137" t="s">
        <v>6863</v>
      </c>
      <c r="D105" s="137" t="s">
        <v>6864</v>
      </c>
      <c r="E105" s="130" t="s">
        <v>15</v>
      </c>
      <c r="F105" s="130" t="s">
        <v>15</v>
      </c>
      <c r="G105" s="109" t="s">
        <v>3359</v>
      </c>
      <c r="H105" s="137">
        <v>200</v>
      </c>
      <c r="I105" s="137">
        <v>200</v>
      </c>
      <c r="J105" s="109"/>
      <c r="K105" s="102"/>
      <c r="L105" s="105">
        <v>20201118</v>
      </c>
    </row>
    <row r="106" s="133" customFormat="1" ht="16" customHeight="1" spans="1:12">
      <c r="A106" s="208" t="s">
        <v>629</v>
      </c>
      <c r="B106" s="130" t="s">
        <v>6671</v>
      </c>
      <c r="C106" s="137" t="s">
        <v>6865</v>
      </c>
      <c r="D106" s="137" t="s">
        <v>6866</v>
      </c>
      <c r="E106" s="130" t="s">
        <v>15</v>
      </c>
      <c r="F106" s="130" t="s">
        <v>15</v>
      </c>
      <c r="G106" s="109" t="s">
        <v>3359</v>
      </c>
      <c r="H106" s="137">
        <v>200</v>
      </c>
      <c r="I106" s="137">
        <v>200</v>
      </c>
      <c r="J106" s="109"/>
      <c r="K106" s="102"/>
      <c r="L106" s="105">
        <v>20201118</v>
      </c>
    </row>
    <row r="107" s="133" customFormat="1" ht="16" customHeight="1" spans="1:12">
      <c r="A107" s="208" t="s">
        <v>632</v>
      </c>
      <c r="B107" s="130" t="s">
        <v>6671</v>
      </c>
      <c r="C107" s="137" t="s">
        <v>4713</v>
      </c>
      <c r="D107" s="137" t="s">
        <v>6867</v>
      </c>
      <c r="E107" s="130" t="s">
        <v>15</v>
      </c>
      <c r="F107" s="130" t="s">
        <v>15</v>
      </c>
      <c r="G107" s="109" t="s">
        <v>3359</v>
      </c>
      <c r="H107" s="137">
        <v>200</v>
      </c>
      <c r="I107" s="137">
        <v>200</v>
      </c>
      <c r="J107" s="109"/>
      <c r="K107" s="102"/>
      <c r="L107" s="105">
        <v>20201118</v>
      </c>
    </row>
    <row r="108" s="133" customFormat="1" ht="16" customHeight="1" spans="1:12">
      <c r="A108" s="208" t="s">
        <v>635</v>
      </c>
      <c r="B108" s="130" t="s">
        <v>6671</v>
      </c>
      <c r="C108" s="137" t="s">
        <v>6868</v>
      </c>
      <c r="D108" s="137" t="s">
        <v>6869</v>
      </c>
      <c r="E108" s="130" t="s">
        <v>15</v>
      </c>
      <c r="F108" s="130" t="s">
        <v>15</v>
      </c>
      <c r="G108" s="109" t="s">
        <v>3359</v>
      </c>
      <c r="H108" s="137">
        <v>200</v>
      </c>
      <c r="I108" s="137">
        <v>200</v>
      </c>
      <c r="J108" s="109"/>
      <c r="K108" s="102"/>
      <c r="L108" s="105">
        <v>20201118</v>
      </c>
    </row>
    <row r="109" s="133" customFormat="1" ht="16" customHeight="1" spans="1:12">
      <c r="A109" s="208" t="s">
        <v>638</v>
      </c>
      <c r="B109" s="130" t="s">
        <v>6671</v>
      </c>
      <c r="C109" s="137" t="s">
        <v>6870</v>
      </c>
      <c r="D109" s="137" t="s">
        <v>6871</v>
      </c>
      <c r="E109" s="130" t="s">
        <v>15</v>
      </c>
      <c r="F109" s="130" t="s">
        <v>15</v>
      </c>
      <c r="G109" s="109" t="s">
        <v>3359</v>
      </c>
      <c r="H109" s="137">
        <v>200</v>
      </c>
      <c r="I109" s="137">
        <v>200</v>
      </c>
      <c r="J109" s="109"/>
      <c r="K109" s="102"/>
      <c r="L109" s="105">
        <v>20201118</v>
      </c>
    </row>
    <row r="110" s="133" customFormat="1" ht="16" customHeight="1" spans="1:12">
      <c r="A110" s="208" t="s">
        <v>641</v>
      </c>
      <c r="B110" s="130" t="s">
        <v>6671</v>
      </c>
      <c r="C110" s="209" t="s">
        <v>6872</v>
      </c>
      <c r="D110" s="209" t="s">
        <v>6873</v>
      </c>
      <c r="E110" s="130" t="s">
        <v>15</v>
      </c>
      <c r="F110" s="130" t="s">
        <v>15</v>
      </c>
      <c r="G110" s="109" t="s">
        <v>3359</v>
      </c>
      <c r="H110" s="137">
        <v>200</v>
      </c>
      <c r="I110" s="137">
        <v>200</v>
      </c>
      <c r="J110" s="109"/>
      <c r="K110" s="102"/>
      <c r="L110" s="105">
        <v>20201118</v>
      </c>
    </row>
    <row r="111" s="133" customFormat="1" ht="16" customHeight="1" spans="1:12">
      <c r="A111" s="208" t="s">
        <v>644</v>
      </c>
      <c r="B111" s="130" t="s">
        <v>6671</v>
      </c>
      <c r="C111" s="209" t="s">
        <v>6874</v>
      </c>
      <c r="D111" s="209" t="s">
        <v>6875</v>
      </c>
      <c r="E111" s="130" t="s">
        <v>15</v>
      </c>
      <c r="F111" s="130" t="s">
        <v>15</v>
      </c>
      <c r="G111" s="109" t="s">
        <v>3359</v>
      </c>
      <c r="H111" s="137">
        <v>200</v>
      </c>
      <c r="I111" s="137">
        <v>200</v>
      </c>
      <c r="J111" s="109"/>
      <c r="K111" s="102"/>
      <c r="L111" s="105">
        <v>20201118</v>
      </c>
    </row>
    <row r="112" s="133" customFormat="1" ht="16" customHeight="1" spans="1:12">
      <c r="A112" s="208" t="s">
        <v>647</v>
      </c>
      <c r="B112" s="130" t="s">
        <v>6671</v>
      </c>
      <c r="C112" s="209" t="s">
        <v>6876</v>
      </c>
      <c r="D112" s="209" t="s">
        <v>6877</v>
      </c>
      <c r="E112" s="130" t="s">
        <v>15</v>
      </c>
      <c r="F112" s="130" t="s">
        <v>15</v>
      </c>
      <c r="G112" s="109" t="s">
        <v>3359</v>
      </c>
      <c r="H112" s="137">
        <v>200</v>
      </c>
      <c r="I112" s="137">
        <v>200</v>
      </c>
      <c r="J112" s="109"/>
      <c r="K112" s="102"/>
      <c r="L112" s="105">
        <v>20201118</v>
      </c>
    </row>
    <row r="113" s="133" customFormat="1" ht="16" customHeight="1" spans="1:12">
      <c r="A113" s="208" t="s">
        <v>650</v>
      </c>
      <c r="B113" s="130" t="s">
        <v>6671</v>
      </c>
      <c r="C113" s="209" t="s">
        <v>187</v>
      </c>
      <c r="D113" s="209" t="s">
        <v>6878</v>
      </c>
      <c r="E113" s="130" t="s">
        <v>15</v>
      </c>
      <c r="F113" s="130" t="s">
        <v>15</v>
      </c>
      <c r="G113" s="109" t="s">
        <v>3359</v>
      </c>
      <c r="H113" s="137">
        <v>200</v>
      </c>
      <c r="I113" s="137">
        <v>200</v>
      </c>
      <c r="J113" s="109"/>
      <c r="K113" s="102"/>
      <c r="L113" s="105">
        <v>20201118</v>
      </c>
    </row>
    <row r="114" s="133" customFormat="1" ht="16" customHeight="1" spans="1:12">
      <c r="A114" s="208" t="s">
        <v>653</v>
      </c>
      <c r="B114" s="130" t="s">
        <v>6671</v>
      </c>
      <c r="C114" s="209" t="s">
        <v>6879</v>
      </c>
      <c r="D114" s="209" t="s">
        <v>6880</v>
      </c>
      <c r="E114" s="130" t="s">
        <v>15</v>
      </c>
      <c r="F114" s="130" t="s">
        <v>15</v>
      </c>
      <c r="G114" s="109" t="s">
        <v>3359</v>
      </c>
      <c r="H114" s="137">
        <v>200</v>
      </c>
      <c r="I114" s="137">
        <v>200</v>
      </c>
      <c r="J114" s="109"/>
      <c r="K114" s="102"/>
      <c r="L114" s="105">
        <v>20201118</v>
      </c>
    </row>
    <row r="115" s="133" customFormat="1" ht="16" customHeight="1" spans="1:12">
      <c r="A115" s="208" t="s">
        <v>656</v>
      </c>
      <c r="B115" s="130" t="s">
        <v>6671</v>
      </c>
      <c r="C115" s="209" t="s">
        <v>6881</v>
      </c>
      <c r="D115" s="209" t="s">
        <v>6882</v>
      </c>
      <c r="E115" s="130" t="s">
        <v>15</v>
      </c>
      <c r="F115" s="130" t="s">
        <v>15</v>
      </c>
      <c r="G115" s="109" t="s">
        <v>3359</v>
      </c>
      <c r="H115" s="137">
        <v>200</v>
      </c>
      <c r="I115" s="137">
        <v>200</v>
      </c>
      <c r="J115" s="109"/>
      <c r="K115" s="102"/>
      <c r="L115" s="105">
        <v>20201118</v>
      </c>
    </row>
    <row r="116" s="133" customFormat="1" ht="16" customHeight="1" spans="1:12">
      <c r="A116" s="208" t="s">
        <v>659</v>
      </c>
      <c r="B116" s="130" t="s">
        <v>6671</v>
      </c>
      <c r="C116" s="209" t="s">
        <v>1066</v>
      </c>
      <c r="D116" s="209" t="s">
        <v>6883</v>
      </c>
      <c r="E116" s="130" t="s">
        <v>15</v>
      </c>
      <c r="F116" s="130" t="s">
        <v>15</v>
      </c>
      <c r="G116" s="109" t="s">
        <v>3359</v>
      </c>
      <c r="H116" s="137">
        <v>200</v>
      </c>
      <c r="I116" s="137">
        <v>200</v>
      </c>
      <c r="J116" s="109"/>
      <c r="K116" s="102"/>
      <c r="L116" s="105">
        <v>20201118</v>
      </c>
    </row>
    <row r="117" s="133" customFormat="1" ht="16" customHeight="1" spans="1:12">
      <c r="A117" s="208" t="s">
        <v>662</v>
      </c>
      <c r="B117" s="130" t="s">
        <v>6671</v>
      </c>
      <c r="C117" s="209" t="s">
        <v>6884</v>
      </c>
      <c r="D117" s="209" t="s">
        <v>6885</v>
      </c>
      <c r="E117" s="130" t="s">
        <v>15</v>
      </c>
      <c r="F117" s="130" t="s">
        <v>15</v>
      </c>
      <c r="G117" s="109" t="s">
        <v>3359</v>
      </c>
      <c r="H117" s="137">
        <v>200</v>
      </c>
      <c r="I117" s="137">
        <v>200</v>
      </c>
      <c r="J117" s="109"/>
      <c r="K117" s="102"/>
      <c r="L117" s="105">
        <v>20201118</v>
      </c>
    </row>
    <row r="118" s="133" customFormat="1" ht="16" customHeight="1" spans="1:12">
      <c r="A118" s="208" t="s">
        <v>665</v>
      </c>
      <c r="B118" s="130" t="s">
        <v>6671</v>
      </c>
      <c r="C118" s="137" t="s">
        <v>6886</v>
      </c>
      <c r="D118" s="137" t="s">
        <v>6887</v>
      </c>
      <c r="E118" s="130" t="s">
        <v>15</v>
      </c>
      <c r="F118" s="130" t="s">
        <v>15</v>
      </c>
      <c r="G118" s="109" t="s">
        <v>3359</v>
      </c>
      <c r="H118" s="137">
        <v>200</v>
      </c>
      <c r="I118" s="137">
        <v>200</v>
      </c>
      <c r="J118" s="109"/>
      <c r="K118" s="102"/>
      <c r="L118" s="105">
        <v>20201118</v>
      </c>
    </row>
    <row r="119" s="133" customFormat="1" ht="16" customHeight="1" spans="1:12">
      <c r="A119" s="208" t="s">
        <v>668</v>
      </c>
      <c r="B119" s="130" t="s">
        <v>6671</v>
      </c>
      <c r="C119" s="137" t="s">
        <v>6888</v>
      </c>
      <c r="D119" s="137" t="s">
        <v>6889</v>
      </c>
      <c r="E119" s="130" t="s">
        <v>15</v>
      </c>
      <c r="F119" s="130" t="s">
        <v>15</v>
      </c>
      <c r="G119" s="109" t="s">
        <v>3359</v>
      </c>
      <c r="H119" s="137">
        <v>200</v>
      </c>
      <c r="I119" s="137">
        <v>200</v>
      </c>
      <c r="J119" s="109"/>
      <c r="K119" s="102"/>
      <c r="L119" s="105">
        <v>20201118</v>
      </c>
    </row>
    <row r="120" s="133" customFormat="1" ht="16" customHeight="1" spans="1:12">
      <c r="A120" s="208" t="s">
        <v>671</v>
      </c>
      <c r="B120" s="130" t="s">
        <v>6671</v>
      </c>
      <c r="C120" s="137" t="s">
        <v>6890</v>
      </c>
      <c r="D120" s="137" t="s">
        <v>6891</v>
      </c>
      <c r="E120" s="130" t="s">
        <v>15</v>
      </c>
      <c r="F120" s="130" t="s">
        <v>15</v>
      </c>
      <c r="G120" s="109" t="s">
        <v>3359</v>
      </c>
      <c r="H120" s="137">
        <v>200</v>
      </c>
      <c r="I120" s="137">
        <v>200</v>
      </c>
      <c r="J120" s="109"/>
      <c r="K120" s="102"/>
      <c r="L120" s="105">
        <v>20201118</v>
      </c>
    </row>
    <row r="121" s="133" customFormat="1" ht="16" customHeight="1" spans="1:12">
      <c r="A121" s="208" t="s">
        <v>674</v>
      </c>
      <c r="B121" s="130" t="s">
        <v>6671</v>
      </c>
      <c r="C121" s="210" t="s">
        <v>6892</v>
      </c>
      <c r="D121" s="209" t="s">
        <v>6893</v>
      </c>
      <c r="E121" s="130" t="s">
        <v>15</v>
      </c>
      <c r="F121" s="130" t="s">
        <v>15</v>
      </c>
      <c r="G121" s="178" t="s">
        <v>295</v>
      </c>
      <c r="H121" s="137">
        <v>200</v>
      </c>
      <c r="I121" s="137">
        <v>200</v>
      </c>
      <c r="J121" s="109"/>
      <c r="K121" s="102"/>
      <c r="L121" s="105">
        <v>20201118</v>
      </c>
    </row>
    <row r="122" s="133" customFormat="1" ht="16" customHeight="1" spans="1:12">
      <c r="A122" s="208" t="s">
        <v>677</v>
      </c>
      <c r="B122" s="130" t="s">
        <v>6671</v>
      </c>
      <c r="C122" s="137" t="s">
        <v>6894</v>
      </c>
      <c r="D122" s="137" t="s">
        <v>6895</v>
      </c>
      <c r="E122" s="130" t="s">
        <v>15</v>
      </c>
      <c r="F122" s="130" t="s">
        <v>15</v>
      </c>
      <c r="G122" s="109" t="s">
        <v>3359</v>
      </c>
      <c r="H122" s="137">
        <v>200</v>
      </c>
      <c r="I122" s="137">
        <v>200</v>
      </c>
      <c r="J122" s="109"/>
      <c r="K122" s="102"/>
      <c r="L122" s="105">
        <v>20201118</v>
      </c>
    </row>
    <row r="123" s="133" customFormat="1" ht="16" customHeight="1" spans="1:12">
      <c r="A123" s="208" t="s">
        <v>680</v>
      </c>
      <c r="B123" s="130" t="s">
        <v>6671</v>
      </c>
      <c r="C123" s="137" t="s">
        <v>6896</v>
      </c>
      <c r="D123" s="137" t="s">
        <v>6897</v>
      </c>
      <c r="E123" s="130" t="s">
        <v>15</v>
      </c>
      <c r="F123" s="130" t="s">
        <v>15</v>
      </c>
      <c r="G123" s="109" t="s">
        <v>3359</v>
      </c>
      <c r="H123" s="137">
        <v>200</v>
      </c>
      <c r="I123" s="137">
        <v>200</v>
      </c>
      <c r="J123" s="109"/>
      <c r="K123" s="102"/>
      <c r="L123" s="105">
        <v>20201118</v>
      </c>
    </row>
    <row r="124" s="133" customFormat="1" ht="16" customHeight="1" spans="1:12">
      <c r="A124" s="208" t="s">
        <v>683</v>
      </c>
      <c r="B124" s="130" t="s">
        <v>6671</v>
      </c>
      <c r="C124" s="137" t="s">
        <v>6898</v>
      </c>
      <c r="D124" s="137" t="s">
        <v>6899</v>
      </c>
      <c r="E124" s="130" t="s">
        <v>15</v>
      </c>
      <c r="F124" s="130" t="s">
        <v>15</v>
      </c>
      <c r="G124" s="109" t="s">
        <v>3359</v>
      </c>
      <c r="H124" s="137">
        <v>200</v>
      </c>
      <c r="I124" s="137">
        <v>200</v>
      </c>
      <c r="J124" s="109"/>
      <c r="K124" s="102"/>
      <c r="L124" s="105">
        <v>20201118</v>
      </c>
    </row>
    <row r="125" s="133" customFormat="1" ht="16" customHeight="1" spans="1:12">
      <c r="A125" s="208" t="s">
        <v>686</v>
      </c>
      <c r="B125" s="130" t="s">
        <v>6671</v>
      </c>
      <c r="C125" s="137" t="s">
        <v>6900</v>
      </c>
      <c r="D125" s="137" t="s">
        <v>6901</v>
      </c>
      <c r="E125" s="130" t="s">
        <v>15</v>
      </c>
      <c r="F125" s="130" t="s">
        <v>15</v>
      </c>
      <c r="G125" s="109" t="s">
        <v>3359</v>
      </c>
      <c r="H125" s="137">
        <v>200</v>
      </c>
      <c r="I125" s="137">
        <v>200</v>
      </c>
      <c r="J125" s="109"/>
      <c r="K125" s="102"/>
      <c r="L125" s="105">
        <v>20201118</v>
      </c>
    </row>
    <row r="126" s="133" customFormat="1" ht="16" customHeight="1" spans="1:12">
      <c r="A126" s="208" t="s">
        <v>689</v>
      </c>
      <c r="B126" s="130" t="s">
        <v>6671</v>
      </c>
      <c r="C126" s="137" t="s">
        <v>6902</v>
      </c>
      <c r="D126" s="137" t="s">
        <v>6903</v>
      </c>
      <c r="E126" s="130" t="s">
        <v>15</v>
      </c>
      <c r="F126" s="130" t="s">
        <v>15</v>
      </c>
      <c r="G126" s="109" t="s">
        <v>3359</v>
      </c>
      <c r="H126" s="137">
        <v>200</v>
      </c>
      <c r="I126" s="137">
        <v>200</v>
      </c>
      <c r="J126" s="109"/>
      <c r="K126" s="102"/>
      <c r="L126" s="105">
        <v>20201118</v>
      </c>
    </row>
    <row r="127" s="133" customFormat="1" ht="16" customHeight="1" spans="1:12">
      <c r="A127" s="208" t="s">
        <v>692</v>
      </c>
      <c r="B127" s="130" t="s">
        <v>6671</v>
      </c>
      <c r="C127" s="137" t="s">
        <v>6904</v>
      </c>
      <c r="D127" s="137" t="s">
        <v>6905</v>
      </c>
      <c r="E127" s="130" t="s">
        <v>15</v>
      </c>
      <c r="F127" s="130" t="s">
        <v>15</v>
      </c>
      <c r="G127" s="109" t="s">
        <v>3359</v>
      </c>
      <c r="H127" s="137">
        <v>200</v>
      </c>
      <c r="I127" s="137">
        <v>200</v>
      </c>
      <c r="J127" s="109"/>
      <c r="K127" s="102"/>
      <c r="L127" s="105">
        <v>20201118</v>
      </c>
    </row>
    <row r="128" s="133" customFormat="1" ht="16" customHeight="1" spans="1:12">
      <c r="A128" s="208" t="s">
        <v>695</v>
      </c>
      <c r="B128" s="130" t="s">
        <v>6671</v>
      </c>
      <c r="C128" s="137" t="s">
        <v>6906</v>
      </c>
      <c r="D128" s="137" t="s">
        <v>6907</v>
      </c>
      <c r="E128" s="130" t="s">
        <v>15</v>
      </c>
      <c r="F128" s="130" t="s">
        <v>15</v>
      </c>
      <c r="G128" s="109" t="s">
        <v>3359</v>
      </c>
      <c r="H128" s="137">
        <v>200</v>
      </c>
      <c r="I128" s="137">
        <v>200</v>
      </c>
      <c r="J128" s="109"/>
      <c r="K128" s="102"/>
      <c r="L128" s="105">
        <v>20201118</v>
      </c>
    </row>
    <row r="129" s="133" customFormat="1" ht="16" customHeight="1" spans="1:12">
      <c r="A129" s="208" t="s">
        <v>698</v>
      </c>
      <c r="B129" s="130" t="s">
        <v>6671</v>
      </c>
      <c r="C129" s="137" t="s">
        <v>6908</v>
      </c>
      <c r="D129" s="137" t="s">
        <v>6909</v>
      </c>
      <c r="E129" s="130" t="s">
        <v>15</v>
      </c>
      <c r="F129" s="130" t="s">
        <v>15</v>
      </c>
      <c r="G129" s="109" t="s">
        <v>3359</v>
      </c>
      <c r="H129" s="137">
        <v>200</v>
      </c>
      <c r="I129" s="137">
        <v>200</v>
      </c>
      <c r="J129" s="109"/>
      <c r="K129" s="102"/>
      <c r="L129" s="105">
        <v>20201118</v>
      </c>
    </row>
    <row r="130" s="133" customFormat="1" ht="16" customHeight="1" spans="1:12">
      <c r="A130" s="208" t="s">
        <v>701</v>
      </c>
      <c r="B130" s="130" t="s">
        <v>6671</v>
      </c>
      <c r="C130" s="137" t="s">
        <v>6910</v>
      </c>
      <c r="D130" s="137" t="s">
        <v>6911</v>
      </c>
      <c r="E130" s="130" t="s">
        <v>15</v>
      </c>
      <c r="F130" s="130" t="s">
        <v>15</v>
      </c>
      <c r="G130" s="109" t="s">
        <v>3359</v>
      </c>
      <c r="H130" s="137">
        <v>200</v>
      </c>
      <c r="I130" s="137">
        <v>200</v>
      </c>
      <c r="J130" s="109"/>
      <c r="K130" s="102"/>
      <c r="L130" s="105">
        <v>20201118</v>
      </c>
    </row>
    <row r="131" s="133" customFormat="1" ht="16" customHeight="1" spans="1:12">
      <c r="A131" s="208" t="s">
        <v>704</v>
      </c>
      <c r="B131" s="130" t="s">
        <v>6671</v>
      </c>
      <c r="C131" s="137" t="s">
        <v>3498</v>
      </c>
      <c r="D131" s="137" t="s">
        <v>6912</v>
      </c>
      <c r="E131" s="130" t="s">
        <v>15</v>
      </c>
      <c r="F131" s="130" t="s">
        <v>15</v>
      </c>
      <c r="G131" s="109" t="s">
        <v>3359</v>
      </c>
      <c r="H131" s="137">
        <v>200</v>
      </c>
      <c r="I131" s="137">
        <v>200</v>
      </c>
      <c r="J131" s="109"/>
      <c r="K131" s="102"/>
      <c r="L131" s="105">
        <v>20201118</v>
      </c>
    </row>
    <row r="132" s="133" customFormat="1" ht="16" customHeight="1" spans="1:12">
      <c r="A132" s="208" t="s">
        <v>707</v>
      </c>
      <c r="B132" s="130" t="s">
        <v>6671</v>
      </c>
      <c r="C132" s="137" t="s">
        <v>6913</v>
      </c>
      <c r="D132" s="137" t="s">
        <v>6914</v>
      </c>
      <c r="E132" s="130" t="s">
        <v>15</v>
      </c>
      <c r="F132" s="130" t="s">
        <v>15</v>
      </c>
      <c r="G132" s="109" t="s">
        <v>3359</v>
      </c>
      <c r="H132" s="137">
        <v>200</v>
      </c>
      <c r="I132" s="137">
        <v>200</v>
      </c>
      <c r="J132" s="109" t="s">
        <v>5331</v>
      </c>
      <c r="K132" s="102"/>
      <c r="L132" s="105">
        <v>20201118</v>
      </c>
    </row>
    <row r="133" s="133" customFormat="1" ht="16" customHeight="1" spans="1:12">
      <c r="A133" s="208" t="s">
        <v>710</v>
      </c>
      <c r="B133" s="130" t="s">
        <v>6671</v>
      </c>
      <c r="C133" s="137" t="s">
        <v>6915</v>
      </c>
      <c r="D133" s="137" t="s">
        <v>6916</v>
      </c>
      <c r="E133" s="130" t="s">
        <v>15</v>
      </c>
      <c r="F133" s="130" t="s">
        <v>15</v>
      </c>
      <c r="G133" s="109" t="s">
        <v>3359</v>
      </c>
      <c r="H133" s="137">
        <v>200</v>
      </c>
      <c r="I133" s="137">
        <v>200</v>
      </c>
      <c r="J133" s="109" t="s">
        <v>5331</v>
      </c>
      <c r="K133" s="102"/>
      <c r="L133" s="105">
        <v>20201118</v>
      </c>
    </row>
    <row r="134" s="133" customFormat="1" ht="16" customHeight="1" spans="1:12">
      <c r="A134" s="208" t="s">
        <v>713</v>
      </c>
      <c r="B134" s="130" t="s">
        <v>6671</v>
      </c>
      <c r="C134" s="137" t="s">
        <v>6917</v>
      </c>
      <c r="D134" s="137" t="s">
        <v>6918</v>
      </c>
      <c r="E134" s="130" t="s">
        <v>15</v>
      </c>
      <c r="F134" s="130" t="s">
        <v>15</v>
      </c>
      <c r="G134" s="109" t="s">
        <v>3359</v>
      </c>
      <c r="H134" s="137">
        <v>200</v>
      </c>
      <c r="I134" s="137">
        <v>200</v>
      </c>
      <c r="J134" s="109"/>
      <c r="K134" s="102"/>
      <c r="L134" s="105">
        <v>20201118</v>
      </c>
    </row>
    <row r="135" s="133" customFormat="1" ht="16" customHeight="1" spans="1:12">
      <c r="A135" s="208" t="s">
        <v>716</v>
      </c>
      <c r="B135" s="130" t="s">
        <v>6671</v>
      </c>
      <c r="C135" s="137" t="s">
        <v>6919</v>
      </c>
      <c r="D135" s="137" t="s">
        <v>6920</v>
      </c>
      <c r="E135" s="130" t="s">
        <v>15</v>
      </c>
      <c r="F135" s="130" t="s">
        <v>15</v>
      </c>
      <c r="G135" s="109" t="s">
        <v>3359</v>
      </c>
      <c r="H135" s="137">
        <v>200</v>
      </c>
      <c r="I135" s="137">
        <v>200</v>
      </c>
      <c r="J135" s="109"/>
      <c r="K135" s="102"/>
      <c r="L135" s="105">
        <v>20201118</v>
      </c>
    </row>
    <row r="136" s="133" customFormat="1" ht="16" customHeight="1" spans="1:12">
      <c r="A136" s="208" t="s">
        <v>719</v>
      </c>
      <c r="B136" s="130" t="s">
        <v>6671</v>
      </c>
      <c r="C136" s="137" t="s">
        <v>187</v>
      </c>
      <c r="D136" s="137" t="s">
        <v>6921</v>
      </c>
      <c r="E136" s="130" t="s">
        <v>15</v>
      </c>
      <c r="F136" s="130" t="s">
        <v>15</v>
      </c>
      <c r="G136" s="109" t="s">
        <v>3359</v>
      </c>
      <c r="H136" s="137">
        <v>200</v>
      </c>
      <c r="I136" s="137">
        <v>200</v>
      </c>
      <c r="J136" s="109"/>
      <c r="K136" s="102"/>
      <c r="L136" s="105">
        <v>20201118</v>
      </c>
    </row>
    <row r="137" s="133" customFormat="1" ht="16" customHeight="1" spans="1:12">
      <c r="A137" s="208" t="s">
        <v>722</v>
      </c>
      <c r="B137" s="130" t="s">
        <v>6671</v>
      </c>
      <c r="C137" s="137" t="s">
        <v>6922</v>
      </c>
      <c r="D137" s="137" t="s">
        <v>6923</v>
      </c>
      <c r="E137" s="130" t="s">
        <v>15</v>
      </c>
      <c r="F137" s="130" t="s">
        <v>15</v>
      </c>
      <c r="G137" s="109" t="s">
        <v>3359</v>
      </c>
      <c r="H137" s="137">
        <v>200</v>
      </c>
      <c r="I137" s="137">
        <v>200</v>
      </c>
      <c r="J137" s="109"/>
      <c r="K137" s="102"/>
      <c r="L137" s="105">
        <v>20201118</v>
      </c>
    </row>
    <row r="138" s="133" customFormat="1" ht="16" customHeight="1" spans="1:12">
      <c r="A138" s="208" t="s">
        <v>725</v>
      </c>
      <c r="B138" s="130" t="s">
        <v>6671</v>
      </c>
      <c r="C138" s="137" t="s">
        <v>4420</v>
      </c>
      <c r="D138" s="137" t="s">
        <v>6924</v>
      </c>
      <c r="E138" s="130" t="s">
        <v>15</v>
      </c>
      <c r="F138" s="130" t="s">
        <v>15</v>
      </c>
      <c r="G138" s="109" t="s">
        <v>3359</v>
      </c>
      <c r="H138" s="137">
        <v>200</v>
      </c>
      <c r="I138" s="137">
        <v>200</v>
      </c>
      <c r="J138" s="109"/>
      <c r="K138" s="102"/>
      <c r="L138" s="105">
        <v>20201118</v>
      </c>
    </row>
    <row r="139" s="133" customFormat="1" ht="16" customHeight="1" spans="1:12">
      <c r="A139" s="208" t="s">
        <v>728</v>
      </c>
      <c r="B139" s="130" t="s">
        <v>6671</v>
      </c>
      <c r="C139" s="137" t="s">
        <v>6925</v>
      </c>
      <c r="D139" s="137" t="s">
        <v>6926</v>
      </c>
      <c r="E139" s="130" t="s">
        <v>15</v>
      </c>
      <c r="F139" s="130" t="s">
        <v>15</v>
      </c>
      <c r="G139" s="109" t="s">
        <v>3359</v>
      </c>
      <c r="H139" s="137">
        <v>200</v>
      </c>
      <c r="I139" s="137">
        <v>200</v>
      </c>
      <c r="J139" s="109"/>
      <c r="K139" s="102"/>
      <c r="L139" s="105">
        <v>20201118</v>
      </c>
    </row>
    <row r="140" s="133" customFormat="1" ht="16" customHeight="1" spans="1:12">
      <c r="A140" s="208" t="s">
        <v>731</v>
      </c>
      <c r="B140" s="130" t="s">
        <v>6671</v>
      </c>
      <c r="C140" s="210" t="s">
        <v>6927</v>
      </c>
      <c r="D140" s="209" t="s">
        <v>6928</v>
      </c>
      <c r="E140" s="130" t="s">
        <v>15</v>
      </c>
      <c r="F140" s="130" t="s">
        <v>15</v>
      </c>
      <c r="G140" s="178" t="s">
        <v>295</v>
      </c>
      <c r="H140" s="137">
        <v>200</v>
      </c>
      <c r="I140" s="137">
        <v>200</v>
      </c>
      <c r="J140" s="109"/>
      <c r="K140" s="102"/>
      <c r="L140" s="105">
        <v>20201118</v>
      </c>
    </row>
    <row r="141" s="133" customFormat="1" ht="16" customHeight="1" spans="1:12">
      <c r="A141" s="208" t="s">
        <v>734</v>
      </c>
      <c r="B141" s="130" t="s">
        <v>6671</v>
      </c>
      <c r="C141" s="137" t="s">
        <v>6929</v>
      </c>
      <c r="D141" s="137" t="s">
        <v>6930</v>
      </c>
      <c r="E141" s="130" t="s">
        <v>15</v>
      </c>
      <c r="F141" s="130" t="s">
        <v>15</v>
      </c>
      <c r="G141" s="109" t="s">
        <v>3359</v>
      </c>
      <c r="H141" s="137">
        <v>200</v>
      </c>
      <c r="I141" s="137">
        <v>200</v>
      </c>
      <c r="J141" s="109"/>
      <c r="K141" s="102"/>
      <c r="L141" s="105">
        <v>20201118</v>
      </c>
    </row>
    <row r="142" s="133" customFormat="1" ht="16" customHeight="1" spans="1:12">
      <c r="A142" s="208" t="s">
        <v>737</v>
      </c>
      <c r="B142" s="130" t="s">
        <v>6671</v>
      </c>
      <c r="C142" s="137" t="s">
        <v>6931</v>
      </c>
      <c r="D142" s="137" t="s">
        <v>6932</v>
      </c>
      <c r="E142" s="130" t="s">
        <v>15</v>
      </c>
      <c r="F142" s="130" t="s">
        <v>15</v>
      </c>
      <c r="G142" s="109" t="s">
        <v>3359</v>
      </c>
      <c r="H142" s="137">
        <v>200</v>
      </c>
      <c r="I142" s="137">
        <v>200</v>
      </c>
      <c r="J142" s="109"/>
      <c r="K142" s="102"/>
      <c r="L142" s="105">
        <v>20201118</v>
      </c>
    </row>
    <row r="143" s="133" customFormat="1" ht="16" customHeight="1" spans="1:12">
      <c r="A143" s="208" t="s">
        <v>740</v>
      </c>
      <c r="B143" s="130" t="s">
        <v>6671</v>
      </c>
      <c r="C143" s="137" t="s">
        <v>6933</v>
      </c>
      <c r="D143" s="137" t="s">
        <v>6934</v>
      </c>
      <c r="E143" s="130" t="s">
        <v>15</v>
      </c>
      <c r="F143" s="130" t="s">
        <v>15</v>
      </c>
      <c r="G143" s="109" t="s">
        <v>3359</v>
      </c>
      <c r="H143" s="137">
        <v>200</v>
      </c>
      <c r="I143" s="137">
        <v>200</v>
      </c>
      <c r="J143" s="109"/>
      <c r="K143" s="102"/>
      <c r="L143" s="105">
        <v>20201118</v>
      </c>
    </row>
    <row r="144" s="133" customFormat="1" ht="16" customHeight="1" spans="1:12">
      <c r="A144" s="208" t="s">
        <v>743</v>
      </c>
      <c r="B144" s="130" t="s">
        <v>6671</v>
      </c>
      <c r="C144" s="137" t="s">
        <v>6935</v>
      </c>
      <c r="D144" s="137" t="s">
        <v>6936</v>
      </c>
      <c r="E144" s="130" t="s">
        <v>15</v>
      </c>
      <c r="F144" s="130" t="s">
        <v>15</v>
      </c>
      <c r="G144" s="109" t="s">
        <v>3359</v>
      </c>
      <c r="H144" s="137">
        <v>200</v>
      </c>
      <c r="I144" s="137">
        <v>200</v>
      </c>
      <c r="J144" s="109"/>
      <c r="K144" s="102"/>
      <c r="L144" s="105">
        <v>20201118</v>
      </c>
    </row>
    <row r="145" s="133" customFormat="1" ht="16" customHeight="1" spans="1:12">
      <c r="A145" s="208" t="s">
        <v>746</v>
      </c>
      <c r="B145" s="130" t="s">
        <v>6671</v>
      </c>
      <c r="C145" s="137" t="s">
        <v>6937</v>
      </c>
      <c r="D145" s="137" t="s">
        <v>6938</v>
      </c>
      <c r="E145" s="130" t="s">
        <v>15</v>
      </c>
      <c r="F145" s="130" t="s">
        <v>15</v>
      </c>
      <c r="G145" s="109" t="s">
        <v>3359</v>
      </c>
      <c r="H145" s="137">
        <v>200</v>
      </c>
      <c r="I145" s="137">
        <v>200</v>
      </c>
      <c r="J145" s="109" t="s">
        <v>6753</v>
      </c>
      <c r="K145" s="102"/>
      <c r="L145" s="105">
        <v>20201118</v>
      </c>
    </row>
    <row r="146" s="133" customFormat="1" ht="16" customHeight="1" spans="1:12">
      <c r="A146" s="208" t="s">
        <v>750</v>
      </c>
      <c r="B146" s="130" t="s">
        <v>6671</v>
      </c>
      <c r="C146" s="137" t="s">
        <v>6939</v>
      </c>
      <c r="D146" s="137" t="s">
        <v>6940</v>
      </c>
      <c r="E146" s="130" t="s">
        <v>15</v>
      </c>
      <c r="F146" s="130" t="s">
        <v>15</v>
      </c>
      <c r="G146" s="109" t="s">
        <v>3359</v>
      </c>
      <c r="H146" s="137">
        <v>200</v>
      </c>
      <c r="I146" s="137">
        <v>200</v>
      </c>
      <c r="J146" s="109" t="s">
        <v>6753</v>
      </c>
      <c r="K146" s="102"/>
      <c r="L146" s="105">
        <v>20201118</v>
      </c>
    </row>
    <row r="147" s="133" customFormat="1" ht="16" customHeight="1" spans="1:12">
      <c r="A147" s="208" t="s">
        <v>753</v>
      </c>
      <c r="B147" s="130" t="s">
        <v>6671</v>
      </c>
      <c r="C147" s="137" t="s">
        <v>6941</v>
      </c>
      <c r="D147" s="137" t="s">
        <v>6942</v>
      </c>
      <c r="E147" s="130" t="s">
        <v>15</v>
      </c>
      <c r="F147" s="130" t="s">
        <v>15</v>
      </c>
      <c r="G147" s="109" t="s">
        <v>3359</v>
      </c>
      <c r="H147" s="137">
        <v>200</v>
      </c>
      <c r="I147" s="137">
        <v>200</v>
      </c>
      <c r="J147" s="109"/>
      <c r="K147" s="102"/>
      <c r="L147" s="105">
        <v>20201118</v>
      </c>
    </row>
    <row r="148" s="133" customFormat="1" ht="16" customHeight="1" spans="1:12">
      <c r="A148" s="208" t="s">
        <v>756</v>
      </c>
      <c r="B148" s="130" t="s">
        <v>6671</v>
      </c>
      <c r="C148" s="137" t="s">
        <v>4607</v>
      </c>
      <c r="D148" s="137" t="s">
        <v>6943</v>
      </c>
      <c r="E148" s="130" t="s">
        <v>15</v>
      </c>
      <c r="F148" s="130" t="s">
        <v>15</v>
      </c>
      <c r="G148" s="109" t="s">
        <v>3359</v>
      </c>
      <c r="H148" s="137">
        <v>200</v>
      </c>
      <c r="I148" s="137">
        <v>200</v>
      </c>
      <c r="J148" s="109"/>
      <c r="K148" s="102"/>
      <c r="L148" s="105">
        <v>20201118</v>
      </c>
    </row>
    <row r="149" s="133" customFormat="1" ht="16" customHeight="1" spans="1:12">
      <c r="A149" s="208" t="s">
        <v>759</v>
      </c>
      <c r="B149" s="130" t="s">
        <v>6671</v>
      </c>
      <c r="C149" s="137" t="s">
        <v>6944</v>
      </c>
      <c r="D149" s="137" t="s">
        <v>6945</v>
      </c>
      <c r="E149" s="130" t="s">
        <v>15</v>
      </c>
      <c r="F149" s="130" t="s">
        <v>15</v>
      </c>
      <c r="G149" s="109" t="s">
        <v>3359</v>
      </c>
      <c r="H149" s="137">
        <v>200</v>
      </c>
      <c r="I149" s="137">
        <v>200</v>
      </c>
      <c r="J149" s="109"/>
      <c r="K149" s="102"/>
      <c r="L149" s="105">
        <v>20201118</v>
      </c>
    </row>
    <row r="150" s="133" customFormat="1" ht="16" customHeight="1" spans="1:12">
      <c r="A150" s="208" t="s">
        <v>762</v>
      </c>
      <c r="B150" s="130" t="s">
        <v>6671</v>
      </c>
      <c r="C150" s="137" t="s">
        <v>6946</v>
      </c>
      <c r="D150" s="137" t="s">
        <v>6947</v>
      </c>
      <c r="E150" s="130" t="s">
        <v>15</v>
      </c>
      <c r="F150" s="130" t="s">
        <v>15</v>
      </c>
      <c r="G150" s="109" t="s">
        <v>3359</v>
      </c>
      <c r="H150" s="137">
        <v>200</v>
      </c>
      <c r="I150" s="137">
        <v>200</v>
      </c>
      <c r="J150" s="109"/>
      <c r="K150" s="102"/>
      <c r="L150" s="105">
        <v>20201118</v>
      </c>
    </row>
    <row r="151" s="133" customFormat="1" ht="16" customHeight="1" spans="1:12">
      <c r="A151" s="208" t="s">
        <v>765</v>
      </c>
      <c r="B151" s="130" t="s">
        <v>6671</v>
      </c>
      <c r="C151" s="137" t="s">
        <v>6948</v>
      </c>
      <c r="D151" s="137" t="s">
        <v>6949</v>
      </c>
      <c r="E151" s="130" t="s">
        <v>15</v>
      </c>
      <c r="F151" s="130" t="s">
        <v>15</v>
      </c>
      <c r="G151" s="109" t="s">
        <v>3359</v>
      </c>
      <c r="H151" s="137">
        <v>200</v>
      </c>
      <c r="I151" s="137">
        <v>200</v>
      </c>
      <c r="J151" s="109"/>
      <c r="K151" s="102"/>
      <c r="L151" s="105">
        <v>20201118</v>
      </c>
    </row>
    <row r="152" s="133" customFormat="1" ht="16" customHeight="1" spans="1:12">
      <c r="A152" s="208" t="s">
        <v>769</v>
      </c>
      <c r="B152" s="130" t="s">
        <v>6671</v>
      </c>
      <c r="C152" s="137" t="s">
        <v>6950</v>
      </c>
      <c r="D152" s="137" t="s">
        <v>6951</v>
      </c>
      <c r="E152" s="130" t="s">
        <v>15</v>
      </c>
      <c r="F152" s="130" t="s">
        <v>15</v>
      </c>
      <c r="G152" s="109" t="s">
        <v>3359</v>
      </c>
      <c r="H152" s="137">
        <v>200</v>
      </c>
      <c r="I152" s="137">
        <v>200</v>
      </c>
      <c r="J152" s="109"/>
      <c r="K152" s="102"/>
      <c r="L152" s="105">
        <v>20201118</v>
      </c>
    </row>
    <row r="153" s="133" customFormat="1" ht="16" customHeight="1" spans="1:12">
      <c r="A153" s="208" t="s">
        <v>772</v>
      </c>
      <c r="B153" s="130" t="s">
        <v>6671</v>
      </c>
      <c r="C153" s="137" t="s">
        <v>6952</v>
      </c>
      <c r="D153" s="137" t="s">
        <v>6953</v>
      </c>
      <c r="E153" s="130" t="s">
        <v>15</v>
      </c>
      <c r="F153" s="130" t="s">
        <v>15</v>
      </c>
      <c r="G153" s="109" t="s">
        <v>3359</v>
      </c>
      <c r="H153" s="137">
        <v>200</v>
      </c>
      <c r="I153" s="137">
        <v>200</v>
      </c>
      <c r="J153" s="109"/>
      <c r="K153" s="102"/>
      <c r="L153" s="105">
        <v>20201118</v>
      </c>
    </row>
    <row r="154" s="133" customFormat="1" ht="16" customHeight="1" spans="1:12">
      <c r="A154" s="208" t="s">
        <v>775</v>
      </c>
      <c r="B154" s="130" t="s">
        <v>6671</v>
      </c>
      <c r="C154" s="137" t="s">
        <v>6954</v>
      </c>
      <c r="D154" s="137" t="s">
        <v>6955</v>
      </c>
      <c r="E154" s="130" t="s">
        <v>15</v>
      </c>
      <c r="F154" s="130" t="s">
        <v>15</v>
      </c>
      <c r="G154" s="109" t="s">
        <v>3359</v>
      </c>
      <c r="H154" s="137">
        <v>200</v>
      </c>
      <c r="I154" s="137">
        <v>200</v>
      </c>
      <c r="J154" s="109"/>
      <c r="K154" s="102"/>
      <c r="L154" s="105">
        <v>20201118</v>
      </c>
    </row>
    <row r="155" s="133" customFormat="1" ht="16" customHeight="1" spans="1:12">
      <c r="A155" s="208" t="s">
        <v>778</v>
      </c>
      <c r="B155" s="130" t="s">
        <v>6671</v>
      </c>
      <c r="C155" s="137" t="s">
        <v>6956</v>
      </c>
      <c r="D155" s="137" t="s">
        <v>6957</v>
      </c>
      <c r="E155" s="130" t="s">
        <v>15</v>
      </c>
      <c r="F155" s="130" t="s">
        <v>15</v>
      </c>
      <c r="G155" s="109" t="s">
        <v>3359</v>
      </c>
      <c r="H155" s="137">
        <v>200</v>
      </c>
      <c r="I155" s="137">
        <v>200</v>
      </c>
      <c r="J155" s="109"/>
      <c r="K155" s="102"/>
      <c r="L155" s="105">
        <v>20201118</v>
      </c>
    </row>
    <row r="156" s="133" customFormat="1" ht="16" customHeight="1" spans="1:12">
      <c r="A156" s="208" t="s">
        <v>781</v>
      </c>
      <c r="B156" s="130" t="s">
        <v>6671</v>
      </c>
      <c r="C156" s="137" t="s">
        <v>94</v>
      </c>
      <c r="D156" s="137" t="s">
        <v>6958</v>
      </c>
      <c r="E156" s="130" t="s">
        <v>15</v>
      </c>
      <c r="F156" s="130" t="s">
        <v>15</v>
      </c>
      <c r="G156" s="109" t="s">
        <v>3359</v>
      </c>
      <c r="H156" s="137">
        <v>200</v>
      </c>
      <c r="I156" s="137">
        <v>200</v>
      </c>
      <c r="J156" s="109"/>
      <c r="K156" s="102"/>
      <c r="L156" s="105">
        <v>20201118</v>
      </c>
    </row>
    <row r="157" s="133" customFormat="1" ht="16" customHeight="1" spans="1:12">
      <c r="A157" s="208" t="s">
        <v>784</v>
      </c>
      <c r="B157" s="130" t="s">
        <v>6671</v>
      </c>
      <c r="C157" s="137" t="s">
        <v>6959</v>
      </c>
      <c r="D157" s="137" t="s">
        <v>6960</v>
      </c>
      <c r="E157" s="130" t="s">
        <v>15</v>
      </c>
      <c r="F157" s="130" t="s">
        <v>15</v>
      </c>
      <c r="G157" s="109" t="s">
        <v>3359</v>
      </c>
      <c r="H157" s="137">
        <v>200</v>
      </c>
      <c r="I157" s="137">
        <v>200</v>
      </c>
      <c r="J157" s="109" t="s">
        <v>108</v>
      </c>
      <c r="K157" s="102"/>
      <c r="L157" s="105">
        <v>20201118</v>
      </c>
    </row>
    <row r="158" s="133" customFormat="1" ht="16" customHeight="1" spans="1:12">
      <c r="A158" s="208" t="s">
        <v>787</v>
      </c>
      <c r="B158" s="130" t="s">
        <v>6671</v>
      </c>
      <c r="C158" s="137" t="s">
        <v>6961</v>
      </c>
      <c r="D158" s="137" t="s">
        <v>6962</v>
      </c>
      <c r="E158" s="130" t="s">
        <v>15</v>
      </c>
      <c r="F158" s="130" t="s">
        <v>15</v>
      </c>
      <c r="G158" s="109" t="s">
        <v>3359</v>
      </c>
      <c r="H158" s="137">
        <v>200</v>
      </c>
      <c r="I158" s="137">
        <v>200</v>
      </c>
      <c r="J158" s="109"/>
      <c r="K158" s="102"/>
      <c r="L158" s="105">
        <v>20201118</v>
      </c>
    </row>
    <row r="159" s="133" customFormat="1" ht="16" customHeight="1" spans="1:12">
      <c r="A159" s="208" t="s">
        <v>790</v>
      </c>
      <c r="B159" s="130" t="s">
        <v>6671</v>
      </c>
      <c r="C159" s="137" t="s">
        <v>6963</v>
      </c>
      <c r="D159" s="137" t="s">
        <v>6964</v>
      </c>
      <c r="E159" s="130" t="s">
        <v>15</v>
      </c>
      <c r="F159" s="130" t="s">
        <v>15</v>
      </c>
      <c r="G159" s="109" t="s">
        <v>3359</v>
      </c>
      <c r="H159" s="137">
        <v>200</v>
      </c>
      <c r="I159" s="137">
        <v>200</v>
      </c>
      <c r="J159" s="109"/>
      <c r="K159" s="102"/>
      <c r="L159" s="105">
        <v>20201118</v>
      </c>
    </row>
    <row r="160" s="133" customFormat="1" ht="16" customHeight="1" spans="1:12">
      <c r="A160" s="208" t="s">
        <v>793</v>
      </c>
      <c r="B160" s="130" t="s">
        <v>6671</v>
      </c>
      <c r="C160" s="137" t="s">
        <v>6965</v>
      </c>
      <c r="D160" s="137" t="s">
        <v>6966</v>
      </c>
      <c r="E160" s="130" t="s">
        <v>15</v>
      </c>
      <c r="F160" s="130" t="s">
        <v>15</v>
      </c>
      <c r="G160" s="109" t="s">
        <v>3359</v>
      </c>
      <c r="H160" s="137">
        <v>200</v>
      </c>
      <c r="I160" s="137">
        <v>200</v>
      </c>
      <c r="J160" s="109"/>
      <c r="K160" s="102"/>
      <c r="L160" s="105">
        <v>20201118</v>
      </c>
    </row>
    <row r="161" s="133" customFormat="1" ht="16" customHeight="1" spans="1:12">
      <c r="A161" s="208" t="s">
        <v>796</v>
      </c>
      <c r="B161" s="130" t="s">
        <v>6671</v>
      </c>
      <c r="C161" s="137" t="s">
        <v>6967</v>
      </c>
      <c r="D161" s="137" t="s">
        <v>6968</v>
      </c>
      <c r="E161" s="130" t="s">
        <v>15</v>
      </c>
      <c r="F161" s="130" t="s">
        <v>15</v>
      </c>
      <c r="G161" s="109" t="s">
        <v>3359</v>
      </c>
      <c r="H161" s="137">
        <v>200</v>
      </c>
      <c r="I161" s="137">
        <v>200</v>
      </c>
      <c r="J161" s="109"/>
      <c r="K161" s="102"/>
      <c r="L161" s="105">
        <v>20201118</v>
      </c>
    </row>
    <row r="162" s="133" customFormat="1" ht="16" customHeight="1" spans="1:12">
      <c r="A162" s="208" t="s">
        <v>799</v>
      </c>
      <c r="B162" s="130" t="s">
        <v>6671</v>
      </c>
      <c r="C162" s="137" t="s">
        <v>6969</v>
      </c>
      <c r="D162" s="137" t="s">
        <v>6970</v>
      </c>
      <c r="E162" s="130" t="s">
        <v>15</v>
      </c>
      <c r="F162" s="130" t="s">
        <v>15</v>
      </c>
      <c r="G162" s="109" t="s">
        <v>3359</v>
      </c>
      <c r="H162" s="137">
        <v>200</v>
      </c>
      <c r="I162" s="137">
        <v>200</v>
      </c>
      <c r="J162" s="109"/>
      <c r="K162" s="102"/>
      <c r="L162" s="105">
        <v>20201118</v>
      </c>
    </row>
    <row r="163" s="133" customFormat="1" ht="16" customHeight="1" spans="1:12">
      <c r="A163" s="208" t="s">
        <v>802</v>
      </c>
      <c r="B163" s="130" t="s">
        <v>6671</v>
      </c>
      <c r="C163" s="137" t="s">
        <v>5598</v>
      </c>
      <c r="D163" s="137" t="s">
        <v>6971</v>
      </c>
      <c r="E163" s="130" t="s">
        <v>15</v>
      </c>
      <c r="F163" s="130" t="s">
        <v>15</v>
      </c>
      <c r="G163" s="109" t="s">
        <v>3359</v>
      </c>
      <c r="H163" s="137">
        <v>200</v>
      </c>
      <c r="I163" s="137">
        <v>200</v>
      </c>
      <c r="J163" s="109" t="s">
        <v>108</v>
      </c>
      <c r="K163" s="102"/>
      <c r="L163" s="105">
        <v>20201118</v>
      </c>
    </row>
    <row r="164" s="133" customFormat="1" ht="16" customHeight="1" spans="1:12">
      <c r="A164" s="208" t="s">
        <v>805</v>
      </c>
      <c r="B164" s="130" t="s">
        <v>6671</v>
      </c>
      <c r="C164" s="137" t="s">
        <v>6972</v>
      </c>
      <c r="D164" s="137" t="s">
        <v>6973</v>
      </c>
      <c r="E164" s="130" t="s">
        <v>15</v>
      </c>
      <c r="F164" s="130" t="s">
        <v>15</v>
      </c>
      <c r="G164" s="109" t="s">
        <v>3359</v>
      </c>
      <c r="H164" s="137">
        <v>200</v>
      </c>
      <c r="I164" s="137">
        <v>200</v>
      </c>
      <c r="J164" s="109" t="s">
        <v>108</v>
      </c>
      <c r="K164" s="102"/>
      <c r="L164" s="105">
        <v>20201118</v>
      </c>
    </row>
    <row r="165" s="133" customFormat="1" ht="16" customHeight="1" spans="1:12">
      <c r="A165" s="208" t="s">
        <v>808</v>
      </c>
      <c r="B165" s="130" t="s">
        <v>6671</v>
      </c>
      <c r="C165" s="137" t="s">
        <v>6974</v>
      </c>
      <c r="D165" s="137" t="s">
        <v>6975</v>
      </c>
      <c r="E165" s="130" t="s">
        <v>15</v>
      </c>
      <c r="F165" s="130" t="s">
        <v>15</v>
      </c>
      <c r="G165" s="109" t="s">
        <v>3359</v>
      </c>
      <c r="H165" s="137">
        <v>200</v>
      </c>
      <c r="I165" s="137">
        <v>200</v>
      </c>
      <c r="J165" s="109"/>
      <c r="K165" s="102"/>
      <c r="L165" s="105">
        <v>20201118</v>
      </c>
    </row>
    <row r="166" s="133" customFormat="1" ht="16" customHeight="1" spans="1:12">
      <c r="A166" s="208" t="s">
        <v>811</v>
      </c>
      <c r="B166" s="130" t="s">
        <v>6671</v>
      </c>
      <c r="C166" s="137" t="s">
        <v>6976</v>
      </c>
      <c r="D166" s="137" t="s">
        <v>6977</v>
      </c>
      <c r="E166" s="130" t="s">
        <v>15</v>
      </c>
      <c r="F166" s="130" t="s">
        <v>15</v>
      </c>
      <c r="G166" s="109" t="s">
        <v>3359</v>
      </c>
      <c r="H166" s="137">
        <v>200</v>
      </c>
      <c r="I166" s="137">
        <v>200</v>
      </c>
      <c r="J166" s="109"/>
      <c r="K166" s="102"/>
      <c r="L166" s="105">
        <v>20201118</v>
      </c>
    </row>
    <row r="167" s="133" customFormat="1" ht="16" customHeight="1" spans="1:12">
      <c r="A167" s="208" t="s">
        <v>814</v>
      </c>
      <c r="B167" s="130" t="s">
        <v>6671</v>
      </c>
      <c r="C167" s="137" t="s">
        <v>6978</v>
      </c>
      <c r="D167" s="137" t="s">
        <v>6979</v>
      </c>
      <c r="E167" s="130" t="s">
        <v>15</v>
      </c>
      <c r="F167" s="130" t="s">
        <v>15</v>
      </c>
      <c r="G167" s="109" t="s">
        <v>3359</v>
      </c>
      <c r="H167" s="137">
        <v>200</v>
      </c>
      <c r="I167" s="137">
        <v>200</v>
      </c>
      <c r="J167" s="109"/>
      <c r="K167" s="102"/>
      <c r="L167" s="105">
        <v>20201118</v>
      </c>
    </row>
    <row r="168" s="133" customFormat="1" ht="16" customHeight="1" spans="1:12">
      <c r="A168" s="208" t="s">
        <v>817</v>
      </c>
      <c r="B168" s="130" t="s">
        <v>6671</v>
      </c>
      <c r="C168" s="137" t="s">
        <v>6980</v>
      </c>
      <c r="D168" s="137" t="s">
        <v>6981</v>
      </c>
      <c r="E168" s="130" t="s">
        <v>15</v>
      </c>
      <c r="F168" s="130" t="s">
        <v>15</v>
      </c>
      <c r="G168" s="109" t="s">
        <v>3359</v>
      </c>
      <c r="H168" s="137">
        <v>200</v>
      </c>
      <c r="I168" s="137">
        <v>200</v>
      </c>
      <c r="J168" s="109"/>
      <c r="K168" s="102"/>
      <c r="L168" s="105">
        <v>20201118</v>
      </c>
    </row>
    <row r="169" s="133" customFormat="1" ht="16" customHeight="1" spans="1:12">
      <c r="A169" s="208" t="s">
        <v>820</v>
      </c>
      <c r="B169" s="130" t="s">
        <v>6671</v>
      </c>
      <c r="C169" s="137" t="s">
        <v>6982</v>
      </c>
      <c r="D169" s="137" t="s">
        <v>6983</v>
      </c>
      <c r="E169" s="130" t="s">
        <v>15</v>
      </c>
      <c r="F169" s="130" t="s">
        <v>15</v>
      </c>
      <c r="G169" s="109" t="s">
        <v>3359</v>
      </c>
      <c r="H169" s="137">
        <v>200</v>
      </c>
      <c r="I169" s="137">
        <v>200</v>
      </c>
      <c r="J169" s="109"/>
      <c r="K169" s="102"/>
      <c r="L169" s="105">
        <v>20201118</v>
      </c>
    </row>
    <row r="170" s="133" customFormat="1" ht="16" customHeight="1" spans="1:12">
      <c r="A170" s="208" t="s">
        <v>823</v>
      </c>
      <c r="B170" s="130" t="s">
        <v>6671</v>
      </c>
      <c r="C170" s="137" t="s">
        <v>6984</v>
      </c>
      <c r="D170" s="137" t="s">
        <v>6985</v>
      </c>
      <c r="E170" s="130" t="s">
        <v>15</v>
      </c>
      <c r="F170" s="130" t="s">
        <v>15</v>
      </c>
      <c r="G170" s="109" t="s">
        <v>3359</v>
      </c>
      <c r="H170" s="137">
        <v>200</v>
      </c>
      <c r="I170" s="137">
        <v>200</v>
      </c>
      <c r="J170" s="109"/>
      <c r="K170" s="102"/>
      <c r="L170" s="105">
        <v>20201118</v>
      </c>
    </row>
    <row r="171" s="133" customFormat="1" ht="16" customHeight="1" spans="1:12">
      <c r="A171" s="208" t="s">
        <v>826</v>
      </c>
      <c r="B171" s="130" t="s">
        <v>6671</v>
      </c>
      <c r="C171" s="137" t="s">
        <v>6986</v>
      </c>
      <c r="D171" s="137" t="s">
        <v>6987</v>
      </c>
      <c r="E171" s="130" t="s">
        <v>15</v>
      </c>
      <c r="F171" s="130" t="s">
        <v>15</v>
      </c>
      <c r="G171" s="109" t="s">
        <v>3359</v>
      </c>
      <c r="H171" s="137">
        <v>200</v>
      </c>
      <c r="I171" s="137">
        <v>200</v>
      </c>
      <c r="J171" s="109"/>
      <c r="K171" s="102"/>
      <c r="L171" s="105">
        <v>20201118</v>
      </c>
    </row>
    <row r="172" s="133" customFormat="1" ht="16" customHeight="1" spans="1:12">
      <c r="A172" s="208" t="s">
        <v>829</v>
      </c>
      <c r="B172" s="130" t="s">
        <v>6671</v>
      </c>
      <c r="C172" s="137" t="s">
        <v>6988</v>
      </c>
      <c r="D172" s="137" t="s">
        <v>6989</v>
      </c>
      <c r="E172" s="130" t="s">
        <v>15</v>
      </c>
      <c r="F172" s="130" t="s">
        <v>15</v>
      </c>
      <c r="G172" s="109" t="s">
        <v>3359</v>
      </c>
      <c r="H172" s="137">
        <v>200</v>
      </c>
      <c r="I172" s="137">
        <v>200</v>
      </c>
      <c r="J172" s="109"/>
      <c r="K172" s="102"/>
      <c r="L172" s="105">
        <v>20201118</v>
      </c>
    </row>
    <row r="173" s="133" customFormat="1" ht="16" customHeight="1" spans="1:12">
      <c r="A173" s="208" t="s">
        <v>832</v>
      </c>
      <c r="B173" s="130" t="s">
        <v>6671</v>
      </c>
      <c r="C173" s="209" t="s">
        <v>6990</v>
      </c>
      <c r="D173" s="209" t="s">
        <v>6991</v>
      </c>
      <c r="E173" s="130" t="s">
        <v>15</v>
      </c>
      <c r="F173" s="130" t="s">
        <v>15</v>
      </c>
      <c r="G173" s="109" t="s">
        <v>3359</v>
      </c>
      <c r="H173" s="137">
        <v>200</v>
      </c>
      <c r="I173" s="137">
        <v>200</v>
      </c>
      <c r="J173" s="109"/>
      <c r="K173" s="102"/>
      <c r="L173" s="105">
        <v>20201118</v>
      </c>
    </row>
    <row r="174" s="133" customFormat="1" ht="16" customHeight="1" spans="1:12">
      <c r="A174" s="208" t="s">
        <v>835</v>
      </c>
      <c r="B174" s="130" t="s">
        <v>6671</v>
      </c>
      <c r="C174" s="209" t="s">
        <v>6992</v>
      </c>
      <c r="D174" s="209" t="s">
        <v>6993</v>
      </c>
      <c r="E174" s="130" t="s">
        <v>15</v>
      </c>
      <c r="F174" s="130" t="s">
        <v>15</v>
      </c>
      <c r="G174" s="109" t="s">
        <v>3359</v>
      </c>
      <c r="H174" s="137">
        <v>200</v>
      </c>
      <c r="I174" s="137">
        <v>200</v>
      </c>
      <c r="J174" s="109"/>
      <c r="K174" s="102"/>
      <c r="L174" s="105">
        <v>20201118</v>
      </c>
    </row>
    <row r="175" s="133" customFormat="1" ht="16" customHeight="1" spans="1:12">
      <c r="A175" s="208" t="s">
        <v>838</v>
      </c>
      <c r="B175" s="130" t="s">
        <v>6671</v>
      </c>
      <c r="C175" s="137" t="s">
        <v>6465</v>
      </c>
      <c r="D175" s="137" t="s">
        <v>6994</v>
      </c>
      <c r="E175" s="130" t="s">
        <v>15</v>
      </c>
      <c r="F175" s="130" t="s">
        <v>15</v>
      </c>
      <c r="G175" s="109" t="s">
        <v>3359</v>
      </c>
      <c r="H175" s="137">
        <v>200</v>
      </c>
      <c r="I175" s="137">
        <v>200</v>
      </c>
      <c r="J175" s="109"/>
      <c r="K175" s="102"/>
      <c r="L175" s="105">
        <v>20201118</v>
      </c>
    </row>
    <row r="176" s="133" customFormat="1" ht="16" customHeight="1" spans="1:12">
      <c r="A176" s="208" t="s">
        <v>841</v>
      </c>
      <c r="B176" s="130" t="s">
        <v>6671</v>
      </c>
      <c r="C176" s="137" t="s">
        <v>6995</v>
      </c>
      <c r="D176" s="137" t="s">
        <v>6996</v>
      </c>
      <c r="E176" s="130" t="s">
        <v>15</v>
      </c>
      <c r="F176" s="130" t="s">
        <v>15</v>
      </c>
      <c r="G176" s="109" t="s">
        <v>3359</v>
      </c>
      <c r="H176" s="137">
        <v>200</v>
      </c>
      <c r="I176" s="137">
        <v>200</v>
      </c>
      <c r="J176" s="109"/>
      <c r="K176" s="102"/>
      <c r="L176" s="105">
        <v>20201118</v>
      </c>
    </row>
    <row r="177" s="133" customFormat="1" ht="16" customHeight="1" spans="1:12">
      <c r="A177" s="208" t="s">
        <v>844</v>
      </c>
      <c r="B177" s="130" t="s">
        <v>6671</v>
      </c>
      <c r="C177" s="137" t="s">
        <v>6997</v>
      </c>
      <c r="D177" s="137" t="s">
        <v>6998</v>
      </c>
      <c r="E177" s="130" t="s">
        <v>15</v>
      </c>
      <c r="F177" s="130" t="s">
        <v>15</v>
      </c>
      <c r="G177" s="109" t="s">
        <v>3359</v>
      </c>
      <c r="H177" s="137">
        <v>200</v>
      </c>
      <c r="I177" s="137">
        <v>200</v>
      </c>
      <c r="J177" s="109"/>
      <c r="K177" s="102"/>
      <c r="L177" s="105">
        <v>20201118</v>
      </c>
    </row>
    <row r="178" s="133" customFormat="1" ht="16" customHeight="1" spans="1:12">
      <c r="A178" s="208" t="s">
        <v>847</v>
      </c>
      <c r="B178" s="130" t="s">
        <v>6671</v>
      </c>
      <c r="C178" s="137" t="s">
        <v>6999</v>
      </c>
      <c r="D178" s="137" t="s">
        <v>7000</v>
      </c>
      <c r="E178" s="130" t="s">
        <v>15</v>
      </c>
      <c r="F178" s="130" t="s">
        <v>15</v>
      </c>
      <c r="G178" s="109" t="s">
        <v>3359</v>
      </c>
      <c r="H178" s="137">
        <v>200</v>
      </c>
      <c r="I178" s="137">
        <v>200</v>
      </c>
      <c r="J178" s="109"/>
      <c r="K178" s="102"/>
      <c r="L178" s="105">
        <v>20201118</v>
      </c>
    </row>
    <row r="179" s="133" customFormat="1" ht="16" customHeight="1" spans="1:12">
      <c r="A179" s="208" t="s">
        <v>850</v>
      </c>
      <c r="B179" s="130" t="s">
        <v>6671</v>
      </c>
      <c r="C179" s="137" t="s">
        <v>7001</v>
      </c>
      <c r="D179" s="137" t="s">
        <v>7002</v>
      </c>
      <c r="E179" s="130" t="s">
        <v>15</v>
      </c>
      <c r="F179" s="130" t="s">
        <v>15</v>
      </c>
      <c r="G179" s="109" t="s">
        <v>3359</v>
      </c>
      <c r="H179" s="137">
        <v>200</v>
      </c>
      <c r="I179" s="137">
        <v>200</v>
      </c>
      <c r="J179" s="109" t="s">
        <v>108</v>
      </c>
      <c r="K179" s="102"/>
      <c r="L179" s="105">
        <v>20201118</v>
      </c>
    </row>
    <row r="180" s="133" customFormat="1" ht="16" customHeight="1" spans="1:12">
      <c r="A180" s="208" t="s">
        <v>853</v>
      </c>
      <c r="B180" s="130" t="s">
        <v>6671</v>
      </c>
      <c r="C180" s="109" t="s">
        <v>7003</v>
      </c>
      <c r="D180" s="109" t="s">
        <v>7004</v>
      </c>
      <c r="E180" s="130" t="s">
        <v>15</v>
      </c>
      <c r="F180" s="130" t="s">
        <v>15</v>
      </c>
      <c r="G180" s="109" t="s">
        <v>3359</v>
      </c>
      <c r="H180" s="137">
        <v>200</v>
      </c>
      <c r="I180" s="137">
        <v>200</v>
      </c>
      <c r="J180" s="109" t="s">
        <v>108</v>
      </c>
      <c r="K180" s="102"/>
      <c r="L180" s="105">
        <v>20201118</v>
      </c>
    </row>
    <row r="181" s="133" customFormat="1" ht="16" customHeight="1" spans="1:12">
      <c r="A181" s="208" t="s">
        <v>856</v>
      </c>
      <c r="B181" s="130" t="s">
        <v>6671</v>
      </c>
      <c r="C181" s="109" t="s">
        <v>7005</v>
      </c>
      <c r="D181" s="109" t="s">
        <v>7006</v>
      </c>
      <c r="E181" s="130" t="s">
        <v>15</v>
      </c>
      <c r="F181" s="130" t="s">
        <v>15</v>
      </c>
      <c r="G181" s="109" t="s">
        <v>3359</v>
      </c>
      <c r="H181" s="137">
        <v>200</v>
      </c>
      <c r="I181" s="137">
        <v>200</v>
      </c>
      <c r="J181" s="109"/>
      <c r="K181" s="102"/>
      <c r="L181" s="105">
        <v>20201118</v>
      </c>
    </row>
    <row r="182" s="133" customFormat="1" ht="16" customHeight="1" spans="1:12">
      <c r="A182" s="208" t="s">
        <v>859</v>
      </c>
      <c r="B182" s="130" t="s">
        <v>6671</v>
      </c>
      <c r="C182" s="109" t="s">
        <v>7007</v>
      </c>
      <c r="D182" s="109" t="s">
        <v>7008</v>
      </c>
      <c r="E182" s="130" t="s">
        <v>15</v>
      </c>
      <c r="F182" s="130" t="s">
        <v>15</v>
      </c>
      <c r="G182" s="109" t="s">
        <v>3359</v>
      </c>
      <c r="H182" s="137">
        <v>200</v>
      </c>
      <c r="I182" s="137">
        <v>200</v>
      </c>
      <c r="J182" s="109"/>
      <c r="K182" s="102"/>
      <c r="L182" s="105">
        <v>20201118</v>
      </c>
    </row>
    <row r="183" s="133" customFormat="1" ht="16" customHeight="1" spans="1:12">
      <c r="A183" s="208" t="s">
        <v>862</v>
      </c>
      <c r="B183" s="130" t="s">
        <v>6671</v>
      </c>
      <c r="C183" s="137" t="s">
        <v>6817</v>
      </c>
      <c r="D183" s="284" t="s">
        <v>7009</v>
      </c>
      <c r="E183" s="155" t="s">
        <v>310</v>
      </c>
      <c r="F183" s="155" t="s">
        <v>15</v>
      </c>
      <c r="G183" s="123" t="s">
        <v>2460</v>
      </c>
      <c r="H183" s="137">
        <v>200</v>
      </c>
      <c r="I183" s="137">
        <v>2000</v>
      </c>
      <c r="J183" s="109"/>
      <c r="K183" s="102"/>
      <c r="L183" s="105">
        <v>20201118</v>
      </c>
    </row>
    <row r="184" s="133" customFormat="1" ht="16" customHeight="1" spans="1:12">
      <c r="A184" s="208" t="s">
        <v>865</v>
      </c>
      <c r="B184" s="130" t="s">
        <v>6671</v>
      </c>
      <c r="C184" s="210" t="s">
        <v>7010</v>
      </c>
      <c r="D184" s="209" t="s">
        <v>7011</v>
      </c>
      <c r="E184" s="155" t="s">
        <v>1047</v>
      </c>
      <c r="F184" s="155" t="s">
        <v>15</v>
      </c>
      <c r="G184" s="123" t="s">
        <v>2460</v>
      </c>
      <c r="H184" s="137">
        <v>200</v>
      </c>
      <c r="I184" s="137">
        <v>400</v>
      </c>
      <c r="J184" s="109"/>
      <c r="K184" s="102"/>
      <c r="L184" s="105">
        <v>20201118</v>
      </c>
    </row>
    <row r="185" s="133" customFormat="1" ht="16" customHeight="1" spans="1:12">
      <c r="A185" s="208" t="s">
        <v>868</v>
      </c>
      <c r="B185" s="130" t="s">
        <v>6671</v>
      </c>
      <c r="C185" s="210" t="s">
        <v>7012</v>
      </c>
      <c r="D185" s="209" t="s">
        <v>7013</v>
      </c>
      <c r="E185" s="155" t="s">
        <v>310</v>
      </c>
      <c r="F185" s="155" t="s">
        <v>288</v>
      </c>
      <c r="G185" s="123" t="s">
        <v>7014</v>
      </c>
      <c r="H185" s="137">
        <v>200</v>
      </c>
      <c r="I185" s="137">
        <v>1400</v>
      </c>
      <c r="J185" s="109"/>
      <c r="K185" s="102"/>
      <c r="L185" s="105">
        <v>20201118</v>
      </c>
    </row>
    <row r="186" s="133" customFormat="1" ht="14.25" spans="1:13">
      <c r="A186" s="208" t="s">
        <v>871</v>
      </c>
      <c r="B186" s="130" t="s">
        <v>6671</v>
      </c>
      <c r="C186" s="11" t="s">
        <v>7015</v>
      </c>
      <c r="D186" s="295" t="s">
        <v>7016</v>
      </c>
      <c r="E186" s="6" t="s">
        <v>310</v>
      </c>
      <c r="F186" s="109" t="s">
        <v>288</v>
      </c>
      <c r="G186" s="123" t="s">
        <v>289</v>
      </c>
      <c r="H186" s="9">
        <v>200</v>
      </c>
      <c r="I186" s="6">
        <v>1400</v>
      </c>
      <c r="J186" s="109"/>
      <c r="K186" s="205"/>
      <c r="L186" s="105">
        <v>20201118</v>
      </c>
      <c r="M186" s="203"/>
    </row>
    <row r="187" s="133" customFormat="1" ht="14.25" spans="1:13">
      <c r="A187" s="208" t="s">
        <v>874</v>
      </c>
      <c r="B187" s="130" t="s">
        <v>6671</v>
      </c>
      <c r="C187" s="11" t="s">
        <v>7017</v>
      </c>
      <c r="D187" s="295" t="s">
        <v>7018</v>
      </c>
      <c r="E187" s="6" t="s">
        <v>310</v>
      </c>
      <c r="F187" s="109" t="s">
        <v>4184</v>
      </c>
      <c r="G187" s="123" t="s">
        <v>289</v>
      </c>
      <c r="H187" s="9">
        <v>200</v>
      </c>
      <c r="I187" s="6">
        <v>1600</v>
      </c>
      <c r="J187" s="109"/>
      <c r="K187" s="205"/>
      <c r="L187" s="105">
        <v>20201118</v>
      </c>
      <c r="M187" s="203"/>
    </row>
    <row r="188" s="133" customFormat="1" spans="1:13">
      <c r="A188" s="208" t="s">
        <v>877</v>
      </c>
      <c r="B188" s="130" t="s">
        <v>6671</v>
      </c>
      <c r="C188" s="5" t="s">
        <v>7019</v>
      </c>
      <c r="D188" s="296" t="s">
        <v>7020</v>
      </c>
      <c r="E188" s="5" t="s">
        <v>310</v>
      </c>
      <c r="F188" s="109" t="s">
        <v>1047</v>
      </c>
      <c r="G188" s="123" t="s">
        <v>289</v>
      </c>
      <c r="H188" s="5">
        <v>200</v>
      </c>
      <c r="I188" s="5">
        <v>1800</v>
      </c>
      <c r="J188" s="109"/>
      <c r="K188" s="205"/>
      <c r="L188" s="105">
        <v>20201118</v>
      </c>
      <c r="M188" s="203"/>
    </row>
    <row r="189" ht="14.25" spans="1:12">
      <c r="A189" s="208" t="s">
        <v>880</v>
      </c>
      <c r="B189" s="130" t="s">
        <v>6671</v>
      </c>
      <c r="C189" s="6" t="s">
        <v>7021</v>
      </c>
      <c r="D189" s="20" t="s">
        <v>7022</v>
      </c>
      <c r="E189" s="6" t="s">
        <v>310</v>
      </c>
      <c r="F189" s="102" t="s">
        <v>1047</v>
      </c>
      <c r="G189" s="123" t="s">
        <v>289</v>
      </c>
      <c r="H189" s="6" t="s">
        <v>311</v>
      </c>
      <c r="I189" s="6">
        <v>1800</v>
      </c>
      <c r="J189" s="102"/>
      <c r="K189" s="205"/>
      <c r="L189" s="105">
        <v>20201118</v>
      </c>
    </row>
    <row r="190" ht="14.25" spans="1:12">
      <c r="A190" s="208" t="s">
        <v>883</v>
      </c>
      <c r="B190" s="130" t="s">
        <v>6671</v>
      </c>
      <c r="C190" s="211" t="s">
        <v>7023</v>
      </c>
      <c r="D190" s="212" t="s">
        <v>7024</v>
      </c>
      <c r="E190" s="178" t="s">
        <v>15</v>
      </c>
      <c r="F190" s="102" t="s">
        <v>15</v>
      </c>
      <c r="G190" s="178" t="s">
        <v>295</v>
      </c>
      <c r="H190" s="178" t="s">
        <v>311</v>
      </c>
      <c r="I190" s="178">
        <v>200</v>
      </c>
      <c r="J190" s="102"/>
      <c r="K190" s="205"/>
      <c r="L190" s="105">
        <v>20201118</v>
      </c>
    </row>
    <row r="191" ht="14.25" spans="1:12">
      <c r="A191" s="208" t="s">
        <v>886</v>
      </c>
      <c r="B191" s="130" t="s">
        <v>6671</v>
      </c>
      <c r="C191" s="57" t="s">
        <v>7025</v>
      </c>
      <c r="D191" s="20" t="s">
        <v>7026</v>
      </c>
      <c r="E191" s="6" t="s">
        <v>4184</v>
      </c>
      <c r="F191" s="102" t="s">
        <v>15</v>
      </c>
      <c r="G191" s="6" t="s">
        <v>289</v>
      </c>
      <c r="H191" s="6" t="s">
        <v>311</v>
      </c>
      <c r="I191" s="6">
        <v>600</v>
      </c>
      <c r="J191" s="102"/>
      <c r="K191" s="205"/>
      <c r="L191" s="105">
        <v>20201118</v>
      </c>
    </row>
    <row r="192" ht="14.25" spans="1:12">
      <c r="A192" s="208" t="s">
        <v>889</v>
      </c>
      <c r="B192" s="130" t="s">
        <v>6671</v>
      </c>
      <c r="C192" s="57" t="s">
        <v>7027</v>
      </c>
      <c r="D192" s="20" t="s">
        <v>7028</v>
      </c>
      <c r="E192" s="6" t="s">
        <v>4184</v>
      </c>
      <c r="F192" s="102" t="s">
        <v>15</v>
      </c>
      <c r="G192" s="6" t="s">
        <v>289</v>
      </c>
      <c r="H192" s="6" t="s">
        <v>311</v>
      </c>
      <c r="I192" s="6">
        <v>600</v>
      </c>
      <c r="J192" s="102"/>
      <c r="K192" s="205"/>
      <c r="L192" s="105">
        <v>20201118</v>
      </c>
    </row>
    <row r="193" spans="1:12">
      <c r="A193" s="102"/>
      <c r="B193" s="205"/>
      <c r="C193" s="102"/>
      <c r="D193" s="102"/>
      <c r="E193" s="102"/>
      <c r="F193" s="102"/>
      <c r="G193" s="102"/>
      <c r="H193" s="102"/>
      <c r="I193" s="102" t="s">
        <v>7029</v>
      </c>
      <c r="J193" s="102"/>
      <c r="K193" s="205"/>
      <c r="L193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12"/>
  <sheetViews>
    <sheetView topLeftCell="A275" workbookViewId="0">
      <selection activeCell="A3" sqref="A3:L311"/>
    </sheetView>
  </sheetViews>
  <sheetFormatPr defaultColWidth="9" defaultRowHeight="13.5"/>
  <cols>
    <col min="3" max="3" width="13.125" customWidth="1"/>
    <col min="4" max="4" width="20.875" customWidth="1"/>
    <col min="7" max="7" width="11.875" customWidth="1"/>
    <col min="10" max="10" width="17.25" customWidth="1"/>
    <col min="11" max="11" width="11.125" customWidth="1"/>
    <col min="12" max="12" width="11.75" customWidth="1"/>
  </cols>
  <sheetData>
    <row r="1" ht="18.75" spans="1:12">
      <c r="A1" s="99" t="s">
        <v>7030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5.3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ht="15.3" customHeight="1" spans="1:12">
      <c r="A3" s="132">
        <v>1</v>
      </c>
      <c r="B3" s="102" t="s">
        <v>3375</v>
      </c>
      <c r="C3" s="6" t="s">
        <v>7031</v>
      </c>
      <c r="D3" s="109" t="str">
        <f>"152326199602196879"</f>
        <v>152326199602196879</v>
      </c>
      <c r="E3" s="102" t="s">
        <v>15</v>
      </c>
      <c r="F3" s="102">
        <v>2020</v>
      </c>
      <c r="G3" s="132" t="s">
        <v>16</v>
      </c>
      <c r="H3" s="128">
        <v>200</v>
      </c>
      <c r="I3" s="128">
        <v>200</v>
      </c>
      <c r="J3" s="109"/>
      <c r="K3" s="104"/>
      <c r="L3" s="105">
        <v>20201118</v>
      </c>
    </row>
    <row r="4" ht="15.3" customHeight="1" spans="1:12">
      <c r="A4" s="102">
        <v>2</v>
      </c>
      <c r="B4" s="102" t="s">
        <v>3375</v>
      </c>
      <c r="C4" s="6" t="s">
        <v>7032</v>
      </c>
      <c r="D4" s="109" t="s">
        <v>7033</v>
      </c>
      <c r="E4" s="102" t="s">
        <v>15</v>
      </c>
      <c r="F4" s="102">
        <v>2020</v>
      </c>
      <c r="G4" s="132" t="s">
        <v>16</v>
      </c>
      <c r="H4" s="128">
        <v>200</v>
      </c>
      <c r="I4" s="128">
        <v>200</v>
      </c>
      <c r="J4" s="109"/>
      <c r="K4" s="104"/>
      <c r="L4" s="105">
        <v>20201118</v>
      </c>
    </row>
    <row r="5" ht="15.3" customHeight="1" spans="1:12">
      <c r="A5" s="102">
        <v>3</v>
      </c>
      <c r="B5" s="102" t="s">
        <v>3375</v>
      </c>
      <c r="C5" s="6" t="s">
        <v>7034</v>
      </c>
      <c r="D5" s="109" t="str">
        <f>"152326199507247121"</f>
        <v>152326199507247121</v>
      </c>
      <c r="E5" s="102" t="s">
        <v>15</v>
      </c>
      <c r="F5" s="102">
        <v>2020</v>
      </c>
      <c r="G5" s="132" t="s">
        <v>16</v>
      </c>
      <c r="H5" s="128">
        <v>200</v>
      </c>
      <c r="I5" s="128">
        <v>200</v>
      </c>
      <c r="J5" s="109"/>
      <c r="K5" s="104"/>
      <c r="L5" s="105">
        <v>20201118</v>
      </c>
    </row>
    <row r="6" ht="15.3" customHeight="1" spans="1:12">
      <c r="A6" s="132">
        <v>4</v>
      </c>
      <c r="B6" s="102" t="s">
        <v>3375</v>
      </c>
      <c r="C6" s="6" t="s">
        <v>7035</v>
      </c>
      <c r="D6" s="109" t="str">
        <f>"152326199409276893"</f>
        <v>152326199409276893</v>
      </c>
      <c r="E6" s="102" t="s">
        <v>15</v>
      </c>
      <c r="F6" s="102">
        <v>2020</v>
      </c>
      <c r="G6" s="132" t="s">
        <v>16</v>
      </c>
      <c r="H6" s="128">
        <v>200</v>
      </c>
      <c r="I6" s="128">
        <v>200</v>
      </c>
      <c r="J6" s="109"/>
      <c r="K6" s="104"/>
      <c r="L6" s="105">
        <v>20201118</v>
      </c>
    </row>
    <row r="7" ht="15.3" customHeight="1" spans="1:12">
      <c r="A7" s="132">
        <v>5</v>
      </c>
      <c r="B7" s="102" t="s">
        <v>3375</v>
      </c>
      <c r="C7" s="6" t="s">
        <v>7036</v>
      </c>
      <c r="D7" s="109" t="str">
        <f>"152326199412166871"</f>
        <v>152326199412166871</v>
      </c>
      <c r="E7" s="102" t="s">
        <v>15</v>
      </c>
      <c r="F7" s="102">
        <v>2020</v>
      </c>
      <c r="G7" s="132" t="s">
        <v>16</v>
      </c>
      <c r="H7" s="128">
        <v>200</v>
      </c>
      <c r="I7" s="128">
        <v>200</v>
      </c>
      <c r="J7" s="109"/>
      <c r="K7" s="104"/>
      <c r="L7" s="105">
        <v>20201118</v>
      </c>
    </row>
    <row r="8" ht="15.3" customHeight="1" spans="1:12">
      <c r="A8" s="102">
        <v>6</v>
      </c>
      <c r="B8" s="102" t="s">
        <v>3375</v>
      </c>
      <c r="C8" s="6" t="s">
        <v>7037</v>
      </c>
      <c r="D8" s="109" t="s">
        <v>7038</v>
      </c>
      <c r="E8" s="102" t="s">
        <v>15</v>
      </c>
      <c r="F8" s="102">
        <v>2020</v>
      </c>
      <c r="G8" s="132" t="s">
        <v>16</v>
      </c>
      <c r="H8" s="128">
        <v>200</v>
      </c>
      <c r="I8" s="128">
        <v>200</v>
      </c>
      <c r="J8" s="109" t="s">
        <v>4064</v>
      </c>
      <c r="K8" s="104"/>
      <c r="L8" s="105">
        <v>20201118</v>
      </c>
    </row>
    <row r="9" ht="15.3" customHeight="1" spans="1:12">
      <c r="A9" s="102">
        <v>7</v>
      </c>
      <c r="B9" s="102" t="s">
        <v>3375</v>
      </c>
      <c r="C9" s="6" t="s">
        <v>7039</v>
      </c>
      <c r="D9" s="109" t="str">
        <f>"150525199101096880"</f>
        <v>150525199101096880</v>
      </c>
      <c r="E9" s="102" t="s">
        <v>15</v>
      </c>
      <c r="F9" s="102">
        <v>2020</v>
      </c>
      <c r="G9" s="132" t="s">
        <v>16</v>
      </c>
      <c r="H9" s="128">
        <v>200</v>
      </c>
      <c r="I9" s="128">
        <v>200</v>
      </c>
      <c r="J9" s="109"/>
      <c r="K9" s="104"/>
      <c r="L9" s="105">
        <v>20201118</v>
      </c>
    </row>
    <row r="10" ht="15.3" customHeight="1" spans="1:12">
      <c r="A10" s="132">
        <v>8</v>
      </c>
      <c r="B10" s="102" t="s">
        <v>3375</v>
      </c>
      <c r="C10" s="6" t="s">
        <v>5283</v>
      </c>
      <c r="D10" s="109" t="str">
        <f>"152326199008176891"</f>
        <v>152326199008176891</v>
      </c>
      <c r="E10" s="102" t="s">
        <v>15</v>
      </c>
      <c r="F10" s="102">
        <v>2020</v>
      </c>
      <c r="G10" s="132" t="s">
        <v>16</v>
      </c>
      <c r="H10" s="128">
        <v>200</v>
      </c>
      <c r="I10" s="128">
        <v>200</v>
      </c>
      <c r="J10" s="109"/>
      <c r="K10" s="104"/>
      <c r="L10" s="105">
        <v>20201118</v>
      </c>
    </row>
    <row r="11" ht="15.3" customHeight="1" spans="1:12">
      <c r="A11" s="132">
        <v>9</v>
      </c>
      <c r="B11" s="102" t="s">
        <v>3375</v>
      </c>
      <c r="C11" s="6" t="s">
        <v>7040</v>
      </c>
      <c r="D11" s="109" t="s">
        <v>7041</v>
      </c>
      <c r="E11" s="102" t="s">
        <v>15</v>
      </c>
      <c r="F11" s="102">
        <v>2020</v>
      </c>
      <c r="G11" s="132" t="s">
        <v>16</v>
      </c>
      <c r="H11" s="128">
        <v>200</v>
      </c>
      <c r="I11" s="128">
        <v>200</v>
      </c>
      <c r="J11" s="109" t="s">
        <v>1242</v>
      </c>
      <c r="K11" s="104"/>
      <c r="L11" s="105">
        <v>20201118</v>
      </c>
    </row>
    <row r="12" ht="15.3" customHeight="1" spans="1:12">
      <c r="A12" s="102">
        <v>10</v>
      </c>
      <c r="B12" s="102" t="s">
        <v>3375</v>
      </c>
      <c r="C12" s="6" t="s">
        <v>7042</v>
      </c>
      <c r="D12" s="109" t="s">
        <v>7043</v>
      </c>
      <c r="E12" s="102" t="s">
        <v>15</v>
      </c>
      <c r="F12" s="102">
        <v>2020</v>
      </c>
      <c r="G12" s="132" t="s">
        <v>16</v>
      </c>
      <c r="H12" s="128">
        <v>200</v>
      </c>
      <c r="I12" s="128">
        <v>200</v>
      </c>
      <c r="J12" s="109" t="s">
        <v>1242</v>
      </c>
      <c r="K12" s="104"/>
      <c r="L12" s="105">
        <v>20201118</v>
      </c>
    </row>
    <row r="13" ht="15.3" customHeight="1" spans="1:12">
      <c r="A13" s="102">
        <v>11</v>
      </c>
      <c r="B13" s="102" t="s">
        <v>3375</v>
      </c>
      <c r="C13" s="6" t="s">
        <v>7044</v>
      </c>
      <c r="D13" s="109" t="str">
        <f>"152326198911127127"</f>
        <v>152326198911127127</v>
      </c>
      <c r="E13" s="102" t="s">
        <v>15</v>
      </c>
      <c r="F13" s="102">
        <v>2020</v>
      </c>
      <c r="G13" s="132" t="s">
        <v>16</v>
      </c>
      <c r="H13" s="128">
        <v>200</v>
      </c>
      <c r="I13" s="128">
        <v>200</v>
      </c>
      <c r="J13" s="109"/>
      <c r="K13" s="104"/>
      <c r="L13" s="105">
        <v>20201118</v>
      </c>
    </row>
    <row r="14" ht="15.3" customHeight="1" spans="1:12">
      <c r="A14" s="132">
        <v>12</v>
      </c>
      <c r="B14" s="102" t="s">
        <v>3375</v>
      </c>
      <c r="C14" s="6" t="s">
        <v>7045</v>
      </c>
      <c r="D14" s="109" t="str">
        <f>"152326198902046878"</f>
        <v>152326198902046878</v>
      </c>
      <c r="E14" s="102" t="s">
        <v>15</v>
      </c>
      <c r="F14" s="102">
        <v>2020</v>
      </c>
      <c r="G14" s="132" t="s">
        <v>16</v>
      </c>
      <c r="H14" s="128">
        <v>200</v>
      </c>
      <c r="I14" s="128">
        <v>200</v>
      </c>
      <c r="J14" s="109"/>
      <c r="K14" s="104"/>
      <c r="L14" s="105">
        <v>20201118</v>
      </c>
    </row>
    <row r="15" ht="15.3" customHeight="1" spans="1:12">
      <c r="A15" s="132">
        <v>13</v>
      </c>
      <c r="B15" s="102" t="s">
        <v>3375</v>
      </c>
      <c r="C15" s="6" t="s">
        <v>7046</v>
      </c>
      <c r="D15" s="109" t="str">
        <f>"152326198908157122"</f>
        <v>152326198908157122</v>
      </c>
      <c r="E15" s="102" t="s">
        <v>15</v>
      </c>
      <c r="F15" s="102">
        <v>2020</v>
      </c>
      <c r="G15" s="132" t="s">
        <v>16</v>
      </c>
      <c r="H15" s="128">
        <v>200</v>
      </c>
      <c r="I15" s="128">
        <v>200</v>
      </c>
      <c r="J15" s="109"/>
      <c r="K15" s="104"/>
      <c r="L15" s="105">
        <v>20201118</v>
      </c>
    </row>
    <row r="16" ht="15.3" customHeight="1" spans="1:12">
      <c r="A16" s="102">
        <v>14</v>
      </c>
      <c r="B16" s="102" t="s">
        <v>3375</v>
      </c>
      <c r="C16" s="6" t="s">
        <v>7047</v>
      </c>
      <c r="D16" s="109" t="str">
        <f>"152326198906306876"</f>
        <v>152326198906306876</v>
      </c>
      <c r="E16" s="102" t="s">
        <v>15</v>
      </c>
      <c r="F16" s="102">
        <v>2020</v>
      </c>
      <c r="G16" s="132" t="s">
        <v>16</v>
      </c>
      <c r="H16" s="128">
        <v>200</v>
      </c>
      <c r="I16" s="128">
        <v>200</v>
      </c>
      <c r="J16" s="109"/>
      <c r="K16" s="104"/>
      <c r="L16" s="105">
        <v>20201118</v>
      </c>
    </row>
    <row r="17" ht="15.3" customHeight="1" spans="1:12">
      <c r="A17" s="102">
        <v>15</v>
      </c>
      <c r="B17" s="102" t="s">
        <v>3375</v>
      </c>
      <c r="C17" s="6" t="s">
        <v>7048</v>
      </c>
      <c r="D17" s="109" t="str">
        <f>"152326198803026871"</f>
        <v>152326198803026871</v>
      </c>
      <c r="E17" s="102" t="s">
        <v>15</v>
      </c>
      <c r="F17" s="102">
        <v>2020</v>
      </c>
      <c r="G17" s="132" t="s">
        <v>16</v>
      </c>
      <c r="H17" s="128">
        <v>200</v>
      </c>
      <c r="I17" s="128">
        <v>200</v>
      </c>
      <c r="J17" s="109"/>
      <c r="K17" s="104"/>
      <c r="L17" s="105">
        <v>20201118</v>
      </c>
    </row>
    <row r="18" ht="15.3" customHeight="1" spans="1:12">
      <c r="A18" s="132">
        <v>16</v>
      </c>
      <c r="B18" s="102" t="s">
        <v>3375</v>
      </c>
      <c r="C18" s="6" t="s">
        <v>7049</v>
      </c>
      <c r="D18" s="109" t="s">
        <v>7050</v>
      </c>
      <c r="E18" s="102" t="s">
        <v>15</v>
      </c>
      <c r="F18" s="102">
        <v>2020</v>
      </c>
      <c r="G18" s="132" t="s">
        <v>16</v>
      </c>
      <c r="H18" s="128">
        <v>200</v>
      </c>
      <c r="I18" s="128">
        <v>200</v>
      </c>
      <c r="J18" s="109" t="s">
        <v>4064</v>
      </c>
      <c r="K18" s="104"/>
      <c r="L18" s="105">
        <v>20201118</v>
      </c>
    </row>
    <row r="19" ht="15.3" customHeight="1" spans="1:12">
      <c r="A19" s="132">
        <v>17</v>
      </c>
      <c r="B19" s="102" t="s">
        <v>3375</v>
      </c>
      <c r="C19" s="6" t="s">
        <v>7051</v>
      </c>
      <c r="D19" s="109" t="s">
        <v>7052</v>
      </c>
      <c r="E19" s="102" t="s">
        <v>15</v>
      </c>
      <c r="F19" s="102">
        <v>2020</v>
      </c>
      <c r="G19" s="132" t="s">
        <v>16</v>
      </c>
      <c r="H19" s="128">
        <v>200</v>
      </c>
      <c r="I19" s="128">
        <v>200</v>
      </c>
      <c r="J19" s="109" t="s">
        <v>1242</v>
      </c>
      <c r="K19" s="104"/>
      <c r="L19" s="105">
        <v>20201118</v>
      </c>
    </row>
    <row r="20" ht="15.3" customHeight="1" spans="1:12">
      <c r="A20" s="102">
        <v>18</v>
      </c>
      <c r="B20" s="102" t="s">
        <v>3375</v>
      </c>
      <c r="C20" s="6" t="s">
        <v>7053</v>
      </c>
      <c r="D20" s="109" t="s">
        <v>7054</v>
      </c>
      <c r="E20" s="102" t="s">
        <v>15</v>
      </c>
      <c r="F20" s="102">
        <v>2020</v>
      </c>
      <c r="G20" s="132" t="s">
        <v>16</v>
      </c>
      <c r="H20" s="128">
        <v>200</v>
      </c>
      <c r="I20" s="128">
        <v>200</v>
      </c>
      <c r="J20" s="109"/>
      <c r="K20" s="104"/>
      <c r="L20" s="105">
        <v>20201118</v>
      </c>
    </row>
    <row r="21" ht="15.3" customHeight="1" spans="1:12">
      <c r="A21" s="102">
        <v>19</v>
      </c>
      <c r="B21" s="102" t="s">
        <v>3375</v>
      </c>
      <c r="C21" s="6" t="s">
        <v>7055</v>
      </c>
      <c r="D21" s="109" t="str">
        <f>"152326198711206883"</f>
        <v>152326198711206883</v>
      </c>
      <c r="E21" s="102" t="s">
        <v>15</v>
      </c>
      <c r="F21" s="102">
        <v>2020</v>
      </c>
      <c r="G21" s="132" t="s">
        <v>16</v>
      </c>
      <c r="H21" s="128">
        <v>200</v>
      </c>
      <c r="I21" s="128">
        <v>200</v>
      </c>
      <c r="J21" s="109"/>
      <c r="K21" s="104"/>
      <c r="L21" s="105">
        <v>20201118</v>
      </c>
    </row>
    <row r="22" ht="15.3" customHeight="1" spans="1:12">
      <c r="A22" s="132">
        <v>20</v>
      </c>
      <c r="B22" s="102" t="s">
        <v>3375</v>
      </c>
      <c r="C22" s="6" t="s">
        <v>3786</v>
      </c>
      <c r="D22" s="109" t="s">
        <v>7056</v>
      </c>
      <c r="E22" s="102" t="s">
        <v>15</v>
      </c>
      <c r="F22" s="102">
        <v>2020</v>
      </c>
      <c r="G22" s="132" t="s">
        <v>16</v>
      </c>
      <c r="H22" s="128">
        <v>200</v>
      </c>
      <c r="I22" s="128">
        <v>200</v>
      </c>
      <c r="J22" s="109" t="s">
        <v>4064</v>
      </c>
      <c r="K22" s="104"/>
      <c r="L22" s="105">
        <v>20201118</v>
      </c>
    </row>
    <row r="23" ht="15.3" customHeight="1" spans="1:12">
      <c r="A23" s="132">
        <v>21</v>
      </c>
      <c r="B23" s="102" t="s">
        <v>3375</v>
      </c>
      <c r="C23" s="6" t="s">
        <v>7057</v>
      </c>
      <c r="D23" s="109" t="str">
        <f>"152326198706236877"</f>
        <v>152326198706236877</v>
      </c>
      <c r="E23" s="102" t="s">
        <v>15</v>
      </c>
      <c r="F23" s="102">
        <v>2020</v>
      </c>
      <c r="G23" s="132" t="s">
        <v>16</v>
      </c>
      <c r="H23" s="128">
        <v>200</v>
      </c>
      <c r="I23" s="128">
        <v>200</v>
      </c>
      <c r="J23" s="109"/>
      <c r="K23" s="104"/>
      <c r="L23" s="105">
        <v>20201118</v>
      </c>
    </row>
    <row r="24" ht="15.3" customHeight="1" spans="1:12">
      <c r="A24" s="102">
        <v>22</v>
      </c>
      <c r="B24" s="102" t="s">
        <v>3375</v>
      </c>
      <c r="C24" s="6" t="s">
        <v>7058</v>
      </c>
      <c r="D24" s="109" t="str">
        <f>"152326198709236899"</f>
        <v>152326198709236899</v>
      </c>
      <c r="E24" s="102" t="s">
        <v>15</v>
      </c>
      <c r="F24" s="102">
        <v>2020</v>
      </c>
      <c r="G24" s="132" t="s">
        <v>16</v>
      </c>
      <c r="H24" s="128">
        <v>200</v>
      </c>
      <c r="I24" s="128">
        <v>200</v>
      </c>
      <c r="J24" s="109"/>
      <c r="K24" s="104"/>
      <c r="L24" s="105">
        <v>20201118</v>
      </c>
    </row>
    <row r="25" ht="15.3" customHeight="1" spans="1:12">
      <c r="A25" s="102">
        <v>23</v>
      </c>
      <c r="B25" s="102" t="s">
        <v>3375</v>
      </c>
      <c r="C25" s="6" t="s">
        <v>7059</v>
      </c>
      <c r="D25" s="109" t="str">
        <f>"152326198603046886"</f>
        <v>152326198603046886</v>
      </c>
      <c r="E25" s="102" t="s">
        <v>15</v>
      </c>
      <c r="F25" s="102">
        <v>2020</v>
      </c>
      <c r="G25" s="132" t="s">
        <v>16</v>
      </c>
      <c r="H25" s="128">
        <v>200</v>
      </c>
      <c r="I25" s="128">
        <v>200</v>
      </c>
      <c r="J25" s="109"/>
      <c r="K25" s="104"/>
      <c r="L25" s="105">
        <v>20201118</v>
      </c>
    </row>
    <row r="26" ht="15.3" customHeight="1" spans="1:12">
      <c r="A26" s="132">
        <v>24</v>
      </c>
      <c r="B26" s="102" t="s">
        <v>3375</v>
      </c>
      <c r="C26" s="6" t="s">
        <v>7060</v>
      </c>
      <c r="D26" s="109" t="str">
        <f>"152326198601036887"</f>
        <v>152326198601036887</v>
      </c>
      <c r="E26" s="102" t="s">
        <v>15</v>
      </c>
      <c r="F26" s="102">
        <v>2020</v>
      </c>
      <c r="G26" s="132" t="s">
        <v>16</v>
      </c>
      <c r="H26" s="128">
        <v>200</v>
      </c>
      <c r="I26" s="128">
        <v>200</v>
      </c>
      <c r="J26" s="109"/>
      <c r="K26" s="104"/>
      <c r="L26" s="105">
        <v>20201118</v>
      </c>
    </row>
    <row r="27" ht="15.3" customHeight="1" spans="1:12">
      <c r="A27" s="132">
        <v>25</v>
      </c>
      <c r="B27" s="102" t="s">
        <v>3375</v>
      </c>
      <c r="C27" s="6" t="s">
        <v>7061</v>
      </c>
      <c r="D27" s="109" t="str">
        <f>"152326198604056875"</f>
        <v>152326198604056875</v>
      </c>
      <c r="E27" s="102" t="s">
        <v>15</v>
      </c>
      <c r="F27" s="102">
        <v>2020</v>
      </c>
      <c r="G27" s="132" t="s">
        <v>16</v>
      </c>
      <c r="H27" s="128">
        <v>200</v>
      </c>
      <c r="I27" s="128">
        <v>200</v>
      </c>
      <c r="J27" s="109"/>
      <c r="K27" s="104"/>
      <c r="L27" s="105">
        <v>20201118</v>
      </c>
    </row>
    <row r="28" ht="15.3" customHeight="1" spans="1:12">
      <c r="A28" s="102">
        <v>26</v>
      </c>
      <c r="B28" s="102" t="s">
        <v>3375</v>
      </c>
      <c r="C28" s="6" t="s">
        <v>7062</v>
      </c>
      <c r="D28" s="109" t="str">
        <f>"152326198510076904"</f>
        <v>152326198510076904</v>
      </c>
      <c r="E28" s="102" t="s">
        <v>15</v>
      </c>
      <c r="F28" s="102">
        <v>2020</v>
      </c>
      <c r="G28" s="132" t="s">
        <v>16</v>
      </c>
      <c r="H28" s="128">
        <v>200</v>
      </c>
      <c r="I28" s="128">
        <v>200</v>
      </c>
      <c r="J28" s="109"/>
      <c r="K28" s="104"/>
      <c r="L28" s="105">
        <v>20201118</v>
      </c>
    </row>
    <row r="29" ht="15.3" customHeight="1" spans="1:12">
      <c r="A29" s="102">
        <v>27</v>
      </c>
      <c r="B29" s="102" t="s">
        <v>3375</v>
      </c>
      <c r="C29" s="6" t="s">
        <v>7063</v>
      </c>
      <c r="D29" s="109" t="str">
        <f>"152326198507146895"</f>
        <v>152326198507146895</v>
      </c>
      <c r="E29" s="102" t="s">
        <v>15</v>
      </c>
      <c r="F29" s="102">
        <v>2020</v>
      </c>
      <c r="G29" s="132" t="s">
        <v>16</v>
      </c>
      <c r="H29" s="128">
        <v>200</v>
      </c>
      <c r="I29" s="128">
        <v>200</v>
      </c>
      <c r="J29" s="109"/>
      <c r="K29" s="104"/>
      <c r="L29" s="105">
        <v>20201118</v>
      </c>
    </row>
    <row r="30" ht="15.3" customHeight="1" spans="1:12">
      <c r="A30" s="132">
        <v>28</v>
      </c>
      <c r="B30" s="102" t="s">
        <v>3375</v>
      </c>
      <c r="C30" s="6" t="s">
        <v>7064</v>
      </c>
      <c r="D30" s="109" t="str">
        <f>"152326198503216884"</f>
        <v>152326198503216884</v>
      </c>
      <c r="E30" s="102" t="s">
        <v>15</v>
      </c>
      <c r="F30" s="102">
        <v>2020</v>
      </c>
      <c r="G30" s="132" t="s">
        <v>16</v>
      </c>
      <c r="H30" s="128">
        <v>1000</v>
      </c>
      <c r="I30" s="128">
        <v>1000</v>
      </c>
      <c r="J30" s="109"/>
      <c r="K30" s="104"/>
      <c r="L30" s="105">
        <v>20201118</v>
      </c>
    </row>
    <row r="31" ht="15.3" customHeight="1" spans="1:12">
      <c r="A31" s="132">
        <v>29</v>
      </c>
      <c r="B31" s="102" t="s">
        <v>3375</v>
      </c>
      <c r="C31" s="6" t="s">
        <v>7065</v>
      </c>
      <c r="D31" s="109" t="str">
        <f>"152326198512036877"</f>
        <v>152326198512036877</v>
      </c>
      <c r="E31" s="102" t="s">
        <v>15</v>
      </c>
      <c r="F31" s="102">
        <v>2020</v>
      </c>
      <c r="G31" s="132" t="s">
        <v>16</v>
      </c>
      <c r="H31" s="128">
        <v>200</v>
      </c>
      <c r="I31" s="128">
        <v>200</v>
      </c>
      <c r="J31" s="109"/>
      <c r="K31" s="104"/>
      <c r="L31" s="105">
        <v>20201118</v>
      </c>
    </row>
    <row r="32" ht="15.3" customHeight="1" spans="1:12">
      <c r="A32" s="102">
        <v>30</v>
      </c>
      <c r="B32" s="102" t="s">
        <v>3375</v>
      </c>
      <c r="C32" s="6" t="s">
        <v>7066</v>
      </c>
      <c r="D32" s="109" t="str">
        <f>"152326198510066909"</f>
        <v>152326198510066909</v>
      </c>
      <c r="E32" s="102" t="s">
        <v>15</v>
      </c>
      <c r="F32" s="102">
        <v>2020</v>
      </c>
      <c r="G32" s="132" t="s">
        <v>16</v>
      </c>
      <c r="H32" s="128">
        <v>200</v>
      </c>
      <c r="I32" s="128">
        <v>200</v>
      </c>
      <c r="J32" s="109"/>
      <c r="K32" s="104"/>
      <c r="L32" s="105">
        <v>20201118</v>
      </c>
    </row>
    <row r="33" ht="15.3" customHeight="1" spans="1:12">
      <c r="A33" s="102">
        <v>31</v>
      </c>
      <c r="B33" s="102" t="s">
        <v>3375</v>
      </c>
      <c r="C33" s="6" t="s">
        <v>7067</v>
      </c>
      <c r="D33" s="109" t="str">
        <f>"152326198402126898"</f>
        <v>152326198402126898</v>
      </c>
      <c r="E33" s="102" t="s">
        <v>15</v>
      </c>
      <c r="F33" s="102">
        <v>2020</v>
      </c>
      <c r="G33" s="132" t="s">
        <v>16</v>
      </c>
      <c r="H33" s="128">
        <v>200</v>
      </c>
      <c r="I33" s="128">
        <v>200</v>
      </c>
      <c r="J33" s="109"/>
      <c r="K33" s="104"/>
      <c r="L33" s="105">
        <v>20201118</v>
      </c>
    </row>
    <row r="34" ht="15.3" customHeight="1" spans="1:12">
      <c r="A34" s="132">
        <v>32</v>
      </c>
      <c r="B34" s="102" t="s">
        <v>3375</v>
      </c>
      <c r="C34" s="6" t="s">
        <v>7068</v>
      </c>
      <c r="D34" s="109" t="str">
        <f>"152326198410057124"</f>
        <v>152326198410057124</v>
      </c>
      <c r="E34" s="102" t="s">
        <v>15</v>
      </c>
      <c r="F34" s="102">
        <v>2020</v>
      </c>
      <c r="G34" s="132" t="s">
        <v>16</v>
      </c>
      <c r="H34" s="128">
        <v>200</v>
      </c>
      <c r="I34" s="128">
        <v>200</v>
      </c>
      <c r="J34" s="109"/>
      <c r="K34" s="104"/>
      <c r="L34" s="105">
        <v>20201118</v>
      </c>
    </row>
    <row r="35" ht="15.3" customHeight="1" spans="1:12">
      <c r="A35" s="132">
        <v>33</v>
      </c>
      <c r="B35" s="102" t="s">
        <v>3375</v>
      </c>
      <c r="C35" s="6" t="s">
        <v>7069</v>
      </c>
      <c r="D35" s="109" t="str">
        <f>"152326198410066899"</f>
        <v>152326198410066899</v>
      </c>
      <c r="E35" s="102" t="s">
        <v>15</v>
      </c>
      <c r="F35" s="102">
        <v>2020</v>
      </c>
      <c r="G35" s="132" t="s">
        <v>16</v>
      </c>
      <c r="H35" s="128">
        <v>200</v>
      </c>
      <c r="I35" s="128">
        <v>200</v>
      </c>
      <c r="J35" s="109"/>
      <c r="K35" s="104"/>
      <c r="L35" s="105">
        <v>20201118</v>
      </c>
    </row>
    <row r="36" ht="15.3" customHeight="1" spans="1:12">
      <c r="A36" s="102">
        <v>34</v>
      </c>
      <c r="B36" s="102" t="s">
        <v>3375</v>
      </c>
      <c r="C36" s="6" t="s">
        <v>7070</v>
      </c>
      <c r="D36" s="109" t="str">
        <f>"152326198410155349"</f>
        <v>152326198410155349</v>
      </c>
      <c r="E36" s="102" t="s">
        <v>15</v>
      </c>
      <c r="F36" s="102">
        <v>2020</v>
      </c>
      <c r="G36" s="132" t="s">
        <v>16</v>
      </c>
      <c r="H36" s="128">
        <v>200</v>
      </c>
      <c r="I36" s="128">
        <v>200</v>
      </c>
      <c r="J36" s="109"/>
      <c r="K36" s="104"/>
      <c r="L36" s="105">
        <v>20201118</v>
      </c>
    </row>
    <row r="37" ht="15.3" customHeight="1" spans="1:12">
      <c r="A37" s="102">
        <v>35</v>
      </c>
      <c r="B37" s="102" t="s">
        <v>3375</v>
      </c>
      <c r="C37" s="6" t="s">
        <v>922</v>
      </c>
      <c r="D37" s="109" t="str">
        <f>"152324198410213825"</f>
        <v>152324198410213825</v>
      </c>
      <c r="E37" s="102" t="s">
        <v>15</v>
      </c>
      <c r="F37" s="102">
        <v>2020</v>
      </c>
      <c r="G37" s="132" t="s">
        <v>16</v>
      </c>
      <c r="H37" s="128">
        <v>500</v>
      </c>
      <c r="I37" s="128">
        <v>500</v>
      </c>
      <c r="J37" s="109"/>
      <c r="K37" s="104"/>
      <c r="L37" s="105">
        <v>20201118</v>
      </c>
    </row>
    <row r="38" ht="15.3" customHeight="1" spans="1:12">
      <c r="A38" s="132">
        <v>36</v>
      </c>
      <c r="B38" s="102" t="s">
        <v>3375</v>
      </c>
      <c r="C38" s="6" t="s">
        <v>1345</v>
      </c>
      <c r="D38" s="109" t="str">
        <f>"152326198303086878"</f>
        <v>152326198303086878</v>
      </c>
      <c r="E38" s="102" t="s">
        <v>15</v>
      </c>
      <c r="F38" s="102">
        <v>2020</v>
      </c>
      <c r="G38" s="132" t="s">
        <v>16</v>
      </c>
      <c r="H38" s="128">
        <v>200</v>
      </c>
      <c r="I38" s="128">
        <v>200</v>
      </c>
      <c r="J38" s="109"/>
      <c r="K38" s="104"/>
      <c r="L38" s="105">
        <v>20201118</v>
      </c>
    </row>
    <row r="39" ht="15.3" customHeight="1" spans="1:12">
      <c r="A39" s="132">
        <v>37</v>
      </c>
      <c r="B39" s="102" t="s">
        <v>3375</v>
      </c>
      <c r="C39" s="6" t="s">
        <v>7071</v>
      </c>
      <c r="D39" s="109" t="str">
        <f>"152326198304096867"</f>
        <v>152326198304096867</v>
      </c>
      <c r="E39" s="102" t="s">
        <v>15</v>
      </c>
      <c r="F39" s="102">
        <v>2020</v>
      </c>
      <c r="G39" s="132" t="s">
        <v>16</v>
      </c>
      <c r="H39" s="128">
        <v>200</v>
      </c>
      <c r="I39" s="128">
        <v>200</v>
      </c>
      <c r="J39" s="109"/>
      <c r="K39" s="104"/>
      <c r="L39" s="105">
        <v>20201118</v>
      </c>
    </row>
    <row r="40" ht="15.3" customHeight="1" spans="1:12">
      <c r="A40" s="102">
        <v>38</v>
      </c>
      <c r="B40" s="102" t="s">
        <v>3375</v>
      </c>
      <c r="C40" s="6" t="s">
        <v>7072</v>
      </c>
      <c r="D40" s="109" t="str">
        <f>"152326198304146895"</f>
        <v>152326198304146895</v>
      </c>
      <c r="E40" s="102" t="s">
        <v>15</v>
      </c>
      <c r="F40" s="102">
        <v>2020</v>
      </c>
      <c r="G40" s="132" t="s">
        <v>16</v>
      </c>
      <c r="H40" s="128">
        <v>200</v>
      </c>
      <c r="I40" s="128">
        <v>200</v>
      </c>
      <c r="J40" s="109"/>
      <c r="K40" s="104"/>
      <c r="L40" s="105">
        <v>20201118</v>
      </c>
    </row>
    <row r="41" ht="15.3" customHeight="1" spans="1:12">
      <c r="A41" s="102">
        <v>39</v>
      </c>
      <c r="B41" s="102" t="s">
        <v>3375</v>
      </c>
      <c r="C41" s="6" t="s">
        <v>7073</v>
      </c>
      <c r="D41" s="109" t="s">
        <v>7074</v>
      </c>
      <c r="E41" s="102" t="s">
        <v>15</v>
      </c>
      <c r="F41" s="102">
        <v>2020</v>
      </c>
      <c r="G41" s="132" t="s">
        <v>16</v>
      </c>
      <c r="H41" s="128">
        <v>200</v>
      </c>
      <c r="I41" s="128">
        <v>200</v>
      </c>
      <c r="J41" s="109" t="s">
        <v>1242</v>
      </c>
      <c r="K41" s="104"/>
      <c r="L41" s="105">
        <v>20201118</v>
      </c>
    </row>
    <row r="42" ht="15.3" customHeight="1" spans="1:12">
      <c r="A42" s="132">
        <v>40</v>
      </c>
      <c r="B42" s="102" t="s">
        <v>3375</v>
      </c>
      <c r="C42" s="6" t="s">
        <v>7075</v>
      </c>
      <c r="D42" s="109" t="str">
        <f>"152326198310106945"</f>
        <v>152326198310106945</v>
      </c>
      <c r="E42" s="102" t="s">
        <v>15</v>
      </c>
      <c r="F42" s="102">
        <v>2020</v>
      </c>
      <c r="G42" s="132" t="s">
        <v>16</v>
      </c>
      <c r="H42" s="128">
        <v>200</v>
      </c>
      <c r="I42" s="128">
        <v>200</v>
      </c>
      <c r="J42" s="109"/>
      <c r="K42" s="104"/>
      <c r="L42" s="105">
        <v>20201118</v>
      </c>
    </row>
    <row r="43" ht="15.3" customHeight="1" spans="1:12">
      <c r="A43" s="132">
        <v>41</v>
      </c>
      <c r="B43" s="102" t="s">
        <v>3375</v>
      </c>
      <c r="C43" s="6" t="s">
        <v>7076</v>
      </c>
      <c r="D43" s="109" t="str">
        <f>"152326198305186880"</f>
        <v>152326198305186880</v>
      </c>
      <c r="E43" s="102" t="s">
        <v>15</v>
      </c>
      <c r="F43" s="102">
        <v>2020</v>
      </c>
      <c r="G43" s="132" t="s">
        <v>16</v>
      </c>
      <c r="H43" s="128">
        <v>200</v>
      </c>
      <c r="I43" s="128">
        <v>200</v>
      </c>
      <c r="J43" s="109"/>
      <c r="K43" s="104"/>
      <c r="L43" s="105">
        <v>20201118</v>
      </c>
    </row>
    <row r="44" ht="15.3" customHeight="1" spans="1:12">
      <c r="A44" s="102">
        <v>42</v>
      </c>
      <c r="B44" s="102" t="s">
        <v>3375</v>
      </c>
      <c r="C44" s="6" t="s">
        <v>7077</v>
      </c>
      <c r="D44" s="109" t="str">
        <f>"152326198304146879"</f>
        <v>152326198304146879</v>
      </c>
      <c r="E44" s="102" t="s">
        <v>15</v>
      </c>
      <c r="F44" s="102">
        <v>2020</v>
      </c>
      <c r="G44" s="132" t="s">
        <v>16</v>
      </c>
      <c r="H44" s="128">
        <v>200</v>
      </c>
      <c r="I44" s="128">
        <v>200</v>
      </c>
      <c r="J44" s="109"/>
      <c r="K44" s="104"/>
      <c r="L44" s="105">
        <v>20201118</v>
      </c>
    </row>
    <row r="45" ht="15.3" customHeight="1" spans="1:12">
      <c r="A45" s="102">
        <v>43</v>
      </c>
      <c r="B45" s="102" t="s">
        <v>3375</v>
      </c>
      <c r="C45" s="6" t="s">
        <v>7078</v>
      </c>
      <c r="D45" s="109" t="str">
        <f>"152326198203266898"</f>
        <v>152326198203266898</v>
      </c>
      <c r="E45" s="102" t="s">
        <v>15</v>
      </c>
      <c r="F45" s="102">
        <v>2020</v>
      </c>
      <c r="G45" s="132" t="s">
        <v>16</v>
      </c>
      <c r="H45" s="128">
        <v>200</v>
      </c>
      <c r="I45" s="128">
        <v>200</v>
      </c>
      <c r="J45" s="109"/>
      <c r="K45" s="104"/>
      <c r="L45" s="105">
        <v>20201118</v>
      </c>
    </row>
    <row r="46" ht="15.3" customHeight="1" spans="1:12">
      <c r="A46" s="132">
        <v>44</v>
      </c>
      <c r="B46" s="102" t="s">
        <v>3375</v>
      </c>
      <c r="C46" s="6" t="s">
        <v>7079</v>
      </c>
      <c r="D46" s="109" t="str">
        <f>"152326198204046889"</f>
        <v>152326198204046889</v>
      </c>
      <c r="E46" s="102" t="s">
        <v>15</v>
      </c>
      <c r="F46" s="102">
        <v>2020</v>
      </c>
      <c r="G46" s="132" t="s">
        <v>16</v>
      </c>
      <c r="H46" s="128">
        <v>200</v>
      </c>
      <c r="I46" s="128">
        <v>200</v>
      </c>
      <c r="J46" s="109"/>
      <c r="K46" s="104"/>
      <c r="L46" s="105">
        <v>20201118</v>
      </c>
    </row>
    <row r="47" ht="15.3" customHeight="1" spans="1:12">
      <c r="A47" s="132">
        <v>45</v>
      </c>
      <c r="B47" s="102" t="s">
        <v>3375</v>
      </c>
      <c r="C47" s="6" t="s">
        <v>5098</v>
      </c>
      <c r="D47" s="109" t="str">
        <f>"152326198201036861"</f>
        <v>152326198201036861</v>
      </c>
      <c r="E47" s="102" t="s">
        <v>15</v>
      </c>
      <c r="F47" s="102">
        <v>2020</v>
      </c>
      <c r="G47" s="132" t="s">
        <v>16</v>
      </c>
      <c r="H47" s="128">
        <v>200</v>
      </c>
      <c r="I47" s="128">
        <v>200</v>
      </c>
      <c r="J47" s="109"/>
      <c r="K47" s="104"/>
      <c r="L47" s="105">
        <v>20201118</v>
      </c>
    </row>
    <row r="48" ht="15.3" customHeight="1" spans="1:12">
      <c r="A48" s="102">
        <v>46</v>
      </c>
      <c r="B48" s="102" t="s">
        <v>3375</v>
      </c>
      <c r="C48" s="6" t="s">
        <v>4457</v>
      </c>
      <c r="D48" s="109" t="str">
        <f>"152326198201186878"</f>
        <v>152326198201186878</v>
      </c>
      <c r="E48" s="102" t="s">
        <v>15</v>
      </c>
      <c r="F48" s="102">
        <v>2020</v>
      </c>
      <c r="G48" s="132" t="s">
        <v>16</v>
      </c>
      <c r="H48" s="128">
        <v>200</v>
      </c>
      <c r="I48" s="128">
        <v>200</v>
      </c>
      <c r="J48" s="109"/>
      <c r="K48" s="104"/>
      <c r="L48" s="105">
        <v>20201118</v>
      </c>
    </row>
    <row r="49" ht="15.3" customHeight="1" spans="1:12">
      <c r="A49" s="102">
        <v>47</v>
      </c>
      <c r="B49" s="102" t="s">
        <v>3375</v>
      </c>
      <c r="C49" s="6" t="s">
        <v>7080</v>
      </c>
      <c r="D49" s="109" t="str">
        <f>"152326198206266893"</f>
        <v>152326198206266893</v>
      </c>
      <c r="E49" s="102" t="s">
        <v>15</v>
      </c>
      <c r="F49" s="102">
        <v>2020</v>
      </c>
      <c r="G49" s="132" t="s">
        <v>16</v>
      </c>
      <c r="H49" s="128">
        <v>200</v>
      </c>
      <c r="I49" s="128">
        <v>200</v>
      </c>
      <c r="J49" s="109"/>
      <c r="K49" s="104"/>
      <c r="L49" s="105">
        <v>20201118</v>
      </c>
    </row>
    <row r="50" ht="15.3" customHeight="1" spans="1:12">
      <c r="A50" s="132">
        <v>48</v>
      </c>
      <c r="B50" s="102" t="s">
        <v>3375</v>
      </c>
      <c r="C50" s="6" t="s">
        <v>7081</v>
      </c>
      <c r="D50" s="109" t="s">
        <v>7082</v>
      </c>
      <c r="E50" s="102" t="s">
        <v>15</v>
      </c>
      <c r="F50" s="102">
        <v>2020</v>
      </c>
      <c r="G50" s="132" t="s">
        <v>16</v>
      </c>
      <c r="H50" s="128">
        <v>200</v>
      </c>
      <c r="I50" s="128">
        <v>200</v>
      </c>
      <c r="J50" s="109" t="s">
        <v>4064</v>
      </c>
      <c r="K50" s="104"/>
      <c r="L50" s="105">
        <v>20201118</v>
      </c>
    </row>
    <row r="51" ht="15.3" customHeight="1" spans="1:12">
      <c r="A51" s="132">
        <v>49</v>
      </c>
      <c r="B51" s="102" t="s">
        <v>3375</v>
      </c>
      <c r="C51" s="6" t="s">
        <v>7083</v>
      </c>
      <c r="D51" s="109" t="s">
        <v>7084</v>
      </c>
      <c r="E51" s="102" t="s">
        <v>15</v>
      </c>
      <c r="F51" s="102">
        <v>2020</v>
      </c>
      <c r="G51" s="132" t="s">
        <v>16</v>
      </c>
      <c r="H51" s="128">
        <v>200</v>
      </c>
      <c r="I51" s="128">
        <v>200</v>
      </c>
      <c r="J51" s="109"/>
      <c r="K51" s="104"/>
      <c r="L51" s="105">
        <v>20201118</v>
      </c>
    </row>
    <row r="52" ht="15.3" customHeight="1" spans="1:12">
      <c r="A52" s="102">
        <v>50</v>
      </c>
      <c r="B52" s="102" t="s">
        <v>3375</v>
      </c>
      <c r="C52" s="6" t="s">
        <v>7085</v>
      </c>
      <c r="D52" s="109" t="str">
        <f>"152326198102066897"</f>
        <v>152326198102066897</v>
      </c>
      <c r="E52" s="102" t="s">
        <v>15</v>
      </c>
      <c r="F52" s="102">
        <v>2020</v>
      </c>
      <c r="G52" s="132" t="s">
        <v>16</v>
      </c>
      <c r="H52" s="128">
        <v>200</v>
      </c>
      <c r="I52" s="128">
        <v>200</v>
      </c>
      <c r="J52" s="109"/>
      <c r="K52" s="104"/>
      <c r="L52" s="105">
        <v>20201118</v>
      </c>
    </row>
    <row r="53" ht="15.3" customHeight="1" spans="1:12">
      <c r="A53" s="102">
        <v>51</v>
      </c>
      <c r="B53" s="102" t="s">
        <v>3375</v>
      </c>
      <c r="C53" s="6" t="s">
        <v>7086</v>
      </c>
      <c r="D53" s="109" t="str">
        <f>"152326198103046871"</f>
        <v>152326198103046871</v>
      </c>
      <c r="E53" s="102" t="s">
        <v>15</v>
      </c>
      <c r="F53" s="102">
        <v>2020</v>
      </c>
      <c r="G53" s="132" t="s">
        <v>16</v>
      </c>
      <c r="H53" s="128">
        <v>200</v>
      </c>
      <c r="I53" s="128">
        <v>200</v>
      </c>
      <c r="J53" s="109"/>
      <c r="K53" s="104"/>
      <c r="L53" s="105">
        <v>20201118</v>
      </c>
    </row>
    <row r="54" ht="15.3" customHeight="1" spans="1:12">
      <c r="A54" s="132">
        <v>52</v>
      </c>
      <c r="B54" s="102" t="s">
        <v>3375</v>
      </c>
      <c r="C54" s="6" t="s">
        <v>7087</v>
      </c>
      <c r="D54" s="109" t="s">
        <v>7088</v>
      </c>
      <c r="E54" s="102" t="s">
        <v>15</v>
      </c>
      <c r="F54" s="102">
        <v>2020</v>
      </c>
      <c r="G54" s="132" t="s">
        <v>16</v>
      </c>
      <c r="H54" s="128">
        <v>200</v>
      </c>
      <c r="I54" s="128">
        <v>200</v>
      </c>
      <c r="J54" s="109"/>
      <c r="K54" s="104"/>
      <c r="L54" s="105">
        <v>20201118</v>
      </c>
    </row>
    <row r="55" ht="15.3" customHeight="1" spans="1:12">
      <c r="A55" s="132">
        <v>53</v>
      </c>
      <c r="B55" s="102" t="s">
        <v>3375</v>
      </c>
      <c r="C55" s="6" t="s">
        <v>7089</v>
      </c>
      <c r="D55" s="109" t="str">
        <f>"152326198112037125"</f>
        <v>152326198112037125</v>
      </c>
      <c r="E55" s="102" t="s">
        <v>15</v>
      </c>
      <c r="F55" s="102">
        <v>2020</v>
      </c>
      <c r="G55" s="132" t="s">
        <v>16</v>
      </c>
      <c r="H55" s="128">
        <v>200</v>
      </c>
      <c r="I55" s="128">
        <v>200</v>
      </c>
      <c r="J55" s="109"/>
      <c r="K55" s="104"/>
      <c r="L55" s="105">
        <v>20201118</v>
      </c>
    </row>
    <row r="56" ht="15.3" customHeight="1" spans="1:12">
      <c r="A56" s="102">
        <v>54</v>
      </c>
      <c r="B56" s="102" t="s">
        <v>3375</v>
      </c>
      <c r="C56" s="6" t="s">
        <v>7090</v>
      </c>
      <c r="D56" s="109" t="str">
        <f>"152326198112030425"</f>
        <v>152326198112030425</v>
      </c>
      <c r="E56" s="102" t="s">
        <v>15</v>
      </c>
      <c r="F56" s="102">
        <v>2020</v>
      </c>
      <c r="G56" s="132" t="s">
        <v>16</v>
      </c>
      <c r="H56" s="128">
        <v>200</v>
      </c>
      <c r="I56" s="128">
        <v>200</v>
      </c>
      <c r="J56" s="109"/>
      <c r="K56" s="104"/>
      <c r="L56" s="105">
        <v>20201118</v>
      </c>
    </row>
    <row r="57" ht="15.3" customHeight="1" spans="1:12">
      <c r="A57" s="102">
        <v>55</v>
      </c>
      <c r="B57" s="102" t="s">
        <v>3375</v>
      </c>
      <c r="C57" s="6" t="s">
        <v>7091</v>
      </c>
      <c r="D57" s="109" t="str">
        <f>"152326198010076879"</f>
        <v>152326198010076879</v>
      </c>
      <c r="E57" s="102" t="s">
        <v>15</v>
      </c>
      <c r="F57" s="102">
        <v>2020</v>
      </c>
      <c r="G57" s="132" t="s">
        <v>16</v>
      </c>
      <c r="H57" s="128">
        <v>200</v>
      </c>
      <c r="I57" s="128">
        <v>200</v>
      </c>
      <c r="J57" s="109"/>
      <c r="K57" s="104"/>
      <c r="L57" s="105">
        <v>20201118</v>
      </c>
    </row>
    <row r="58" ht="15.3" customHeight="1" spans="1:12">
      <c r="A58" s="132">
        <v>56</v>
      </c>
      <c r="B58" s="102" t="s">
        <v>3375</v>
      </c>
      <c r="C58" s="6" t="s">
        <v>7092</v>
      </c>
      <c r="D58" s="109" t="str">
        <f>"152326198005166888"</f>
        <v>152326198005166888</v>
      </c>
      <c r="E58" s="102" t="s">
        <v>15</v>
      </c>
      <c r="F58" s="102">
        <v>2020</v>
      </c>
      <c r="G58" s="132" t="s">
        <v>16</v>
      </c>
      <c r="H58" s="128">
        <v>200</v>
      </c>
      <c r="I58" s="128">
        <v>200</v>
      </c>
      <c r="J58" s="109"/>
      <c r="K58" s="104"/>
      <c r="L58" s="105">
        <v>20201118</v>
      </c>
    </row>
    <row r="59" ht="15.3" customHeight="1" spans="1:12">
      <c r="A59" s="132">
        <v>57</v>
      </c>
      <c r="B59" s="102" t="s">
        <v>3375</v>
      </c>
      <c r="C59" s="6" t="s">
        <v>7093</v>
      </c>
      <c r="D59" s="109" t="str">
        <f>"152326198010106994"</f>
        <v>152326198010106994</v>
      </c>
      <c r="E59" s="102" t="s">
        <v>15</v>
      </c>
      <c r="F59" s="102">
        <v>2020</v>
      </c>
      <c r="G59" s="132" t="s">
        <v>16</v>
      </c>
      <c r="H59" s="128">
        <v>200</v>
      </c>
      <c r="I59" s="128">
        <v>200</v>
      </c>
      <c r="J59" s="109"/>
      <c r="K59" s="104"/>
      <c r="L59" s="105">
        <v>20201118</v>
      </c>
    </row>
    <row r="60" ht="15.3" customHeight="1" spans="1:12">
      <c r="A60" s="102">
        <v>58</v>
      </c>
      <c r="B60" s="102" t="s">
        <v>3375</v>
      </c>
      <c r="C60" s="6" t="s">
        <v>7094</v>
      </c>
      <c r="D60" s="109" t="str">
        <f>"152326198009106890"</f>
        <v>152326198009106890</v>
      </c>
      <c r="E60" s="102" t="s">
        <v>15</v>
      </c>
      <c r="F60" s="102">
        <v>2020</v>
      </c>
      <c r="G60" s="132" t="s">
        <v>16</v>
      </c>
      <c r="H60" s="128">
        <v>200</v>
      </c>
      <c r="I60" s="128">
        <v>200</v>
      </c>
      <c r="J60" s="109"/>
      <c r="K60" s="104"/>
      <c r="L60" s="105">
        <v>20201118</v>
      </c>
    </row>
    <row r="61" ht="15.3" customHeight="1" spans="1:12">
      <c r="A61" s="102">
        <v>59</v>
      </c>
      <c r="B61" s="102" t="s">
        <v>3375</v>
      </c>
      <c r="C61" s="6" t="s">
        <v>7095</v>
      </c>
      <c r="D61" s="109" t="str">
        <f>"152326198007206863"</f>
        <v>152326198007206863</v>
      </c>
      <c r="E61" s="102" t="s">
        <v>15</v>
      </c>
      <c r="F61" s="102">
        <v>2020</v>
      </c>
      <c r="G61" s="132" t="s">
        <v>16</v>
      </c>
      <c r="H61" s="128">
        <v>200</v>
      </c>
      <c r="I61" s="128">
        <v>200</v>
      </c>
      <c r="J61" s="109"/>
      <c r="K61" s="104"/>
      <c r="L61" s="105">
        <v>20201118</v>
      </c>
    </row>
    <row r="62" ht="15.3" customHeight="1" spans="1:12">
      <c r="A62" s="132">
        <v>60</v>
      </c>
      <c r="B62" s="102" t="s">
        <v>3375</v>
      </c>
      <c r="C62" s="6" t="s">
        <v>7096</v>
      </c>
      <c r="D62" s="109" t="s">
        <v>7097</v>
      </c>
      <c r="E62" s="102" t="s">
        <v>15</v>
      </c>
      <c r="F62" s="102">
        <v>2020</v>
      </c>
      <c r="G62" s="132" t="s">
        <v>16</v>
      </c>
      <c r="H62" s="128">
        <v>1000</v>
      </c>
      <c r="I62" s="128">
        <v>1000</v>
      </c>
      <c r="J62" s="109"/>
      <c r="K62" s="104"/>
      <c r="L62" s="105">
        <v>20201118</v>
      </c>
    </row>
    <row r="63" ht="15.3" customHeight="1" spans="1:12">
      <c r="A63" s="132">
        <v>61</v>
      </c>
      <c r="B63" s="102" t="s">
        <v>3375</v>
      </c>
      <c r="C63" s="6" t="s">
        <v>7098</v>
      </c>
      <c r="D63" s="109" t="str">
        <f>"152326197908106873"</f>
        <v>152326197908106873</v>
      </c>
      <c r="E63" s="102" t="s">
        <v>15</v>
      </c>
      <c r="F63" s="102">
        <v>2020</v>
      </c>
      <c r="G63" s="132" t="s">
        <v>16</v>
      </c>
      <c r="H63" s="128">
        <v>200</v>
      </c>
      <c r="I63" s="128">
        <v>200</v>
      </c>
      <c r="J63" s="109"/>
      <c r="K63" s="104"/>
      <c r="L63" s="105">
        <v>20201118</v>
      </c>
    </row>
    <row r="64" ht="15.3" customHeight="1" spans="1:12">
      <c r="A64" s="102">
        <v>62</v>
      </c>
      <c r="B64" s="102" t="s">
        <v>3375</v>
      </c>
      <c r="C64" s="6" t="s">
        <v>7099</v>
      </c>
      <c r="D64" s="109" t="str">
        <f>"152326197902136860"</f>
        <v>152326197902136860</v>
      </c>
      <c r="E64" s="102" t="s">
        <v>15</v>
      </c>
      <c r="F64" s="102">
        <v>2020</v>
      </c>
      <c r="G64" s="132" t="s">
        <v>16</v>
      </c>
      <c r="H64" s="128">
        <v>200</v>
      </c>
      <c r="I64" s="128">
        <v>200</v>
      </c>
      <c r="J64" s="109"/>
      <c r="K64" s="104"/>
      <c r="L64" s="105">
        <v>20201118</v>
      </c>
    </row>
    <row r="65" ht="15.3" customHeight="1" spans="1:12">
      <c r="A65" s="102">
        <v>63</v>
      </c>
      <c r="B65" s="102" t="s">
        <v>3375</v>
      </c>
      <c r="C65" s="6" t="s">
        <v>7100</v>
      </c>
      <c r="D65" s="109" t="str">
        <f>"152326197912196875"</f>
        <v>152326197912196875</v>
      </c>
      <c r="E65" s="102" t="s">
        <v>15</v>
      </c>
      <c r="F65" s="102">
        <v>2020</v>
      </c>
      <c r="G65" s="132" t="s">
        <v>16</v>
      </c>
      <c r="H65" s="128">
        <v>200</v>
      </c>
      <c r="I65" s="128">
        <v>200</v>
      </c>
      <c r="J65" s="109"/>
      <c r="K65" s="104"/>
      <c r="L65" s="105">
        <v>20201118</v>
      </c>
    </row>
    <row r="66" ht="15.3" customHeight="1" spans="1:12">
      <c r="A66" s="132">
        <v>64</v>
      </c>
      <c r="B66" s="102" t="s">
        <v>3375</v>
      </c>
      <c r="C66" s="6" t="s">
        <v>7101</v>
      </c>
      <c r="D66" s="109" t="str">
        <f>"152326197902226882"</f>
        <v>152326197902226882</v>
      </c>
      <c r="E66" s="102" t="s">
        <v>15</v>
      </c>
      <c r="F66" s="102">
        <v>2020</v>
      </c>
      <c r="G66" s="132" t="s">
        <v>16</v>
      </c>
      <c r="H66" s="128">
        <v>200</v>
      </c>
      <c r="I66" s="128">
        <v>200</v>
      </c>
      <c r="J66" s="109"/>
      <c r="K66" s="104"/>
      <c r="L66" s="105">
        <v>20201118</v>
      </c>
    </row>
    <row r="67" ht="15.3" customHeight="1" spans="1:12">
      <c r="A67" s="132">
        <v>65</v>
      </c>
      <c r="B67" s="102" t="s">
        <v>3375</v>
      </c>
      <c r="C67" s="6" t="s">
        <v>7102</v>
      </c>
      <c r="D67" s="109" t="str">
        <f>"152326197909096873"</f>
        <v>152326197909096873</v>
      </c>
      <c r="E67" s="102" t="s">
        <v>15</v>
      </c>
      <c r="F67" s="102">
        <v>2020</v>
      </c>
      <c r="G67" s="132" t="s">
        <v>16</v>
      </c>
      <c r="H67" s="128">
        <v>200</v>
      </c>
      <c r="I67" s="128">
        <v>200</v>
      </c>
      <c r="J67" s="109"/>
      <c r="K67" s="104"/>
      <c r="L67" s="105">
        <v>20201118</v>
      </c>
    </row>
    <row r="68" ht="15.3" customHeight="1" spans="1:12">
      <c r="A68" s="102">
        <v>66</v>
      </c>
      <c r="B68" s="102" t="s">
        <v>3375</v>
      </c>
      <c r="C68" s="6" t="s">
        <v>7103</v>
      </c>
      <c r="D68" s="109" t="str">
        <f>"152326197810256865"</f>
        <v>152326197810256865</v>
      </c>
      <c r="E68" s="102" t="s">
        <v>15</v>
      </c>
      <c r="F68" s="102">
        <v>2020</v>
      </c>
      <c r="G68" s="132" t="s">
        <v>16</v>
      </c>
      <c r="H68" s="128">
        <v>200</v>
      </c>
      <c r="I68" s="128">
        <v>200</v>
      </c>
      <c r="J68" s="109"/>
      <c r="K68" s="104"/>
      <c r="L68" s="105">
        <v>20201118</v>
      </c>
    </row>
    <row r="69" ht="15.3" customHeight="1" spans="1:12">
      <c r="A69" s="102">
        <v>67</v>
      </c>
      <c r="B69" s="102" t="s">
        <v>3375</v>
      </c>
      <c r="C69" s="6" t="s">
        <v>7104</v>
      </c>
      <c r="D69" s="109" t="str">
        <f>"152326197806276863"</f>
        <v>152326197806276863</v>
      </c>
      <c r="E69" s="102" t="s">
        <v>15</v>
      </c>
      <c r="F69" s="102">
        <v>2020</v>
      </c>
      <c r="G69" s="132" t="s">
        <v>16</v>
      </c>
      <c r="H69" s="128">
        <v>200</v>
      </c>
      <c r="I69" s="128">
        <v>200</v>
      </c>
      <c r="J69" s="109"/>
      <c r="K69" s="104"/>
      <c r="L69" s="105">
        <v>20201118</v>
      </c>
    </row>
    <row r="70" ht="15.3" customHeight="1" spans="1:12">
      <c r="A70" s="132">
        <v>68</v>
      </c>
      <c r="B70" s="102" t="s">
        <v>3375</v>
      </c>
      <c r="C70" s="6" t="s">
        <v>7105</v>
      </c>
      <c r="D70" s="109" t="str">
        <f>"152326197808026884"</f>
        <v>152326197808026884</v>
      </c>
      <c r="E70" s="102" t="s">
        <v>15</v>
      </c>
      <c r="F70" s="102">
        <v>2020</v>
      </c>
      <c r="G70" s="132" t="s">
        <v>16</v>
      </c>
      <c r="H70" s="128">
        <v>200</v>
      </c>
      <c r="I70" s="128">
        <v>200</v>
      </c>
      <c r="J70" s="109"/>
      <c r="K70" s="104"/>
      <c r="L70" s="105">
        <v>20201118</v>
      </c>
    </row>
    <row r="71" ht="15.3" customHeight="1" spans="1:12">
      <c r="A71" s="132">
        <v>69</v>
      </c>
      <c r="B71" s="102" t="s">
        <v>3375</v>
      </c>
      <c r="C71" s="6" t="s">
        <v>7106</v>
      </c>
      <c r="D71" s="109" t="str">
        <f>"152326197810136863"</f>
        <v>152326197810136863</v>
      </c>
      <c r="E71" s="102" t="s">
        <v>15</v>
      </c>
      <c r="F71" s="102">
        <v>2020</v>
      </c>
      <c r="G71" s="132" t="s">
        <v>16</v>
      </c>
      <c r="H71" s="128">
        <v>200</v>
      </c>
      <c r="I71" s="128">
        <v>200</v>
      </c>
      <c r="J71" s="109"/>
      <c r="K71" s="104"/>
      <c r="L71" s="105">
        <v>20201118</v>
      </c>
    </row>
    <row r="72" ht="15.3" customHeight="1" spans="1:12">
      <c r="A72" s="102">
        <v>70</v>
      </c>
      <c r="B72" s="102" t="s">
        <v>3375</v>
      </c>
      <c r="C72" s="6" t="s">
        <v>582</v>
      </c>
      <c r="D72" s="109" t="str">
        <f>"152326197708227128"</f>
        <v>152326197708227128</v>
      </c>
      <c r="E72" s="102" t="s">
        <v>15</v>
      </c>
      <c r="F72" s="102">
        <v>2020</v>
      </c>
      <c r="G72" s="132" t="s">
        <v>16</v>
      </c>
      <c r="H72" s="128">
        <v>200</v>
      </c>
      <c r="I72" s="128">
        <v>200</v>
      </c>
      <c r="J72" s="109"/>
      <c r="K72" s="104"/>
      <c r="L72" s="105">
        <v>20201118</v>
      </c>
    </row>
    <row r="73" ht="15.3" customHeight="1" spans="1:12">
      <c r="A73" s="102">
        <v>71</v>
      </c>
      <c r="B73" s="102" t="s">
        <v>3375</v>
      </c>
      <c r="C73" s="6" t="s">
        <v>7107</v>
      </c>
      <c r="D73" s="109" t="s">
        <v>7108</v>
      </c>
      <c r="E73" s="102" t="s">
        <v>15</v>
      </c>
      <c r="F73" s="102">
        <v>2020</v>
      </c>
      <c r="G73" s="132" t="s">
        <v>16</v>
      </c>
      <c r="H73" s="128">
        <v>200</v>
      </c>
      <c r="I73" s="128">
        <v>200</v>
      </c>
      <c r="J73" s="109"/>
      <c r="K73" s="104"/>
      <c r="L73" s="105">
        <v>20201118</v>
      </c>
    </row>
    <row r="74" ht="15.3" customHeight="1" spans="1:12">
      <c r="A74" s="132">
        <v>72</v>
      </c>
      <c r="B74" s="102" t="s">
        <v>3375</v>
      </c>
      <c r="C74" s="6" t="s">
        <v>7109</v>
      </c>
      <c r="D74" s="109" t="str">
        <f>"152326197701176874"</f>
        <v>152326197701176874</v>
      </c>
      <c r="E74" s="102" t="s">
        <v>15</v>
      </c>
      <c r="F74" s="102">
        <v>2020</v>
      </c>
      <c r="G74" s="132" t="s">
        <v>16</v>
      </c>
      <c r="H74" s="128">
        <v>200</v>
      </c>
      <c r="I74" s="128">
        <v>200</v>
      </c>
      <c r="J74" s="109"/>
      <c r="K74" s="104"/>
      <c r="L74" s="105">
        <v>20201118</v>
      </c>
    </row>
    <row r="75" ht="15.3" customHeight="1" spans="1:12">
      <c r="A75" s="132">
        <v>73</v>
      </c>
      <c r="B75" s="102" t="s">
        <v>3375</v>
      </c>
      <c r="C75" s="6" t="s">
        <v>1158</v>
      </c>
      <c r="D75" s="109" t="str">
        <f>"152326197701246879"</f>
        <v>152326197701246879</v>
      </c>
      <c r="E75" s="102" t="s">
        <v>15</v>
      </c>
      <c r="F75" s="102">
        <v>2020</v>
      </c>
      <c r="G75" s="132" t="s">
        <v>16</v>
      </c>
      <c r="H75" s="128">
        <v>200</v>
      </c>
      <c r="I75" s="128">
        <v>200</v>
      </c>
      <c r="J75" s="109"/>
      <c r="K75" s="104"/>
      <c r="L75" s="105">
        <v>20201118</v>
      </c>
    </row>
    <row r="76" ht="15.3" customHeight="1" spans="1:12">
      <c r="A76" s="102">
        <v>74</v>
      </c>
      <c r="B76" s="102" t="s">
        <v>3375</v>
      </c>
      <c r="C76" s="6" t="s">
        <v>7110</v>
      </c>
      <c r="D76" s="109" t="s">
        <v>7111</v>
      </c>
      <c r="E76" s="102" t="s">
        <v>15</v>
      </c>
      <c r="F76" s="102">
        <v>2020</v>
      </c>
      <c r="G76" s="132" t="s">
        <v>16</v>
      </c>
      <c r="H76" s="128">
        <v>200</v>
      </c>
      <c r="I76" s="128">
        <v>200</v>
      </c>
      <c r="J76" s="109"/>
      <c r="K76" s="104"/>
      <c r="L76" s="105">
        <v>20201118</v>
      </c>
    </row>
    <row r="77" ht="15.3" customHeight="1" spans="1:12">
      <c r="A77" s="102">
        <v>75</v>
      </c>
      <c r="B77" s="102" t="s">
        <v>3375</v>
      </c>
      <c r="C77" s="6" t="s">
        <v>6623</v>
      </c>
      <c r="D77" s="109" t="str">
        <f>"152326197709197127"</f>
        <v>152326197709197127</v>
      </c>
      <c r="E77" s="102" t="s">
        <v>15</v>
      </c>
      <c r="F77" s="102">
        <v>2020</v>
      </c>
      <c r="G77" s="132" t="s">
        <v>16</v>
      </c>
      <c r="H77" s="128">
        <v>200</v>
      </c>
      <c r="I77" s="128">
        <v>200</v>
      </c>
      <c r="J77" s="109"/>
      <c r="K77" s="104"/>
      <c r="L77" s="105">
        <v>20201118</v>
      </c>
    </row>
    <row r="78" ht="15.3" customHeight="1" spans="1:12">
      <c r="A78" s="132">
        <v>76</v>
      </c>
      <c r="B78" s="102" t="s">
        <v>3375</v>
      </c>
      <c r="C78" s="6" t="s">
        <v>7112</v>
      </c>
      <c r="D78" s="109" t="str">
        <f>"152326197707246861"</f>
        <v>152326197707246861</v>
      </c>
      <c r="E78" s="102" t="s">
        <v>15</v>
      </c>
      <c r="F78" s="102">
        <v>2020</v>
      </c>
      <c r="G78" s="132" t="s">
        <v>16</v>
      </c>
      <c r="H78" s="128">
        <v>500</v>
      </c>
      <c r="I78" s="128">
        <v>500</v>
      </c>
      <c r="J78" s="109"/>
      <c r="K78" s="104"/>
      <c r="L78" s="105">
        <v>20201118</v>
      </c>
    </row>
    <row r="79" ht="15.3" customHeight="1" spans="1:12">
      <c r="A79" s="132">
        <v>77</v>
      </c>
      <c r="B79" s="102" t="s">
        <v>3375</v>
      </c>
      <c r="C79" s="6" t="s">
        <v>7113</v>
      </c>
      <c r="D79" s="109" t="str">
        <f>"152326197603026880"</f>
        <v>152326197603026880</v>
      </c>
      <c r="E79" s="102" t="s">
        <v>15</v>
      </c>
      <c r="F79" s="102">
        <v>2020</v>
      </c>
      <c r="G79" s="132" t="s">
        <v>16</v>
      </c>
      <c r="H79" s="128">
        <v>300</v>
      </c>
      <c r="I79" s="128">
        <v>300</v>
      </c>
      <c r="J79" s="109"/>
      <c r="K79" s="104"/>
      <c r="L79" s="105">
        <v>20201118</v>
      </c>
    </row>
    <row r="80" ht="15.3" customHeight="1" spans="1:12">
      <c r="A80" s="102">
        <v>78</v>
      </c>
      <c r="B80" s="102" t="s">
        <v>3375</v>
      </c>
      <c r="C80" s="6" t="s">
        <v>4975</v>
      </c>
      <c r="D80" s="109" t="str">
        <f>"152326197601036874"</f>
        <v>152326197601036874</v>
      </c>
      <c r="E80" s="102" t="s">
        <v>15</v>
      </c>
      <c r="F80" s="102">
        <v>2020</v>
      </c>
      <c r="G80" s="132" t="s">
        <v>16</v>
      </c>
      <c r="H80" s="128">
        <v>200</v>
      </c>
      <c r="I80" s="128">
        <v>200</v>
      </c>
      <c r="J80" s="109"/>
      <c r="K80" s="104"/>
      <c r="L80" s="105">
        <v>20201118</v>
      </c>
    </row>
    <row r="81" ht="15.3" customHeight="1" spans="1:12">
      <c r="A81" s="102">
        <v>79</v>
      </c>
      <c r="B81" s="102" t="s">
        <v>3375</v>
      </c>
      <c r="C81" s="6" t="s">
        <v>7114</v>
      </c>
      <c r="D81" s="109" t="str">
        <f>"152326197609086892"</f>
        <v>152326197609086892</v>
      </c>
      <c r="E81" s="102" t="s">
        <v>15</v>
      </c>
      <c r="F81" s="102">
        <v>2020</v>
      </c>
      <c r="G81" s="132" t="s">
        <v>16</v>
      </c>
      <c r="H81" s="128">
        <v>200</v>
      </c>
      <c r="I81" s="128">
        <v>200</v>
      </c>
      <c r="J81" s="109"/>
      <c r="K81" s="104"/>
      <c r="L81" s="105">
        <v>20201118</v>
      </c>
    </row>
    <row r="82" ht="15.3" customHeight="1" spans="1:12">
      <c r="A82" s="132">
        <v>80</v>
      </c>
      <c r="B82" s="102" t="s">
        <v>3375</v>
      </c>
      <c r="C82" s="6" t="s">
        <v>7115</v>
      </c>
      <c r="D82" s="109" t="s">
        <v>7116</v>
      </c>
      <c r="E82" s="102" t="s">
        <v>15</v>
      </c>
      <c r="F82" s="102">
        <v>2020</v>
      </c>
      <c r="G82" s="132" t="s">
        <v>16</v>
      </c>
      <c r="H82" s="128">
        <v>200</v>
      </c>
      <c r="I82" s="128">
        <v>200</v>
      </c>
      <c r="J82" s="109"/>
      <c r="K82" s="104"/>
      <c r="L82" s="105">
        <v>20201118</v>
      </c>
    </row>
    <row r="83" ht="15.3" customHeight="1" spans="1:12">
      <c r="A83" s="132">
        <v>81</v>
      </c>
      <c r="B83" s="102" t="s">
        <v>3375</v>
      </c>
      <c r="C83" s="6" t="s">
        <v>1365</v>
      </c>
      <c r="D83" s="109" t="str">
        <f>"152326197606046879"</f>
        <v>152326197606046879</v>
      </c>
      <c r="E83" s="102" t="s">
        <v>15</v>
      </c>
      <c r="F83" s="102">
        <v>2020</v>
      </c>
      <c r="G83" s="132" t="s">
        <v>16</v>
      </c>
      <c r="H83" s="128">
        <v>200</v>
      </c>
      <c r="I83" s="128">
        <v>200</v>
      </c>
      <c r="J83" s="109"/>
      <c r="K83" s="104"/>
      <c r="L83" s="105">
        <v>20201118</v>
      </c>
    </row>
    <row r="84" ht="15.3" customHeight="1" spans="1:12">
      <c r="A84" s="102">
        <v>82</v>
      </c>
      <c r="B84" s="102" t="s">
        <v>3375</v>
      </c>
      <c r="C84" s="6" t="s">
        <v>7117</v>
      </c>
      <c r="D84" s="109" t="str">
        <f>"152326197608176909"</f>
        <v>152326197608176909</v>
      </c>
      <c r="E84" s="102" t="s">
        <v>15</v>
      </c>
      <c r="F84" s="102">
        <v>2020</v>
      </c>
      <c r="G84" s="132" t="s">
        <v>16</v>
      </c>
      <c r="H84" s="128">
        <v>200</v>
      </c>
      <c r="I84" s="128">
        <v>200</v>
      </c>
      <c r="J84" s="109"/>
      <c r="K84" s="104"/>
      <c r="L84" s="105">
        <v>20201118</v>
      </c>
    </row>
    <row r="85" ht="15.3" customHeight="1" spans="1:12">
      <c r="A85" s="102">
        <v>83</v>
      </c>
      <c r="B85" s="102" t="s">
        <v>3375</v>
      </c>
      <c r="C85" s="6" t="s">
        <v>7118</v>
      </c>
      <c r="D85" s="109" t="s">
        <v>7119</v>
      </c>
      <c r="E85" s="102" t="s">
        <v>15</v>
      </c>
      <c r="F85" s="102">
        <v>2020</v>
      </c>
      <c r="G85" s="132" t="s">
        <v>16</v>
      </c>
      <c r="H85" s="128">
        <v>200</v>
      </c>
      <c r="I85" s="128">
        <v>200</v>
      </c>
      <c r="J85" s="109" t="s">
        <v>4064</v>
      </c>
      <c r="K85" s="104"/>
      <c r="L85" s="105">
        <v>20201118</v>
      </c>
    </row>
    <row r="86" ht="15.3" customHeight="1" spans="1:12">
      <c r="A86" s="132">
        <v>84</v>
      </c>
      <c r="B86" s="102" t="s">
        <v>3375</v>
      </c>
      <c r="C86" s="6" t="s">
        <v>7120</v>
      </c>
      <c r="D86" s="109" t="str">
        <f>"152326197606126879"</f>
        <v>152326197606126879</v>
      </c>
      <c r="E86" s="102" t="s">
        <v>15</v>
      </c>
      <c r="F86" s="102">
        <v>2020</v>
      </c>
      <c r="G86" s="132" t="s">
        <v>16</v>
      </c>
      <c r="H86" s="128">
        <v>200</v>
      </c>
      <c r="I86" s="128">
        <v>200</v>
      </c>
      <c r="J86" s="109"/>
      <c r="K86" s="104"/>
      <c r="L86" s="105">
        <v>20201118</v>
      </c>
    </row>
    <row r="87" ht="15.3" customHeight="1" spans="1:12">
      <c r="A87" s="132">
        <v>85</v>
      </c>
      <c r="B87" s="102" t="s">
        <v>3375</v>
      </c>
      <c r="C87" s="6" t="s">
        <v>7121</v>
      </c>
      <c r="D87" s="109" t="str">
        <f>"152326197609166892"</f>
        <v>152326197609166892</v>
      </c>
      <c r="E87" s="102" t="s">
        <v>15</v>
      </c>
      <c r="F87" s="102">
        <v>2020</v>
      </c>
      <c r="G87" s="132" t="s">
        <v>16</v>
      </c>
      <c r="H87" s="128">
        <v>200</v>
      </c>
      <c r="I87" s="128">
        <v>200</v>
      </c>
      <c r="J87" s="109"/>
      <c r="K87" s="104"/>
      <c r="L87" s="105">
        <v>20201118</v>
      </c>
    </row>
    <row r="88" ht="15.3" customHeight="1" spans="1:12">
      <c r="A88" s="102">
        <v>86</v>
      </c>
      <c r="B88" s="102" t="s">
        <v>3375</v>
      </c>
      <c r="C88" s="6" t="s">
        <v>7122</v>
      </c>
      <c r="D88" s="109" t="s">
        <v>7123</v>
      </c>
      <c r="E88" s="102" t="s">
        <v>15</v>
      </c>
      <c r="F88" s="102">
        <v>2020</v>
      </c>
      <c r="G88" s="132" t="s">
        <v>16</v>
      </c>
      <c r="H88" s="128">
        <v>200</v>
      </c>
      <c r="I88" s="128">
        <v>200</v>
      </c>
      <c r="J88" s="109"/>
      <c r="K88" s="104"/>
      <c r="L88" s="105">
        <v>20201118</v>
      </c>
    </row>
    <row r="89" ht="15.3" customHeight="1" spans="1:12">
      <c r="A89" s="102">
        <v>87</v>
      </c>
      <c r="B89" s="102" t="s">
        <v>3375</v>
      </c>
      <c r="C89" s="6" t="s">
        <v>7124</v>
      </c>
      <c r="D89" s="109" t="str">
        <f>"152326197608096917"</f>
        <v>152326197608096917</v>
      </c>
      <c r="E89" s="102" t="s">
        <v>15</v>
      </c>
      <c r="F89" s="102">
        <v>2020</v>
      </c>
      <c r="G89" s="132" t="s">
        <v>16</v>
      </c>
      <c r="H89" s="128">
        <v>200</v>
      </c>
      <c r="I89" s="128">
        <v>200</v>
      </c>
      <c r="J89" s="109"/>
      <c r="K89" s="104"/>
      <c r="L89" s="105">
        <v>20201118</v>
      </c>
    </row>
    <row r="90" ht="15.3" customHeight="1" spans="1:12">
      <c r="A90" s="132">
        <v>88</v>
      </c>
      <c r="B90" s="102" t="s">
        <v>3375</v>
      </c>
      <c r="C90" s="6" t="s">
        <v>7125</v>
      </c>
      <c r="D90" s="109" t="str">
        <f>"152326197601126896"</f>
        <v>152326197601126896</v>
      </c>
      <c r="E90" s="102" t="s">
        <v>15</v>
      </c>
      <c r="F90" s="102">
        <v>2020</v>
      </c>
      <c r="G90" s="132" t="s">
        <v>16</v>
      </c>
      <c r="H90" s="128">
        <v>200</v>
      </c>
      <c r="I90" s="128">
        <v>200</v>
      </c>
      <c r="J90" s="109"/>
      <c r="K90" s="104"/>
      <c r="L90" s="105">
        <v>20201118</v>
      </c>
    </row>
    <row r="91" ht="15.3" customHeight="1" spans="1:12">
      <c r="A91" s="132">
        <v>89</v>
      </c>
      <c r="B91" s="102" t="s">
        <v>3375</v>
      </c>
      <c r="C91" s="6" t="s">
        <v>7126</v>
      </c>
      <c r="D91" s="109" t="str">
        <f>"152326197610046919"</f>
        <v>152326197610046919</v>
      </c>
      <c r="E91" s="102" t="s">
        <v>15</v>
      </c>
      <c r="F91" s="102">
        <v>2020</v>
      </c>
      <c r="G91" s="132" t="s">
        <v>16</v>
      </c>
      <c r="H91" s="128">
        <v>200</v>
      </c>
      <c r="I91" s="128">
        <v>200</v>
      </c>
      <c r="J91" s="109"/>
      <c r="K91" s="104"/>
      <c r="L91" s="105">
        <v>20201118</v>
      </c>
    </row>
    <row r="92" ht="15.3" customHeight="1" spans="1:12">
      <c r="A92" s="102">
        <v>90</v>
      </c>
      <c r="B92" s="102" t="s">
        <v>3375</v>
      </c>
      <c r="C92" s="6" t="s">
        <v>7127</v>
      </c>
      <c r="D92" s="109" t="str">
        <f>"152326197501146881"</f>
        <v>152326197501146881</v>
      </c>
      <c r="E92" s="102" t="s">
        <v>15</v>
      </c>
      <c r="F92" s="102">
        <v>2020</v>
      </c>
      <c r="G92" s="132" t="s">
        <v>16</v>
      </c>
      <c r="H92" s="128">
        <v>200</v>
      </c>
      <c r="I92" s="128">
        <v>200</v>
      </c>
      <c r="J92" s="109"/>
      <c r="K92" s="104"/>
      <c r="L92" s="105">
        <v>20201118</v>
      </c>
    </row>
    <row r="93" ht="15.3" customHeight="1" spans="1:12">
      <c r="A93" s="102">
        <v>91</v>
      </c>
      <c r="B93" s="102" t="s">
        <v>3375</v>
      </c>
      <c r="C93" s="6" t="s">
        <v>7128</v>
      </c>
      <c r="D93" s="109" t="str">
        <f>"152326197509176882"</f>
        <v>152326197509176882</v>
      </c>
      <c r="E93" s="102" t="s">
        <v>15</v>
      </c>
      <c r="F93" s="102">
        <v>2020</v>
      </c>
      <c r="G93" s="132" t="s">
        <v>16</v>
      </c>
      <c r="H93" s="128">
        <v>200</v>
      </c>
      <c r="I93" s="128">
        <v>200</v>
      </c>
      <c r="J93" s="109"/>
      <c r="K93" s="104"/>
      <c r="L93" s="105">
        <v>20201118</v>
      </c>
    </row>
    <row r="94" ht="15.3" customHeight="1" spans="1:12">
      <c r="A94" s="132">
        <v>92</v>
      </c>
      <c r="B94" s="102" t="s">
        <v>3375</v>
      </c>
      <c r="C94" s="6" t="s">
        <v>5265</v>
      </c>
      <c r="D94" s="109" t="s">
        <v>7129</v>
      </c>
      <c r="E94" s="102" t="s">
        <v>15</v>
      </c>
      <c r="F94" s="102">
        <v>2020</v>
      </c>
      <c r="G94" s="132" t="s">
        <v>16</v>
      </c>
      <c r="H94" s="128">
        <v>200</v>
      </c>
      <c r="I94" s="128">
        <v>200</v>
      </c>
      <c r="J94" s="109" t="s">
        <v>4064</v>
      </c>
      <c r="K94" s="104"/>
      <c r="L94" s="105">
        <v>20201118</v>
      </c>
    </row>
    <row r="95" ht="15.3" customHeight="1" spans="1:12">
      <c r="A95" s="132">
        <v>93</v>
      </c>
      <c r="B95" s="102" t="s">
        <v>3375</v>
      </c>
      <c r="C95" s="6" t="s">
        <v>7130</v>
      </c>
      <c r="D95" s="109" t="str">
        <f>"152326197510016894"</f>
        <v>152326197510016894</v>
      </c>
      <c r="E95" s="102" t="s">
        <v>15</v>
      </c>
      <c r="F95" s="102">
        <v>2020</v>
      </c>
      <c r="G95" s="132" t="s">
        <v>16</v>
      </c>
      <c r="H95" s="128">
        <v>500</v>
      </c>
      <c r="I95" s="128">
        <v>500</v>
      </c>
      <c r="J95" s="109"/>
      <c r="K95" s="104"/>
      <c r="L95" s="105">
        <v>20201118</v>
      </c>
    </row>
    <row r="96" ht="15.3" customHeight="1" spans="1:12">
      <c r="A96" s="102">
        <v>94</v>
      </c>
      <c r="B96" s="102" t="s">
        <v>3375</v>
      </c>
      <c r="C96" s="6" t="s">
        <v>7131</v>
      </c>
      <c r="D96" s="109" t="str">
        <f>"152326197501256896"</f>
        <v>152326197501256896</v>
      </c>
      <c r="E96" s="102" t="s">
        <v>15</v>
      </c>
      <c r="F96" s="102">
        <v>2020</v>
      </c>
      <c r="G96" s="132" t="s">
        <v>16</v>
      </c>
      <c r="H96" s="128">
        <v>500</v>
      </c>
      <c r="I96" s="128">
        <v>500</v>
      </c>
      <c r="J96" s="109"/>
      <c r="K96" s="104"/>
      <c r="L96" s="105">
        <v>20201118</v>
      </c>
    </row>
    <row r="97" ht="15.3" customHeight="1" spans="1:12">
      <c r="A97" s="102">
        <v>95</v>
      </c>
      <c r="B97" s="102" t="s">
        <v>3375</v>
      </c>
      <c r="C97" s="6" t="s">
        <v>7132</v>
      </c>
      <c r="D97" s="109" t="str">
        <f>"152326197512276892"</f>
        <v>152326197512276892</v>
      </c>
      <c r="E97" s="102" t="s">
        <v>15</v>
      </c>
      <c r="F97" s="102">
        <v>2020</v>
      </c>
      <c r="G97" s="132" t="s">
        <v>16</v>
      </c>
      <c r="H97" s="128">
        <v>200</v>
      </c>
      <c r="I97" s="128">
        <v>200</v>
      </c>
      <c r="J97" s="109"/>
      <c r="K97" s="104"/>
      <c r="L97" s="105">
        <v>20201118</v>
      </c>
    </row>
    <row r="98" ht="15.3" customHeight="1" spans="1:12">
      <c r="A98" s="132">
        <v>96</v>
      </c>
      <c r="B98" s="102" t="s">
        <v>3375</v>
      </c>
      <c r="C98" s="6" t="s">
        <v>7133</v>
      </c>
      <c r="D98" s="109" t="str">
        <f>"152326197503236864"</f>
        <v>152326197503236864</v>
      </c>
      <c r="E98" s="102" t="s">
        <v>15</v>
      </c>
      <c r="F98" s="102">
        <v>2020</v>
      </c>
      <c r="G98" s="132" t="s">
        <v>16</v>
      </c>
      <c r="H98" s="128">
        <v>200</v>
      </c>
      <c r="I98" s="128">
        <v>200</v>
      </c>
      <c r="J98" s="109"/>
      <c r="K98" s="104"/>
      <c r="L98" s="105">
        <v>20201118</v>
      </c>
    </row>
    <row r="99" ht="15.3" customHeight="1" spans="1:12">
      <c r="A99" s="132">
        <v>97</v>
      </c>
      <c r="B99" s="102" t="s">
        <v>3375</v>
      </c>
      <c r="C99" s="6" t="s">
        <v>7134</v>
      </c>
      <c r="D99" s="109" t="str">
        <f>"152326197510196864"</f>
        <v>152326197510196864</v>
      </c>
      <c r="E99" s="102" t="s">
        <v>15</v>
      </c>
      <c r="F99" s="102">
        <v>2020</v>
      </c>
      <c r="G99" s="132" t="s">
        <v>16</v>
      </c>
      <c r="H99" s="128">
        <v>200</v>
      </c>
      <c r="I99" s="128">
        <v>200</v>
      </c>
      <c r="J99" s="109"/>
      <c r="K99" s="104"/>
      <c r="L99" s="105">
        <v>20201118</v>
      </c>
    </row>
    <row r="100" ht="15.3" customHeight="1" spans="1:12">
      <c r="A100" s="102">
        <v>98</v>
      </c>
      <c r="B100" s="102" t="s">
        <v>3375</v>
      </c>
      <c r="C100" s="6" t="s">
        <v>7135</v>
      </c>
      <c r="D100" s="109" t="str">
        <f>"152326197502246876"</f>
        <v>152326197502246876</v>
      </c>
      <c r="E100" s="102" t="s">
        <v>15</v>
      </c>
      <c r="F100" s="102">
        <v>2020</v>
      </c>
      <c r="G100" s="132" t="s">
        <v>16</v>
      </c>
      <c r="H100" s="128">
        <v>200</v>
      </c>
      <c r="I100" s="128">
        <v>200</v>
      </c>
      <c r="J100" s="109"/>
      <c r="K100" s="104"/>
      <c r="L100" s="105">
        <v>20201118</v>
      </c>
    </row>
    <row r="101" ht="15.3" customHeight="1" spans="1:12">
      <c r="A101" s="102">
        <v>99</v>
      </c>
      <c r="B101" s="102" t="s">
        <v>3375</v>
      </c>
      <c r="C101" s="6" t="s">
        <v>7136</v>
      </c>
      <c r="D101" s="109" t="s">
        <v>7137</v>
      </c>
      <c r="E101" s="102" t="s">
        <v>15</v>
      </c>
      <c r="F101" s="102">
        <v>2020</v>
      </c>
      <c r="G101" s="132" t="s">
        <v>16</v>
      </c>
      <c r="H101" s="128">
        <v>200</v>
      </c>
      <c r="I101" s="128">
        <v>200</v>
      </c>
      <c r="J101" s="109" t="s">
        <v>4064</v>
      </c>
      <c r="K101" s="104"/>
      <c r="L101" s="105">
        <v>20201118</v>
      </c>
    </row>
    <row r="102" ht="15.3" customHeight="1" spans="1:12">
      <c r="A102" s="132">
        <v>100</v>
      </c>
      <c r="B102" s="102" t="s">
        <v>3375</v>
      </c>
      <c r="C102" s="6" t="s">
        <v>7138</v>
      </c>
      <c r="D102" s="109" t="s">
        <v>7139</v>
      </c>
      <c r="E102" s="102" t="s">
        <v>15</v>
      </c>
      <c r="F102" s="102">
        <v>2020</v>
      </c>
      <c r="G102" s="132" t="s">
        <v>16</v>
      </c>
      <c r="H102" s="128">
        <v>200</v>
      </c>
      <c r="I102" s="128">
        <v>200</v>
      </c>
      <c r="J102" s="109" t="s">
        <v>4064</v>
      </c>
      <c r="K102" s="104"/>
      <c r="L102" s="105">
        <v>20201118</v>
      </c>
    </row>
    <row r="103" ht="15.3" customHeight="1" spans="1:12">
      <c r="A103" s="132">
        <v>101</v>
      </c>
      <c r="B103" s="102" t="s">
        <v>3375</v>
      </c>
      <c r="C103" s="6" t="s">
        <v>7140</v>
      </c>
      <c r="D103" s="109" t="str">
        <f>"152326197508196961"</f>
        <v>152326197508196961</v>
      </c>
      <c r="E103" s="102" t="s">
        <v>15</v>
      </c>
      <c r="F103" s="102">
        <v>2020</v>
      </c>
      <c r="G103" s="132" t="s">
        <v>16</v>
      </c>
      <c r="H103" s="128">
        <v>200</v>
      </c>
      <c r="I103" s="128">
        <v>200</v>
      </c>
      <c r="J103" s="109"/>
      <c r="K103" s="104"/>
      <c r="L103" s="105">
        <v>20201118</v>
      </c>
    </row>
    <row r="104" ht="15.3" customHeight="1" spans="1:12">
      <c r="A104" s="102">
        <v>102</v>
      </c>
      <c r="B104" s="102" t="s">
        <v>3375</v>
      </c>
      <c r="C104" s="6" t="s">
        <v>7141</v>
      </c>
      <c r="D104" s="109" t="str">
        <f>"152326197409116866"</f>
        <v>152326197409116866</v>
      </c>
      <c r="E104" s="102" t="s">
        <v>15</v>
      </c>
      <c r="F104" s="102">
        <v>2020</v>
      </c>
      <c r="G104" s="132" t="s">
        <v>16</v>
      </c>
      <c r="H104" s="128">
        <v>1000</v>
      </c>
      <c r="I104" s="128">
        <v>1000</v>
      </c>
      <c r="J104" s="109"/>
      <c r="K104" s="104"/>
      <c r="L104" s="105">
        <v>20201118</v>
      </c>
    </row>
    <row r="105" ht="15.3" customHeight="1" spans="1:12">
      <c r="A105" s="102">
        <v>103</v>
      </c>
      <c r="B105" s="102" t="s">
        <v>3375</v>
      </c>
      <c r="C105" s="6" t="s">
        <v>7142</v>
      </c>
      <c r="D105" s="109" t="str">
        <f>"152326197402096962"</f>
        <v>152326197402096962</v>
      </c>
      <c r="E105" s="102" t="s">
        <v>15</v>
      </c>
      <c r="F105" s="102">
        <v>2020</v>
      </c>
      <c r="G105" s="132" t="s">
        <v>16</v>
      </c>
      <c r="H105" s="128">
        <v>200</v>
      </c>
      <c r="I105" s="128">
        <v>200</v>
      </c>
      <c r="J105" s="109"/>
      <c r="K105" s="104"/>
      <c r="L105" s="105">
        <v>20201118</v>
      </c>
    </row>
    <row r="106" ht="15.3" customHeight="1" spans="1:12">
      <c r="A106" s="132">
        <v>104</v>
      </c>
      <c r="B106" s="102" t="s">
        <v>3375</v>
      </c>
      <c r="C106" s="6" t="s">
        <v>7143</v>
      </c>
      <c r="D106" s="109" t="str">
        <f>"152326197402176866"</f>
        <v>152326197402176866</v>
      </c>
      <c r="E106" s="102" t="s">
        <v>15</v>
      </c>
      <c r="F106" s="102">
        <v>2020</v>
      </c>
      <c r="G106" s="132" t="s">
        <v>16</v>
      </c>
      <c r="H106" s="128">
        <v>200</v>
      </c>
      <c r="I106" s="128">
        <v>200</v>
      </c>
      <c r="J106" s="109"/>
      <c r="K106" s="104"/>
      <c r="L106" s="105">
        <v>20201118</v>
      </c>
    </row>
    <row r="107" ht="15.3" customHeight="1" spans="1:12">
      <c r="A107" s="132">
        <v>105</v>
      </c>
      <c r="B107" s="102" t="s">
        <v>3375</v>
      </c>
      <c r="C107" s="6" t="s">
        <v>7144</v>
      </c>
      <c r="D107" s="109" t="str">
        <f>"152326197402256882"</f>
        <v>152326197402256882</v>
      </c>
      <c r="E107" s="102" t="s">
        <v>15</v>
      </c>
      <c r="F107" s="102">
        <v>2020</v>
      </c>
      <c r="G107" s="132" t="s">
        <v>16</v>
      </c>
      <c r="H107" s="128">
        <v>200</v>
      </c>
      <c r="I107" s="128">
        <v>200</v>
      </c>
      <c r="J107" s="109"/>
      <c r="K107" s="104"/>
      <c r="L107" s="105">
        <v>20201118</v>
      </c>
    </row>
    <row r="108" ht="15.3" customHeight="1" spans="1:12">
      <c r="A108" s="102">
        <v>106</v>
      </c>
      <c r="B108" s="102" t="s">
        <v>3375</v>
      </c>
      <c r="C108" s="6" t="s">
        <v>7145</v>
      </c>
      <c r="D108" s="109" t="str">
        <f>"152326197409096877"</f>
        <v>152326197409096877</v>
      </c>
      <c r="E108" s="102" t="s">
        <v>15</v>
      </c>
      <c r="F108" s="102">
        <v>2020</v>
      </c>
      <c r="G108" s="132" t="s">
        <v>16</v>
      </c>
      <c r="H108" s="128">
        <v>200</v>
      </c>
      <c r="I108" s="128">
        <v>200</v>
      </c>
      <c r="J108" s="109"/>
      <c r="K108" s="104"/>
      <c r="L108" s="105">
        <v>20201118</v>
      </c>
    </row>
    <row r="109" ht="15.3" customHeight="1" spans="1:12">
      <c r="A109" s="102">
        <v>107</v>
      </c>
      <c r="B109" s="102" t="s">
        <v>3375</v>
      </c>
      <c r="C109" s="6" t="s">
        <v>7146</v>
      </c>
      <c r="D109" s="109" t="str">
        <f>"152326197403056911"</f>
        <v>152326197403056911</v>
      </c>
      <c r="E109" s="102" t="s">
        <v>15</v>
      </c>
      <c r="F109" s="102">
        <v>2020</v>
      </c>
      <c r="G109" s="132" t="s">
        <v>16</v>
      </c>
      <c r="H109" s="128">
        <v>200</v>
      </c>
      <c r="I109" s="128">
        <v>200</v>
      </c>
      <c r="J109" s="109"/>
      <c r="K109" s="104"/>
      <c r="L109" s="105">
        <v>20201118</v>
      </c>
    </row>
    <row r="110" ht="15.3" customHeight="1" spans="1:12">
      <c r="A110" s="132">
        <v>108</v>
      </c>
      <c r="B110" s="102" t="s">
        <v>3375</v>
      </c>
      <c r="C110" s="6" t="s">
        <v>7147</v>
      </c>
      <c r="D110" s="109" t="str">
        <f>"152324197403220862"</f>
        <v>152324197403220862</v>
      </c>
      <c r="E110" s="102" t="s">
        <v>15</v>
      </c>
      <c r="F110" s="102">
        <v>2020</v>
      </c>
      <c r="G110" s="132" t="s">
        <v>16</v>
      </c>
      <c r="H110" s="128">
        <v>500</v>
      </c>
      <c r="I110" s="128">
        <v>500</v>
      </c>
      <c r="J110" s="109"/>
      <c r="K110" s="104"/>
      <c r="L110" s="105">
        <v>20201118</v>
      </c>
    </row>
    <row r="111" ht="15.3" customHeight="1" spans="1:12">
      <c r="A111" s="132">
        <v>109</v>
      </c>
      <c r="B111" s="102" t="s">
        <v>3375</v>
      </c>
      <c r="C111" s="6" t="s">
        <v>7148</v>
      </c>
      <c r="D111" s="109" t="str">
        <f>"152326197409036866"</f>
        <v>152326197409036866</v>
      </c>
      <c r="E111" s="102" t="s">
        <v>15</v>
      </c>
      <c r="F111" s="102">
        <v>2020</v>
      </c>
      <c r="G111" s="132" t="s">
        <v>16</v>
      </c>
      <c r="H111" s="128">
        <v>200</v>
      </c>
      <c r="I111" s="128">
        <v>200</v>
      </c>
      <c r="J111" s="109"/>
      <c r="K111" s="104"/>
      <c r="L111" s="105">
        <v>20201118</v>
      </c>
    </row>
    <row r="112" ht="15.3" customHeight="1" spans="1:12">
      <c r="A112" s="102">
        <v>110</v>
      </c>
      <c r="B112" s="102" t="s">
        <v>3375</v>
      </c>
      <c r="C112" s="6" t="s">
        <v>7149</v>
      </c>
      <c r="D112" s="109" t="str">
        <f>"152326197402276904"</f>
        <v>152326197402276904</v>
      </c>
      <c r="E112" s="102" t="s">
        <v>15</v>
      </c>
      <c r="F112" s="102">
        <v>2020</v>
      </c>
      <c r="G112" s="132" t="s">
        <v>16</v>
      </c>
      <c r="H112" s="128">
        <v>200</v>
      </c>
      <c r="I112" s="128">
        <v>200</v>
      </c>
      <c r="J112" s="109"/>
      <c r="K112" s="104"/>
      <c r="L112" s="105">
        <v>20201118</v>
      </c>
    </row>
    <row r="113" ht="15.3" customHeight="1" spans="1:12">
      <c r="A113" s="102">
        <v>111</v>
      </c>
      <c r="B113" s="102" t="s">
        <v>3375</v>
      </c>
      <c r="C113" s="6" t="s">
        <v>2416</v>
      </c>
      <c r="D113" s="109" t="str">
        <f>"152326197310046909"</f>
        <v>152326197310046909</v>
      </c>
      <c r="E113" s="102" t="s">
        <v>15</v>
      </c>
      <c r="F113" s="102">
        <v>2020</v>
      </c>
      <c r="G113" s="132" t="s">
        <v>16</v>
      </c>
      <c r="H113" s="128">
        <v>200</v>
      </c>
      <c r="I113" s="128">
        <v>200</v>
      </c>
      <c r="J113" s="109"/>
      <c r="K113" s="104"/>
      <c r="L113" s="105">
        <v>20201118</v>
      </c>
    </row>
    <row r="114" ht="15.3" customHeight="1" spans="1:12">
      <c r="A114" s="132">
        <v>112</v>
      </c>
      <c r="B114" s="102" t="s">
        <v>3375</v>
      </c>
      <c r="C114" s="6" t="s">
        <v>7150</v>
      </c>
      <c r="D114" s="109" t="str">
        <f>"152326197302156876"</f>
        <v>152326197302156876</v>
      </c>
      <c r="E114" s="102" t="s">
        <v>15</v>
      </c>
      <c r="F114" s="102">
        <v>2020</v>
      </c>
      <c r="G114" s="132" t="s">
        <v>16</v>
      </c>
      <c r="H114" s="128">
        <v>200</v>
      </c>
      <c r="I114" s="128">
        <v>200</v>
      </c>
      <c r="J114" s="109"/>
      <c r="K114" s="104"/>
      <c r="L114" s="105">
        <v>20201118</v>
      </c>
    </row>
    <row r="115" ht="15.3" customHeight="1" spans="1:12">
      <c r="A115" s="132">
        <v>113</v>
      </c>
      <c r="B115" s="102" t="s">
        <v>3375</v>
      </c>
      <c r="C115" s="6" t="s">
        <v>7151</v>
      </c>
      <c r="D115" s="109" t="str">
        <f>"152326197310306918"</f>
        <v>152326197310306918</v>
      </c>
      <c r="E115" s="102" t="s">
        <v>15</v>
      </c>
      <c r="F115" s="102">
        <v>2020</v>
      </c>
      <c r="G115" s="132" t="s">
        <v>16</v>
      </c>
      <c r="H115" s="128">
        <v>1000</v>
      </c>
      <c r="I115" s="128">
        <v>1000</v>
      </c>
      <c r="J115" s="109"/>
      <c r="K115" s="104"/>
      <c r="L115" s="105">
        <v>20201118</v>
      </c>
    </row>
    <row r="116" ht="15.3" customHeight="1" spans="1:12">
      <c r="A116" s="102">
        <v>114</v>
      </c>
      <c r="B116" s="102" t="s">
        <v>3375</v>
      </c>
      <c r="C116" s="6" t="s">
        <v>7152</v>
      </c>
      <c r="D116" s="109" t="s">
        <v>7153</v>
      </c>
      <c r="E116" s="102" t="s">
        <v>15</v>
      </c>
      <c r="F116" s="102">
        <v>2020</v>
      </c>
      <c r="G116" s="132" t="s">
        <v>16</v>
      </c>
      <c r="H116" s="128">
        <v>200</v>
      </c>
      <c r="I116" s="128">
        <v>200</v>
      </c>
      <c r="J116" s="109" t="s">
        <v>4064</v>
      </c>
      <c r="K116" s="104"/>
      <c r="L116" s="105">
        <v>20201118</v>
      </c>
    </row>
    <row r="117" ht="15.3" customHeight="1" spans="1:12">
      <c r="A117" s="102">
        <v>115</v>
      </c>
      <c r="B117" s="102" t="s">
        <v>3375</v>
      </c>
      <c r="C117" s="6" t="s">
        <v>7154</v>
      </c>
      <c r="D117" s="109" t="s">
        <v>7155</v>
      </c>
      <c r="E117" s="102" t="s">
        <v>15</v>
      </c>
      <c r="F117" s="102">
        <v>2020</v>
      </c>
      <c r="G117" s="132" t="s">
        <v>16</v>
      </c>
      <c r="H117" s="128">
        <v>200</v>
      </c>
      <c r="I117" s="128">
        <v>200</v>
      </c>
      <c r="J117" s="109"/>
      <c r="K117" s="104"/>
      <c r="L117" s="105">
        <v>20201118</v>
      </c>
    </row>
    <row r="118" ht="15.3" customHeight="1" spans="1:12">
      <c r="A118" s="132">
        <v>116</v>
      </c>
      <c r="B118" s="102" t="s">
        <v>3375</v>
      </c>
      <c r="C118" s="6" t="s">
        <v>7156</v>
      </c>
      <c r="D118" s="109" t="str">
        <f>"152326197308086864"</f>
        <v>152326197308086864</v>
      </c>
      <c r="E118" s="102" t="s">
        <v>15</v>
      </c>
      <c r="F118" s="102">
        <v>2020</v>
      </c>
      <c r="G118" s="132" t="s">
        <v>16</v>
      </c>
      <c r="H118" s="128">
        <v>200</v>
      </c>
      <c r="I118" s="128">
        <v>200</v>
      </c>
      <c r="J118" s="109"/>
      <c r="K118" s="104"/>
      <c r="L118" s="105">
        <v>20201118</v>
      </c>
    </row>
    <row r="119" ht="15.3" customHeight="1" spans="1:12">
      <c r="A119" s="132">
        <v>117</v>
      </c>
      <c r="B119" s="102" t="s">
        <v>3375</v>
      </c>
      <c r="C119" s="6" t="s">
        <v>7157</v>
      </c>
      <c r="D119" s="109" t="str">
        <f>"152326197310296879"</f>
        <v>152326197310296879</v>
      </c>
      <c r="E119" s="102" t="s">
        <v>15</v>
      </c>
      <c r="F119" s="102">
        <v>2020</v>
      </c>
      <c r="G119" s="132" t="s">
        <v>16</v>
      </c>
      <c r="H119" s="128">
        <v>200</v>
      </c>
      <c r="I119" s="128">
        <v>200</v>
      </c>
      <c r="J119" s="109"/>
      <c r="K119" s="104"/>
      <c r="L119" s="105">
        <v>20201118</v>
      </c>
    </row>
    <row r="120" ht="15.3" customHeight="1" spans="1:12">
      <c r="A120" s="102">
        <v>118</v>
      </c>
      <c r="B120" s="102" t="s">
        <v>3375</v>
      </c>
      <c r="C120" s="6" t="s">
        <v>7158</v>
      </c>
      <c r="D120" s="109" t="str">
        <f>"152326197303166873"</f>
        <v>152326197303166873</v>
      </c>
      <c r="E120" s="102" t="s">
        <v>15</v>
      </c>
      <c r="F120" s="102">
        <v>2020</v>
      </c>
      <c r="G120" s="132" t="s">
        <v>16</v>
      </c>
      <c r="H120" s="128">
        <v>200</v>
      </c>
      <c r="I120" s="128">
        <v>200</v>
      </c>
      <c r="J120" s="109"/>
      <c r="K120" s="104"/>
      <c r="L120" s="105">
        <v>20201118</v>
      </c>
    </row>
    <row r="121" ht="15.3" customHeight="1" spans="1:12">
      <c r="A121" s="102">
        <v>119</v>
      </c>
      <c r="B121" s="102" t="s">
        <v>3375</v>
      </c>
      <c r="C121" s="6" t="s">
        <v>7159</v>
      </c>
      <c r="D121" s="109" t="str">
        <f>"152326197308156885"</f>
        <v>152326197308156885</v>
      </c>
      <c r="E121" s="102" t="s">
        <v>15</v>
      </c>
      <c r="F121" s="102">
        <v>2020</v>
      </c>
      <c r="G121" s="132" t="s">
        <v>16</v>
      </c>
      <c r="H121" s="128">
        <v>200</v>
      </c>
      <c r="I121" s="128">
        <v>200</v>
      </c>
      <c r="J121" s="109"/>
      <c r="K121" s="104"/>
      <c r="L121" s="105">
        <v>20201118</v>
      </c>
    </row>
    <row r="122" ht="15.3" customHeight="1" spans="1:12">
      <c r="A122" s="132">
        <v>120</v>
      </c>
      <c r="B122" s="102" t="s">
        <v>3375</v>
      </c>
      <c r="C122" s="6" t="s">
        <v>7160</v>
      </c>
      <c r="D122" s="109" t="str">
        <f>"152326197308196887"</f>
        <v>152326197308196887</v>
      </c>
      <c r="E122" s="102" t="s">
        <v>15</v>
      </c>
      <c r="F122" s="102">
        <v>2020</v>
      </c>
      <c r="G122" s="132" t="s">
        <v>16</v>
      </c>
      <c r="H122" s="128">
        <v>200</v>
      </c>
      <c r="I122" s="128">
        <v>200</v>
      </c>
      <c r="J122" s="109"/>
      <c r="K122" s="104"/>
      <c r="L122" s="105">
        <v>20201118</v>
      </c>
    </row>
    <row r="123" ht="15.3" customHeight="1" spans="1:12">
      <c r="A123" s="132">
        <v>121</v>
      </c>
      <c r="B123" s="102" t="s">
        <v>3375</v>
      </c>
      <c r="C123" s="6" t="s">
        <v>7161</v>
      </c>
      <c r="D123" s="109" t="str">
        <f>"152326197308046870"</f>
        <v>152326197308046870</v>
      </c>
      <c r="E123" s="102" t="s">
        <v>15</v>
      </c>
      <c r="F123" s="102">
        <v>2020</v>
      </c>
      <c r="G123" s="132" t="s">
        <v>16</v>
      </c>
      <c r="H123" s="128">
        <v>200</v>
      </c>
      <c r="I123" s="128">
        <v>200</v>
      </c>
      <c r="J123" s="109"/>
      <c r="K123" s="104"/>
      <c r="L123" s="105">
        <v>20201118</v>
      </c>
    </row>
    <row r="124" ht="15.3" customHeight="1" spans="1:12">
      <c r="A124" s="102">
        <v>122</v>
      </c>
      <c r="B124" s="102" t="s">
        <v>3375</v>
      </c>
      <c r="C124" s="6" t="s">
        <v>7162</v>
      </c>
      <c r="D124" s="109" t="str">
        <f>"152326197310126888"</f>
        <v>152326197310126888</v>
      </c>
      <c r="E124" s="102" t="s">
        <v>15</v>
      </c>
      <c r="F124" s="102">
        <v>2020</v>
      </c>
      <c r="G124" s="132" t="s">
        <v>16</v>
      </c>
      <c r="H124" s="128">
        <v>200</v>
      </c>
      <c r="I124" s="128">
        <v>200</v>
      </c>
      <c r="J124" s="109"/>
      <c r="K124" s="104"/>
      <c r="L124" s="105">
        <v>20201118</v>
      </c>
    </row>
    <row r="125" ht="15.3" customHeight="1" spans="1:12">
      <c r="A125" s="102">
        <v>123</v>
      </c>
      <c r="B125" s="102" t="s">
        <v>3375</v>
      </c>
      <c r="C125" s="6" t="s">
        <v>7163</v>
      </c>
      <c r="D125" s="109" t="str">
        <f>"152326197202186883"</f>
        <v>152326197202186883</v>
      </c>
      <c r="E125" s="102" t="s">
        <v>15</v>
      </c>
      <c r="F125" s="102">
        <v>2020</v>
      </c>
      <c r="G125" s="132" t="s">
        <v>16</v>
      </c>
      <c r="H125" s="128">
        <v>200</v>
      </c>
      <c r="I125" s="128">
        <v>200</v>
      </c>
      <c r="J125" s="109"/>
      <c r="K125" s="104"/>
      <c r="L125" s="105">
        <v>20201118</v>
      </c>
    </row>
    <row r="126" ht="15.3" customHeight="1" spans="1:12">
      <c r="A126" s="132">
        <v>124</v>
      </c>
      <c r="B126" s="102" t="s">
        <v>3375</v>
      </c>
      <c r="C126" s="6" t="s">
        <v>3817</v>
      </c>
      <c r="D126" s="109" t="str">
        <f>"152326197207236878"</f>
        <v>152326197207236878</v>
      </c>
      <c r="E126" s="102" t="s">
        <v>15</v>
      </c>
      <c r="F126" s="102">
        <v>2020</v>
      </c>
      <c r="G126" s="132" t="s">
        <v>16</v>
      </c>
      <c r="H126" s="128">
        <v>200</v>
      </c>
      <c r="I126" s="128">
        <v>200</v>
      </c>
      <c r="J126" s="109"/>
      <c r="K126" s="104"/>
      <c r="L126" s="105">
        <v>20201118</v>
      </c>
    </row>
    <row r="127" ht="15.3" customHeight="1" spans="1:12">
      <c r="A127" s="132">
        <v>125</v>
      </c>
      <c r="B127" s="102" t="s">
        <v>3375</v>
      </c>
      <c r="C127" s="6" t="s">
        <v>7164</v>
      </c>
      <c r="D127" s="109" t="str">
        <f>"152326197210266875"</f>
        <v>152326197210266875</v>
      </c>
      <c r="E127" s="102" t="s">
        <v>15</v>
      </c>
      <c r="F127" s="102">
        <v>2020</v>
      </c>
      <c r="G127" s="132" t="s">
        <v>16</v>
      </c>
      <c r="H127" s="128">
        <v>200</v>
      </c>
      <c r="I127" s="128">
        <v>200</v>
      </c>
      <c r="J127" s="109"/>
      <c r="K127" s="104"/>
      <c r="L127" s="105">
        <v>20201118</v>
      </c>
    </row>
    <row r="128" ht="15.3" customHeight="1" spans="1:12">
      <c r="A128" s="102">
        <v>126</v>
      </c>
      <c r="B128" s="102" t="s">
        <v>3375</v>
      </c>
      <c r="C128" s="6" t="s">
        <v>7165</v>
      </c>
      <c r="D128" s="109" t="str">
        <f>"152326197209196873"</f>
        <v>152326197209196873</v>
      </c>
      <c r="E128" s="102" t="s">
        <v>15</v>
      </c>
      <c r="F128" s="102">
        <v>2020</v>
      </c>
      <c r="G128" s="132" t="s">
        <v>16</v>
      </c>
      <c r="H128" s="128">
        <v>200</v>
      </c>
      <c r="I128" s="128">
        <v>200</v>
      </c>
      <c r="J128" s="109"/>
      <c r="K128" s="104"/>
      <c r="L128" s="105">
        <v>20201118</v>
      </c>
    </row>
    <row r="129" ht="15.3" customHeight="1" spans="1:12">
      <c r="A129" s="102">
        <v>127</v>
      </c>
      <c r="B129" s="102" t="s">
        <v>3375</v>
      </c>
      <c r="C129" s="6" t="s">
        <v>7166</v>
      </c>
      <c r="D129" s="109" t="str">
        <f>"152326197209126867"</f>
        <v>152326197209126867</v>
      </c>
      <c r="E129" s="102" t="s">
        <v>15</v>
      </c>
      <c r="F129" s="102">
        <v>2020</v>
      </c>
      <c r="G129" s="132" t="s">
        <v>16</v>
      </c>
      <c r="H129" s="128">
        <v>200</v>
      </c>
      <c r="I129" s="128">
        <v>200</v>
      </c>
      <c r="J129" s="109"/>
      <c r="K129" s="104"/>
      <c r="L129" s="105">
        <v>20201118</v>
      </c>
    </row>
    <row r="130" ht="15.3" customHeight="1" spans="1:12">
      <c r="A130" s="132">
        <v>128</v>
      </c>
      <c r="B130" s="102" t="s">
        <v>3375</v>
      </c>
      <c r="C130" s="6" t="s">
        <v>7167</v>
      </c>
      <c r="D130" s="109" t="str">
        <f>"152326197204156872"</f>
        <v>152326197204156872</v>
      </c>
      <c r="E130" s="102" t="s">
        <v>15</v>
      </c>
      <c r="F130" s="102">
        <v>2020</v>
      </c>
      <c r="G130" s="132" t="s">
        <v>16</v>
      </c>
      <c r="H130" s="128">
        <v>1000</v>
      </c>
      <c r="I130" s="128">
        <v>1000</v>
      </c>
      <c r="J130" s="109"/>
      <c r="K130" s="104"/>
      <c r="L130" s="105">
        <v>20201118</v>
      </c>
    </row>
    <row r="131" ht="15.3" customHeight="1" spans="1:12">
      <c r="A131" s="132">
        <v>129</v>
      </c>
      <c r="B131" s="102" t="s">
        <v>3375</v>
      </c>
      <c r="C131" s="6" t="s">
        <v>7168</v>
      </c>
      <c r="D131" s="109" t="str">
        <f>"152326197210046864"</f>
        <v>152326197210046864</v>
      </c>
      <c r="E131" s="102" t="s">
        <v>15</v>
      </c>
      <c r="F131" s="102">
        <v>2020</v>
      </c>
      <c r="G131" s="132" t="s">
        <v>16</v>
      </c>
      <c r="H131" s="128">
        <v>200</v>
      </c>
      <c r="I131" s="128">
        <v>200</v>
      </c>
      <c r="J131" s="109"/>
      <c r="K131" s="104"/>
      <c r="L131" s="105">
        <v>20201118</v>
      </c>
    </row>
    <row r="132" ht="15.3" customHeight="1" spans="1:12">
      <c r="A132" s="102">
        <v>130</v>
      </c>
      <c r="B132" s="102" t="s">
        <v>3375</v>
      </c>
      <c r="C132" s="6" t="s">
        <v>7169</v>
      </c>
      <c r="D132" s="109" t="str">
        <f>"152326197211086876"</f>
        <v>152326197211086876</v>
      </c>
      <c r="E132" s="102" t="s">
        <v>15</v>
      </c>
      <c r="F132" s="102">
        <v>2020</v>
      </c>
      <c r="G132" s="132" t="s">
        <v>16</v>
      </c>
      <c r="H132" s="128">
        <v>200</v>
      </c>
      <c r="I132" s="128">
        <v>200</v>
      </c>
      <c r="J132" s="109"/>
      <c r="K132" s="104"/>
      <c r="L132" s="105">
        <v>20201118</v>
      </c>
    </row>
    <row r="133" ht="15.3" customHeight="1" spans="1:12">
      <c r="A133" s="102">
        <v>131</v>
      </c>
      <c r="B133" s="102" t="s">
        <v>3375</v>
      </c>
      <c r="C133" s="6" t="s">
        <v>7170</v>
      </c>
      <c r="D133" s="109" t="str">
        <f>"152326197205066860"</f>
        <v>152326197205066860</v>
      </c>
      <c r="E133" s="102" t="s">
        <v>15</v>
      </c>
      <c r="F133" s="102">
        <v>2020</v>
      </c>
      <c r="G133" s="132" t="s">
        <v>16</v>
      </c>
      <c r="H133" s="128">
        <v>200</v>
      </c>
      <c r="I133" s="128">
        <v>200</v>
      </c>
      <c r="J133" s="109"/>
      <c r="K133" s="104"/>
      <c r="L133" s="105">
        <v>20201118</v>
      </c>
    </row>
    <row r="134" ht="15.3" customHeight="1" spans="1:12">
      <c r="A134" s="132">
        <v>132</v>
      </c>
      <c r="B134" s="102" t="s">
        <v>3375</v>
      </c>
      <c r="C134" s="6" t="s">
        <v>7171</v>
      </c>
      <c r="D134" s="109" t="s">
        <v>7172</v>
      </c>
      <c r="E134" s="102" t="s">
        <v>15</v>
      </c>
      <c r="F134" s="102">
        <v>2020</v>
      </c>
      <c r="G134" s="132" t="s">
        <v>16</v>
      </c>
      <c r="H134" s="128">
        <v>200</v>
      </c>
      <c r="I134" s="128">
        <v>200</v>
      </c>
      <c r="J134" s="109" t="s">
        <v>4064</v>
      </c>
      <c r="K134" s="104"/>
      <c r="L134" s="105">
        <v>20201118</v>
      </c>
    </row>
    <row r="135" ht="15.3" customHeight="1" spans="1:12">
      <c r="A135" s="132">
        <v>133</v>
      </c>
      <c r="B135" s="102" t="s">
        <v>3375</v>
      </c>
      <c r="C135" s="6" t="s">
        <v>7173</v>
      </c>
      <c r="D135" s="109" t="str">
        <f>"152326197203027163"</f>
        <v>152326197203027163</v>
      </c>
      <c r="E135" s="102" t="s">
        <v>15</v>
      </c>
      <c r="F135" s="102">
        <v>2020</v>
      </c>
      <c r="G135" s="132" t="s">
        <v>16</v>
      </c>
      <c r="H135" s="128">
        <v>200</v>
      </c>
      <c r="I135" s="128">
        <v>200</v>
      </c>
      <c r="J135" s="109"/>
      <c r="K135" s="104"/>
      <c r="L135" s="105">
        <v>20201118</v>
      </c>
    </row>
    <row r="136" ht="15.3" customHeight="1" spans="1:12">
      <c r="A136" s="102">
        <v>134</v>
      </c>
      <c r="B136" s="102" t="s">
        <v>3375</v>
      </c>
      <c r="C136" s="6" t="s">
        <v>7174</v>
      </c>
      <c r="D136" s="109" t="str">
        <f>"152326197211176871"</f>
        <v>152326197211176871</v>
      </c>
      <c r="E136" s="102" t="s">
        <v>15</v>
      </c>
      <c r="F136" s="102">
        <v>2020</v>
      </c>
      <c r="G136" s="132" t="s">
        <v>16</v>
      </c>
      <c r="H136" s="128">
        <v>200</v>
      </c>
      <c r="I136" s="128">
        <v>200</v>
      </c>
      <c r="J136" s="109"/>
      <c r="K136" s="104"/>
      <c r="L136" s="105">
        <v>20201118</v>
      </c>
    </row>
    <row r="137" ht="15.3" customHeight="1" spans="1:12">
      <c r="A137" s="102">
        <v>135</v>
      </c>
      <c r="B137" s="102" t="s">
        <v>3375</v>
      </c>
      <c r="C137" s="6" t="s">
        <v>7175</v>
      </c>
      <c r="D137" s="109" t="str">
        <f>"152326197202256896"</f>
        <v>152326197202256896</v>
      </c>
      <c r="E137" s="102" t="s">
        <v>15</v>
      </c>
      <c r="F137" s="102">
        <v>2020</v>
      </c>
      <c r="G137" s="132" t="s">
        <v>16</v>
      </c>
      <c r="H137" s="128">
        <v>200</v>
      </c>
      <c r="I137" s="128">
        <v>200</v>
      </c>
      <c r="J137" s="109"/>
      <c r="K137" s="104"/>
      <c r="L137" s="105">
        <v>20201118</v>
      </c>
    </row>
    <row r="138" ht="15.3" customHeight="1" spans="1:12">
      <c r="A138" s="132">
        <v>136</v>
      </c>
      <c r="B138" s="102" t="s">
        <v>3375</v>
      </c>
      <c r="C138" s="6" t="s">
        <v>7176</v>
      </c>
      <c r="D138" s="109" t="str">
        <f>"152326197208066874"</f>
        <v>152326197208066874</v>
      </c>
      <c r="E138" s="102" t="s">
        <v>15</v>
      </c>
      <c r="F138" s="102">
        <v>2020</v>
      </c>
      <c r="G138" s="132" t="s">
        <v>16</v>
      </c>
      <c r="H138" s="128">
        <v>200</v>
      </c>
      <c r="I138" s="128">
        <v>200</v>
      </c>
      <c r="J138" s="109"/>
      <c r="K138" s="104"/>
      <c r="L138" s="105">
        <v>20201118</v>
      </c>
    </row>
    <row r="139" ht="15.3" customHeight="1" spans="1:12">
      <c r="A139" s="132">
        <v>137</v>
      </c>
      <c r="B139" s="102" t="s">
        <v>3375</v>
      </c>
      <c r="C139" s="6" t="s">
        <v>4858</v>
      </c>
      <c r="D139" s="109" t="str">
        <f>"152326197102286887"</f>
        <v>152326197102286887</v>
      </c>
      <c r="E139" s="102" t="s">
        <v>15</v>
      </c>
      <c r="F139" s="102">
        <v>2020</v>
      </c>
      <c r="G139" s="132" t="s">
        <v>16</v>
      </c>
      <c r="H139" s="128">
        <v>200</v>
      </c>
      <c r="I139" s="128">
        <v>200</v>
      </c>
      <c r="J139" s="109"/>
      <c r="K139" s="104"/>
      <c r="L139" s="105">
        <v>20201118</v>
      </c>
    </row>
    <row r="140" ht="15.3" customHeight="1" spans="1:12">
      <c r="A140" s="102">
        <v>138</v>
      </c>
      <c r="B140" s="102" t="s">
        <v>3375</v>
      </c>
      <c r="C140" s="6" t="s">
        <v>7177</v>
      </c>
      <c r="D140" s="109" t="str">
        <f>"152326197103156881"</f>
        <v>152326197103156881</v>
      </c>
      <c r="E140" s="102" t="s">
        <v>15</v>
      </c>
      <c r="F140" s="102">
        <v>2020</v>
      </c>
      <c r="G140" s="132" t="s">
        <v>16</v>
      </c>
      <c r="H140" s="128">
        <v>200</v>
      </c>
      <c r="I140" s="128">
        <v>200</v>
      </c>
      <c r="J140" s="109"/>
      <c r="K140" s="104"/>
      <c r="L140" s="105">
        <v>20201118</v>
      </c>
    </row>
    <row r="141" ht="15.3" customHeight="1" spans="1:12">
      <c r="A141" s="102">
        <v>139</v>
      </c>
      <c r="B141" s="102" t="s">
        <v>3375</v>
      </c>
      <c r="C141" s="6" t="s">
        <v>7178</v>
      </c>
      <c r="D141" s="109" t="str">
        <f>"152326197109227126"</f>
        <v>152326197109227126</v>
      </c>
      <c r="E141" s="102" t="s">
        <v>15</v>
      </c>
      <c r="F141" s="102">
        <v>2020</v>
      </c>
      <c r="G141" s="132" t="s">
        <v>16</v>
      </c>
      <c r="H141" s="128">
        <v>200</v>
      </c>
      <c r="I141" s="128">
        <v>200</v>
      </c>
      <c r="J141" s="109"/>
      <c r="K141" s="104"/>
      <c r="L141" s="105">
        <v>20201118</v>
      </c>
    </row>
    <row r="142" ht="15.3" customHeight="1" spans="1:12">
      <c r="A142" s="132">
        <v>140</v>
      </c>
      <c r="B142" s="102" t="s">
        <v>3375</v>
      </c>
      <c r="C142" s="6" t="s">
        <v>7179</v>
      </c>
      <c r="D142" s="109" t="str">
        <f>"152326197107216896"</f>
        <v>152326197107216896</v>
      </c>
      <c r="E142" s="102" t="s">
        <v>15</v>
      </c>
      <c r="F142" s="102">
        <v>2020</v>
      </c>
      <c r="G142" s="132" t="s">
        <v>16</v>
      </c>
      <c r="H142" s="128">
        <v>200</v>
      </c>
      <c r="I142" s="128">
        <v>200</v>
      </c>
      <c r="J142" s="109"/>
      <c r="K142" s="104"/>
      <c r="L142" s="105">
        <v>20201118</v>
      </c>
    </row>
    <row r="143" ht="15.3" customHeight="1" spans="1:12">
      <c r="A143" s="132">
        <v>141</v>
      </c>
      <c r="B143" s="102" t="s">
        <v>3375</v>
      </c>
      <c r="C143" s="6" t="s">
        <v>6362</v>
      </c>
      <c r="D143" s="109" t="s">
        <v>7180</v>
      </c>
      <c r="E143" s="102" t="s">
        <v>15</v>
      </c>
      <c r="F143" s="102">
        <v>2020</v>
      </c>
      <c r="G143" s="132" t="s">
        <v>16</v>
      </c>
      <c r="H143" s="128">
        <v>200</v>
      </c>
      <c r="I143" s="128">
        <v>200</v>
      </c>
      <c r="J143" s="109" t="s">
        <v>4064</v>
      </c>
      <c r="K143" s="104"/>
      <c r="L143" s="105">
        <v>20201118</v>
      </c>
    </row>
    <row r="144" ht="15.3" customHeight="1" spans="1:12">
      <c r="A144" s="102">
        <v>142</v>
      </c>
      <c r="B144" s="102" t="s">
        <v>3375</v>
      </c>
      <c r="C144" s="6" t="s">
        <v>7181</v>
      </c>
      <c r="D144" s="109" t="s">
        <v>7182</v>
      </c>
      <c r="E144" s="102" t="s">
        <v>15</v>
      </c>
      <c r="F144" s="102">
        <v>2020</v>
      </c>
      <c r="G144" s="132" t="s">
        <v>16</v>
      </c>
      <c r="H144" s="128">
        <v>200</v>
      </c>
      <c r="I144" s="128">
        <v>200</v>
      </c>
      <c r="J144" s="109"/>
      <c r="K144" s="104"/>
      <c r="L144" s="105">
        <v>20201118</v>
      </c>
    </row>
    <row r="145" ht="15.3" customHeight="1" spans="1:12">
      <c r="A145" s="102">
        <v>143</v>
      </c>
      <c r="B145" s="102" t="s">
        <v>3375</v>
      </c>
      <c r="C145" s="6" t="s">
        <v>7183</v>
      </c>
      <c r="D145" s="109" t="str">
        <f>"152326197112276877"</f>
        <v>152326197112276877</v>
      </c>
      <c r="E145" s="102" t="s">
        <v>15</v>
      </c>
      <c r="F145" s="102">
        <v>2020</v>
      </c>
      <c r="G145" s="132" t="s">
        <v>16</v>
      </c>
      <c r="H145" s="128">
        <v>200</v>
      </c>
      <c r="I145" s="128">
        <v>200</v>
      </c>
      <c r="J145" s="109"/>
      <c r="K145" s="104"/>
      <c r="L145" s="105">
        <v>20201118</v>
      </c>
    </row>
    <row r="146" ht="15.3" customHeight="1" spans="1:12">
      <c r="A146" s="132">
        <v>144</v>
      </c>
      <c r="B146" s="102" t="s">
        <v>3375</v>
      </c>
      <c r="C146" s="6" t="s">
        <v>7184</v>
      </c>
      <c r="D146" s="109" t="str">
        <f>"152326197108017100"</f>
        <v>152326197108017100</v>
      </c>
      <c r="E146" s="102" t="s">
        <v>15</v>
      </c>
      <c r="F146" s="102">
        <v>2020</v>
      </c>
      <c r="G146" s="132" t="s">
        <v>16</v>
      </c>
      <c r="H146" s="128">
        <v>200</v>
      </c>
      <c r="I146" s="128">
        <v>200</v>
      </c>
      <c r="J146" s="109"/>
      <c r="K146" s="104"/>
      <c r="L146" s="105">
        <v>20201118</v>
      </c>
    </row>
    <row r="147" ht="15.3" customHeight="1" spans="1:12">
      <c r="A147" s="132">
        <v>145</v>
      </c>
      <c r="B147" s="102" t="s">
        <v>3375</v>
      </c>
      <c r="C147" s="6" t="s">
        <v>7185</v>
      </c>
      <c r="D147" s="109" t="str">
        <f>"152326197110206875"</f>
        <v>152326197110206875</v>
      </c>
      <c r="E147" s="102" t="s">
        <v>15</v>
      </c>
      <c r="F147" s="102">
        <v>2020</v>
      </c>
      <c r="G147" s="132" t="s">
        <v>16</v>
      </c>
      <c r="H147" s="128">
        <v>200</v>
      </c>
      <c r="I147" s="128">
        <v>200</v>
      </c>
      <c r="J147" s="109"/>
      <c r="K147" s="104"/>
      <c r="L147" s="105">
        <v>20201118</v>
      </c>
    </row>
    <row r="148" ht="15.3" customHeight="1" spans="1:12">
      <c r="A148" s="102">
        <v>146</v>
      </c>
      <c r="B148" s="102" t="s">
        <v>3375</v>
      </c>
      <c r="C148" s="6" t="s">
        <v>7186</v>
      </c>
      <c r="D148" s="109" t="str">
        <f>"152326197005196871"</f>
        <v>152326197005196871</v>
      </c>
      <c r="E148" s="102" t="s">
        <v>15</v>
      </c>
      <c r="F148" s="102">
        <v>2020</v>
      </c>
      <c r="G148" s="132" t="s">
        <v>16</v>
      </c>
      <c r="H148" s="128">
        <v>200</v>
      </c>
      <c r="I148" s="128">
        <v>200</v>
      </c>
      <c r="J148" s="109"/>
      <c r="K148" s="104"/>
      <c r="L148" s="105">
        <v>20201118</v>
      </c>
    </row>
    <row r="149" ht="15.3" customHeight="1" spans="1:12">
      <c r="A149" s="102">
        <v>147</v>
      </c>
      <c r="B149" s="102" t="s">
        <v>3375</v>
      </c>
      <c r="C149" s="6" t="s">
        <v>7187</v>
      </c>
      <c r="D149" s="109" t="str">
        <f>"152326197003026887"</f>
        <v>152326197003026887</v>
      </c>
      <c r="E149" s="102" t="s">
        <v>15</v>
      </c>
      <c r="F149" s="102">
        <v>2020</v>
      </c>
      <c r="G149" s="132" t="s">
        <v>16</v>
      </c>
      <c r="H149" s="128">
        <v>200</v>
      </c>
      <c r="I149" s="128">
        <v>200</v>
      </c>
      <c r="J149" s="109"/>
      <c r="K149" s="104"/>
      <c r="L149" s="105">
        <v>20201118</v>
      </c>
    </row>
    <row r="150" ht="15.3" customHeight="1" spans="1:12">
      <c r="A150" s="132">
        <v>148</v>
      </c>
      <c r="B150" s="102" t="s">
        <v>3375</v>
      </c>
      <c r="C150" s="6" t="s">
        <v>2611</v>
      </c>
      <c r="D150" s="109" t="s">
        <v>7188</v>
      </c>
      <c r="E150" s="102" t="s">
        <v>15</v>
      </c>
      <c r="F150" s="102">
        <v>2020</v>
      </c>
      <c r="G150" s="132" t="s">
        <v>16</v>
      </c>
      <c r="H150" s="128">
        <v>200</v>
      </c>
      <c r="I150" s="128">
        <v>200</v>
      </c>
      <c r="J150" s="109" t="s">
        <v>3647</v>
      </c>
      <c r="K150" s="104"/>
      <c r="L150" s="105">
        <v>20201118</v>
      </c>
    </row>
    <row r="151" ht="15.3" customHeight="1" spans="1:12">
      <c r="A151" s="132">
        <v>149</v>
      </c>
      <c r="B151" s="102" t="s">
        <v>3375</v>
      </c>
      <c r="C151" s="6" t="s">
        <v>7189</v>
      </c>
      <c r="D151" s="109" t="str">
        <f>"152326197004186866"</f>
        <v>152326197004186866</v>
      </c>
      <c r="E151" s="102" t="s">
        <v>15</v>
      </c>
      <c r="F151" s="102">
        <v>2020</v>
      </c>
      <c r="G151" s="132" t="s">
        <v>16</v>
      </c>
      <c r="H151" s="128">
        <v>200</v>
      </c>
      <c r="I151" s="128">
        <v>200</v>
      </c>
      <c r="J151" s="109"/>
      <c r="K151" s="104"/>
      <c r="L151" s="105">
        <v>20201118</v>
      </c>
    </row>
    <row r="152" ht="15.3" customHeight="1" spans="1:12">
      <c r="A152" s="102">
        <v>150</v>
      </c>
      <c r="B152" s="102" t="s">
        <v>3375</v>
      </c>
      <c r="C152" s="6" t="s">
        <v>7190</v>
      </c>
      <c r="D152" s="109" t="str">
        <f>"152326197001046868"</f>
        <v>152326197001046868</v>
      </c>
      <c r="E152" s="102" t="s">
        <v>15</v>
      </c>
      <c r="F152" s="102">
        <v>2020</v>
      </c>
      <c r="G152" s="132" t="s">
        <v>16</v>
      </c>
      <c r="H152" s="128">
        <v>200</v>
      </c>
      <c r="I152" s="128">
        <v>200</v>
      </c>
      <c r="J152" s="109"/>
      <c r="K152" s="104"/>
      <c r="L152" s="105">
        <v>20201118</v>
      </c>
    </row>
    <row r="153" ht="15.3" customHeight="1" spans="1:12">
      <c r="A153" s="102">
        <v>151</v>
      </c>
      <c r="B153" s="102" t="s">
        <v>3375</v>
      </c>
      <c r="C153" s="6" t="s">
        <v>7191</v>
      </c>
      <c r="D153" s="109" t="str">
        <f>"152326197008186871"</f>
        <v>152326197008186871</v>
      </c>
      <c r="E153" s="102" t="s">
        <v>15</v>
      </c>
      <c r="F153" s="102">
        <v>2020</v>
      </c>
      <c r="G153" s="132" t="s">
        <v>16</v>
      </c>
      <c r="H153" s="128">
        <v>200</v>
      </c>
      <c r="I153" s="128">
        <v>200</v>
      </c>
      <c r="J153" s="109"/>
      <c r="K153" s="104"/>
      <c r="L153" s="105">
        <v>20201118</v>
      </c>
    </row>
    <row r="154" ht="15.3" customHeight="1" spans="1:12">
      <c r="A154" s="132">
        <v>152</v>
      </c>
      <c r="B154" s="102" t="s">
        <v>3375</v>
      </c>
      <c r="C154" s="6" t="s">
        <v>7192</v>
      </c>
      <c r="D154" s="109" t="s">
        <v>7193</v>
      </c>
      <c r="E154" s="102" t="s">
        <v>15</v>
      </c>
      <c r="F154" s="102">
        <v>2020</v>
      </c>
      <c r="G154" s="132" t="s">
        <v>16</v>
      </c>
      <c r="H154" s="128">
        <v>200</v>
      </c>
      <c r="I154" s="128">
        <v>200</v>
      </c>
      <c r="J154" s="109" t="s">
        <v>1242</v>
      </c>
      <c r="K154" s="104"/>
      <c r="L154" s="105">
        <v>20201118</v>
      </c>
    </row>
    <row r="155" ht="15.3" customHeight="1" spans="1:12">
      <c r="A155" s="132">
        <v>153</v>
      </c>
      <c r="B155" s="102" t="s">
        <v>3375</v>
      </c>
      <c r="C155" s="6" t="s">
        <v>7047</v>
      </c>
      <c r="D155" s="109" t="str">
        <f>"152326196904156879"</f>
        <v>152326196904156879</v>
      </c>
      <c r="E155" s="102" t="s">
        <v>15</v>
      </c>
      <c r="F155" s="102">
        <v>2020</v>
      </c>
      <c r="G155" s="132" t="s">
        <v>16</v>
      </c>
      <c r="H155" s="128">
        <v>200</v>
      </c>
      <c r="I155" s="128">
        <v>200</v>
      </c>
      <c r="J155" s="109"/>
      <c r="K155" s="104"/>
      <c r="L155" s="105">
        <v>20201118</v>
      </c>
    </row>
    <row r="156" ht="15.3" customHeight="1" spans="1:12">
      <c r="A156" s="102">
        <v>154</v>
      </c>
      <c r="B156" s="102" t="s">
        <v>3375</v>
      </c>
      <c r="C156" s="6" t="s">
        <v>7194</v>
      </c>
      <c r="D156" s="109" t="str">
        <f>"152326196906136871"</f>
        <v>152326196906136871</v>
      </c>
      <c r="E156" s="102" t="s">
        <v>15</v>
      </c>
      <c r="F156" s="102">
        <v>2020</v>
      </c>
      <c r="G156" s="132" t="s">
        <v>16</v>
      </c>
      <c r="H156" s="128">
        <v>200</v>
      </c>
      <c r="I156" s="128">
        <v>200</v>
      </c>
      <c r="J156" s="109"/>
      <c r="K156" s="104"/>
      <c r="L156" s="105">
        <v>20201118</v>
      </c>
    </row>
    <row r="157" ht="15.3" customHeight="1" spans="1:12">
      <c r="A157" s="102">
        <v>155</v>
      </c>
      <c r="B157" s="102" t="s">
        <v>3375</v>
      </c>
      <c r="C157" s="6" t="s">
        <v>7195</v>
      </c>
      <c r="D157" s="109" t="str">
        <f>"152326196905056909"</f>
        <v>152326196905056909</v>
      </c>
      <c r="E157" s="102" t="s">
        <v>15</v>
      </c>
      <c r="F157" s="102">
        <v>2020</v>
      </c>
      <c r="G157" s="132" t="s">
        <v>16</v>
      </c>
      <c r="H157" s="128">
        <v>200</v>
      </c>
      <c r="I157" s="128">
        <v>200</v>
      </c>
      <c r="J157" s="109"/>
      <c r="K157" s="104"/>
      <c r="L157" s="105">
        <v>20201118</v>
      </c>
    </row>
    <row r="158" ht="15.3" customHeight="1" spans="1:12">
      <c r="A158" s="132">
        <v>156</v>
      </c>
      <c r="B158" s="102" t="s">
        <v>3375</v>
      </c>
      <c r="C158" s="6" t="s">
        <v>7196</v>
      </c>
      <c r="D158" s="109" t="str">
        <f>"152326196903056884"</f>
        <v>152326196903056884</v>
      </c>
      <c r="E158" s="102" t="s">
        <v>15</v>
      </c>
      <c r="F158" s="102">
        <v>2020</v>
      </c>
      <c r="G158" s="132" t="s">
        <v>16</v>
      </c>
      <c r="H158" s="128">
        <v>200</v>
      </c>
      <c r="I158" s="128">
        <v>200</v>
      </c>
      <c r="J158" s="109"/>
      <c r="K158" s="104"/>
      <c r="L158" s="105">
        <v>20201118</v>
      </c>
    </row>
    <row r="159" ht="15.3" customHeight="1" spans="1:12">
      <c r="A159" s="132">
        <v>157</v>
      </c>
      <c r="B159" s="102" t="s">
        <v>3375</v>
      </c>
      <c r="C159" s="6" t="s">
        <v>7197</v>
      </c>
      <c r="D159" s="109" t="str">
        <f>"152326196903266873"</f>
        <v>152326196903266873</v>
      </c>
      <c r="E159" s="102" t="s">
        <v>15</v>
      </c>
      <c r="F159" s="102">
        <v>2020</v>
      </c>
      <c r="G159" s="132" t="s">
        <v>16</v>
      </c>
      <c r="H159" s="128">
        <v>200</v>
      </c>
      <c r="I159" s="128">
        <v>200</v>
      </c>
      <c r="J159" s="109"/>
      <c r="K159" s="104"/>
      <c r="L159" s="105">
        <v>20201118</v>
      </c>
    </row>
    <row r="160" ht="15.3" customHeight="1" spans="1:12">
      <c r="A160" s="102">
        <v>158</v>
      </c>
      <c r="B160" s="102" t="s">
        <v>3375</v>
      </c>
      <c r="C160" s="6" t="s">
        <v>7198</v>
      </c>
      <c r="D160" s="109" t="str">
        <f>"152326196909096879"</f>
        <v>152326196909096879</v>
      </c>
      <c r="E160" s="102" t="s">
        <v>15</v>
      </c>
      <c r="F160" s="102">
        <v>2020</v>
      </c>
      <c r="G160" s="132" t="s">
        <v>16</v>
      </c>
      <c r="H160" s="128">
        <v>200</v>
      </c>
      <c r="I160" s="128">
        <v>200</v>
      </c>
      <c r="J160" s="109"/>
      <c r="K160" s="104"/>
      <c r="L160" s="105">
        <v>20201118</v>
      </c>
    </row>
    <row r="161" ht="15.3" customHeight="1" spans="1:12">
      <c r="A161" s="102">
        <v>159</v>
      </c>
      <c r="B161" s="102" t="s">
        <v>3375</v>
      </c>
      <c r="C161" s="6" t="s">
        <v>7199</v>
      </c>
      <c r="D161" s="109" t="str">
        <f>"152326196901276867"</f>
        <v>152326196901276867</v>
      </c>
      <c r="E161" s="102" t="s">
        <v>15</v>
      </c>
      <c r="F161" s="102">
        <v>2020</v>
      </c>
      <c r="G161" s="132" t="s">
        <v>16</v>
      </c>
      <c r="H161" s="128">
        <v>200</v>
      </c>
      <c r="I161" s="128">
        <v>200</v>
      </c>
      <c r="J161" s="109"/>
      <c r="K161" s="104"/>
      <c r="L161" s="105">
        <v>20201118</v>
      </c>
    </row>
    <row r="162" ht="15.3" customHeight="1" spans="1:12">
      <c r="A162" s="132">
        <v>160</v>
      </c>
      <c r="B162" s="102" t="s">
        <v>3375</v>
      </c>
      <c r="C162" s="6" t="s">
        <v>7200</v>
      </c>
      <c r="D162" s="109" t="str">
        <f>"152326196912166911"</f>
        <v>152326196912166911</v>
      </c>
      <c r="E162" s="102" t="s">
        <v>15</v>
      </c>
      <c r="F162" s="102">
        <v>2020</v>
      </c>
      <c r="G162" s="132" t="s">
        <v>16</v>
      </c>
      <c r="H162" s="128">
        <v>200</v>
      </c>
      <c r="I162" s="128">
        <v>200</v>
      </c>
      <c r="J162" s="109"/>
      <c r="K162" s="104"/>
      <c r="L162" s="105">
        <v>20201118</v>
      </c>
    </row>
    <row r="163" ht="15.3" customHeight="1" spans="1:12">
      <c r="A163" s="132">
        <v>161</v>
      </c>
      <c r="B163" s="102" t="s">
        <v>3375</v>
      </c>
      <c r="C163" s="6" t="s">
        <v>7201</v>
      </c>
      <c r="D163" s="109" t="str">
        <f>"152326196906296891"</f>
        <v>152326196906296891</v>
      </c>
      <c r="E163" s="102" t="s">
        <v>15</v>
      </c>
      <c r="F163" s="102">
        <v>2020</v>
      </c>
      <c r="G163" s="132" t="s">
        <v>16</v>
      </c>
      <c r="H163" s="128">
        <v>200</v>
      </c>
      <c r="I163" s="128">
        <v>200</v>
      </c>
      <c r="J163" s="109"/>
      <c r="K163" s="104"/>
      <c r="L163" s="105">
        <v>20201118</v>
      </c>
    </row>
    <row r="164" ht="15.3" customHeight="1" spans="1:12">
      <c r="A164" s="102">
        <v>162</v>
      </c>
      <c r="B164" s="102" t="s">
        <v>3375</v>
      </c>
      <c r="C164" s="6" t="s">
        <v>7202</v>
      </c>
      <c r="D164" s="109" t="str">
        <f>"152326196807166864"</f>
        <v>152326196807166864</v>
      </c>
      <c r="E164" s="102" t="s">
        <v>15</v>
      </c>
      <c r="F164" s="102">
        <v>2020</v>
      </c>
      <c r="G164" s="132" t="s">
        <v>16</v>
      </c>
      <c r="H164" s="128">
        <v>200</v>
      </c>
      <c r="I164" s="128">
        <v>200</v>
      </c>
      <c r="J164" s="109"/>
      <c r="K164" s="104"/>
      <c r="L164" s="105">
        <v>20201118</v>
      </c>
    </row>
    <row r="165" ht="15.3" customHeight="1" spans="1:12">
      <c r="A165" s="102">
        <v>163</v>
      </c>
      <c r="B165" s="102" t="s">
        <v>3375</v>
      </c>
      <c r="C165" s="6" t="s">
        <v>7203</v>
      </c>
      <c r="D165" s="109" t="s">
        <v>7204</v>
      </c>
      <c r="E165" s="102" t="s">
        <v>15</v>
      </c>
      <c r="F165" s="102">
        <v>2020</v>
      </c>
      <c r="G165" s="132" t="s">
        <v>16</v>
      </c>
      <c r="H165" s="128">
        <v>200</v>
      </c>
      <c r="I165" s="128">
        <v>200</v>
      </c>
      <c r="J165" s="109"/>
      <c r="K165" s="104"/>
      <c r="L165" s="105">
        <v>20201118</v>
      </c>
    </row>
    <row r="166" ht="15.3" customHeight="1" spans="1:12">
      <c r="A166" s="132">
        <v>164</v>
      </c>
      <c r="B166" s="102" t="s">
        <v>3375</v>
      </c>
      <c r="C166" s="6" t="s">
        <v>7205</v>
      </c>
      <c r="D166" s="109" t="str">
        <f>"152326196808236879"</f>
        <v>152326196808236879</v>
      </c>
      <c r="E166" s="102" t="s">
        <v>15</v>
      </c>
      <c r="F166" s="102">
        <v>2020</v>
      </c>
      <c r="G166" s="132" t="s">
        <v>16</v>
      </c>
      <c r="H166" s="128">
        <v>200</v>
      </c>
      <c r="I166" s="128">
        <v>200</v>
      </c>
      <c r="J166" s="109"/>
      <c r="K166" s="104"/>
      <c r="L166" s="105">
        <v>20201118</v>
      </c>
    </row>
    <row r="167" ht="15.3" customHeight="1" spans="1:12">
      <c r="A167" s="132">
        <v>165</v>
      </c>
      <c r="B167" s="102" t="s">
        <v>3375</v>
      </c>
      <c r="C167" s="6" t="s">
        <v>7206</v>
      </c>
      <c r="D167" s="109" t="str">
        <f>"152326196804226868"</f>
        <v>152326196804226868</v>
      </c>
      <c r="E167" s="102" t="s">
        <v>15</v>
      </c>
      <c r="F167" s="102">
        <v>2020</v>
      </c>
      <c r="G167" s="132" t="s">
        <v>16</v>
      </c>
      <c r="H167" s="128">
        <v>200</v>
      </c>
      <c r="I167" s="128">
        <v>200</v>
      </c>
      <c r="J167" s="109"/>
      <c r="K167" s="104"/>
      <c r="L167" s="105">
        <v>20201118</v>
      </c>
    </row>
    <row r="168" ht="15.3" customHeight="1" spans="1:12">
      <c r="A168" s="102">
        <v>166</v>
      </c>
      <c r="B168" s="102" t="s">
        <v>3375</v>
      </c>
      <c r="C168" s="6" t="s">
        <v>7207</v>
      </c>
      <c r="D168" s="109" t="str">
        <f>"152326196802026870"</f>
        <v>152326196802026870</v>
      </c>
      <c r="E168" s="102" t="s">
        <v>15</v>
      </c>
      <c r="F168" s="102">
        <v>2020</v>
      </c>
      <c r="G168" s="132" t="s">
        <v>16</v>
      </c>
      <c r="H168" s="128">
        <v>200</v>
      </c>
      <c r="I168" s="128">
        <v>200</v>
      </c>
      <c r="J168" s="109"/>
      <c r="K168" s="104"/>
      <c r="L168" s="105">
        <v>20201118</v>
      </c>
    </row>
    <row r="169" ht="15.3" customHeight="1" spans="1:12">
      <c r="A169" s="102">
        <v>167</v>
      </c>
      <c r="B169" s="102" t="s">
        <v>3375</v>
      </c>
      <c r="C169" s="6" t="s">
        <v>1858</v>
      </c>
      <c r="D169" s="109" t="str">
        <f>"152326196807266873"</f>
        <v>152326196807266873</v>
      </c>
      <c r="E169" s="102" t="s">
        <v>15</v>
      </c>
      <c r="F169" s="102">
        <v>2020</v>
      </c>
      <c r="G169" s="132" t="s">
        <v>16</v>
      </c>
      <c r="H169" s="128">
        <v>200</v>
      </c>
      <c r="I169" s="128">
        <v>200</v>
      </c>
      <c r="J169" s="109"/>
      <c r="K169" s="104"/>
      <c r="L169" s="105">
        <v>20201118</v>
      </c>
    </row>
    <row r="170" ht="15.3" customHeight="1" spans="1:12">
      <c r="A170" s="132">
        <v>168</v>
      </c>
      <c r="B170" s="102" t="s">
        <v>3375</v>
      </c>
      <c r="C170" s="6" t="s">
        <v>1078</v>
      </c>
      <c r="D170" s="109" t="str">
        <f>"152326196807186881"</f>
        <v>152326196807186881</v>
      </c>
      <c r="E170" s="102" t="s">
        <v>15</v>
      </c>
      <c r="F170" s="102">
        <v>2020</v>
      </c>
      <c r="G170" s="132" t="s">
        <v>16</v>
      </c>
      <c r="H170" s="128">
        <v>200</v>
      </c>
      <c r="I170" s="128">
        <v>200</v>
      </c>
      <c r="J170" s="109"/>
      <c r="K170" s="104"/>
      <c r="L170" s="105">
        <v>20201118</v>
      </c>
    </row>
    <row r="171" ht="15.3" customHeight="1" spans="1:12">
      <c r="A171" s="132">
        <v>169</v>
      </c>
      <c r="B171" s="102" t="s">
        <v>3375</v>
      </c>
      <c r="C171" s="6" t="s">
        <v>7208</v>
      </c>
      <c r="D171" s="109" t="s">
        <v>7209</v>
      </c>
      <c r="E171" s="102" t="s">
        <v>15</v>
      </c>
      <c r="F171" s="102">
        <v>2020</v>
      </c>
      <c r="G171" s="132" t="s">
        <v>16</v>
      </c>
      <c r="H171" s="128">
        <v>200</v>
      </c>
      <c r="I171" s="128">
        <v>200</v>
      </c>
      <c r="J171" s="109"/>
      <c r="K171" s="104"/>
      <c r="L171" s="105">
        <v>20201118</v>
      </c>
    </row>
    <row r="172" ht="15.3" customHeight="1" spans="1:12">
      <c r="A172" s="102">
        <v>170</v>
      </c>
      <c r="B172" s="102" t="s">
        <v>3375</v>
      </c>
      <c r="C172" s="6" t="s">
        <v>7210</v>
      </c>
      <c r="D172" s="109" t="str">
        <f>"152326196804176880"</f>
        <v>152326196804176880</v>
      </c>
      <c r="E172" s="102" t="s">
        <v>15</v>
      </c>
      <c r="F172" s="102">
        <v>2020</v>
      </c>
      <c r="G172" s="132" t="s">
        <v>16</v>
      </c>
      <c r="H172" s="128">
        <v>200</v>
      </c>
      <c r="I172" s="128">
        <v>200</v>
      </c>
      <c r="J172" s="109"/>
      <c r="K172" s="104"/>
      <c r="L172" s="105">
        <v>20201118</v>
      </c>
    </row>
    <row r="173" ht="15.3" customHeight="1" spans="1:12">
      <c r="A173" s="102">
        <v>171</v>
      </c>
      <c r="B173" s="102" t="s">
        <v>3375</v>
      </c>
      <c r="C173" s="6" t="s">
        <v>7211</v>
      </c>
      <c r="D173" s="109" t="str">
        <f>"152326196801246871"</f>
        <v>152326196801246871</v>
      </c>
      <c r="E173" s="102" t="s">
        <v>15</v>
      </c>
      <c r="F173" s="102">
        <v>2020</v>
      </c>
      <c r="G173" s="132" t="s">
        <v>16</v>
      </c>
      <c r="H173" s="128">
        <v>200</v>
      </c>
      <c r="I173" s="128">
        <v>200</v>
      </c>
      <c r="J173" s="109"/>
      <c r="K173" s="104"/>
      <c r="L173" s="105">
        <v>20201118</v>
      </c>
    </row>
    <row r="174" ht="15.3" customHeight="1" spans="1:12">
      <c r="A174" s="132">
        <v>172</v>
      </c>
      <c r="B174" s="102" t="s">
        <v>3375</v>
      </c>
      <c r="C174" s="6" t="s">
        <v>4788</v>
      </c>
      <c r="D174" s="109" t="str">
        <f>"152326196801176893"</f>
        <v>152326196801176893</v>
      </c>
      <c r="E174" s="102" t="s">
        <v>15</v>
      </c>
      <c r="F174" s="102">
        <v>2020</v>
      </c>
      <c r="G174" s="132" t="s">
        <v>16</v>
      </c>
      <c r="H174" s="128">
        <v>200</v>
      </c>
      <c r="I174" s="128">
        <v>200</v>
      </c>
      <c r="J174" s="109"/>
      <c r="K174" s="104"/>
      <c r="L174" s="105">
        <v>20201118</v>
      </c>
    </row>
    <row r="175" ht="15.3" customHeight="1" spans="1:12">
      <c r="A175" s="132">
        <v>173</v>
      </c>
      <c r="B175" s="102" t="s">
        <v>3375</v>
      </c>
      <c r="C175" s="6" t="s">
        <v>3782</v>
      </c>
      <c r="D175" s="109" t="s">
        <v>7212</v>
      </c>
      <c r="E175" s="102" t="s">
        <v>15</v>
      </c>
      <c r="F175" s="102">
        <v>2020</v>
      </c>
      <c r="G175" s="132" t="s">
        <v>16</v>
      </c>
      <c r="H175" s="128">
        <v>200</v>
      </c>
      <c r="I175" s="128">
        <v>200</v>
      </c>
      <c r="J175" s="109"/>
      <c r="K175" s="104"/>
      <c r="L175" s="105">
        <v>20201118</v>
      </c>
    </row>
    <row r="176" ht="15.3" customHeight="1" spans="1:12">
      <c r="A176" s="102">
        <v>174</v>
      </c>
      <c r="B176" s="102" t="s">
        <v>3375</v>
      </c>
      <c r="C176" s="6" t="s">
        <v>7213</v>
      </c>
      <c r="D176" s="109" t="str">
        <f>"152326196712106877"</f>
        <v>152326196712106877</v>
      </c>
      <c r="E176" s="102" t="s">
        <v>15</v>
      </c>
      <c r="F176" s="102">
        <v>2020</v>
      </c>
      <c r="G176" s="132" t="s">
        <v>16</v>
      </c>
      <c r="H176" s="128">
        <v>200</v>
      </c>
      <c r="I176" s="128">
        <v>200</v>
      </c>
      <c r="J176" s="109"/>
      <c r="K176" s="104"/>
      <c r="L176" s="105">
        <v>20201118</v>
      </c>
    </row>
    <row r="177" ht="15.3" customHeight="1" spans="1:12">
      <c r="A177" s="102">
        <v>175</v>
      </c>
      <c r="B177" s="102" t="s">
        <v>3375</v>
      </c>
      <c r="C177" s="6" t="s">
        <v>7214</v>
      </c>
      <c r="D177" s="109" t="str">
        <f>"152326196708306876"</f>
        <v>152326196708306876</v>
      </c>
      <c r="E177" s="102" t="s">
        <v>15</v>
      </c>
      <c r="F177" s="102">
        <v>2020</v>
      </c>
      <c r="G177" s="132" t="s">
        <v>16</v>
      </c>
      <c r="H177" s="128">
        <v>200</v>
      </c>
      <c r="I177" s="128">
        <v>200</v>
      </c>
      <c r="J177" s="109"/>
      <c r="K177" s="104"/>
      <c r="L177" s="105">
        <v>20201118</v>
      </c>
    </row>
    <row r="178" ht="15.3" customHeight="1" spans="1:12">
      <c r="A178" s="132">
        <v>176</v>
      </c>
      <c r="B178" s="102" t="s">
        <v>3375</v>
      </c>
      <c r="C178" s="6" t="s">
        <v>7215</v>
      </c>
      <c r="D178" s="109" t="str">
        <f>"152326196706086865"</f>
        <v>152326196706086865</v>
      </c>
      <c r="E178" s="102" t="s">
        <v>15</v>
      </c>
      <c r="F178" s="102">
        <v>2020</v>
      </c>
      <c r="G178" s="132" t="s">
        <v>16</v>
      </c>
      <c r="H178" s="128">
        <v>200</v>
      </c>
      <c r="I178" s="128">
        <v>200</v>
      </c>
      <c r="J178" s="109"/>
      <c r="K178" s="104"/>
      <c r="L178" s="105">
        <v>20201118</v>
      </c>
    </row>
    <row r="179" ht="15.3" customHeight="1" spans="1:12">
      <c r="A179" s="132">
        <v>177</v>
      </c>
      <c r="B179" s="102" t="s">
        <v>3375</v>
      </c>
      <c r="C179" s="6" t="s">
        <v>7216</v>
      </c>
      <c r="D179" s="109" t="str">
        <f>"152326196702226875"</f>
        <v>152326196702226875</v>
      </c>
      <c r="E179" s="102" t="s">
        <v>15</v>
      </c>
      <c r="F179" s="102">
        <v>2020</v>
      </c>
      <c r="G179" s="132" t="s">
        <v>16</v>
      </c>
      <c r="H179" s="128">
        <v>200</v>
      </c>
      <c r="I179" s="128">
        <v>200</v>
      </c>
      <c r="J179" s="109"/>
      <c r="K179" s="104"/>
      <c r="L179" s="105">
        <v>20201118</v>
      </c>
    </row>
    <row r="180" ht="15.3" customHeight="1" spans="1:12">
      <c r="A180" s="102">
        <v>178</v>
      </c>
      <c r="B180" s="102" t="s">
        <v>3375</v>
      </c>
      <c r="C180" s="6" t="s">
        <v>1247</v>
      </c>
      <c r="D180" s="109" t="str">
        <f>"152326196701226865"</f>
        <v>152326196701226865</v>
      </c>
      <c r="E180" s="102" t="s">
        <v>15</v>
      </c>
      <c r="F180" s="102">
        <v>2020</v>
      </c>
      <c r="G180" s="132" t="s">
        <v>16</v>
      </c>
      <c r="H180" s="128">
        <v>200</v>
      </c>
      <c r="I180" s="128">
        <v>200</v>
      </c>
      <c r="J180" s="109"/>
      <c r="K180" s="104"/>
      <c r="L180" s="105">
        <v>20201118</v>
      </c>
    </row>
    <row r="181" ht="15.3" customHeight="1" spans="1:12">
      <c r="A181" s="102">
        <v>179</v>
      </c>
      <c r="B181" s="102" t="s">
        <v>3375</v>
      </c>
      <c r="C181" s="6" t="s">
        <v>7217</v>
      </c>
      <c r="D181" s="109" t="s">
        <v>7218</v>
      </c>
      <c r="E181" s="102" t="s">
        <v>15</v>
      </c>
      <c r="F181" s="102">
        <v>2020</v>
      </c>
      <c r="G181" s="132" t="s">
        <v>16</v>
      </c>
      <c r="H181" s="128">
        <v>200</v>
      </c>
      <c r="I181" s="128">
        <v>200</v>
      </c>
      <c r="J181" s="109"/>
      <c r="K181" s="104"/>
      <c r="L181" s="105">
        <v>20201118</v>
      </c>
    </row>
    <row r="182" ht="15.3" customHeight="1" spans="1:12">
      <c r="A182" s="132">
        <v>180</v>
      </c>
      <c r="B182" s="102" t="s">
        <v>3375</v>
      </c>
      <c r="C182" s="6" t="s">
        <v>7219</v>
      </c>
      <c r="D182" s="109" t="str">
        <f>"152326196711166894"</f>
        <v>152326196711166894</v>
      </c>
      <c r="E182" s="102" t="s">
        <v>15</v>
      </c>
      <c r="F182" s="102">
        <v>2020</v>
      </c>
      <c r="G182" s="132" t="s">
        <v>16</v>
      </c>
      <c r="H182" s="128">
        <v>300</v>
      </c>
      <c r="I182" s="128">
        <v>300</v>
      </c>
      <c r="J182" s="109"/>
      <c r="K182" s="104"/>
      <c r="L182" s="105">
        <v>20201118</v>
      </c>
    </row>
    <row r="183" ht="15.3" customHeight="1" spans="1:12">
      <c r="A183" s="132">
        <v>181</v>
      </c>
      <c r="B183" s="102" t="s">
        <v>3375</v>
      </c>
      <c r="C183" s="6" t="s">
        <v>7220</v>
      </c>
      <c r="D183" s="109" t="str">
        <f>"152326196704296869"</f>
        <v>152326196704296869</v>
      </c>
      <c r="E183" s="102" t="s">
        <v>15</v>
      </c>
      <c r="F183" s="102">
        <v>2020</v>
      </c>
      <c r="G183" s="132" t="s">
        <v>16</v>
      </c>
      <c r="H183" s="128">
        <v>200</v>
      </c>
      <c r="I183" s="128">
        <v>200</v>
      </c>
      <c r="J183" s="109"/>
      <c r="K183" s="104"/>
      <c r="L183" s="105">
        <v>20201118</v>
      </c>
    </row>
    <row r="184" ht="15.3" customHeight="1" spans="1:12">
      <c r="A184" s="102">
        <v>182</v>
      </c>
      <c r="B184" s="102" t="s">
        <v>3375</v>
      </c>
      <c r="C184" s="6" t="s">
        <v>7221</v>
      </c>
      <c r="D184" s="109" t="str">
        <f>"152326196711026883"</f>
        <v>152326196711026883</v>
      </c>
      <c r="E184" s="102" t="s">
        <v>15</v>
      </c>
      <c r="F184" s="102">
        <v>2020</v>
      </c>
      <c r="G184" s="132" t="s">
        <v>16</v>
      </c>
      <c r="H184" s="128">
        <v>200</v>
      </c>
      <c r="I184" s="128">
        <v>200</v>
      </c>
      <c r="J184" s="109"/>
      <c r="K184" s="104"/>
      <c r="L184" s="105">
        <v>20201118</v>
      </c>
    </row>
    <row r="185" ht="15.3" customHeight="1" spans="1:12">
      <c r="A185" s="102">
        <v>183</v>
      </c>
      <c r="B185" s="102" t="s">
        <v>3375</v>
      </c>
      <c r="C185" s="6" t="s">
        <v>7222</v>
      </c>
      <c r="D185" s="109" t="str">
        <f>"152326196608066879"</f>
        <v>152326196608066879</v>
      </c>
      <c r="E185" s="102" t="s">
        <v>15</v>
      </c>
      <c r="F185" s="102">
        <v>2020</v>
      </c>
      <c r="G185" s="132" t="s">
        <v>16</v>
      </c>
      <c r="H185" s="128">
        <v>200</v>
      </c>
      <c r="I185" s="128">
        <v>200</v>
      </c>
      <c r="J185" s="109"/>
      <c r="K185" s="104"/>
      <c r="L185" s="105">
        <v>20201118</v>
      </c>
    </row>
    <row r="186" ht="15.3" customHeight="1" spans="1:12">
      <c r="A186" s="132">
        <v>184</v>
      </c>
      <c r="B186" s="102" t="s">
        <v>3375</v>
      </c>
      <c r="C186" s="6" t="s">
        <v>7223</v>
      </c>
      <c r="D186" s="109" t="str">
        <f>"152326196603026878"</f>
        <v>152326196603026878</v>
      </c>
      <c r="E186" s="102" t="s">
        <v>15</v>
      </c>
      <c r="F186" s="102">
        <v>2020</v>
      </c>
      <c r="G186" s="132" t="s">
        <v>16</v>
      </c>
      <c r="H186" s="128">
        <v>200</v>
      </c>
      <c r="I186" s="128">
        <v>200</v>
      </c>
      <c r="J186" s="109"/>
      <c r="K186" s="104"/>
      <c r="L186" s="105">
        <v>20201118</v>
      </c>
    </row>
    <row r="187" ht="15.3" customHeight="1" spans="1:12">
      <c r="A187" s="132">
        <v>185</v>
      </c>
      <c r="B187" s="102" t="s">
        <v>3375</v>
      </c>
      <c r="C187" s="6" t="s">
        <v>7224</v>
      </c>
      <c r="D187" s="109" t="str">
        <f>"152326196611266871"</f>
        <v>152326196611266871</v>
      </c>
      <c r="E187" s="102" t="s">
        <v>15</v>
      </c>
      <c r="F187" s="102">
        <v>2020</v>
      </c>
      <c r="G187" s="132" t="s">
        <v>16</v>
      </c>
      <c r="H187" s="128">
        <v>200</v>
      </c>
      <c r="I187" s="128">
        <v>200</v>
      </c>
      <c r="J187" s="109"/>
      <c r="K187" s="104"/>
      <c r="L187" s="105">
        <v>20201118</v>
      </c>
    </row>
    <row r="188" ht="15.3" customHeight="1" spans="1:12">
      <c r="A188" s="102">
        <v>186</v>
      </c>
      <c r="B188" s="102" t="s">
        <v>3375</v>
      </c>
      <c r="C188" s="6" t="s">
        <v>7225</v>
      </c>
      <c r="D188" s="109" t="str">
        <f>"152326196602256874"</f>
        <v>152326196602256874</v>
      </c>
      <c r="E188" s="102" t="s">
        <v>15</v>
      </c>
      <c r="F188" s="102">
        <v>2020</v>
      </c>
      <c r="G188" s="132" t="s">
        <v>16</v>
      </c>
      <c r="H188" s="128">
        <v>200</v>
      </c>
      <c r="I188" s="128">
        <v>200</v>
      </c>
      <c r="J188" s="109"/>
      <c r="K188" s="104"/>
      <c r="L188" s="105">
        <v>20201118</v>
      </c>
    </row>
    <row r="189" ht="15.3" customHeight="1" spans="1:12">
      <c r="A189" s="102">
        <v>187</v>
      </c>
      <c r="B189" s="102" t="s">
        <v>3375</v>
      </c>
      <c r="C189" s="6" t="s">
        <v>7226</v>
      </c>
      <c r="D189" s="109" t="str">
        <f>"152326196612176878"</f>
        <v>152326196612176878</v>
      </c>
      <c r="E189" s="102" t="s">
        <v>15</v>
      </c>
      <c r="F189" s="102">
        <v>2020</v>
      </c>
      <c r="G189" s="132" t="s">
        <v>16</v>
      </c>
      <c r="H189" s="128">
        <v>200</v>
      </c>
      <c r="I189" s="128">
        <v>200</v>
      </c>
      <c r="J189" s="109"/>
      <c r="K189" s="104"/>
      <c r="L189" s="105">
        <v>20201118</v>
      </c>
    </row>
    <row r="190" ht="15.3" customHeight="1" spans="1:12">
      <c r="A190" s="132">
        <v>188</v>
      </c>
      <c r="B190" s="102" t="s">
        <v>3375</v>
      </c>
      <c r="C190" s="6" t="s">
        <v>7227</v>
      </c>
      <c r="D190" s="109" t="s">
        <v>7228</v>
      </c>
      <c r="E190" s="102" t="s">
        <v>15</v>
      </c>
      <c r="F190" s="102">
        <v>2020</v>
      </c>
      <c r="G190" s="132" t="s">
        <v>16</v>
      </c>
      <c r="H190" s="128">
        <v>300</v>
      </c>
      <c r="I190" s="128">
        <v>300</v>
      </c>
      <c r="J190" s="109" t="s">
        <v>7229</v>
      </c>
      <c r="K190" s="104"/>
      <c r="L190" s="105">
        <v>20201118</v>
      </c>
    </row>
    <row r="191" ht="15.3" customHeight="1" spans="1:12">
      <c r="A191" s="132">
        <v>189</v>
      </c>
      <c r="B191" s="102" t="s">
        <v>3375</v>
      </c>
      <c r="C191" s="6" t="s">
        <v>7230</v>
      </c>
      <c r="D191" s="109" t="str">
        <f>"152326196607206868"</f>
        <v>152326196607206868</v>
      </c>
      <c r="E191" s="102" t="s">
        <v>15</v>
      </c>
      <c r="F191" s="102">
        <v>2020</v>
      </c>
      <c r="G191" s="132" t="s">
        <v>16</v>
      </c>
      <c r="H191" s="128">
        <v>200</v>
      </c>
      <c r="I191" s="128">
        <v>200</v>
      </c>
      <c r="J191" s="109"/>
      <c r="K191" s="104"/>
      <c r="L191" s="105">
        <v>20201118</v>
      </c>
    </row>
    <row r="192" ht="15.3" customHeight="1" spans="1:12">
      <c r="A192" s="102">
        <v>190</v>
      </c>
      <c r="B192" s="102" t="s">
        <v>3375</v>
      </c>
      <c r="C192" s="6" t="s">
        <v>7231</v>
      </c>
      <c r="D192" s="109" t="str">
        <f>"152326196607036969"</f>
        <v>152326196607036969</v>
      </c>
      <c r="E192" s="102" t="s">
        <v>15</v>
      </c>
      <c r="F192" s="102">
        <v>2020</v>
      </c>
      <c r="G192" s="132" t="s">
        <v>16</v>
      </c>
      <c r="H192" s="128">
        <v>200</v>
      </c>
      <c r="I192" s="128">
        <v>200</v>
      </c>
      <c r="J192" s="109"/>
      <c r="K192" s="104"/>
      <c r="L192" s="105">
        <v>20201118</v>
      </c>
    </row>
    <row r="193" ht="15.3" customHeight="1" spans="1:12">
      <c r="A193" s="102">
        <v>191</v>
      </c>
      <c r="B193" s="102" t="s">
        <v>3375</v>
      </c>
      <c r="C193" s="6" t="s">
        <v>7232</v>
      </c>
      <c r="D193" s="109" t="str">
        <f>"152326196601066876"</f>
        <v>152326196601066876</v>
      </c>
      <c r="E193" s="102" t="s">
        <v>15</v>
      </c>
      <c r="F193" s="102">
        <v>2020</v>
      </c>
      <c r="G193" s="132" t="s">
        <v>16</v>
      </c>
      <c r="H193" s="128">
        <v>200</v>
      </c>
      <c r="I193" s="128">
        <v>200</v>
      </c>
      <c r="J193" s="109"/>
      <c r="K193" s="104"/>
      <c r="L193" s="105">
        <v>20201118</v>
      </c>
    </row>
    <row r="194" ht="15.3" customHeight="1" spans="1:12">
      <c r="A194" s="132">
        <v>192</v>
      </c>
      <c r="B194" s="102" t="s">
        <v>3375</v>
      </c>
      <c r="C194" s="6" t="s">
        <v>7233</v>
      </c>
      <c r="D194" s="109" t="str">
        <f>"152326196503276896"</f>
        <v>152326196503276896</v>
      </c>
      <c r="E194" s="102" t="s">
        <v>15</v>
      </c>
      <c r="F194" s="102">
        <v>2020</v>
      </c>
      <c r="G194" s="132" t="s">
        <v>16</v>
      </c>
      <c r="H194" s="128">
        <v>200</v>
      </c>
      <c r="I194" s="128">
        <v>200</v>
      </c>
      <c r="J194" s="109"/>
      <c r="K194" s="104"/>
      <c r="L194" s="105">
        <v>20201118</v>
      </c>
    </row>
    <row r="195" ht="15.3" customHeight="1" spans="1:12">
      <c r="A195" s="132">
        <v>193</v>
      </c>
      <c r="B195" s="102" t="s">
        <v>3375</v>
      </c>
      <c r="C195" s="6" t="s">
        <v>7234</v>
      </c>
      <c r="D195" s="109" t="str">
        <f>"152326196504266868"</f>
        <v>152326196504266868</v>
      </c>
      <c r="E195" s="102" t="s">
        <v>15</v>
      </c>
      <c r="F195" s="102">
        <v>2020</v>
      </c>
      <c r="G195" s="132" t="s">
        <v>16</v>
      </c>
      <c r="H195" s="128">
        <v>200</v>
      </c>
      <c r="I195" s="128">
        <v>200</v>
      </c>
      <c r="J195" s="109"/>
      <c r="K195" s="104"/>
      <c r="L195" s="105">
        <v>20201118</v>
      </c>
    </row>
    <row r="196" ht="15.3" customHeight="1" spans="1:12">
      <c r="A196" s="102">
        <v>194</v>
      </c>
      <c r="B196" s="102" t="s">
        <v>3375</v>
      </c>
      <c r="C196" s="6" t="s">
        <v>7235</v>
      </c>
      <c r="D196" s="109" t="str">
        <f>"152326196511256879"</f>
        <v>152326196511256879</v>
      </c>
      <c r="E196" s="102" t="s">
        <v>15</v>
      </c>
      <c r="F196" s="102">
        <v>2020</v>
      </c>
      <c r="G196" s="132" t="s">
        <v>16</v>
      </c>
      <c r="H196" s="128">
        <v>200</v>
      </c>
      <c r="I196" s="128">
        <v>200</v>
      </c>
      <c r="J196" s="109"/>
      <c r="K196" s="104"/>
      <c r="L196" s="105">
        <v>20201118</v>
      </c>
    </row>
    <row r="197" ht="15.3" customHeight="1" spans="1:12">
      <c r="A197" s="102">
        <v>195</v>
      </c>
      <c r="B197" s="102" t="s">
        <v>3375</v>
      </c>
      <c r="C197" s="6" t="s">
        <v>7236</v>
      </c>
      <c r="D197" s="109" t="str">
        <f>"152326196511016875"</f>
        <v>152326196511016875</v>
      </c>
      <c r="E197" s="102" t="s">
        <v>15</v>
      </c>
      <c r="F197" s="102">
        <v>2020</v>
      </c>
      <c r="G197" s="132" t="s">
        <v>16</v>
      </c>
      <c r="H197" s="128">
        <v>200</v>
      </c>
      <c r="I197" s="128">
        <v>200</v>
      </c>
      <c r="J197" s="109"/>
      <c r="K197" s="104"/>
      <c r="L197" s="105">
        <v>20201118</v>
      </c>
    </row>
    <row r="198" ht="15.3" customHeight="1" spans="1:12">
      <c r="A198" s="132">
        <v>196</v>
      </c>
      <c r="B198" s="102" t="s">
        <v>3375</v>
      </c>
      <c r="C198" s="6" t="s">
        <v>7237</v>
      </c>
      <c r="D198" s="109" t="str">
        <f>"152326196506256874"</f>
        <v>152326196506256874</v>
      </c>
      <c r="E198" s="102" t="s">
        <v>15</v>
      </c>
      <c r="F198" s="102">
        <v>2020</v>
      </c>
      <c r="G198" s="132" t="s">
        <v>16</v>
      </c>
      <c r="H198" s="128">
        <v>200</v>
      </c>
      <c r="I198" s="128">
        <v>200</v>
      </c>
      <c r="J198" s="109"/>
      <c r="K198" s="104"/>
      <c r="L198" s="105">
        <v>20201118</v>
      </c>
    </row>
    <row r="199" ht="15.3" customHeight="1" spans="1:12">
      <c r="A199" s="132">
        <v>197</v>
      </c>
      <c r="B199" s="102" t="s">
        <v>3375</v>
      </c>
      <c r="C199" s="6" t="s">
        <v>7238</v>
      </c>
      <c r="D199" s="109" t="str">
        <f>"152326196504106872"</f>
        <v>152326196504106872</v>
      </c>
      <c r="E199" s="102" t="s">
        <v>15</v>
      </c>
      <c r="F199" s="102">
        <v>2020</v>
      </c>
      <c r="G199" s="132" t="s">
        <v>16</v>
      </c>
      <c r="H199" s="128">
        <v>200</v>
      </c>
      <c r="I199" s="128">
        <v>200</v>
      </c>
      <c r="J199" s="109"/>
      <c r="K199" s="104"/>
      <c r="L199" s="105">
        <v>20201118</v>
      </c>
    </row>
    <row r="200" ht="15.3" customHeight="1" spans="1:12">
      <c r="A200" s="102">
        <v>198</v>
      </c>
      <c r="B200" s="102" t="s">
        <v>3375</v>
      </c>
      <c r="C200" s="6" t="s">
        <v>7239</v>
      </c>
      <c r="D200" s="109" t="s">
        <v>7240</v>
      </c>
      <c r="E200" s="102" t="s">
        <v>15</v>
      </c>
      <c r="F200" s="102">
        <v>2020</v>
      </c>
      <c r="G200" s="132" t="s">
        <v>16</v>
      </c>
      <c r="H200" s="128">
        <v>200</v>
      </c>
      <c r="I200" s="128">
        <v>200</v>
      </c>
      <c r="J200" s="109" t="s">
        <v>1242</v>
      </c>
      <c r="K200" s="104"/>
      <c r="L200" s="105">
        <v>20201118</v>
      </c>
    </row>
    <row r="201" ht="15.3" customHeight="1" spans="1:12">
      <c r="A201" s="102">
        <v>199</v>
      </c>
      <c r="B201" s="102" t="s">
        <v>3375</v>
      </c>
      <c r="C201" s="6" t="s">
        <v>5066</v>
      </c>
      <c r="D201" s="109" t="s">
        <v>7241</v>
      </c>
      <c r="E201" s="102" t="s">
        <v>15</v>
      </c>
      <c r="F201" s="102">
        <v>2020</v>
      </c>
      <c r="G201" s="132" t="s">
        <v>16</v>
      </c>
      <c r="H201" s="128">
        <v>200</v>
      </c>
      <c r="I201" s="128">
        <v>200</v>
      </c>
      <c r="J201" s="109"/>
      <c r="K201" s="104"/>
      <c r="L201" s="105">
        <v>20201118</v>
      </c>
    </row>
    <row r="202" ht="15.3" customHeight="1" spans="1:12">
      <c r="A202" s="132">
        <v>200</v>
      </c>
      <c r="B202" s="102" t="s">
        <v>3375</v>
      </c>
      <c r="C202" s="6" t="s">
        <v>7242</v>
      </c>
      <c r="D202" s="109" t="str">
        <f>"152326196508236877"</f>
        <v>152326196508236877</v>
      </c>
      <c r="E202" s="102" t="s">
        <v>15</v>
      </c>
      <c r="F202" s="102">
        <v>2020</v>
      </c>
      <c r="G202" s="132" t="s">
        <v>16</v>
      </c>
      <c r="H202" s="128">
        <v>200</v>
      </c>
      <c r="I202" s="128">
        <v>200</v>
      </c>
      <c r="J202" s="109"/>
      <c r="K202" s="104"/>
      <c r="L202" s="105">
        <v>20201118</v>
      </c>
    </row>
    <row r="203" ht="15.3" customHeight="1" spans="1:12">
      <c r="A203" s="132">
        <v>201</v>
      </c>
      <c r="B203" s="102" t="s">
        <v>3375</v>
      </c>
      <c r="C203" s="6" t="s">
        <v>7243</v>
      </c>
      <c r="D203" s="109" t="str">
        <f>"152326196501094087"</f>
        <v>152326196501094087</v>
      </c>
      <c r="E203" s="102" t="s">
        <v>15</v>
      </c>
      <c r="F203" s="102">
        <v>2020</v>
      </c>
      <c r="G203" s="132" t="s">
        <v>16</v>
      </c>
      <c r="H203" s="128">
        <v>300</v>
      </c>
      <c r="I203" s="128">
        <v>300</v>
      </c>
      <c r="J203" s="109"/>
      <c r="K203" s="104"/>
      <c r="L203" s="105">
        <v>20201118</v>
      </c>
    </row>
    <row r="204" ht="15.3" customHeight="1" spans="1:12">
      <c r="A204" s="102">
        <v>202</v>
      </c>
      <c r="B204" s="102" t="s">
        <v>3375</v>
      </c>
      <c r="C204" s="6" t="s">
        <v>7244</v>
      </c>
      <c r="D204" s="109" t="str">
        <f>"152326196501176867"</f>
        <v>152326196501176867</v>
      </c>
      <c r="E204" s="102" t="s">
        <v>15</v>
      </c>
      <c r="F204" s="102">
        <v>2020</v>
      </c>
      <c r="G204" s="132" t="s">
        <v>16</v>
      </c>
      <c r="H204" s="128">
        <v>200</v>
      </c>
      <c r="I204" s="128">
        <v>200</v>
      </c>
      <c r="J204" s="109"/>
      <c r="K204" s="104"/>
      <c r="L204" s="105">
        <v>20201118</v>
      </c>
    </row>
    <row r="205" ht="15.3" customHeight="1" spans="1:12">
      <c r="A205" s="102">
        <v>203</v>
      </c>
      <c r="B205" s="102" t="s">
        <v>3375</v>
      </c>
      <c r="C205" s="6" t="s">
        <v>7245</v>
      </c>
      <c r="D205" s="109" t="str">
        <f>"152326196411126874"</f>
        <v>152326196411126874</v>
      </c>
      <c r="E205" s="102" t="s">
        <v>15</v>
      </c>
      <c r="F205" s="102">
        <v>2020</v>
      </c>
      <c r="G205" s="132" t="s">
        <v>16</v>
      </c>
      <c r="H205" s="128">
        <v>200</v>
      </c>
      <c r="I205" s="128">
        <v>200</v>
      </c>
      <c r="J205" s="109"/>
      <c r="K205" s="104"/>
      <c r="L205" s="105">
        <v>20201118</v>
      </c>
    </row>
    <row r="206" ht="15.3" customHeight="1" spans="1:12">
      <c r="A206" s="132">
        <v>204</v>
      </c>
      <c r="B206" s="102" t="s">
        <v>3375</v>
      </c>
      <c r="C206" s="6" t="s">
        <v>7246</v>
      </c>
      <c r="D206" s="109" t="s">
        <v>7247</v>
      </c>
      <c r="E206" s="102" t="s">
        <v>15</v>
      </c>
      <c r="F206" s="102">
        <v>2020</v>
      </c>
      <c r="G206" s="132" t="s">
        <v>16</v>
      </c>
      <c r="H206" s="128">
        <v>200</v>
      </c>
      <c r="I206" s="128">
        <v>200</v>
      </c>
      <c r="J206" s="109"/>
      <c r="K206" s="104"/>
      <c r="L206" s="105">
        <v>20201118</v>
      </c>
    </row>
    <row r="207" ht="15.3" customHeight="1" spans="1:12">
      <c r="A207" s="132">
        <v>205</v>
      </c>
      <c r="B207" s="102" t="s">
        <v>3375</v>
      </c>
      <c r="C207" s="6" t="s">
        <v>7248</v>
      </c>
      <c r="D207" s="109" t="str">
        <f>"152326196412226869"</f>
        <v>152326196412226869</v>
      </c>
      <c r="E207" s="102" t="s">
        <v>15</v>
      </c>
      <c r="F207" s="102">
        <v>2020</v>
      </c>
      <c r="G207" s="132" t="s">
        <v>16</v>
      </c>
      <c r="H207" s="128">
        <v>200</v>
      </c>
      <c r="I207" s="128">
        <v>200</v>
      </c>
      <c r="J207" s="109"/>
      <c r="K207" s="104"/>
      <c r="L207" s="105">
        <v>20201118</v>
      </c>
    </row>
    <row r="208" ht="15.3" customHeight="1" spans="1:12">
      <c r="A208" s="102">
        <v>206</v>
      </c>
      <c r="B208" s="102" t="s">
        <v>3375</v>
      </c>
      <c r="C208" s="6" t="s">
        <v>7249</v>
      </c>
      <c r="D208" s="109" t="str">
        <f>"152326196407246873"</f>
        <v>152326196407246873</v>
      </c>
      <c r="E208" s="102" t="s">
        <v>15</v>
      </c>
      <c r="F208" s="102">
        <v>2020</v>
      </c>
      <c r="G208" s="132" t="s">
        <v>16</v>
      </c>
      <c r="H208" s="128">
        <v>200</v>
      </c>
      <c r="I208" s="128">
        <v>200</v>
      </c>
      <c r="J208" s="109"/>
      <c r="K208" s="104"/>
      <c r="L208" s="105">
        <v>20201118</v>
      </c>
    </row>
    <row r="209" ht="15.3" customHeight="1" spans="1:12">
      <c r="A209" s="102">
        <v>207</v>
      </c>
      <c r="B209" s="102" t="s">
        <v>3375</v>
      </c>
      <c r="C209" s="6" t="s">
        <v>7250</v>
      </c>
      <c r="D209" s="109" t="str">
        <f>"152326196408236861"</f>
        <v>152326196408236861</v>
      </c>
      <c r="E209" s="102" t="s">
        <v>15</v>
      </c>
      <c r="F209" s="102">
        <v>2020</v>
      </c>
      <c r="G209" s="132" t="s">
        <v>16</v>
      </c>
      <c r="H209" s="128">
        <v>200</v>
      </c>
      <c r="I209" s="128">
        <v>200</v>
      </c>
      <c r="J209" s="109"/>
      <c r="K209" s="104"/>
      <c r="L209" s="105">
        <v>20201118</v>
      </c>
    </row>
    <row r="210" ht="15.3" customHeight="1" spans="1:12">
      <c r="A210" s="132">
        <v>208</v>
      </c>
      <c r="B210" s="102" t="s">
        <v>3375</v>
      </c>
      <c r="C210" s="6" t="s">
        <v>7251</v>
      </c>
      <c r="D210" s="109" t="s">
        <v>7252</v>
      </c>
      <c r="E210" s="102" t="s">
        <v>15</v>
      </c>
      <c r="F210" s="102">
        <v>2020</v>
      </c>
      <c r="G210" s="132" t="s">
        <v>16</v>
      </c>
      <c r="H210" s="128">
        <v>200</v>
      </c>
      <c r="I210" s="128">
        <v>200</v>
      </c>
      <c r="J210" s="109"/>
      <c r="K210" s="104"/>
      <c r="L210" s="105">
        <v>20201118</v>
      </c>
    </row>
    <row r="211" ht="15.3" customHeight="1" spans="1:12">
      <c r="A211" s="132">
        <v>209</v>
      </c>
      <c r="B211" s="102" t="s">
        <v>3375</v>
      </c>
      <c r="C211" s="6" t="s">
        <v>7253</v>
      </c>
      <c r="D211" s="109" t="str">
        <f>"152326196411046866"</f>
        <v>152326196411046866</v>
      </c>
      <c r="E211" s="102" t="s">
        <v>15</v>
      </c>
      <c r="F211" s="102">
        <v>2020</v>
      </c>
      <c r="G211" s="132" t="s">
        <v>16</v>
      </c>
      <c r="H211" s="128">
        <v>200</v>
      </c>
      <c r="I211" s="128">
        <v>200</v>
      </c>
      <c r="J211" s="109"/>
      <c r="K211" s="104"/>
      <c r="L211" s="105">
        <v>20201118</v>
      </c>
    </row>
    <row r="212" ht="15.3" customHeight="1" spans="1:12">
      <c r="A212" s="102">
        <v>210</v>
      </c>
      <c r="B212" s="102" t="s">
        <v>3375</v>
      </c>
      <c r="C212" s="6" t="s">
        <v>7254</v>
      </c>
      <c r="D212" s="109" t="str">
        <f>"152326196401256878"</f>
        <v>152326196401256878</v>
      </c>
      <c r="E212" s="102" t="s">
        <v>15</v>
      </c>
      <c r="F212" s="102">
        <v>2020</v>
      </c>
      <c r="G212" s="132" t="s">
        <v>16</v>
      </c>
      <c r="H212" s="128">
        <v>200</v>
      </c>
      <c r="I212" s="128">
        <v>200</v>
      </c>
      <c r="J212" s="109"/>
      <c r="K212" s="104"/>
      <c r="L212" s="105">
        <v>20201118</v>
      </c>
    </row>
    <row r="213" ht="15.3" customHeight="1" spans="1:12">
      <c r="A213" s="102">
        <v>211</v>
      </c>
      <c r="B213" s="102" t="s">
        <v>3375</v>
      </c>
      <c r="C213" s="6" t="s">
        <v>7255</v>
      </c>
      <c r="D213" s="109" t="s">
        <v>7256</v>
      </c>
      <c r="E213" s="102" t="s">
        <v>15</v>
      </c>
      <c r="F213" s="102">
        <v>2020</v>
      </c>
      <c r="G213" s="132" t="s">
        <v>16</v>
      </c>
      <c r="H213" s="128">
        <v>200</v>
      </c>
      <c r="I213" s="128">
        <v>200</v>
      </c>
      <c r="J213" s="109"/>
      <c r="K213" s="104"/>
      <c r="L213" s="105">
        <v>20201118</v>
      </c>
    </row>
    <row r="214" ht="15.3" customHeight="1" spans="1:12">
      <c r="A214" s="132">
        <v>212</v>
      </c>
      <c r="B214" s="102" t="s">
        <v>3375</v>
      </c>
      <c r="C214" s="6" t="s">
        <v>7257</v>
      </c>
      <c r="D214" s="109" t="str">
        <f>"152326196408066874"</f>
        <v>152326196408066874</v>
      </c>
      <c r="E214" s="102" t="s">
        <v>15</v>
      </c>
      <c r="F214" s="102">
        <v>2020</v>
      </c>
      <c r="G214" s="132" t="s">
        <v>16</v>
      </c>
      <c r="H214" s="128">
        <v>200</v>
      </c>
      <c r="I214" s="128">
        <v>200</v>
      </c>
      <c r="J214" s="109"/>
      <c r="K214" s="104"/>
      <c r="L214" s="105">
        <v>20201118</v>
      </c>
    </row>
    <row r="215" ht="15.3" customHeight="1" spans="1:12">
      <c r="A215" s="132">
        <v>213</v>
      </c>
      <c r="B215" s="102" t="s">
        <v>3375</v>
      </c>
      <c r="C215" s="6" t="s">
        <v>7258</v>
      </c>
      <c r="D215" s="109" t="str">
        <f>"152326196408136895"</f>
        <v>152326196408136895</v>
      </c>
      <c r="E215" s="102" t="s">
        <v>15</v>
      </c>
      <c r="F215" s="102">
        <v>2020</v>
      </c>
      <c r="G215" s="132" t="s">
        <v>16</v>
      </c>
      <c r="H215" s="128">
        <v>200</v>
      </c>
      <c r="I215" s="128">
        <v>200</v>
      </c>
      <c r="J215" s="109"/>
      <c r="K215" s="104"/>
      <c r="L215" s="105">
        <v>20201118</v>
      </c>
    </row>
    <row r="216" ht="15.3" customHeight="1" spans="1:12">
      <c r="A216" s="102">
        <v>214</v>
      </c>
      <c r="B216" s="102" t="s">
        <v>3375</v>
      </c>
      <c r="C216" s="6" t="s">
        <v>7259</v>
      </c>
      <c r="D216" s="109" t="str">
        <f>"152326196411276864"</f>
        <v>152326196411276864</v>
      </c>
      <c r="E216" s="102" t="s">
        <v>15</v>
      </c>
      <c r="F216" s="102">
        <v>2020</v>
      </c>
      <c r="G216" s="132" t="s">
        <v>16</v>
      </c>
      <c r="H216" s="128">
        <v>200</v>
      </c>
      <c r="I216" s="128">
        <v>200</v>
      </c>
      <c r="J216" s="109"/>
      <c r="K216" s="104"/>
      <c r="L216" s="105">
        <v>20201118</v>
      </c>
    </row>
    <row r="217" ht="15.3" customHeight="1" spans="1:12">
      <c r="A217" s="102">
        <v>215</v>
      </c>
      <c r="B217" s="102" t="s">
        <v>3375</v>
      </c>
      <c r="C217" s="6" t="s">
        <v>7260</v>
      </c>
      <c r="D217" s="109" t="str">
        <f>"152326196402046899"</f>
        <v>152326196402046899</v>
      </c>
      <c r="E217" s="102" t="s">
        <v>15</v>
      </c>
      <c r="F217" s="102">
        <v>2020</v>
      </c>
      <c r="G217" s="132" t="s">
        <v>16</v>
      </c>
      <c r="H217" s="128">
        <v>200</v>
      </c>
      <c r="I217" s="128">
        <v>200</v>
      </c>
      <c r="J217" s="109"/>
      <c r="K217" s="104"/>
      <c r="L217" s="105">
        <v>20201118</v>
      </c>
    </row>
    <row r="218" ht="15.3" customHeight="1" spans="1:12">
      <c r="A218" s="132">
        <v>216</v>
      </c>
      <c r="B218" s="102" t="s">
        <v>3375</v>
      </c>
      <c r="C218" s="6" t="s">
        <v>7261</v>
      </c>
      <c r="D218" s="109" t="str">
        <f>"152326196404026867"</f>
        <v>152326196404026867</v>
      </c>
      <c r="E218" s="102" t="s">
        <v>15</v>
      </c>
      <c r="F218" s="102">
        <v>2020</v>
      </c>
      <c r="G218" s="132" t="s">
        <v>16</v>
      </c>
      <c r="H218" s="128">
        <v>200</v>
      </c>
      <c r="I218" s="128">
        <v>200</v>
      </c>
      <c r="J218" s="109"/>
      <c r="K218" s="104"/>
      <c r="L218" s="105">
        <v>20201118</v>
      </c>
    </row>
    <row r="219" ht="15.3" customHeight="1" spans="1:12">
      <c r="A219" s="132">
        <v>217</v>
      </c>
      <c r="B219" s="102" t="s">
        <v>3375</v>
      </c>
      <c r="C219" s="6" t="s">
        <v>7262</v>
      </c>
      <c r="D219" s="109" t="s">
        <v>7263</v>
      </c>
      <c r="E219" s="102" t="s">
        <v>15</v>
      </c>
      <c r="F219" s="102">
        <v>2020</v>
      </c>
      <c r="G219" s="132" t="s">
        <v>16</v>
      </c>
      <c r="H219" s="128">
        <v>200</v>
      </c>
      <c r="I219" s="128">
        <v>200</v>
      </c>
      <c r="J219" s="109" t="s">
        <v>1242</v>
      </c>
      <c r="K219" s="104"/>
      <c r="L219" s="105">
        <v>20201118</v>
      </c>
    </row>
    <row r="220" ht="15.3" customHeight="1" spans="1:12">
      <c r="A220" s="102">
        <v>218</v>
      </c>
      <c r="B220" s="102" t="s">
        <v>3375</v>
      </c>
      <c r="C220" s="6" t="s">
        <v>7264</v>
      </c>
      <c r="D220" s="109" t="str">
        <f>"152326196404016888"</f>
        <v>152326196404016888</v>
      </c>
      <c r="E220" s="102" t="s">
        <v>15</v>
      </c>
      <c r="F220" s="102">
        <v>2020</v>
      </c>
      <c r="G220" s="132" t="s">
        <v>16</v>
      </c>
      <c r="H220" s="128">
        <v>200</v>
      </c>
      <c r="I220" s="128">
        <v>200</v>
      </c>
      <c r="J220" s="109"/>
      <c r="K220" s="104"/>
      <c r="L220" s="105">
        <v>20201118</v>
      </c>
    </row>
    <row r="221" ht="15.3" customHeight="1" spans="1:12">
      <c r="A221" s="102">
        <v>219</v>
      </c>
      <c r="B221" s="102" t="s">
        <v>3375</v>
      </c>
      <c r="C221" s="6" t="s">
        <v>7265</v>
      </c>
      <c r="D221" s="109" t="str">
        <f>"152326196408086875"</f>
        <v>152326196408086875</v>
      </c>
      <c r="E221" s="102" t="s">
        <v>15</v>
      </c>
      <c r="F221" s="102">
        <v>2020</v>
      </c>
      <c r="G221" s="132" t="s">
        <v>16</v>
      </c>
      <c r="H221" s="128">
        <v>200</v>
      </c>
      <c r="I221" s="128">
        <v>200</v>
      </c>
      <c r="J221" s="109"/>
      <c r="K221" s="104"/>
      <c r="L221" s="105">
        <v>20201118</v>
      </c>
    </row>
    <row r="222" ht="15.3" customHeight="1" spans="1:12">
      <c r="A222" s="132">
        <v>220</v>
      </c>
      <c r="B222" s="102" t="s">
        <v>3375</v>
      </c>
      <c r="C222" s="6" t="s">
        <v>7266</v>
      </c>
      <c r="D222" s="109" t="str">
        <f>"152326196308186879"</f>
        <v>152326196308186879</v>
      </c>
      <c r="E222" s="102" t="s">
        <v>15</v>
      </c>
      <c r="F222" s="102">
        <v>2020</v>
      </c>
      <c r="G222" s="132" t="s">
        <v>16</v>
      </c>
      <c r="H222" s="128">
        <v>200</v>
      </c>
      <c r="I222" s="128">
        <v>200</v>
      </c>
      <c r="J222" s="109"/>
      <c r="K222" s="104"/>
      <c r="L222" s="105">
        <v>20201118</v>
      </c>
    </row>
    <row r="223" ht="15.3" customHeight="1" spans="1:12">
      <c r="A223" s="132">
        <v>221</v>
      </c>
      <c r="B223" s="102" t="s">
        <v>3375</v>
      </c>
      <c r="C223" s="6" t="s">
        <v>3054</v>
      </c>
      <c r="D223" s="109" t="str">
        <f>"152326196311186861"</f>
        <v>152326196311186861</v>
      </c>
      <c r="E223" s="102" t="s">
        <v>15</v>
      </c>
      <c r="F223" s="102">
        <v>2020</v>
      </c>
      <c r="G223" s="132" t="s">
        <v>16</v>
      </c>
      <c r="H223" s="128">
        <v>200</v>
      </c>
      <c r="I223" s="128">
        <v>200</v>
      </c>
      <c r="J223" s="109"/>
      <c r="K223" s="104"/>
      <c r="L223" s="105">
        <v>20201118</v>
      </c>
    </row>
    <row r="224" ht="15.3" customHeight="1" spans="1:12">
      <c r="A224" s="102">
        <v>222</v>
      </c>
      <c r="B224" s="102" t="s">
        <v>3375</v>
      </c>
      <c r="C224" s="6" t="s">
        <v>7267</v>
      </c>
      <c r="D224" s="109" t="str">
        <f>"152326196304206879"</f>
        <v>152326196304206879</v>
      </c>
      <c r="E224" s="102" t="s">
        <v>15</v>
      </c>
      <c r="F224" s="102">
        <v>2020</v>
      </c>
      <c r="G224" s="132" t="s">
        <v>16</v>
      </c>
      <c r="H224" s="128">
        <v>200</v>
      </c>
      <c r="I224" s="128">
        <v>200</v>
      </c>
      <c r="J224" s="109"/>
      <c r="K224" s="104"/>
      <c r="L224" s="105">
        <v>20201118</v>
      </c>
    </row>
    <row r="225" ht="15.3" customHeight="1" spans="1:12">
      <c r="A225" s="102">
        <v>223</v>
      </c>
      <c r="B225" s="102" t="s">
        <v>3375</v>
      </c>
      <c r="C225" s="6" t="s">
        <v>7268</v>
      </c>
      <c r="D225" s="109" t="str">
        <f>"152326196302066868"</f>
        <v>152326196302066868</v>
      </c>
      <c r="E225" s="102" t="s">
        <v>15</v>
      </c>
      <c r="F225" s="102">
        <v>2020</v>
      </c>
      <c r="G225" s="132" t="s">
        <v>16</v>
      </c>
      <c r="H225" s="128">
        <v>200</v>
      </c>
      <c r="I225" s="128">
        <v>200</v>
      </c>
      <c r="J225" s="109"/>
      <c r="K225" s="104"/>
      <c r="L225" s="105">
        <v>20201118</v>
      </c>
    </row>
    <row r="226" ht="15.3" customHeight="1" spans="1:12">
      <c r="A226" s="132">
        <v>224</v>
      </c>
      <c r="B226" s="102" t="s">
        <v>3375</v>
      </c>
      <c r="C226" s="6" t="s">
        <v>7269</v>
      </c>
      <c r="D226" s="109" t="str">
        <f>"152326196309086861"</f>
        <v>152326196309086861</v>
      </c>
      <c r="E226" s="102" t="s">
        <v>15</v>
      </c>
      <c r="F226" s="102">
        <v>2020</v>
      </c>
      <c r="G226" s="132" t="s">
        <v>16</v>
      </c>
      <c r="H226" s="128">
        <v>200</v>
      </c>
      <c r="I226" s="128">
        <v>200</v>
      </c>
      <c r="J226" s="109"/>
      <c r="K226" s="104"/>
      <c r="L226" s="105">
        <v>20201118</v>
      </c>
    </row>
    <row r="227" ht="15.3" customHeight="1" spans="1:12">
      <c r="A227" s="132">
        <v>225</v>
      </c>
      <c r="B227" s="102" t="s">
        <v>3375</v>
      </c>
      <c r="C227" s="6" t="s">
        <v>3808</v>
      </c>
      <c r="D227" s="109" t="str">
        <f>"152326196303206906"</f>
        <v>152326196303206906</v>
      </c>
      <c r="E227" s="102" t="s">
        <v>15</v>
      </c>
      <c r="F227" s="102">
        <v>2020</v>
      </c>
      <c r="G227" s="132" t="s">
        <v>16</v>
      </c>
      <c r="H227" s="128">
        <v>200</v>
      </c>
      <c r="I227" s="128">
        <v>200</v>
      </c>
      <c r="J227" s="109"/>
      <c r="K227" s="104"/>
      <c r="L227" s="105">
        <v>20201118</v>
      </c>
    </row>
    <row r="228" ht="15.3" customHeight="1" spans="1:12">
      <c r="A228" s="102">
        <v>226</v>
      </c>
      <c r="B228" s="102" t="s">
        <v>3375</v>
      </c>
      <c r="C228" s="6" t="s">
        <v>7270</v>
      </c>
      <c r="D228" s="109" t="str">
        <f>"152326196303096890"</f>
        <v>152326196303096890</v>
      </c>
      <c r="E228" s="102" t="s">
        <v>15</v>
      </c>
      <c r="F228" s="102">
        <v>2020</v>
      </c>
      <c r="G228" s="132" t="s">
        <v>16</v>
      </c>
      <c r="H228" s="128">
        <v>200</v>
      </c>
      <c r="I228" s="128">
        <v>200</v>
      </c>
      <c r="J228" s="109"/>
      <c r="K228" s="104"/>
      <c r="L228" s="105">
        <v>20201118</v>
      </c>
    </row>
    <row r="229" ht="15.3" customHeight="1" spans="1:12">
      <c r="A229" s="102">
        <v>227</v>
      </c>
      <c r="B229" s="102" t="s">
        <v>3375</v>
      </c>
      <c r="C229" s="6" t="s">
        <v>7271</v>
      </c>
      <c r="D229" s="109" t="str">
        <f>"152326196310106866"</f>
        <v>152326196310106866</v>
      </c>
      <c r="E229" s="102" t="s">
        <v>15</v>
      </c>
      <c r="F229" s="102">
        <v>2020</v>
      </c>
      <c r="G229" s="132" t="s">
        <v>16</v>
      </c>
      <c r="H229" s="128">
        <v>200</v>
      </c>
      <c r="I229" s="128">
        <v>200</v>
      </c>
      <c r="J229" s="109"/>
      <c r="K229" s="104"/>
      <c r="L229" s="105">
        <v>20201118</v>
      </c>
    </row>
    <row r="230" ht="15.3" customHeight="1" spans="1:12">
      <c r="A230" s="132">
        <v>228</v>
      </c>
      <c r="B230" s="102" t="s">
        <v>3375</v>
      </c>
      <c r="C230" s="6" t="s">
        <v>7272</v>
      </c>
      <c r="D230" s="109" t="s">
        <v>7273</v>
      </c>
      <c r="E230" s="102" t="s">
        <v>15</v>
      </c>
      <c r="F230" s="102">
        <v>2020</v>
      </c>
      <c r="G230" s="132" t="s">
        <v>16</v>
      </c>
      <c r="H230" s="128">
        <v>200</v>
      </c>
      <c r="I230" s="128">
        <v>200</v>
      </c>
      <c r="J230" s="109" t="s">
        <v>4064</v>
      </c>
      <c r="K230" s="104"/>
      <c r="L230" s="105">
        <v>20201118</v>
      </c>
    </row>
    <row r="231" ht="15.3" customHeight="1" spans="1:12">
      <c r="A231" s="132">
        <v>229</v>
      </c>
      <c r="B231" s="102" t="s">
        <v>3375</v>
      </c>
      <c r="C231" s="6" t="s">
        <v>7274</v>
      </c>
      <c r="D231" s="109" t="s">
        <v>7275</v>
      </c>
      <c r="E231" s="102" t="s">
        <v>15</v>
      </c>
      <c r="F231" s="102">
        <v>2020</v>
      </c>
      <c r="G231" s="132" t="s">
        <v>16</v>
      </c>
      <c r="H231" s="128">
        <v>200</v>
      </c>
      <c r="I231" s="128">
        <v>200</v>
      </c>
      <c r="J231" s="109" t="s">
        <v>4064</v>
      </c>
      <c r="K231" s="104"/>
      <c r="L231" s="105">
        <v>20201118</v>
      </c>
    </row>
    <row r="232" ht="15.3" customHeight="1" spans="1:12">
      <c r="A232" s="102">
        <v>230</v>
      </c>
      <c r="B232" s="102" t="s">
        <v>3375</v>
      </c>
      <c r="C232" s="6" t="s">
        <v>7276</v>
      </c>
      <c r="D232" s="109" t="str">
        <f>"152326196310236871"</f>
        <v>152326196310236871</v>
      </c>
      <c r="E232" s="102" t="s">
        <v>15</v>
      </c>
      <c r="F232" s="102">
        <v>2020</v>
      </c>
      <c r="G232" s="132" t="s">
        <v>16</v>
      </c>
      <c r="H232" s="128">
        <v>200</v>
      </c>
      <c r="I232" s="128">
        <v>200</v>
      </c>
      <c r="J232" s="109"/>
      <c r="K232" s="104"/>
      <c r="L232" s="105">
        <v>20201118</v>
      </c>
    </row>
    <row r="233" ht="15.3" customHeight="1" spans="1:12">
      <c r="A233" s="102">
        <v>231</v>
      </c>
      <c r="B233" s="102" t="s">
        <v>3375</v>
      </c>
      <c r="C233" s="6" t="s">
        <v>5730</v>
      </c>
      <c r="D233" s="109" t="s">
        <v>7277</v>
      </c>
      <c r="E233" s="102" t="s">
        <v>15</v>
      </c>
      <c r="F233" s="102">
        <v>2020</v>
      </c>
      <c r="G233" s="132" t="s">
        <v>16</v>
      </c>
      <c r="H233" s="128">
        <v>200</v>
      </c>
      <c r="I233" s="128">
        <v>200</v>
      </c>
      <c r="J233" s="109" t="s">
        <v>3647</v>
      </c>
      <c r="K233" s="104"/>
      <c r="L233" s="105">
        <v>20201118</v>
      </c>
    </row>
    <row r="234" ht="15.3" customHeight="1" spans="1:12">
      <c r="A234" s="132">
        <v>232</v>
      </c>
      <c r="B234" s="102" t="s">
        <v>3375</v>
      </c>
      <c r="C234" s="6" t="s">
        <v>7278</v>
      </c>
      <c r="D234" s="109" t="str">
        <f>"152326196302156871"</f>
        <v>152326196302156871</v>
      </c>
      <c r="E234" s="102" t="s">
        <v>15</v>
      </c>
      <c r="F234" s="102">
        <v>2020</v>
      </c>
      <c r="G234" s="132" t="s">
        <v>16</v>
      </c>
      <c r="H234" s="128">
        <v>200</v>
      </c>
      <c r="I234" s="128">
        <v>200</v>
      </c>
      <c r="J234" s="109"/>
      <c r="K234" s="104"/>
      <c r="L234" s="105">
        <v>20201118</v>
      </c>
    </row>
    <row r="235" ht="15.3" customHeight="1" spans="1:12">
      <c r="A235" s="132">
        <v>233</v>
      </c>
      <c r="B235" s="102" t="s">
        <v>3375</v>
      </c>
      <c r="C235" s="6" t="s">
        <v>7279</v>
      </c>
      <c r="D235" s="109" t="str">
        <f>"152326196306076887"</f>
        <v>152326196306076887</v>
      </c>
      <c r="E235" s="102" t="s">
        <v>15</v>
      </c>
      <c r="F235" s="102">
        <v>2020</v>
      </c>
      <c r="G235" s="132" t="s">
        <v>16</v>
      </c>
      <c r="H235" s="128">
        <v>200</v>
      </c>
      <c r="I235" s="128">
        <v>200</v>
      </c>
      <c r="J235" s="109"/>
      <c r="K235" s="104"/>
      <c r="L235" s="105">
        <v>20201118</v>
      </c>
    </row>
    <row r="236" ht="15.3" customHeight="1" spans="1:12">
      <c r="A236" s="102">
        <v>234</v>
      </c>
      <c r="B236" s="102" t="s">
        <v>3375</v>
      </c>
      <c r="C236" s="6" t="s">
        <v>7280</v>
      </c>
      <c r="D236" s="109" t="s">
        <v>7281</v>
      </c>
      <c r="E236" s="102" t="s">
        <v>15</v>
      </c>
      <c r="F236" s="102">
        <v>2020</v>
      </c>
      <c r="G236" s="132" t="s">
        <v>16</v>
      </c>
      <c r="H236" s="128">
        <v>200</v>
      </c>
      <c r="I236" s="128">
        <v>200</v>
      </c>
      <c r="J236" s="109" t="s">
        <v>1242</v>
      </c>
      <c r="K236" s="104"/>
      <c r="L236" s="105">
        <v>20201118</v>
      </c>
    </row>
    <row r="237" ht="15.3" customHeight="1" spans="1:12">
      <c r="A237" s="102">
        <v>235</v>
      </c>
      <c r="B237" s="102" t="s">
        <v>3375</v>
      </c>
      <c r="C237" s="6" t="s">
        <v>7282</v>
      </c>
      <c r="D237" s="109" t="s">
        <v>7283</v>
      </c>
      <c r="E237" s="102" t="s">
        <v>15</v>
      </c>
      <c r="F237" s="102">
        <v>2020</v>
      </c>
      <c r="G237" s="132" t="s">
        <v>16</v>
      </c>
      <c r="H237" s="128">
        <v>200</v>
      </c>
      <c r="I237" s="128">
        <v>200</v>
      </c>
      <c r="J237" s="109"/>
      <c r="K237" s="104"/>
      <c r="L237" s="105">
        <v>20201118</v>
      </c>
    </row>
    <row r="238" ht="15.3" customHeight="1" spans="1:12">
      <c r="A238" s="132">
        <v>236</v>
      </c>
      <c r="B238" s="102" t="s">
        <v>3375</v>
      </c>
      <c r="C238" s="6" t="s">
        <v>7284</v>
      </c>
      <c r="D238" s="109" t="s">
        <v>7285</v>
      </c>
      <c r="E238" s="102" t="s">
        <v>15</v>
      </c>
      <c r="F238" s="102">
        <v>2020</v>
      </c>
      <c r="G238" s="132" t="s">
        <v>16</v>
      </c>
      <c r="H238" s="128">
        <v>200</v>
      </c>
      <c r="I238" s="128">
        <v>200</v>
      </c>
      <c r="J238" s="109"/>
      <c r="K238" s="104"/>
      <c r="L238" s="105">
        <v>20201118</v>
      </c>
    </row>
    <row r="239" ht="15.3" customHeight="1" spans="1:12">
      <c r="A239" s="132">
        <v>237</v>
      </c>
      <c r="B239" s="102" t="s">
        <v>3375</v>
      </c>
      <c r="C239" s="6" t="s">
        <v>7286</v>
      </c>
      <c r="D239" s="109" t="s">
        <v>7287</v>
      </c>
      <c r="E239" s="102" t="s">
        <v>15</v>
      </c>
      <c r="F239" s="102">
        <v>2020</v>
      </c>
      <c r="G239" s="132" t="s">
        <v>16</v>
      </c>
      <c r="H239" s="128">
        <v>200</v>
      </c>
      <c r="I239" s="128">
        <v>200</v>
      </c>
      <c r="J239" s="109" t="s">
        <v>1242</v>
      </c>
      <c r="K239" s="104"/>
      <c r="L239" s="105">
        <v>20201118</v>
      </c>
    </row>
    <row r="240" ht="15.3" customHeight="1" spans="1:12">
      <c r="A240" s="102">
        <v>238</v>
      </c>
      <c r="B240" s="102" t="s">
        <v>3375</v>
      </c>
      <c r="C240" s="6" t="s">
        <v>7288</v>
      </c>
      <c r="D240" s="109" t="s">
        <v>7289</v>
      </c>
      <c r="E240" s="102" t="s">
        <v>15</v>
      </c>
      <c r="F240" s="102">
        <v>2020</v>
      </c>
      <c r="G240" s="132" t="s">
        <v>16</v>
      </c>
      <c r="H240" s="128">
        <v>200</v>
      </c>
      <c r="I240" s="128">
        <v>200</v>
      </c>
      <c r="J240" s="109" t="s">
        <v>1242</v>
      </c>
      <c r="K240" s="104"/>
      <c r="L240" s="105">
        <v>20201118</v>
      </c>
    </row>
    <row r="241" ht="15.3" customHeight="1" spans="1:12">
      <c r="A241" s="102">
        <v>239</v>
      </c>
      <c r="B241" s="102" t="s">
        <v>3375</v>
      </c>
      <c r="C241" s="6" t="s">
        <v>7290</v>
      </c>
      <c r="D241" s="109" t="str">
        <f>"152326196207136872"</f>
        <v>152326196207136872</v>
      </c>
      <c r="E241" s="102" t="s">
        <v>15</v>
      </c>
      <c r="F241" s="102">
        <v>2020</v>
      </c>
      <c r="G241" s="132" t="s">
        <v>16</v>
      </c>
      <c r="H241" s="128">
        <v>200</v>
      </c>
      <c r="I241" s="128">
        <v>200</v>
      </c>
      <c r="J241" s="109"/>
      <c r="K241" s="104"/>
      <c r="L241" s="105">
        <v>20201118</v>
      </c>
    </row>
    <row r="242" ht="15.3" customHeight="1" spans="1:12">
      <c r="A242" s="132">
        <v>240</v>
      </c>
      <c r="B242" s="102" t="s">
        <v>3375</v>
      </c>
      <c r="C242" s="6" t="s">
        <v>7291</v>
      </c>
      <c r="D242" s="109" t="str">
        <f>"152326196204016867"</f>
        <v>152326196204016867</v>
      </c>
      <c r="E242" s="102" t="s">
        <v>15</v>
      </c>
      <c r="F242" s="102">
        <v>2020</v>
      </c>
      <c r="G242" s="132" t="s">
        <v>16</v>
      </c>
      <c r="H242" s="128">
        <v>200</v>
      </c>
      <c r="I242" s="128">
        <v>200</v>
      </c>
      <c r="J242" s="109"/>
      <c r="K242" s="104"/>
      <c r="L242" s="105">
        <v>20201118</v>
      </c>
    </row>
    <row r="243" ht="15.3" customHeight="1" spans="1:12">
      <c r="A243" s="132">
        <v>241</v>
      </c>
      <c r="B243" s="102" t="s">
        <v>3375</v>
      </c>
      <c r="C243" s="6" t="s">
        <v>7292</v>
      </c>
      <c r="D243" s="109" t="str">
        <f>"152326196207296868"</f>
        <v>152326196207296868</v>
      </c>
      <c r="E243" s="102" t="s">
        <v>15</v>
      </c>
      <c r="F243" s="102">
        <v>2020</v>
      </c>
      <c r="G243" s="132" t="s">
        <v>16</v>
      </c>
      <c r="H243" s="128">
        <v>200</v>
      </c>
      <c r="I243" s="128">
        <v>200</v>
      </c>
      <c r="J243" s="109"/>
      <c r="K243" s="104"/>
      <c r="L243" s="105">
        <v>20201118</v>
      </c>
    </row>
    <row r="244" ht="15.3" customHeight="1" spans="1:12">
      <c r="A244" s="102">
        <v>242</v>
      </c>
      <c r="B244" s="102" t="s">
        <v>3375</v>
      </c>
      <c r="C244" s="6" t="s">
        <v>7293</v>
      </c>
      <c r="D244" s="109" t="str">
        <f>"152326196210156866"</f>
        <v>152326196210156866</v>
      </c>
      <c r="E244" s="102" t="s">
        <v>15</v>
      </c>
      <c r="F244" s="102">
        <v>2020</v>
      </c>
      <c r="G244" s="132" t="s">
        <v>16</v>
      </c>
      <c r="H244" s="128">
        <v>200</v>
      </c>
      <c r="I244" s="128">
        <v>200</v>
      </c>
      <c r="J244" s="109"/>
      <c r="K244" s="104"/>
      <c r="L244" s="105">
        <v>20201118</v>
      </c>
    </row>
    <row r="245" ht="15.3" customHeight="1" spans="1:12">
      <c r="A245" s="102">
        <v>243</v>
      </c>
      <c r="B245" s="102" t="s">
        <v>3375</v>
      </c>
      <c r="C245" s="6" t="s">
        <v>7294</v>
      </c>
      <c r="D245" s="109" t="str">
        <f>"152326196201256873"</f>
        <v>152326196201256873</v>
      </c>
      <c r="E245" s="102" t="s">
        <v>15</v>
      </c>
      <c r="F245" s="102">
        <v>2020</v>
      </c>
      <c r="G245" s="132" t="s">
        <v>16</v>
      </c>
      <c r="H245" s="128">
        <v>200</v>
      </c>
      <c r="I245" s="128">
        <v>200</v>
      </c>
      <c r="J245" s="109"/>
      <c r="K245" s="104"/>
      <c r="L245" s="105">
        <v>20201118</v>
      </c>
    </row>
    <row r="246" ht="15.3" customHeight="1" spans="1:12">
      <c r="A246" s="132">
        <v>244</v>
      </c>
      <c r="B246" s="102" t="s">
        <v>3375</v>
      </c>
      <c r="C246" s="6" t="s">
        <v>7295</v>
      </c>
      <c r="D246" s="109" t="str">
        <f>"152326196201046876"</f>
        <v>152326196201046876</v>
      </c>
      <c r="E246" s="102" t="s">
        <v>15</v>
      </c>
      <c r="F246" s="102">
        <v>2020</v>
      </c>
      <c r="G246" s="132" t="s">
        <v>16</v>
      </c>
      <c r="H246" s="128">
        <v>200</v>
      </c>
      <c r="I246" s="128">
        <v>200</v>
      </c>
      <c r="J246" s="109"/>
      <c r="K246" s="104"/>
      <c r="L246" s="105">
        <v>20201118</v>
      </c>
    </row>
    <row r="247" ht="15.3" customHeight="1" spans="1:12">
      <c r="A247" s="132">
        <v>245</v>
      </c>
      <c r="B247" s="102" t="s">
        <v>3375</v>
      </c>
      <c r="C247" s="6" t="s">
        <v>7296</v>
      </c>
      <c r="D247" s="109" t="str">
        <f>"152326196106266897"</f>
        <v>152326196106266897</v>
      </c>
      <c r="E247" s="102" t="s">
        <v>15</v>
      </c>
      <c r="F247" s="102">
        <v>2020</v>
      </c>
      <c r="G247" s="132" t="s">
        <v>16</v>
      </c>
      <c r="H247" s="128">
        <v>200</v>
      </c>
      <c r="I247" s="128">
        <v>200</v>
      </c>
      <c r="J247" s="109"/>
      <c r="K247" s="104"/>
      <c r="L247" s="105">
        <v>20201118</v>
      </c>
    </row>
    <row r="248" ht="15.3" customHeight="1" spans="1:12">
      <c r="A248" s="102">
        <v>246</v>
      </c>
      <c r="B248" s="102" t="s">
        <v>3375</v>
      </c>
      <c r="C248" s="6" t="s">
        <v>7297</v>
      </c>
      <c r="D248" s="109" t="str">
        <f>"152326196102106861"</f>
        <v>152326196102106861</v>
      </c>
      <c r="E248" s="102" t="s">
        <v>15</v>
      </c>
      <c r="F248" s="102">
        <v>2020</v>
      </c>
      <c r="G248" s="132" t="s">
        <v>16</v>
      </c>
      <c r="H248" s="128">
        <v>200</v>
      </c>
      <c r="I248" s="128">
        <v>200</v>
      </c>
      <c r="J248" s="109"/>
      <c r="K248" s="104"/>
      <c r="L248" s="105">
        <v>20201118</v>
      </c>
    </row>
    <row r="249" ht="15.3" customHeight="1" spans="1:12">
      <c r="A249" s="102">
        <v>247</v>
      </c>
      <c r="B249" s="102" t="s">
        <v>3375</v>
      </c>
      <c r="C249" s="6" t="s">
        <v>7298</v>
      </c>
      <c r="D249" s="109" t="s">
        <v>7299</v>
      </c>
      <c r="E249" s="102" t="s">
        <v>15</v>
      </c>
      <c r="F249" s="102">
        <v>2020</v>
      </c>
      <c r="G249" s="132" t="s">
        <v>16</v>
      </c>
      <c r="H249" s="128">
        <v>200</v>
      </c>
      <c r="I249" s="128">
        <v>200</v>
      </c>
      <c r="J249" s="109" t="s">
        <v>7229</v>
      </c>
      <c r="K249" s="104"/>
      <c r="L249" s="105">
        <v>20201118</v>
      </c>
    </row>
    <row r="250" ht="15.3" customHeight="1" spans="1:12">
      <c r="A250" s="132">
        <v>248</v>
      </c>
      <c r="B250" s="102" t="s">
        <v>3375</v>
      </c>
      <c r="C250" s="6" t="s">
        <v>7300</v>
      </c>
      <c r="D250" s="109" t="str">
        <f>"152326196111206880"</f>
        <v>152326196111206880</v>
      </c>
      <c r="E250" s="102" t="s">
        <v>15</v>
      </c>
      <c r="F250" s="102">
        <v>2020</v>
      </c>
      <c r="G250" s="132" t="s">
        <v>16</v>
      </c>
      <c r="H250" s="128">
        <v>200</v>
      </c>
      <c r="I250" s="128">
        <v>200</v>
      </c>
      <c r="J250" s="109"/>
      <c r="K250" s="104"/>
      <c r="L250" s="105">
        <v>20201118</v>
      </c>
    </row>
    <row r="251" ht="15.3" customHeight="1" spans="1:12">
      <c r="A251" s="132">
        <v>249</v>
      </c>
      <c r="B251" s="102" t="s">
        <v>3375</v>
      </c>
      <c r="C251" s="6" t="s">
        <v>7301</v>
      </c>
      <c r="D251" s="109" t="str">
        <f>"152326196109116878"</f>
        <v>152326196109116878</v>
      </c>
      <c r="E251" s="102" t="s">
        <v>15</v>
      </c>
      <c r="F251" s="102">
        <v>2020</v>
      </c>
      <c r="G251" s="132" t="s">
        <v>16</v>
      </c>
      <c r="H251" s="128">
        <v>200</v>
      </c>
      <c r="I251" s="128">
        <v>200</v>
      </c>
      <c r="J251" s="109"/>
      <c r="K251" s="104"/>
      <c r="L251" s="105">
        <v>20201118</v>
      </c>
    </row>
    <row r="252" ht="15.3" customHeight="1" spans="1:12">
      <c r="A252" s="102">
        <v>250</v>
      </c>
      <c r="B252" s="102" t="s">
        <v>3375</v>
      </c>
      <c r="C252" s="6" t="s">
        <v>7302</v>
      </c>
      <c r="D252" s="109" t="str">
        <f>"152326196101016899"</f>
        <v>152326196101016899</v>
      </c>
      <c r="E252" s="102" t="s">
        <v>15</v>
      </c>
      <c r="F252" s="102">
        <v>2020</v>
      </c>
      <c r="G252" s="132" t="s">
        <v>16</v>
      </c>
      <c r="H252" s="128">
        <v>200</v>
      </c>
      <c r="I252" s="128">
        <v>200</v>
      </c>
      <c r="J252" s="109"/>
      <c r="K252" s="104"/>
      <c r="L252" s="105">
        <v>20201118</v>
      </c>
    </row>
    <row r="253" ht="15.3" customHeight="1" spans="1:12">
      <c r="A253" s="102">
        <v>251</v>
      </c>
      <c r="B253" s="102" t="s">
        <v>3375</v>
      </c>
      <c r="C253" s="6" t="s">
        <v>7303</v>
      </c>
      <c r="D253" s="109" t="s">
        <v>7304</v>
      </c>
      <c r="E253" s="102" t="s">
        <v>15</v>
      </c>
      <c r="F253" s="102">
        <v>2020</v>
      </c>
      <c r="G253" s="132" t="s">
        <v>16</v>
      </c>
      <c r="H253" s="128">
        <v>200</v>
      </c>
      <c r="I253" s="128">
        <v>200</v>
      </c>
      <c r="J253" s="109" t="s">
        <v>1242</v>
      </c>
      <c r="K253" s="104"/>
      <c r="L253" s="105">
        <v>20201118</v>
      </c>
    </row>
    <row r="254" ht="15.3" customHeight="1" spans="1:12">
      <c r="A254" s="132">
        <v>252</v>
      </c>
      <c r="B254" s="102" t="s">
        <v>3375</v>
      </c>
      <c r="C254" s="6" t="s">
        <v>7305</v>
      </c>
      <c r="D254" s="109" t="str">
        <f>"152326196108246865"</f>
        <v>152326196108246865</v>
      </c>
      <c r="E254" s="102" t="s">
        <v>15</v>
      </c>
      <c r="F254" s="102">
        <v>2020</v>
      </c>
      <c r="G254" s="132" t="s">
        <v>16</v>
      </c>
      <c r="H254" s="128">
        <v>200</v>
      </c>
      <c r="I254" s="128">
        <v>200</v>
      </c>
      <c r="J254" s="109"/>
      <c r="K254" s="104"/>
      <c r="L254" s="105">
        <v>20201118</v>
      </c>
    </row>
    <row r="255" ht="15.3" customHeight="1" spans="1:12">
      <c r="A255" s="132">
        <v>253</v>
      </c>
      <c r="B255" s="102" t="s">
        <v>3375</v>
      </c>
      <c r="C255" s="6" t="s">
        <v>7306</v>
      </c>
      <c r="D255" s="109" t="str">
        <f>"152326196109106872"</f>
        <v>152326196109106872</v>
      </c>
      <c r="E255" s="102" t="s">
        <v>15</v>
      </c>
      <c r="F255" s="102">
        <v>2020</v>
      </c>
      <c r="G255" s="132" t="s">
        <v>16</v>
      </c>
      <c r="H255" s="128">
        <v>200</v>
      </c>
      <c r="I255" s="128">
        <v>200</v>
      </c>
      <c r="J255" s="109"/>
      <c r="K255" s="104"/>
      <c r="L255" s="105">
        <v>20201118</v>
      </c>
    </row>
    <row r="256" ht="15.3" customHeight="1" spans="1:12">
      <c r="A256" s="102">
        <v>254</v>
      </c>
      <c r="B256" s="102" t="s">
        <v>3375</v>
      </c>
      <c r="C256" s="6" t="s">
        <v>7307</v>
      </c>
      <c r="D256" s="109" t="str">
        <f>"152326196110276887"</f>
        <v>152326196110276887</v>
      </c>
      <c r="E256" s="102" t="s">
        <v>15</v>
      </c>
      <c r="F256" s="102">
        <v>2020</v>
      </c>
      <c r="G256" s="132" t="s">
        <v>16</v>
      </c>
      <c r="H256" s="128">
        <v>200</v>
      </c>
      <c r="I256" s="128">
        <v>200</v>
      </c>
      <c r="J256" s="109"/>
      <c r="K256" s="104"/>
      <c r="L256" s="105">
        <v>20201118</v>
      </c>
    </row>
    <row r="257" ht="15.3" customHeight="1" spans="1:12">
      <c r="A257" s="102">
        <v>255</v>
      </c>
      <c r="B257" s="102" t="s">
        <v>3375</v>
      </c>
      <c r="C257" s="6" t="s">
        <v>7308</v>
      </c>
      <c r="D257" s="109" t="str">
        <f>"152326196107286865"</f>
        <v>152326196107286865</v>
      </c>
      <c r="E257" s="102" t="s">
        <v>15</v>
      </c>
      <c r="F257" s="102">
        <v>2020</v>
      </c>
      <c r="G257" s="132" t="s">
        <v>16</v>
      </c>
      <c r="H257" s="128">
        <v>200</v>
      </c>
      <c r="I257" s="128">
        <v>200</v>
      </c>
      <c r="J257" s="109"/>
      <c r="K257" s="104"/>
      <c r="L257" s="105">
        <v>20201118</v>
      </c>
    </row>
    <row r="258" ht="15.3" customHeight="1" spans="1:12">
      <c r="A258" s="132">
        <v>256</v>
      </c>
      <c r="B258" s="102" t="s">
        <v>3375</v>
      </c>
      <c r="C258" s="5" t="s">
        <v>7309</v>
      </c>
      <c r="D258" s="122" t="s">
        <v>7310</v>
      </c>
      <c r="E258" s="102" t="s">
        <v>15</v>
      </c>
      <c r="F258" s="102">
        <v>2020</v>
      </c>
      <c r="G258" s="132" t="s">
        <v>16</v>
      </c>
      <c r="H258" s="102">
        <v>200</v>
      </c>
      <c r="I258" s="102">
        <v>200</v>
      </c>
      <c r="J258" s="102"/>
      <c r="K258" s="104"/>
      <c r="L258" s="105">
        <v>20201118</v>
      </c>
    </row>
    <row r="259" ht="15.3" customHeight="1" spans="1:12">
      <c r="A259" s="132">
        <v>257</v>
      </c>
      <c r="B259" s="102" t="s">
        <v>3375</v>
      </c>
      <c r="C259" s="5" t="s">
        <v>3922</v>
      </c>
      <c r="D259" s="122" t="s">
        <v>7311</v>
      </c>
      <c r="E259" s="102" t="s">
        <v>15</v>
      </c>
      <c r="F259" s="102">
        <v>2020</v>
      </c>
      <c r="G259" s="132" t="s">
        <v>16</v>
      </c>
      <c r="H259" s="102">
        <v>200</v>
      </c>
      <c r="I259" s="102">
        <v>200</v>
      </c>
      <c r="J259" s="102"/>
      <c r="K259" s="104"/>
      <c r="L259" s="105">
        <v>20201118</v>
      </c>
    </row>
    <row r="260" ht="15.3" customHeight="1" spans="1:12">
      <c r="A260" s="102">
        <v>258</v>
      </c>
      <c r="B260" s="102" t="s">
        <v>3375</v>
      </c>
      <c r="C260" s="5" t="s">
        <v>428</v>
      </c>
      <c r="D260" s="122" t="s">
        <v>7312</v>
      </c>
      <c r="E260" s="102" t="s">
        <v>15</v>
      </c>
      <c r="F260" s="102">
        <v>2020</v>
      </c>
      <c r="G260" s="132" t="s">
        <v>16</v>
      </c>
      <c r="H260" s="102">
        <v>200</v>
      </c>
      <c r="I260" s="102">
        <v>200</v>
      </c>
      <c r="J260" s="102"/>
      <c r="K260" s="104"/>
      <c r="L260" s="105">
        <v>20201118</v>
      </c>
    </row>
    <row r="261" ht="15.3" customHeight="1" spans="1:12">
      <c r="A261" s="102">
        <v>259</v>
      </c>
      <c r="B261" s="102" t="s">
        <v>3375</v>
      </c>
      <c r="C261" s="5" t="s">
        <v>7313</v>
      </c>
      <c r="D261" s="122" t="s">
        <v>7314</v>
      </c>
      <c r="E261" s="102" t="s">
        <v>15</v>
      </c>
      <c r="F261" s="102">
        <v>2020</v>
      </c>
      <c r="G261" s="132" t="s">
        <v>16</v>
      </c>
      <c r="H261" s="102">
        <v>200</v>
      </c>
      <c r="I261" s="102">
        <v>200</v>
      </c>
      <c r="J261" s="102"/>
      <c r="K261" s="104"/>
      <c r="L261" s="105">
        <v>20201118</v>
      </c>
    </row>
    <row r="262" ht="15.3" customHeight="1" spans="1:12">
      <c r="A262" s="132">
        <v>260</v>
      </c>
      <c r="B262" s="102" t="s">
        <v>3375</v>
      </c>
      <c r="C262" s="5" t="s">
        <v>7315</v>
      </c>
      <c r="D262" s="122" t="s">
        <v>7316</v>
      </c>
      <c r="E262" s="102" t="s">
        <v>15</v>
      </c>
      <c r="F262" s="102">
        <v>2020</v>
      </c>
      <c r="G262" s="132" t="s">
        <v>16</v>
      </c>
      <c r="H262" s="102">
        <v>200</v>
      </c>
      <c r="I262" s="102">
        <v>200</v>
      </c>
      <c r="J262" s="102"/>
      <c r="K262" s="104"/>
      <c r="L262" s="105">
        <v>20201118</v>
      </c>
    </row>
    <row r="263" ht="15.3" customHeight="1" spans="1:12">
      <c r="A263" s="132">
        <v>261</v>
      </c>
      <c r="B263" s="102" t="s">
        <v>3375</v>
      </c>
      <c r="C263" s="5" t="s">
        <v>7317</v>
      </c>
      <c r="D263" s="122" t="s">
        <v>7318</v>
      </c>
      <c r="E263" s="102" t="s">
        <v>15</v>
      </c>
      <c r="F263" s="102">
        <v>2020</v>
      </c>
      <c r="G263" s="132" t="s">
        <v>16</v>
      </c>
      <c r="H263" s="102">
        <v>200</v>
      </c>
      <c r="I263" s="102">
        <v>200</v>
      </c>
      <c r="J263" s="102"/>
      <c r="K263" s="104"/>
      <c r="L263" s="105">
        <v>20201118</v>
      </c>
    </row>
    <row r="264" ht="15.3" customHeight="1" spans="1:12">
      <c r="A264" s="102">
        <v>262</v>
      </c>
      <c r="B264" s="102" t="s">
        <v>3375</v>
      </c>
      <c r="C264" s="5" t="s">
        <v>7319</v>
      </c>
      <c r="D264" s="122" t="s">
        <v>7320</v>
      </c>
      <c r="E264" s="102" t="s">
        <v>15</v>
      </c>
      <c r="F264" s="102">
        <v>2020</v>
      </c>
      <c r="G264" s="132" t="s">
        <v>16</v>
      </c>
      <c r="H264" s="102">
        <v>200</v>
      </c>
      <c r="I264" s="102">
        <v>200</v>
      </c>
      <c r="J264" s="102"/>
      <c r="K264" s="104"/>
      <c r="L264" s="105">
        <v>20201118</v>
      </c>
    </row>
    <row r="265" ht="15.3" customHeight="1" spans="1:12">
      <c r="A265" s="102">
        <v>263</v>
      </c>
      <c r="B265" s="102" t="s">
        <v>3375</v>
      </c>
      <c r="C265" s="5" t="s">
        <v>7321</v>
      </c>
      <c r="D265" s="122" t="s">
        <v>7322</v>
      </c>
      <c r="E265" s="102" t="s">
        <v>15</v>
      </c>
      <c r="F265" s="102">
        <v>2020</v>
      </c>
      <c r="G265" s="132" t="s">
        <v>16</v>
      </c>
      <c r="H265" s="102">
        <v>500</v>
      </c>
      <c r="I265" s="102">
        <v>500</v>
      </c>
      <c r="J265" s="102"/>
      <c r="K265" s="104"/>
      <c r="L265" s="105">
        <v>20201118</v>
      </c>
    </row>
    <row r="266" ht="15.3" customHeight="1" spans="1:12">
      <c r="A266" s="132">
        <v>264</v>
      </c>
      <c r="B266" s="102" t="s">
        <v>3375</v>
      </c>
      <c r="C266" s="5" t="s">
        <v>7323</v>
      </c>
      <c r="D266" s="122" t="s">
        <v>7324</v>
      </c>
      <c r="E266" s="102" t="s">
        <v>15</v>
      </c>
      <c r="F266" s="102">
        <v>2020</v>
      </c>
      <c r="G266" s="132" t="s">
        <v>16</v>
      </c>
      <c r="H266" s="102">
        <v>200</v>
      </c>
      <c r="I266" s="102">
        <v>200</v>
      </c>
      <c r="J266" s="102"/>
      <c r="K266" s="104"/>
      <c r="L266" s="105">
        <v>20201118</v>
      </c>
    </row>
    <row r="267" ht="15.3" customHeight="1" spans="1:12">
      <c r="A267" s="132">
        <v>265</v>
      </c>
      <c r="B267" s="102" t="s">
        <v>3375</v>
      </c>
      <c r="C267" s="5" t="s">
        <v>7325</v>
      </c>
      <c r="D267" s="122" t="s">
        <v>7326</v>
      </c>
      <c r="E267" s="102" t="s">
        <v>15</v>
      </c>
      <c r="F267" s="102">
        <v>2020</v>
      </c>
      <c r="G267" s="132" t="s">
        <v>16</v>
      </c>
      <c r="H267" s="102">
        <v>200</v>
      </c>
      <c r="I267" s="102">
        <v>200</v>
      </c>
      <c r="J267" s="102"/>
      <c r="K267" s="104"/>
      <c r="L267" s="105">
        <v>20201118</v>
      </c>
    </row>
    <row r="268" ht="15.3" customHeight="1" spans="1:12">
      <c r="A268" s="102">
        <v>266</v>
      </c>
      <c r="B268" s="102" t="s">
        <v>3375</v>
      </c>
      <c r="C268" s="5" t="s">
        <v>7327</v>
      </c>
      <c r="D268" s="297" t="s">
        <v>7328</v>
      </c>
      <c r="E268" s="102" t="s">
        <v>15</v>
      </c>
      <c r="F268" s="102">
        <v>2020</v>
      </c>
      <c r="G268" s="132" t="s">
        <v>16</v>
      </c>
      <c r="H268" s="102">
        <v>200</v>
      </c>
      <c r="I268" s="102">
        <v>200</v>
      </c>
      <c r="J268" s="102"/>
      <c r="K268" s="104"/>
      <c r="L268" s="105">
        <v>20201118</v>
      </c>
    </row>
    <row r="269" ht="15.3" customHeight="1" spans="1:12">
      <c r="A269" s="102">
        <v>267</v>
      </c>
      <c r="B269" s="102" t="s">
        <v>3375</v>
      </c>
      <c r="C269" s="5" t="s">
        <v>7329</v>
      </c>
      <c r="D269" s="297" t="s">
        <v>7330</v>
      </c>
      <c r="E269" s="102" t="s">
        <v>15</v>
      </c>
      <c r="F269" s="102">
        <v>2020</v>
      </c>
      <c r="G269" s="132" t="s">
        <v>16</v>
      </c>
      <c r="H269" s="102">
        <v>200</v>
      </c>
      <c r="I269" s="102">
        <v>200</v>
      </c>
      <c r="J269" s="102"/>
      <c r="K269" s="104"/>
      <c r="L269" s="105">
        <v>20201118</v>
      </c>
    </row>
    <row r="270" ht="15.3" customHeight="1" spans="1:12">
      <c r="A270" s="132">
        <v>268</v>
      </c>
      <c r="B270" s="102" t="s">
        <v>3375</v>
      </c>
      <c r="C270" s="5" t="s">
        <v>7331</v>
      </c>
      <c r="D270" s="297" t="s">
        <v>7332</v>
      </c>
      <c r="E270" s="102" t="s">
        <v>15</v>
      </c>
      <c r="F270" s="102">
        <v>2020</v>
      </c>
      <c r="G270" s="132" t="s">
        <v>16</v>
      </c>
      <c r="H270" s="102">
        <v>200</v>
      </c>
      <c r="I270" s="102">
        <v>200</v>
      </c>
      <c r="J270" s="102"/>
      <c r="K270" s="104"/>
      <c r="L270" s="105">
        <v>20201118</v>
      </c>
    </row>
    <row r="271" ht="15.3" customHeight="1" spans="1:12">
      <c r="A271" s="132">
        <v>269</v>
      </c>
      <c r="B271" s="102" t="s">
        <v>3375</v>
      </c>
      <c r="C271" s="5" t="s">
        <v>7333</v>
      </c>
      <c r="D271" s="297" t="s">
        <v>7334</v>
      </c>
      <c r="E271" s="102" t="s">
        <v>15</v>
      </c>
      <c r="F271" s="102">
        <v>2020</v>
      </c>
      <c r="G271" s="132" t="s">
        <v>16</v>
      </c>
      <c r="H271" s="102">
        <v>1000</v>
      </c>
      <c r="I271" s="102">
        <v>1000</v>
      </c>
      <c r="J271" s="102"/>
      <c r="K271" s="104"/>
      <c r="L271" s="105">
        <v>20201118</v>
      </c>
    </row>
    <row r="272" ht="15.3" customHeight="1" spans="1:12">
      <c r="A272" s="102">
        <v>270</v>
      </c>
      <c r="B272" s="102" t="s">
        <v>3375</v>
      </c>
      <c r="C272" s="5" t="s">
        <v>7335</v>
      </c>
      <c r="D272" s="297" t="s">
        <v>7336</v>
      </c>
      <c r="E272" s="102" t="s">
        <v>15</v>
      </c>
      <c r="F272" s="102">
        <v>2020</v>
      </c>
      <c r="G272" s="132" t="s">
        <v>16</v>
      </c>
      <c r="H272" s="102">
        <v>1000</v>
      </c>
      <c r="I272" s="102">
        <v>1000</v>
      </c>
      <c r="J272" s="102"/>
      <c r="K272" s="104"/>
      <c r="L272" s="105">
        <v>20201118</v>
      </c>
    </row>
    <row r="273" ht="15.3" customHeight="1" spans="1:12">
      <c r="A273" s="102">
        <v>271</v>
      </c>
      <c r="B273" s="102" t="s">
        <v>3375</v>
      </c>
      <c r="C273" s="5" t="s">
        <v>7337</v>
      </c>
      <c r="D273" s="297" t="s">
        <v>7338</v>
      </c>
      <c r="E273" s="102" t="s">
        <v>15</v>
      </c>
      <c r="F273" s="102">
        <v>2020</v>
      </c>
      <c r="G273" s="132" t="s">
        <v>16</v>
      </c>
      <c r="H273" s="102">
        <v>200</v>
      </c>
      <c r="I273" s="102">
        <v>200</v>
      </c>
      <c r="J273" s="102"/>
      <c r="K273" s="104"/>
      <c r="L273" s="105">
        <v>20201118</v>
      </c>
    </row>
    <row r="274" ht="15.3" customHeight="1" spans="1:12">
      <c r="A274" s="132">
        <v>272</v>
      </c>
      <c r="B274" s="102" t="s">
        <v>3375</v>
      </c>
      <c r="C274" s="5" t="s">
        <v>7339</v>
      </c>
      <c r="D274" s="102" t="s">
        <v>7340</v>
      </c>
      <c r="E274" s="102" t="s">
        <v>15</v>
      </c>
      <c r="F274" s="102">
        <v>2020</v>
      </c>
      <c r="G274" s="132" t="s">
        <v>16</v>
      </c>
      <c r="H274" s="102">
        <v>200</v>
      </c>
      <c r="I274" s="102">
        <v>200</v>
      </c>
      <c r="J274" s="102"/>
      <c r="K274" s="104"/>
      <c r="L274" s="105">
        <v>20201118</v>
      </c>
    </row>
    <row r="275" ht="15.3" customHeight="1" spans="1:12">
      <c r="A275" s="132">
        <v>273</v>
      </c>
      <c r="B275" s="102" t="s">
        <v>3375</v>
      </c>
      <c r="C275" s="5" t="s">
        <v>7341</v>
      </c>
      <c r="D275" s="297" t="s">
        <v>7342</v>
      </c>
      <c r="E275" s="102" t="s">
        <v>15</v>
      </c>
      <c r="F275" s="102">
        <v>2020</v>
      </c>
      <c r="G275" s="132" t="s">
        <v>16</v>
      </c>
      <c r="H275" s="102">
        <v>3000</v>
      </c>
      <c r="I275" s="102">
        <v>3000</v>
      </c>
      <c r="J275" s="102"/>
      <c r="K275" s="104"/>
      <c r="L275" s="105">
        <v>20201118</v>
      </c>
    </row>
    <row r="276" ht="15.3" customHeight="1" spans="1:12">
      <c r="A276" s="102">
        <v>274</v>
      </c>
      <c r="B276" s="102" t="s">
        <v>3375</v>
      </c>
      <c r="C276" s="5" t="s">
        <v>7343</v>
      </c>
      <c r="D276" s="297" t="s">
        <v>7344</v>
      </c>
      <c r="E276" s="102" t="s">
        <v>15</v>
      </c>
      <c r="F276" s="102">
        <v>2020</v>
      </c>
      <c r="G276" s="132" t="s">
        <v>16</v>
      </c>
      <c r="H276" s="102">
        <v>200</v>
      </c>
      <c r="I276" s="102">
        <v>200</v>
      </c>
      <c r="J276" s="102"/>
      <c r="K276" s="104"/>
      <c r="L276" s="105">
        <v>20201118</v>
      </c>
    </row>
    <row r="277" ht="15.3" customHeight="1" spans="1:12">
      <c r="A277" s="102">
        <v>275</v>
      </c>
      <c r="B277" s="102" t="s">
        <v>3375</v>
      </c>
      <c r="C277" s="5" t="s">
        <v>7345</v>
      </c>
      <c r="D277" s="297" t="s">
        <v>7346</v>
      </c>
      <c r="E277" s="102" t="s">
        <v>15</v>
      </c>
      <c r="F277" s="102">
        <v>2020</v>
      </c>
      <c r="G277" s="132" t="s">
        <v>16</v>
      </c>
      <c r="H277" s="102">
        <v>200</v>
      </c>
      <c r="I277" s="102">
        <v>200</v>
      </c>
      <c r="J277" s="102"/>
      <c r="K277" s="104"/>
      <c r="L277" s="105">
        <v>20201118</v>
      </c>
    </row>
    <row r="278" ht="15.3" customHeight="1" spans="1:12">
      <c r="A278" s="132">
        <v>276</v>
      </c>
      <c r="B278" s="102" t="s">
        <v>3375</v>
      </c>
      <c r="C278" s="5" t="s">
        <v>7347</v>
      </c>
      <c r="D278" s="102" t="s">
        <v>7348</v>
      </c>
      <c r="E278" s="102" t="s">
        <v>15</v>
      </c>
      <c r="F278" s="102">
        <v>2020</v>
      </c>
      <c r="G278" s="132" t="s">
        <v>16</v>
      </c>
      <c r="H278" s="102">
        <v>200</v>
      </c>
      <c r="I278" s="102">
        <v>200</v>
      </c>
      <c r="J278" s="102"/>
      <c r="K278" s="104"/>
      <c r="L278" s="105">
        <v>20201118</v>
      </c>
    </row>
    <row r="279" ht="15.3" customHeight="1" spans="1:12">
      <c r="A279" s="132">
        <v>277</v>
      </c>
      <c r="B279" s="102" t="s">
        <v>3375</v>
      </c>
      <c r="C279" s="5" t="s">
        <v>7349</v>
      </c>
      <c r="D279" s="297" t="s">
        <v>7350</v>
      </c>
      <c r="E279" s="102" t="s">
        <v>15</v>
      </c>
      <c r="F279" s="102">
        <v>2020</v>
      </c>
      <c r="G279" s="132" t="s">
        <v>16</v>
      </c>
      <c r="H279" s="102">
        <v>200</v>
      </c>
      <c r="I279" s="102">
        <v>200</v>
      </c>
      <c r="J279" s="102"/>
      <c r="K279" s="104"/>
      <c r="L279" s="105">
        <v>20201118</v>
      </c>
    </row>
    <row r="280" ht="15.3" customHeight="1" spans="1:12">
      <c r="A280" s="102">
        <v>278</v>
      </c>
      <c r="B280" s="102" t="s">
        <v>3375</v>
      </c>
      <c r="C280" s="5" t="s">
        <v>6417</v>
      </c>
      <c r="D280" s="297" t="s">
        <v>7351</v>
      </c>
      <c r="E280" s="102" t="s">
        <v>15</v>
      </c>
      <c r="F280" s="102">
        <v>2020</v>
      </c>
      <c r="G280" s="132" t="s">
        <v>16</v>
      </c>
      <c r="H280" s="102">
        <v>200</v>
      </c>
      <c r="I280" s="102">
        <v>200</v>
      </c>
      <c r="J280" s="102"/>
      <c r="K280" s="104"/>
      <c r="L280" s="105">
        <v>20201118</v>
      </c>
    </row>
    <row r="281" ht="15.3" customHeight="1" spans="1:12">
      <c r="A281" s="102">
        <v>279</v>
      </c>
      <c r="B281" s="102" t="s">
        <v>3375</v>
      </c>
      <c r="C281" s="5" t="s">
        <v>7352</v>
      </c>
      <c r="D281" s="297" t="s">
        <v>7353</v>
      </c>
      <c r="E281" s="102" t="s">
        <v>15</v>
      </c>
      <c r="F281" s="102">
        <v>2020</v>
      </c>
      <c r="G281" s="132" t="s">
        <v>16</v>
      </c>
      <c r="H281" s="102">
        <v>200</v>
      </c>
      <c r="I281" s="102">
        <v>200</v>
      </c>
      <c r="J281" s="102"/>
      <c r="K281" s="104"/>
      <c r="L281" s="105">
        <v>20201118</v>
      </c>
    </row>
    <row r="282" ht="15.3" customHeight="1" spans="1:12">
      <c r="A282" s="132">
        <v>280</v>
      </c>
      <c r="B282" s="102" t="s">
        <v>3375</v>
      </c>
      <c r="C282" s="5" t="s">
        <v>7354</v>
      </c>
      <c r="D282" s="297" t="s">
        <v>7355</v>
      </c>
      <c r="E282" s="102" t="s">
        <v>15</v>
      </c>
      <c r="F282" s="102">
        <v>2020</v>
      </c>
      <c r="G282" s="132" t="s">
        <v>16</v>
      </c>
      <c r="H282" s="102">
        <v>200</v>
      </c>
      <c r="I282" s="102">
        <v>200</v>
      </c>
      <c r="J282" s="102"/>
      <c r="K282" s="104"/>
      <c r="L282" s="105">
        <v>20201118</v>
      </c>
    </row>
    <row r="283" ht="15.3" customHeight="1" spans="1:12">
      <c r="A283" s="132">
        <v>281</v>
      </c>
      <c r="B283" s="102" t="s">
        <v>3375</v>
      </c>
      <c r="C283" s="5" t="s">
        <v>7356</v>
      </c>
      <c r="D283" s="297" t="s">
        <v>7357</v>
      </c>
      <c r="E283" s="102" t="s">
        <v>15</v>
      </c>
      <c r="F283" s="102">
        <v>2020</v>
      </c>
      <c r="G283" s="132" t="s">
        <v>16</v>
      </c>
      <c r="H283" s="102">
        <v>200</v>
      </c>
      <c r="I283" s="102">
        <v>200</v>
      </c>
      <c r="J283" s="102"/>
      <c r="K283" s="104"/>
      <c r="L283" s="105">
        <v>20201118</v>
      </c>
    </row>
    <row r="284" ht="15.3" customHeight="1" spans="1:12">
      <c r="A284" s="102">
        <v>282</v>
      </c>
      <c r="B284" s="102" t="s">
        <v>3375</v>
      </c>
      <c r="C284" s="5" t="s">
        <v>7358</v>
      </c>
      <c r="D284" s="297" t="s">
        <v>7359</v>
      </c>
      <c r="E284" s="102" t="s">
        <v>15</v>
      </c>
      <c r="F284" s="102">
        <v>2020</v>
      </c>
      <c r="G284" s="132" t="s">
        <v>16</v>
      </c>
      <c r="H284" s="102">
        <v>200</v>
      </c>
      <c r="I284" s="102">
        <v>200</v>
      </c>
      <c r="J284" s="102"/>
      <c r="K284" s="104"/>
      <c r="L284" s="105">
        <v>20201118</v>
      </c>
    </row>
    <row r="285" ht="15.3" customHeight="1" spans="1:12">
      <c r="A285" s="102">
        <v>283</v>
      </c>
      <c r="B285" s="102" t="s">
        <v>3375</v>
      </c>
      <c r="C285" s="5" t="s">
        <v>7360</v>
      </c>
      <c r="D285" s="297" t="s">
        <v>7361</v>
      </c>
      <c r="E285" s="102" t="s">
        <v>15</v>
      </c>
      <c r="F285" s="102">
        <v>2020</v>
      </c>
      <c r="G285" s="132" t="s">
        <v>16</v>
      </c>
      <c r="H285" s="102">
        <v>200</v>
      </c>
      <c r="I285" s="102">
        <v>200</v>
      </c>
      <c r="J285" s="102"/>
      <c r="K285" s="104"/>
      <c r="L285" s="105">
        <v>20201118</v>
      </c>
    </row>
    <row r="286" ht="15.3" customHeight="1" spans="1:12">
      <c r="A286" s="132">
        <v>284</v>
      </c>
      <c r="B286" s="102" t="s">
        <v>3375</v>
      </c>
      <c r="C286" s="5" t="s">
        <v>7362</v>
      </c>
      <c r="D286" s="297" t="s">
        <v>7363</v>
      </c>
      <c r="E286" s="102" t="s">
        <v>15</v>
      </c>
      <c r="F286" s="102">
        <v>2020</v>
      </c>
      <c r="G286" s="132" t="s">
        <v>16</v>
      </c>
      <c r="H286" s="102">
        <v>200</v>
      </c>
      <c r="I286" s="102">
        <v>200</v>
      </c>
      <c r="J286" s="102"/>
      <c r="K286" s="104"/>
      <c r="L286" s="105">
        <v>20201118</v>
      </c>
    </row>
    <row r="287" ht="15.3" customHeight="1" spans="1:12">
      <c r="A287" s="132">
        <v>285</v>
      </c>
      <c r="B287" s="102" t="s">
        <v>3375</v>
      </c>
      <c r="C287" s="5" t="s">
        <v>7364</v>
      </c>
      <c r="D287" s="297" t="s">
        <v>7365</v>
      </c>
      <c r="E287" s="102" t="s">
        <v>15</v>
      </c>
      <c r="F287" s="102">
        <v>2020</v>
      </c>
      <c r="G287" s="132" t="s">
        <v>16</v>
      </c>
      <c r="H287" s="102">
        <v>200</v>
      </c>
      <c r="I287" s="102">
        <v>200</v>
      </c>
      <c r="J287" s="102"/>
      <c r="K287" s="104"/>
      <c r="L287" s="105">
        <v>20201118</v>
      </c>
    </row>
    <row r="288" ht="15.3" customHeight="1" spans="1:12">
      <c r="A288" s="102">
        <v>286</v>
      </c>
      <c r="B288" s="102" t="s">
        <v>3375</v>
      </c>
      <c r="C288" s="5" t="s">
        <v>7366</v>
      </c>
      <c r="D288" s="297" t="s">
        <v>7367</v>
      </c>
      <c r="E288" s="102" t="s">
        <v>15</v>
      </c>
      <c r="F288" s="102">
        <v>2020</v>
      </c>
      <c r="G288" s="132" t="s">
        <v>16</v>
      </c>
      <c r="H288" s="102">
        <v>200</v>
      </c>
      <c r="I288" s="102">
        <v>200</v>
      </c>
      <c r="J288" s="102"/>
      <c r="K288" s="104"/>
      <c r="L288" s="105">
        <v>20201118</v>
      </c>
    </row>
    <row r="289" ht="15.3" customHeight="1" spans="1:12">
      <c r="A289" s="102">
        <v>287</v>
      </c>
      <c r="B289" s="102" t="s">
        <v>3375</v>
      </c>
      <c r="C289" s="5" t="s">
        <v>7368</v>
      </c>
      <c r="D289" s="297" t="s">
        <v>7369</v>
      </c>
      <c r="E289" s="102" t="s">
        <v>15</v>
      </c>
      <c r="F289" s="102">
        <v>2020</v>
      </c>
      <c r="G289" s="132" t="s">
        <v>16</v>
      </c>
      <c r="H289" s="102">
        <v>200</v>
      </c>
      <c r="I289" s="102">
        <v>200</v>
      </c>
      <c r="J289" s="102"/>
      <c r="K289" s="104"/>
      <c r="L289" s="105">
        <v>20201118</v>
      </c>
    </row>
    <row r="290" ht="15.3" customHeight="1" spans="1:12">
      <c r="A290" s="132">
        <v>288</v>
      </c>
      <c r="B290" s="102" t="s">
        <v>3375</v>
      </c>
      <c r="C290" s="5" t="s">
        <v>7370</v>
      </c>
      <c r="D290" s="297" t="s">
        <v>7371</v>
      </c>
      <c r="E290" s="102" t="s">
        <v>15</v>
      </c>
      <c r="F290" s="102">
        <v>2020</v>
      </c>
      <c r="G290" s="132" t="s">
        <v>16</v>
      </c>
      <c r="H290" s="102">
        <v>200</v>
      </c>
      <c r="I290" s="102">
        <v>200</v>
      </c>
      <c r="J290" s="102"/>
      <c r="K290" s="104"/>
      <c r="L290" s="105">
        <v>20201118</v>
      </c>
    </row>
    <row r="291" ht="15.3" customHeight="1" spans="1:12">
      <c r="A291" s="132">
        <v>289</v>
      </c>
      <c r="B291" s="102" t="s">
        <v>3375</v>
      </c>
      <c r="C291" s="5" t="s">
        <v>7372</v>
      </c>
      <c r="D291" s="297" t="s">
        <v>7373</v>
      </c>
      <c r="E291" s="102" t="s">
        <v>15</v>
      </c>
      <c r="F291" s="102">
        <v>2020</v>
      </c>
      <c r="G291" s="132" t="s">
        <v>16</v>
      </c>
      <c r="H291" s="102">
        <v>200</v>
      </c>
      <c r="I291" s="102">
        <v>200</v>
      </c>
      <c r="J291" s="102"/>
      <c r="K291" s="104"/>
      <c r="L291" s="105">
        <v>20201118</v>
      </c>
    </row>
    <row r="292" ht="15.3" customHeight="1" spans="1:12">
      <c r="A292" s="102">
        <v>290</v>
      </c>
      <c r="B292" s="93" t="s">
        <v>3375</v>
      </c>
      <c r="C292" s="93" t="s">
        <v>7374</v>
      </c>
      <c r="D292" s="298" t="s">
        <v>7375</v>
      </c>
      <c r="E292" s="93" t="s">
        <v>15</v>
      </c>
      <c r="F292" s="93">
        <v>2020</v>
      </c>
      <c r="G292" s="93" t="s">
        <v>295</v>
      </c>
      <c r="H292" s="93">
        <v>200</v>
      </c>
      <c r="I292" s="93">
        <v>200</v>
      </c>
      <c r="J292" s="93"/>
      <c r="K292" s="104"/>
      <c r="L292" s="105">
        <v>20201118</v>
      </c>
    </row>
    <row r="293" ht="15.3" customHeight="1" spans="1:12">
      <c r="A293" s="102">
        <v>291</v>
      </c>
      <c r="B293" s="102" t="s">
        <v>3375</v>
      </c>
      <c r="C293" s="5" t="s">
        <v>7376</v>
      </c>
      <c r="D293" s="297" t="s">
        <v>7377</v>
      </c>
      <c r="E293" s="102" t="s">
        <v>15</v>
      </c>
      <c r="F293" s="102">
        <v>2020</v>
      </c>
      <c r="G293" s="132" t="s">
        <v>16</v>
      </c>
      <c r="H293" s="102">
        <v>300</v>
      </c>
      <c r="I293" s="102">
        <v>300</v>
      </c>
      <c r="J293" s="102"/>
      <c r="K293" s="104"/>
      <c r="L293" s="105">
        <v>20201118</v>
      </c>
    </row>
    <row r="294" ht="15.3" customHeight="1" spans="1:12">
      <c r="A294" s="132">
        <v>292</v>
      </c>
      <c r="B294" s="102" t="s">
        <v>3375</v>
      </c>
      <c r="C294" s="5" t="s">
        <v>7378</v>
      </c>
      <c r="D294" s="297" t="s">
        <v>7379</v>
      </c>
      <c r="E294" s="102" t="s">
        <v>15</v>
      </c>
      <c r="F294" s="102">
        <v>2020</v>
      </c>
      <c r="G294" s="132" t="s">
        <v>16</v>
      </c>
      <c r="H294" s="102">
        <v>200</v>
      </c>
      <c r="I294" s="102">
        <v>200</v>
      </c>
      <c r="J294" s="102"/>
      <c r="K294" s="104"/>
      <c r="L294" s="105">
        <v>20201118</v>
      </c>
    </row>
    <row r="295" ht="15.3" customHeight="1" spans="1:12">
      <c r="A295" s="132">
        <v>293</v>
      </c>
      <c r="B295" s="102" t="s">
        <v>3375</v>
      </c>
      <c r="C295" s="5" t="s">
        <v>7380</v>
      </c>
      <c r="D295" s="297" t="s">
        <v>7381</v>
      </c>
      <c r="E295" s="102" t="s">
        <v>15</v>
      </c>
      <c r="F295" s="102">
        <v>2020</v>
      </c>
      <c r="G295" s="132" t="s">
        <v>16</v>
      </c>
      <c r="H295" s="102">
        <v>200</v>
      </c>
      <c r="I295" s="102">
        <v>200</v>
      </c>
      <c r="J295" s="102"/>
      <c r="K295" s="104"/>
      <c r="L295" s="105">
        <v>20201118</v>
      </c>
    </row>
    <row r="296" ht="15.3" customHeight="1" spans="1:12">
      <c r="A296" s="102">
        <v>294</v>
      </c>
      <c r="B296" s="102" t="s">
        <v>3375</v>
      </c>
      <c r="C296" s="5" t="s">
        <v>7382</v>
      </c>
      <c r="D296" s="297" t="s">
        <v>7383</v>
      </c>
      <c r="E296" s="102" t="s">
        <v>15</v>
      </c>
      <c r="F296" s="102">
        <v>2020</v>
      </c>
      <c r="G296" s="132" t="s">
        <v>16</v>
      </c>
      <c r="H296" s="102">
        <v>200</v>
      </c>
      <c r="I296" s="102">
        <v>200</v>
      </c>
      <c r="J296" s="102"/>
      <c r="K296" s="104"/>
      <c r="L296" s="105">
        <v>20201118</v>
      </c>
    </row>
    <row r="297" ht="15.3" customHeight="1" spans="1:12">
      <c r="A297" s="102">
        <v>295</v>
      </c>
      <c r="B297" s="102" t="s">
        <v>3375</v>
      </c>
      <c r="C297" s="5" t="s">
        <v>7384</v>
      </c>
      <c r="D297" s="297" t="s">
        <v>7385</v>
      </c>
      <c r="E297" s="102" t="s">
        <v>15</v>
      </c>
      <c r="F297" s="102">
        <v>2020</v>
      </c>
      <c r="G297" s="132" t="s">
        <v>16</v>
      </c>
      <c r="H297" s="102">
        <v>200</v>
      </c>
      <c r="I297" s="102">
        <v>200</v>
      </c>
      <c r="J297" s="102"/>
      <c r="K297" s="104"/>
      <c r="L297" s="105">
        <v>20201118</v>
      </c>
    </row>
    <row r="298" ht="15.3" customHeight="1" spans="1:12">
      <c r="A298" s="132">
        <v>296</v>
      </c>
      <c r="B298" s="102" t="s">
        <v>3375</v>
      </c>
      <c r="C298" s="5" t="s">
        <v>7386</v>
      </c>
      <c r="D298" s="297" t="s">
        <v>7387</v>
      </c>
      <c r="E298" s="102" t="s">
        <v>15</v>
      </c>
      <c r="F298" s="102">
        <v>2020</v>
      </c>
      <c r="G298" s="132" t="s">
        <v>16</v>
      </c>
      <c r="H298" s="102">
        <v>200</v>
      </c>
      <c r="I298" s="102">
        <v>200</v>
      </c>
      <c r="J298" s="102"/>
      <c r="K298" s="104"/>
      <c r="L298" s="105">
        <v>20201118</v>
      </c>
    </row>
    <row r="299" ht="15.3" customHeight="1" spans="1:12">
      <c r="A299" s="132">
        <v>297</v>
      </c>
      <c r="B299" s="102" t="s">
        <v>3375</v>
      </c>
      <c r="C299" s="5" t="s">
        <v>7388</v>
      </c>
      <c r="D299" s="297" t="s">
        <v>7389</v>
      </c>
      <c r="E299" s="102" t="s">
        <v>15</v>
      </c>
      <c r="F299" s="102">
        <v>2020</v>
      </c>
      <c r="G299" s="132" t="s">
        <v>16</v>
      </c>
      <c r="H299" s="102">
        <v>200</v>
      </c>
      <c r="I299" s="102">
        <v>200</v>
      </c>
      <c r="J299" s="102"/>
      <c r="K299" s="104"/>
      <c r="L299" s="105">
        <v>20201118</v>
      </c>
    </row>
    <row r="300" ht="15.3" customHeight="1" spans="1:12">
      <c r="A300" s="102">
        <v>298</v>
      </c>
      <c r="B300" s="102" t="s">
        <v>3375</v>
      </c>
      <c r="C300" s="5" t="s">
        <v>7390</v>
      </c>
      <c r="D300" s="297" t="s">
        <v>7391</v>
      </c>
      <c r="E300" s="102" t="s">
        <v>15</v>
      </c>
      <c r="F300" s="102">
        <v>2020</v>
      </c>
      <c r="G300" s="132" t="s">
        <v>16</v>
      </c>
      <c r="H300" s="102">
        <v>200</v>
      </c>
      <c r="I300" s="102">
        <v>200</v>
      </c>
      <c r="J300" s="102"/>
      <c r="K300" s="104"/>
      <c r="L300" s="105">
        <v>20201118</v>
      </c>
    </row>
    <row r="301" ht="15.3" customHeight="1" spans="1:12">
      <c r="A301" s="102">
        <v>299</v>
      </c>
      <c r="B301" s="102" t="s">
        <v>3375</v>
      </c>
      <c r="C301" s="5" t="s">
        <v>7392</v>
      </c>
      <c r="D301" s="297" t="s">
        <v>7393</v>
      </c>
      <c r="E301" s="102" t="s">
        <v>15</v>
      </c>
      <c r="F301" s="102">
        <v>2020</v>
      </c>
      <c r="G301" s="132" t="s">
        <v>16</v>
      </c>
      <c r="H301" s="102">
        <v>200</v>
      </c>
      <c r="I301" s="102">
        <v>200</v>
      </c>
      <c r="J301" s="102"/>
      <c r="K301" s="104"/>
      <c r="L301" s="105">
        <v>20201118</v>
      </c>
    </row>
    <row r="302" ht="15.3" customHeight="1" spans="1:12">
      <c r="A302" s="132">
        <v>300</v>
      </c>
      <c r="B302" s="93" t="s">
        <v>3375</v>
      </c>
      <c r="C302" s="93" t="s">
        <v>6417</v>
      </c>
      <c r="D302" s="298" t="s">
        <v>7394</v>
      </c>
      <c r="E302" s="93" t="s">
        <v>15</v>
      </c>
      <c r="F302" s="93">
        <v>2020</v>
      </c>
      <c r="G302" s="93" t="s">
        <v>295</v>
      </c>
      <c r="H302" s="93">
        <v>200</v>
      </c>
      <c r="I302" s="93">
        <v>200</v>
      </c>
      <c r="J302" s="93"/>
      <c r="K302" s="104"/>
      <c r="L302" s="105">
        <v>20201118</v>
      </c>
    </row>
    <row r="303" ht="15.3" customHeight="1" spans="1:12">
      <c r="A303" s="132">
        <v>301</v>
      </c>
      <c r="B303" s="102" t="s">
        <v>3375</v>
      </c>
      <c r="C303" s="5" t="s">
        <v>7395</v>
      </c>
      <c r="D303" s="297" t="s">
        <v>7396</v>
      </c>
      <c r="E303" s="102" t="s">
        <v>15</v>
      </c>
      <c r="F303" s="102">
        <v>2020</v>
      </c>
      <c r="G303" s="132" t="s">
        <v>16</v>
      </c>
      <c r="H303" s="102">
        <v>200</v>
      </c>
      <c r="I303" s="102">
        <v>200</v>
      </c>
      <c r="J303" s="102"/>
      <c r="K303" s="104"/>
      <c r="L303" s="105">
        <v>20201118</v>
      </c>
    </row>
    <row r="304" ht="15.3" customHeight="1" spans="1:12">
      <c r="A304" s="102">
        <v>302</v>
      </c>
      <c r="B304" s="102" t="s">
        <v>3375</v>
      </c>
      <c r="C304" s="5" t="s">
        <v>7397</v>
      </c>
      <c r="D304" s="297" t="s">
        <v>7398</v>
      </c>
      <c r="E304" s="102" t="s">
        <v>15</v>
      </c>
      <c r="F304" s="102">
        <v>2020</v>
      </c>
      <c r="G304" s="132" t="s">
        <v>16</v>
      </c>
      <c r="H304" s="102">
        <v>200</v>
      </c>
      <c r="I304" s="102">
        <v>200</v>
      </c>
      <c r="J304" s="102"/>
      <c r="K304" s="104"/>
      <c r="L304" s="105">
        <v>20201118</v>
      </c>
    </row>
    <row r="305" ht="15.3" customHeight="1" spans="1:12">
      <c r="A305" s="102">
        <v>303</v>
      </c>
      <c r="B305" s="102" t="s">
        <v>3375</v>
      </c>
      <c r="C305" s="5" t="s">
        <v>7399</v>
      </c>
      <c r="D305" s="297" t="s">
        <v>7400</v>
      </c>
      <c r="E305" s="102" t="s">
        <v>15</v>
      </c>
      <c r="F305" s="102">
        <v>2020</v>
      </c>
      <c r="G305" s="132" t="s">
        <v>16</v>
      </c>
      <c r="H305" s="102">
        <v>200</v>
      </c>
      <c r="I305" s="102">
        <v>200</v>
      </c>
      <c r="J305" s="102"/>
      <c r="K305" s="104"/>
      <c r="L305" s="105">
        <v>20201118</v>
      </c>
    </row>
    <row r="306" ht="15.3" customHeight="1" spans="1:12">
      <c r="A306" s="132">
        <v>304</v>
      </c>
      <c r="B306" s="102" t="s">
        <v>3375</v>
      </c>
      <c r="C306" s="5" t="s">
        <v>2266</v>
      </c>
      <c r="D306" s="102" t="s">
        <v>7401</v>
      </c>
      <c r="E306" s="102" t="s">
        <v>15</v>
      </c>
      <c r="F306" s="102">
        <v>2020</v>
      </c>
      <c r="G306" s="132" t="s">
        <v>16</v>
      </c>
      <c r="H306" s="102">
        <v>300</v>
      </c>
      <c r="I306" s="102">
        <v>300</v>
      </c>
      <c r="J306" s="102"/>
      <c r="K306" s="104"/>
      <c r="L306" s="105">
        <v>20201118</v>
      </c>
    </row>
    <row r="307" ht="15.3" customHeight="1" spans="1:12">
      <c r="A307" s="132">
        <v>305</v>
      </c>
      <c r="B307" s="93" t="s">
        <v>3375</v>
      </c>
      <c r="C307" s="93" t="s">
        <v>7402</v>
      </c>
      <c r="D307" s="298" t="s">
        <v>7403</v>
      </c>
      <c r="E307" s="93" t="s">
        <v>15</v>
      </c>
      <c r="F307" s="93">
        <v>2020</v>
      </c>
      <c r="G307" s="93" t="s">
        <v>295</v>
      </c>
      <c r="H307" s="93">
        <v>200</v>
      </c>
      <c r="I307" s="93">
        <v>200</v>
      </c>
      <c r="J307" s="93"/>
      <c r="K307" s="104"/>
      <c r="L307" s="105">
        <v>20201118</v>
      </c>
    </row>
    <row r="308" ht="15.3" customHeight="1" spans="1:12">
      <c r="A308" s="102">
        <v>306</v>
      </c>
      <c r="B308" s="102" t="s">
        <v>3375</v>
      </c>
      <c r="C308" s="6" t="s">
        <v>7404</v>
      </c>
      <c r="D308" s="122" t="s">
        <v>7405</v>
      </c>
      <c r="E308" s="102" t="s">
        <v>15</v>
      </c>
      <c r="F308" s="102">
        <v>2020</v>
      </c>
      <c r="G308" s="132" t="s">
        <v>16</v>
      </c>
      <c r="H308" s="102">
        <v>200</v>
      </c>
      <c r="I308" s="102">
        <v>200</v>
      </c>
      <c r="J308" s="102"/>
      <c r="K308" s="104"/>
      <c r="L308" s="105">
        <v>20201118</v>
      </c>
    </row>
    <row r="309" ht="15.3" customHeight="1" spans="1:12">
      <c r="A309" s="102">
        <v>307</v>
      </c>
      <c r="B309" s="93" t="s">
        <v>3375</v>
      </c>
      <c r="C309" s="6" t="s">
        <v>7406</v>
      </c>
      <c r="D309" s="109" t="s">
        <v>7407</v>
      </c>
      <c r="E309" s="102" t="s">
        <v>15</v>
      </c>
      <c r="F309" s="102">
        <v>2020</v>
      </c>
      <c r="G309" s="132" t="s">
        <v>16</v>
      </c>
      <c r="H309" s="102">
        <v>200</v>
      </c>
      <c r="I309" s="102">
        <v>200</v>
      </c>
      <c r="J309" s="102"/>
      <c r="K309" s="104"/>
      <c r="L309" s="105">
        <v>20201118</v>
      </c>
    </row>
    <row r="310" ht="15.3" customHeight="1" spans="1:12">
      <c r="A310" s="132">
        <v>308</v>
      </c>
      <c r="B310" s="102" t="s">
        <v>3375</v>
      </c>
      <c r="C310" s="137" t="s">
        <v>7408</v>
      </c>
      <c r="D310" s="137" t="s">
        <v>7409</v>
      </c>
      <c r="E310" s="154" t="s">
        <v>310</v>
      </c>
      <c r="F310" s="104">
        <v>2011</v>
      </c>
      <c r="G310" s="130" t="s">
        <v>289</v>
      </c>
      <c r="H310" s="154" t="s">
        <v>311</v>
      </c>
      <c r="I310" s="156">
        <v>200</v>
      </c>
      <c r="J310" s="104"/>
      <c r="K310" s="104"/>
      <c r="L310" s="105">
        <v>20200814</v>
      </c>
    </row>
    <row r="311" ht="48" customHeight="1" spans="1:12">
      <c r="A311" s="132">
        <v>309</v>
      </c>
      <c r="B311" s="107" t="s">
        <v>3375</v>
      </c>
      <c r="C311" s="107" t="s">
        <v>3376</v>
      </c>
      <c r="D311" s="107" t="s">
        <v>3377</v>
      </c>
      <c r="E311" s="131">
        <v>2020</v>
      </c>
      <c r="F311" s="102" t="s">
        <v>15</v>
      </c>
      <c r="G311" s="106" t="s">
        <v>16</v>
      </c>
      <c r="H311" s="107">
        <v>200</v>
      </c>
      <c r="I311" s="107">
        <v>200</v>
      </c>
      <c r="J311" s="104"/>
      <c r="K311" s="206" t="s">
        <v>7410</v>
      </c>
      <c r="L311" s="105">
        <v>20201118</v>
      </c>
    </row>
    <row r="312" spans="1:12">
      <c r="A312" s="108"/>
      <c r="B312" s="108"/>
      <c r="C312" s="108"/>
      <c r="D312" s="108"/>
      <c r="E312" s="108"/>
      <c r="F312" s="108"/>
      <c r="G312" s="108"/>
      <c r="H312" s="108"/>
      <c r="I312" s="105">
        <v>72600</v>
      </c>
      <c r="J312" s="108"/>
      <c r="K312" s="108"/>
      <c r="L312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87"/>
  <sheetViews>
    <sheetView topLeftCell="A541" workbookViewId="0">
      <selection activeCell="A3" sqref="A3:L584"/>
    </sheetView>
  </sheetViews>
  <sheetFormatPr defaultColWidth="9" defaultRowHeight="13.5"/>
  <cols>
    <col min="1" max="1" width="6" style="203" customWidth="1"/>
    <col min="2" max="2" width="8.875" style="203" customWidth="1"/>
    <col min="3" max="3" width="11.375" style="136" customWidth="1"/>
    <col min="4" max="4" width="21.625" style="203" customWidth="1"/>
    <col min="5" max="5" width="8.75" style="203" customWidth="1"/>
    <col min="6" max="6" width="7.5" style="203" customWidth="1"/>
    <col min="7" max="7" width="11" style="203" customWidth="1"/>
    <col min="8" max="9" width="9.25" style="203" customWidth="1"/>
    <col min="10" max="10" width="12.875" style="203" customWidth="1"/>
    <col min="11" max="11" width="14.375" style="203" customWidth="1"/>
    <col min="12" max="12" width="11.75" customWidth="1"/>
    <col min="13" max="13" width="9" style="133"/>
    <col min="14" max="16381" width="9" style="146"/>
  </cols>
  <sheetData>
    <row r="1" customFormat="1" ht="18.75" spans="1:12">
      <c r="A1" s="99" t="s">
        <v>7411</v>
      </c>
      <c r="B1" s="99"/>
      <c r="C1" s="100"/>
      <c r="D1" s="100"/>
      <c r="E1" s="100"/>
      <c r="F1" s="100"/>
      <c r="G1" s="100"/>
      <c r="H1" s="100"/>
      <c r="I1" s="100"/>
      <c r="J1" s="204"/>
      <c r="K1" s="100"/>
      <c r="L1" s="95"/>
    </row>
    <row r="2" s="96" customFormat="1" ht="15.5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spans="1:12">
      <c r="A3" s="132">
        <v>1</v>
      </c>
      <c r="B3" s="102" t="s">
        <v>7412</v>
      </c>
      <c r="C3" s="5" t="s">
        <v>7413</v>
      </c>
      <c r="D3" s="102" t="s">
        <v>7414</v>
      </c>
      <c r="E3" s="109">
        <v>2020</v>
      </c>
      <c r="F3" s="109">
        <v>2020</v>
      </c>
      <c r="G3" s="102" t="s">
        <v>3359</v>
      </c>
      <c r="H3" s="102">
        <v>200</v>
      </c>
      <c r="I3" s="102">
        <v>200</v>
      </c>
      <c r="J3" s="102"/>
      <c r="K3" s="102"/>
      <c r="L3" s="105">
        <v>20201118</v>
      </c>
    </row>
    <row r="4" spans="1:12">
      <c r="A4" s="132">
        <v>2</v>
      </c>
      <c r="B4" s="102" t="s">
        <v>7412</v>
      </c>
      <c r="C4" s="5" t="s">
        <v>3342</v>
      </c>
      <c r="D4" s="102" t="s">
        <v>7415</v>
      </c>
      <c r="E4" s="109">
        <v>2020</v>
      </c>
      <c r="F4" s="109">
        <v>2020</v>
      </c>
      <c r="G4" s="102" t="s">
        <v>3359</v>
      </c>
      <c r="H4" s="102">
        <v>200</v>
      </c>
      <c r="I4" s="102">
        <v>200</v>
      </c>
      <c r="J4" s="102"/>
      <c r="K4" s="102"/>
      <c r="L4" s="105">
        <v>20201118</v>
      </c>
    </row>
    <row r="5" spans="1:12">
      <c r="A5" s="132">
        <v>3</v>
      </c>
      <c r="B5" s="102" t="s">
        <v>7412</v>
      </c>
      <c r="C5" s="5" t="s">
        <v>7416</v>
      </c>
      <c r="D5" s="102" t="s">
        <v>7417</v>
      </c>
      <c r="E5" s="109">
        <v>2020</v>
      </c>
      <c r="F5" s="109">
        <v>2020</v>
      </c>
      <c r="G5" s="102" t="s">
        <v>3359</v>
      </c>
      <c r="H5" s="102">
        <v>200</v>
      </c>
      <c r="I5" s="102">
        <v>200</v>
      </c>
      <c r="J5" s="102"/>
      <c r="K5" s="102"/>
      <c r="L5" s="105">
        <v>20201118</v>
      </c>
    </row>
    <row r="6" spans="1:12">
      <c r="A6" s="132">
        <v>4</v>
      </c>
      <c r="B6" s="102" t="s">
        <v>7412</v>
      </c>
      <c r="C6" s="5" t="s">
        <v>7418</v>
      </c>
      <c r="D6" s="102" t="s">
        <v>7419</v>
      </c>
      <c r="E6" s="109">
        <v>2020</v>
      </c>
      <c r="F6" s="109">
        <v>2020</v>
      </c>
      <c r="G6" s="102" t="s">
        <v>3359</v>
      </c>
      <c r="H6" s="102">
        <v>1000</v>
      </c>
      <c r="I6" s="102">
        <v>1000</v>
      </c>
      <c r="J6" s="102"/>
      <c r="K6" s="102"/>
      <c r="L6" s="105">
        <v>20201118</v>
      </c>
    </row>
    <row r="7" spans="1:12">
      <c r="A7" s="132">
        <v>5</v>
      </c>
      <c r="B7" s="102" t="s">
        <v>7412</v>
      </c>
      <c r="C7" s="5" t="s">
        <v>7420</v>
      </c>
      <c r="D7" s="102" t="s">
        <v>7421</v>
      </c>
      <c r="E7" s="109">
        <v>2020</v>
      </c>
      <c r="F7" s="109">
        <v>2020</v>
      </c>
      <c r="G7" s="102" t="s">
        <v>3359</v>
      </c>
      <c r="H7" s="102">
        <v>200</v>
      </c>
      <c r="I7" s="102">
        <v>200</v>
      </c>
      <c r="J7" s="102"/>
      <c r="K7" s="102"/>
      <c r="L7" s="105">
        <v>20201118</v>
      </c>
    </row>
    <row r="8" spans="1:12">
      <c r="A8" s="132">
        <v>6</v>
      </c>
      <c r="B8" s="102" t="s">
        <v>7412</v>
      </c>
      <c r="C8" s="5" t="s">
        <v>7422</v>
      </c>
      <c r="D8" s="102" t="s">
        <v>7423</v>
      </c>
      <c r="E8" s="109">
        <v>2020</v>
      </c>
      <c r="F8" s="109">
        <v>2020</v>
      </c>
      <c r="G8" s="102" t="s">
        <v>3359</v>
      </c>
      <c r="H8" s="102">
        <v>200</v>
      </c>
      <c r="I8" s="102">
        <v>200</v>
      </c>
      <c r="J8" s="102"/>
      <c r="K8" s="102"/>
      <c r="L8" s="105">
        <v>20201118</v>
      </c>
    </row>
    <row r="9" spans="1:12">
      <c r="A9" s="132">
        <v>7</v>
      </c>
      <c r="B9" s="102" t="s">
        <v>7412</v>
      </c>
      <c r="C9" s="5" t="s">
        <v>7424</v>
      </c>
      <c r="D9" s="102" t="s">
        <v>7425</v>
      </c>
      <c r="E9" s="109">
        <v>2020</v>
      </c>
      <c r="F9" s="109">
        <v>2020</v>
      </c>
      <c r="G9" s="102" t="s">
        <v>3359</v>
      </c>
      <c r="H9" s="102">
        <v>200</v>
      </c>
      <c r="I9" s="102">
        <v>200</v>
      </c>
      <c r="J9" s="102" t="s">
        <v>1242</v>
      </c>
      <c r="K9" s="102"/>
      <c r="L9" s="105">
        <v>20201118</v>
      </c>
    </row>
    <row r="10" spans="1:12">
      <c r="A10" s="132">
        <v>8</v>
      </c>
      <c r="B10" s="102" t="s">
        <v>7412</v>
      </c>
      <c r="C10" s="5" t="s">
        <v>5316</v>
      </c>
      <c r="D10" s="102" t="s">
        <v>7426</v>
      </c>
      <c r="E10" s="109">
        <v>2020</v>
      </c>
      <c r="F10" s="109">
        <v>2020</v>
      </c>
      <c r="G10" s="102" t="s">
        <v>3359</v>
      </c>
      <c r="H10" s="102">
        <v>200</v>
      </c>
      <c r="I10" s="102">
        <v>200</v>
      </c>
      <c r="J10" s="102"/>
      <c r="K10" s="102"/>
      <c r="L10" s="105">
        <v>20201118</v>
      </c>
    </row>
    <row r="11" spans="1:12">
      <c r="A11" s="132">
        <v>9</v>
      </c>
      <c r="B11" s="102" t="s">
        <v>7412</v>
      </c>
      <c r="C11" s="5" t="s">
        <v>7427</v>
      </c>
      <c r="D11" s="102" t="s">
        <v>7428</v>
      </c>
      <c r="E11" s="109">
        <v>2020</v>
      </c>
      <c r="F11" s="109">
        <v>2020</v>
      </c>
      <c r="G11" s="102" t="s">
        <v>3359</v>
      </c>
      <c r="H11" s="102">
        <v>200</v>
      </c>
      <c r="I11" s="102">
        <v>200</v>
      </c>
      <c r="J11" s="102"/>
      <c r="K11" s="102"/>
      <c r="L11" s="105">
        <v>20201118</v>
      </c>
    </row>
    <row r="12" spans="1:12">
      <c r="A12" s="132">
        <v>10</v>
      </c>
      <c r="B12" s="102" t="s">
        <v>7412</v>
      </c>
      <c r="C12" s="5" t="s">
        <v>7429</v>
      </c>
      <c r="D12" s="102" t="s">
        <v>7430</v>
      </c>
      <c r="E12" s="109">
        <v>2020</v>
      </c>
      <c r="F12" s="109">
        <v>2020</v>
      </c>
      <c r="G12" s="102" t="s">
        <v>3359</v>
      </c>
      <c r="H12" s="102">
        <v>200</v>
      </c>
      <c r="I12" s="102">
        <v>200</v>
      </c>
      <c r="J12" s="102"/>
      <c r="K12" s="102"/>
      <c r="L12" s="105">
        <v>20201118</v>
      </c>
    </row>
    <row r="13" spans="1:12">
      <c r="A13" s="132">
        <v>11</v>
      </c>
      <c r="B13" s="102" t="s">
        <v>7412</v>
      </c>
      <c r="C13" s="5" t="s">
        <v>7431</v>
      </c>
      <c r="D13" s="102" t="s">
        <v>7432</v>
      </c>
      <c r="E13" s="109">
        <v>2020</v>
      </c>
      <c r="F13" s="109">
        <v>2020</v>
      </c>
      <c r="G13" s="102" t="s">
        <v>3359</v>
      </c>
      <c r="H13" s="102">
        <v>200</v>
      </c>
      <c r="I13" s="102">
        <v>200</v>
      </c>
      <c r="J13" s="102"/>
      <c r="K13" s="102"/>
      <c r="L13" s="105">
        <v>20201118</v>
      </c>
    </row>
    <row r="14" spans="1:12">
      <c r="A14" s="132">
        <v>12</v>
      </c>
      <c r="B14" s="102" t="s">
        <v>7412</v>
      </c>
      <c r="C14" s="5" t="s">
        <v>7433</v>
      </c>
      <c r="D14" s="102" t="s">
        <v>7434</v>
      </c>
      <c r="E14" s="109">
        <v>2020</v>
      </c>
      <c r="F14" s="109">
        <v>2020</v>
      </c>
      <c r="G14" s="102" t="s">
        <v>3359</v>
      </c>
      <c r="H14" s="102">
        <v>200</v>
      </c>
      <c r="I14" s="102">
        <v>200</v>
      </c>
      <c r="J14" s="102" t="s">
        <v>7435</v>
      </c>
      <c r="K14" s="102"/>
      <c r="L14" s="105">
        <v>20201118</v>
      </c>
    </row>
    <row r="15" spans="1:12">
      <c r="A15" s="132">
        <v>13</v>
      </c>
      <c r="B15" s="102" t="s">
        <v>7412</v>
      </c>
      <c r="C15" s="5" t="s">
        <v>7436</v>
      </c>
      <c r="D15" s="102" t="s">
        <v>7437</v>
      </c>
      <c r="E15" s="109">
        <v>2020</v>
      </c>
      <c r="F15" s="109">
        <v>2020</v>
      </c>
      <c r="G15" s="102" t="s">
        <v>3359</v>
      </c>
      <c r="H15" s="102">
        <v>200</v>
      </c>
      <c r="I15" s="102">
        <v>200</v>
      </c>
      <c r="J15" s="102"/>
      <c r="K15" s="102"/>
      <c r="L15" s="105">
        <v>20201118</v>
      </c>
    </row>
    <row r="16" spans="1:12">
      <c r="A16" s="132">
        <v>14</v>
      </c>
      <c r="B16" s="102" t="s">
        <v>7412</v>
      </c>
      <c r="C16" s="5" t="s">
        <v>7438</v>
      </c>
      <c r="D16" s="102" t="s">
        <v>7439</v>
      </c>
      <c r="E16" s="109">
        <v>2020</v>
      </c>
      <c r="F16" s="109">
        <v>2020</v>
      </c>
      <c r="G16" s="102" t="s">
        <v>3359</v>
      </c>
      <c r="H16" s="102">
        <v>200</v>
      </c>
      <c r="I16" s="102">
        <v>200</v>
      </c>
      <c r="J16" s="102" t="s">
        <v>1242</v>
      </c>
      <c r="K16" s="102"/>
      <c r="L16" s="105">
        <v>20201118</v>
      </c>
    </row>
    <row r="17" spans="1:12">
      <c r="A17" s="132">
        <v>15</v>
      </c>
      <c r="B17" s="102" t="s">
        <v>7412</v>
      </c>
      <c r="C17" s="5" t="s">
        <v>7440</v>
      </c>
      <c r="D17" s="102" t="s">
        <v>7441</v>
      </c>
      <c r="E17" s="109">
        <v>2020</v>
      </c>
      <c r="F17" s="109">
        <v>2020</v>
      </c>
      <c r="G17" s="102" t="s">
        <v>3359</v>
      </c>
      <c r="H17" s="102">
        <v>200</v>
      </c>
      <c r="I17" s="102">
        <v>200</v>
      </c>
      <c r="J17" s="102"/>
      <c r="K17" s="102"/>
      <c r="L17" s="105">
        <v>20201118</v>
      </c>
    </row>
    <row r="18" spans="1:12">
      <c r="A18" s="132">
        <v>16</v>
      </c>
      <c r="B18" s="102" t="s">
        <v>7412</v>
      </c>
      <c r="C18" s="5" t="s">
        <v>7442</v>
      </c>
      <c r="D18" s="102" t="s">
        <v>7443</v>
      </c>
      <c r="E18" s="109">
        <v>2020</v>
      </c>
      <c r="F18" s="109">
        <v>2020</v>
      </c>
      <c r="G18" s="102" t="s">
        <v>3359</v>
      </c>
      <c r="H18" s="102">
        <v>200</v>
      </c>
      <c r="I18" s="102">
        <v>200</v>
      </c>
      <c r="J18" s="102"/>
      <c r="K18" s="102"/>
      <c r="L18" s="105">
        <v>20201118</v>
      </c>
    </row>
    <row r="19" spans="1:12">
      <c r="A19" s="132">
        <v>17</v>
      </c>
      <c r="B19" s="102" t="s">
        <v>7412</v>
      </c>
      <c r="C19" s="5" t="s">
        <v>7444</v>
      </c>
      <c r="D19" s="102" t="s">
        <v>7445</v>
      </c>
      <c r="E19" s="109">
        <v>2020</v>
      </c>
      <c r="F19" s="109">
        <v>2020</v>
      </c>
      <c r="G19" s="102" t="s">
        <v>3359</v>
      </c>
      <c r="H19" s="102">
        <v>200</v>
      </c>
      <c r="I19" s="102">
        <v>200</v>
      </c>
      <c r="J19" s="102"/>
      <c r="K19" s="102"/>
      <c r="L19" s="105">
        <v>20201118</v>
      </c>
    </row>
    <row r="20" spans="1:12">
      <c r="A20" s="132">
        <v>18</v>
      </c>
      <c r="B20" s="102" t="s">
        <v>7412</v>
      </c>
      <c r="C20" s="5" t="s">
        <v>5106</v>
      </c>
      <c r="D20" s="102" t="s">
        <v>7446</v>
      </c>
      <c r="E20" s="109">
        <v>2020</v>
      </c>
      <c r="F20" s="109">
        <v>2020</v>
      </c>
      <c r="G20" s="102" t="s">
        <v>3359</v>
      </c>
      <c r="H20" s="102">
        <v>200</v>
      </c>
      <c r="I20" s="102">
        <v>200</v>
      </c>
      <c r="J20" s="102"/>
      <c r="K20" s="102"/>
      <c r="L20" s="105">
        <v>20201118</v>
      </c>
    </row>
    <row r="21" spans="1:12">
      <c r="A21" s="132">
        <v>19</v>
      </c>
      <c r="B21" s="102" t="s">
        <v>7412</v>
      </c>
      <c r="C21" s="5" t="s">
        <v>7447</v>
      </c>
      <c r="D21" s="102" t="s">
        <v>7448</v>
      </c>
      <c r="E21" s="109">
        <v>2020</v>
      </c>
      <c r="F21" s="109">
        <v>2020</v>
      </c>
      <c r="G21" s="102" t="s">
        <v>3359</v>
      </c>
      <c r="H21" s="102">
        <v>200</v>
      </c>
      <c r="I21" s="102">
        <v>200</v>
      </c>
      <c r="J21" s="102"/>
      <c r="K21" s="102"/>
      <c r="L21" s="105">
        <v>20201118</v>
      </c>
    </row>
    <row r="22" spans="1:12">
      <c r="A22" s="132">
        <v>20</v>
      </c>
      <c r="B22" s="102" t="s">
        <v>7412</v>
      </c>
      <c r="C22" s="5" t="s">
        <v>7449</v>
      </c>
      <c r="D22" s="102" t="s">
        <v>7450</v>
      </c>
      <c r="E22" s="109">
        <v>2020</v>
      </c>
      <c r="F22" s="109">
        <v>2020</v>
      </c>
      <c r="G22" s="102" t="s">
        <v>3359</v>
      </c>
      <c r="H22" s="102">
        <v>200</v>
      </c>
      <c r="I22" s="102">
        <v>200</v>
      </c>
      <c r="J22" s="102"/>
      <c r="K22" s="102"/>
      <c r="L22" s="105">
        <v>20201118</v>
      </c>
    </row>
    <row r="23" spans="1:12">
      <c r="A23" s="132">
        <v>21</v>
      </c>
      <c r="B23" s="102" t="s">
        <v>7412</v>
      </c>
      <c r="C23" s="5" t="s">
        <v>7451</v>
      </c>
      <c r="D23" s="102" t="s">
        <v>7452</v>
      </c>
      <c r="E23" s="109">
        <v>2020</v>
      </c>
      <c r="F23" s="109">
        <v>2020</v>
      </c>
      <c r="G23" s="102" t="s">
        <v>3359</v>
      </c>
      <c r="H23" s="102">
        <v>200</v>
      </c>
      <c r="I23" s="102">
        <v>200</v>
      </c>
      <c r="J23" s="102"/>
      <c r="K23" s="102"/>
      <c r="L23" s="105">
        <v>20201118</v>
      </c>
    </row>
    <row r="24" spans="1:12">
      <c r="A24" s="132">
        <v>22</v>
      </c>
      <c r="B24" s="102" t="s">
        <v>7412</v>
      </c>
      <c r="C24" s="5" t="s">
        <v>7453</v>
      </c>
      <c r="D24" s="102" t="s">
        <v>7454</v>
      </c>
      <c r="E24" s="109">
        <v>2020</v>
      </c>
      <c r="F24" s="109">
        <v>2020</v>
      </c>
      <c r="G24" s="102" t="s">
        <v>3359</v>
      </c>
      <c r="H24" s="102">
        <v>200</v>
      </c>
      <c r="I24" s="102">
        <v>200</v>
      </c>
      <c r="J24" s="102"/>
      <c r="K24" s="102"/>
      <c r="L24" s="105">
        <v>20201118</v>
      </c>
    </row>
    <row r="25" spans="1:12">
      <c r="A25" s="132">
        <v>23</v>
      </c>
      <c r="B25" s="102" t="s">
        <v>7412</v>
      </c>
      <c r="C25" s="5" t="s">
        <v>7455</v>
      </c>
      <c r="D25" s="102" t="s">
        <v>7456</v>
      </c>
      <c r="E25" s="109">
        <v>2020</v>
      </c>
      <c r="F25" s="109">
        <v>2020</v>
      </c>
      <c r="G25" s="102" t="s">
        <v>3359</v>
      </c>
      <c r="H25" s="102">
        <v>200</v>
      </c>
      <c r="I25" s="102">
        <v>200</v>
      </c>
      <c r="J25" s="102"/>
      <c r="K25" s="102"/>
      <c r="L25" s="105">
        <v>20201118</v>
      </c>
    </row>
    <row r="26" spans="1:12">
      <c r="A26" s="132">
        <v>24</v>
      </c>
      <c r="B26" s="102" t="s">
        <v>7412</v>
      </c>
      <c r="C26" s="5" t="s">
        <v>7457</v>
      </c>
      <c r="D26" s="102" t="s">
        <v>7458</v>
      </c>
      <c r="E26" s="109">
        <v>2020</v>
      </c>
      <c r="F26" s="109">
        <v>2020</v>
      </c>
      <c r="G26" s="102" t="s">
        <v>3359</v>
      </c>
      <c r="H26" s="102">
        <v>200</v>
      </c>
      <c r="I26" s="102">
        <v>200</v>
      </c>
      <c r="J26" s="102"/>
      <c r="K26" s="102"/>
      <c r="L26" s="105">
        <v>20201118</v>
      </c>
    </row>
    <row r="27" spans="1:12">
      <c r="A27" s="132">
        <v>25</v>
      </c>
      <c r="B27" s="102" t="s">
        <v>7412</v>
      </c>
      <c r="C27" s="5" t="s">
        <v>7459</v>
      </c>
      <c r="D27" s="102" t="s">
        <v>7460</v>
      </c>
      <c r="E27" s="109">
        <v>2020</v>
      </c>
      <c r="F27" s="109">
        <v>2020</v>
      </c>
      <c r="G27" s="102" t="s">
        <v>3359</v>
      </c>
      <c r="H27" s="102">
        <v>200</v>
      </c>
      <c r="I27" s="102">
        <v>200</v>
      </c>
      <c r="J27" s="102"/>
      <c r="K27" s="102"/>
      <c r="L27" s="105">
        <v>20201118</v>
      </c>
    </row>
    <row r="28" spans="1:12">
      <c r="A28" s="132">
        <v>26</v>
      </c>
      <c r="B28" s="102" t="s">
        <v>7412</v>
      </c>
      <c r="C28" s="5" t="s">
        <v>7461</v>
      </c>
      <c r="D28" s="102" t="s">
        <v>7462</v>
      </c>
      <c r="E28" s="109">
        <v>2020</v>
      </c>
      <c r="F28" s="109">
        <v>2020</v>
      </c>
      <c r="G28" s="102" t="s">
        <v>3359</v>
      </c>
      <c r="H28" s="102">
        <v>200</v>
      </c>
      <c r="I28" s="102">
        <v>200</v>
      </c>
      <c r="J28" s="102" t="s">
        <v>1242</v>
      </c>
      <c r="K28" s="102"/>
      <c r="L28" s="105">
        <v>20201118</v>
      </c>
    </row>
    <row r="29" spans="1:12">
      <c r="A29" s="132">
        <v>27</v>
      </c>
      <c r="B29" s="102" t="s">
        <v>7412</v>
      </c>
      <c r="C29" s="5" t="s">
        <v>7463</v>
      </c>
      <c r="D29" s="102" t="s">
        <v>7464</v>
      </c>
      <c r="E29" s="109">
        <v>2020</v>
      </c>
      <c r="F29" s="109">
        <v>2020</v>
      </c>
      <c r="G29" s="102" t="s">
        <v>3359</v>
      </c>
      <c r="H29" s="102">
        <v>200</v>
      </c>
      <c r="I29" s="102">
        <v>200</v>
      </c>
      <c r="J29" s="102"/>
      <c r="K29" s="102"/>
      <c r="L29" s="105">
        <v>20201118</v>
      </c>
    </row>
    <row r="30" spans="1:12">
      <c r="A30" s="132">
        <v>28</v>
      </c>
      <c r="B30" s="102" t="s">
        <v>7412</v>
      </c>
      <c r="C30" s="5" t="s">
        <v>7465</v>
      </c>
      <c r="D30" s="102" t="s">
        <v>7466</v>
      </c>
      <c r="E30" s="109">
        <v>2020</v>
      </c>
      <c r="F30" s="109">
        <v>2020</v>
      </c>
      <c r="G30" s="102" t="s">
        <v>3359</v>
      </c>
      <c r="H30" s="102">
        <v>200</v>
      </c>
      <c r="I30" s="102">
        <v>200</v>
      </c>
      <c r="J30" s="102" t="s">
        <v>3647</v>
      </c>
      <c r="K30" s="102"/>
      <c r="L30" s="105">
        <v>20201118</v>
      </c>
    </row>
    <row r="31" spans="1:12">
      <c r="A31" s="132">
        <v>29</v>
      </c>
      <c r="B31" s="102" t="s">
        <v>7412</v>
      </c>
      <c r="C31" s="5" t="s">
        <v>7467</v>
      </c>
      <c r="D31" s="102" t="s">
        <v>7468</v>
      </c>
      <c r="E31" s="109">
        <v>2020</v>
      </c>
      <c r="F31" s="109">
        <v>2020</v>
      </c>
      <c r="G31" s="102" t="s">
        <v>3359</v>
      </c>
      <c r="H31" s="102">
        <v>200</v>
      </c>
      <c r="I31" s="102">
        <v>200</v>
      </c>
      <c r="J31" s="102"/>
      <c r="K31" s="102"/>
      <c r="L31" s="105">
        <v>20201118</v>
      </c>
    </row>
    <row r="32" spans="1:12">
      <c r="A32" s="132">
        <v>30</v>
      </c>
      <c r="B32" s="102" t="s">
        <v>7412</v>
      </c>
      <c r="C32" s="5" t="s">
        <v>7469</v>
      </c>
      <c r="D32" s="102" t="s">
        <v>7470</v>
      </c>
      <c r="E32" s="109">
        <v>2020</v>
      </c>
      <c r="F32" s="109">
        <v>2020</v>
      </c>
      <c r="G32" s="102" t="s">
        <v>3359</v>
      </c>
      <c r="H32" s="102">
        <v>500</v>
      </c>
      <c r="I32" s="102">
        <v>500</v>
      </c>
      <c r="J32" s="102"/>
      <c r="K32" s="102"/>
      <c r="L32" s="105">
        <v>20201118</v>
      </c>
    </row>
    <row r="33" spans="1:12">
      <c r="A33" s="132">
        <v>31</v>
      </c>
      <c r="B33" s="102" t="s">
        <v>7412</v>
      </c>
      <c r="C33" s="5" t="s">
        <v>7471</v>
      </c>
      <c r="D33" s="102" t="s">
        <v>7472</v>
      </c>
      <c r="E33" s="109">
        <v>2020</v>
      </c>
      <c r="F33" s="109">
        <v>2020</v>
      </c>
      <c r="G33" s="102" t="s">
        <v>3359</v>
      </c>
      <c r="H33" s="102">
        <v>1000</v>
      </c>
      <c r="I33" s="102">
        <v>1000</v>
      </c>
      <c r="J33" s="102"/>
      <c r="K33" s="102"/>
      <c r="L33" s="105">
        <v>20201118</v>
      </c>
    </row>
    <row r="34" spans="1:12">
      <c r="A34" s="132">
        <v>32</v>
      </c>
      <c r="B34" s="102" t="s">
        <v>7412</v>
      </c>
      <c r="C34" s="5" t="s">
        <v>7473</v>
      </c>
      <c r="D34" s="102" t="s">
        <v>7474</v>
      </c>
      <c r="E34" s="109">
        <v>2020</v>
      </c>
      <c r="F34" s="109">
        <v>2020</v>
      </c>
      <c r="G34" s="102" t="s">
        <v>3359</v>
      </c>
      <c r="H34" s="102">
        <v>200</v>
      </c>
      <c r="I34" s="102">
        <v>200</v>
      </c>
      <c r="J34" s="102"/>
      <c r="K34" s="102"/>
      <c r="L34" s="105">
        <v>20201118</v>
      </c>
    </row>
    <row r="35" spans="1:12">
      <c r="A35" s="132">
        <v>33</v>
      </c>
      <c r="B35" s="102" t="s">
        <v>7412</v>
      </c>
      <c r="C35" s="5" t="s">
        <v>7475</v>
      </c>
      <c r="D35" s="102" t="s">
        <v>7476</v>
      </c>
      <c r="E35" s="109">
        <v>2020</v>
      </c>
      <c r="F35" s="109">
        <v>2020</v>
      </c>
      <c r="G35" s="102" t="s">
        <v>3359</v>
      </c>
      <c r="H35" s="102">
        <v>200</v>
      </c>
      <c r="I35" s="102">
        <v>200</v>
      </c>
      <c r="J35" s="102"/>
      <c r="K35" s="102"/>
      <c r="L35" s="105">
        <v>20201118</v>
      </c>
    </row>
    <row r="36" spans="1:12">
      <c r="A36" s="132">
        <v>34</v>
      </c>
      <c r="B36" s="102" t="s">
        <v>7412</v>
      </c>
      <c r="C36" s="5" t="s">
        <v>7477</v>
      </c>
      <c r="D36" s="102" t="s">
        <v>7478</v>
      </c>
      <c r="E36" s="109">
        <v>2020</v>
      </c>
      <c r="F36" s="109">
        <v>2020</v>
      </c>
      <c r="G36" s="102" t="s">
        <v>3359</v>
      </c>
      <c r="H36" s="102">
        <v>200</v>
      </c>
      <c r="I36" s="102">
        <v>200</v>
      </c>
      <c r="J36" s="102" t="s">
        <v>1242</v>
      </c>
      <c r="K36" s="102"/>
      <c r="L36" s="105">
        <v>20201118</v>
      </c>
    </row>
    <row r="37" spans="1:12">
      <c r="A37" s="132">
        <v>35</v>
      </c>
      <c r="B37" s="102" t="s">
        <v>7412</v>
      </c>
      <c r="C37" s="5" t="s">
        <v>7479</v>
      </c>
      <c r="D37" s="102" t="s">
        <v>7480</v>
      </c>
      <c r="E37" s="109">
        <v>2020</v>
      </c>
      <c r="F37" s="109">
        <v>2020</v>
      </c>
      <c r="G37" s="102" t="s">
        <v>3359</v>
      </c>
      <c r="H37" s="102">
        <v>200</v>
      </c>
      <c r="I37" s="102">
        <v>200</v>
      </c>
      <c r="J37" s="102"/>
      <c r="K37" s="102"/>
      <c r="L37" s="105">
        <v>20201118</v>
      </c>
    </row>
    <row r="38" spans="1:12">
      <c r="A38" s="132">
        <v>36</v>
      </c>
      <c r="B38" s="102" t="s">
        <v>7412</v>
      </c>
      <c r="C38" s="5" t="s">
        <v>7481</v>
      </c>
      <c r="D38" s="102" t="s">
        <v>7482</v>
      </c>
      <c r="E38" s="109">
        <v>2020</v>
      </c>
      <c r="F38" s="109">
        <v>2020</v>
      </c>
      <c r="G38" s="102" t="s">
        <v>3359</v>
      </c>
      <c r="H38" s="102">
        <v>200</v>
      </c>
      <c r="I38" s="102">
        <v>200</v>
      </c>
      <c r="J38" s="102"/>
      <c r="K38" s="102"/>
      <c r="L38" s="105">
        <v>20201118</v>
      </c>
    </row>
    <row r="39" spans="1:12">
      <c r="A39" s="132">
        <v>37</v>
      </c>
      <c r="B39" s="102" t="s">
        <v>7412</v>
      </c>
      <c r="C39" s="5" t="s">
        <v>7483</v>
      </c>
      <c r="D39" s="102" t="s">
        <v>7484</v>
      </c>
      <c r="E39" s="109">
        <v>2020</v>
      </c>
      <c r="F39" s="109">
        <v>2020</v>
      </c>
      <c r="G39" s="102" t="s">
        <v>3359</v>
      </c>
      <c r="H39" s="102">
        <v>200</v>
      </c>
      <c r="I39" s="102">
        <v>200</v>
      </c>
      <c r="J39" s="102"/>
      <c r="K39" s="102"/>
      <c r="L39" s="105">
        <v>20201118</v>
      </c>
    </row>
    <row r="40" spans="1:12">
      <c r="A40" s="132">
        <v>38</v>
      </c>
      <c r="B40" s="102" t="s">
        <v>7412</v>
      </c>
      <c r="C40" s="5" t="s">
        <v>7485</v>
      </c>
      <c r="D40" s="102" t="s">
        <v>7486</v>
      </c>
      <c r="E40" s="109">
        <v>2020</v>
      </c>
      <c r="F40" s="109">
        <v>2020</v>
      </c>
      <c r="G40" s="102" t="s">
        <v>3359</v>
      </c>
      <c r="H40" s="102">
        <v>500</v>
      </c>
      <c r="I40" s="102">
        <v>500</v>
      </c>
      <c r="J40" s="102"/>
      <c r="K40" s="102"/>
      <c r="L40" s="105">
        <v>20201118</v>
      </c>
    </row>
    <row r="41" spans="1:12">
      <c r="A41" s="132">
        <v>39</v>
      </c>
      <c r="B41" s="102" t="s">
        <v>7412</v>
      </c>
      <c r="C41" s="5" t="s">
        <v>7487</v>
      </c>
      <c r="D41" s="102" t="s">
        <v>7488</v>
      </c>
      <c r="E41" s="109">
        <v>2020</v>
      </c>
      <c r="F41" s="109">
        <v>2020</v>
      </c>
      <c r="G41" s="102" t="s">
        <v>3359</v>
      </c>
      <c r="H41" s="102">
        <v>300</v>
      </c>
      <c r="I41" s="102">
        <v>300</v>
      </c>
      <c r="J41" s="102"/>
      <c r="K41" s="102"/>
      <c r="L41" s="105">
        <v>20201118</v>
      </c>
    </row>
    <row r="42" spans="1:12">
      <c r="A42" s="132">
        <v>40</v>
      </c>
      <c r="B42" s="102" t="s">
        <v>7412</v>
      </c>
      <c r="C42" s="5" t="s">
        <v>7489</v>
      </c>
      <c r="D42" s="102" t="s">
        <v>7490</v>
      </c>
      <c r="E42" s="109">
        <v>2020</v>
      </c>
      <c r="F42" s="109">
        <v>2020</v>
      </c>
      <c r="G42" s="102" t="s">
        <v>3359</v>
      </c>
      <c r="H42" s="102">
        <v>200</v>
      </c>
      <c r="I42" s="102">
        <v>200</v>
      </c>
      <c r="J42" s="102"/>
      <c r="K42" s="102"/>
      <c r="L42" s="105">
        <v>20201118</v>
      </c>
    </row>
    <row r="43" spans="1:12">
      <c r="A43" s="132">
        <v>41</v>
      </c>
      <c r="B43" s="102" t="s">
        <v>7412</v>
      </c>
      <c r="C43" s="5" t="s">
        <v>4981</v>
      </c>
      <c r="D43" s="102" t="s">
        <v>7491</v>
      </c>
      <c r="E43" s="109">
        <v>2020</v>
      </c>
      <c r="F43" s="109">
        <v>2020</v>
      </c>
      <c r="G43" s="102" t="s">
        <v>3359</v>
      </c>
      <c r="H43" s="102">
        <v>200</v>
      </c>
      <c r="I43" s="102">
        <v>200</v>
      </c>
      <c r="J43" s="102"/>
      <c r="K43" s="102"/>
      <c r="L43" s="105">
        <v>20201118</v>
      </c>
    </row>
    <row r="44" spans="1:12">
      <c r="A44" s="132">
        <v>42</v>
      </c>
      <c r="B44" s="102" t="s">
        <v>7412</v>
      </c>
      <c r="C44" s="5" t="s">
        <v>7492</v>
      </c>
      <c r="D44" s="102" t="s">
        <v>7493</v>
      </c>
      <c r="E44" s="109">
        <v>2020</v>
      </c>
      <c r="F44" s="109">
        <v>2020</v>
      </c>
      <c r="G44" s="102" t="s">
        <v>3359</v>
      </c>
      <c r="H44" s="102">
        <v>200</v>
      </c>
      <c r="I44" s="102">
        <v>200</v>
      </c>
      <c r="J44" s="102"/>
      <c r="K44" s="102"/>
      <c r="L44" s="105">
        <v>20201118</v>
      </c>
    </row>
    <row r="45" spans="1:12">
      <c r="A45" s="132">
        <v>43</v>
      </c>
      <c r="B45" s="102" t="s">
        <v>7412</v>
      </c>
      <c r="C45" s="5" t="s">
        <v>7494</v>
      </c>
      <c r="D45" s="102" t="s">
        <v>7495</v>
      </c>
      <c r="E45" s="109">
        <v>2020</v>
      </c>
      <c r="F45" s="109">
        <v>2020</v>
      </c>
      <c r="G45" s="102" t="s">
        <v>3359</v>
      </c>
      <c r="H45" s="102">
        <v>200</v>
      </c>
      <c r="I45" s="102">
        <v>200</v>
      </c>
      <c r="J45" s="102"/>
      <c r="K45" s="102"/>
      <c r="L45" s="105">
        <v>20201118</v>
      </c>
    </row>
    <row r="46" spans="1:12">
      <c r="A46" s="132">
        <v>44</v>
      </c>
      <c r="B46" s="102" t="s">
        <v>7412</v>
      </c>
      <c r="C46" s="5" t="s">
        <v>7496</v>
      </c>
      <c r="D46" s="102" t="s">
        <v>7497</v>
      </c>
      <c r="E46" s="109">
        <v>2020</v>
      </c>
      <c r="F46" s="109">
        <v>2020</v>
      </c>
      <c r="G46" s="102" t="s">
        <v>3359</v>
      </c>
      <c r="H46" s="102">
        <v>1000</v>
      </c>
      <c r="I46" s="102">
        <v>1000</v>
      </c>
      <c r="J46" s="102"/>
      <c r="K46" s="102"/>
      <c r="L46" s="105">
        <v>20201118</v>
      </c>
    </row>
    <row r="47" spans="1:12">
      <c r="A47" s="132">
        <v>45</v>
      </c>
      <c r="B47" s="102" t="s">
        <v>7412</v>
      </c>
      <c r="C47" s="5" t="s">
        <v>7498</v>
      </c>
      <c r="D47" s="102" t="s">
        <v>7499</v>
      </c>
      <c r="E47" s="109">
        <v>2020</v>
      </c>
      <c r="F47" s="109">
        <v>2020</v>
      </c>
      <c r="G47" s="102" t="s">
        <v>3359</v>
      </c>
      <c r="H47" s="102">
        <v>200</v>
      </c>
      <c r="I47" s="102">
        <v>200</v>
      </c>
      <c r="J47" s="102"/>
      <c r="K47" s="102"/>
      <c r="L47" s="105">
        <v>20201118</v>
      </c>
    </row>
    <row r="48" spans="1:12">
      <c r="A48" s="132">
        <v>46</v>
      </c>
      <c r="B48" s="102" t="s">
        <v>7412</v>
      </c>
      <c r="C48" s="5" t="s">
        <v>7500</v>
      </c>
      <c r="D48" s="102" t="s">
        <v>7501</v>
      </c>
      <c r="E48" s="109">
        <v>2020</v>
      </c>
      <c r="F48" s="109">
        <v>2020</v>
      </c>
      <c r="G48" s="102" t="s">
        <v>3359</v>
      </c>
      <c r="H48" s="102">
        <v>200</v>
      </c>
      <c r="I48" s="102">
        <v>200</v>
      </c>
      <c r="J48" s="102"/>
      <c r="K48" s="102"/>
      <c r="L48" s="105">
        <v>20201118</v>
      </c>
    </row>
    <row r="49" spans="1:12">
      <c r="A49" s="132">
        <v>47</v>
      </c>
      <c r="B49" s="102" t="s">
        <v>7412</v>
      </c>
      <c r="C49" s="5" t="s">
        <v>7502</v>
      </c>
      <c r="D49" s="102" t="s">
        <v>7503</v>
      </c>
      <c r="E49" s="109">
        <v>2020</v>
      </c>
      <c r="F49" s="109">
        <v>2020</v>
      </c>
      <c r="G49" s="102" t="s">
        <v>3359</v>
      </c>
      <c r="H49" s="102">
        <v>200</v>
      </c>
      <c r="I49" s="102">
        <v>200</v>
      </c>
      <c r="J49" s="102"/>
      <c r="K49" s="102"/>
      <c r="L49" s="105">
        <v>20201118</v>
      </c>
    </row>
    <row r="50" spans="1:12">
      <c r="A50" s="132">
        <v>48</v>
      </c>
      <c r="B50" s="102" t="s">
        <v>7412</v>
      </c>
      <c r="C50" s="5" t="s">
        <v>7504</v>
      </c>
      <c r="D50" s="102" t="s">
        <v>7505</v>
      </c>
      <c r="E50" s="109">
        <v>2020</v>
      </c>
      <c r="F50" s="109">
        <v>2020</v>
      </c>
      <c r="G50" s="102" t="s">
        <v>3359</v>
      </c>
      <c r="H50" s="102">
        <v>200</v>
      </c>
      <c r="I50" s="102">
        <v>200</v>
      </c>
      <c r="J50" s="102" t="s">
        <v>1242</v>
      </c>
      <c r="K50" s="102"/>
      <c r="L50" s="105">
        <v>20201118</v>
      </c>
    </row>
    <row r="51" spans="1:12">
      <c r="A51" s="132">
        <v>49</v>
      </c>
      <c r="B51" s="102" t="s">
        <v>7412</v>
      </c>
      <c r="C51" s="5" t="s">
        <v>7506</v>
      </c>
      <c r="D51" s="102" t="s">
        <v>7507</v>
      </c>
      <c r="E51" s="109">
        <v>2020</v>
      </c>
      <c r="F51" s="109">
        <v>2020</v>
      </c>
      <c r="G51" s="102" t="s">
        <v>3359</v>
      </c>
      <c r="H51" s="102">
        <v>200</v>
      </c>
      <c r="I51" s="102">
        <v>200</v>
      </c>
      <c r="J51" s="102"/>
      <c r="K51" s="102"/>
      <c r="L51" s="105">
        <v>20201118</v>
      </c>
    </row>
    <row r="52" spans="1:12">
      <c r="A52" s="132">
        <v>50</v>
      </c>
      <c r="B52" s="102" t="s">
        <v>7412</v>
      </c>
      <c r="C52" s="5" t="s">
        <v>7508</v>
      </c>
      <c r="D52" s="102" t="s">
        <v>7509</v>
      </c>
      <c r="E52" s="109">
        <v>2020</v>
      </c>
      <c r="F52" s="109">
        <v>2020</v>
      </c>
      <c r="G52" s="102" t="s">
        <v>3359</v>
      </c>
      <c r="H52" s="102">
        <v>200</v>
      </c>
      <c r="I52" s="102">
        <v>200</v>
      </c>
      <c r="J52" s="102"/>
      <c r="K52" s="102"/>
      <c r="L52" s="105">
        <v>20201118</v>
      </c>
    </row>
    <row r="53" spans="1:12">
      <c r="A53" s="132">
        <v>51</v>
      </c>
      <c r="B53" s="102" t="s">
        <v>7412</v>
      </c>
      <c r="C53" s="5" t="s">
        <v>7510</v>
      </c>
      <c r="D53" s="102" t="s">
        <v>7511</v>
      </c>
      <c r="E53" s="109">
        <v>2020</v>
      </c>
      <c r="F53" s="109">
        <v>2020</v>
      </c>
      <c r="G53" s="102" t="s">
        <v>3359</v>
      </c>
      <c r="H53" s="102">
        <v>200</v>
      </c>
      <c r="I53" s="102">
        <v>200</v>
      </c>
      <c r="J53" s="102"/>
      <c r="K53" s="102"/>
      <c r="L53" s="105">
        <v>20201118</v>
      </c>
    </row>
    <row r="54" spans="1:12">
      <c r="A54" s="132">
        <v>52</v>
      </c>
      <c r="B54" s="102" t="s">
        <v>7412</v>
      </c>
      <c r="C54" s="5" t="s">
        <v>1731</v>
      </c>
      <c r="D54" s="102" t="s">
        <v>7512</v>
      </c>
      <c r="E54" s="109">
        <v>2020</v>
      </c>
      <c r="F54" s="109">
        <v>2020</v>
      </c>
      <c r="G54" s="102" t="s">
        <v>3359</v>
      </c>
      <c r="H54" s="102">
        <v>200</v>
      </c>
      <c r="I54" s="102">
        <v>200</v>
      </c>
      <c r="J54" s="102"/>
      <c r="K54" s="102"/>
      <c r="L54" s="105">
        <v>20201118</v>
      </c>
    </row>
    <row r="55" spans="1:12">
      <c r="A55" s="132">
        <v>53</v>
      </c>
      <c r="B55" s="102" t="s">
        <v>7412</v>
      </c>
      <c r="C55" s="5" t="s">
        <v>7513</v>
      </c>
      <c r="D55" s="102" t="s">
        <v>7514</v>
      </c>
      <c r="E55" s="109">
        <v>2020</v>
      </c>
      <c r="F55" s="109">
        <v>2020</v>
      </c>
      <c r="G55" s="102" t="s">
        <v>3359</v>
      </c>
      <c r="H55" s="102">
        <v>200</v>
      </c>
      <c r="I55" s="102">
        <v>200</v>
      </c>
      <c r="J55" s="102"/>
      <c r="K55" s="102"/>
      <c r="L55" s="105">
        <v>20201118</v>
      </c>
    </row>
    <row r="56" spans="1:12">
      <c r="A56" s="132">
        <v>54</v>
      </c>
      <c r="B56" s="102" t="s">
        <v>7412</v>
      </c>
      <c r="C56" s="5" t="s">
        <v>7515</v>
      </c>
      <c r="D56" s="102" t="s">
        <v>7516</v>
      </c>
      <c r="E56" s="109">
        <v>2020</v>
      </c>
      <c r="F56" s="109">
        <v>2020</v>
      </c>
      <c r="G56" s="102" t="s">
        <v>3359</v>
      </c>
      <c r="H56" s="102">
        <v>200</v>
      </c>
      <c r="I56" s="102">
        <v>200</v>
      </c>
      <c r="J56" s="102"/>
      <c r="K56" s="102"/>
      <c r="L56" s="105">
        <v>20201118</v>
      </c>
    </row>
    <row r="57" spans="1:12">
      <c r="A57" s="132">
        <v>55</v>
      </c>
      <c r="B57" s="102" t="s">
        <v>7412</v>
      </c>
      <c r="C57" s="5" t="s">
        <v>7517</v>
      </c>
      <c r="D57" s="102" t="s">
        <v>7518</v>
      </c>
      <c r="E57" s="109">
        <v>2020</v>
      </c>
      <c r="F57" s="109">
        <v>2020</v>
      </c>
      <c r="G57" s="102" t="s">
        <v>3359</v>
      </c>
      <c r="H57" s="102">
        <v>200</v>
      </c>
      <c r="I57" s="102">
        <v>200</v>
      </c>
      <c r="J57" s="102"/>
      <c r="K57" s="102"/>
      <c r="L57" s="105">
        <v>20201118</v>
      </c>
    </row>
    <row r="58" spans="1:12">
      <c r="A58" s="132">
        <v>56</v>
      </c>
      <c r="B58" s="102" t="s">
        <v>7412</v>
      </c>
      <c r="C58" s="5" t="s">
        <v>7519</v>
      </c>
      <c r="D58" s="102" t="s">
        <v>7520</v>
      </c>
      <c r="E58" s="109">
        <v>2020</v>
      </c>
      <c r="F58" s="109">
        <v>2020</v>
      </c>
      <c r="G58" s="102" t="s">
        <v>3359</v>
      </c>
      <c r="H58" s="102">
        <v>200</v>
      </c>
      <c r="I58" s="102">
        <v>200</v>
      </c>
      <c r="J58" s="102"/>
      <c r="K58" s="102"/>
      <c r="L58" s="105">
        <v>20201118</v>
      </c>
    </row>
    <row r="59" spans="1:12">
      <c r="A59" s="132">
        <v>57</v>
      </c>
      <c r="B59" s="102" t="s">
        <v>7412</v>
      </c>
      <c r="C59" s="5" t="s">
        <v>7521</v>
      </c>
      <c r="D59" s="102" t="s">
        <v>7522</v>
      </c>
      <c r="E59" s="109">
        <v>2020</v>
      </c>
      <c r="F59" s="109">
        <v>2020</v>
      </c>
      <c r="G59" s="102" t="s">
        <v>3359</v>
      </c>
      <c r="H59" s="102">
        <v>200</v>
      </c>
      <c r="I59" s="102">
        <v>200</v>
      </c>
      <c r="J59" s="102"/>
      <c r="K59" s="102"/>
      <c r="L59" s="105">
        <v>20201118</v>
      </c>
    </row>
    <row r="60" spans="1:12">
      <c r="A60" s="132">
        <v>58</v>
      </c>
      <c r="B60" s="102" t="s">
        <v>7412</v>
      </c>
      <c r="C60" s="5" t="s">
        <v>7523</v>
      </c>
      <c r="D60" s="102" t="s">
        <v>7524</v>
      </c>
      <c r="E60" s="109">
        <v>2020</v>
      </c>
      <c r="F60" s="109">
        <v>2020</v>
      </c>
      <c r="G60" s="102" t="s">
        <v>3359</v>
      </c>
      <c r="H60" s="102">
        <v>200</v>
      </c>
      <c r="I60" s="102">
        <v>200</v>
      </c>
      <c r="J60" s="102"/>
      <c r="K60" s="102"/>
      <c r="L60" s="105">
        <v>20201118</v>
      </c>
    </row>
    <row r="61" spans="1:12">
      <c r="A61" s="132">
        <v>59</v>
      </c>
      <c r="B61" s="102" t="s">
        <v>7412</v>
      </c>
      <c r="C61" s="5" t="s">
        <v>7525</v>
      </c>
      <c r="D61" s="102" t="s">
        <v>7526</v>
      </c>
      <c r="E61" s="109">
        <v>2020</v>
      </c>
      <c r="F61" s="109">
        <v>2020</v>
      </c>
      <c r="G61" s="102" t="s">
        <v>3359</v>
      </c>
      <c r="H61" s="102">
        <v>200</v>
      </c>
      <c r="I61" s="102">
        <v>200</v>
      </c>
      <c r="J61" s="102"/>
      <c r="K61" s="102"/>
      <c r="L61" s="105">
        <v>20201118</v>
      </c>
    </row>
    <row r="62" spans="1:12">
      <c r="A62" s="132">
        <v>60</v>
      </c>
      <c r="B62" s="102" t="s">
        <v>7412</v>
      </c>
      <c r="C62" s="5" t="s">
        <v>7527</v>
      </c>
      <c r="D62" s="102" t="s">
        <v>7528</v>
      </c>
      <c r="E62" s="109">
        <v>2020</v>
      </c>
      <c r="F62" s="109">
        <v>2020</v>
      </c>
      <c r="G62" s="102" t="s">
        <v>3359</v>
      </c>
      <c r="H62" s="102">
        <v>200</v>
      </c>
      <c r="I62" s="102">
        <v>200</v>
      </c>
      <c r="J62" s="102"/>
      <c r="K62" s="102"/>
      <c r="L62" s="105">
        <v>20201118</v>
      </c>
    </row>
    <row r="63" spans="1:12">
      <c r="A63" s="132">
        <v>61</v>
      </c>
      <c r="B63" s="102" t="s">
        <v>7412</v>
      </c>
      <c r="C63" s="5" t="s">
        <v>7529</v>
      </c>
      <c r="D63" s="102" t="s">
        <v>7530</v>
      </c>
      <c r="E63" s="109">
        <v>2020</v>
      </c>
      <c r="F63" s="109">
        <v>2020</v>
      </c>
      <c r="G63" s="102" t="s">
        <v>3359</v>
      </c>
      <c r="H63" s="102">
        <v>200</v>
      </c>
      <c r="I63" s="102">
        <v>200</v>
      </c>
      <c r="J63" s="102"/>
      <c r="K63" s="102"/>
      <c r="L63" s="105">
        <v>20201118</v>
      </c>
    </row>
    <row r="64" spans="1:12">
      <c r="A64" s="132">
        <v>62</v>
      </c>
      <c r="B64" s="102" t="s">
        <v>7412</v>
      </c>
      <c r="C64" s="5" t="s">
        <v>7531</v>
      </c>
      <c r="D64" s="102" t="s">
        <v>7532</v>
      </c>
      <c r="E64" s="109">
        <v>2020</v>
      </c>
      <c r="F64" s="109">
        <v>2020</v>
      </c>
      <c r="G64" s="102" t="s">
        <v>3359</v>
      </c>
      <c r="H64" s="102">
        <v>200</v>
      </c>
      <c r="I64" s="102">
        <v>200</v>
      </c>
      <c r="J64" s="102"/>
      <c r="K64" s="102"/>
      <c r="L64" s="105">
        <v>20201118</v>
      </c>
    </row>
    <row r="65" spans="1:12">
      <c r="A65" s="132">
        <v>63</v>
      </c>
      <c r="B65" s="102" t="s">
        <v>7412</v>
      </c>
      <c r="C65" s="5" t="s">
        <v>7533</v>
      </c>
      <c r="D65" s="102" t="s">
        <v>7534</v>
      </c>
      <c r="E65" s="109">
        <v>2020</v>
      </c>
      <c r="F65" s="109">
        <v>2020</v>
      </c>
      <c r="G65" s="102" t="s">
        <v>3359</v>
      </c>
      <c r="H65" s="102">
        <v>200</v>
      </c>
      <c r="I65" s="102">
        <v>200</v>
      </c>
      <c r="J65" s="102"/>
      <c r="K65" s="102"/>
      <c r="L65" s="105">
        <v>20201118</v>
      </c>
    </row>
    <row r="66" spans="1:12">
      <c r="A66" s="132">
        <v>64</v>
      </c>
      <c r="B66" s="102" t="s">
        <v>7412</v>
      </c>
      <c r="C66" s="5" t="s">
        <v>6112</v>
      </c>
      <c r="D66" s="102" t="s">
        <v>7535</v>
      </c>
      <c r="E66" s="109">
        <v>2020</v>
      </c>
      <c r="F66" s="109">
        <v>2020</v>
      </c>
      <c r="G66" s="102" t="s">
        <v>3359</v>
      </c>
      <c r="H66" s="102">
        <v>200</v>
      </c>
      <c r="I66" s="102">
        <v>200</v>
      </c>
      <c r="J66" s="102"/>
      <c r="K66" s="102"/>
      <c r="L66" s="105">
        <v>20201118</v>
      </c>
    </row>
    <row r="67" spans="1:12">
      <c r="A67" s="132">
        <v>65</v>
      </c>
      <c r="B67" s="102" t="s">
        <v>7412</v>
      </c>
      <c r="C67" s="5" t="s">
        <v>7536</v>
      </c>
      <c r="D67" s="102" t="s">
        <v>7537</v>
      </c>
      <c r="E67" s="109">
        <v>2020</v>
      </c>
      <c r="F67" s="109">
        <v>2020</v>
      </c>
      <c r="G67" s="102" t="s">
        <v>3359</v>
      </c>
      <c r="H67" s="102">
        <v>200</v>
      </c>
      <c r="I67" s="102">
        <v>200</v>
      </c>
      <c r="J67" s="102"/>
      <c r="K67" s="102"/>
      <c r="L67" s="105">
        <v>20201118</v>
      </c>
    </row>
    <row r="68" spans="1:12">
      <c r="A68" s="132">
        <v>66</v>
      </c>
      <c r="B68" s="102" t="s">
        <v>7412</v>
      </c>
      <c r="C68" s="5" t="s">
        <v>7538</v>
      </c>
      <c r="D68" s="102" t="s">
        <v>7539</v>
      </c>
      <c r="E68" s="109">
        <v>2020</v>
      </c>
      <c r="F68" s="109">
        <v>2020</v>
      </c>
      <c r="G68" s="102" t="s">
        <v>3359</v>
      </c>
      <c r="H68" s="102">
        <v>1000</v>
      </c>
      <c r="I68" s="102">
        <v>1000</v>
      </c>
      <c r="J68" s="102"/>
      <c r="K68" s="102"/>
      <c r="L68" s="105">
        <v>20201118</v>
      </c>
    </row>
    <row r="69" spans="1:12">
      <c r="A69" s="132">
        <v>67</v>
      </c>
      <c r="B69" s="102" t="s">
        <v>7412</v>
      </c>
      <c r="C69" s="5" t="s">
        <v>7540</v>
      </c>
      <c r="D69" s="102" t="s">
        <v>7541</v>
      </c>
      <c r="E69" s="109">
        <v>2020</v>
      </c>
      <c r="F69" s="109">
        <v>2020</v>
      </c>
      <c r="G69" s="102" t="s">
        <v>3359</v>
      </c>
      <c r="H69" s="102">
        <v>200</v>
      </c>
      <c r="I69" s="102">
        <v>200</v>
      </c>
      <c r="J69" s="102" t="s">
        <v>1242</v>
      </c>
      <c r="K69" s="102"/>
      <c r="L69" s="105">
        <v>20201118</v>
      </c>
    </row>
    <row r="70" spans="1:12">
      <c r="A70" s="132">
        <v>68</v>
      </c>
      <c r="B70" s="102" t="s">
        <v>7412</v>
      </c>
      <c r="C70" s="5" t="s">
        <v>7542</v>
      </c>
      <c r="D70" s="102" t="s">
        <v>7543</v>
      </c>
      <c r="E70" s="109">
        <v>2020</v>
      </c>
      <c r="F70" s="109">
        <v>2020</v>
      </c>
      <c r="G70" s="102" t="s">
        <v>3359</v>
      </c>
      <c r="H70" s="102">
        <v>200</v>
      </c>
      <c r="I70" s="102">
        <v>200</v>
      </c>
      <c r="J70" s="102"/>
      <c r="K70" s="102"/>
      <c r="L70" s="105">
        <v>20201118</v>
      </c>
    </row>
    <row r="71" spans="1:12">
      <c r="A71" s="132">
        <v>69</v>
      </c>
      <c r="B71" s="102" t="s">
        <v>7412</v>
      </c>
      <c r="C71" s="5" t="s">
        <v>7544</v>
      </c>
      <c r="D71" s="102" t="s">
        <v>7545</v>
      </c>
      <c r="E71" s="109">
        <v>2020</v>
      </c>
      <c r="F71" s="109">
        <v>2020</v>
      </c>
      <c r="G71" s="102" t="s">
        <v>3359</v>
      </c>
      <c r="H71" s="102">
        <v>200</v>
      </c>
      <c r="I71" s="102">
        <v>200</v>
      </c>
      <c r="J71" s="102"/>
      <c r="K71" s="102"/>
      <c r="L71" s="105">
        <v>20201118</v>
      </c>
    </row>
    <row r="72" spans="1:12">
      <c r="A72" s="132">
        <v>70</v>
      </c>
      <c r="B72" s="102" t="s">
        <v>7412</v>
      </c>
      <c r="C72" s="5" t="s">
        <v>7546</v>
      </c>
      <c r="D72" s="102" t="s">
        <v>7547</v>
      </c>
      <c r="E72" s="109">
        <v>2020</v>
      </c>
      <c r="F72" s="109">
        <v>2020</v>
      </c>
      <c r="G72" s="102" t="s">
        <v>3359</v>
      </c>
      <c r="H72" s="102">
        <v>500</v>
      </c>
      <c r="I72" s="102">
        <v>500</v>
      </c>
      <c r="J72" s="102"/>
      <c r="K72" s="102"/>
      <c r="L72" s="105">
        <v>20201118</v>
      </c>
    </row>
    <row r="73" spans="1:12">
      <c r="A73" s="132">
        <v>71</v>
      </c>
      <c r="B73" s="102" t="s">
        <v>7412</v>
      </c>
      <c r="C73" s="5" t="s">
        <v>7548</v>
      </c>
      <c r="D73" s="102" t="s">
        <v>7549</v>
      </c>
      <c r="E73" s="109">
        <v>2020</v>
      </c>
      <c r="F73" s="109">
        <v>2020</v>
      </c>
      <c r="G73" s="102" t="s">
        <v>3359</v>
      </c>
      <c r="H73" s="102">
        <v>200</v>
      </c>
      <c r="I73" s="102">
        <v>200</v>
      </c>
      <c r="J73" s="102"/>
      <c r="K73" s="102"/>
      <c r="L73" s="105">
        <v>20201118</v>
      </c>
    </row>
    <row r="74" spans="1:12">
      <c r="A74" s="132">
        <v>72</v>
      </c>
      <c r="B74" s="102" t="s">
        <v>7412</v>
      </c>
      <c r="C74" s="5" t="s">
        <v>7550</v>
      </c>
      <c r="D74" s="102" t="s">
        <v>7551</v>
      </c>
      <c r="E74" s="109">
        <v>2020</v>
      </c>
      <c r="F74" s="109">
        <v>2020</v>
      </c>
      <c r="G74" s="102" t="s">
        <v>3359</v>
      </c>
      <c r="H74" s="102">
        <v>200</v>
      </c>
      <c r="I74" s="102">
        <v>200</v>
      </c>
      <c r="J74" s="102"/>
      <c r="K74" s="102"/>
      <c r="L74" s="105">
        <v>20201118</v>
      </c>
    </row>
    <row r="75" spans="1:12">
      <c r="A75" s="132">
        <v>73</v>
      </c>
      <c r="B75" s="102" t="s">
        <v>7412</v>
      </c>
      <c r="C75" s="5" t="s">
        <v>7552</v>
      </c>
      <c r="D75" s="102" t="s">
        <v>7553</v>
      </c>
      <c r="E75" s="109">
        <v>2020</v>
      </c>
      <c r="F75" s="109">
        <v>2020</v>
      </c>
      <c r="G75" s="102" t="s">
        <v>3359</v>
      </c>
      <c r="H75" s="102">
        <v>200</v>
      </c>
      <c r="I75" s="102">
        <v>200</v>
      </c>
      <c r="J75" s="102"/>
      <c r="K75" s="102"/>
      <c r="L75" s="105">
        <v>20201118</v>
      </c>
    </row>
    <row r="76" spans="1:12">
      <c r="A76" s="132">
        <v>74</v>
      </c>
      <c r="B76" s="102" t="s">
        <v>7412</v>
      </c>
      <c r="C76" s="5" t="s">
        <v>3471</v>
      </c>
      <c r="D76" s="102" t="s">
        <v>7554</v>
      </c>
      <c r="E76" s="109">
        <v>2020</v>
      </c>
      <c r="F76" s="109">
        <v>2020</v>
      </c>
      <c r="G76" s="102" t="s">
        <v>3359</v>
      </c>
      <c r="H76" s="102">
        <v>200</v>
      </c>
      <c r="I76" s="102">
        <v>200</v>
      </c>
      <c r="J76" s="102"/>
      <c r="K76" s="102"/>
      <c r="L76" s="105">
        <v>20201118</v>
      </c>
    </row>
    <row r="77" spans="1:12">
      <c r="A77" s="132">
        <v>75</v>
      </c>
      <c r="B77" s="102" t="s">
        <v>7412</v>
      </c>
      <c r="C77" s="5" t="s">
        <v>7555</v>
      </c>
      <c r="D77" s="102" t="s">
        <v>7556</v>
      </c>
      <c r="E77" s="109">
        <v>2020</v>
      </c>
      <c r="F77" s="109">
        <v>2020</v>
      </c>
      <c r="G77" s="102" t="s">
        <v>3359</v>
      </c>
      <c r="H77" s="102">
        <v>200</v>
      </c>
      <c r="I77" s="102">
        <v>200</v>
      </c>
      <c r="J77" s="102"/>
      <c r="K77" s="102"/>
      <c r="L77" s="105">
        <v>20201118</v>
      </c>
    </row>
    <row r="78" spans="1:12">
      <c r="A78" s="132">
        <v>76</v>
      </c>
      <c r="B78" s="102" t="s">
        <v>7412</v>
      </c>
      <c r="C78" s="5" t="s">
        <v>7557</v>
      </c>
      <c r="D78" s="102" t="s">
        <v>7558</v>
      </c>
      <c r="E78" s="109">
        <v>2020</v>
      </c>
      <c r="F78" s="109">
        <v>2020</v>
      </c>
      <c r="G78" s="102" t="s">
        <v>3359</v>
      </c>
      <c r="H78" s="102">
        <v>200</v>
      </c>
      <c r="I78" s="102">
        <v>200</v>
      </c>
      <c r="J78" s="102"/>
      <c r="K78" s="102"/>
      <c r="L78" s="105">
        <v>20201118</v>
      </c>
    </row>
    <row r="79" spans="1:12">
      <c r="A79" s="132">
        <v>77</v>
      </c>
      <c r="B79" s="102" t="s">
        <v>7412</v>
      </c>
      <c r="C79" s="5" t="s">
        <v>7559</v>
      </c>
      <c r="D79" s="102" t="s">
        <v>7560</v>
      </c>
      <c r="E79" s="109">
        <v>2020</v>
      </c>
      <c r="F79" s="109">
        <v>2020</v>
      </c>
      <c r="G79" s="102" t="s">
        <v>3359</v>
      </c>
      <c r="H79" s="102">
        <v>200</v>
      </c>
      <c r="I79" s="102">
        <v>200</v>
      </c>
      <c r="J79" s="102"/>
      <c r="K79" s="102"/>
      <c r="L79" s="105">
        <v>20201118</v>
      </c>
    </row>
    <row r="80" spans="1:12">
      <c r="A80" s="132">
        <v>78</v>
      </c>
      <c r="B80" s="102" t="s">
        <v>7412</v>
      </c>
      <c r="C80" s="5" t="s">
        <v>7561</v>
      </c>
      <c r="D80" s="102" t="s">
        <v>7562</v>
      </c>
      <c r="E80" s="109">
        <v>2020</v>
      </c>
      <c r="F80" s="109">
        <v>2020</v>
      </c>
      <c r="G80" s="102" t="s">
        <v>3359</v>
      </c>
      <c r="H80" s="102">
        <v>200</v>
      </c>
      <c r="I80" s="102">
        <v>200</v>
      </c>
      <c r="J80" s="102" t="s">
        <v>1242</v>
      </c>
      <c r="K80" s="102"/>
      <c r="L80" s="105">
        <v>20201118</v>
      </c>
    </row>
    <row r="81" spans="1:12">
      <c r="A81" s="132">
        <v>79</v>
      </c>
      <c r="B81" s="102" t="s">
        <v>7412</v>
      </c>
      <c r="C81" s="5" t="s">
        <v>7563</v>
      </c>
      <c r="D81" s="102" t="s">
        <v>7564</v>
      </c>
      <c r="E81" s="109">
        <v>2020</v>
      </c>
      <c r="F81" s="109">
        <v>2020</v>
      </c>
      <c r="G81" s="102" t="s">
        <v>3359</v>
      </c>
      <c r="H81" s="102">
        <v>200</v>
      </c>
      <c r="I81" s="102">
        <v>200</v>
      </c>
      <c r="J81" s="102"/>
      <c r="K81" s="102"/>
      <c r="L81" s="105">
        <v>20201118</v>
      </c>
    </row>
    <row r="82" spans="1:12">
      <c r="A82" s="132">
        <v>80</v>
      </c>
      <c r="B82" s="102" t="s">
        <v>7412</v>
      </c>
      <c r="C82" s="5" t="s">
        <v>7565</v>
      </c>
      <c r="D82" s="102" t="s">
        <v>7566</v>
      </c>
      <c r="E82" s="109">
        <v>2020</v>
      </c>
      <c r="F82" s="109">
        <v>2020</v>
      </c>
      <c r="G82" s="102" t="s">
        <v>3359</v>
      </c>
      <c r="H82" s="102">
        <v>1000</v>
      </c>
      <c r="I82" s="102">
        <v>1000</v>
      </c>
      <c r="J82" s="102"/>
      <c r="K82" s="102"/>
      <c r="L82" s="105">
        <v>20201118</v>
      </c>
    </row>
    <row r="83" spans="1:12">
      <c r="A83" s="132">
        <v>81</v>
      </c>
      <c r="B83" s="102" t="s">
        <v>7412</v>
      </c>
      <c r="C83" s="5" t="s">
        <v>7567</v>
      </c>
      <c r="D83" s="102" t="s">
        <v>7568</v>
      </c>
      <c r="E83" s="109">
        <v>2020</v>
      </c>
      <c r="F83" s="109">
        <v>2020</v>
      </c>
      <c r="G83" s="102" t="s">
        <v>3359</v>
      </c>
      <c r="H83" s="102">
        <v>200</v>
      </c>
      <c r="I83" s="102">
        <v>200</v>
      </c>
      <c r="J83" s="102"/>
      <c r="K83" s="102"/>
      <c r="L83" s="105">
        <v>20201118</v>
      </c>
    </row>
    <row r="84" spans="1:12">
      <c r="A84" s="132">
        <v>82</v>
      </c>
      <c r="B84" s="102" t="s">
        <v>7412</v>
      </c>
      <c r="C84" s="5" t="s">
        <v>270</v>
      </c>
      <c r="D84" s="102" t="s">
        <v>7569</v>
      </c>
      <c r="E84" s="109">
        <v>2020</v>
      </c>
      <c r="F84" s="109">
        <v>2020</v>
      </c>
      <c r="G84" s="102" t="s">
        <v>3359</v>
      </c>
      <c r="H84" s="102">
        <v>200</v>
      </c>
      <c r="I84" s="102">
        <v>200</v>
      </c>
      <c r="J84" s="102"/>
      <c r="K84" s="102"/>
      <c r="L84" s="105">
        <v>20201118</v>
      </c>
    </row>
    <row r="85" spans="1:12">
      <c r="A85" s="132">
        <v>83</v>
      </c>
      <c r="B85" s="102" t="s">
        <v>7412</v>
      </c>
      <c r="C85" s="5" t="s">
        <v>7570</v>
      </c>
      <c r="D85" s="102" t="s">
        <v>7571</v>
      </c>
      <c r="E85" s="109">
        <v>2020</v>
      </c>
      <c r="F85" s="109">
        <v>2020</v>
      </c>
      <c r="G85" s="102" t="s">
        <v>3359</v>
      </c>
      <c r="H85" s="102">
        <v>200</v>
      </c>
      <c r="I85" s="102">
        <v>200</v>
      </c>
      <c r="J85" s="102"/>
      <c r="K85" s="102"/>
      <c r="L85" s="105">
        <v>20201118</v>
      </c>
    </row>
    <row r="86" spans="1:12">
      <c r="A86" s="132">
        <v>84</v>
      </c>
      <c r="B86" s="102" t="s">
        <v>7412</v>
      </c>
      <c r="C86" s="5" t="s">
        <v>7572</v>
      </c>
      <c r="D86" s="102" t="s">
        <v>7573</v>
      </c>
      <c r="E86" s="109">
        <v>2020</v>
      </c>
      <c r="F86" s="109">
        <v>2020</v>
      </c>
      <c r="G86" s="102" t="s">
        <v>3359</v>
      </c>
      <c r="H86" s="102">
        <v>200</v>
      </c>
      <c r="I86" s="102">
        <v>200</v>
      </c>
      <c r="J86" s="102"/>
      <c r="K86" s="102"/>
      <c r="L86" s="105">
        <v>20201118</v>
      </c>
    </row>
    <row r="87" spans="1:12">
      <c r="A87" s="132">
        <v>85</v>
      </c>
      <c r="B87" s="102" t="s">
        <v>7412</v>
      </c>
      <c r="C87" s="5" t="s">
        <v>7574</v>
      </c>
      <c r="D87" s="102" t="s">
        <v>7575</v>
      </c>
      <c r="E87" s="109">
        <v>2020</v>
      </c>
      <c r="F87" s="109">
        <v>2020</v>
      </c>
      <c r="G87" s="102" t="s">
        <v>3359</v>
      </c>
      <c r="H87" s="102">
        <v>200</v>
      </c>
      <c r="I87" s="102">
        <v>200</v>
      </c>
      <c r="J87" s="102"/>
      <c r="K87" s="102"/>
      <c r="L87" s="105">
        <v>20201118</v>
      </c>
    </row>
    <row r="88" spans="1:12">
      <c r="A88" s="132">
        <v>86</v>
      </c>
      <c r="B88" s="102" t="s">
        <v>7412</v>
      </c>
      <c r="C88" s="5" t="s">
        <v>7576</v>
      </c>
      <c r="D88" s="102" t="s">
        <v>7577</v>
      </c>
      <c r="E88" s="109">
        <v>2020</v>
      </c>
      <c r="F88" s="109">
        <v>2020</v>
      </c>
      <c r="G88" s="102" t="s">
        <v>3359</v>
      </c>
      <c r="H88" s="102">
        <v>1000</v>
      </c>
      <c r="I88" s="102">
        <v>1000</v>
      </c>
      <c r="J88" s="102"/>
      <c r="K88" s="102"/>
      <c r="L88" s="105">
        <v>20201118</v>
      </c>
    </row>
    <row r="89" spans="1:12">
      <c r="A89" s="132">
        <v>87</v>
      </c>
      <c r="B89" s="102" t="s">
        <v>7412</v>
      </c>
      <c r="C89" s="5" t="s">
        <v>7578</v>
      </c>
      <c r="D89" s="102" t="s">
        <v>7579</v>
      </c>
      <c r="E89" s="109">
        <v>2020</v>
      </c>
      <c r="F89" s="109">
        <v>2020</v>
      </c>
      <c r="G89" s="102" t="s">
        <v>3359</v>
      </c>
      <c r="H89" s="102">
        <v>200</v>
      </c>
      <c r="I89" s="102">
        <v>200</v>
      </c>
      <c r="J89" s="102"/>
      <c r="K89" s="102"/>
      <c r="L89" s="105">
        <v>20201118</v>
      </c>
    </row>
    <row r="90" spans="1:12">
      <c r="A90" s="132">
        <v>88</v>
      </c>
      <c r="B90" s="102" t="s">
        <v>7412</v>
      </c>
      <c r="C90" s="5" t="s">
        <v>7580</v>
      </c>
      <c r="D90" s="102" t="s">
        <v>7581</v>
      </c>
      <c r="E90" s="109">
        <v>2020</v>
      </c>
      <c r="F90" s="109">
        <v>2020</v>
      </c>
      <c r="G90" s="102" t="s">
        <v>3359</v>
      </c>
      <c r="H90" s="102">
        <v>200</v>
      </c>
      <c r="I90" s="102">
        <v>200</v>
      </c>
      <c r="J90" s="102"/>
      <c r="K90" s="102"/>
      <c r="L90" s="105">
        <v>20201118</v>
      </c>
    </row>
    <row r="91" spans="1:12">
      <c r="A91" s="132">
        <v>89</v>
      </c>
      <c r="B91" s="102" t="s">
        <v>7412</v>
      </c>
      <c r="C91" s="5" t="s">
        <v>7582</v>
      </c>
      <c r="D91" s="102" t="s">
        <v>7583</v>
      </c>
      <c r="E91" s="109">
        <v>2020</v>
      </c>
      <c r="F91" s="109">
        <v>2020</v>
      </c>
      <c r="G91" s="102" t="s">
        <v>3359</v>
      </c>
      <c r="H91" s="102">
        <v>200</v>
      </c>
      <c r="I91" s="102">
        <v>200</v>
      </c>
      <c r="J91" s="102"/>
      <c r="K91" s="102"/>
      <c r="L91" s="105">
        <v>20201118</v>
      </c>
    </row>
    <row r="92" spans="1:12">
      <c r="A92" s="132">
        <v>90</v>
      </c>
      <c r="B92" s="102" t="s">
        <v>7412</v>
      </c>
      <c r="C92" s="5" t="s">
        <v>7584</v>
      </c>
      <c r="D92" s="102" t="s">
        <v>7585</v>
      </c>
      <c r="E92" s="109">
        <v>2020</v>
      </c>
      <c r="F92" s="109">
        <v>2020</v>
      </c>
      <c r="G92" s="102" t="s">
        <v>3359</v>
      </c>
      <c r="H92" s="102">
        <v>200</v>
      </c>
      <c r="I92" s="102">
        <v>200</v>
      </c>
      <c r="J92" s="102"/>
      <c r="K92" s="102"/>
      <c r="L92" s="105">
        <v>20201118</v>
      </c>
    </row>
    <row r="93" spans="1:12">
      <c r="A93" s="132">
        <v>91</v>
      </c>
      <c r="B93" s="102" t="s">
        <v>7412</v>
      </c>
      <c r="C93" s="5" t="s">
        <v>7586</v>
      </c>
      <c r="D93" s="102" t="s">
        <v>7587</v>
      </c>
      <c r="E93" s="109">
        <v>2020</v>
      </c>
      <c r="F93" s="109">
        <v>2020</v>
      </c>
      <c r="G93" s="102" t="s">
        <v>3359</v>
      </c>
      <c r="H93" s="102">
        <v>200</v>
      </c>
      <c r="I93" s="102">
        <v>200</v>
      </c>
      <c r="J93" s="102"/>
      <c r="K93" s="102"/>
      <c r="L93" s="105">
        <v>20201118</v>
      </c>
    </row>
    <row r="94" spans="1:12">
      <c r="A94" s="132">
        <v>92</v>
      </c>
      <c r="B94" s="102" t="s">
        <v>7412</v>
      </c>
      <c r="C94" s="5" t="s">
        <v>7588</v>
      </c>
      <c r="D94" s="102" t="s">
        <v>7589</v>
      </c>
      <c r="E94" s="109">
        <v>2020</v>
      </c>
      <c r="F94" s="109">
        <v>2020</v>
      </c>
      <c r="G94" s="102" t="s">
        <v>3359</v>
      </c>
      <c r="H94" s="102">
        <v>1000</v>
      </c>
      <c r="I94" s="102">
        <v>1000</v>
      </c>
      <c r="J94" s="102"/>
      <c r="K94" s="102"/>
      <c r="L94" s="105">
        <v>20201118</v>
      </c>
    </row>
    <row r="95" spans="1:12">
      <c r="A95" s="132">
        <v>93</v>
      </c>
      <c r="B95" s="102" t="s">
        <v>7412</v>
      </c>
      <c r="C95" s="5" t="s">
        <v>7590</v>
      </c>
      <c r="D95" s="102" t="s">
        <v>7591</v>
      </c>
      <c r="E95" s="109">
        <v>2020</v>
      </c>
      <c r="F95" s="109">
        <v>2020</v>
      </c>
      <c r="G95" s="102" t="s">
        <v>3359</v>
      </c>
      <c r="H95" s="102">
        <v>200</v>
      </c>
      <c r="I95" s="102">
        <v>200</v>
      </c>
      <c r="J95" s="102" t="s">
        <v>1242</v>
      </c>
      <c r="K95" s="102"/>
      <c r="L95" s="105">
        <v>20201118</v>
      </c>
    </row>
    <row r="96" spans="1:12">
      <c r="A96" s="132">
        <v>94</v>
      </c>
      <c r="B96" s="102" t="s">
        <v>7412</v>
      </c>
      <c r="C96" s="5" t="s">
        <v>7592</v>
      </c>
      <c r="D96" s="102" t="s">
        <v>7593</v>
      </c>
      <c r="E96" s="109">
        <v>2020</v>
      </c>
      <c r="F96" s="109">
        <v>2020</v>
      </c>
      <c r="G96" s="102" t="s">
        <v>3359</v>
      </c>
      <c r="H96" s="102">
        <v>200</v>
      </c>
      <c r="I96" s="102">
        <v>200</v>
      </c>
      <c r="J96" s="102"/>
      <c r="K96" s="102"/>
      <c r="L96" s="105">
        <v>20201118</v>
      </c>
    </row>
    <row r="97" spans="1:12">
      <c r="A97" s="132">
        <v>95</v>
      </c>
      <c r="B97" s="102" t="s">
        <v>7412</v>
      </c>
      <c r="C97" s="5" t="s">
        <v>7594</v>
      </c>
      <c r="D97" s="102" t="s">
        <v>7595</v>
      </c>
      <c r="E97" s="109">
        <v>2020</v>
      </c>
      <c r="F97" s="109">
        <v>2020</v>
      </c>
      <c r="G97" s="102" t="s">
        <v>3359</v>
      </c>
      <c r="H97" s="102">
        <v>200</v>
      </c>
      <c r="I97" s="102">
        <v>200</v>
      </c>
      <c r="J97" s="102"/>
      <c r="K97" s="102"/>
      <c r="L97" s="105">
        <v>20201118</v>
      </c>
    </row>
    <row r="98" spans="1:12">
      <c r="A98" s="132">
        <v>96</v>
      </c>
      <c r="B98" s="102" t="s">
        <v>7412</v>
      </c>
      <c r="C98" s="5" t="s">
        <v>7596</v>
      </c>
      <c r="D98" s="102" t="s">
        <v>7597</v>
      </c>
      <c r="E98" s="109">
        <v>2020</v>
      </c>
      <c r="F98" s="109">
        <v>2020</v>
      </c>
      <c r="G98" s="102" t="s">
        <v>3359</v>
      </c>
      <c r="H98" s="102">
        <v>200</v>
      </c>
      <c r="I98" s="102">
        <v>200</v>
      </c>
      <c r="J98" s="102"/>
      <c r="K98" s="102"/>
      <c r="L98" s="105">
        <v>20201118</v>
      </c>
    </row>
    <row r="99" spans="1:12">
      <c r="A99" s="132">
        <v>97</v>
      </c>
      <c r="B99" s="102" t="s">
        <v>7412</v>
      </c>
      <c r="C99" s="5" t="s">
        <v>7598</v>
      </c>
      <c r="D99" s="102" t="s">
        <v>7599</v>
      </c>
      <c r="E99" s="109">
        <v>2020</v>
      </c>
      <c r="F99" s="109">
        <v>2020</v>
      </c>
      <c r="G99" s="102" t="s">
        <v>3359</v>
      </c>
      <c r="H99" s="102">
        <v>1000</v>
      </c>
      <c r="I99" s="102">
        <v>1000</v>
      </c>
      <c r="J99" s="102"/>
      <c r="K99" s="102"/>
      <c r="L99" s="105">
        <v>20201118</v>
      </c>
    </row>
    <row r="100" spans="1:12">
      <c r="A100" s="132">
        <v>98</v>
      </c>
      <c r="B100" s="102" t="s">
        <v>7412</v>
      </c>
      <c r="C100" s="5" t="s">
        <v>7600</v>
      </c>
      <c r="D100" s="102" t="s">
        <v>7601</v>
      </c>
      <c r="E100" s="109">
        <v>2020</v>
      </c>
      <c r="F100" s="109">
        <v>2020</v>
      </c>
      <c r="G100" s="102" t="s">
        <v>3359</v>
      </c>
      <c r="H100" s="102">
        <v>1000</v>
      </c>
      <c r="I100" s="102">
        <v>1000</v>
      </c>
      <c r="J100" s="102"/>
      <c r="K100" s="102"/>
      <c r="L100" s="105">
        <v>20201118</v>
      </c>
    </row>
    <row r="101" spans="1:12">
      <c r="A101" s="132">
        <v>99</v>
      </c>
      <c r="B101" s="102" t="s">
        <v>7412</v>
      </c>
      <c r="C101" s="5" t="s">
        <v>7602</v>
      </c>
      <c r="D101" s="102" t="s">
        <v>7603</v>
      </c>
      <c r="E101" s="109">
        <v>2020</v>
      </c>
      <c r="F101" s="109">
        <v>2020</v>
      </c>
      <c r="G101" s="102" t="s">
        <v>3359</v>
      </c>
      <c r="H101" s="102">
        <v>200</v>
      </c>
      <c r="I101" s="102">
        <v>200</v>
      </c>
      <c r="J101" s="102"/>
      <c r="K101" s="102"/>
      <c r="L101" s="105">
        <v>20201118</v>
      </c>
    </row>
    <row r="102" spans="1:12">
      <c r="A102" s="132">
        <v>100</v>
      </c>
      <c r="B102" s="102" t="s">
        <v>7412</v>
      </c>
      <c r="C102" s="5" t="s">
        <v>7604</v>
      </c>
      <c r="D102" s="102" t="s">
        <v>7605</v>
      </c>
      <c r="E102" s="109">
        <v>2020</v>
      </c>
      <c r="F102" s="109">
        <v>2020</v>
      </c>
      <c r="G102" s="102" t="s">
        <v>3359</v>
      </c>
      <c r="H102" s="102">
        <v>200</v>
      </c>
      <c r="I102" s="102">
        <v>200</v>
      </c>
      <c r="J102" s="102"/>
      <c r="K102" s="102"/>
      <c r="L102" s="105">
        <v>20201118</v>
      </c>
    </row>
    <row r="103" spans="1:12">
      <c r="A103" s="132">
        <v>101</v>
      </c>
      <c r="B103" s="102" t="s">
        <v>7412</v>
      </c>
      <c r="C103" s="5" t="s">
        <v>7262</v>
      </c>
      <c r="D103" s="102" t="s">
        <v>7606</v>
      </c>
      <c r="E103" s="109">
        <v>2020</v>
      </c>
      <c r="F103" s="109">
        <v>2020</v>
      </c>
      <c r="G103" s="102" t="s">
        <v>3359</v>
      </c>
      <c r="H103" s="102">
        <v>200</v>
      </c>
      <c r="I103" s="102">
        <v>200</v>
      </c>
      <c r="J103" s="102"/>
      <c r="K103" s="102"/>
      <c r="L103" s="105">
        <v>20201118</v>
      </c>
    </row>
    <row r="104" spans="1:12">
      <c r="A104" s="132">
        <v>102</v>
      </c>
      <c r="B104" s="102" t="s">
        <v>7412</v>
      </c>
      <c r="C104" s="5" t="s">
        <v>7607</v>
      </c>
      <c r="D104" s="102" t="s">
        <v>7608</v>
      </c>
      <c r="E104" s="109">
        <v>2020</v>
      </c>
      <c r="F104" s="109">
        <v>2020</v>
      </c>
      <c r="G104" s="102" t="s">
        <v>3359</v>
      </c>
      <c r="H104" s="102">
        <v>200</v>
      </c>
      <c r="I104" s="102">
        <v>200</v>
      </c>
      <c r="J104" s="102"/>
      <c r="K104" s="102"/>
      <c r="L104" s="105">
        <v>20201118</v>
      </c>
    </row>
    <row r="105" spans="1:12">
      <c r="A105" s="132">
        <v>103</v>
      </c>
      <c r="B105" s="102" t="s">
        <v>7412</v>
      </c>
      <c r="C105" s="5" t="s">
        <v>7609</v>
      </c>
      <c r="D105" s="102" t="s">
        <v>7610</v>
      </c>
      <c r="E105" s="109">
        <v>2020</v>
      </c>
      <c r="F105" s="109">
        <v>2020</v>
      </c>
      <c r="G105" s="102" t="s">
        <v>3359</v>
      </c>
      <c r="H105" s="102">
        <v>200</v>
      </c>
      <c r="I105" s="102">
        <v>200</v>
      </c>
      <c r="J105" s="102"/>
      <c r="K105" s="102"/>
      <c r="L105" s="105">
        <v>20201118</v>
      </c>
    </row>
    <row r="106" spans="1:12">
      <c r="A106" s="132">
        <v>104</v>
      </c>
      <c r="B106" s="102" t="s">
        <v>7412</v>
      </c>
      <c r="C106" s="5" t="s">
        <v>1820</v>
      </c>
      <c r="D106" s="102" t="s">
        <v>7611</v>
      </c>
      <c r="E106" s="109">
        <v>2020</v>
      </c>
      <c r="F106" s="109">
        <v>2020</v>
      </c>
      <c r="G106" s="102" t="s">
        <v>3359</v>
      </c>
      <c r="H106" s="102">
        <v>200</v>
      </c>
      <c r="I106" s="102">
        <v>200</v>
      </c>
      <c r="J106" s="102"/>
      <c r="K106" s="102"/>
      <c r="L106" s="105">
        <v>20201118</v>
      </c>
    </row>
    <row r="107" spans="1:12">
      <c r="A107" s="132">
        <v>105</v>
      </c>
      <c r="B107" s="102" t="s">
        <v>7412</v>
      </c>
      <c r="C107" s="5" t="s">
        <v>7612</v>
      </c>
      <c r="D107" s="102" t="s">
        <v>7613</v>
      </c>
      <c r="E107" s="109">
        <v>2020</v>
      </c>
      <c r="F107" s="109">
        <v>2020</v>
      </c>
      <c r="G107" s="102" t="s">
        <v>3359</v>
      </c>
      <c r="H107" s="102">
        <v>200</v>
      </c>
      <c r="I107" s="102">
        <v>200</v>
      </c>
      <c r="J107" s="102"/>
      <c r="K107" s="102"/>
      <c r="L107" s="105">
        <v>20201118</v>
      </c>
    </row>
    <row r="108" spans="1:12">
      <c r="A108" s="132">
        <v>106</v>
      </c>
      <c r="B108" s="102" t="s">
        <v>7412</v>
      </c>
      <c r="C108" s="5" t="s">
        <v>7614</v>
      </c>
      <c r="D108" s="102" t="s">
        <v>7615</v>
      </c>
      <c r="E108" s="109">
        <v>2020</v>
      </c>
      <c r="F108" s="109">
        <v>2020</v>
      </c>
      <c r="G108" s="102" t="s">
        <v>3359</v>
      </c>
      <c r="H108" s="102">
        <v>200</v>
      </c>
      <c r="I108" s="102">
        <v>200</v>
      </c>
      <c r="J108" s="102"/>
      <c r="K108" s="102"/>
      <c r="L108" s="105">
        <v>20201118</v>
      </c>
    </row>
    <row r="109" spans="1:12">
      <c r="A109" s="132">
        <v>107</v>
      </c>
      <c r="B109" s="102" t="s">
        <v>7412</v>
      </c>
      <c r="C109" s="5" t="s">
        <v>7616</v>
      </c>
      <c r="D109" s="102" t="s">
        <v>7617</v>
      </c>
      <c r="E109" s="109">
        <v>2020</v>
      </c>
      <c r="F109" s="109">
        <v>2020</v>
      </c>
      <c r="G109" s="102" t="s">
        <v>3359</v>
      </c>
      <c r="H109" s="102">
        <v>200</v>
      </c>
      <c r="I109" s="102">
        <v>200</v>
      </c>
      <c r="J109" s="102"/>
      <c r="K109" s="102"/>
      <c r="L109" s="105">
        <v>20201118</v>
      </c>
    </row>
    <row r="110" spans="1:12">
      <c r="A110" s="132">
        <v>108</v>
      </c>
      <c r="B110" s="102" t="s">
        <v>7412</v>
      </c>
      <c r="C110" s="5" t="s">
        <v>7618</v>
      </c>
      <c r="D110" s="102" t="s">
        <v>7619</v>
      </c>
      <c r="E110" s="109">
        <v>2020</v>
      </c>
      <c r="F110" s="109">
        <v>2020</v>
      </c>
      <c r="G110" s="102" t="s">
        <v>3359</v>
      </c>
      <c r="H110" s="102">
        <v>200</v>
      </c>
      <c r="I110" s="102">
        <v>200</v>
      </c>
      <c r="J110" s="102"/>
      <c r="K110" s="102"/>
      <c r="L110" s="105">
        <v>20201118</v>
      </c>
    </row>
    <row r="111" spans="1:12">
      <c r="A111" s="132">
        <v>109</v>
      </c>
      <c r="B111" s="102" t="s">
        <v>7412</v>
      </c>
      <c r="C111" s="5" t="s">
        <v>7620</v>
      </c>
      <c r="D111" s="102" t="s">
        <v>7621</v>
      </c>
      <c r="E111" s="109">
        <v>2020</v>
      </c>
      <c r="F111" s="109">
        <v>2020</v>
      </c>
      <c r="G111" s="102" t="s">
        <v>3359</v>
      </c>
      <c r="H111" s="102">
        <v>200</v>
      </c>
      <c r="I111" s="102">
        <v>200</v>
      </c>
      <c r="J111" s="102"/>
      <c r="K111" s="102"/>
      <c r="L111" s="105">
        <v>20201118</v>
      </c>
    </row>
    <row r="112" spans="1:12">
      <c r="A112" s="132">
        <v>110</v>
      </c>
      <c r="B112" s="102" t="s">
        <v>7412</v>
      </c>
      <c r="C112" s="5" t="s">
        <v>7622</v>
      </c>
      <c r="D112" s="102" t="s">
        <v>7623</v>
      </c>
      <c r="E112" s="109">
        <v>2020</v>
      </c>
      <c r="F112" s="109">
        <v>2020</v>
      </c>
      <c r="G112" s="102" t="s">
        <v>3359</v>
      </c>
      <c r="H112" s="102">
        <v>200</v>
      </c>
      <c r="I112" s="102">
        <v>200</v>
      </c>
      <c r="J112" s="102" t="s">
        <v>1242</v>
      </c>
      <c r="K112" s="102"/>
      <c r="L112" s="105">
        <v>20201118</v>
      </c>
    </row>
    <row r="113" spans="1:12">
      <c r="A113" s="132">
        <v>111</v>
      </c>
      <c r="B113" s="102" t="s">
        <v>7412</v>
      </c>
      <c r="C113" s="5" t="s">
        <v>7624</v>
      </c>
      <c r="D113" s="102" t="s">
        <v>7625</v>
      </c>
      <c r="E113" s="109">
        <v>2020</v>
      </c>
      <c r="F113" s="109">
        <v>2020</v>
      </c>
      <c r="G113" s="102" t="s">
        <v>3359</v>
      </c>
      <c r="H113" s="102">
        <v>200</v>
      </c>
      <c r="I113" s="102">
        <v>200</v>
      </c>
      <c r="J113" s="102" t="s">
        <v>1242</v>
      </c>
      <c r="K113" s="102"/>
      <c r="L113" s="105">
        <v>20201118</v>
      </c>
    </row>
    <row r="114" spans="1:12">
      <c r="A114" s="132">
        <v>112</v>
      </c>
      <c r="B114" s="102" t="s">
        <v>7412</v>
      </c>
      <c r="C114" s="5" t="s">
        <v>2266</v>
      </c>
      <c r="D114" s="102" t="s">
        <v>7626</v>
      </c>
      <c r="E114" s="109">
        <v>2020</v>
      </c>
      <c r="F114" s="109">
        <v>2020</v>
      </c>
      <c r="G114" s="102" t="s">
        <v>3359</v>
      </c>
      <c r="H114" s="102">
        <v>200</v>
      </c>
      <c r="I114" s="102">
        <v>200</v>
      </c>
      <c r="J114" s="102"/>
      <c r="K114" s="102"/>
      <c r="L114" s="105">
        <v>20201118</v>
      </c>
    </row>
    <row r="115" spans="1:12">
      <c r="A115" s="132">
        <v>113</v>
      </c>
      <c r="B115" s="102" t="s">
        <v>7412</v>
      </c>
      <c r="C115" s="5" t="s">
        <v>7627</v>
      </c>
      <c r="D115" s="102" t="s">
        <v>7628</v>
      </c>
      <c r="E115" s="109">
        <v>2020</v>
      </c>
      <c r="F115" s="109">
        <v>2020</v>
      </c>
      <c r="G115" s="102" t="s">
        <v>3359</v>
      </c>
      <c r="H115" s="102">
        <v>200</v>
      </c>
      <c r="I115" s="102">
        <v>200</v>
      </c>
      <c r="J115" s="102"/>
      <c r="K115" s="102"/>
      <c r="L115" s="105">
        <v>20201118</v>
      </c>
    </row>
    <row r="116" spans="1:12">
      <c r="A116" s="132">
        <v>114</v>
      </c>
      <c r="B116" s="102" t="s">
        <v>7412</v>
      </c>
      <c r="C116" s="5" t="s">
        <v>7629</v>
      </c>
      <c r="D116" s="102" t="s">
        <v>7630</v>
      </c>
      <c r="E116" s="109">
        <v>2020</v>
      </c>
      <c r="F116" s="109">
        <v>2020</v>
      </c>
      <c r="G116" s="102" t="s">
        <v>3359</v>
      </c>
      <c r="H116" s="102">
        <v>1000</v>
      </c>
      <c r="I116" s="102">
        <v>1000</v>
      </c>
      <c r="J116" s="102"/>
      <c r="K116" s="102"/>
      <c r="L116" s="105">
        <v>20201118</v>
      </c>
    </row>
    <row r="117" spans="1:12">
      <c r="A117" s="132">
        <v>115</v>
      </c>
      <c r="B117" s="102" t="s">
        <v>7412</v>
      </c>
      <c r="C117" s="5" t="s">
        <v>7631</v>
      </c>
      <c r="D117" s="102" t="s">
        <v>7632</v>
      </c>
      <c r="E117" s="109">
        <v>2020</v>
      </c>
      <c r="F117" s="109">
        <v>2020</v>
      </c>
      <c r="G117" s="102" t="s">
        <v>3359</v>
      </c>
      <c r="H117" s="102">
        <v>200</v>
      </c>
      <c r="I117" s="102">
        <v>200</v>
      </c>
      <c r="J117" s="102"/>
      <c r="K117" s="102"/>
      <c r="L117" s="105">
        <v>20201118</v>
      </c>
    </row>
    <row r="118" spans="1:12">
      <c r="A118" s="132">
        <v>116</v>
      </c>
      <c r="B118" s="102" t="s">
        <v>7412</v>
      </c>
      <c r="C118" s="5" t="s">
        <v>7633</v>
      </c>
      <c r="D118" s="102" t="s">
        <v>7634</v>
      </c>
      <c r="E118" s="109">
        <v>2020</v>
      </c>
      <c r="F118" s="109">
        <v>2020</v>
      </c>
      <c r="G118" s="102" t="s">
        <v>3359</v>
      </c>
      <c r="H118" s="102">
        <v>200</v>
      </c>
      <c r="I118" s="102">
        <v>200</v>
      </c>
      <c r="J118" s="102"/>
      <c r="K118" s="102"/>
      <c r="L118" s="105">
        <v>20201118</v>
      </c>
    </row>
    <row r="119" spans="1:12">
      <c r="A119" s="132">
        <v>117</v>
      </c>
      <c r="B119" s="102" t="s">
        <v>7412</v>
      </c>
      <c r="C119" s="5" t="s">
        <v>7620</v>
      </c>
      <c r="D119" s="102" t="s">
        <v>7635</v>
      </c>
      <c r="E119" s="109">
        <v>2020</v>
      </c>
      <c r="F119" s="109">
        <v>2020</v>
      </c>
      <c r="G119" s="102" t="s">
        <v>3359</v>
      </c>
      <c r="H119" s="102">
        <v>200</v>
      </c>
      <c r="I119" s="102">
        <v>200</v>
      </c>
      <c r="J119" s="102"/>
      <c r="K119" s="102"/>
      <c r="L119" s="105">
        <v>20201118</v>
      </c>
    </row>
    <row r="120" spans="1:12">
      <c r="A120" s="132">
        <v>118</v>
      </c>
      <c r="B120" s="102" t="s">
        <v>7412</v>
      </c>
      <c r="C120" s="5" t="s">
        <v>7636</v>
      </c>
      <c r="D120" s="102" t="s">
        <v>7637</v>
      </c>
      <c r="E120" s="109">
        <v>2020</v>
      </c>
      <c r="F120" s="109">
        <v>2020</v>
      </c>
      <c r="G120" s="102" t="s">
        <v>3359</v>
      </c>
      <c r="H120" s="102">
        <v>200</v>
      </c>
      <c r="I120" s="102">
        <v>200</v>
      </c>
      <c r="J120" s="102"/>
      <c r="K120" s="102"/>
      <c r="L120" s="105">
        <v>20201118</v>
      </c>
    </row>
    <row r="121" spans="1:12">
      <c r="A121" s="132">
        <v>119</v>
      </c>
      <c r="B121" s="102" t="s">
        <v>7412</v>
      </c>
      <c r="C121" s="5" t="s">
        <v>7638</v>
      </c>
      <c r="D121" s="102" t="s">
        <v>7639</v>
      </c>
      <c r="E121" s="109">
        <v>2020</v>
      </c>
      <c r="F121" s="109">
        <v>2020</v>
      </c>
      <c r="G121" s="102" t="s">
        <v>3359</v>
      </c>
      <c r="H121" s="102">
        <v>200</v>
      </c>
      <c r="I121" s="102">
        <v>200</v>
      </c>
      <c r="J121" s="102"/>
      <c r="K121" s="102"/>
      <c r="L121" s="105">
        <v>20201118</v>
      </c>
    </row>
    <row r="122" spans="1:12">
      <c r="A122" s="132">
        <v>120</v>
      </c>
      <c r="B122" s="102" t="s">
        <v>7412</v>
      </c>
      <c r="C122" s="5" t="s">
        <v>7640</v>
      </c>
      <c r="D122" s="102" t="s">
        <v>7641</v>
      </c>
      <c r="E122" s="109">
        <v>2020</v>
      </c>
      <c r="F122" s="109">
        <v>2020</v>
      </c>
      <c r="G122" s="102" t="s">
        <v>3359</v>
      </c>
      <c r="H122" s="102">
        <v>200</v>
      </c>
      <c r="I122" s="102">
        <v>200</v>
      </c>
      <c r="J122" s="102"/>
      <c r="K122" s="102"/>
      <c r="L122" s="105">
        <v>20201118</v>
      </c>
    </row>
    <row r="123" spans="1:12">
      <c r="A123" s="132">
        <v>121</v>
      </c>
      <c r="B123" s="102" t="s">
        <v>7412</v>
      </c>
      <c r="C123" s="5" t="s">
        <v>7642</v>
      </c>
      <c r="D123" s="102" t="s">
        <v>7643</v>
      </c>
      <c r="E123" s="109">
        <v>2020</v>
      </c>
      <c r="F123" s="109">
        <v>2020</v>
      </c>
      <c r="G123" s="102" t="s">
        <v>3359</v>
      </c>
      <c r="H123" s="102">
        <v>200</v>
      </c>
      <c r="I123" s="102">
        <v>200</v>
      </c>
      <c r="J123" s="102"/>
      <c r="K123" s="102"/>
      <c r="L123" s="105">
        <v>20201118</v>
      </c>
    </row>
    <row r="124" spans="1:12">
      <c r="A124" s="132">
        <v>122</v>
      </c>
      <c r="B124" s="102" t="s">
        <v>7412</v>
      </c>
      <c r="C124" s="5" t="s">
        <v>7644</v>
      </c>
      <c r="D124" s="102" t="s">
        <v>7645</v>
      </c>
      <c r="E124" s="109">
        <v>2020</v>
      </c>
      <c r="F124" s="109">
        <v>2020</v>
      </c>
      <c r="G124" s="102" t="s">
        <v>3359</v>
      </c>
      <c r="H124" s="102">
        <v>200</v>
      </c>
      <c r="I124" s="102">
        <v>200</v>
      </c>
      <c r="J124" s="102"/>
      <c r="K124" s="102"/>
      <c r="L124" s="105">
        <v>20201118</v>
      </c>
    </row>
    <row r="125" spans="1:12">
      <c r="A125" s="132">
        <v>123</v>
      </c>
      <c r="B125" s="102" t="s">
        <v>7412</v>
      </c>
      <c r="C125" s="5" t="s">
        <v>7646</v>
      </c>
      <c r="D125" s="102" t="s">
        <v>7647</v>
      </c>
      <c r="E125" s="109">
        <v>2020</v>
      </c>
      <c r="F125" s="109">
        <v>2020</v>
      </c>
      <c r="G125" s="102" t="s">
        <v>3359</v>
      </c>
      <c r="H125" s="102">
        <v>200</v>
      </c>
      <c r="I125" s="102">
        <v>200</v>
      </c>
      <c r="J125" s="102"/>
      <c r="K125" s="102"/>
      <c r="L125" s="105">
        <v>20201118</v>
      </c>
    </row>
    <row r="126" spans="1:12">
      <c r="A126" s="132">
        <v>124</v>
      </c>
      <c r="B126" s="102" t="s">
        <v>7412</v>
      </c>
      <c r="C126" s="5" t="s">
        <v>7648</v>
      </c>
      <c r="D126" s="102" t="s">
        <v>7649</v>
      </c>
      <c r="E126" s="109">
        <v>2020</v>
      </c>
      <c r="F126" s="109">
        <v>2020</v>
      </c>
      <c r="G126" s="102" t="s">
        <v>3359</v>
      </c>
      <c r="H126" s="102">
        <v>1000</v>
      </c>
      <c r="I126" s="102">
        <v>1000</v>
      </c>
      <c r="J126" s="102"/>
      <c r="K126" s="102"/>
      <c r="L126" s="105">
        <v>20201118</v>
      </c>
    </row>
    <row r="127" spans="1:12">
      <c r="A127" s="132">
        <v>125</v>
      </c>
      <c r="B127" s="102" t="s">
        <v>7412</v>
      </c>
      <c r="C127" s="5" t="s">
        <v>7650</v>
      </c>
      <c r="D127" s="102" t="s">
        <v>7651</v>
      </c>
      <c r="E127" s="109">
        <v>2020</v>
      </c>
      <c r="F127" s="109">
        <v>2020</v>
      </c>
      <c r="G127" s="102" t="s">
        <v>3359</v>
      </c>
      <c r="H127" s="102">
        <v>200</v>
      </c>
      <c r="I127" s="102">
        <v>200</v>
      </c>
      <c r="J127" s="102"/>
      <c r="K127" s="102"/>
      <c r="L127" s="105">
        <v>20201118</v>
      </c>
    </row>
    <row r="128" spans="1:12">
      <c r="A128" s="132">
        <v>126</v>
      </c>
      <c r="B128" s="102" t="s">
        <v>7412</v>
      </c>
      <c r="C128" s="5" t="s">
        <v>7652</v>
      </c>
      <c r="D128" s="102" t="s">
        <v>7653</v>
      </c>
      <c r="E128" s="109">
        <v>2020</v>
      </c>
      <c r="F128" s="109">
        <v>2020</v>
      </c>
      <c r="G128" s="102" t="s">
        <v>3359</v>
      </c>
      <c r="H128" s="102">
        <v>200</v>
      </c>
      <c r="I128" s="102">
        <v>200</v>
      </c>
      <c r="J128" s="102"/>
      <c r="K128" s="102"/>
      <c r="L128" s="105">
        <v>20201118</v>
      </c>
    </row>
    <row r="129" spans="1:12">
      <c r="A129" s="132">
        <v>127</v>
      </c>
      <c r="B129" s="102" t="s">
        <v>7412</v>
      </c>
      <c r="C129" s="5" t="s">
        <v>7654</v>
      </c>
      <c r="D129" s="102" t="s">
        <v>7655</v>
      </c>
      <c r="E129" s="109">
        <v>2020</v>
      </c>
      <c r="F129" s="109">
        <v>2020</v>
      </c>
      <c r="G129" s="102" t="s">
        <v>3359</v>
      </c>
      <c r="H129" s="102">
        <v>200</v>
      </c>
      <c r="I129" s="102">
        <v>200</v>
      </c>
      <c r="J129" s="102"/>
      <c r="K129" s="102"/>
      <c r="L129" s="105">
        <v>20201118</v>
      </c>
    </row>
    <row r="130" spans="1:12">
      <c r="A130" s="132">
        <v>128</v>
      </c>
      <c r="B130" s="102" t="s">
        <v>7412</v>
      </c>
      <c r="C130" s="5" t="s">
        <v>7656</v>
      </c>
      <c r="D130" s="102" t="s">
        <v>7657</v>
      </c>
      <c r="E130" s="109">
        <v>2020</v>
      </c>
      <c r="F130" s="109">
        <v>2020</v>
      </c>
      <c r="G130" s="102" t="s">
        <v>3359</v>
      </c>
      <c r="H130" s="102">
        <v>200</v>
      </c>
      <c r="I130" s="102">
        <v>200</v>
      </c>
      <c r="J130" s="102"/>
      <c r="K130" s="102"/>
      <c r="L130" s="105">
        <v>20201118</v>
      </c>
    </row>
    <row r="131" spans="1:12">
      <c r="A131" s="132">
        <v>129</v>
      </c>
      <c r="B131" s="102" t="s">
        <v>7412</v>
      </c>
      <c r="C131" s="5" t="s">
        <v>7658</v>
      </c>
      <c r="D131" s="102" t="s">
        <v>7659</v>
      </c>
      <c r="E131" s="109">
        <v>2020</v>
      </c>
      <c r="F131" s="109">
        <v>2020</v>
      </c>
      <c r="G131" s="102" t="s">
        <v>3359</v>
      </c>
      <c r="H131" s="102">
        <v>200</v>
      </c>
      <c r="I131" s="102">
        <v>200</v>
      </c>
      <c r="J131" s="102"/>
      <c r="K131" s="102"/>
      <c r="L131" s="105">
        <v>20201118</v>
      </c>
    </row>
    <row r="132" spans="1:12">
      <c r="A132" s="132">
        <v>130</v>
      </c>
      <c r="B132" s="102" t="s">
        <v>7412</v>
      </c>
      <c r="C132" s="5" t="s">
        <v>7660</v>
      </c>
      <c r="D132" s="102" t="s">
        <v>7661</v>
      </c>
      <c r="E132" s="109">
        <v>2020</v>
      </c>
      <c r="F132" s="109">
        <v>2020</v>
      </c>
      <c r="G132" s="102" t="s">
        <v>3359</v>
      </c>
      <c r="H132" s="102">
        <v>500</v>
      </c>
      <c r="I132" s="102">
        <v>500</v>
      </c>
      <c r="J132" s="102"/>
      <c r="K132" s="102"/>
      <c r="L132" s="105">
        <v>20201118</v>
      </c>
    </row>
    <row r="133" spans="1:12">
      <c r="A133" s="132">
        <v>131</v>
      </c>
      <c r="B133" s="102" t="s">
        <v>7412</v>
      </c>
      <c r="C133" s="5" t="s">
        <v>3786</v>
      </c>
      <c r="D133" s="102" t="s">
        <v>7662</v>
      </c>
      <c r="E133" s="109">
        <v>2020</v>
      </c>
      <c r="F133" s="109">
        <v>2020</v>
      </c>
      <c r="G133" s="102" t="s">
        <v>3359</v>
      </c>
      <c r="H133" s="102">
        <v>200</v>
      </c>
      <c r="I133" s="102">
        <v>200</v>
      </c>
      <c r="J133" s="102"/>
      <c r="K133" s="102"/>
      <c r="L133" s="105">
        <v>20201118</v>
      </c>
    </row>
    <row r="134" spans="1:12">
      <c r="A134" s="132">
        <v>132</v>
      </c>
      <c r="B134" s="102" t="s">
        <v>7412</v>
      </c>
      <c r="C134" s="5" t="s">
        <v>7663</v>
      </c>
      <c r="D134" s="102" t="s">
        <v>7664</v>
      </c>
      <c r="E134" s="109">
        <v>2020</v>
      </c>
      <c r="F134" s="109">
        <v>2020</v>
      </c>
      <c r="G134" s="102" t="s">
        <v>3359</v>
      </c>
      <c r="H134" s="102">
        <v>200</v>
      </c>
      <c r="I134" s="102">
        <v>200</v>
      </c>
      <c r="J134" s="102"/>
      <c r="K134" s="102"/>
      <c r="L134" s="105">
        <v>20201118</v>
      </c>
    </row>
    <row r="135" spans="1:12">
      <c r="A135" s="132">
        <v>133</v>
      </c>
      <c r="B135" s="102" t="s">
        <v>7412</v>
      </c>
      <c r="C135" s="5" t="s">
        <v>7665</v>
      </c>
      <c r="D135" s="102" t="s">
        <v>7666</v>
      </c>
      <c r="E135" s="109">
        <v>2020</v>
      </c>
      <c r="F135" s="109">
        <v>2020</v>
      </c>
      <c r="G135" s="102" t="s">
        <v>3359</v>
      </c>
      <c r="H135" s="102">
        <v>200</v>
      </c>
      <c r="I135" s="102">
        <v>200</v>
      </c>
      <c r="J135" s="102"/>
      <c r="K135" s="102"/>
      <c r="L135" s="105">
        <v>20201118</v>
      </c>
    </row>
    <row r="136" spans="1:12">
      <c r="A136" s="132">
        <v>134</v>
      </c>
      <c r="B136" s="102" t="s">
        <v>7412</v>
      </c>
      <c r="C136" s="5" t="s">
        <v>7667</v>
      </c>
      <c r="D136" s="102" t="s">
        <v>7668</v>
      </c>
      <c r="E136" s="109">
        <v>2020</v>
      </c>
      <c r="F136" s="109">
        <v>2020</v>
      </c>
      <c r="G136" s="102" t="s">
        <v>3359</v>
      </c>
      <c r="H136" s="102">
        <v>200</v>
      </c>
      <c r="I136" s="102">
        <v>200</v>
      </c>
      <c r="J136" s="102"/>
      <c r="K136" s="102"/>
      <c r="L136" s="105">
        <v>20201118</v>
      </c>
    </row>
    <row r="137" spans="1:12">
      <c r="A137" s="132">
        <v>135</v>
      </c>
      <c r="B137" s="102" t="s">
        <v>7412</v>
      </c>
      <c r="C137" s="5" t="s">
        <v>7669</v>
      </c>
      <c r="D137" s="102" t="s">
        <v>7670</v>
      </c>
      <c r="E137" s="109">
        <v>2020</v>
      </c>
      <c r="F137" s="109">
        <v>2020</v>
      </c>
      <c r="G137" s="102" t="s">
        <v>3359</v>
      </c>
      <c r="H137" s="102">
        <v>200</v>
      </c>
      <c r="I137" s="102">
        <v>200</v>
      </c>
      <c r="J137" s="102"/>
      <c r="K137" s="102"/>
      <c r="L137" s="105">
        <v>20201118</v>
      </c>
    </row>
    <row r="138" spans="1:12">
      <c r="A138" s="132">
        <v>136</v>
      </c>
      <c r="B138" s="102" t="s">
        <v>7412</v>
      </c>
      <c r="C138" s="5" t="s">
        <v>7671</v>
      </c>
      <c r="D138" s="102" t="s">
        <v>7672</v>
      </c>
      <c r="E138" s="109">
        <v>2020</v>
      </c>
      <c r="F138" s="109">
        <v>2020</v>
      </c>
      <c r="G138" s="102" t="s">
        <v>3359</v>
      </c>
      <c r="H138" s="102">
        <v>200</v>
      </c>
      <c r="I138" s="102">
        <v>200</v>
      </c>
      <c r="J138" s="102"/>
      <c r="K138" s="102"/>
      <c r="L138" s="105">
        <v>20201118</v>
      </c>
    </row>
    <row r="139" spans="1:12">
      <c r="A139" s="132">
        <v>137</v>
      </c>
      <c r="B139" s="102" t="s">
        <v>7412</v>
      </c>
      <c r="C139" s="5" t="s">
        <v>7673</v>
      </c>
      <c r="D139" s="102" t="s">
        <v>7674</v>
      </c>
      <c r="E139" s="109">
        <v>2020</v>
      </c>
      <c r="F139" s="109">
        <v>2020</v>
      </c>
      <c r="G139" s="102" t="s">
        <v>3359</v>
      </c>
      <c r="H139" s="102">
        <v>200</v>
      </c>
      <c r="I139" s="102">
        <v>200</v>
      </c>
      <c r="J139" s="102"/>
      <c r="K139" s="102"/>
      <c r="L139" s="105">
        <v>20201118</v>
      </c>
    </row>
    <row r="140" spans="1:12">
      <c r="A140" s="132">
        <v>138</v>
      </c>
      <c r="B140" s="102" t="s">
        <v>7412</v>
      </c>
      <c r="C140" s="5" t="s">
        <v>4823</v>
      </c>
      <c r="D140" s="102" t="s">
        <v>7675</v>
      </c>
      <c r="E140" s="109">
        <v>2020</v>
      </c>
      <c r="F140" s="109">
        <v>2020</v>
      </c>
      <c r="G140" s="102" t="s">
        <v>3359</v>
      </c>
      <c r="H140" s="102">
        <v>200</v>
      </c>
      <c r="I140" s="102">
        <v>200</v>
      </c>
      <c r="J140" s="102"/>
      <c r="K140" s="102"/>
      <c r="L140" s="105">
        <v>20201118</v>
      </c>
    </row>
    <row r="141" spans="1:12">
      <c r="A141" s="132">
        <v>139</v>
      </c>
      <c r="B141" s="102" t="s">
        <v>7412</v>
      </c>
      <c r="C141" s="5" t="s">
        <v>1058</v>
      </c>
      <c r="D141" s="102" t="s">
        <v>7676</v>
      </c>
      <c r="E141" s="109">
        <v>2020</v>
      </c>
      <c r="F141" s="109">
        <v>2020</v>
      </c>
      <c r="G141" s="102" t="s">
        <v>3359</v>
      </c>
      <c r="H141" s="102">
        <v>200</v>
      </c>
      <c r="I141" s="102">
        <v>200</v>
      </c>
      <c r="J141" s="102"/>
      <c r="K141" s="102"/>
      <c r="L141" s="105">
        <v>20201118</v>
      </c>
    </row>
    <row r="142" spans="1:12">
      <c r="A142" s="132">
        <v>140</v>
      </c>
      <c r="B142" s="102" t="s">
        <v>7412</v>
      </c>
      <c r="C142" s="5" t="s">
        <v>7677</v>
      </c>
      <c r="D142" s="102" t="s">
        <v>7678</v>
      </c>
      <c r="E142" s="109">
        <v>2020</v>
      </c>
      <c r="F142" s="109">
        <v>2020</v>
      </c>
      <c r="G142" s="102" t="s">
        <v>3359</v>
      </c>
      <c r="H142" s="102">
        <v>200</v>
      </c>
      <c r="I142" s="102">
        <v>200</v>
      </c>
      <c r="J142" s="102" t="s">
        <v>1242</v>
      </c>
      <c r="K142" s="102"/>
      <c r="L142" s="105">
        <v>20201118</v>
      </c>
    </row>
    <row r="143" spans="1:12">
      <c r="A143" s="132">
        <v>141</v>
      </c>
      <c r="B143" s="102" t="s">
        <v>7412</v>
      </c>
      <c r="C143" s="5" t="s">
        <v>7679</v>
      </c>
      <c r="D143" s="102" t="s">
        <v>7680</v>
      </c>
      <c r="E143" s="109">
        <v>2020</v>
      </c>
      <c r="F143" s="109">
        <v>2020</v>
      </c>
      <c r="G143" s="102" t="s">
        <v>3359</v>
      </c>
      <c r="H143" s="102">
        <v>200</v>
      </c>
      <c r="I143" s="102">
        <v>200</v>
      </c>
      <c r="J143" s="102"/>
      <c r="K143" s="102"/>
      <c r="L143" s="105">
        <v>20201118</v>
      </c>
    </row>
    <row r="144" spans="1:12">
      <c r="A144" s="132">
        <v>142</v>
      </c>
      <c r="B144" s="102" t="s">
        <v>7412</v>
      </c>
      <c r="C144" s="5" t="s">
        <v>7681</v>
      </c>
      <c r="D144" s="102" t="s">
        <v>7682</v>
      </c>
      <c r="E144" s="109">
        <v>2020</v>
      </c>
      <c r="F144" s="109">
        <v>2020</v>
      </c>
      <c r="G144" s="102" t="s">
        <v>3359</v>
      </c>
      <c r="H144" s="102">
        <v>200</v>
      </c>
      <c r="I144" s="102">
        <v>200</v>
      </c>
      <c r="J144" s="102"/>
      <c r="K144" s="102"/>
      <c r="L144" s="105">
        <v>20201118</v>
      </c>
    </row>
    <row r="145" spans="1:12">
      <c r="A145" s="132">
        <v>143</v>
      </c>
      <c r="B145" s="102" t="s">
        <v>7412</v>
      </c>
      <c r="C145" s="5" t="s">
        <v>7683</v>
      </c>
      <c r="D145" s="102" t="s">
        <v>7684</v>
      </c>
      <c r="E145" s="109">
        <v>2020</v>
      </c>
      <c r="F145" s="109">
        <v>2020</v>
      </c>
      <c r="G145" s="102" t="s">
        <v>3359</v>
      </c>
      <c r="H145" s="102">
        <v>200</v>
      </c>
      <c r="I145" s="102">
        <v>200</v>
      </c>
      <c r="J145" s="102"/>
      <c r="K145" s="102"/>
      <c r="L145" s="105">
        <v>20201118</v>
      </c>
    </row>
    <row r="146" spans="1:12">
      <c r="A146" s="132">
        <v>144</v>
      </c>
      <c r="B146" s="102" t="s">
        <v>7412</v>
      </c>
      <c r="C146" s="5" t="s">
        <v>6539</v>
      </c>
      <c r="D146" s="102" t="s">
        <v>7685</v>
      </c>
      <c r="E146" s="109">
        <v>2020</v>
      </c>
      <c r="F146" s="109">
        <v>2020</v>
      </c>
      <c r="G146" s="102" t="s">
        <v>3359</v>
      </c>
      <c r="H146" s="102">
        <v>200</v>
      </c>
      <c r="I146" s="102">
        <v>200</v>
      </c>
      <c r="J146" s="102"/>
      <c r="K146" s="102"/>
      <c r="L146" s="105">
        <v>20201118</v>
      </c>
    </row>
    <row r="147" spans="1:12">
      <c r="A147" s="132">
        <v>145</v>
      </c>
      <c r="B147" s="102" t="s">
        <v>7412</v>
      </c>
      <c r="C147" s="5" t="s">
        <v>7686</v>
      </c>
      <c r="D147" s="102" t="s">
        <v>7687</v>
      </c>
      <c r="E147" s="109">
        <v>2020</v>
      </c>
      <c r="F147" s="109">
        <v>2020</v>
      </c>
      <c r="G147" s="102" t="s">
        <v>3359</v>
      </c>
      <c r="H147" s="102">
        <v>200</v>
      </c>
      <c r="I147" s="102">
        <v>200</v>
      </c>
      <c r="J147" s="102"/>
      <c r="K147" s="102"/>
      <c r="L147" s="105">
        <v>20201118</v>
      </c>
    </row>
    <row r="148" spans="1:12">
      <c r="A148" s="132">
        <v>146</v>
      </c>
      <c r="B148" s="102" t="s">
        <v>7412</v>
      </c>
      <c r="C148" s="5" t="s">
        <v>7688</v>
      </c>
      <c r="D148" s="102" t="s">
        <v>7689</v>
      </c>
      <c r="E148" s="109">
        <v>2020</v>
      </c>
      <c r="F148" s="109">
        <v>2020</v>
      </c>
      <c r="G148" s="102" t="s">
        <v>3359</v>
      </c>
      <c r="H148" s="102">
        <v>200</v>
      </c>
      <c r="I148" s="102">
        <v>200</v>
      </c>
      <c r="J148" s="102"/>
      <c r="K148" s="102"/>
      <c r="L148" s="105">
        <v>20201118</v>
      </c>
    </row>
    <row r="149" spans="1:12">
      <c r="A149" s="132">
        <v>147</v>
      </c>
      <c r="B149" s="102" t="s">
        <v>7412</v>
      </c>
      <c r="C149" s="5" t="s">
        <v>7690</v>
      </c>
      <c r="D149" s="102" t="s">
        <v>7691</v>
      </c>
      <c r="E149" s="109">
        <v>2020</v>
      </c>
      <c r="F149" s="109">
        <v>2020</v>
      </c>
      <c r="G149" s="102" t="s">
        <v>3359</v>
      </c>
      <c r="H149" s="102">
        <v>200</v>
      </c>
      <c r="I149" s="102">
        <v>200</v>
      </c>
      <c r="J149" s="102"/>
      <c r="K149" s="102"/>
      <c r="L149" s="105">
        <v>20201118</v>
      </c>
    </row>
    <row r="150" spans="1:12">
      <c r="A150" s="132">
        <v>148</v>
      </c>
      <c r="B150" s="102" t="s">
        <v>7412</v>
      </c>
      <c r="C150" s="5" t="s">
        <v>7692</v>
      </c>
      <c r="D150" s="102" t="s">
        <v>7693</v>
      </c>
      <c r="E150" s="109">
        <v>2020</v>
      </c>
      <c r="F150" s="109">
        <v>2020</v>
      </c>
      <c r="G150" s="102" t="s">
        <v>3359</v>
      </c>
      <c r="H150" s="102">
        <v>200</v>
      </c>
      <c r="I150" s="102">
        <v>200</v>
      </c>
      <c r="J150" s="102" t="s">
        <v>1242</v>
      </c>
      <c r="K150" s="102"/>
      <c r="L150" s="105">
        <v>20201118</v>
      </c>
    </row>
    <row r="151" spans="1:12">
      <c r="A151" s="132">
        <v>149</v>
      </c>
      <c r="B151" s="102" t="s">
        <v>7412</v>
      </c>
      <c r="C151" s="5" t="s">
        <v>7694</v>
      </c>
      <c r="D151" s="102" t="s">
        <v>7695</v>
      </c>
      <c r="E151" s="109">
        <v>2020</v>
      </c>
      <c r="F151" s="109">
        <v>2020</v>
      </c>
      <c r="G151" s="102" t="s">
        <v>3359</v>
      </c>
      <c r="H151" s="102">
        <v>200</v>
      </c>
      <c r="I151" s="102">
        <v>200</v>
      </c>
      <c r="J151" s="102"/>
      <c r="K151" s="102"/>
      <c r="L151" s="105">
        <v>20201118</v>
      </c>
    </row>
    <row r="152" spans="1:12">
      <c r="A152" s="132">
        <v>150</v>
      </c>
      <c r="B152" s="102" t="s">
        <v>7412</v>
      </c>
      <c r="C152" s="5" t="s">
        <v>7696</v>
      </c>
      <c r="D152" s="102" t="s">
        <v>7697</v>
      </c>
      <c r="E152" s="109">
        <v>2020</v>
      </c>
      <c r="F152" s="109">
        <v>2020</v>
      </c>
      <c r="G152" s="102" t="s">
        <v>3359</v>
      </c>
      <c r="H152" s="102">
        <v>200</v>
      </c>
      <c r="I152" s="102">
        <v>200</v>
      </c>
      <c r="J152" s="102"/>
      <c r="K152" s="102"/>
      <c r="L152" s="105">
        <v>20201118</v>
      </c>
    </row>
    <row r="153" spans="1:12">
      <c r="A153" s="132">
        <v>151</v>
      </c>
      <c r="B153" s="102" t="s">
        <v>7412</v>
      </c>
      <c r="C153" s="5" t="s">
        <v>7698</v>
      </c>
      <c r="D153" s="102" t="s">
        <v>7699</v>
      </c>
      <c r="E153" s="109">
        <v>2020</v>
      </c>
      <c r="F153" s="109">
        <v>2020</v>
      </c>
      <c r="G153" s="102" t="s">
        <v>3359</v>
      </c>
      <c r="H153" s="102">
        <v>200</v>
      </c>
      <c r="I153" s="102">
        <v>200</v>
      </c>
      <c r="J153" s="102"/>
      <c r="K153" s="102"/>
      <c r="L153" s="105">
        <v>20201118</v>
      </c>
    </row>
    <row r="154" spans="1:12">
      <c r="A154" s="132">
        <v>152</v>
      </c>
      <c r="B154" s="102" t="s">
        <v>7412</v>
      </c>
      <c r="C154" s="5" t="s">
        <v>7700</v>
      </c>
      <c r="D154" s="102" t="s">
        <v>7701</v>
      </c>
      <c r="E154" s="109">
        <v>2020</v>
      </c>
      <c r="F154" s="109">
        <v>2020</v>
      </c>
      <c r="G154" s="102" t="s">
        <v>3359</v>
      </c>
      <c r="H154" s="102">
        <v>200</v>
      </c>
      <c r="I154" s="102">
        <v>200</v>
      </c>
      <c r="J154" s="102"/>
      <c r="K154" s="102"/>
      <c r="L154" s="105">
        <v>20201118</v>
      </c>
    </row>
    <row r="155" spans="1:12">
      <c r="A155" s="132">
        <v>153</v>
      </c>
      <c r="B155" s="102" t="s">
        <v>7412</v>
      </c>
      <c r="C155" s="5" t="s">
        <v>7702</v>
      </c>
      <c r="D155" s="102" t="s">
        <v>7703</v>
      </c>
      <c r="E155" s="109">
        <v>2020</v>
      </c>
      <c r="F155" s="109">
        <v>2020</v>
      </c>
      <c r="G155" s="102" t="s">
        <v>3359</v>
      </c>
      <c r="H155" s="102">
        <v>200</v>
      </c>
      <c r="I155" s="102">
        <v>200</v>
      </c>
      <c r="J155" s="102"/>
      <c r="K155" s="102"/>
      <c r="L155" s="105">
        <v>20201118</v>
      </c>
    </row>
    <row r="156" spans="1:12">
      <c r="A156" s="132">
        <v>154</v>
      </c>
      <c r="B156" s="102" t="s">
        <v>7412</v>
      </c>
      <c r="C156" s="5" t="s">
        <v>7704</v>
      </c>
      <c r="D156" s="102" t="s">
        <v>7705</v>
      </c>
      <c r="E156" s="109">
        <v>2020</v>
      </c>
      <c r="F156" s="109">
        <v>2020</v>
      </c>
      <c r="G156" s="102" t="s">
        <v>3359</v>
      </c>
      <c r="H156" s="102">
        <v>1000</v>
      </c>
      <c r="I156" s="102">
        <v>1000</v>
      </c>
      <c r="J156" s="102"/>
      <c r="K156" s="102"/>
      <c r="L156" s="105">
        <v>20201118</v>
      </c>
    </row>
    <row r="157" spans="1:12">
      <c r="A157" s="132">
        <v>155</v>
      </c>
      <c r="B157" s="102" t="s">
        <v>7412</v>
      </c>
      <c r="C157" s="5" t="s">
        <v>7706</v>
      </c>
      <c r="D157" s="102" t="s">
        <v>7707</v>
      </c>
      <c r="E157" s="109">
        <v>2020</v>
      </c>
      <c r="F157" s="109">
        <v>2020</v>
      </c>
      <c r="G157" s="102" t="s">
        <v>3359</v>
      </c>
      <c r="H157" s="102">
        <v>200</v>
      </c>
      <c r="I157" s="102">
        <v>200</v>
      </c>
      <c r="J157" s="102"/>
      <c r="K157" s="102"/>
      <c r="L157" s="105">
        <v>20201118</v>
      </c>
    </row>
    <row r="158" spans="1:12">
      <c r="A158" s="132">
        <v>156</v>
      </c>
      <c r="B158" s="102" t="s">
        <v>7412</v>
      </c>
      <c r="C158" s="5" t="s">
        <v>6666</v>
      </c>
      <c r="D158" s="102" t="s">
        <v>7708</v>
      </c>
      <c r="E158" s="109">
        <v>2020</v>
      </c>
      <c r="F158" s="109">
        <v>2020</v>
      </c>
      <c r="G158" s="102" t="s">
        <v>3359</v>
      </c>
      <c r="H158" s="102">
        <v>200</v>
      </c>
      <c r="I158" s="102">
        <v>200</v>
      </c>
      <c r="J158" s="102"/>
      <c r="K158" s="102"/>
      <c r="L158" s="105">
        <v>20201118</v>
      </c>
    </row>
    <row r="159" spans="1:12">
      <c r="A159" s="132">
        <v>157</v>
      </c>
      <c r="B159" s="102" t="s">
        <v>7412</v>
      </c>
      <c r="C159" s="5" t="s">
        <v>7709</v>
      </c>
      <c r="D159" s="102" t="s">
        <v>7710</v>
      </c>
      <c r="E159" s="109">
        <v>2020</v>
      </c>
      <c r="F159" s="109">
        <v>2020</v>
      </c>
      <c r="G159" s="102" t="s">
        <v>3359</v>
      </c>
      <c r="H159" s="102">
        <v>200</v>
      </c>
      <c r="I159" s="102">
        <v>200</v>
      </c>
      <c r="J159" s="102" t="s">
        <v>1242</v>
      </c>
      <c r="K159" s="102"/>
      <c r="L159" s="105">
        <v>20201118</v>
      </c>
    </row>
    <row r="160" spans="1:12">
      <c r="A160" s="132">
        <v>158</v>
      </c>
      <c r="B160" s="102" t="s">
        <v>7412</v>
      </c>
      <c r="C160" s="5" t="s">
        <v>7711</v>
      </c>
      <c r="D160" s="102" t="s">
        <v>7712</v>
      </c>
      <c r="E160" s="109">
        <v>2020</v>
      </c>
      <c r="F160" s="109">
        <v>2020</v>
      </c>
      <c r="G160" s="102" t="s">
        <v>3359</v>
      </c>
      <c r="H160" s="102">
        <v>200</v>
      </c>
      <c r="I160" s="102">
        <v>200</v>
      </c>
      <c r="J160" s="102"/>
      <c r="K160" s="102"/>
      <c r="L160" s="105">
        <v>20201118</v>
      </c>
    </row>
    <row r="161" spans="1:12">
      <c r="A161" s="132">
        <v>159</v>
      </c>
      <c r="B161" s="102" t="s">
        <v>7412</v>
      </c>
      <c r="C161" s="5" t="s">
        <v>7713</v>
      </c>
      <c r="D161" s="102" t="s">
        <v>7714</v>
      </c>
      <c r="E161" s="109">
        <v>2020</v>
      </c>
      <c r="F161" s="109">
        <v>2020</v>
      </c>
      <c r="G161" s="102" t="s">
        <v>3359</v>
      </c>
      <c r="H161" s="102">
        <v>200</v>
      </c>
      <c r="I161" s="102">
        <v>200</v>
      </c>
      <c r="J161" s="102"/>
      <c r="K161" s="102"/>
      <c r="L161" s="105">
        <v>20201118</v>
      </c>
    </row>
    <row r="162" spans="1:12">
      <c r="A162" s="132">
        <v>160</v>
      </c>
      <c r="B162" s="102" t="s">
        <v>7412</v>
      </c>
      <c r="C162" s="5" t="s">
        <v>7715</v>
      </c>
      <c r="D162" s="102" t="s">
        <v>7716</v>
      </c>
      <c r="E162" s="109">
        <v>2020</v>
      </c>
      <c r="F162" s="109">
        <v>2020</v>
      </c>
      <c r="G162" s="102" t="s">
        <v>3359</v>
      </c>
      <c r="H162" s="102">
        <v>200</v>
      </c>
      <c r="I162" s="102">
        <v>200</v>
      </c>
      <c r="J162" s="102"/>
      <c r="K162" s="102"/>
      <c r="L162" s="105">
        <v>20201118</v>
      </c>
    </row>
    <row r="163" spans="1:12">
      <c r="A163" s="132">
        <v>161</v>
      </c>
      <c r="B163" s="102" t="s">
        <v>7412</v>
      </c>
      <c r="C163" s="5" t="s">
        <v>6493</v>
      </c>
      <c r="D163" s="102" t="s">
        <v>7717</v>
      </c>
      <c r="E163" s="109">
        <v>2020</v>
      </c>
      <c r="F163" s="109">
        <v>2020</v>
      </c>
      <c r="G163" s="102" t="s">
        <v>3359</v>
      </c>
      <c r="H163" s="102">
        <v>200</v>
      </c>
      <c r="I163" s="102">
        <v>200</v>
      </c>
      <c r="J163" s="102"/>
      <c r="K163" s="102"/>
      <c r="L163" s="105">
        <v>20201118</v>
      </c>
    </row>
    <row r="164" spans="1:12">
      <c r="A164" s="132">
        <v>162</v>
      </c>
      <c r="B164" s="102" t="s">
        <v>7412</v>
      </c>
      <c r="C164" s="5" t="s">
        <v>7718</v>
      </c>
      <c r="D164" s="102" t="s">
        <v>7719</v>
      </c>
      <c r="E164" s="109">
        <v>2020</v>
      </c>
      <c r="F164" s="109">
        <v>2020</v>
      </c>
      <c r="G164" s="102" t="s">
        <v>3359</v>
      </c>
      <c r="H164" s="102">
        <v>200</v>
      </c>
      <c r="I164" s="102">
        <v>200</v>
      </c>
      <c r="J164" s="102"/>
      <c r="K164" s="102"/>
      <c r="L164" s="105">
        <v>20201118</v>
      </c>
    </row>
    <row r="165" spans="1:12">
      <c r="A165" s="132">
        <v>163</v>
      </c>
      <c r="B165" s="102" t="s">
        <v>7412</v>
      </c>
      <c r="C165" s="5" t="s">
        <v>7720</v>
      </c>
      <c r="D165" s="102" t="s">
        <v>7721</v>
      </c>
      <c r="E165" s="109">
        <v>2020</v>
      </c>
      <c r="F165" s="109">
        <v>2020</v>
      </c>
      <c r="G165" s="102" t="s">
        <v>3359</v>
      </c>
      <c r="H165" s="102">
        <v>500</v>
      </c>
      <c r="I165" s="102">
        <v>500</v>
      </c>
      <c r="J165" s="102"/>
      <c r="K165" s="102"/>
      <c r="L165" s="105">
        <v>20201118</v>
      </c>
    </row>
    <row r="166" spans="1:12">
      <c r="A166" s="132">
        <v>164</v>
      </c>
      <c r="B166" s="102" t="s">
        <v>7412</v>
      </c>
      <c r="C166" s="5" t="s">
        <v>7722</v>
      </c>
      <c r="D166" s="102" t="s">
        <v>7723</v>
      </c>
      <c r="E166" s="109">
        <v>2020</v>
      </c>
      <c r="F166" s="109">
        <v>2020</v>
      </c>
      <c r="G166" s="102" t="s">
        <v>3359</v>
      </c>
      <c r="H166" s="102">
        <v>200</v>
      </c>
      <c r="I166" s="102">
        <v>200</v>
      </c>
      <c r="J166" s="102"/>
      <c r="K166" s="102"/>
      <c r="L166" s="105">
        <v>20201118</v>
      </c>
    </row>
    <row r="167" spans="1:12">
      <c r="A167" s="132">
        <v>165</v>
      </c>
      <c r="B167" s="102" t="s">
        <v>7412</v>
      </c>
      <c r="C167" s="5" t="s">
        <v>7724</v>
      </c>
      <c r="D167" s="102" t="s">
        <v>7725</v>
      </c>
      <c r="E167" s="109">
        <v>2020</v>
      </c>
      <c r="F167" s="109">
        <v>2020</v>
      </c>
      <c r="G167" s="102" t="s">
        <v>3359</v>
      </c>
      <c r="H167" s="102">
        <v>300</v>
      </c>
      <c r="I167" s="102">
        <v>300</v>
      </c>
      <c r="J167" s="102"/>
      <c r="K167" s="102"/>
      <c r="L167" s="105">
        <v>20201118</v>
      </c>
    </row>
    <row r="168" spans="1:12">
      <c r="A168" s="132">
        <v>166</v>
      </c>
      <c r="B168" s="102" t="s">
        <v>7412</v>
      </c>
      <c r="C168" s="5" t="s">
        <v>7726</v>
      </c>
      <c r="D168" s="102" t="s">
        <v>7727</v>
      </c>
      <c r="E168" s="109">
        <v>2020</v>
      </c>
      <c r="F168" s="109">
        <v>2020</v>
      </c>
      <c r="G168" s="102" t="s">
        <v>3359</v>
      </c>
      <c r="H168" s="102">
        <v>200</v>
      </c>
      <c r="I168" s="102">
        <v>200</v>
      </c>
      <c r="J168" s="102"/>
      <c r="K168" s="102"/>
      <c r="L168" s="105">
        <v>20201118</v>
      </c>
    </row>
    <row r="169" spans="1:12">
      <c r="A169" s="132">
        <v>167</v>
      </c>
      <c r="B169" s="102" t="s">
        <v>7412</v>
      </c>
      <c r="C169" s="5" t="s">
        <v>7728</v>
      </c>
      <c r="D169" s="102" t="s">
        <v>7729</v>
      </c>
      <c r="E169" s="109">
        <v>2020</v>
      </c>
      <c r="F169" s="109">
        <v>2020</v>
      </c>
      <c r="G169" s="102" t="s">
        <v>3359</v>
      </c>
      <c r="H169" s="102">
        <v>200</v>
      </c>
      <c r="I169" s="102">
        <v>200</v>
      </c>
      <c r="J169" s="102"/>
      <c r="K169" s="102"/>
      <c r="L169" s="105">
        <v>20201118</v>
      </c>
    </row>
    <row r="170" spans="1:12">
      <c r="A170" s="132">
        <v>168</v>
      </c>
      <c r="B170" s="102" t="s">
        <v>7412</v>
      </c>
      <c r="C170" s="5" t="s">
        <v>7730</v>
      </c>
      <c r="D170" s="102" t="s">
        <v>7731</v>
      </c>
      <c r="E170" s="109">
        <v>2020</v>
      </c>
      <c r="F170" s="109">
        <v>2020</v>
      </c>
      <c r="G170" s="102" t="s">
        <v>3359</v>
      </c>
      <c r="H170" s="102">
        <v>200</v>
      </c>
      <c r="I170" s="102">
        <v>200</v>
      </c>
      <c r="J170" s="102"/>
      <c r="K170" s="102"/>
      <c r="L170" s="105">
        <v>20201118</v>
      </c>
    </row>
    <row r="171" spans="1:12">
      <c r="A171" s="132">
        <v>169</v>
      </c>
      <c r="B171" s="102" t="s">
        <v>7412</v>
      </c>
      <c r="C171" s="5" t="s">
        <v>7732</v>
      </c>
      <c r="D171" s="102" t="s">
        <v>7733</v>
      </c>
      <c r="E171" s="109">
        <v>2020</v>
      </c>
      <c r="F171" s="109">
        <v>2020</v>
      </c>
      <c r="G171" s="102" t="s">
        <v>3359</v>
      </c>
      <c r="H171" s="102">
        <v>200</v>
      </c>
      <c r="I171" s="102">
        <v>200</v>
      </c>
      <c r="J171" s="102"/>
      <c r="K171" s="102"/>
      <c r="L171" s="105">
        <v>20201118</v>
      </c>
    </row>
    <row r="172" spans="1:12">
      <c r="A172" s="132">
        <v>170</v>
      </c>
      <c r="B172" s="102" t="s">
        <v>7412</v>
      </c>
      <c r="C172" s="5" t="s">
        <v>7734</v>
      </c>
      <c r="D172" s="102" t="s">
        <v>7735</v>
      </c>
      <c r="E172" s="109">
        <v>2020</v>
      </c>
      <c r="F172" s="109">
        <v>2020</v>
      </c>
      <c r="G172" s="102" t="s">
        <v>3359</v>
      </c>
      <c r="H172" s="102">
        <v>200</v>
      </c>
      <c r="I172" s="102">
        <v>200</v>
      </c>
      <c r="J172" s="102"/>
      <c r="K172" s="102"/>
      <c r="L172" s="105">
        <v>20201118</v>
      </c>
    </row>
    <row r="173" spans="1:12">
      <c r="A173" s="132">
        <v>171</v>
      </c>
      <c r="B173" s="102" t="s">
        <v>7412</v>
      </c>
      <c r="C173" s="5" t="s">
        <v>7736</v>
      </c>
      <c r="D173" s="102" t="s">
        <v>7737</v>
      </c>
      <c r="E173" s="109">
        <v>2020</v>
      </c>
      <c r="F173" s="109">
        <v>2020</v>
      </c>
      <c r="G173" s="102" t="s">
        <v>3359</v>
      </c>
      <c r="H173" s="102">
        <v>200</v>
      </c>
      <c r="I173" s="102">
        <v>200</v>
      </c>
      <c r="J173" s="102"/>
      <c r="K173" s="102"/>
      <c r="L173" s="105">
        <v>20201118</v>
      </c>
    </row>
    <row r="174" spans="1:12">
      <c r="A174" s="132">
        <v>172</v>
      </c>
      <c r="B174" s="102" t="s">
        <v>7412</v>
      </c>
      <c r="C174" s="5" t="s">
        <v>7738</v>
      </c>
      <c r="D174" s="102" t="s">
        <v>7739</v>
      </c>
      <c r="E174" s="109">
        <v>2020</v>
      </c>
      <c r="F174" s="109">
        <v>2020</v>
      </c>
      <c r="G174" s="102" t="s">
        <v>3359</v>
      </c>
      <c r="H174" s="102">
        <v>200</v>
      </c>
      <c r="I174" s="102">
        <v>200</v>
      </c>
      <c r="J174" s="102"/>
      <c r="K174" s="102"/>
      <c r="L174" s="105">
        <v>20201118</v>
      </c>
    </row>
    <row r="175" spans="1:12">
      <c r="A175" s="132">
        <v>173</v>
      </c>
      <c r="B175" s="102" t="s">
        <v>7412</v>
      </c>
      <c r="C175" s="5" t="s">
        <v>7740</v>
      </c>
      <c r="D175" s="102" t="s">
        <v>7741</v>
      </c>
      <c r="E175" s="109">
        <v>2020</v>
      </c>
      <c r="F175" s="109">
        <v>2020</v>
      </c>
      <c r="G175" s="102" t="s">
        <v>3359</v>
      </c>
      <c r="H175" s="102">
        <v>200</v>
      </c>
      <c r="I175" s="102">
        <v>200</v>
      </c>
      <c r="J175" s="102"/>
      <c r="K175" s="102"/>
      <c r="L175" s="105">
        <v>20201118</v>
      </c>
    </row>
    <row r="176" spans="1:12">
      <c r="A176" s="132">
        <v>174</v>
      </c>
      <c r="B176" s="102" t="s">
        <v>7412</v>
      </c>
      <c r="C176" s="5" t="s">
        <v>7742</v>
      </c>
      <c r="D176" s="102" t="s">
        <v>7743</v>
      </c>
      <c r="E176" s="109">
        <v>2020</v>
      </c>
      <c r="F176" s="109">
        <v>2020</v>
      </c>
      <c r="G176" s="102" t="s">
        <v>3359</v>
      </c>
      <c r="H176" s="102">
        <v>200</v>
      </c>
      <c r="I176" s="102">
        <v>200</v>
      </c>
      <c r="J176" s="102"/>
      <c r="K176" s="102"/>
      <c r="L176" s="105">
        <v>20201118</v>
      </c>
    </row>
    <row r="177" spans="1:12">
      <c r="A177" s="132">
        <v>175</v>
      </c>
      <c r="B177" s="102" t="s">
        <v>7412</v>
      </c>
      <c r="C177" s="5" t="s">
        <v>7744</v>
      </c>
      <c r="D177" s="102" t="s">
        <v>7745</v>
      </c>
      <c r="E177" s="109">
        <v>2020</v>
      </c>
      <c r="F177" s="109">
        <v>2020</v>
      </c>
      <c r="G177" s="102" t="s">
        <v>3359</v>
      </c>
      <c r="H177" s="102">
        <v>200</v>
      </c>
      <c r="I177" s="102">
        <v>200</v>
      </c>
      <c r="J177" s="102"/>
      <c r="K177" s="102"/>
      <c r="L177" s="105">
        <v>20201118</v>
      </c>
    </row>
    <row r="178" spans="1:12">
      <c r="A178" s="132">
        <v>176</v>
      </c>
      <c r="B178" s="102" t="s">
        <v>7412</v>
      </c>
      <c r="C178" s="5" t="s">
        <v>7746</v>
      </c>
      <c r="D178" s="102" t="s">
        <v>7747</v>
      </c>
      <c r="E178" s="109">
        <v>2020</v>
      </c>
      <c r="F178" s="109">
        <v>2020</v>
      </c>
      <c r="G178" s="102" t="s">
        <v>3359</v>
      </c>
      <c r="H178" s="102">
        <v>200</v>
      </c>
      <c r="I178" s="102">
        <v>200</v>
      </c>
      <c r="J178" s="102"/>
      <c r="K178" s="102"/>
      <c r="L178" s="105">
        <v>20201118</v>
      </c>
    </row>
    <row r="179" spans="1:12">
      <c r="A179" s="132">
        <v>177</v>
      </c>
      <c r="B179" s="102" t="s">
        <v>7412</v>
      </c>
      <c r="C179" s="5" t="s">
        <v>7748</v>
      </c>
      <c r="D179" s="102" t="s">
        <v>7749</v>
      </c>
      <c r="E179" s="109">
        <v>2020</v>
      </c>
      <c r="F179" s="109">
        <v>2020</v>
      </c>
      <c r="G179" s="102" t="s">
        <v>3359</v>
      </c>
      <c r="H179" s="102">
        <v>200</v>
      </c>
      <c r="I179" s="102">
        <v>200</v>
      </c>
      <c r="J179" s="102"/>
      <c r="K179" s="102"/>
      <c r="L179" s="105">
        <v>20201118</v>
      </c>
    </row>
    <row r="180" spans="1:12">
      <c r="A180" s="132">
        <v>178</v>
      </c>
      <c r="B180" s="102" t="s">
        <v>7412</v>
      </c>
      <c r="C180" s="5" t="s">
        <v>7750</v>
      </c>
      <c r="D180" s="102" t="s">
        <v>7751</v>
      </c>
      <c r="E180" s="109">
        <v>2020</v>
      </c>
      <c r="F180" s="109">
        <v>2020</v>
      </c>
      <c r="G180" s="102" t="s">
        <v>3359</v>
      </c>
      <c r="H180" s="102">
        <v>200</v>
      </c>
      <c r="I180" s="102">
        <v>200</v>
      </c>
      <c r="J180" s="102"/>
      <c r="K180" s="102"/>
      <c r="L180" s="105">
        <v>20201118</v>
      </c>
    </row>
    <row r="181" spans="1:12">
      <c r="A181" s="132">
        <v>179</v>
      </c>
      <c r="B181" s="102" t="s">
        <v>7412</v>
      </c>
      <c r="C181" s="5" t="s">
        <v>7752</v>
      </c>
      <c r="D181" s="102" t="s">
        <v>7753</v>
      </c>
      <c r="E181" s="109">
        <v>2020</v>
      </c>
      <c r="F181" s="109">
        <v>2020</v>
      </c>
      <c r="G181" s="102" t="s">
        <v>3359</v>
      </c>
      <c r="H181" s="102">
        <v>200</v>
      </c>
      <c r="I181" s="102">
        <v>200</v>
      </c>
      <c r="J181" s="102"/>
      <c r="K181" s="102"/>
      <c r="L181" s="105">
        <v>20201118</v>
      </c>
    </row>
    <row r="182" spans="1:12">
      <c r="A182" s="132">
        <v>180</v>
      </c>
      <c r="B182" s="102" t="s">
        <v>7412</v>
      </c>
      <c r="C182" s="5" t="s">
        <v>7754</v>
      </c>
      <c r="D182" s="102" t="s">
        <v>7755</v>
      </c>
      <c r="E182" s="109">
        <v>2020</v>
      </c>
      <c r="F182" s="109">
        <v>2020</v>
      </c>
      <c r="G182" s="102" t="s">
        <v>3359</v>
      </c>
      <c r="H182" s="102">
        <v>200</v>
      </c>
      <c r="I182" s="102">
        <v>200</v>
      </c>
      <c r="J182" s="102"/>
      <c r="K182" s="102"/>
      <c r="L182" s="105">
        <v>20201118</v>
      </c>
    </row>
    <row r="183" spans="1:12">
      <c r="A183" s="132">
        <v>181</v>
      </c>
      <c r="B183" s="102" t="s">
        <v>7412</v>
      </c>
      <c r="C183" s="5" t="s">
        <v>6495</v>
      </c>
      <c r="D183" s="102" t="s">
        <v>7756</v>
      </c>
      <c r="E183" s="109">
        <v>2020</v>
      </c>
      <c r="F183" s="109">
        <v>2020</v>
      </c>
      <c r="G183" s="102" t="s">
        <v>3359</v>
      </c>
      <c r="H183" s="102">
        <v>200</v>
      </c>
      <c r="I183" s="102">
        <v>200</v>
      </c>
      <c r="J183" s="102"/>
      <c r="K183" s="102"/>
      <c r="L183" s="105">
        <v>20201118</v>
      </c>
    </row>
    <row r="184" spans="1:12">
      <c r="A184" s="132">
        <v>182</v>
      </c>
      <c r="B184" s="102" t="s">
        <v>7412</v>
      </c>
      <c r="C184" s="5" t="s">
        <v>7757</v>
      </c>
      <c r="D184" s="102" t="s">
        <v>7758</v>
      </c>
      <c r="E184" s="109">
        <v>2020</v>
      </c>
      <c r="F184" s="109">
        <v>2020</v>
      </c>
      <c r="G184" s="102" t="s">
        <v>3359</v>
      </c>
      <c r="H184" s="102">
        <v>200</v>
      </c>
      <c r="I184" s="102">
        <v>200</v>
      </c>
      <c r="J184" s="102"/>
      <c r="K184" s="102"/>
      <c r="L184" s="105">
        <v>20201118</v>
      </c>
    </row>
    <row r="185" spans="1:12">
      <c r="A185" s="132">
        <v>183</v>
      </c>
      <c r="B185" s="102" t="s">
        <v>7412</v>
      </c>
      <c r="C185" s="5" t="s">
        <v>7759</v>
      </c>
      <c r="D185" s="102" t="s">
        <v>7760</v>
      </c>
      <c r="E185" s="109">
        <v>2020</v>
      </c>
      <c r="F185" s="109">
        <v>2020</v>
      </c>
      <c r="G185" s="102" t="s">
        <v>3359</v>
      </c>
      <c r="H185" s="102">
        <v>200</v>
      </c>
      <c r="I185" s="102">
        <v>200</v>
      </c>
      <c r="J185" s="102"/>
      <c r="K185" s="102"/>
      <c r="L185" s="105">
        <v>20201118</v>
      </c>
    </row>
    <row r="186" spans="1:12">
      <c r="A186" s="132">
        <v>184</v>
      </c>
      <c r="B186" s="102" t="s">
        <v>7412</v>
      </c>
      <c r="C186" s="5" t="s">
        <v>1377</v>
      </c>
      <c r="D186" s="102" t="s">
        <v>7761</v>
      </c>
      <c r="E186" s="109">
        <v>2020</v>
      </c>
      <c r="F186" s="109">
        <v>2020</v>
      </c>
      <c r="G186" s="102" t="s">
        <v>3359</v>
      </c>
      <c r="H186" s="102">
        <v>200</v>
      </c>
      <c r="I186" s="102">
        <v>200</v>
      </c>
      <c r="J186" s="102"/>
      <c r="K186" s="102"/>
      <c r="L186" s="105">
        <v>20201118</v>
      </c>
    </row>
    <row r="187" spans="1:12">
      <c r="A187" s="132">
        <v>185</v>
      </c>
      <c r="B187" s="102" t="s">
        <v>7412</v>
      </c>
      <c r="C187" s="5" t="s">
        <v>7762</v>
      </c>
      <c r="D187" s="102" t="s">
        <v>7763</v>
      </c>
      <c r="E187" s="109">
        <v>2020</v>
      </c>
      <c r="F187" s="109">
        <v>2020</v>
      </c>
      <c r="G187" s="102" t="s">
        <v>3359</v>
      </c>
      <c r="H187" s="102">
        <v>200</v>
      </c>
      <c r="I187" s="102">
        <v>200</v>
      </c>
      <c r="J187" s="102"/>
      <c r="K187" s="102"/>
      <c r="L187" s="105">
        <v>20201118</v>
      </c>
    </row>
    <row r="188" spans="1:12">
      <c r="A188" s="132">
        <v>186</v>
      </c>
      <c r="B188" s="102" t="s">
        <v>7412</v>
      </c>
      <c r="C188" s="5" t="s">
        <v>7764</v>
      </c>
      <c r="D188" s="102" t="s">
        <v>7765</v>
      </c>
      <c r="E188" s="109">
        <v>2020</v>
      </c>
      <c r="F188" s="109">
        <v>2020</v>
      </c>
      <c r="G188" s="102" t="s">
        <v>3359</v>
      </c>
      <c r="H188" s="102">
        <v>200</v>
      </c>
      <c r="I188" s="102">
        <v>200</v>
      </c>
      <c r="J188" s="102"/>
      <c r="K188" s="102"/>
      <c r="L188" s="105">
        <v>20201118</v>
      </c>
    </row>
    <row r="189" spans="1:12">
      <c r="A189" s="132">
        <v>187</v>
      </c>
      <c r="B189" s="102" t="s">
        <v>7412</v>
      </c>
      <c r="C189" s="5" t="s">
        <v>7766</v>
      </c>
      <c r="D189" s="102" t="s">
        <v>7767</v>
      </c>
      <c r="E189" s="109">
        <v>2020</v>
      </c>
      <c r="F189" s="109">
        <v>2020</v>
      </c>
      <c r="G189" s="102" t="s">
        <v>3359</v>
      </c>
      <c r="H189" s="102">
        <v>200</v>
      </c>
      <c r="I189" s="102">
        <v>200</v>
      </c>
      <c r="J189" s="102"/>
      <c r="K189" s="102"/>
      <c r="L189" s="105">
        <v>20201118</v>
      </c>
    </row>
    <row r="190" spans="1:12">
      <c r="A190" s="132">
        <v>188</v>
      </c>
      <c r="B190" s="102" t="s">
        <v>7412</v>
      </c>
      <c r="C190" s="5" t="s">
        <v>7768</v>
      </c>
      <c r="D190" s="102" t="s">
        <v>7769</v>
      </c>
      <c r="E190" s="109">
        <v>2020</v>
      </c>
      <c r="F190" s="109">
        <v>2020</v>
      </c>
      <c r="G190" s="102" t="s">
        <v>3359</v>
      </c>
      <c r="H190" s="102">
        <v>200</v>
      </c>
      <c r="I190" s="102">
        <v>200</v>
      </c>
      <c r="J190" s="102"/>
      <c r="K190" s="102"/>
      <c r="L190" s="105">
        <v>20201118</v>
      </c>
    </row>
    <row r="191" spans="1:12">
      <c r="A191" s="132">
        <v>189</v>
      </c>
      <c r="B191" s="102" t="s">
        <v>7412</v>
      </c>
      <c r="C191" s="5" t="s">
        <v>7770</v>
      </c>
      <c r="D191" s="102" t="s">
        <v>7771</v>
      </c>
      <c r="E191" s="109">
        <v>2020</v>
      </c>
      <c r="F191" s="109">
        <v>2020</v>
      </c>
      <c r="G191" s="102" t="s">
        <v>3359</v>
      </c>
      <c r="H191" s="102">
        <v>200</v>
      </c>
      <c r="I191" s="102">
        <v>200</v>
      </c>
      <c r="J191" s="102"/>
      <c r="K191" s="102"/>
      <c r="L191" s="105">
        <v>20201118</v>
      </c>
    </row>
    <row r="192" spans="1:12">
      <c r="A192" s="132">
        <v>190</v>
      </c>
      <c r="B192" s="102" t="s">
        <v>7412</v>
      </c>
      <c r="C192" s="5" t="s">
        <v>7772</v>
      </c>
      <c r="D192" s="102" t="s">
        <v>7773</v>
      </c>
      <c r="E192" s="109">
        <v>2020</v>
      </c>
      <c r="F192" s="109">
        <v>2020</v>
      </c>
      <c r="G192" s="102" t="s">
        <v>3359</v>
      </c>
      <c r="H192" s="102">
        <v>200</v>
      </c>
      <c r="I192" s="102">
        <v>200</v>
      </c>
      <c r="J192" s="102"/>
      <c r="K192" s="102"/>
      <c r="L192" s="105">
        <v>20201118</v>
      </c>
    </row>
    <row r="193" spans="1:12">
      <c r="A193" s="132">
        <v>191</v>
      </c>
      <c r="B193" s="102" t="s">
        <v>7412</v>
      </c>
      <c r="C193" s="5" t="s">
        <v>7774</v>
      </c>
      <c r="D193" s="102" t="s">
        <v>7775</v>
      </c>
      <c r="E193" s="109">
        <v>2020</v>
      </c>
      <c r="F193" s="109">
        <v>2020</v>
      </c>
      <c r="G193" s="102" t="s">
        <v>3359</v>
      </c>
      <c r="H193" s="102">
        <v>200</v>
      </c>
      <c r="I193" s="102">
        <v>200</v>
      </c>
      <c r="J193" s="102"/>
      <c r="K193" s="102"/>
      <c r="L193" s="105">
        <v>20201118</v>
      </c>
    </row>
    <row r="194" spans="1:12">
      <c r="A194" s="132">
        <v>192</v>
      </c>
      <c r="B194" s="102" t="s">
        <v>7412</v>
      </c>
      <c r="C194" s="5" t="s">
        <v>7776</v>
      </c>
      <c r="D194" s="102" t="s">
        <v>7777</v>
      </c>
      <c r="E194" s="109">
        <v>2020</v>
      </c>
      <c r="F194" s="109">
        <v>2020</v>
      </c>
      <c r="G194" s="102" t="s">
        <v>3359</v>
      </c>
      <c r="H194" s="102">
        <v>200</v>
      </c>
      <c r="I194" s="102">
        <v>200</v>
      </c>
      <c r="J194" s="102"/>
      <c r="K194" s="102"/>
      <c r="L194" s="105">
        <v>20201118</v>
      </c>
    </row>
    <row r="195" spans="1:12">
      <c r="A195" s="132">
        <v>193</v>
      </c>
      <c r="B195" s="102" t="s">
        <v>7412</v>
      </c>
      <c r="C195" s="5" t="s">
        <v>7778</v>
      </c>
      <c r="D195" s="102" t="s">
        <v>7779</v>
      </c>
      <c r="E195" s="109">
        <v>2020</v>
      </c>
      <c r="F195" s="109">
        <v>2020</v>
      </c>
      <c r="G195" s="102" t="s">
        <v>3359</v>
      </c>
      <c r="H195" s="102">
        <v>200</v>
      </c>
      <c r="I195" s="102">
        <v>200</v>
      </c>
      <c r="J195" s="102"/>
      <c r="K195" s="102"/>
      <c r="L195" s="105">
        <v>20201118</v>
      </c>
    </row>
    <row r="196" spans="1:12">
      <c r="A196" s="132">
        <v>194</v>
      </c>
      <c r="B196" s="102" t="s">
        <v>7412</v>
      </c>
      <c r="C196" s="5" t="s">
        <v>7780</v>
      </c>
      <c r="D196" s="102" t="s">
        <v>7781</v>
      </c>
      <c r="E196" s="109">
        <v>2020</v>
      </c>
      <c r="F196" s="109">
        <v>2020</v>
      </c>
      <c r="G196" s="102" t="s">
        <v>3359</v>
      </c>
      <c r="H196" s="102">
        <v>200</v>
      </c>
      <c r="I196" s="102">
        <v>200</v>
      </c>
      <c r="J196" s="102"/>
      <c r="K196" s="102"/>
      <c r="L196" s="105">
        <v>20201118</v>
      </c>
    </row>
    <row r="197" spans="1:12">
      <c r="A197" s="132">
        <v>195</v>
      </c>
      <c r="B197" s="102" t="s">
        <v>7412</v>
      </c>
      <c r="C197" s="5" t="s">
        <v>7782</v>
      </c>
      <c r="D197" s="102" t="s">
        <v>7783</v>
      </c>
      <c r="E197" s="109">
        <v>2020</v>
      </c>
      <c r="F197" s="109">
        <v>2020</v>
      </c>
      <c r="G197" s="102" t="s">
        <v>3359</v>
      </c>
      <c r="H197" s="102">
        <v>200</v>
      </c>
      <c r="I197" s="102">
        <v>200</v>
      </c>
      <c r="J197" s="102"/>
      <c r="K197" s="102"/>
      <c r="L197" s="105">
        <v>20201118</v>
      </c>
    </row>
    <row r="198" spans="1:12">
      <c r="A198" s="132">
        <v>196</v>
      </c>
      <c r="B198" s="102" t="s">
        <v>7412</v>
      </c>
      <c r="C198" s="5" t="s">
        <v>7784</v>
      </c>
      <c r="D198" s="102" t="s">
        <v>7785</v>
      </c>
      <c r="E198" s="109">
        <v>2020</v>
      </c>
      <c r="F198" s="109">
        <v>2020</v>
      </c>
      <c r="G198" s="102" t="s">
        <v>3359</v>
      </c>
      <c r="H198" s="102">
        <v>1000</v>
      </c>
      <c r="I198" s="102">
        <v>1000</v>
      </c>
      <c r="J198" s="102"/>
      <c r="K198" s="102"/>
      <c r="L198" s="105">
        <v>20201118</v>
      </c>
    </row>
    <row r="199" spans="1:12">
      <c r="A199" s="132">
        <v>197</v>
      </c>
      <c r="B199" s="102" t="s">
        <v>7412</v>
      </c>
      <c r="C199" s="5" t="s">
        <v>7786</v>
      </c>
      <c r="D199" s="102" t="s">
        <v>7787</v>
      </c>
      <c r="E199" s="109">
        <v>2020</v>
      </c>
      <c r="F199" s="109">
        <v>2020</v>
      </c>
      <c r="G199" s="102" t="s">
        <v>3359</v>
      </c>
      <c r="H199" s="102">
        <v>200</v>
      </c>
      <c r="I199" s="102">
        <v>200</v>
      </c>
      <c r="J199" s="102"/>
      <c r="K199" s="102"/>
      <c r="L199" s="105">
        <v>20201118</v>
      </c>
    </row>
    <row r="200" spans="1:12">
      <c r="A200" s="132">
        <v>198</v>
      </c>
      <c r="B200" s="102" t="s">
        <v>7412</v>
      </c>
      <c r="C200" s="5" t="s">
        <v>7788</v>
      </c>
      <c r="D200" s="102" t="s">
        <v>7789</v>
      </c>
      <c r="E200" s="109">
        <v>2020</v>
      </c>
      <c r="F200" s="109">
        <v>2020</v>
      </c>
      <c r="G200" s="102" t="s">
        <v>3359</v>
      </c>
      <c r="H200" s="102">
        <v>1000</v>
      </c>
      <c r="I200" s="102">
        <v>1000</v>
      </c>
      <c r="J200" s="102"/>
      <c r="K200" s="102"/>
      <c r="L200" s="105">
        <v>20201118</v>
      </c>
    </row>
    <row r="201" spans="1:12">
      <c r="A201" s="132">
        <v>199</v>
      </c>
      <c r="B201" s="102" t="s">
        <v>7412</v>
      </c>
      <c r="C201" s="5" t="s">
        <v>7790</v>
      </c>
      <c r="D201" s="102" t="s">
        <v>7791</v>
      </c>
      <c r="E201" s="109">
        <v>2020</v>
      </c>
      <c r="F201" s="109">
        <v>2020</v>
      </c>
      <c r="G201" s="102" t="s">
        <v>3359</v>
      </c>
      <c r="H201" s="102">
        <v>200</v>
      </c>
      <c r="I201" s="102">
        <v>200</v>
      </c>
      <c r="J201" s="102"/>
      <c r="K201" s="102"/>
      <c r="L201" s="105">
        <v>20201118</v>
      </c>
    </row>
    <row r="202" spans="1:12">
      <c r="A202" s="132">
        <v>200</v>
      </c>
      <c r="B202" s="102" t="s">
        <v>7412</v>
      </c>
      <c r="C202" s="5" t="s">
        <v>7792</v>
      </c>
      <c r="D202" s="102" t="s">
        <v>7793</v>
      </c>
      <c r="E202" s="109">
        <v>2020</v>
      </c>
      <c r="F202" s="109">
        <v>2020</v>
      </c>
      <c r="G202" s="102" t="s">
        <v>3359</v>
      </c>
      <c r="H202" s="102">
        <v>200</v>
      </c>
      <c r="I202" s="102">
        <v>200</v>
      </c>
      <c r="J202" s="102"/>
      <c r="K202" s="102"/>
      <c r="L202" s="105">
        <v>20201118</v>
      </c>
    </row>
    <row r="203" spans="1:12">
      <c r="A203" s="132">
        <v>201</v>
      </c>
      <c r="B203" s="102" t="s">
        <v>7412</v>
      </c>
      <c r="C203" s="5" t="s">
        <v>7794</v>
      </c>
      <c r="D203" s="102" t="s">
        <v>7795</v>
      </c>
      <c r="E203" s="109">
        <v>2020</v>
      </c>
      <c r="F203" s="109">
        <v>2020</v>
      </c>
      <c r="G203" s="102" t="s">
        <v>3359</v>
      </c>
      <c r="H203" s="102">
        <v>200</v>
      </c>
      <c r="I203" s="102">
        <v>200</v>
      </c>
      <c r="J203" s="102"/>
      <c r="K203" s="102"/>
      <c r="L203" s="105">
        <v>20201118</v>
      </c>
    </row>
    <row r="204" spans="1:12">
      <c r="A204" s="132">
        <v>202</v>
      </c>
      <c r="B204" s="102" t="s">
        <v>7412</v>
      </c>
      <c r="C204" s="5" t="s">
        <v>7796</v>
      </c>
      <c r="D204" s="102" t="s">
        <v>7797</v>
      </c>
      <c r="E204" s="109">
        <v>2020</v>
      </c>
      <c r="F204" s="109">
        <v>2020</v>
      </c>
      <c r="G204" s="102" t="s">
        <v>3359</v>
      </c>
      <c r="H204" s="102">
        <v>200</v>
      </c>
      <c r="I204" s="102">
        <v>200</v>
      </c>
      <c r="J204" s="102"/>
      <c r="K204" s="102"/>
      <c r="L204" s="105">
        <v>20201118</v>
      </c>
    </row>
    <row r="205" spans="1:12">
      <c r="A205" s="132">
        <v>203</v>
      </c>
      <c r="B205" s="102" t="s">
        <v>7412</v>
      </c>
      <c r="C205" s="5" t="s">
        <v>7798</v>
      </c>
      <c r="D205" s="102" t="s">
        <v>7799</v>
      </c>
      <c r="E205" s="109">
        <v>2020</v>
      </c>
      <c r="F205" s="109">
        <v>2020</v>
      </c>
      <c r="G205" s="102" t="s">
        <v>3359</v>
      </c>
      <c r="H205" s="102">
        <v>200</v>
      </c>
      <c r="I205" s="102">
        <v>200</v>
      </c>
      <c r="J205" s="102"/>
      <c r="K205" s="102"/>
      <c r="L205" s="105">
        <v>20201118</v>
      </c>
    </row>
    <row r="206" spans="1:12">
      <c r="A206" s="132">
        <v>204</v>
      </c>
      <c r="B206" s="102" t="s">
        <v>7412</v>
      </c>
      <c r="C206" s="5" t="s">
        <v>7800</v>
      </c>
      <c r="D206" s="102" t="s">
        <v>7801</v>
      </c>
      <c r="E206" s="109">
        <v>2020</v>
      </c>
      <c r="F206" s="109">
        <v>2020</v>
      </c>
      <c r="G206" s="102" t="s">
        <v>3359</v>
      </c>
      <c r="H206" s="102">
        <v>200</v>
      </c>
      <c r="I206" s="102">
        <v>200</v>
      </c>
      <c r="J206" s="102"/>
      <c r="K206" s="102"/>
      <c r="L206" s="105">
        <v>20201118</v>
      </c>
    </row>
    <row r="207" spans="1:12">
      <c r="A207" s="132">
        <v>205</v>
      </c>
      <c r="B207" s="102" t="s">
        <v>7412</v>
      </c>
      <c r="C207" s="5" t="s">
        <v>7802</v>
      </c>
      <c r="D207" s="102" t="s">
        <v>7803</v>
      </c>
      <c r="E207" s="109">
        <v>2020</v>
      </c>
      <c r="F207" s="109">
        <v>2020</v>
      </c>
      <c r="G207" s="102" t="s">
        <v>3359</v>
      </c>
      <c r="H207" s="102">
        <v>200</v>
      </c>
      <c r="I207" s="102">
        <v>200</v>
      </c>
      <c r="J207" s="102"/>
      <c r="K207" s="102"/>
      <c r="L207" s="105">
        <v>20201118</v>
      </c>
    </row>
    <row r="208" spans="1:12">
      <c r="A208" s="132">
        <v>206</v>
      </c>
      <c r="B208" s="102" t="s">
        <v>7412</v>
      </c>
      <c r="C208" s="5" t="s">
        <v>7804</v>
      </c>
      <c r="D208" s="102" t="s">
        <v>7805</v>
      </c>
      <c r="E208" s="109">
        <v>2020</v>
      </c>
      <c r="F208" s="109">
        <v>2020</v>
      </c>
      <c r="G208" s="102" t="s">
        <v>3359</v>
      </c>
      <c r="H208" s="102">
        <v>200</v>
      </c>
      <c r="I208" s="102">
        <v>200</v>
      </c>
      <c r="J208" s="102"/>
      <c r="K208" s="102"/>
      <c r="L208" s="105">
        <v>20201118</v>
      </c>
    </row>
    <row r="209" spans="1:12">
      <c r="A209" s="132">
        <v>207</v>
      </c>
      <c r="B209" s="102" t="s">
        <v>7412</v>
      </c>
      <c r="C209" s="5" t="s">
        <v>7806</v>
      </c>
      <c r="D209" s="102" t="s">
        <v>7807</v>
      </c>
      <c r="E209" s="109">
        <v>2020</v>
      </c>
      <c r="F209" s="109">
        <v>2020</v>
      </c>
      <c r="G209" s="102" t="s">
        <v>3359</v>
      </c>
      <c r="H209" s="102">
        <v>200</v>
      </c>
      <c r="I209" s="102">
        <v>200</v>
      </c>
      <c r="J209" s="102"/>
      <c r="K209" s="102"/>
      <c r="L209" s="105">
        <v>20201118</v>
      </c>
    </row>
    <row r="210" spans="1:12">
      <c r="A210" s="132">
        <v>208</v>
      </c>
      <c r="B210" s="102" t="s">
        <v>7412</v>
      </c>
      <c r="C210" s="5" t="s">
        <v>7808</v>
      </c>
      <c r="D210" s="102" t="s">
        <v>7809</v>
      </c>
      <c r="E210" s="109">
        <v>2020</v>
      </c>
      <c r="F210" s="109">
        <v>2020</v>
      </c>
      <c r="G210" s="102" t="s">
        <v>3359</v>
      </c>
      <c r="H210" s="102">
        <v>200</v>
      </c>
      <c r="I210" s="102">
        <v>200</v>
      </c>
      <c r="J210" s="102"/>
      <c r="K210" s="102"/>
      <c r="L210" s="105">
        <v>20201118</v>
      </c>
    </row>
    <row r="211" spans="1:12">
      <c r="A211" s="132">
        <v>209</v>
      </c>
      <c r="B211" s="102" t="s">
        <v>7412</v>
      </c>
      <c r="C211" s="5" t="s">
        <v>7810</v>
      </c>
      <c r="D211" s="102" t="s">
        <v>7811</v>
      </c>
      <c r="E211" s="109">
        <v>2020</v>
      </c>
      <c r="F211" s="109">
        <v>2020</v>
      </c>
      <c r="G211" s="102" t="s">
        <v>3359</v>
      </c>
      <c r="H211" s="102">
        <v>200</v>
      </c>
      <c r="I211" s="102">
        <v>200</v>
      </c>
      <c r="J211" s="102"/>
      <c r="K211" s="102"/>
      <c r="L211" s="105">
        <v>20201118</v>
      </c>
    </row>
    <row r="212" spans="1:12">
      <c r="A212" s="132">
        <v>210</v>
      </c>
      <c r="B212" s="102" t="s">
        <v>7412</v>
      </c>
      <c r="C212" s="5" t="s">
        <v>7812</v>
      </c>
      <c r="D212" s="102" t="s">
        <v>7813</v>
      </c>
      <c r="E212" s="109">
        <v>2020</v>
      </c>
      <c r="F212" s="109">
        <v>2020</v>
      </c>
      <c r="G212" s="102" t="s">
        <v>3359</v>
      </c>
      <c r="H212" s="102">
        <v>200</v>
      </c>
      <c r="I212" s="102">
        <v>200</v>
      </c>
      <c r="J212" s="102"/>
      <c r="K212" s="102"/>
      <c r="L212" s="105">
        <v>20201118</v>
      </c>
    </row>
    <row r="213" spans="1:12">
      <c r="A213" s="132">
        <v>211</v>
      </c>
      <c r="B213" s="102" t="s">
        <v>7412</v>
      </c>
      <c r="C213" s="5" t="s">
        <v>7814</v>
      </c>
      <c r="D213" s="102" t="s">
        <v>7815</v>
      </c>
      <c r="E213" s="109">
        <v>2020</v>
      </c>
      <c r="F213" s="109">
        <v>2020</v>
      </c>
      <c r="G213" s="102" t="s">
        <v>3359</v>
      </c>
      <c r="H213" s="102">
        <v>200</v>
      </c>
      <c r="I213" s="102">
        <v>200</v>
      </c>
      <c r="J213" s="102"/>
      <c r="K213" s="102"/>
      <c r="L213" s="105">
        <v>20201118</v>
      </c>
    </row>
    <row r="214" spans="1:12">
      <c r="A214" s="132">
        <v>212</v>
      </c>
      <c r="B214" s="102" t="s">
        <v>7412</v>
      </c>
      <c r="C214" s="5" t="s">
        <v>7816</v>
      </c>
      <c r="D214" s="102" t="s">
        <v>7817</v>
      </c>
      <c r="E214" s="109">
        <v>2020</v>
      </c>
      <c r="F214" s="109">
        <v>2020</v>
      </c>
      <c r="G214" s="102" t="s">
        <v>3359</v>
      </c>
      <c r="H214" s="102">
        <v>200</v>
      </c>
      <c r="I214" s="102">
        <v>200</v>
      </c>
      <c r="J214" s="102" t="s">
        <v>3647</v>
      </c>
      <c r="K214" s="102"/>
      <c r="L214" s="105">
        <v>20201118</v>
      </c>
    </row>
    <row r="215" spans="1:12">
      <c r="A215" s="132">
        <v>213</v>
      </c>
      <c r="B215" s="102" t="s">
        <v>7412</v>
      </c>
      <c r="C215" s="5" t="s">
        <v>7818</v>
      </c>
      <c r="D215" s="102" t="s">
        <v>7819</v>
      </c>
      <c r="E215" s="109">
        <v>2020</v>
      </c>
      <c r="F215" s="109">
        <v>2020</v>
      </c>
      <c r="G215" s="102" t="s">
        <v>3359</v>
      </c>
      <c r="H215" s="102">
        <v>200</v>
      </c>
      <c r="I215" s="102">
        <v>200</v>
      </c>
      <c r="J215" s="102"/>
      <c r="K215" s="102"/>
      <c r="L215" s="105">
        <v>20201118</v>
      </c>
    </row>
    <row r="216" spans="1:12">
      <c r="A216" s="132">
        <v>214</v>
      </c>
      <c r="B216" s="102" t="s">
        <v>7412</v>
      </c>
      <c r="C216" s="5" t="s">
        <v>7820</v>
      </c>
      <c r="D216" s="102" t="s">
        <v>7821</v>
      </c>
      <c r="E216" s="109">
        <v>2020</v>
      </c>
      <c r="F216" s="109">
        <v>2020</v>
      </c>
      <c r="G216" s="102" t="s">
        <v>3359</v>
      </c>
      <c r="H216" s="102">
        <v>200</v>
      </c>
      <c r="I216" s="102">
        <v>200</v>
      </c>
      <c r="J216" s="102"/>
      <c r="K216" s="102"/>
      <c r="L216" s="105">
        <v>20201118</v>
      </c>
    </row>
    <row r="217" spans="1:12">
      <c r="A217" s="132">
        <v>215</v>
      </c>
      <c r="B217" s="102" t="s">
        <v>7412</v>
      </c>
      <c r="C217" s="5" t="s">
        <v>7822</v>
      </c>
      <c r="D217" s="102" t="s">
        <v>7823</v>
      </c>
      <c r="E217" s="109">
        <v>2020</v>
      </c>
      <c r="F217" s="109">
        <v>2020</v>
      </c>
      <c r="G217" s="102" t="s">
        <v>3359</v>
      </c>
      <c r="H217" s="102">
        <v>200</v>
      </c>
      <c r="I217" s="102">
        <v>200</v>
      </c>
      <c r="J217" s="102"/>
      <c r="K217" s="102"/>
      <c r="L217" s="105">
        <v>20201118</v>
      </c>
    </row>
    <row r="218" spans="1:12">
      <c r="A218" s="132">
        <v>216</v>
      </c>
      <c r="B218" s="102" t="s">
        <v>7412</v>
      </c>
      <c r="C218" s="5" t="s">
        <v>1731</v>
      </c>
      <c r="D218" s="102" t="s">
        <v>7824</v>
      </c>
      <c r="E218" s="109">
        <v>2020</v>
      </c>
      <c r="F218" s="109">
        <v>2020</v>
      </c>
      <c r="G218" s="102" t="s">
        <v>3359</v>
      </c>
      <c r="H218" s="102">
        <v>200</v>
      </c>
      <c r="I218" s="102">
        <v>200</v>
      </c>
      <c r="J218" s="102"/>
      <c r="K218" s="102"/>
      <c r="L218" s="105">
        <v>20201118</v>
      </c>
    </row>
    <row r="219" spans="1:12">
      <c r="A219" s="132">
        <v>217</v>
      </c>
      <c r="B219" s="102" t="s">
        <v>7412</v>
      </c>
      <c r="C219" s="5" t="s">
        <v>7825</v>
      </c>
      <c r="D219" s="102" t="s">
        <v>7826</v>
      </c>
      <c r="E219" s="109">
        <v>2020</v>
      </c>
      <c r="F219" s="109">
        <v>2020</v>
      </c>
      <c r="G219" s="102" t="s">
        <v>3359</v>
      </c>
      <c r="H219" s="102">
        <v>200</v>
      </c>
      <c r="I219" s="102">
        <v>200</v>
      </c>
      <c r="J219" s="102"/>
      <c r="K219" s="102"/>
      <c r="L219" s="105">
        <v>20201118</v>
      </c>
    </row>
    <row r="220" spans="1:12">
      <c r="A220" s="132">
        <v>218</v>
      </c>
      <c r="B220" s="102" t="s">
        <v>7412</v>
      </c>
      <c r="C220" s="5" t="s">
        <v>7827</v>
      </c>
      <c r="D220" s="102" t="s">
        <v>7828</v>
      </c>
      <c r="E220" s="109">
        <v>2020</v>
      </c>
      <c r="F220" s="109">
        <v>2020</v>
      </c>
      <c r="G220" s="102" t="s">
        <v>3359</v>
      </c>
      <c r="H220" s="102">
        <v>200</v>
      </c>
      <c r="I220" s="102">
        <v>200</v>
      </c>
      <c r="J220" s="102"/>
      <c r="K220" s="102"/>
      <c r="L220" s="105">
        <v>20201118</v>
      </c>
    </row>
    <row r="221" spans="1:12">
      <c r="A221" s="132">
        <v>219</v>
      </c>
      <c r="B221" s="102" t="s">
        <v>7412</v>
      </c>
      <c r="C221" s="5" t="s">
        <v>7829</v>
      </c>
      <c r="D221" s="102" t="s">
        <v>7830</v>
      </c>
      <c r="E221" s="109">
        <v>2020</v>
      </c>
      <c r="F221" s="109">
        <v>2020</v>
      </c>
      <c r="G221" s="102" t="s">
        <v>3359</v>
      </c>
      <c r="H221" s="102">
        <v>200</v>
      </c>
      <c r="I221" s="102">
        <v>200</v>
      </c>
      <c r="J221" s="102"/>
      <c r="K221" s="102"/>
      <c r="L221" s="105">
        <v>20201118</v>
      </c>
    </row>
    <row r="222" spans="1:12">
      <c r="A222" s="132">
        <v>220</v>
      </c>
      <c r="B222" s="102" t="s">
        <v>7412</v>
      </c>
      <c r="C222" s="5" t="s">
        <v>2802</v>
      </c>
      <c r="D222" s="102" t="s">
        <v>7831</v>
      </c>
      <c r="E222" s="109">
        <v>2020</v>
      </c>
      <c r="F222" s="109">
        <v>2020</v>
      </c>
      <c r="G222" s="102" t="s">
        <v>3359</v>
      </c>
      <c r="H222" s="102">
        <v>200</v>
      </c>
      <c r="I222" s="102">
        <v>200</v>
      </c>
      <c r="J222" s="102"/>
      <c r="K222" s="102"/>
      <c r="L222" s="105">
        <v>20201118</v>
      </c>
    </row>
    <row r="223" spans="1:12">
      <c r="A223" s="132">
        <v>221</v>
      </c>
      <c r="B223" s="102" t="s">
        <v>7412</v>
      </c>
      <c r="C223" s="5" t="s">
        <v>7832</v>
      </c>
      <c r="D223" s="102" t="s">
        <v>7833</v>
      </c>
      <c r="E223" s="109">
        <v>2020</v>
      </c>
      <c r="F223" s="109">
        <v>2020</v>
      </c>
      <c r="G223" s="102" t="s">
        <v>3359</v>
      </c>
      <c r="H223" s="102">
        <v>200</v>
      </c>
      <c r="I223" s="102">
        <v>200</v>
      </c>
      <c r="J223" s="102"/>
      <c r="K223" s="102"/>
      <c r="L223" s="105">
        <v>20201118</v>
      </c>
    </row>
    <row r="224" spans="1:12">
      <c r="A224" s="132">
        <v>222</v>
      </c>
      <c r="B224" s="102" t="s">
        <v>7412</v>
      </c>
      <c r="C224" s="5" t="s">
        <v>7834</v>
      </c>
      <c r="D224" s="102" t="s">
        <v>7835</v>
      </c>
      <c r="E224" s="109">
        <v>2020</v>
      </c>
      <c r="F224" s="109">
        <v>2020</v>
      </c>
      <c r="G224" s="102" t="s">
        <v>3359</v>
      </c>
      <c r="H224" s="102">
        <v>200</v>
      </c>
      <c r="I224" s="102">
        <v>200</v>
      </c>
      <c r="J224" s="102"/>
      <c r="K224" s="102"/>
      <c r="L224" s="105">
        <v>20201118</v>
      </c>
    </row>
    <row r="225" spans="1:12">
      <c r="A225" s="132">
        <v>223</v>
      </c>
      <c r="B225" s="102" t="s">
        <v>7412</v>
      </c>
      <c r="C225" s="5" t="s">
        <v>7836</v>
      </c>
      <c r="D225" s="102" t="s">
        <v>7837</v>
      </c>
      <c r="E225" s="109">
        <v>2020</v>
      </c>
      <c r="F225" s="109">
        <v>2020</v>
      </c>
      <c r="G225" s="102" t="s">
        <v>3359</v>
      </c>
      <c r="H225" s="102">
        <v>200</v>
      </c>
      <c r="I225" s="102">
        <v>200</v>
      </c>
      <c r="J225" s="102"/>
      <c r="K225" s="102"/>
      <c r="L225" s="105">
        <v>20201118</v>
      </c>
    </row>
    <row r="226" spans="1:12">
      <c r="A226" s="132">
        <v>224</v>
      </c>
      <c r="B226" s="102" t="s">
        <v>7412</v>
      </c>
      <c r="C226" s="5" t="s">
        <v>7838</v>
      </c>
      <c r="D226" s="102" t="s">
        <v>7839</v>
      </c>
      <c r="E226" s="109">
        <v>2020</v>
      </c>
      <c r="F226" s="109">
        <v>2020</v>
      </c>
      <c r="G226" s="102" t="s">
        <v>3359</v>
      </c>
      <c r="H226" s="102">
        <v>200</v>
      </c>
      <c r="I226" s="102">
        <v>200</v>
      </c>
      <c r="J226" s="102"/>
      <c r="K226" s="102"/>
      <c r="L226" s="105">
        <v>20201118</v>
      </c>
    </row>
    <row r="227" spans="1:12">
      <c r="A227" s="132">
        <v>225</v>
      </c>
      <c r="B227" s="102" t="s">
        <v>7412</v>
      </c>
      <c r="C227" s="5" t="s">
        <v>7840</v>
      </c>
      <c r="D227" s="102" t="s">
        <v>7841</v>
      </c>
      <c r="E227" s="109">
        <v>2020</v>
      </c>
      <c r="F227" s="109">
        <v>2020</v>
      </c>
      <c r="G227" s="102" t="s">
        <v>3359</v>
      </c>
      <c r="H227" s="102">
        <v>200</v>
      </c>
      <c r="I227" s="102">
        <v>200</v>
      </c>
      <c r="J227" s="102" t="s">
        <v>7435</v>
      </c>
      <c r="K227" s="102"/>
      <c r="L227" s="105">
        <v>20201118</v>
      </c>
    </row>
    <row r="228" spans="1:12">
      <c r="A228" s="132">
        <v>226</v>
      </c>
      <c r="B228" s="102" t="s">
        <v>7412</v>
      </c>
      <c r="C228" s="5" t="s">
        <v>7842</v>
      </c>
      <c r="D228" s="102" t="s">
        <v>7843</v>
      </c>
      <c r="E228" s="109">
        <v>2020</v>
      </c>
      <c r="F228" s="109">
        <v>2020</v>
      </c>
      <c r="G228" s="102" t="s">
        <v>3359</v>
      </c>
      <c r="H228" s="102">
        <v>200</v>
      </c>
      <c r="I228" s="102">
        <v>200</v>
      </c>
      <c r="J228" s="102" t="s">
        <v>3647</v>
      </c>
      <c r="K228" s="102"/>
      <c r="L228" s="105">
        <v>20201118</v>
      </c>
    </row>
    <row r="229" spans="1:12">
      <c r="A229" s="132">
        <v>227</v>
      </c>
      <c r="B229" s="102" t="s">
        <v>7412</v>
      </c>
      <c r="C229" s="5" t="s">
        <v>7844</v>
      </c>
      <c r="D229" s="102" t="s">
        <v>7845</v>
      </c>
      <c r="E229" s="109">
        <v>2020</v>
      </c>
      <c r="F229" s="109">
        <v>2020</v>
      </c>
      <c r="G229" s="102" t="s">
        <v>3359</v>
      </c>
      <c r="H229" s="102">
        <v>200</v>
      </c>
      <c r="I229" s="102">
        <v>200</v>
      </c>
      <c r="J229" s="102" t="s">
        <v>1242</v>
      </c>
      <c r="K229" s="102"/>
      <c r="L229" s="105">
        <v>20201118</v>
      </c>
    </row>
    <row r="230" spans="1:12">
      <c r="A230" s="132">
        <v>228</v>
      </c>
      <c r="B230" s="102" t="s">
        <v>7412</v>
      </c>
      <c r="C230" s="5" t="s">
        <v>7846</v>
      </c>
      <c r="D230" s="102" t="s">
        <v>7847</v>
      </c>
      <c r="E230" s="109">
        <v>2020</v>
      </c>
      <c r="F230" s="109">
        <v>2020</v>
      </c>
      <c r="G230" s="102" t="s">
        <v>3359</v>
      </c>
      <c r="H230" s="102">
        <v>200</v>
      </c>
      <c r="I230" s="102">
        <v>200</v>
      </c>
      <c r="J230" s="102"/>
      <c r="K230" s="102"/>
      <c r="L230" s="105">
        <v>20201118</v>
      </c>
    </row>
    <row r="231" spans="1:12">
      <c r="A231" s="132">
        <v>229</v>
      </c>
      <c r="B231" s="102" t="s">
        <v>7412</v>
      </c>
      <c r="C231" s="5" t="s">
        <v>6104</v>
      </c>
      <c r="D231" s="102" t="s">
        <v>7848</v>
      </c>
      <c r="E231" s="109">
        <v>2020</v>
      </c>
      <c r="F231" s="109">
        <v>2020</v>
      </c>
      <c r="G231" s="102" t="s">
        <v>3359</v>
      </c>
      <c r="H231" s="102">
        <v>200</v>
      </c>
      <c r="I231" s="102">
        <v>200</v>
      </c>
      <c r="J231" s="102"/>
      <c r="K231" s="102"/>
      <c r="L231" s="105">
        <v>20201118</v>
      </c>
    </row>
    <row r="232" spans="1:12">
      <c r="A232" s="132">
        <v>230</v>
      </c>
      <c r="B232" s="102" t="s">
        <v>7412</v>
      </c>
      <c r="C232" s="5" t="s">
        <v>7455</v>
      </c>
      <c r="D232" s="102" t="s">
        <v>7849</v>
      </c>
      <c r="E232" s="109">
        <v>2020</v>
      </c>
      <c r="F232" s="109">
        <v>2020</v>
      </c>
      <c r="G232" s="102" t="s">
        <v>3359</v>
      </c>
      <c r="H232" s="102">
        <v>200</v>
      </c>
      <c r="I232" s="102">
        <v>200</v>
      </c>
      <c r="J232" s="102"/>
      <c r="K232" s="102"/>
      <c r="L232" s="105">
        <v>20201118</v>
      </c>
    </row>
    <row r="233" spans="1:12">
      <c r="A233" s="132">
        <v>231</v>
      </c>
      <c r="B233" s="102" t="s">
        <v>7412</v>
      </c>
      <c r="C233" s="5" t="s">
        <v>7850</v>
      </c>
      <c r="D233" s="102" t="s">
        <v>7851</v>
      </c>
      <c r="E233" s="109">
        <v>2020</v>
      </c>
      <c r="F233" s="109">
        <v>2020</v>
      </c>
      <c r="G233" s="102" t="s">
        <v>3359</v>
      </c>
      <c r="H233" s="102">
        <v>200</v>
      </c>
      <c r="I233" s="102">
        <v>200</v>
      </c>
      <c r="J233" s="102"/>
      <c r="K233" s="102"/>
      <c r="L233" s="105">
        <v>20201118</v>
      </c>
    </row>
    <row r="234" spans="1:12">
      <c r="A234" s="132">
        <v>232</v>
      </c>
      <c r="B234" s="102" t="s">
        <v>7412</v>
      </c>
      <c r="C234" s="5" t="s">
        <v>7852</v>
      </c>
      <c r="D234" s="102" t="s">
        <v>7853</v>
      </c>
      <c r="E234" s="109">
        <v>2020</v>
      </c>
      <c r="F234" s="109">
        <v>2020</v>
      </c>
      <c r="G234" s="102" t="s">
        <v>3359</v>
      </c>
      <c r="H234" s="102">
        <v>200</v>
      </c>
      <c r="I234" s="102">
        <v>200</v>
      </c>
      <c r="J234" s="102"/>
      <c r="K234" s="102"/>
      <c r="L234" s="105">
        <v>20201118</v>
      </c>
    </row>
    <row r="235" spans="1:12">
      <c r="A235" s="132">
        <v>233</v>
      </c>
      <c r="B235" s="102" t="s">
        <v>7412</v>
      </c>
      <c r="C235" s="5" t="s">
        <v>7854</v>
      </c>
      <c r="D235" s="102" t="s">
        <v>7855</v>
      </c>
      <c r="E235" s="109">
        <v>2020</v>
      </c>
      <c r="F235" s="109">
        <v>2020</v>
      </c>
      <c r="G235" s="102" t="s">
        <v>3359</v>
      </c>
      <c r="H235" s="102">
        <v>200</v>
      </c>
      <c r="I235" s="102">
        <v>200</v>
      </c>
      <c r="J235" s="102"/>
      <c r="K235" s="102"/>
      <c r="L235" s="105">
        <v>20201118</v>
      </c>
    </row>
    <row r="236" spans="1:12">
      <c r="A236" s="132">
        <v>234</v>
      </c>
      <c r="B236" s="102" t="s">
        <v>7412</v>
      </c>
      <c r="C236" s="5" t="s">
        <v>7856</v>
      </c>
      <c r="D236" s="102" t="s">
        <v>7857</v>
      </c>
      <c r="E236" s="109">
        <v>2020</v>
      </c>
      <c r="F236" s="109">
        <v>2020</v>
      </c>
      <c r="G236" s="102" t="s">
        <v>3359</v>
      </c>
      <c r="H236" s="102">
        <v>200</v>
      </c>
      <c r="I236" s="102">
        <v>200</v>
      </c>
      <c r="J236" s="102"/>
      <c r="K236" s="102"/>
      <c r="L236" s="105">
        <v>20201118</v>
      </c>
    </row>
    <row r="237" spans="1:12">
      <c r="A237" s="132">
        <v>235</v>
      </c>
      <c r="B237" s="102" t="s">
        <v>7412</v>
      </c>
      <c r="C237" s="5" t="s">
        <v>7654</v>
      </c>
      <c r="D237" s="102" t="s">
        <v>7858</v>
      </c>
      <c r="E237" s="109">
        <v>2020</v>
      </c>
      <c r="F237" s="109">
        <v>2020</v>
      </c>
      <c r="G237" s="102" t="s">
        <v>3359</v>
      </c>
      <c r="H237" s="102">
        <v>200</v>
      </c>
      <c r="I237" s="102">
        <v>200</v>
      </c>
      <c r="J237" s="102"/>
      <c r="K237" s="102"/>
      <c r="L237" s="105">
        <v>20201118</v>
      </c>
    </row>
    <row r="238" spans="1:12">
      <c r="A238" s="132">
        <v>236</v>
      </c>
      <c r="B238" s="102" t="s">
        <v>7412</v>
      </c>
      <c r="C238" s="5" t="s">
        <v>7131</v>
      </c>
      <c r="D238" s="102" t="s">
        <v>7859</v>
      </c>
      <c r="E238" s="109">
        <v>2020</v>
      </c>
      <c r="F238" s="109">
        <v>2020</v>
      </c>
      <c r="G238" s="102" t="s">
        <v>3359</v>
      </c>
      <c r="H238" s="102">
        <v>200</v>
      </c>
      <c r="I238" s="102">
        <v>200</v>
      </c>
      <c r="J238" s="102"/>
      <c r="K238" s="102"/>
      <c r="L238" s="105">
        <v>20201118</v>
      </c>
    </row>
    <row r="239" spans="1:12">
      <c r="A239" s="132">
        <v>237</v>
      </c>
      <c r="B239" s="102" t="s">
        <v>7412</v>
      </c>
      <c r="C239" s="5" t="s">
        <v>2218</v>
      </c>
      <c r="D239" s="102" t="s">
        <v>7860</v>
      </c>
      <c r="E239" s="109">
        <v>2020</v>
      </c>
      <c r="F239" s="109">
        <v>2020</v>
      </c>
      <c r="G239" s="102" t="s">
        <v>3359</v>
      </c>
      <c r="H239" s="102">
        <v>200</v>
      </c>
      <c r="I239" s="102">
        <v>200</v>
      </c>
      <c r="J239" s="102"/>
      <c r="K239" s="102"/>
      <c r="L239" s="105">
        <v>20201118</v>
      </c>
    </row>
    <row r="240" spans="1:12">
      <c r="A240" s="132">
        <v>238</v>
      </c>
      <c r="B240" s="102" t="s">
        <v>7412</v>
      </c>
      <c r="C240" s="5" t="s">
        <v>7861</v>
      </c>
      <c r="D240" s="102" t="s">
        <v>7862</v>
      </c>
      <c r="E240" s="109">
        <v>2020</v>
      </c>
      <c r="F240" s="109">
        <v>2020</v>
      </c>
      <c r="G240" s="102" t="s">
        <v>3359</v>
      </c>
      <c r="H240" s="102">
        <v>200</v>
      </c>
      <c r="I240" s="102">
        <v>200</v>
      </c>
      <c r="J240" s="102"/>
      <c r="K240" s="102"/>
      <c r="L240" s="105">
        <v>20201118</v>
      </c>
    </row>
    <row r="241" spans="1:12">
      <c r="A241" s="132">
        <v>239</v>
      </c>
      <c r="B241" s="102" t="s">
        <v>7412</v>
      </c>
      <c r="C241" s="5" t="s">
        <v>7863</v>
      </c>
      <c r="D241" s="102" t="s">
        <v>7864</v>
      </c>
      <c r="E241" s="109">
        <v>2020</v>
      </c>
      <c r="F241" s="109">
        <v>2020</v>
      </c>
      <c r="G241" s="102" t="s">
        <v>3359</v>
      </c>
      <c r="H241" s="102">
        <v>200</v>
      </c>
      <c r="I241" s="102">
        <v>200</v>
      </c>
      <c r="J241" s="102"/>
      <c r="K241" s="102"/>
      <c r="L241" s="105">
        <v>20201118</v>
      </c>
    </row>
    <row r="242" spans="1:12">
      <c r="A242" s="132">
        <v>240</v>
      </c>
      <c r="B242" s="102" t="s">
        <v>7412</v>
      </c>
      <c r="C242" s="5" t="s">
        <v>7865</v>
      </c>
      <c r="D242" s="102" t="s">
        <v>7866</v>
      </c>
      <c r="E242" s="109">
        <v>2020</v>
      </c>
      <c r="F242" s="109">
        <v>2020</v>
      </c>
      <c r="G242" s="102" t="s">
        <v>3359</v>
      </c>
      <c r="H242" s="102">
        <v>200</v>
      </c>
      <c r="I242" s="102">
        <v>200</v>
      </c>
      <c r="J242" s="102"/>
      <c r="K242" s="102"/>
      <c r="L242" s="105">
        <v>20201118</v>
      </c>
    </row>
    <row r="243" spans="1:12">
      <c r="A243" s="132">
        <v>241</v>
      </c>
      <c r="B243" s="102" t="s">
        <v>7412</v>
      </c>
      <c r="C243" s="5" t="s">
        <v>7867</v>
      </c>
      <c r="D243" s="102" t="s">
        <v>7868</v>
      </c>
      <c r="E243" s="109">
        <v>2020</v>
      </c>
      <c r="F243" s="109">
        <v>2020</v>
      </c>
      <c r="G243" s="102" t="s">
        <v>3359</v>
      </c>
      <c r="H243" s="102">
        <v>200</v>
      </c>
      <c r="I243" s="102">
        <v>200</v>
      </c>
      <c r="J243" s="102"/>
      <c r="K243" s="102"/>
      <c r="L243" s="105">
        <v>20201118</v>
      </c>
    </row>
    <row r="244" spans="1:12">
      <c r="A244" s="132">
        <v>242</v>
      </c>
      <c r="B244" s="102" t="s">
        <v>7412</v>
      </c>
      <c r="C244" s="5" t="s">
        <v>7869</v>
      </c>
      <c r="D244" s="102" t="s">
        <v>7870</v>
      </c>
      <c r="E244" s="109">
        <v>2020</v>
      </c>
      <c r="F244" s="109">
        <v>2020</v>
      </c>
      <c r="G244" s="102" t="s">
        <v>3359</v>
      </c>
      <c r="H244" s="102">
        <v>1000</v>
      </c>
      <c r="I244" s="102">
        <v>1000</v>
      </c>
      <c r="J244" s="102"/>
      <c r="K244" s="102"/>
      <c r="L244" s="105">
        <v>20201118</v>
      </c>
    </row>
    <row r="245" spans="1:12">
      <c r="A245" s="132">
        <v>243</v>
      </c>
      <c r="B245" s="102" t="s">
        <v>7412</v>
      </c>
      <c r="C245" s="5" t="s">
        <v>7871</v>
      </c>
      <c r="D245" s="102" t="s">
        <v>7872</v>
      </c>
      <c r="E245" s="109">
        <v>2020</v>
      </c>
      <c r="F245" s="109">
        <v>2020</v>
      </c>
      <c r="G245" s="102" t="s">
        <v>3359</v>
      </c>
      <c r="H245" s="102">
        <v>200</v>
      </c>
      <c r="I245" s="102">
        <v>200</v>
      </c>
      <c r="J245" s="102"/>
      <c r="K245" s="102"/>
      <c r="L245" s="105">
        <v>20201118</v>
      </c>
    </row>
    <row r="246" spans="1:12">
      <c r="A246" s="132">
        <v>244</v>
      </c>
      <c r="B246" s="102" t="s">
        <v>7412</v>
      </c>
      <c r="C246" s="5" t="s">
        <v>7873</v>
      </c>
      <c r="D246" s="102" t="s">
        <v>7874</v>
      </c>
      <c r="E246" s="109">
        <v>2020</v>
      </c>
      <c r="F246" s="109">
        <v>2020</v>
      </c>
      <c r="G246" s="102" t="s">
        <v>3359</v>
      </c>
      <c r="H246" s="102">
        <v>200</v>
      </c>
      <c r="I246" s="102">
        <v>200</v>
      </c>
      <c r="J246" s="102"/>
      <c r="K246" s="102"/>
      <c r="L246" s="105">
        <v>20201118</v>
      </c>
    </row>
    <row r="247" spans="1:12">
      <c r="A247" s="132">
        <v>245</v>
      </c>
      <c r="B247" s="102" t="s">
        <v>7412</v>
      </c>
      <c r="C247" s="5" t="s">
        <v>7875</v>
      </c>
      <c r="D247" s="102" t="s">
        <v>7876</v>
      </c>
      <c r="E247" s="109">
        <v>2020</v>
      </c>
      <c r="F247" s="109">
        <v>2020</v>
      </c>
      <c r="G247" s="102" t="s">
        <v>3359</v>
      </c>
      <c r="H247" s="102">
        <v>200</v>
      </c>
      <c r="I247" s="102">
        <v>200</v>
      </c>
      <c r="J247" s="102"/>
      <c r="K247" s="102"/>
      <c r="L247" s="105">
        <v>20201118</v>
      </c>
    </row>
    <row r="248" spans="1:12">
      <c r="A248" s="132">
        <v>246</v>
      </c>
      <c r="B248" s="102" t="s">
        <v>7412</v>
      </c>
      <c r="C248" s="5" t="s">
        <v>4276</v>
      </c>
      <c r="D248" s="102" t="s">
        <v>7877</v>
      </c>
      <c r="E248" s="109">
        <v>2020</v>
      </c>
      <c r="F248" s="109">
        <v>2020</v>
      </c>
      <c r="G248" s="102" t="s">
        <v>3359</v>
      </c>
      <c r="H248" s="102">
        <v>200</v>
      </c>
      <c r="I248" s="102">
        <v>200</v>
      </c>
      <c r="J248" s="102"/>
      <c r="K248" s="102"/>
      <c r="L248" s="105">
        <v>20201118</v>
      </c>
    </row>
    <row r="249" spans="1:12">
      <c r="A249" s="132">
        <v>247</v>
      </c>
      <c r="B249" s="102" t="s">
        <v>7412</v>
      </c>
      <c r="C249" s="5" t="s">
        <v>4158</v>
      </c>
      <c r="D249" s="102" t="s">
        <v>7878</v>
      </c>
      <c r="E249" s="109">
        <v>2020</v>
      </c>
      <c r="F249" s="109">
        <v>2020</v>
      </c>
      <c r="G249" s="102" t="s">
        <v>3359</v>
      </c>
      <c r="H249" s="102">
        <v>200</v>
      </c>
      <c r="I249" s="102">
        <v>200</v>
      </c>
      <c r="J249" s="102"/>
      <c r="K249" s="102"/>
      <c r="L249" s="105">
        <v>20201118</v>
      </c>
    </row>
    <row r="250" spans="1:12">
      <c r="A250" s="132">
        <v>248</v>
      </c>
      <c r="B250" s="102" t="s">
        <v>7412</v>
      </c>
      <c r="C250" s="5" t="s">
        <v>1837</v>
      </c>
      <c r="D250" s="102" t="s">
        <v>7879</v>
      </c>
      <c r="E250" s="109">
        <v>2020</v>
      </c>
      <c r="F250" s="109">
        <v>2020</v>
      </c>
      <c r="G250" s="102" t="s">
        <v>3359</v>
      </c>
      <c r="H250" s="102">
        <v>200</v>
      </c>
      <c r="I250" s="102">
        <v>200</v>
      </c>
      <c r="J250" s="102"/>
      <c r="K250" s="102"/>
      <c r="L250" s="105">
        <v>20201118</v>
      </c>
    </row>
    <row r="251" spans="1:12">
      <c r="A251" s="132">
        <v>249</v>
      </c>
      <c r="B251" s="102" t="s">
        <v>7412</v>
      </c>
      <c r="C251" s="5" t="s">
        <v>7880</v>
      </c>
      <c r="D251" s="102" t="s">
        <v>7881</v>
      </c>
      <c r="E251" s="109">
        <v>2020</v>
      </c>
      <c r="F251" s="109">
        <v>2020</v>
      </c>
      <c r="G251" s="102" t="s">
        <v>3359</v>
      </c>
      <c r="H251" s="102">
        <v>200</v>
      </c>
      <c r="I251" s="102">
        <v>200</v>
      </c>
      <c r="J251" s="102"/>
      <c r="K251" s="102"/>
      <c r="L251" s="105">
        <v>20201118</v>
      </c>
    </row>
    <row r="252" spans="1:12">
      <c r="A252" s="132">
        <v>250</v>
      </c>
      <c r="B252" s="102" t="s">
        <v>7412</v>
      </c>
      <c r="C252" s="5" t="s">
        <v>7882</v>
      </c>
      <c r="D252" s="102" t="s">
        <v>7883</v>
      </c>
      <c r="E252" s="109">
        <v>2020</v>
      </c>
      <c r="F252" s="109">
        <v>2020</v>
      </c>
      <c r="G252" s="102" t="s">
        <v>3359</v>
      </c>
      <c r="H252" s="102">
        <v>200</v>
      </c>
      <c r="I252" s="102">
        <v>200</v>
      </c>
      <c r="J252" s="102"/>
      <c r="K252" s="102"/>
      <c r="L252" s="105">
        <v>20201118</v>
      </c>
    </row>
    <row r="253" spans="1:12">
      <c r="A253" s="132">
        <v>251</v>
      </c>
      <c r="B253" s="102" t="s">
        <v>7412</v>
      </c>
      <c r="C253" s="5" t="s">
        <v>7884</v>
      </c>
      <c r="D253" s="102" t="s">
        <v>7885</v>
      </c>
      <c r="E253" s="109">
        <v>2020</v>
      </c>
      <c r="F253" s="109">
        <v>2020</v>
      </c>
      <c r="G253" s="102" t="s">
        <v>3359</v>
      </c>
      <c r="H253" s="102">
        <v>200</v>
      </c>
      <c r="I253" s="102">
        <v>200</v>
      </c>
      <c r="J253" s="102"/>
      <c r="K253" s="102"/>
      <c r="L253" s="105">
        <v>20201118</v>
      </c>
    </row>
    <row r="254" spans="1:12">
      <c r="A254" s="132">
        <v>252</v>
      </c>
      <c r="B254" s="102" t="s">
        <v>7412</v>
      </c>
      <c r="C254" s="5" t="s">
        <v>7886</v>
      </c>
      <c r="D254" s="102" t="s">
        <v>7887</v>
      </c>
      <c r="E254" s="109">
        <v>2020</v>
      </c>
      <c r="F254" s="109">
        <v>2020</v>
      </c>
      <c r="G254" s="102" t="s">
        <v>3359</v>
      </c>
      <c r="H254" s="102">
        <v>200</v>
      </c>
      <c r="I254" s="102">
        <v>200</v>
      </c>
      <c r="J254" s="102" t="s">
        <v>1242</v>
      </c>
      <c r="K254" s="102"/>
      <c r="L254" s="105">
        <v>20201118</v>
      </c>
    </row>
    <row r="255" spans="1:12">
      <c r="A255" s="132">
        <v>253</v>
      </c>
      <c r="B255" s="102" t="s">
        <v>7412</v>
      </c>
      <c r="C255" s="5" t="s">
        <v>7888</v>
      </c>
      <c r="D255" s="102" t="s">
        <v>7889</v>
      </c>
      <c r="E255" s="109">
        <v>2020</v>
      </c>
      <c r="F255" s="109">
        <v>2020</v>
      </c>
      <c r="G255" s="102" t="s">
        <v>3359</v>
      </c>
      <c r="H255" s="102">
        <v>200</v>
      </c>
      <c r="I255" s="102">
        <v>200</v>
      </c>
      <c r="J255" s="102"/>
      <c r="K255" s="102"/>
      <c r="L255" s="105">
        <v>20201118</v>
      </c>
    </row>
    <row r="256" spans="1:12">
      <c r="A256" s="132">
        <v>254</v>
      </c>
      <c r="B256" s="102" t="s">
        <v>7412</v>
      </c>
      <c r="C256" s="5" t="s">
        <v>7890</v>
      </c>
      <c r="D256" s="102" t="s">
        <v>7891</v>
      </c>
      <c r="E256" s="109">
        <v>2020</v>
      </c>
      <c r="F256" s="109">
        <v>2020</v>
      </c>
      <c r="G256" s="102" t="s">
        <v>3359</v>
      </c>
      <c r="H256" s="102">
        <v>200</v>
      </c>
      <c r="I256" s="102">
        <v>200</v>
      </c>
      <c r="J256" s="102"/>
      <c r="K256" s="102"/>
      <c r="L256" s="105">
        <v>20201118</v>
      </c>
    </row>
    <row r="257" spans="1:12">
      <c r="A257" s="132">
        <v>255</v>
      </c>
      <c r="B257" s="102" t="s">
        <v>7412</v>
      </c>
      <c r="C257" s="5" t="s">
        <v>7892</v>
      </c>
      <c r="D257" s="102" t="s">
        <v>7893</v>
      </c>
      <c r="E257" s="109">
        <v>2020</v>
      </c>
      <c r="F257" s="109">
        <v>2020</v>
      </c>
      <c r="G257" s="102" t="s">
        <v>3359</v>
      </c>
      <c r="H257" s="102">
        <v>200</v>
      </c>
      <c r="I257" s="102">
        <v>200</v>
      </c>
      <c r="J257" s="102"/>
      <c r="K257" s="102"/>
      <c r="L257" s="105">
        <v>20201118</v>
      </c>
    </row>
    <row r="258" spans="1:12">
      <c r="A258" s="132">
        <v>256</v>
      </c>
      <c r="B258" s="102" t="s">
        <v>7412</v>
      </c>
      <c r="C258" s="5" t="s">
        <v>7894</v>
      </c>
      <c r="D258" s="102" t="s">
        <v>7895</v>
      </c>
      <c r="E258" s="109">
        <v>2020</v>
      </c>
      <c r="F258" s="109">
        <v>2020</v>
      </c>
      <c r="G258" s="102" t="s">
        <v>3359</v>
      </c>
      <c r="H258" s="102">
        <v>200</v>
      </c>
      <c r="I258" s="102">
        <v>200</v>
      </c>
      <c r="J258" s="102"/>
      <c r="K258" s="102"/>
      <c r="L258" s="105">
        <v>20201118</v>
      </c>
    </row>
    <row r="259" spans="1:12">
      <c r="A259" s="132">
        <v>257</v>
      </c>
      <c r="B259" s="102" t="s">
        <v>7412</v>
      </c>
      <c r="C259" s="5" t="s">
        <v>678</v>
      </c>
      <c r="D259" s="102" t="s">
        <v>7896</v>
      </c>
      <c r="E259" s="109">
        <v>2020</v>
      </c>
      <c r="F259" s="109">
        <v>2020</v>
      </c>
      <c r="G259" s="102" t="s">
        <v>3359</v>
      </c>
      <c r="H259" s="102">
        <v>200</v>
      </c>
      <c r="I259" s="102">
        <v>200</v>
      </c>
      <c r="J259" s="102"/>
      <c r="K259" s="102"/>
      <c r="L259" s="105">
        <v>20201118</v>
      </c>
    </row>
    <row r="260" spans="1:12">
      <c r="A260" s="132">
        <v>258</v>
      </c>
      <c r="B260" s="102" t="s">
        <v>7412</v>
      </c>
      <c r="C260" s="5" t="s">
        <v>7897</v>
      </c>
      <c r="D260" s="102" t="s">
        <v>7898</v>
      </c>
      <c r="E260" s="109">
        <v>2020</v>
      </c>
      <c r="F260" s="109">
        <v>2020</v>
      </c>
      <c r="G260" s="102" t="s">
        <v>3359</v>
      </c>
      <c r="H260" s="102">
        <v>200</v>
      </c>
      <c r="I260" s="102">
        <v>200</v>
      </c>
      <c r="J260" s="102"/>
      <c r="K260" s="102"/>
      <c r="L260" s="105">
        <v>20201118</v>
      </c>
    </row>
    <row r="261" spans="1:12">
      <c r="A261" s="132">
        <v>259</v>
      </c>
      <c r="B261" s="102" t="s">
        <v>7412</v>
      </c>
      <c r="C261" s="5" t="s">
        <v>7899</v>
      </c>
      <c r="D261" s="102" t="s">
        <v>7900</v>
      </c>
      <c r="E261" s="109">
        <v>2020</v>
      </c>
      <c r="F261" s="109">
        <v>2020</v>
      </c>
      <c r="G261" s="102" t="s">
        <v>3359</v>
      </c>
      <c r="H261" s="102">
        <v>200</v>
      </c>
      <c r="I261" s="102">
        <v>200</v>
      </c>
      <c r="J261" s="102"/>
      <c r="K261" s="102"/>
      <c r="L261" s="105">
        <v>20201118</v>
      </c>
    </row>
    <row r="262" spans="1:12">
      <c r="A262" s="132">
        <v>260</v>
      </c>
      <c r="B262" s="102" t="s">
        <v>7412</v>
      </c>
      <c r="C262" s="5" t="s">
        <v>2218</v>
      </c>
      <c r="D262" s="102" t="s">
        <v>7901</v>
      </c>
      <c r="E262" s="109">
        <v>2020</v>
      </c>
      <c r="F262" s="109">
        <v>2020</v>
      </c>
      <c r="G262" s="102" t="s">
        <v>3359</v>
      </c>
      <c r="H262" s="102">
        <v>200</v>
      </c>
      <c r="I262" s="102">
        <v>200</v>
      </c>
      <c r="J262" s="102" t="s">
        <v>1242</v>
      </c>
      <c r="K262" s="102"/>
      <c r="L262" s="105">
        <v>20201118</v>
      </c>
    </row>
    <row r="263" spans="1:12">
      <c r="A263" s="132">
        <v>261</v>
      </c>
      <c r="B263" s="102" t="s">
        <v>7412</v>
      </c>
      <c r="C263" s="5" t="s">
        <v>7902</v>
      </c>
      <c r="D263" s="102" t="s">
        <v>7903</v>
      </c>
      <c r="E263" s="109">
        <v>2020</v>
      </c>
      <c r="F263" s="109">
        <v>2020</v>
      </c>
      <c r="G263" s="102" t="s">
        <v>3359</v>
      </c>
      <c r="H263" s="102">
        <v>200</v>
      </c>
      <c r="I263" s="102">
        <v>200</v>
      </c>
      <c r="J263" s="102"/>
      <c r="K263" s="102"/>
      <c r="L263" s="105">
        <v>20201118</v>
      </c>
    </row>
    <row r="264" spans="1:12">
      <c r="A264" s="132">
        <v>262</v>
      </c>
      <c r="B264" s="102" t="s">
        <v>7412</v>
      </c>
      <c r="C264" s="5" t="s">
        <v>7904</v>
      </c>
      <c r="D264" s="102" t="s">
        <v>7905</v>
      </c>
      <c r="E264" s="109">
        <v>2020</v>
      </c>
      <c r="F264" s="109">
        <v>2020</v>
      </c>
      <c r="G264" s="102" t="s">
        <v>3359</v>
      </c>
      <c r="H264" s="102">
        <v>200</v>
      </c>
      <c r="I264" s="102">
        <v>200</v>
      </c>
      <c r="J264" s="102"/>
      <c r="K264" s="102"/>
      <c r="L264" s="105">
        <v>20201118</v>
      </c>
    </row>
    <row r="265" spans="1:12">
      <c r="A265" s="132">
        <v>263</v>
      </c>
      <c r="B265" s="102" t="s">
        <v>7412</v>
      </c>
      <c r="C265" s="5" t="s">
        <v>7906</v>
      </c>
      <c r="D265" s="102" t="s">
        <v>7907</v>
      </c>
      <c r="E265" s="109">
        <v>2020</v>
      </c>
      <c r="F265" s="109">
        <v>2020</v>
      </c>
      <c r="G265" s="102" t="s">
        <v>3359</v>
      </c>
      <c r="H265" s="102">
        <v>200</v>
      </c>
      <c r="I265" s="102">
        <v>200</v>
      </c>
      <c r="J265" s="102"/>
      <c r="K265" s="102"/>
      <c r="L265" s="105">
        <v>20201118</v>
      </c>
    </row>
    <row r="266" spans="1:12">
      <c r="A266" s="132">
        <v>264</v>
      </c>
      <c r="B266" s="102" t="s">
        <v>7412</v>
      </c>
      <c r="C266" s="5" t="s">
        <v>7908</v>
      </c>
      <c r="D266" s="102" t="s">
        <v>7909</v>
      </c>
      <c r="E266" s="109">
        <v>2020</v>
      </c>
      <c r="F266" s="109">
        <v>2020</v>
      </c>
      <c r="G266" s="102" t="s">
        <v>3359</v>
      </c>
      <c r="H266" s="102">
        <v>200</v>
      </c>
      <c r="I266" s="102">
        <v>200</v>
      </c>
      <c r="J266" s="102"/>
      <c r="K266" s="102"/>
      <c r="L266" s="105">
        <v>20201118</v>
      </c>
    </row>
    <row r="267" spans="1:12">
      <c r="A267" s="132">
        <v>265</v>
      </c>
      <c r="B267" s="102" t="s">
        <v>7412</v>
      </c>
      <c r="C267" s="5" t="s">
        <v>7910</v>
      </c>
      <c r="D267" s="102" t="s">
        <v>7911</v>
      </c>
      <c r="E267" s="109">
        <v>2020</v>
      </c>
      <c r="F267" s="109">
        <v>2020</v>
      </c>
      <c r="G267" s="102" t="s">
        <v>3359</v>
      </c>
      <c r="H267" s="102">
        <v>200</v>
      </c>
      <c r="I267" s="102">
        <v>200</v>
      </c>
      <c r="J267" s="102"/>
      <c r="K267" s="102"/>
      <c r="L267" s="105">
        <v>20201118</v>
      </c>
    </row>
    <row r="268" spans="1:12">
      <c r="A268" s="132">
        <v>266</v>
      </c>
      <c r="B268" s="102" t="s">
        <v>7412</v>
      </c>
      <c r="C268" s="5" t="s">
        <v>7912</v>
      </c>
      <c r="D268" s="102" t="s">
        <v>7913</v>
      </c>
      <c r="E268" s="109">
        <v>2020</v>
      </c>
      <c r="F268" s="109">
        <v>2020</v>
      </c>
      <c r="G268" s="102" t="s">
        <v>3359</v>
      </c>
      <c r="H268" s="102">
        <v>200</v>
      </c>
      <c r="I268" s="102">
        <v>200</v>
      </c>
      <c r="J268" s="102"/>
      <c r="K268" s="102"/>
      <c r="L268" s="105">
        <v>20201118</v>
      </c>
    </row>
    <row r="269" spans="1:12">
      <c r="A269" s="132">
        <v>267</v>
      </c>
      <c r="B269" s="102" t="s">
        <v>7412</v>
      </c>
      <c r="C269" s="5" t="s">
        <v>7914</v>
      </c>
      <c r="D269" s="102" t="s">
        <v>7915</v>
      </c>
      <c r="E269" s="109">
        <v>2020</v>
      </c>
      <c r="F269" s="109">
        <v>2020</v>
      </c>
      <c r="G269" s="102" t="s">
        <v>3359</v>
      </c>
      <c r="H269" s="102">
        <v>200</v>
      </c>
      <c r="I269" s="102">
        <v>200</v>
      </c>
      <c r="J269" s="102"/>
      <c r="K269" s="102"/>
      <c r="L269" s="105">
        <v>20201118</v>
      </c>
    </row>
    <row r="270" spans="1:12">
      <c r="A270" s="132">
        <v>268</v>
      </c>
      <c r="B270" s="102" t="s">
        <v>7412</v>
      </c>
      <c r="C270" s="5" t="s">
        <v>7916</v>
      </c>
      <c r="D270" s="102" t="s">
        <v>7917</v>
      </c>
      <c r="E270" s="109">
        <v>2020</v>
      </c>
      <c r="F270" s="109">
        <v>2020</v>
      </c>
      <c r="G270" s="102" t="s">
        <v>3359</v>
      </c>
      <c r="H270" s="102">
        <v>1000</v>
      </c>
      <c r="I270" s="102">
        <v>1000</v>
      </c>
      <c r="J270" s="102"/>
      <c r="K270" s="102"/>
      <c r="L270" s="105">
        <v>20201118</v>
      </c>
    </row>
    <row r="271" spans="1:12">
      <c r="A271" s="132">
        <v>269</v>
      </c>
      <c r="B271" s="102" t="s">
        <v>7412</v>
      </c>
      <c r="C271" s="5" t="s">
        <v>884</v>
      </c>
      <c r="D271" s="102" t="s">
        <v>7918</v>
      </c>
      <c r="E271" s="109">
        <v>2020</v>
      </c>
      <c r="F271" s="109">
        <v>2020</v>
      </c>
      <c r="G271" s="102" t="s">
        <v>3359</v>
      </c>
      <c r="H271" s="102">
        <v>200</v>
      </c>
      <c r="I271" s="102">
        <v>200</v>
      </c>
      <c r="J271" s="102"/>
      <c r="K271" s="102"/>
      <c r="L271" s="105">
        <v>20201118</v>
      </c>
    </row>
    <row r="272" spans="1:12">
      <c r="A272" s="132">
        <v>270</v>
      </c>
      <c r="B272" s="102" t="s">
        <v>7412</v>
      </c>
      <c r="C272" s="5" t="s">
        <v>7919</v>
      </c>
      <c r="D272" s="102" t="s">
        <v>7920</v>
      </c>
      <c r="E272" s="109">
        <v>2020</v>
      </c>
      <c r="F272" s="109">
        <v>2020</v>
      </c>
      <c r="G272" s="102" t="s">
        <v>3359</v>
      </c>
      <c r="H272" s="102">
        <v>300</v>
      </c>
      <c r="I272" s="102">
        <v>300</v>
      </c>
      <c r="J272" s="102"/>
      <c r="K272" s="102"/>
      <c r="L272" s="105">
        <v>20201118</v>
      </c>
    </row>
    <row r="273" spans="1:12">
      <c r="A273" s="132">
        <v>271</v>
      </c>
      <c r="B273" s="102" t="s">
        <v>7412</v>
      </c>
      <c r="C273" s="5" t="s">
        <v>7921</v>
      </c>
      <c r="D273" s="102" t="s">
        <v>7922</v>
      </c>
      <c r="E273" s="109">
        <v>2020</v>
      </c>
      <c r="F273" s="109">
        <v>2020</v>
      </c>
      <c r="G273" s="102" t="s">
        <v>3359</v>
      </c>
      <c r="H273" s="102">
        <v>200</v>
      </c>
      <c r="I273" s="102">
        <v>200</v>
      </c>
      <c r="J273" s="102"/>
      <c r="K273" s="102"/>
      <c r="L273" s="105">
        <v>20201118</v>
      </c>
    </row>
    <row r="274" spans="1:12">
      <c r="A274" s="132">
        <v>272</v>
      </c>
      <c r="B274" s="102" t="s">
        <v>7412</v>
      </c>
      <c r="C274" s="5" t="s">
        <v>7923</v>
      </c>
      <c r="D274" s="102" t="s">
        <v>7924</v>
      </c>
      <c r="E274" s="109">
        <v>2020</v>
      </c>
      <c r="F274" s="109">
        <v>2020</v>
      </c>
      <c r="G274" s="102" t="s">
        <v>3359</v>
      </c>
      <c r="H274" s="102">
        <v>200</v>
      </c>
      <c r="I274" s="102">
        <v>200</v>
      </c>
      <c r="J274" s="102"/>
      <c r="K274" s="102"/>
      <c r="L274" s="105">
        <v>20201118</v>
      </c>
    </row>
    <row r="275" spans="1:12">
      <c r="A275" s="132">
        <v>273</v>
      </c>
      <c r="B275" s="102" t="s">
        <v>7412</v>
      </c>
      <c r="C275" s="5" t="s">
        <v>7925</v>
      </c>
      <c r="D275" s="102" t="s">
        <v>7926</v>
      </c>
      <c r="E275" s="109">
        <v>2020</v>
      </c>
      <c r="F275" s="109">
        <v>2020</v>
      </c>
      <c r="G275" s="102" t="s">
        <v>3359</v>
      </c>
      <c r="H275" s="102">
        <v>200</v>
      </c>
      <c r="I275" s="102">
        <v>200</v>
      </c>
      <c r="J275" s="102"/>
      <c r="K275" s="102"/>
      <c r="L275" s="105">
        <v>20201118</v>
      </c>
    </row>
    <row r="276" spans="1:12">
      <c r="A276" s="132">
        <v>274</v>
      </c>
      <c r="B276" s="102" t="s">
        <v>7412</v>
      </c>
      <c r="C276" s="5" t="s">
        <v>7927</v>
      </c>
      <c r="D276" s="102" t="s">
        <v>7928</v>
      </c>
      <c r="E276" s="109">
        <v>2020</v>
      </c>
      <c r="F276" s="109">
        <v>2020</v>
      </c>
      <c r="G276" s="102" t="s">
        <v>3359</v>
      </c>
      <c r="H276" s="102">
        <v>200</v>
      </c>
      <c r="I276" s="102">
        <v>200</v>
      </c>
      <c r="J276" s="102"/>
      <c r="K276" s="102"/>
      <c r="L276" s="105">
        <v>20201118</v>
      </c>
    </row>
    <row r="277" spans="1:12">
      <c r="A277" s="132">
        <v>275</v>
      </c>
      <c r="B277" s="102" t="s">
        <v>7412</v>
      </c>
      <c r="C277" s="5" t="s">
        <v>7929</v>
      </c>
      <c r="D277" s="102" t="s">
        <v>7930</v>
      </c>
      <c r="E277" s="109">
        <v>2020</v>
      </c>
      <c r="F277" s="109">
        <v>2020</v>
      </c>
      <c r="G277" s="102" t="s">
        <v>3359</v>
      </c>
      <c r="H277" s="102">
        <v>200</v>
      </c>
      <c r="I277" s="102">
        <v>200</v>
      </c>
      <c r="J277" s="102"/>
      <c r="K277" s="102"/>
      <c r="L277" s="105">
        <v>20201118</v>
      </c>
    </row>
    <row r="278" spans="1:12">
      <c r="A278" s="132">
        <v>276</v>
      </c>
      <c r="B278" s="102" t="s">
        <v>7412</v>
      </c>
      <c r="C278" s="5" t="s">
        <v>7931</v>
      </c>
      <c r="D278" s="102" t="s">
        <v>7932</v>
      </c>
      <c r="E278" s="109">
        <v>2020</v>
      </c>
      <c r="F278" s="109">
        <v>2020</v>
      </c>
      <c r="G278" s="102" t="s">
        <v>3359</v>
      </c>
      <c r="H278" s="102">
        <v>1000</v>
      </c>
      <c r="I278" s="102">
        <v>1000</v>
      </c>
      <c r="J278" s="102"/>
      <c r="K278" s="102"/>
      <c r="L278" s="105">
        <v>20201118</v>
      </c>
    </row>
    <row r="279" spans="1:12">
      <c r="A279" s="132">
        <v>277</v>
      </c>
      <c r="B279" s="102" t="s">
        <v>7412</v>
      </c>
      <c r="C279" s="5" t="s">
        <v>7933</v>
      </c>
      <c r="D279" s="102" t="s">
        <v>7934</v>
      </c>
      <c r="E279" s="109">
        <v>2020</v>
      </c>
      <c r="F279" s="109">
        <v>2020</v>
      </c>
      <c r="G279" s="102" t="s">
        <v>3359</v>
      </c>
      <c r="H279" s="102">
        <v>200</v>
      </c>
      <c r="I279" s="102">
        <v>200</v>
      </c>
      <c r="J279" s="102"/>
      <c r="K279" s="102"/>
      <c r="L279" s="105">
        <v>20201118</v>
      </c>
    </row>
    <row r="280" spans="1:12">
      <c r="A280" s="132">
        <v>278</v>
      </c>
      <c r="B280" s="102" t="s">
        <v>7412</v>
      </c>
      <c r="C280" s="5" t="s">
        <v>7935</v>
      </c>
      <c r="D280" s="102" t="s">
        <v>7936</v>
      </c>
      <c r="E280" s="109">
        <v>2020</v>
      </c>
      <c r="F280" s="109">
        <v>2020</v>
      </c>
      <c r="G280" s="102" t="s">
        <v>3359</v>
      </c>
      <c r="H280" s="102">
        <v>200</v>
      </c>
      <c r="I280" s="102">
        <v>200</v>
      </c>
      <c r="J280" s="102"/>
      <c r="K280" s="102"/>
      <c r="L280" s="105">
        <v>20201118</v>
      </c>
    </row>
    <row r="281" spans="1:12">
      <c r="A281" s="132">
        <v>279</v>
      </c>
      <c r="B281" s="102" t="s">
        <v>7412</v>
      </c>
      <c r="C281" s="5" t="s">
        <v>7937</v>
      </c>
      <c r="D281" s="102" t="s">
        <v>7938</v>
      </c>
      <c r="E281" s="109">
        <v>2020</v>
      </c>
      <c r="F281" s="109">
        <v>2020</v>
      </c>
      <c r="G281" s="102" t="s">
        <v>3359</v>
      </c>
      <c r="H281" s="102">
        <v>200</v>
      </c>
      <c r="I281" s="102">
        <v>200</v>
      </c>
      <c r="J281" s="102"/>
      <c r="K281" s="102"/>
      <c r="L281" s="105">
        <v>20201118</v>
      </c>
    </row>
    <row r="282" spans="1:12">
      <c r="A282" s="132">
        <v>280</v>
      </c>
      <c r="B282" s="102" t="s">
        <v>7412</v>
      </c>
      <c r="C282" s="5" t="s">
        <v>7939</v>
      </c>
      <c r="D282" s="102" t="s">
        <v>7940</v>
      </c>
      <c r="E282" s="109">
        <v>2020</v>
      </c>
      <c r="F282" s="109">
        <v>2020</v>
      </c>
      <c r="G282" s="102" t="s">
        <v>3359</v>
      </c>
      <c r="H282" s="102">
        <v>200</v>
      </c>
      <c r="I282" s="102">
        <v>200</v>
      </c>
      <c r="J282" s="102"/>
      <c r="K282" s="102"/>
      <c r="L282" s="105">
        <v>20201118</v>
      </c>
    </row>
    <row r="283" spans="1:12">
      <c r="A283" s="132">
        <v>281</v>
      </c>
      <c r="B283" s="102" t="s">
        <v>7412</v>
      </c>
      <c r="C283" s="5" t="s">
        <v>7941</v>
      </c>
      <c r="D283" s="102" t="s">
        <v>7942</v>
      </c>
      <c r="E283" s="109">
        <v>2020</v>
      </c>
      <c r="F283" s="109">
        <v>2020</v>
      </c>
      <c r="G283" s="102" t="s">
        <v>3359</v>
      </c>
      <c r="H283" s="102">
        <v>200</v>
      </c>
      <c r="I283" s="102">
        <v>200</v>
      </c>
      <c r="J283" s="102"/>
      <c r="K283" s="102"/>
      <c r="L283" s="105">
        <v>20201118</v>
      </c>
    </row>
    <row r="284" spans="1:12">
      <c r="A284" s="132">
        <v>282</v>
      </c>
      <c r="B284" s="102" t="s">
        <v>7412</v>
      </c>
      <c r="C284" s="5" t="s">
        <v>7904</v>
      </c>
      <c r="D284" s="102" t="s">
        <v>7943</v>
      </c>
      <c r="E284" s="109">
        <v>2020</v>
      </c>
      <c r="F284" s="109">
        <v>2020</v>
      </c>
      <c r="G284" s="102" t="s">
        <v>3359</v>
      </c>
      <c r="H284" s="102">
        <v>200</v>
      </c>
      <c r="I284" s="102">
        <v>200</v>
      </c>
      <c r="J284" s="102"/>
      <c r="K284" s="102"/>
      <c r="L284" s="105">
        <v>20201118</v>
      </c>
    </row>
    <row r="285" spans="1:12">
      <c r="A285" s="132">
        <v>283</v>
      </c>
      <c r="B285" s="102" t="s">
        <v>7412</v>
      </c>
      <c r="C285" s="5" t="s">
        <v>7944</v>
      </c>
      <c r="D285" s="102" t="s">
        <v>7945</v>
      </c>
      <c r="E285" s="109">
        <v>2020</v>
      </c>
      <c r="F285" s="109">
        <v>2020</v>
      </c>
      <c r="G285" s="102" t="s">
        <v>3359</v>
      </c>
      <c r="H285" s="102">
        <v>200</v>
      </c>
      <c r="I285" s="102">
        <v>200</v>
      </c>
      <c r="J285" s="102"/>
      <c r="K285" s="102"/>
      <c r="L285" s="105">
        <v>20201118</v>
      </c>
    </row>
    <row r="286" spans="1:12">
      <c r="A286" s="132">
        <v>284</v>
      </c>
      <c r="B286" s="102" t="s">
        <v>7412</v>
      </c>
      <c r="C286" s="5" t="s">
        <v>7946</v>
      </c>
      <c r="D286" s="102" t="s">
        <v>7947</v>
      </c>
      <c r="E286" s="109">
        <v>2020</v>
      </c>
      <c r="F286" s="109">
        <v>2020</v>
      </c>
      <c r="G286" s="102" t="s">
        <v>3359</v>
      </c>
      <c r="H286" s="102">
        <v>200</v>
      </c>
      <c r="I286" s="102">
        <v>200</v>
      </c>
      <c r="J286" s="102"/>
      <c r="K286" s="102"/>
      <c r="L286" s="105">
        <v>20201118</v>
      </c>
    </row>
    <row r="287" spans="1:12">
      <c r="A287" s="132">
        <v>285</v>
      </c>
      <c r="B287" s="102" t="s">
        <v>7412</v>
      </c>
      <c r="C287" s="5" t="s">
        <v>7948</v>
      </c>
      <c r="D287" s="102" t="s">
        <v>7949</v>
      </c>
      <c r="E287" s="109">
        <v>2020</v>
      </c>
      <c r="F287" s="109">
        <v>2020</v>
      </c>
      <c r="G287" s="102" t="s">
        <v>3359</v>
      </c>
      <c r="H287" s="102">
        <v>200</v>
      </c>
      <c r="I287" s="102">
        <v>200</v>
      </c>
      <c r="J287" s="102"/>
      <c r="K287" s="102"/>
      <c r="L287" s="105">
        <v>20201118</v>
      </c>
    </row>
    <row r="288" spans="1:12">
      <c r="A288" s="132">
        <v>286</v>
      </c>
      <c r="B288" s="102" t="s">
        <v>7412</v>
      </c>
      <c r="C288" s="5" t="s">
        <v>7950</v>
      </c>
      <c r="D288" s="102" t="s">
        <v>7951</v>
      </c>
      <c r="E288" s="109">
        <v>2020</v>
      </c>
      <c r="F288" s="109">
        <v>2020</v>
      </c>
      <c r="G288" s="102" t="s">
        <v>3359</v>
      </c>
      <c r="H288" s="102">
        <v>200</v>
      </c>
      <c r="I288" s="102">
        <v>200</v>
      </c>
      <c r="J288" s="102"/>
      <c r="K288" s="102"/>
      <c r="L288" s="105">
        <v>20201118</v>
      </c>
    </row>
    <row r="289" spans="1:12">
      <c r="A289" s="132">
        <v>287</v>
      </c>
      <c r="B289" s="102" t="s">
        <v>7412</v>
      </c>
      <c r="C289" s="5" t="s">
        <v>7952</v>
      </c>
      <c r="D289" s="102" t="s">
        <v>7953</v>
      </c>
      <c r="E289" s="109">
        <v>2020</v>
      </c>
      <c r="F289" s="109">
        <v>2020</v>
      </c>
      <c r="G289" s="102" t="s">
        <v>3359</v>
      </c>
      <c r="H289" s="102">
        <v>200</v>
      </c>
      <c r="I289" s="102">
        <v>200</v>
      </c>
      <c r="J289" s="102"/>
      <c r="K289" s="102"/>
      <c r="L289" s="105">
        <v>20201118</v>
      </c>
    </row>
    <row r="290" spans="1:12">
      <c r="A290" s="132">
        <v>288</v>
      </c>
      <c r="B290" s="102" t="s">
        <v>7412</v>
      </c>
      <c r="C290" s="5" t="s">
        <v>7954</v>
      </c>
      <c r="D290" s="102" t="s">
        <v>7955</v>
      </c>
      <c r="E290" s="109">
        <v>2020</v>
      </c>
      <c r="F290" s="109">
        <v>2020</v>
      </c>
      <c r="G290" s="102" t="s">
        <v>3359</v>
      </c>
      <c r="H290" s="102">
        <v>200</v>
      </c>
      <c r="I290" s="102">
        <v>200</v>
      </c>
      <c r="J290" s="102"/>
      <c r="K290" s="102"/>
      <c r="L290" s="105">
        <v>20201118</v>
      </c>
    </row>
    <row r="291" spans="1:12">
      <c r="A291" s="132">
        <v>289</v>
      </c>
      <c r="B291" s="102" t="s">
        <v>7412</v>
      </c>
      <c r="C291" s="5" t="s">
        <v>7956</v>
      </c>
      <c r="D291" s="102" t="s">
        <v>7957</v>
      </c>
      <c r="E291" s="109">
        <v>2020</v>
      </c>
      <c r="F291" s="109">
        <v>2020</v>
      </c>
      <c r="G291" s="102" t="s">
        <v>3359</v>
      </c>
      <c r="H291" s="102">
        <v>200</v>
      </c>
      <c r="I291" s="102">
        <v>200</v>
      </c>
      <c r="J291" s="102"/>
      <c r="K291" s="102"/>
      <c r="L291" s="105">
        <v>20201118</v>
      </c>
    </row>
    <row r="292" spans="1:12">
      <c r="A292" s="132">
        <v>290</v>
      </c>
      <c r="B292" s="102" t="s">
        <v>7412</v>
      </c>
      <c r="C292" s="5" t="s">
        <v>7958</v>
      </c>
      <c r="D292" s="102" t="s">
        <v>7959</v>
      </c>
      <c r="E292" s="109">
        <v>2020</v>
      </c>
      <c r="F292" s="109">
        <v>2020</v>
      </c>
      <c r="G292" s="102" t="s">
        <v>3359</v>
      </c>
      <c r="H292" s="102">
        <v>200</v>
      </c>
      <c r="I292" s="102">
        <v>200</v>
      </c>
      <c r="J292" s="102"/>
      <c r="K292" s="102"/>
      <c r="L292" s="105">
        <v>20201118</v>
      </c>
    </row>
    <row r="293" spans="1:12">
      <c r="A293" s="132">
        <v>291</v>
      </c>
      <c r="B293" s="102" t="s">
        <v>7412</v>
      </c>
      <c r="C293" s="5" t="s">
        <v>7960</v>
      </c>
      <c r="D293" s="102" t="s">
        <v>7961</v>
      </c>
      <c r="E293" s="109">
        <v>2020</v>
      </c>
      <c r="F293" s="109">
        <v>2020</v>
      </c>
      <c r="G293" s="102" t="s">
        <v>3359</v>
      </c>
      <c r="H293" s="102">
        <v>200</v>
      </c>
      <c r="I293" s="102">
        <v>200</v>
      </c>
      <c r="J293" s="102"/>
      <c r="K293" s="102"/>
      <c r="L293" s="105">
        <v>20201118</v>
      </c>
    </row>
    <row r="294" spans="1:12">
      <c r="A294" s="132">
        <v>292</v>
      </c>
      <c r="B294" s="102" t="s">
        <v>7412</v>
      </c>
      <c r="C294" s="5" t="s">
        <v>7962</v>
      </c>
      <c r="D294" s="102" t="s">
        <v>7963</v>
      </c>
      <c r="E294" s="109">
        <v>2020</v>
      </c>
      <c r="F294" s="109">
        <v>2020</v>
      </c>
      <c r="G294" s="102" t="s">
        <v>3359</v>
      </c>
      <c r="H294" s="102">
        <v>200</v>
      </c>
      <c r="I294" s="102">
        <v>200</v>
      </c>
      <c r="J294" s="102"/>
      <c r="K294" s="102"/>
      <c r="L294" s="105">
        <v>20201118</v>
      </c>
    </row>
    <row r="295" spans="1:12">
      <c r="A295" s="132">
        <v>293</v>
      </c>
      <c r="B295" s="102" t="s">
        <v>7412</v>
      </c>
      <c r="C295" s="5" t="s">
        <v>7964</v>
      </c>
      <c r="D295" s="102" t="s">
        <v>7965</v>
      </c>
      <c r="E295" s="109">
        <v>2020</v>
      </c>
      <c r="F295" s="109">
        <v>2020</v>
      </c>
      <c r="G295" s="102" t="s">
        <v>3359</v>
      </c>
      <c r="H295" s="102">
        <v>200</v>
      </c>
      <c r="I295" s="102">
        <v>200</v>
      </c>
      <c r="J295" s="102"/>
      <c r="K295" s="102"/>
      <c r="L295" s="105">
        <v>20201118</v>
      </c>
    </row>
    <row r="296" spans="1:12">
      <c r="A296" s="132">
        <v>294</v>
      </c>
      <c r="B296" s="102" t="s">
        <v>7412</v>
      </c>
      <c r="C296" s="5" t="s">
        <v>7966</v>
      </c>
      <c r="D296" s="102" t="s">
        <v>7967</v>
      </c>
      <c r="E296" s="109">
        <v>2020</v>
      </c>
      <c r="F296" s="109">
        <v>2020</v>
      </c>
      <c r="G296" s="102" t="s">
        <v>3359</v>
      </c>
      <c r="H296" s="102">
        <v>200</v>
      </c>
      <c r="I296" s="102">
        <v>200</v>
      </c>
      <c r="J296" s="102"/>
      <c r="K296" s="102"/>
      <c r="L296" s="105">
        <v>20201118</v>
      </c>
    </row>
    <row r="297" spans="1:12">
      <c r="A297" s="132">
        <v>295</v>
      </c>
      <c r="B297" s="102" t="s">
        <v>7412</v>
      </c>
      <c r="C297" s="5" t="s">
        <v>7968</v>
      </c>
      <c r="D297" s="102" t="s">
        <v>7969</v>
      </c>
      <c r="E297" s="109">
        <v>2020</v>
      </c>
      <c r="F297" s="109">
        <v>2020</v>
      </c>
      <c r="G297" s="102" t="s">
        <v>3359</v>
      </c>
      <c r="H297" s="102">
        <v>200</v>
      </c>
      <c r="I297" s="102">
        <v>200</v>
      </c>
      <c r="J297" s="102"/>
      <c r="K297" s="102"/>
      <c r="L297" s="105">
        <v>20201118</v>
      </c>
    </row>
    <row r="298" spans="1:12">
      <c r="A298" s="132">
        <v>296</v>
      </c>
      <c r="B298" s="102" t="s">
        <v>7412</v>
      </c>
      <c r="C298" s="5" t="s">
        <v>7970</v>
      </c>
      <c r="D298" s="102" t="s">
        <v>7971</v>
      </c>
      <c r="E298" s="109">
        <v>2020</v>
      </c>
      <c r="F298" s="109">
        <v>2020</v>
      </c>
      <c r="G298" s="102" t="s">
        <v>3359</v>
      </c>
      <c r="H298" s="102">
        <v>200</v>
      </c>
      <c r="I298" s="102">
        <v>200</v>
      </c>
      <c r="J298" s="102"/>
      <c r="K298" s="102"/>
      <c r="L298" s="105">
        <v>20201118</v>
      </c>
    </row>
    <row r="299" spans="1:12">
      <c r="A299" s="132">
        <v>297</v>
      </c>
      <c r="B299" s="102" t="s">
        <v>7412</v>
      </c>
      <c r="C299" s="5" t="s">
        <v>7972</v>
      </c>
      <c r="D299" s="102" t="s">
        <v>7973</v>
      </c>
      <c r="E299" s="109">
        <v>2020</v>
      </c>
      <c r="F299" s="109">
        <v>2020</v>
      </c>
      <c r="G299" s="102" t="s">
        <v>3359</v>
      </c>
      <c r="H299" s="102">
        <v>200</v>
      </c>
      <c r="I299" s="102">
        <v>200</v>
      </c>
      <c r="J299" s="102"/>
      <c r="K299" s="102"/>
      <c r="L299" s="105">
        <v>20201118</v>
      </c>
    </row>
    <row r="300" spans="1:12">
      <c r="A300" s="132">
        <v>298</v>
      </c>
      <c r="B300" s="102" t="s">
        <v>7412</v>
      </c>
      <c r="C300" s="5" t="s">
        <v>7974</v>
      </c>
      <c r="D300" s="102" t="s">
        <v>7975</v>
      </c>
      <c r="E300" s="109">
        <v>2020</v>
      </c>
      <c r="F300" s="109">
        <v>2020</v>
      </c>
      <c r="G300" s="102" t="s">
        <v>3359</v>
      </c>
      <c r="H300" s="102">
        <v>200</v>
      </c>
      <c r="I300" s="102">
        <v>200</v>
      </c>
      <c r="J300" s="102"/>
      <c r="K300" s="102"/>
      <c r="L300" s="105">
        <v>20201118</v>
      </c>
    </row>
    <row r="301" spans="1:12">
      <c r="A301" s="132">
        <v>299</v>
      </c>
      <c r="B301" s="102" t="s">
        <v>7412</v>
      </c>
      <c r="C301" s="5" t="s">
        <v>7976</v>
      </c>
      <c r="D301" s="102" t="s">
        <v>7977</v>
      </c>
      <c r="E301" s="109">
        <v>2020</v>
      </c>
      <c r="F301" s="109">
        <v>2020</v>
      </c>
      <c r="G301" s="102" t="s">
        <v>3359</v>
      </c>
      <c r="H301" s="102">
        <v>200</v>
      </c>
      <c r="I301" s="102">
        <v>200</v>
      </c>
      <c r="J301" s="102"/>
      <c r="K301" s="102"/>
      <c r="L301" s="105">
        <v>20201118</v>
      </c>
    </row>
    <row r="302" spans="1:12">
      <c r="A302" s="132">
        <v>300</v>
      </c>
      <c r="B302" s="102" t="s">
        <v>7412</v>
      </c>
      <c r="C302" s="5" t="s">
        <v>7978</v>
      </c>
      <c r="D302" s="102" t="s">
        <v>7979</v>
      </c>
      <c r="E302" s="109">
        <v>2020</v>
      </c>
      <c r="F302" s="109">
        <v>2020</v>
      </c>
      <c r="G302" s="102" t="s">
        <v>3359</v>
      </c>
      <c r="H302" s="102">
        <v>200</v>
      </c>
      <c r="I302" s="102">
        <v>200</v>
      </c>
      <c r="J302" s="102"/>
      <c r="K302" s="102"/>
      <c r="L302" s="105">
        <v>20201118</v>
      </c>
    </row>
    <row r="303" spans="1:12">
      <c r="A303" s="132">
        <v>301</v>
      </c>
      <c r="B303" s="102" t="s">
        <v>7412</v>
      </c>
      <c r="C303" s="5" t="s">
        <v>7980</v>
      </c>
      <c r="D303" s="102" t="s">
        <v>7981</v>
      </c>
      <c r="E303" s="109">
        <v>2020</v>
      </c>
      <c r="F303" s="109">
        <v>2020</v>
      </c>
      <c r="G303" s="102" t="s">
        <v>3359</v>
      </c>
      <c r="H303" s="102">
        <v>200</v>
      </c>
      <c r="I303" s="102">
        <v>200</v>
      </c>
      <c r="J303" s="102"/>
      <c r="K303" s="102"/>
      <c r="L303" s="105">
        <v>20201118</v>
      </c>
    </row>
    <row r="304" spans="1:12">
      <c r="A304" s="132">
        <v>302</v>
      </c>
      <c r="B304" s="102" t="s">
        <v>7412</v>
      </c>
      <c r="C304" s="5" t="s">
        <v>7982</v>
      </c>
      <c r="D304" s="102" t="s">
        <v>7983</v>
      </c>
      <c r="E304" s="109">
        <v>2020</v>
      </c>
      <c r="F304" s="109">
        <v>2020</v>
      </c>
      <c r="G304" s="102" t="s">
        <v>3359</v>
      </c>
      <c r="H304" s="102">
        <v>200</v>
      </c>
      <c r="I304" s="102">
        <v>200</v>
      </c>
      <c r="J304" s="102"/>
      <c r="K304" s="102"/>
      <c r="L304" s="105">
        <v>20201118</v>
      </c>
    </row>
    <row r="305" spans="1:12">
      <c r="A305" s="132">
        <v>303</v>
      </c>
      <c r="B305" s="102" t="s">
        <v>7412</v>
      </c>
      <c r="C305" s="5" t="s">
        <v>7984</v>
      </c>
      <c r="D305" s="102" t="s">
        <v>7985</v>
      </c>
      <c r="E305" s="109">
        <v>2020</v>
      </c>
      <c r="F305" s="109">
        <v>2020</v>
      </c>
      <c r="G305" s="102" t="s">
        <v>3359</v>
      </c>
      <c r="H305" s="102">
        <v>200</v>
      </c>
      <c r="I305" s="102">
        <v>200</v>
      </c>
      <c r="J305" s="102"/>
      <c r="K305" s="102"/>
      <c r="L305" s="105">
        <v>20201118</v>
      </c>
    </row>
    <row r="306" spans="1:12">
      <c r="A306" s="132">
        <v>304</v>
      </c>
      <c r="B306" s="102" t="s">
        <v>7412</v>
      </c>
      <c r="C306" s="5" t="s">
        <v>7986</v>
      </c>
      <c r="D306" s="102" t="s">
        <v>7987</v>
      </c>
      <c r="E306" s="109">
        <v>2020</v>
      </c>
      <c r="F306" s="109">
        <v>2020</v>
      </c>
      <c r="G306" s="102" t="s">
        <v>3359</v>
      </c>
      <c r="H306" s="102">
        <v>200</v>
      </c>
      <c r="I306" s="102">
        <v>200</v>
      </c>
      <c r="J306" s="102"/>
      <c r="K306" s="102"/>
      <c r="L306" s="105">
        <v>20201118</v>
      </c>
    </row>
    <row r="307" spans="1:12">
      <c r="A307" s="132">
        <v>305</v>
      </c>
      <c r="B307" s="102" t="s">
        <v>7412</v>
      </c>
      <c r="C307" s="5" t="s">
        <v>7988</v>
      </c>
      <c r="D307" s="102" t="s">
        <v>7989</v>
      </c>
      <c r="E307" s="109">
        <v>2020</v>
      </c>
      <c r="F307" s="109">
        <v>2020</v>
      </c>
      <c r="G307" s="102" t="s">
        <v>3359</v>
      </c>
      <c r="H307" s="102">
        <v>200</v>
      </c>
      <c r="I307" s="102">
        <v>200</v>
      </c>
      <c r="J307" s="102"/>
      <c r="K307" s="102"/>
      <c r="L307" s="105">
        <v>20201118</v>
      </c>
    </row>
    <row r="308" spans="1:12">
      <c r="A308" s="132">
        <v>306</v>
      </c>
      <c r="B308" s="102" t="s">
        <v>7412</v>
      </c>
      <c r="C308" s="5" t="s">
        <v>7990</v>
      </c>
      <c r="D308" s="102" t="s">
        <v>7991</v>
      </c>
      <c r="E308" s="109">
        <v>2020</v>
      </c>
      <c r="F308" s="109">
        <v>2020</v>
      </c>
      <c r="G308" s="102" t="s">
        <v>3359</v>
      </c>
      <c r="H308" s="102">
        <v>200</v>
      </c>
      <c r="I308" s="102">
        <v>200</v>
      </c>
      <c r="J308" s="102"/>
      <c r="K308" s="102"/>
      <c r="L308" s="105">
        <v>20201118</v>
      </c>
    </row>
    <row r="309" spans="1:12">
      <c r="A309" s="132">
        <v>307</v>
      </c>
      <c r="B309" s="102" t="s">
        <v>7412</v>
      </c>
      <c r="C309" s="5" t="s">
        <v>7992</v>
      </c>
      <c r="D309" s="102" t="s">
        <v>7993</v>
      </c>
      <c r="E309" s="109">
        <v>2020</v>
      </c>
      <c r="F309" s="109">
        <v>2020</v>
      </c>
      <c r="G309" s="102" t="s">
        <v>3359</v>
      </c>
      <c r="H309" s="102">
        <v>200</v>
      </c>
      <c r="I309" s="102">
        <v>200</v>
      </c>
      <c r="J309" s="102"/>
      <c r="K309" s="102"/>
      <c r="L309" s="105">
        <v>20201118</v>
      </c>
    </row>
    <row r="310" spans="1:12">
      <c r="A310" s="132">
        <v>308</v>
      </c>
      <c r="B310" s="102" t="s">
        <v>7412</v>
      </c>
      <c r="C310" s="5" t="s">
        <v>5968</v>
      </c>
      <c r="D310" s="102" t="s">
        <v>7994</v>
      </c>
      <c r="E310" s="109">
        <v>2020</v>
      </c>
      <c r="F310" s="109">
        <v>2020</v>
      </c>
      <c r="G310" s="102" t="s">
        <v>3359</v>
      </c>
      <c r="H310" s="102">
        <v>200</v>
      </c>
      <c r="I310" s="102">
        <v>200</v>
      </c>
      <c r="J310" s="102"/>
      <c r="K310" s="102"/>
      <c r="L310" s="105">
        <v>20201118</v>
      </c>
    </row>
    <row r="311" spans="1:12">
      <c r="A311" s="132">
        <v>309</v>
      </c>
      <c r="B311" s="102" t="s">
        <v>7412</v>
      </c>
      <c r="C311" s="5" t="s">
        <v>7995</v>
      </c>
      <c r="D311" s="102" t="s">
        <v>7996</v>
      </c>
      <c r="E311" s="109">
        <v>2020</v>
      </c>
      <c r="F311" s="109">
        <v>2020</v>
      </c>
      <c r="G311" s="102" t="s">
        <v>3359</v>
      </c>
      <c r="H311" s="102">
        <v>200</v>
      </c>
      <c r="I311" s="102">
        <v>200</v>
      </c>
      <c r="J311" s="102"/>
      <c r="K311" s="102"/>
      <c r="L311" s="105">
        <v>20201118</v>
      </c>
    </row>
    <row r="312" spans="1:12">
      <c r="A312" s="132">
        <v>310</v>
      </c>
      <c r="B312" s="102" t="s">
        <v>7412</v>
      </c>
      <c r="C312" s="5" t="s">
        <v>7997</v>
      </c>
      <c r="D312" s="102" t="s">
        <v>7998</v>
      </c>
      <c r="E312" s="109">
        <v>2020</v>
      </c>
      <c r="F312" s="109">
        <v>2020</v>
      </c>
      <c r="G312" s="102" t="s">
        <v>3359</v>
      </c>
      <c r="H312" s="102">
        <v>200</v>
      </c>
      <c r="I312" s="102">
        <v>200</v>
      </c>
      <c r="J312" s="102"/>
      <c r="K312" s="102"/>
      <c r="L312" s="105">
        <v>20201118</v>
      </c>
    </row>
    <row r="313" spans="1:12">
      <c r="A313" s="132">
        <v>311</v>
      </c>
      <c r="B313" s="102" t="s">
        <v>7412</v>
      </c>
      <c r="C313" s="5" t="s">
        <v>7999</v>
      </c>
      <c r="D313" s="102" t="s">
        <v>8000</v>
      </c>
      <c r="E313" s="109">
        <v>2020</v>
      </c>
      <c r="F313" s="109">
        <v>2020</v>
      </c>
      <c r="G313" s="102" t="s">
        <v>3359</v>
      </c>
      <c r="H313" s="102">
        <v>200</v>
      </c>
      <c r="I313" s="102">
        <v>200</v>
      </c>
      <c r="J313" s="102"/>
      <c r="K313" s="102"/>
      <c r="L313" s="105">
        <v>20201118</v>
      </c>
    </row>
    <row r="314" spans="1:12">
      <c r="A314" s="132">
        <v>312</v>
      </c>
      <c r="B314" s="102" t="s">
        <v>7412</v>
      </c>
      <c r="C314" s="5" t="s">
        <v>8001</v>
      </c>
      <c r="D314" s="102" t="s">
        <v>8002</v>
      </c>
      <c r="E314" s="109">
        <v>2020</v>
      </c>
      <c r="F314" s="109">
        <v>2020</v>
      </c>
      <c r="G314" s="102" t="s">
        <v>3359</v>
      </c>
      <c r="H314" s="102">
        <v>200</v>
      </c>
      <c r="I314" s="102">
        <v>200</v>
      </c>
      <c r="J314" s="102"/>
      <c r="K314" s="102"/>
      <c r="L314" s="105">
        <v>20201118</v>
      </c>
    </row>
    <row r="315" spans="1:12">
      <c r="A315" s="132">
        <v>313</v>
      </c>
      <c r="B315" s="102" t="s">
        <v>7412</v>
      </c>
      <c r="C315" s="5" t="s">
        <v>8003</v>
      </c>
      <c r="D315" s="102" t="s">
        <v>8004</v>
      </c>
      <c r="E315" s="109">
        <v>2020</v>
      </c>
      <c r="F315" s="109">
        <v>2020</v>
      </c>
      <c r="G315" s="102" t="s">
        <v>3359</v>
      </c>
      <c r="H315" s="102">
        <v>200</v>
      </c>
      <c r="I315" s="102">
        <v>200</v>
      </c>
      <c r="J315" s="102"/>
      <c r="K315" s="102"/>
      <c r="L315" s="105">
        <v>20201118</v>
      </c>
    </row>
    <row r="316" spans="1:12">
      <c r="A316" s="132">
        <v>314</v>
      </c>
      <c r="B316" s="102" t="s">
        <v>7412</v>
      </c>
      <c r="C316" s="5" t="s">
        <v>8005</v>
      </c>
      <c r="D316" s="102" t="s">
        <v>8006</v>
      </c>
      <c r="E316" s="109">
        <v>2020</v>
      </c>
      <c r="F316" s="109">
        <v>2020</v>
      </c>
      <c r="G316" s="102" t="s">
        <v>3359</v>
      </c>
      <c r="H316" s="102">
        <v>200</v>
      </c>
      <c r="I316" s="102">
        <v>200</v>
      </c>
      <c r="J316" s="102"/>
      <c r="K316" s="102"/>
      <c r="L316" s="105">
        <v>20201118</v>
      </c>
    </row>
    <row r="317" spans="1:12">
      <c r="A317" s="132">
        <v>315</v>
      </c>
      <c r="B317" s="102" t="s">
        <v>7412</v>
      </c>
      <c r="C317" s="5" t="s">
        <v>8007</v>
      </c>
      <c r="D317" s="102" t="s">
        <v>8008</v>
      </c>
      <c r="E317" s="109">
        <v>2020</v>
      </c>
      <c r="F317" s="109">
        <v>2020</v>
      </c>
      <c r="G317" s="102" t="s">
        <v>3359</v>
      </c>
      <c r="H317" s="102">
        <v>200</v>
      </c>
      <c r="I317" s="102">
        <v>200</v>
      </c>
      <c r="J317" s="102"/>
      <c r="K317" s="102"/>
      <c r="L317" s="105">
        <v>20201118</v>
      </c>
    </row>
    <row r="318" spans="1:12">
      <c r="A318" s="132">
        <v>316</v>
      </c>
      <c r="B318" s="102" t="s">
        <v>7412</v>
      </c>
      <c r="C318" s="5" t="s">
        <v>3714</v>
      </c>
      <c r="D318" s="102" t="s">
        <v>8009</v>
      </c>
      <c r="E318" s="109">
        <v>2020</v>
      </c>
      <c r="F318" s="109">
        <v>2020</v>
      </c>
      <c r="G318" s="102" t="s">
        <v>3359</v>
      </c>
      <c r="H318" s="102">
        <v>200</v>
      </c>
      <c r="I318" s="102">
        <v>200</v>
      </c>
      <c r="J318" s="102"/>
      <c r="K318" s="102"/>
      <c r="L318" s="105">
        <v>20201118</v>
      </c>
    </row>
    <row r="319" spans="1:12">
      <c r="A319" s="132">
        <v>317</v>
      </c>
      <c r="B319" s="102" t="s">
        <v>7412</v>
      </c>
      <c r="C319" s="5" t="s">
        <v>8010</v>
      </c>
      <c r="D319" s="102" t="s">
        <v>8011</v>
      </c>
      <c r="E319" s="109">
        <v>2020</v>
      </c>
      <c r="F319" s="109">
        <v>2020</v>
      </c>
      <c r="G319" s="102" t="s">
        <v>3359</v>
      </c>
      <c r="H319" s="102">
        <v>1000</v>
      </c>
      <c r="I319" s="102">
        <v>1000</v>
      </c>
      <c r="J319" s="102"/>
      <c r="K319" s="102"/>
      <c r="L319" s="105">
        <v>20201118</v>
      </c>
    </row>
    <row r="320" spans="1:12">
      <c r="A320" s="132">
        <v>318</v>
      </c>
      <c r="B320" s="102" t="s">
        <v>7412</v>
      </c>
      <c r="C320" s="5" t="s">
        <v>8012</v>
      </c>
      <c r="D320" s="102" t="s">
        <v>8013</v>
      </c>
      <c r="E320" s="109">
        <v>2020</v>
      </c>
      <c r="F320" s="109">
        <v>2020</v>
      </c>
      <c r="G320" s="102" t="s">
        <v>3359</v>
      </c>
      <c r="H320" s="102">
        <v>500</v>
      </c>
      <c r="I320" s="102">
        <v>500</v>
      </c>
      <c r="J320" s="102"/>
      <c r="K320" s="102"/>
      <c r="L320" s="105">
        <v>20201118</v>
      </c>
    </row>
    <row r="321" spans="1:12">
      <c r="A321" s="132">
        <v>319</v>
      </c>
      <c r="B321" s="102" t="s">
        <v>7412</v>
      </c>
      <c r="C321" s="5" t="s">
        <v>8007</v>
      </c>
      <c r="D321" s="102" t="s">
        <v>8014</v>
      </c>
      <c r="E321" s="109">
        <v>2020</v>
      </c>
      <c r="F321" s="109">
        <v>2020</v>
      </c>
      <c r="G321" s="102" t="s">
        <v>3359</v>
      </c>
      <c r="H321" s="102">
        <v>1000</v>
      </c>
      <c r="I321" s="102">
        <v>1000</v>
      </c>
      <c r="J321" s="102"/>
      <c r="K321" s="102"/>
      <c r="L321" s="105">
        <v>20201118</v>
      </c>
    </row>
    <row r="322" spans="1:12">
      <c r="A322" s="132">
        <v>320</v>
      </c>
      <c r="B322" s="102" t="s">
        <v>7412</v>
      </c>
      <c r="C322" s="5" t="s">
        <v>8015</v>
      </c>
      <c r="D322" s="102" t="s">
        <v>8016</v>
      </c>
      <c r="E322" s="109">
        <v>2020</v>
      </c>
      <c r="F322" s="109">
        <v>2020</v>
      </c>
      <c r="G322" s="102" t="s">
        <v>3359</v>
      </c>
      <c r="H322" s="102">
        <v>200</v>
      </c>
      <c r="I322" s="102">
        <v>200</v>
      </c>
      <c r="J322" s="102"/>
      <c r="K322" s="102"/>
      <c r="L322" s="105">
        <v>20201118</v>
      </c>
    </row>
    <row r="323" spans="1:12">
      <c r="A323" s="132">
        <v>321</v>
      </c>
      <c r="B323" s="102" t="s">
        <v>7412</v>
      </c>
      <c r="C323" s="5" t="s">
        <v>7576</v>
      </c>
      <c r="D323" s="102" t="s">
        <v>8017</v>
      </c>
      <c r="E323" s="109">
        <v>2020</v>
      </c>
      <c r="F323" s="109">
        <v>2020</v>
      </c>
      <c r="G323" s="102" t="s">
        <v>3359</v>
      </c>
      <c r="H323" s="102">
        <v>200</v>
      </c>
      <c r="I323" s="102">
        <v>200</v>
      </c>
      <c r="J323" s="102"/>
      <c r="K323" s="102"/>
      <c r="L323" s="105">
        <v>20201118</v>
      </c>
    </row>
    <row r="324" spans="1:12">
      <c r="A324" s="132">
        <v>322</v>
      </c>
      <c r="B324" s="102" t="s">
        <v>7412</v>
      </c>
      <c r="C324" s="5" t="s">
        <v>8018</v>
      </c>
      <c r="D324" s="102" t="s">
        <v>8019</v>
      </c>
      <c r="E324" s="109">
        <v>2020</v>
      </c>
      <c r="F324" s="109">
        <v>2020</v>
      </c>
      <c r="G324" s="102" t="s">
        <v>3359</v>
      </c>
      <c r="H324" s="102">
        <v>200</v>
      </c>
      <c r="I324" s="102">
        <v>200</v>
      </c>
      <c r="J324" s="102"/>
      <c r="K324" s="102"/>
      <c r="L324" s="105">
        <v>20201118</v>
      </c>
    </row>
    <row r="325" spans="1:12">
      <c r="A325" s="132">
        <v>323</v>
      </c>
      <c r="B325" s="102" t="s">
        <v>7412</v>
      </c>
      <c r="C325" s="5" t="s">
        <v>8020</v>
      </c>
      <c r="D325" s="102" t="s">
        <v>8021</v>
      </c>
      <c r="E325" s="109">
        <v>2020</v>
      </c>
      <c r="F325" s="109">
        <v>2020</v>
      </c>
      <c r="G325" s="102" t="s">
        <v>3359</v>
      </c>
      <c r="H325" s="102">
        <v>200</v>
      </c>
      <c r="I325" s="102">
        <v>200</v>
      </c>
      <c r="J325" s="102"/>
      <c r="K325" s="102"/>
      <c r="L325" s="105">
        <v>20201118</v>
      </c>
    </row>
    <row r="326" spans="1:12">
      <c r="A326" s="132">
        <v>324</v>
      </c>
      <c r="B326" s="102" t="s">
        <v>7412</v>
      </c>
      <c r="C326" s="5" t="s">
        <v>8022</v>
      </c>
      <c r="D326" s="102" t="s">
        <v>8023</v>
      </c>
      <c r="E326" s="109">
        <v>2020</v>
      </c>
      <c r="F326" s="109">
        <v>2020</v>
      </c>
      <c r="G326" s="102" t="s">
        <v>3359</v>
      </c>
      <c r="H326" s="102">
        <v>200</v>
      </c>
      <c r="I326" s="102">
        <v>200</v>
      </c>
      <c r="J326" s="102"/>
      <c r="K326" s="102"/>
      <c r="L326" s="105">
        <v>20201118</v>
      </c>
    </row>
    <row r="327" spans="1:12">
      <c r="A327" s="132">
        <v>325</v>
      </c>
      <c r="B327" s="102" t="s">
        <v>7412</v>
      </c>
      <c r="C327" s="5" t="s">
        <v>8024</v>
      </c>
      <c r="D327" s="102" t="s">
        <v>8025</v>
      </c>
      <c r="E327" s="109">
        <v>2020</v>
      </c>
      <c r="F327" s="109">
        <v>2020</v>
      </c>
      <c r="G327" s="102" t="s">
        <v>3359</v>
      </c>
      <c r="H327" s="102">
        <v>200</v>
      </c>
      <c r="I327" s="102">
        <v>200</v>
      </c>
      <c r="J327" s="102"/>
      <c r="K327" s="102"/>
      <c r="L327" s="105">
        <v>20201118</v>
      </c>
    </row>
    <row r="328" spans="1:12">
      <c r="A328" s="132">
        <v>326</v>
      </c>
      <c r="B328" s="102" t="s">
        <v>7412</v>
      </c>
      <c r="C328" s="5" t="s">
        <v>8026</v>
      </c>
      <c r="D328" s="102" t="s">
        <v>8027</v>
      </c>
      <c r="E328" s="109">
        <v>2020</v>
      </c>
      <c r="F328" s="109">
        <v>2020</v>
      </c>
      <c r="G328" s="102" t="s">
        <v>3359</v>
      </c>
      <c r="H328" s="102">
        <v>1000</v>
      </c>
      <c r="I328" s="102">
        <v>1000</v>
      </c>
      <c r="J328" s="102"/>
      <c r="K328" s="102"/>
      <c r="L328" s="105">
        <v>20201118</v>
      </c>
    </row>
    <row r="329" spans="1:12">
      <c r="A329" s="132">
        <v>327</v>
      </c>
      <c r="B329" s="102" t="s">
        <v>7412</v>
      </c>
      <c r="C329" s="5" t="s">
        <v>8028</v>
      </c>
      <c r="D329" s="102" t="s">
        <v>8029</v>
      </c>
      <c r="E329" s="109">
        <v>2020</v>
      </c>
      <c r="F329" s="109">
        <v>2020</v>
      </c>
      <c r="G329" s="102" t="s">
        <v>3359</v>
      </c>
      <c r="H329" s="102">
        <v>200</v>
      </c>
      <c r="I329" s="102">
        <v>200</v>
      </c>
      <c r="J329" s="102"/>
      <c r="K329" s="102"/>
      <c r="L329" s="105">
        <v>20201118</v>
      </c>
    </row>
    <row r="330" spans="1:12">
      <c r="A330" s="132">
        <v>328</v>
      </c>
      <c r="B330" s="102" t="s">
        <v>7412</v>
      </c>
      <c r="C330" s="5" t="s">
        <v>3228</v>
      </c>
      <c r="D330" s="102" t="s">
        <v>8030</v>
      </c>
      <c r="E330" s="109">
        <v>2020</v>
      </c>
      <c r="F330" s="109">
        <v>2020</v>
      </c>
      <c r="G330" s="102" t="s">
        <v>3359</v>
      </c>
      <c r="H330" s="102">
        <v>200</v>
      </c>
      <c r="I330" s="102">
        <v>200</v>
      </c>
      <c r="J330" s="102"/>
      <c r="K330" s="102"/>
      <c r="L330" s="105">
        <v>20201118</v>
      </c>
    </row>
    <row r="331" spans="1:12">
      <c r="A331" s="132">
        <v>329</v>
      </c>
      <c r="B331" s="102" t="s">
        <v>7412</v>
      </c>
      <c r="C331" s="5" t="s">
        <v>5005</v>
      </c>
      <c r="D331" s="102" t="s">
        <v>8031</v>
      </c>
      <c r="E331" s="109">
        <v>2020</v>
      </c>
      <c r="F331" s="109">
        <v>2020</v>
      </c>
      <c r="G331" s="102" t="s">
        <v>3359</v>
      </c>
      <c r="H331" s="102">
        <v>200</v>
      </c>
      <c r="I331" s="102">
        <v>200</v>
      </c>
      <c r="J331" s="102"/>
      <c r="K331" s="102"/>
      <c r="L331" s="105">
        <v>20201118</v>
      </c>
    </row>
    <row r="332" spans="1:12">
      <c r="A332" s="132">
        <v>330</v>
      </c>
      <c r="B332" s="102" t="s">
        <v>7412</v>
      </c>
      <c r="C332" s="5" t="s">
        <v>8032</v>
      </c>
      <c r="D332" s="102" t="s">
        <v>8033</v>
      </c>
      <c r="E332" s="109">
        <v>2020</v>
      </c>
      <c r="F332" s="109">
        <v>2020</v>
      </c>
      <c r="G332" s="102" t="s">
        <v>3359</v>
      </c>
      <c r="H332" s="102">
        <v>200</v>
      </c>
      <c r="I332" s="102">
        <v>200</v>
      </c>
      <c r="J332" s="102"/>
      <c r="K332" s="102"/>
      <c r="L332" s="105">
        <v>20201118</v>
      </c>
    </row>
    <row r="333" spans="1:12">
      <c r="A333" s="132">
        <v>331</v>
      </c>
      <c r="B333" s="102" t="s">
        <v>7412</v>
      </c>
      <c r="C333" s="5" t="s">
        <v>8034</v>
      </c>
      <c r="D333" s="102" t="s">
        <v>8035</v>
      </c>
      <c r="E333" s="109">
        <v>2020</v>
      </c>
      <c r="F333" s="109">
        <v>2020</v>
      </c>
      <c r="G333" s="102" t="s">
        <v>3359</v>
      </c>
      <c r="H333" s="102">
        <v>200</v>
      </c>
      <c r="I333" s="102">
        <v>200</v>
      </c>
      <c r="J333" s="102"/>
      <c r="K333" s="102"/>
      <c r="L333" s="105">
        <v>20201118</v>
      </c>
    </row>
    <row r="334" spans="1:12">
      <c r="A334" s="132">
        <v>332</v>
      </c>
      <c r="B334" s="102" t="s">
        <v>7412</v>
      </c>
      <c r="C334" s="5" t="s">
        <v>7642</v>
      </c>
      <c r="D334" s="102" t="s">
        <v>8036</v>
      </c>
      <c r="E334" s="109">
        <v>2020</v>
      </c>
      <c r="F334" s="109">
        <v>2020</v>
      </c>
      <c r="G334" s="102" t="s">
        <v>3359</v>
      </c>
      <c r="H334" s="102">
        <v>1000</v>
      </c>
      <c r="I334" s="102">
        <v>1000</v>
      </c>
      <c r="J334" s="102"/>
      <c r="K334" s="102"/>
      <c r="L334" s="105">
        <v>20201118</v>
      </c>
    </row>
    <row r="335" spans="1:12">
      <c r="A335" s="132">
        <v>333</v>
      </c>
      <c r="B335" s="102" t="s">
        <v>7412</v>
      </c>
      <c r="C335" s="5" t="s">
        <v>3471</v>
      </c>
      <c r="D335" s="102" t="s">
        <v>8037</v>
      </c>
      <c r="E335" s="109">
        <v>2020</v>
      </c>
      <c r="F335" s="109">
        <v>2020</v>
      </c>
      <c r="G335" s="102" t="s">
        <v>3359</v>
      </c>
      <c r="H335" s="102">
        <v>200</v>
      </c>
      <c r="I335" s="102">
        <v>200</v>
      </c>
      <c r="J335" s="102"/>
      <c r="K335" s="102"/>
      <c r="L335" s="105">
        <v>20201118</v>
      </c>
    </row>
    <row r="336" spans="1:12">
      <c r="A336" s="132">
        <v>334</v>
      </c>
      <c r="B336" s="102" t="s">
        <v>7412</v>
      </c>
      <c r="C336" s="5" t="s">
        <v>8038</v>
      </c>
      <c r="D336" s="102" t="s">
        <v>8039</v>
      </c>
      <c r="E336" s="109">
        <v>2020</v>
      </c>
      <c r="F336" s="109">
        <v>2020</v>
      </c>
      <c r="G336" s="102" t="s">
        <v>3359</v>
      </c>
      <c r="H336" s="102">
        <v>200</v>
      </c>
      <c r="I336" s="102">
        <v>200</v>
      </c>
      <c r="J336" s="102"/>
      <c r="K336" s="102"/>
      <c r="L336" s="105">
        <v>20201118</v>
      </c>
    </row>
    <row r="337" spans="1:12">
      <c r="A337" s="132">
        <v>335</v>
      </c>
      <c r="B337" s="102" t="s">
        <v>7412</v>
      </c>
      <c r="C337" s="5" t="s">
        <v>8040</v>
      </c>
      <c r="D337" s="102" t="s">
        <v>8041</v>
      </c>
      <c r="E337" s="109">
        <v>2020</v>
      </c>
      <c r="F337" s="109">
        <v>2020</v>
      </c>
      <c r="G337" s="102" t="s">
        <v>3359</v>
      </c>
      <c r="H337" s="102">
        <v>200</v>
      </c>
      <c r="I337" s="102">
        <v>200</v>
      </c>
      <c r="J337" s="102"/>
      <c r="K337" s="102"/>
      <c r="L337" s="105">
        <v>20201118</v>
      </c>
    </row>
    <row r="338" spans="1:12">
      <c r="A338" s="132">
        <v>336</v>
      </c>
      <c r="B338" s="102" t="s">
        <v>7412</v>
      </c>
      <c r="C338" s="5" t="s">
        <v>8042</v>
      </c>
      <c r="D338" s="102" t="s">
        <v>8043</v>
      </c>
      <c r="E338" s="109">
        <v>2020</v>
      </c>
      <c r="F338" s="109">
        <v>2020</v>
      </c>
      <c r="G338" s="102" t="s">
        <v>3359</v>
      </c>
      <c r="H338" s="102">
        <v>200</v>
      </c>
      <c r="I338" s="102">
        <v>200</v>
      </c>
      <c r="J338" s="102"/>
      <c r="K338" s="102"/>
      <c r="L338" s="105">
        <v>20201118</v>
      </c>
    </row>
    <row r="339" spans="1:12">
      <c r="A339" s="132">
        <v>337</v>
      </c>
      <c r="B339" s="102" t="s">
        <v>7412</v>
      </c>
      <c r="C339" s="5" t="s">
        <v>8044</v>
      </c>
      <c r="D339" s="102" t="s">
        <v>8045</v>
      </c>
      <c r="E339" s="109">
        <v>2020</v>
      </c>
      <c r="F339" s="109">
        <v>2020</v>
      </c>
      <c r="G339" s="102" t="s">
        <v>3359</v>
      </c>
      <c r="H339" s="102">
        <v>200</v>
      </c>
      <c r="I339" s="102">
        <v>200</v>
      </c>
      <c r="J339" s="102"/>
      <c r="K339" s="102"/>
      <c r="L339" s="105">
        <v>20201118</v>
      </c>
    </row>
    <row r="340" spans="1:12">
      <c r="A340" s="132">
        <v>338</v>
      </c>
      <c r="B340" s="102" t="s">
        <v>7412</v>
      </c>
      <c r="C340" s="5" t="s">
        <v>8046</v>
      </c>
      <c r="D340" s="102" t="s">
        <v>8047</v>
      </c>
      <c r="E340" s="109">
        <v>2020</v>
      </c>
      <c r="F340" s="109">
        <v>2020</v>
      </c>
      <c r="G340" s="102" t="s">
        <v>3359</v>
      </c>
      <c r="H340" s="102">
        <v>500</v>
      </c>
      <c r="I340" s="102">
        <v>500</v>
      </c>
      <c r="J340" s="102"/>
      <c r="K340" s="102"/>
      <c r="L340" s="105">
        <v>20201118</v>
      </c>
    </row>
    <row r="341" spans="1:12">
      <c r="A341" s="132">
        <v>339</v>
      </c>
      <c r="B341" s="102" t="s">
        <v>7412</v>
      </c>
      <c r="C341" s="5" t="s">
        <v>8048</v>
      </c>
      <c r="D341" s="102" t="s">
        <v>8049</v>
      </c>
      <c r="E341" s="109">
        <v>2020</v>
      </c>
      <c r="F341" s="109">
        <v>2020</v>
      </c>
      <c r="G341" s="102" t="s">
        <v>3359</v>
      </c>
      <c r="H341" s="102">
        <v>200</v>
      </c>
      <c r="I341" s="102">
        <v>200</v>
      </c>
      <c r="J341" s="102"/>
      <c r="K341" s="102"/>
      <c r="L341" s="105">
        <v>20201118</v>
      </c>
    </row>
    <row r="342" spans="1:12">
      <c r="A342" s="132">
        <v>340</v>
      </c>
      <c r="B342" s="102" t="s">
        <v>7412</v>
      </c>
      <c r="C342" s="5" t="s">
        <v>8050</v>
      </c>
      <c r="D342" s="102" t="s">
        <v>8051</v>
      </c>
      <c r="E342" s="109">
        <v>2020</v>
      </c>
      <c r="F342" s="109">
        <v>2020</v>
      </c>
      <c r="G342" s="102" t="s">
        <v>3359</v>
      </c>
      <c r="H342" s="102">
        <v>200</v>
      </c>
      <c r="I342" s="102">
        <v>200</v>
      </c>
      <c r="J342" s="102"/>
      <c r="K342" s="102"/>
      <c r="L342" s="105">
        <v>20201118</v>
      </c>
    </row>
    <row r="343" spans="1:12">
      <c r="A343" s="132">
        <v>341</v>
      </c>
      <c r="B343" s="102" t="s">
        <v>7412</v>
      </c>
      <c r="C343" s="5" t="s">
        <v>8052</v>
      </c>
      <c r="D343" s="102" t="s">
        <v>8053</v>
      </c>
      <c r="E343" s="109">
        <v>2020</v>
      </c>
      <c r="F343" s="109">
        <v>2020</v>
      </c>
      <c r="G343" s="102" t="s">
        <v>3359</v>
      </c>
      <c r="H343" s="102">
        <v>200</v>
      </c>
      <c r="I343" s="102">
        <v>200</v>
      </c>
      <c r="J343" s="102" t="s">
        <v>3647</v>
      </c>
      <c r="K343" s="102"/>
      <c r="L343" s="105">
        <v>20201118</v>
      </c>
    </row>
    <row r="344" spans="1:12">
      <c r="A344" s="132">
        <v>342</v>
      </c>
      <c r="B344" s="102" t="s">
        <v>7412</v>
      </c>
      <c r="C344" s="5" t="s">
        <v>8054</v>
      </c>
      <c r="D344" s="102" t="s">
        <v>8055</v>
      </c>
      <c r="E344" s="109">
        <v>2020</v>
      </c>
      <c r="F344" s="109">
        <v>2020</v>
      </c>
      <c r="G344" s="102" t="s">
        <v>3359</v>
      </c>
      <c r="H344" s="102">
        <v>200</v>
      </c>
      <c r="I344" s="102">
        <v>200</v>
      </c>
      <c r="J344" s="102"/>
      <c r="K344" s="102"/>
      <c r="L344" s="105">
        <v>20201118</v>
      </c>
    </row>
    <row r="345" spans="1:12">
      <c r="A345" s="132">
        <v>343</v>
      </c>
      <c r="B345" s="102" t="s">
        <v>7412</v>
      </c>
      <c r="C345" s="5" t="s">
        <v>8056</v>
      </c>
      <c r="D345" s="102" t="s">
        <v>8057</v>
      </c>
      <c r="E345" s="109">
        <v>2020</v>
      </c>
      <c r="F345" s="109">
        <v>2020</v>
      </c>
      <c r="G345" s="102" t="s">
        <v>3359</v>
      </c>
      <c r="H345" s="102">
        <v>200</v>
      </c>
      <c r="I345" s="102">
        <v>200</v>
      </c>
      <c r="J345" s="102"/>
      <c r="K345" s="102"/>
      <c r="L345" s="105">
        <v>20201118</v>
      </c>
    </row>
    <row r="346" spans="1:12">
      <c r="A346" s="132">
        <v>344</v>
      </c>
      <c r="B346" s="102" t="s">
        <v>7412</v>
      </c>
      <c r="C346" s="5" t="s">
        <v>8058</v>
      </c>
      <c r="D346" s="102" t="s">
        <v>8059</v>
      </c>
      <c r="E346" s="109">
        <v>2020</v>
      </c>
      <c r="F346" s="109">
        <v>2020</v>
      </c>
      <c r="G346" s="102" t="s">
        <v>3359</v>
      </c>
      <c r="H346" s="102">
        <v>200</v>
      </c>
      <c r="I346" s="102">
        <v>200</v>
      </c>
      <c r="J346" s="102"/>
      <c r="K346" s="102"/>
      <c r="L346" s="105">
        <v>20201118</v>
      </c>
    </row>
    <row r="347" spans="1:12">
      <c r="A347" s="132">
        <v>345</v>
      </c>
      <c r="B347" s="102" t="s">
        <v>7412</v>
      </c>
      <c r="C347" s="5" t="s">
        <v>8060</v>
      </c>
      <c r="D347" s="102" t="s">
        <v>8061</v>
      </c>
      <c r="E347" s="109">
        <v>2020</v>
      </c>
      <c r="F347" s="109">
        <v>2020</v>
      </c>
      <c r="G347" s="102" t="s">
        <v>3359</v>
      </c>
      <c r="H347" s="102">
        <v>200</v>
      </c>
      <c r="I347" s="102">
        <v>200</v>
      </c>
      <c r="J347" s="102"/>
      <c r="K347" s="102"/>
      <c r="L347" s="105">
        <v>20201118</v>
      </c>
    </row>
    <row r="348" spans="1:12">
      <c r="A348" s="132">
        <v>346</v>
      </c>
      <c r="B348" s="102" t="s">
        <v>7412</v>
      </c>
      <c r="C348" s="5" t="s">
        <v>8062</v>
      </c>
      <c r="D348" s="102" t="s">
        <v>8063</v>
      </c>
      <c r="E348" s="109">
        <v>2020</v>
      </c>
      <c r="F348" s="109">
        <v>2020</v>
      </c>
      <c r="G348" s="102" t="s">
        <v>3359</v>
      </c>
      <c r="H348" s="102">
        <v>200</v>
      </c>
      <c r="I348" s="102">
        <v>200</v>
      </c>
      <c r="J348" s="102"/>
      <c r="K348" s="102"/>
      <c r="L348" s="105">
        <v>20201118</v>
      </c>
    </row>
    <row r="349" spans="1:12">
      <c r="A349" s="132">
        <v>347</v>
      </c>
      <c r="B349" s="102" t="s">
        <v>7412</v>
      </c>
      <c r="C349" s="5" t="s">
        <v>2601</v>
      </c>
      <c r="D349" s="102" t="s">
        <v>8064</v>
      </c>
      <c r="E349" s="109">
        <v>2020</v>
      </c>
      <c r="F349" s="109">
        <v>2020</v>
      </c>
      <c r="G349" s="102" t="s">
        <v>3359</v>
      </c>
      <c r="H349" s="102">
        <v>200</v>
      </c>
      <c r="I349" s="102">
        <v>200</v>
      </c>
      <c r="J349" s="102"/>
      <c r="K349" s="102"/>
      <c r="L349" s="105">
        <v>20201118</v>
      </c>
    </row>
    <row r="350" spans="1:12">
      <c r="A350" s="132">
        <v>348</v>
      </c>
      <c r="B350" s="102" t="s">
        <v>7412</v>
      </c>
      <c r="C350" s="5" t="s">
        <v>1820</v>
      </c>
      <c r="D350" s="102" t="s">
        <v>8065</v>
      </c>
      <c r="E350" s="109">
        <v>2020</v>
      </c>
      <c r="F350" s="109">
        <v>2020</v>
      </c>
      <c r="G350" s="102" t="s">
        <v>3359</v>
      </c>
      <c r="H350" s="102">
        <v>1000</v>
      </c>
      <c r="I350" s="102">
        <v>1000</v>
      </c>
      <c r="J350" s="102" t="s">
        <v>7435</v>
      </c>
      <c r="K350" s="102"/>
      <c r="L350" s="105">
        <v>20201118</v>
      </c>
    </row>
    <row r="351" spans="1:12">
      <c r="A351" s="132">
        <v>349</v>
      </c>
      <c r="B351" s="102" t="s">
        <v>7412</v>
      </c>
      <c r="C351" s="5" t="s">
        <v>8066</v>
      </c>
      <c r="D351" s="102" t="s">
        <v>8067</v>
      </c>
      <c r="E351" s="109">
        <v>2020</v>
      </c>
      <c r="F351" s="109">
        <v>2020</v>
      </c>
      <c r="G351" s="102" t="s">
        <v>3359</v>
      </c>
      <c r="H351" s="102">
        <v>200</v>
      </c>
      <c r="I351" s="102">
        <v>200</v>
      </c>
      <c r="J351" s="102"/>
      <c r="K351" s="102"/>
      <c r="L351" s="105">
        <v>20201118</v>
      </c>
    </row>
    <row r="352" spans="1:12">
      <c r="A352" s="132">
        <v>350</v>
      </c>
      <c r="B352" s="102" t="s">
        <v>7412</v>
      </c>
      <c r="C352" s="5" t="s">
        <v>5619</v>
      </c>
      <c r="D352" s="102" t="s">
        <v>8068</v>
      </c>
      <c r="E352" s="109">
        <v>2020</v>
      </c>
      <c r="F352" s="109">
        <v>2020</v>
      </c>
      <c r="G352" s="102" t="s">
        <v>3359</v>
      </c>
      <c r="H352" s="102">
        <v>200</v>
      </c>
      <c r="I352" s="102">
        <v>200</v>
      </c>
      <c r="J352" s="102"/>
      <c r="K352" s="102"/>
      <c r="L352" s="105">
        <v>20201118</v>
      </c>
    </row>
    <row r="353" spans="1:12">
      <c r="A353" s="132">
        <v>351</v>
      </c>
      <c r="B353" s="102" t="s">
        <v>7412</v>
      </c>
      <c r="C353" s="5" t="s">
        <v>8069</v>
      </c>
      <c r="D353" s="102" t="s">
        <v>8070</v>
      </c>
      <c r="E353" s="109">
        <v>2020</v>
      </c>
      <c r="F353" s="109">
        <v>2020</v>
      </c>
      <c r="G353" s="102" t="s">
        <v>3359</v>
      </c>
      <c r="H353" s="102">
        <v>200</v>
      </c>
      <c r="I353" s="102">
        <v>200</v>
      </c>
      <c r="J353" s="102"/>
      <c r="K353" s="102"/>
      <c r="L353" s="105">
        <v>20201118</v>
      </c>
    </row>
    <row r="354" spans="1:12">
      <c r="A354" s="132">
        <v>352</v>
      </c>
      <c r="B354" s="102" t="s">
        <v>7412</v>
      </c>
      <c r="C354" s="5" t="s">
        <v>8071</v>
      </c>
      <c r="D354" s="102" t="s">
        <v>8072</v>
      </c>
      <c r="E354" s="109">
        <v>2020</v>
      </c>
      <c r="F354" s="109">
        <v>2020</v>
      </c>
      <c r="G354" s="102" t="s">
        <v>3359</v>
      </c>
      <c r="H354" s="102">
        <v>200</v>
      </c>
      <c r="I354" s="102">
        <v>200</v>
      </c>
      <c r="J354" s="102"/>
      <c r="K354" s="102"/>
      <c r="L354" s="105">
        <v>20201118</v>
      </c>
    </row>
    <row r="355" spans="1:12">
      <c r="A355" s="132">
        <v>353</v>
      </c>
      <c r="B355" s="102" t="s">
        <v>7412</v>
      </c>
      <c r="C355" s="5" t="s">
        <v>8073</v>
      </c>
      <c r="D355" s="102" t="s">
        <v>8074</v>
      </c>
      <c r="E355" s="109">
        <v>2020</v>
      </c>
      <c r="F355" s="109">
        <v>2020</v>
      </c>
      <c r="G355" s="102" t="s">
        <v>3359</v>
      </c>
      <c r="H355" s="102">
        <v>200</v>
      </c>
      <c r="I355" s="102">
        <v>200</v>
      </c>
      <c r="J355" s="102"/>
      <c r="K355" s="102"/>
      <c r="L355" s="105">
        <v>20201118</v>
      </c>
    </row>
    <row r="356" spans="1:12">
      <c r="A356" s="132">
        <v>354</v>
      </c>
      <c r="B356" s="102" t="s">
        <v>7412</v>
      </c>
      <c r="C356" s="5" t="s">
        <v>8075</v>
      </c>
      <c r="D356" s="102" t="s">
        <v>8076</v>
      </c>
      <c r="E356" s="109">
        <v>2020</v>
      </c>
      <c r="F356" s="109">
        <v>2020</v>
      </c>
      <c r="G356" s="102" t="s">
        <v>3359</v>
      </c>
      <c r="H356" s="102">
        <v>200</v>
      </c>
      <c r="I356" s="102">
        <v>200</v>
      </c>
      <c r="J356" s="102"/>
      <c r="K356" s="102"/>
      <c r="L356" s="105">
        <v>20201118</v>
      </c>
    </row>
    <row r="357" spans="1:12">
      <c r="A357" s="132">
        <v>355</v>
      </c>
      <c r="B357" s="102" t="s">
        <v>7412</v>
      </c>
      <c r="C357" s="5" t="s">
        <v>8077</v>
      </c>
      <c r="D357" s="102" t="s">
        <v>8078</v>
      </c>
      <c r="E357" s="109">
        <v>2020</v>
      </c>
      <c r="F357" s="109">
        <v>2020</v>
      </c>
      <c r="G357" s="102" t="s">
        <v>3359</v>
      </c>
      <c r="H357" s="102">
        <v>200</v>
      </c>
      <c r="I357" s="102">
        <v>200</v>
      </c>
      <c r="J357" s="102"/>
      <c r="K357" s="102"/>
      <c r="L357" s="105">
        <v>20201118</v>
      </c>
    </row>
    <row r="358" spans="1:12">
      <c r="A358" s="132">
        <v>356</v>
      </c>
      <c r="B358" s="102" t="s">
        <v>7412</v>
      </c>
      <c r="C358" s="5" t="s">
        <v>8079</v>
      </c>
      <c r="D358" s="102" t="s">
        <v>8080</v>
      </c>
      <c r="E358" s="109">
        <v>2020</v>
      </c>
      <c r="F358" s="109">
        <v>2020</v>
      </c>
      <c r="G358" s="102" t="s">
        <v>3359</v>
      </c>
      <c r="H358" s="102">
        <v>200</v>
      </c>
      <c r="I358" s="102">
        <v>200</v>
      </c>
      <c r="J358" s="102"/>
      <c r="K358" s="102"/>
      <c r="L358" s="105">
        <v>20201118</v>
      </c>
    </row>
    <row r="359" spans="1:12">
      <c r="A359" s="132">
        <v>357</v>
      </c>
      <c r="B359" s="102" t="s">
        <v>7412</v>
      </c>
      <c r="C359" s="5" t="s">
        <v>8081</v>
      </c>
      <c r="D359" s="102" t="s">
        <v>8082</v>
      </c>
      <c r="E359" s="109">
        <v>2020</v>
      </c>
      <c r="F359" s="109">
        <v>2020</v>
      </c>
      <c r="G359" s="102" t="s">
        <v>3359</v>
      </c>
      <c r="H359" s="102">
        <v>200</v>
      </c>
      <c r="I359" s="102">
        <v>200</v>
      </c>
      <c r="J359" s="102"/>
      <c r="K359" s="102"/>
      <c r="L359" s="105">
        <v>20201118</v>
      </c>
    </row>
    <row r="360" spans="1:12">
      <c r="A360" s="132">
        <v>358</v>
      </c>
      <c r="B360" s="102" t="s">
        <v>7412</v>
      </c>
      <c r="C360" s="5" t="s">
        <v>5098</v>
      </c>
      <c r="D360" s="102" t="s">
        <v>8083</v>
      </c>
      <c r="E360" s="109">
        <v>2020</v>
      </c>
      <c r="F360" s="109">
        <v>2020</v>
      </c>
      <c r="G360" s="102" t="s">
        <v>3359</v>
      </c>
      <c r="H360" s="102">
        <v>200</v>
      </c>
      <c r="I360" s="102">
        <v>200</v>
      </c>
      <c r="J360" s="102"/>
      <c r="K360" s="102"/>
      <c r="L360" s="105">
        <v>20201118</v>
      </c>
    </row>
    <row r="361" spans="1:12">
      <c r="A361" s="132">
        <v>359</v>
      </c>
      <c r="B361" s="102" t="s">
        <v>7412</v>
      </c>
      <c r="C361" s="5" t="s">
        <v>8084</v>
      </c>
      <c r="D361" s="102" t="s">
        <v>8085</v>
      </c>
      <c r="E361" s="109">
        <v>2020</v>
      </c>
      <c r="F361" s="109">
        <v>2020</v>
      </c>
      <c r="G361" s="102" t="s">
        <v>3359</v>
      </c>
      <c r="H361" s="102">
        <v>200</v>
      </c>
      <c r="I361" s="102">
        <v>200</v>
      </c>
      <c r="J361" s="102"/>
      <c r="K361" s="102"/>
      <c r="L361" s="105">
        <v>20201118</v>
      </c>
    </row>
    <row r="362" spans="1:12">
      <c r="A362" s="132">
        <v>360</v>
      </c>
      <c r="B362" s="102" t="s">
        <v>7412</v>
      </c>
      <c r="C362" s="5" t="s">
        <v>8086</v>
      </c>
      <c r="D362" s="102" t="s">
        <v>8087</v>
      </c>
      <c r="E362" s="109">
        <v>2020</v>
      </c>
      <c r="F362" s="109">
        <v>2020</v>
      </c>
      <c r="G362" s="102" t="s">
        <v>3359</v>
      </c>
      <c r="H362" s="102">
        <v>200</v>
      </c>
      <c r="I362" s="102">
        <v>200</v>
      </c>
      <c r="J362" s="102"/>
      <c r="K362" s="102"/>
      <c r="L362" s="105">
        <v>20201118</v>
      </c>
    </row>
    <row r="363" spans="1:12">
      <c r="A363" s="132">
        <v>361</v>
      </c>
      <c r="B363" s="102" t="s">
        <v>7412</v>
      </c>
      <c r="C363" s="5" t="s">
        <v>8088</v>
      </c>
      <c r="D363" s="102" t="s">
        <v>8089</v>
      </c>
      <c r="E363" s="109">
        <v>2020</v>
      </c>
      <c r="F363" s="109">
        <v>2020</v>
      </c>
      <c r="G363" s="102" t="s">
        <v>3359</v>
      </c>
      <c r="H363" s="102">
        <v>200</v>
      </c>
      <c r="I363" s="102">
        <v>200</v>
      </c>
      <c r="J363" s="102"/>
      <c r="K363" s="102"/>
      <c r="L363" s="105">
        <v>20201118</v>
      </c>
    </row>
    <row r="364" spans="1:12">
      <c r="A364" s="132">
        <v>362</v>
      </c>
      <c r="B364" s="102" t="s">
        <v>7412</v>
      </c>
      <c r="C364" s="5" t="s">
        <v>8090</v>
      </c>
      <c r="D364" s="102" t="s">
        <v>8091</v>
      </c>
      <c r="E364" s="109">
        <v>2020</v>
      </c>
      <c r="F364" s="109">
        <v>2020</v>
      </c>
      <c r="G364" s="102" t="s">
        <v>3359</v>
      </c>
      <c r="H364" s="102">
        <v>200</v>
      </c>
      <c r="I364" s="102">
        <v>200</v>
      </c>
      <c r="J364" s="102"/>
      <c r="K364" s="102"/>
      <c r="L364" s="105">
        <v>20201118</v>
      </c>
    </row>
    <row r="365" spans="1:12">
      <c r="A365" s="132">
        <v>363</v>
      </c>
      <c r="B365" s="102" t="s">
        <v>7412</v>
      </c>
      <c r="C365" s="5" t="s">
        <v>8092</v>
      </c>
      <c r="D365" s="102" t="s">
        <v>8093</v>
      </c>
      <c r="E365" s="109">
        <v>2020</v>
      </c>
      <c r="F365" s="109">
        <v>2020</v>
      </c>
      <c r="G365" s="102" t="s">
        <v>3359</v>
      </c>
      <c r="H365" s="102">
        <v>200</v>
      </c>
      <c r="I365" s="102">
        <v>200</v>
      </c>
      <c r="J365" s="102"/>
      <c r="K365" s="102"/>
      <c r="L365" s="105">
        <v>20201118</v>
      </c>
    </row>
    <row r="366" spans="1:12">
      <c r="A366" s="132">
        <v>364</v>
      </c>
      <c r="B366" s="102" t="s">
        <v>7412</v>
      </c>
      <c r="C366" s="5" t="s">
        <v>8094</v>
      </c>
      <c r="D366" s="102" t="s">
        <v>8095</v>
      </c>
      <c r="E366" s="109">
        <v>2020</v>
      </c>
      <c r="F366" s="109">
        <v>2020</v>
      </c>
      <c r="G366" s="102" t="s">
        <v>3359</v>
      </c>
      <c r="H366" s="102">
        <v>200</v>
      </c>
      <c r="I366" s="102">
        <v>200</v>
      </c>
      <c r="J366" s="102"/>
      <c r="K366" s="102"/>
      <c r="L366" s="105">
        <v>20201118</v>
      </c>
    </row>
    <row r="367" s="146" customFormat="1" ht="14.25" spans="1:12">
      <c r="A367" s="132">
        <v>365</v>
      </c>
      <c r="B367" s="102" t="s">
        <v>7412</v>
      </c>
      <c r="C367" s="5" t="s">
        <v>8096</v>
      </c>
      <c r="D367" s="299" t="s">
        <v>8097</v>
      </c>
      <c r="E367" s="109">
        <v>2020</v>
      </c>
      <c r="F367" s="109">
        <v>2020</v>
      </c>
      <c r="G367" s="102" t="s">
        <v>3359</v>
      </c>
      <c r="H367" s="102">
        <v>200</v>
      </c>
      <c r="I367" s="102">
        <v>200</v>
      </c>
      <c r="J367" s="102" t="s">
        <v>7435</v>
      </c>
      <c r="K367" s="160"/>
      <c r="L367" s="105">
        <v>20201118</v>
      </c>
    </row>
    <row r="368" spans="1:12">
      <c r="A368" s="132">
        <v>366</v>
      </c>
      <c r="B368" s="102" t="s">
        <v>7412</v>
      </c>
      <c r="C368" s="5" t="s">
        <v>8098</v>
      </c>
      <c r="D368" s="102" t="s">
        <v>8099</v>
      </c>
      <c r="E368" s="109">
        <v>2020</v>
      </c>
      <c r="F368" s="109">
        <v>2020</v>
      </c>
      <c r="G368" s="102" t="s">
        <v>3359</v>
      </c>
      <c r="H368" s="102">
        <v>200</v>
      </c>
      <c r="I368" s="102">
        <v>200</v>
      </c>
      <c r="J368" s="102"/>
      <c r="K368" s="102"/>
      <c r="L368" s="105">
        <v>20201118</v>
      </c>
    </row>
    <row r="369" spans="1:12">
      <c r="A369" s="132">
        <v>367</v>
      </c>
      <c r="B369" s="102" t="s">
        <v>7412</v>
      </c>
      <c r="C369" s="5" t="s">
        <v>8100</v>
      </c>
      <c r="D369" s="102" t="s">
        <v>8101</v>
      </c>
      <c r="E369" s="109">
        <v>2020</v>
      </c>
      <c r="F369" s="109">
        <v>2020</v>
      </c>
      <c r="G369" s="102" t="s">
        <v>3359</v>
      </c>
      <c r="H369" s="102">
        <v>200</v>
      </c>
      <c r="I369" s="102">
        <v>200</v>
      </c>
      <c r="J369" s="102"/>
      <c r="K369" s="102"/>
      <c r="L369" s="105">
        <v>20201118</v>
      </c>
    </row>
    <row r="370" spans="1:12">
      <c r="A370" s="132">
        <v>368</v>
      </c>
      <c r="B370" s="102" t="s">
        <v>7412</v>
      </c>
      <c r="C370" s="5" t="s">
        <v>8102</v>
      </c>
      <c r="D370" s="102" t="s">
        <v>8103</v>
      </c>
      <c r="E370" s="109">
        <v>2020</v>
      </c>
      <c r="F370" s="109">
        <v>2020</v>
      </c>
      <c r="G370" s="102" t="s">
        <v>3359</v>
      </c>
      <c r="H370" s="102">
        <v>200</v>
      </c>
      <c r="I370" s="102">
        <v>200</v>
      </c>
      <c r="J370" s="102"/>
      <c r="K370" s="102"/>
      <c r="L370" s="105">
        <v>20201118</v>
      </c>
    </row>
    <row r="371" spans="1:12">
      <c r="A371" s="132">
        <v>369</v>
      </c>
      <c r="B371" s="102" t="s">
        <v>7412</v>
      </c>
      <c r="C371" s="5" t="s">
        <v>8104</v>
      </c>
      <c r="D371" s="102" t="s">
        <v>8105</v>
      </c>
      <c r="E371" s="109">
        <v>2020</v>
      </c>
      <c r="F371" s="109">
        <v>2020</v>
      </c>
      <c r="G371" s="102" t="s">
        <v>3359</v>
      </c>
      <c r="H371" s="102">
        <v>500</v>
      </c>
      <c r="I371" s="102">
        <v>500</v>
      </c>
      <c r="J371" s="102"/>
      <c r="K371" s="102"/>
      <c r="L371" s="105">
        <v>20201118</v>
      </c>
    </row>
    <row r="372" spans="1:12">
      <c r="A372" s="132">
        <v>370</v>
      </c>
      <c r="B372" s="102" t="s">
        <v>7412</v>
      </c>
      <c r="C372" s="5" t="s">
        <v>8106</v>
      </c>
      <c r="D372" s="102" t="s">
        <v>8107</v>
      </c>
      <c r="E372" s="109">
        <v>2020</v>
      </c>
      <c r="F372" s="109">
        <v>2020</v>
      </c>
      <c r="G372" s="102" t="s">
        <v>3359</v>
      </c>
      <c r="H372" s="102">
        <v>200</v>
      </c>
      <c r="I372" s="102">
        <v>200</v>
      </c>
      <c r="J372" s="102"/>
      <c r="K372" s="102"/>
      <c r="L372" s="105">
        <v>20201118</v>
      </c>
    </row>
    <row r="373" spans="1:12">
      <c r="A373" s="132">
        <v>371</v>
      </c>
      <c r="B373" s="102" t="s">
        <v>7412</v>
      </c>
      <c r="C373" s="5" t="s">
        <v>8108</v>
      </c>
      <c r="D373" s="102" t="s">
        <v>8109</v>
      </c>
      <c r="E373" s="109">
        <v>2020</v>
      </c>
      <c r="F373" s="109">
        <v>2020</v>
      </c>
      <c r="G373" s="102" t="s">
        <v>3359</v>
      </c>
      <c r="H373" s="102">
        <v>200</v>
      </c>
      <c r="I373" s="102">
        <v>200</v>
      </c>
      <c r="J373" s="102"/>
      <c r="K373" s="102"/>
      <c r="L373" s="105">
        <v>20201118</v>
      </c>
    </row>
    <row r="374" spans="1:12">
      <c r="A374" s="132">
        <v>372</v>
      </c>
      <c r="B374" s="102" t="s">
        <v>7412</v>
      </c>
      <c r="C374" s="5" t="s">
        <v>8110</v>
      </c>
      <c r="D374" s="102" t="s">
        <v>8111</v>
      </c>
      <c r="E374" s="109">
        <v>2020</v>
      </c>
      <c r="F374" s="109">
        <v>2020</v>
      </c>
      <c r="G374" s="102" t="s">
        <v>3359</v>
      </c>
      <c r="H374" s="102">
        <v>200</v>
      </c>
      <c r="I374" s="102">
        <v>200</v>
      </c>
      <c r="J374" s="102"/>
      <c r="K374" s="102"/>
      <c r="L374" s="105">
        <v>20201118</v>
      </c>
    </row>
    <row r="375" spans="1:12">
      <c r="A375" s="132">
        <v>373</v>
      </c>
      <c r="B375" s="102" t="s">
        <v>7412</v>
      </c>
      <c r="C375" s="5" t="s">
        <v>8112</v>
      </c>
      <c r="D375" s="102" t="s">
        <v>8113</v>
      </c>
      <c r="E375" s="109">
        <v>2020</v>
      </c>
      <c r="F375" s="109">
        <v>2020</v>
      </c>
      <c r="G375" s="102" t="s">
        <v>3359</v>
      </c>
      <c r="H375" s="102">
        <v>200</v>
      </c>
      <c r="I375" s="102">
        <v>200</v>
      </c>
      <c r="J375" s="102"/>
      <c r="K375" s="102"/>
      <c r="L375" s="105">
        <v>20201118</v>
      </c>
    </row>
    <row r="376" spans="1:12">
      <c r="A376" s="132">
        <v>374</v>
      </c>
      <c r="B376" s="102" t="s">
        <v>7412</v>
      </c>
      <c r="C376" s="5" t="s">
        <v>8114</v>
      </c>
      <c r="D376" s="102" t="s">
        <v>8115</v>
      </c>
      <c r="E376" s="109">
        <v>2020</v>
      </c>
      <c r="F376" s="109">
        <v>2020</v>
      </c>
      <c r="G376" s="102" t="s">
        <v>3359</v>
      </c>
      <c r="H376" s="102">
        <v>200</v>
      </c>
      <c r="I376" s="102">
        <v>200</v>
      </c>
      <c r="J376" s="102"/>
      <c r="K376" s="102"/>
      <c r="L376" s="105">
        <v>20201118</v>
      </c>
    </row>
    <row r="377" spans="1:12">
      <c r="A377" s="132">
        <v>375</v>
      </c>
      <c r="B377" s="102" t="s">
        <v>7412</v>
      </c>
      <c r="C377" s="5" t="s">
        <v>2056</v>
      </c>
      <c r="D377" s="102" t="s">
        <v>8116</v>
      </c>
      <c r="E377" s="109">
        <v>2020</v>
      </c>
      <c r="F377" s="109">
        <v>2020</v>
      </c>
      <c r="G377" s="102" t="s">
        <v>3359</v>
      </c>
      <c r="H377" s="102">
        <v>200</v>
      </c>
      <c r="I377" s="102">
        <v>200</v>
      </c>
      <c r="J377" s="102"/>
      <c r="K377" s="102"/>
      <c r="L377" s="105">
        <v>20201118</v>
      </c>
    </row>
    <row r="378" spans="1:12">
      <c r="A378" s="132">
        <v>376</v>
      </c>
      <c r="B378" s="102" t="s">
        <v>7412</v>
      </c>
      <c r="C378" s="5" t="s">
        <v>8117</v>
      </c>
      <c r="D378" s="102" t="s">
        <v>8118</v>
      </c>
      <c r="E378" s="109">
        <v>2020</v>
      </c>
      <c r="F378" s="109">
        <v>2020</v>
      </c>
      <c r="G378" s="102" t="s">
        <v>3359</v>
      </c>
      <c r="H378" s="102">
        <v>200</v>
      </c>
      <c r="I378" s="102">
        <v>200</v>
      </c>
      <c r="J378" s="102"/>
      <c r="K378" s="102"/>
      <c r="L378" s="105">
        <v>20201118</v>
      </c>
    </row>
    <row r="379" spans="1:12">
      <c r="A379" s="132">
        <v>377</v>
      </c>
      <c r="B379" s="102" t="s">
        <v>7412</v>
      </c>
      <c r="C379" s="5" t="s">
        <v>8119</v>
      </c>
      <c r="D379" s="102" t="s">
        <v>8120</v>
      </c>
      <c r="E379" s="109">
        <v>2020</v>
      </c>
      <c r="F379" s="109">
        <v>2020</v>
      </c>
      <c r="G379" s="102" t="s">
        <v>3359</v>
      </c>
      <c r="H379" s="102">
        <v>200</v>
      </c>
      <c r="I379" s="102">
        <v>200</v>
      </c>
      <c r="J379" s="102"/>
      <c r="K379" s="102"/>
      <c r="L379" s="105">
        <v>20201118</v>
      </c>
    </row>
    <row r="380" spans="1:12">
      <c r="A380" s="132">
        <v>378</v>
      </c>
      <c r="B380" s="102" t="s">
        <v>7412</v>
      </c>
      <c r="C380" s="5" t="s">
        <v>8121</v>
      </c>
      <c r="D380" s="102" t="s">
        <v>8122</v>
      </c>
      <c r="E380" s="109">
        <v>2020</v>
      </c>
      <c r="F380" s="109">
        <v>2020</v>
      </c>
      <c r="G380" s="102" t="s">
        <v>3359</v>
      </c>
      <c r="H380" s="102">
        <v>200</v>
      </c>
      <c r="I380" s="102">
        <v>200</v>
      </c>
      <c r="J380" s="102"/>
      <c r="K380" s="102"/>
      <c r="L380" s="105">
        <v>20201118</v>
      </c>
    </row>
    <row r="381" spans="1:12">
      <c r="A381" s="132">
        <v>379</v>
      </c>
      <c r="B381" s="102" t="s">
        <v>7412</v>
      </c>
      <c r="C381" s="5" t="s">
        <v>8123</v>
      </c>
      <c r="D381" s="102" t="s">
        <v>8124</v>
      </c>
      <c r="E381" s="109">
        <v>2020</v>
      </c>
      <c r="F381" s="109">
        <v>2020</v>
      </c>
      <c r="G381" s="102" t="s">
        <v>3359</v>
      </c>
      <c r="H381" s="102">
        <v>300</v>
      </c>
      <c r="I381" s="102">
        <v>300</v>
      </c>
      <c r="J381" s="102"/>
      <c r="K381" s="102"/>
      <c r="L381" s="105">
        <v>20201118</v>
      </c>
    </row>
    <row r="382" spans="1:12">
      <c r="A382" s="132">
        <v>380</v>
      </c>
      <c r="B382" s="102" t="s">
        <v>7412</v>
      </c>
      <c r="C382" s="5" t="s">
        <v>8125</v>
      </c>
      <c r="D382" s="102" t="s">
        <v>8126</v>
      </c>
      <c r="E382" s="109">
        <v>2020</v>
      </c>
      <c r="F382" s="109">
        <v>2020</v>
      </c>
      <c r="G382" s="102" t="s">
        <v>3359</v>
      </c>
      <c r="H382" s="102">
        <v>200</v>
      </c>
      <c r="I382" s="102">
        <v>200</v>
      </c>
      <c r="J382" s="102"/>
      <c r="K382" s="102"/>
      <c r="L382" s="105">
        <v>20201118</v>
      </c>
    </row>
    <row r="383" spans="1:12">
      <c r="A383" s="132">
        <v>381</v>
      </c>
      <c r="B383" s="102" t="s">
        <v>7412</v>
      </c>
      <c r="C383" s="5" t="s">
        <v>7588</v>
      </c>
      <c r="D383" s="102" t="s">
        <v>8127</v>
      </c>
      <c r="E383" s="109">
        <v>2020</v>
      </c>
      <c r="F383" s="109">
        <v>2020</v>
      </c>
      <c r="G383" s="102" t="s">
        <v>3359</v>
      </c>
      <c r="H383" s="102">
        <v>200</v>
      </c>
      <c r="I383" s="102">
        <v>200</v>
      </c>
      <c r="J383" s="102"/>
      <c r="K383" s="102"/>
      <c r="L383" s="105">
        <v>20201118</v>
      </c>
    </row>
    <row r="384" spans="1:12">
      <c r="A384" s="132">
        <v>382</v>
      </c>
      <c r="B384" s="102" t="s">
        <v>7412</v>
      </c>
      <c r="C384" s="5" t="s">
        <v>8128</v>
      </c>
      <c r="D384" s="102" t="s">
        <v>8129</v>
      </c>
      <c r="E384" s="109">
        <v>2020</v>
      </c>
      <c r="F384" s="109">
        <v>2020</v>
      </c>
      <c r="G384" s="102" t="s">
        <v>3359</v>
      </c>
      <c r="H384" s="102">
        <v>200</v>
      </c>
      <c r="I384" s="102">
        <v>200</v>
      </c>
      <c r="J384" s="102"/>
      <c r="K384" s="102"/>
      <c r="L384" s="105">
        <v>20201118</v>
      </c>
    </row>
    <row r="385" spans="1:12">
      <c r="A385" s="132">
        <v>383</v>
      </c>
      <c r="B385" s="102" t="s">
        <v>7412</v>
      </c>
      <c r="C385" s="5" t="s">
        <v>8130</v>
      </c>
      <c r="D385" s="102" t="s">
        <v>8131</v>
      </c>
      <c r="E385" s="109">
        <v>2020</v>
      </c>
      <c r="F385" s="109">
        <v>2020</v>
      </c>
      <c r="G385" s="102" t="s">
        <v>3359</v>
      </c>
      <c r="H385" s="102">
        <v>200</v>
      </c>
      <c r="I385" s="102">
        <v>200</v>
      </c>
      <c r="J385" s="102"/>
      <c r="K385" s="102"/>
      <c r="L385" s="105">
        <v>20201118</v>
      </c>
    </row>
    <row r="386" spans="1:12">
      <c r="A386" s="132">
        <v>384</v>
      </c>
      <c r="B386" s="102" t="s">
        <v>7412</v>
      </c>
      <c r="C386" s="5" t="s">
        <v>8132</v>
      </c>
      <c r="D386" s="102" t="s">
        <v>8133</v>
      </c>
      <c r="E386" s="109">
        <v>2020</v>
      </c>
      <c r="F386" s="109">
        <v>2020</v>
      </c>
      <c r="G386" s="102" t="s">
        <v>3359</v>
      </c>
      <c r="H386" s="102">
        <v>200</v>
      </c>
      <c r="I386" s="102">
        <v>200</v>
      </c>
      <c r="J386" s="102"/>
      <c r="K386" s="102"/>
      <c r="L386" s="105">
        <v>20201118</v>
      </c>
    </row>
    <row r="387" spans="1:12">
      <c r="A387" s="132">
        <v>385</v>
      </c>
      <c r="B387" s="102" t="s">
        <v>7412</v>
      </c>
      <c r="C387" s="5" t="s">
        <v>8134</v>
      </c>
      <c r="D387" s="102" t="s">
        <v>8135</v>
      </c>
      <c r="E387" s="109">
        <v>2020</v>
      </c>
      <c r="F387" s="109">
        <v>2020</v>
      </c>
      <c r="G387" s="102" t="s">
        <v>3359</v>
      </c>
      <c r="H387" s="102">
        <v>200</v>
      </c>
      <c r="I387" s="102">
        <v>200</v>
      </c>
      <c r="J387" s="102"/>
      <c r="K387" s="102"/>
      <c r="L387" s="105">
        <v>20201118</v>
      </c>
    </row>
    <row r="388" spans="1:12">
      <c r="A388" s="132">
        <v>386</v>
      </c>
      <c r="B388" s="102" t="s">
        <v>7412</v>
      </c>
      <c r="C388" s="5" t="s">
        <v>8136</v>
      </c>
      <c r="D388" s="102" t="s">
        <v>8137</v>
      </c>
      <c r="E388" s="109">
        <v>2020</v>
      </c>
      <c r="F388" s="109">
        <v>2020</v>
      </c>
      <c r="G388" s="102" t="s">
        <v>3359</v>
      </c>
      <c r="H388" s="102">
        <v>200</v>
      </c>
      <c r="I388" s="102">
        <v>200</v>
      </c>
      <c r="J388" s="102"/>
      <c r="K388" s="102"/>
      <c r="L388" s="105">
        <v>20201118</v>
      </c>
    </row>
    <row r="389" spans="1:12">
      <c r="A389" s="132">
        <v>387</v>
      </c>
      <c r="B389" s="102" t="s">
        <v>7412</v>
      </c>
      <c r="C389" s="5" t="s">
        <v>8138</v>
      </c>
      <c r="D389" s="102" t="s">
        <v>8139</v>
      </c>
      <c r="E389" s="109">
        <v>2020</v>
      </c>
      <c r="F389" s="109">
        <v>2020</v>
      </c>
      <c r="G389" s="102" t="s">
        <v>3359</v>
      </c>
      <c r="H389" s="102">
        <v>200</v>
      </c>
      <c r="I389" s="102">
        <v>200</v>
      </c>
      <c r="J389" s="102"/>
      <c r="K389" s="102"/>
      <c r="L389" s="105">
        <v>20201118</v>
      </c>
    </row>
    <row r="390" spans="1:12">
      <c r="A390" s="132">
        <v>388</v>
      </c>
      <c r="B390" s="102" t="s">
        <v>7412</v>
      </c>
      <c r="C390" s="5" t="s">
        <v>8140</v>
      </c>
      <c r="D390" s="102" t="s">
        <v>8141</v>
      </c>
      <c r="E390" s="109">
        <v>2020</v>
      </c>
      <c r="F390" s="109">
        <v>2020</v>
      </c>
      <c r="G390" s="102" t="s">
        <v>3359</v>
      </c>
      <c r="H390" s="102">
        <v>200</v>
      </c>
      <c r="I390" s="102">
        <v>200</v>
      </c>
      <c r="J390" s="102"/>
      <c r="K390" s="102"/>
      <c r="L390" s="105">
        <v>20201118</v>
      </c>
    </row>
    <row r="391" spans="1:12">
      <c r="A391" s="132">
        <v>389</v>
      </c>
      <c r="B391" s="102" t="s">
        <v>7412</v>
      </c>
      <c r="C391" s="5" t="s">
        <v>8142</v>
      </c>
      <c r="D391" s="102" t="s">
        <v>8143</v>
      </c>
      <c r="E391" s="109">
        <v>2020</v>
      </c>
      <c r="F391" s="109">
        <v>2020</v>
      </c>
      <c r="G391" s="102" t="s">
        <v>3359</v>
      </c>
      <c r="H391" s="102">
        <v>200</v>
      </c>
      <c r="I391" s="102">
        <v>200</v>
      </c>
      <c r="J391" s="102"/>
      <c r="K391" s="102"/>
      <c r="L391" s="105">
        <v>20201118</v>
      </c>
    </row>
    <row r="392" spans="1:12">
      <c r="A392" s="132">
        <v>390</v>
      </c>
      <c r="B392" s="102" t="s">
        <v>7412</v>
      </c>
      <c r="C392" s="5" t="s">
        <v>8144</v>
      </c>
      <c r="D392" s="102" t="s">
        <v>8145</v>
      </c>
      <c r="E392" s="109">
        <v>2020</v>
      </c>
      <c r="F392" s="109">
        <v>2020</v>
      </c>
      <c r="G392" s="102" t="s">
        <v>3359</v>
      </c>
      <c r="H392" s="102">
        <v>200</v>
      </c>
      <c r="I392" s="102">
        <v>200</v>
      </c>
      <c r="J392" s="102"/>
      <c r="K392" s="102"/>
      <c r="L392" s="105">
        <v>20201118</v>
      </c>
    </row>
    <row r="393" spans="1:12">
      <c r="A393" s="132">
        <v>391</v>
      </c>
      <c r="B393" s="102" t="s">
        <v>7412</v>
      </c>
      <c r="C393" s="5" t="s">
        <v>8146</v>
      </c>
      <c r="D393" s="102" t="s">
        <v>8147</v>
      </c>
      <c r="E393" s="109">
        <v>2020</v>
      </c>
      <c r="F393" s="109">
        <v>2020</v>
      </c>
      <c r="G393" s="102" t="s">
        <v>3359</v>
      </c>
      <c r="H393" s="102">
        <v>200</v>
      </c>
      <c r="I393" s="102">
        <v>200</v>
      </c>
      <c r="J393" s="102"/>
      <c r="K393" s="102"/>
      <c r="L393" s="105">
        <v>20201118</v>
      </c>
    </row>
    <row r="394" spans="1:12">
      <c r="A394" s="132">
        <v>392</v>
      </c>
      <c r="B394" s="102" t="s">
        <v>7412</v>
      </c>
      <c r="C394" s="5" t="s">
        <v>8148</v>
      </c>
      <c r="D394" s="102" t="s">
        <v>8149</v>
      </c>
      <c r="E394" s="109">
        <v>2020</v>
      </c>
      <c r="F394" s="109">
        <v>2020</v>
      </c>
      <c r="G394" s="102" t="s">
        <v>3359</v>
      </c>
      <c r="H394" s="102">
        <v>200</v>
      </c>
      <c r="I394" s="102">
        <v>200</v>
      </c>
      <c r="J394" s="102"/>
      <c r="K394" s="102"/>
      <c r="L394" s="105">
        <v>20201118</v>
      </c>
    </row>
    <row r="395" spans="1:12">
      <c r="A395" s="132">
        <v>393</v>
      </c>
      <c r="B395" s="102" t="s">
        <v>7412</v>
      </c>
      <c r="C395" s="5" t="s">
        <v>8150</v>
      </c>
      <c r="D395" s="102" t="s">
        <v>8151</v>
      </c>
      <c r="E395" s="109">
        <v>2020</v>
      </c>
      <c r="F395" s="109">
        <v>2020</v>
      </c>
      <c r="G395" s="102" t="s">
        <v>3359</v>
      </c>
      <c r="H395" s="102">
        <v>200</v>
      </c>
      <c r="I395" s="102">
        <v>200</v>
      </c>
      <c r="J395" s="102"/>
      <c r="K395" s="102"/>
      <c r="L395" s="105">
        <v>20201118</v>
      </c>
    </row>
    <row r="396" spans="1:12">
      <c r="A396" s="132">
        <v>394</v>
      </c>
      <c r="B396" s="102" t="s">
        <v>7412</v>
      </c>
      <c r="C396" s="5" t="s">
        <v>8152</v>
      </c>
      <c r="D396" s="102" t="s">
        <v>8153</v>
      </c>
      <c r="E396" s="109">
        <v>2020</v>
      </c>
      <c r="F396" s="109">
        <v>2020</v>
      </c>
      <c r="G396" s="102" t="s">
        <v>3359</v>
      </c>
      <c r="H396" s="102">
        <v>200</v>
      </c>
      <c r="I396" s="102">
        <v>200</v>
      </c>
      <c r="J396" s="102"/>
      <c r="K396" s="102"/>
      <c r="L396" s="105">
        <v>20201118</v>
      </c>
    </row>
    <row r="397" spans="1:12">
      <c r="A397" s="132">
        <v>395</v>
      </c>
      <c r="B397" s="102" t="s">
        <v>7412</v>
      </c>
      <c r="C397" s="5" t="s">
        <v>8154</v>
      </c>
      <c r="D397" s="102" t="s">
        <v>8155</v>
      </c>
      <c r="E397" s="109">
        <v>2020</v>
      </c>
      <c r="F397" s="109">
        <v>2020</v>
      </c>
      <c r="G397" s="102" t="s">
        <v>3359</v>
      </c>
      <c r="H397" s="102">
        <v>200</v>
      </c>
      <c r="I397" s="102">
        <v>200</v>
      </c>
      <c r="J397" s="102"/>
      <c r="K397" s="102"/>
      <c r="L397" s="105">
        <v>20201118</v>
      </c>
    </row>
    <row r="398" spans="1:12">
      <c r="A398" s="132">
        <v>396</v>
      </c>
      <c r="B398" s="102" t="s">
        <v>7412</v>
      </c>
      <c r="C398" s="5" t="s">
        <v>8156</v>
      </c>
      <c r="D398" s="102" t="s">
        <v>8157</v>
      </c>
      <c r="E398" s="109">
        <v>2020</v>
      </c>
      <c r="F398" s="109">
        <v>2020</v>
      </c>
      <c r="G398" s="102" t="s">
        <v>3359</v>
      </c>
      <c r="H398" s="102">
        <v>200</v>
      </c>
      <c r="I398" s="102">
        <v>200</v>
      </c>
      <c r="J398" s="102"/>
      <c r="K398" s="102"/>
      <c r="L398" s="105">
        <v>20201118</v>
      </c>
    </row>
    <row r="399" spans="1:12">
      <c r="A399" s="132">
        <v>397</v>
      </c>
      <c r="B399" s="102" t="s">
        <v>7412</v>
      </c>
      <c r="C399" s="5" t="s">
        <v>8158</v>
      </c>
      <c r="D399" s="102" t="s">
        <v>8159</v>
      </c>
      <c r="E399" s="109">
        <v>2020</v>
      </c>
      <c r="F399" s="109">
        <v>2020</v>
      </c>
      <c r="G399" s="102" t="s">
        <v>3359</v>
      </c>
      <c r="H399" s="102">
        <v>200</v>
      </c>
      <c r="I399" s="102">
        <v>200</v>
      </c>
      <c r="J399" s="102"/>
      <c r="K399" s="102"/>
      <c r="L399" s="105">
        <v>20201118</v>
      </c>
    </row>
    <row r="400" spans="1:12">
      <c r="A400" s="132">
        <v>398</v>
      </c>
      <c r="B400" s="102" t="s">
        <v>7412</v>
      </c>
      <c r="C400" s="5" t="s">
        <v>797</v>
      </c>
      <c r="D400" s="102" t="s">
        <v>8160</v>
      </c>
      <c r="E400" s="109">
        <v>2020</v>
      </c>
      <c r="F400" s="109">
        <v>2020</v>
      </c>
      <c r="G400" s="102" t="s">
        <v>3359</v>
      </c>
      <c r="H400" s="102">
        <v>200</v>
      </c>
      <c r="I400" s="102">
        <v>200</v>
      </c>
      <c r="J400" s="102"/>
      <c r="K400" s="102"/>
      <c r="L400" s="105">
        <v>20201118</v>
      </c>
    </row>
    <row r="401" spans="1:12">
      <c r="A401" s="132">
        <v>399</v>
      </c>
      <c r="B401" s="102" t="s">
        <v>7412</v>
      </c>
      <c r="C401" s="5" t="s">
        <v>8161</v>
      </c>
      <c r="D401" s="102" t="s">
        <v>8162</v>
      </c>
      <c r="E401" s="109">
        <v>2020</v>
      </c>
      <c r="F401" s="109">
        <v>2020</v>
      </c>
      <c r="G401" s="102" t="s">
        <v>3359</v>
      </c>
      <c r="H401" s="102">
        <v>200</v>
      </c>
      <c r="I401" s="102">
        <v>200</v>
      </c>
      <c r="J401" s="102"/>
      <c r="K401" s="102"/>
      <c r="L401" s="105">
        <v>20201118</v>
      </c>
    </row>
    <row r="402" spans="1:12">
      <c r="A402" s="132">
        <v>400</v>
      </c>
      <c r="B402" s="102" t="s">
        <v>7412</v>
      </c>
      <c r="C402" s="5" t="s">
        <v>8163</v>
      </c>
      <c r="D402" s="102" t="s">
        <v>8164</v>
      </c>
      <c r="E402" s="109">
        <v>2020</v>
      </c>
      <c r="F402" s="109">
        <v>2020</v>
      </c>
      <c r="G402" s="102" t="s">
        <v>3359</v>
      </c>
      <c r="H402" s="102">
        <v>200</v>
      </c>
      <c r="I402" s="102">
        <v>200</v>
      </c>
      <c r="J402" s="102"/>
      <c r="K402" s="102"/>
      <c r="L402" s="105">
        <v>20201118</v>
      </c>
    </row>
    <row r="403" spans="1:12">
      <c r="A403" s="132">
        <v>401</v>
      </c>
      <c r="B403" s="102" t="s">
        <v>7412</v>
      </c>
      <c r="C403" s="5" t="s">
        <v>8165</v>
      </c>
      <c r="D403" s="102" t="s">
        <v>8166</v>
      </c>
      <c r="E403" s="109">
        <v>2020</v>
      </c>
      <c r="F403" s="109">
        <v>2020</v>
      </c>
      <c r="G403" s="102" t="s">
        <v>3359</v>
      </c>
      <c r="H403" s="102">
        <v>200</v>
      </c>
      <c r="I403" s="102">
        <v>200</v>
      </c>
      <c r="J403" s="102"/>
      <c r="K403" s="102"/>
      <c r="L403" s="105">
        <v>20201118</v>
      </c>
    </row>
    <row r="404" spans="1:12">
      <c r="A404" s="132">
        <v>402</v>
      </c>
      <c r="B404" s="102" t="s">
        <v>7412</v>
      </c>
      <c r="C404" s="5" t="s">
        <v>8167</v>
      </c>
      <c r="D404" s="102" t="s">
        <v>8168</v>
      </c>
      <c r="E404" s="109">
        <v>2020</v>
      </c>
      <c r="F404" s="109">
        <v>2020</v>
      </c>
      <c r="G404" s="102" t="s">
        <v>3359</v>
      </c>
      <c r="H404" s="102">
        <v>200</v>
      </c>
      <c r="I404" s="102">
        <v>200</v>
      </c>
      <c r="J404" s="102"/>
      <c r="K404" s="102"/>
      <c r="L404" s="105">
        <v>20201118</v>
      </c>
    </row>
    <row r="405" spans="1:12">
      <c r="A405" s="132">
        <v>403</v>
      </c>
      <c r="B405" s="102" t="s">
        <v>7412</v>
      </c>
      <c r="C405" s="5" t="s">
        <v>8169</v>
      </c>
      <c r="D405" s="102" t="s">
        <v>8170</v>
      </c>
      <c r="E405" s="109">
        <v>2020</v>
      </c>
      <c r="F405" s="109">
        <v>2020</v>
      </c>
      <c r="G405" s="102" t="s">
        <v>3359</v>
      </c>
      <c r="H405" s="102">
        <v>200</v>
      </c>
      <c r="I405" s="102">
        <v>200</v>
      </c>
      <c r="J405" s="102"/>
      <c r="K405" s="102"/>
      <c r="L405" s="105">
        <v>20201118</v>
      </c>
    </row>
    <row r="406" spans="1:12">
      <c r="A406" s="132">
        <v>404</v>
      </c>
      <c r="B406" s="102" t="s">
        <v>7412</v>
      </c>
      <c r="C406" s="5" t="s">
        <v>8171</v>
      </c>
      <c r="D406" s="102" t="s">
        <v>8172</v>
      </c>
      <c r="E406" s="109">
        <v>2020</v>
      </c>
      <c r="F406" s="109">
        <v>2020</v>
      </c>
      <c r="G406" s="102" t="s">
        <v>3359</v>
      </c>
      <c r="H406" s="102">
        <v>300</v>
      </c>
      <c r="I406" s="102">
        <v>300</v>
      </c>
      <c r="J406" s="102"/>
      <c r="K406" s="102"/>
      <c r="L406" s="105">
        <v>20201118</v>
      </c>
    </row>
    <row r="407" spans="1:12">
      <c r="A407" s="132">
        <v>405</v>
      </c>
      <c r="B407" s="102" t="s">
        <v>7412</v>
      </c>
      <c r="C407" s="5" t="s">
        <v>8173</v>
      </c>
      <c r="D407" s="102" t="s">
        <v>8174</v>
      </c>
      <c r="E407" s="109">
        <v>2020</v>
      </c>
      <c r="F407" s="109">
        <v>2020</v>
      </c>
      <c r="G407" s="102" t="s">
        <v>3359</v>
      </c>
      <c r="H407" s="102">
        <v>200</v>
      </c>
      <c r="I407" s="102">
        <v>200</v>
      </c>
      <c r="J407" s="102"/>
      <c r="K407" s="102"/>
      <c r="L407" s="105">
        <v>20201118</v>
      </c>
    </row>
    <row r="408" spans="1:12">
      <c r="A408" s="132">
        <v>406</v>
      </c>
      <c r="B408" s="102" t="s">
        <v>7412</v>
      </c>
      <c r="C408" s="5" t="s">
        <v>8175</v>
      </c>
      <c r="D408" s="102" t="s">
        <v>8176</v>
      </c>
      <c r="E408" s="109">
        <v>2020</v>
      </c>
      <c r="F408" s="109">
        <v>2020</v>
      </c>
      <c r="G408" s="102" t="s">
        <v>3359</v>
      </c>
      <c r="H408" s="102">
        <v>200</v>
      </c>
      <c r="I408" s="102">
        <v>200</v>
      </c>
      <c r="J408" s="102"/>
      <c r="K408" s="102"/>
      <c r="L408" s="105">
        <v>20201118</v>
      </c>
    </row>
    <row r="409" spans="1:12">
      <c r="A409" s="132">
        <v>407</v>
      </c>
      <c r="B409" s="102" t="s">
        <v>7412</v>
      </c>
      <c r="C409" s="5" t="s">
        <v>8177</v>
      </c>
      <c r="D409" s="102" t="s">
        <v>8178</v>
      </c>
      <c r="E409" s="109">
        <v>2020</v>
      </c>
      <c r="F409" s="109">
        <v>2020</v>
      </c>
      <c r="G409" s="102" t="s">
        <v>3359</v>
      </c>
      <c r="H409" s="102">
        <v>200</v>
      </c>
      <c r="I409" s="102">
        <v>200</v>
      </c>
      <c r="J409" s="102"/>
      <c r="K409" s="102"/>
      <c r="L409" s="105">
        <v>20201118</v>
      </c>
    </row>
    <row r="410" spans="1:12">
      <c r="A410" s="132">
        <v>408</v>
      </c>
      <c r="B410" s="102" t="s">
        <v>7412</v>
      </c>
      <c r="C410" s="5" t="s">
        <v>8179</v>
      </c>
      <c r="D410" s="102" t="s">
        <v>8180</v>
      </c>
      <c r="E410" s="109">
        <v>2020</v>
      </c>
      <c r="F410" s="109">
        <v>2020</v>
      </c>
      <c r="G410" s="102" t="s">
        <v>3359</v>
      </c>
      <c r="H410" s="102">
        <v>200</v>
      </c>
      <c r="I410" s="102">
        <v>200</v>
      </c>
      <c r="J410" s="102"/>
      <c r="K410" s="102"/>
      <c r="L410" s="105">
        <v>20201118</v>
      </c>
    </row>
    <row r="411" spans="1:12">
      <c r="A411" s="132">
        <v>409</v>
      </c>
      <c r="B411" s="102" t="s">
        <v>7412</v>
      </c>
      <c r="C411" s="5" t="s">
        <v>8181</v>
      </c>
      <c r="D411" s="102" t="s">
        <v>8182</v>
      </c>
      <c r="E411" s="109">
        <v>2020</v>
      </c>
      <c r="F411" s="109">
        <v>2020</v>
      </c>
      <c r="G411" s="102" t="s">
        <v>3359</v>
      </c>
      <c r="H411" s="102">
        <v>200</v>
      </c>
      <c r="I411" s="102">
        <v>200</v>
      </c>
      <c r="J411" s="102"/>
      <c r="K411" s="102"/>
      <c r="L411" s="105">
        <v>20201118</v>
      </c>
    </row>
    <row r="412" spans="1:12">
      <c r="A412" s="132">
        <v>410</v>
      </c>
      <c r="B412" s="102" t="s">
        <v>7412</v>
      </c>
      <c r="C412" s="5" t="s">
        <v>8183</v>
      </c>
      <c r="D412" s="102" t="s">
        <v>8184</v>
      </c>
      <c r="E412" s="109">
        <v>2020</v>
      </c>
      <c r="F412" s="109">
        <v>2020</v>
      </c>
      <c r="G412" s="102" t="s">
        <v>3359</v>
      </c>
      <c r="H412" s="102">
        <v>200</v>
      </c>
      <c r="I412" s="102">
        <v>200</v>
      </c>
      <c r="J412" s="102"/>
      <c r="K412" s="102"/>
      <c r="L412" s="105">
        <v>20201118</v>
      </c>
    </row>
    <row r="413" spans="1:12">
      <c r="A413" s="132">
        <v>411</v>
      </c>
      <c r="B413" s="102" t="s">
        <v>7412</v>
      </c>
      <c r="C413" s="5" t="s">
        <v>8185</v>
      </c>
      <c r="D413" s="102" t="s">
        <v>8186</v>
      </c>
      <c r="E413" s="109">
        <v>2020</v>
      </c>
      <c r="F413" s="109">
        <v>2020</v>
      </c>
      <c r="G413" s="102" t="s">
        <v>3359</v>
      </c>
      <c r="H413" s="102">
        <v>200</v>
      </c>
      <c r="I413" s="102">
        <v>200</v>
      </c>
      <c r="J413" s="102" t="s">
        <v>7435</v>
      </c>
      <c r="K413" s="102"/>
      <c r="L413" s="105">
        <v>20201118</v>
      </c>
    </row>
    <row r="414" spans="1:12">
      <c r="A414" s="132">
        <v>412</v>
      </c>
      <c r="B414" s="102" t="s">
        <v>7412</v>
      </c>
      <c r="C414" s="5" t="s">
        <v>8187</v>
      </c>
      <c r="D414" s="102" t="s">
        <v>8188</v>
      </c>
      <c r="E414" s="109">
        <v>2020</v>
      </c>
      <c r="F414" s="109">
        <v>2020</v>
      </c>
      <c r="G414" s="102" t="s">
        <v>3359</v>
      </c>
      <c r="H414" s="102">
        <v>200</v>
      </c>
      <c r="I414" s="102">
        <v>200</v>
      </c>
      <c r="J414" s="102"/>
      <c r="K414" s="102"/>
      <c r="L414" s="105">
        <v>20201118</v>
      </c>
    </row>
    <row r="415" spans="1:12">
      <c r="A415" s="132">
        <v>413</v>
      </c>
      <c r="B415" s="102" t="s">
        <v>7412</v>
      </c>
      <c r="C415" s="5" t="s">
        <v>8189</v>
      </c>
      <c r="D415" s="102" t="s">
        <v>8190</v>
      </c>
      <c r="E415" s="109">
        <v>2020</v>
      </c>
      <c r="F415" s="109">
        <v>2020</v>
      </c>
      <c r="G415" s="102" t="s">
        <v>3359</v>
      </c>
      <c r="H415" s="102">
        <v>200</v>
      </c>
      <c r="I415" s="102">
        <v>200</v>
      </c>
      <c r="J415" s="102"/>
      <c r="K415" s="102"/>
      <c r="L415" s="105">
        <v>20201118</v>
      </c>
    </row>
    <row r="416" spans="1:12">
      <c r="A416" s="132">
        <v>414</v>
      </c>
      <c r="B416" s="102" t="s">
        <v>7412</v>
      </c>
      <c r="C416" s="5" t="s">
        <v>8191</v>
      </c>
      <c r="D416" s="102" t="s">
        <v>8192</v>
      </c>
      <c r="E416" s="109">
        <v>2020</v>
      </c>
      <c r="F416" s="109">
        <v>2020</v>
      </c>
      <c r="G416" s="102" t="s">
        <v>3359</v>
      </c>
      <c r="H416" s="102">
        <v>200</v>
      </c>
      <c r="I416" s="102">
        <v>200</v>
      </c>
      <c r="J416" s="102"/>
      <c r="K416" s="102"/>
      <c r="L416" s="105">
        <v>20201118</v>
      </c>
    </row>
    <row r="417" spans="1:12">
      <c r="A417" s="132">
        <v>415</v>
      </c>
      <c r="B417" s="102" t="s">
        <v>7412</v>
      </c>
      <c r="C417" s="5" t="s">
        <v>8193</v>
      </c>
      <c r="D417" s="102" t="s">
        <v>8194</v>
      </c>
      <c r="E417" s="109">
        <v>2020</v>
      </c>
      <c r="F417" s="109">
        <v>2020</v>
      </c>
      <c r="G417" s="102" t="s">
        <v>3359</v>
      </c>
      <c r="H417" s="102">
        <v>200</v>
      </c>
      <c r="I417" s="102">
        <v>200</v>
      </c>
      <c r="J417" s="102"/>
      <c r="K417" s="102"/>
      <c r="L417" s="105">
        <v>20201118</v>
      </c>
    </row>
    <row r="418" spans="1:12">
      <c r="A418" s="132">
        <v>416</v>
      </c>
      <c r="B418" s="102" t="s">
        <v>7412</v>
      </c>
      <c r="C418" s="5" t="s">
        <v>8195</v>
      </c>
      <c r="D418" s="102" t="s">
        <v>8196</v>
      </c>
      <c r="E418" s="109">
        <v>2020</v>
      </c>
      <c r="F418" s="109">
        <v>2020</v>
      </c>
      <c r="G418" s="102" t="s">
        <v>3359</v>
      </c>
      <c r="H418" s="102">
        <v>200</v>
      </c>
      <c r="I418" s="102">
        <v>200</v>
      </c>
      <c r="J418" s="102"/>
      <c r="K418" s="102"/>
      <c r="L418" s="105">
        <v>20201118</v>
      </c>
    </row>
    <row r="419" spans="1:12">
      <c r="A419" s="132">
        <v>417</v>
      </c>
      <c r="B419" s="102" t="s">
        <v>7412</v>
      </c>
      <c r="C419" s="5" t="s">
        <v>8197</v>
      </c>
      <c r="D419" s="102" t="s">
        <v>8198</v>
      </c>
      <c r="E419" s="109">
        <v>2020</v>
      </c>
      <c r="F419" s="109">
        <v>2020</v>
      </c>
      <c r="G419" s="102" t="s">
        <v>3359</v>
      </c>
      <c r="H419" s="102">
        <v>200</v>
      </c>
      <c r="I419" s="102">
        <v>200</v>
      </c>
      <c r="J419" s="102"/>
      <c r="K419" s="102"/>
      <c r="L419" s="105">
        <v>20201118</v>
      </c>
    </row>
    <row r="420" spans="1:12">
      <c r="A420" s="132">
        <v>418</v>
      </c>
      <c r="B420" s="102" t="s">
        <v>7412</v>
      </c>
      <c r="C420" s="5" t="s">
        <v>8199</v>
      </c>
      <c r="D420" s="102" t="s">
        <v>8200</v>
      </c>
      <c r="E420" s="109">
        <v>2020</v>
      </c>
      <c r="F420" s="109">
        <v>2020</v>
      </c>
      <c r="G420" s="102" t="s">
        <v>3359</v>
      </c>
      <c r="H420" s="102">
        <v>200</v>
      </c>
      <c r="I420" s="102">
        <v>200</v>
      </c>
      <c r="J420" s="102"/>
      <c r="K420" s="102"/>
      <c r="L420" s="105">
        <v>20201118</v>
      </c>
    </row>
    <row r="421" spans="1:12">
      <c r="A421" s="132">
        <v>419</v>
      </c>
      <c r="B421" s="102" t="s">
        <v>7412</v>
      </c>
      <c r="C421" s="5" t="s">
        <v>8201</v>
      </c>
      <c r="D421" s="102" t="s">
        <v>8202</v>
      </c>
      <c r="E421" s="109">
        <v>2020</v>
      </c>
      <c r="F421" s="109">
        <v>2020</v>
      </c>
      <c r="G421" s="102" t="s">
        <v>3359</v>
      </c>
      <c r="H421" s="102">
        <v>200</v>
      </c>
      <c r="I421" s="102">
        <v>200</v>
      </c>
      <c r="J421" s="102"/>
      <c r="K421" s="102"/>
      <c r="L421" s="105">
        <v>20201118</v>
      </c>
    </row>
    <row r="422" spans="1:12">
      <c r="A422" s="132">
        <v>420</v>
      </c>
      <c r="B422" s="102" t="s">
        <v>7412</v>
      </c>
      <c r="C422" s="5" t="s">
        <v>8203</v>
      </c>
      <c r="D422" s="102" t="s">
        <v>8204</v>
      </c>
      <c r="E422" s="109">
        <v>2020</v>
      </c>
      <c r="F422" s="109">
        <v>2020</v>
      </c>
      <c r="G422" s="102" t="s">
        <v>3359</v>
      </c>
      <c r="H422" s="102">
        <v>200</v>
      </c>
      <c r="I422" s="102">
        <v>200</v>
      </c>
      <c r="J422" s="102"/>
      <c r="K422" s="102"/>
      <c r="L422" s="105">
        <v>20201118</v>
      </c>
    </row>
    <row r="423" spans="1:12">
      <c r="A423" s="132">
        <v>421</v>
      </c>
      <c r="B423" s="102" t="s">
        <v>7412</v>
      </c>
      <c r="C423" s="5" t="s">
        <v>8205</v>
      </c>
      <c r="D423" s="102" t="s">
        <v>8206</v>
      </c>
      <c r="E423" s="109">
        <v>2020</v>
      </c>
      <c r="F423" s="109">
        <v>2020</v>
      </c>
      <c r="G423" s="102" t="s">
        <v>3359</v>
      </c>
      <c r="H423" s="102">
        <v>200</v>
      </c>
      <c r="I423" s="102">
        <v>200</v>
      </c>
      <c r="J423" s="102"/>
      <c r="K423" s="102"/>
      <c r="L423" s="105">
        <v>20201118</v>
      </c>
    </row>
    <row r="424" spans="1:12">
      <c r="A424" s="132">
        <v>422</v>
      </c>
      <c r="B424" s="102" t="s">
        <v>7412</v>
      </c>
      <c r="C424" s="5" t="s">
        <v>8207</v>
      </c>
      <c r="D424" s="102" t="s">
        <v>8208</v>
      </c>
      <c r="E424" s="109">
        <v>2020</v>
      </c>
      <c r="F424" s="109">
        <v>2020</v>
      </c>
      <c r="G424" s="102" t="s">
        <v>3359</v>
      </c>
      <c r="H424" s="102">
        <v>200</v>
      </c>
      <c r="I424" s="102">
        <v>200</v>
      </c>
      <c r="J424" s="102"/>
      <c r="K424" s="102"/>
      <c r="L424" s="105">
        <v>20201118</v>
      </c>
    </row>
    <row r="425" spans="1:12">
      <c r="A425" s="132">
        <v>423</v>
      </c>
      <c r="B425" s="102" t="s">
        <v>7412</v>
      </c>
      <c r="C425" s="5" t="s">
        <v>8209</v>
      </c>
      <c r="D425" s="102" t="s">
        <v>8210</v>
      </c>
      <c r="E425" s="109">
        <v>2020</v>
      </c>
      <c r="F425" s="109">
        <v>2020</v>
      </c>
      <c r="G425" s="102" t="s">
        <v>3359</v>
      </c>
      <c r="H425" s="102">
        <v>200</v>
      </c>
      <c r="I425" s="102">
        <v>200</v>
      </c>
      <c r="J425" s="102"/>
      <c r="K425" s="102"/>
      <c r="L425" s="105">
        <v>20201118</v>
      </c>
    </row>
    <row r="426" spans="1:12">
      <c r="A426" s="132">
        <v>424</v>
      </c>
      <c r="B426" s="102" t="s">
        <v>7412</v>
      </c>
      <c r="C426" s="5" t="s">
        <v>8211</v>
      </c>
      <c r="D426" s="102" t="s">
        <v>8212</v>
      </c>
      <c r="E426" s="109">
        <v>2020</v>
      </c>
      <c r="F426" s="109">
        <v>2020</v>
      </c>
      <c r="G426" s="102" t="s">
        <v>3359</v>
      </c>
      <c r="H426" s="102">
        <v>200</v>
      </c>
      <c r="I426" s="102">
        <v>200</v>
      </c>
      <c r="J426" s="102"/>
      <c r="K426" s="102"/>
      <c r="L426" s="105">
        <v>20201118</v>
      </c>
    </row>
    <row r="427" spans="1:12">
      <c r="A427" s="132">
        <v>425</v>
      </c>
      <c r="B427" s="102" t="s">
        <v>7412</v>
      </c>
      <c r="C427" s="5" t="s">
        <v>8213</v>
      </c>
      <c r="D427" s="102" t="s">
        <v>8214</v>
      </c>
      <c r="E427" s="109">
        <v>2020</v>
      </c>
      <c r="F427" s="109">
        <v>2020</v>
      </c>
      <c r="G427" s="102" t="s">
        <v>3359</v>
      </c>
      <c r="H427" s="102">
        <v>200</v>
      </c>
      <c r="I427" s="102">
        <v>200</v>
      </c>
      <c r="J427" s="102"/>
      <c r="K427" s="102"/>
      <c r="L427" s="105">
        <v>20201118</v>
      </c>
    </row>
    <row r="428" spans="1:12">
      <c r="A428" s="132">
        <v>426</v>
      </c>
      <c r="B428" s="102" t="s">
        <v>7412</v>
      </c>
      <c r="C428" s="5" t="s">
        <v>8215</v>
      </c>
      <c r="D428" s="102" t="s">
        <v>8216</v>
      </c>
      <c r="E428" s="109">
        <v>2020</v>
      </c>
      <c r="F428" s="109">
        <v>2020</v>
      </c>
      <c r="G428" s="102" t="s">
        <v>3359</v>
      </c>
      <c r="H428" s="102">
        <v>200</v>
      </c>
      <c r="I428" s="102">
        <v>200</v>
      </c>
      <c r="J428" s="102"/>
      <c r="K428" s="102"/>
      <c r="L428" s="105">
        <v>20201118</v>
      </c>
    </row>
    <row r="429" spans="1:12">
      <c r="A429" s="132">
        <v>427</v>
      </c>
      <c r="B429" s="102" t="s">
        <v>7412</v>
      </c>
      <c r="C429" s="5" t="s">
        <v>5810</v>
      </c>
      <c r="D429" s="102" t="s">
        <v>8217</v>
      </c>
      <c r="E429" s="109">
        <v>2020</v>
      </c>
      <c r="F429" s="109">
        <v>2020</v>
      </c>
      <c r="G429" s="102" t="s">
        <v>3359</v>
      </c>
      <c r="H429" s="102">
        <v>200</v>
      </c>
      <c r="I429" s="102">
        <v>200</v>
      </c>
      <c r="J429" s="102"/>
      <c r="K429" s="102"/>
      <c r="L429" s="105">
        <v>20201118</v>
      </c>
    </row>
    <row r="430" spans="1:12">
      <c r="A430" s="132">
        <v>428</v>
      </c>
      <c r="B430" s="102" t="s">
        <v>7412</v>
      </c>
      <c r="C430" s="5" t="s">
        <v>8218</v>
      </c>
      <c r="D430" s="102" t="s">
        <v>8219</v>
      </c>
      <c r="E430" s="109">
        <v>2020</v>
      </c>
      <c r="F430" s="109">
        <v>2020</v>
      </c>
      <c r="G430" s="102" t="s">
        <v>3359</v>
      </c>
      <c r="H430" s="102">
        <v>200</v>
      </c>
      <c r="I430" s="102">
        <v>200</v>
      </c>
      <c r="J430" s="102" t="s">
        <v>1242</v>
      </c>
      <c r="K430" s="102"/>
      <c r="L430" s="105">
        <v>20201118</v>
      </c>
    </row>
    <row r="431" spans="1:12">
      <c r="A431" s="132">
        <v>429</v>
      </c>
      <c r="B431" s="102" t="s">
        <v>7412</v>
      </c>
      <c r="C431" s="5" t="s">
        <v>8220</v>
      </c>
      <c r="D431" s="102" t="s">
        <v>8221</v>
      </c>
      <c r="E431" s="109">
        <v>2020</v>
      </c>
      <c r="F431" s="109">
        <v>2020</v>
      </c>
      <c r="G431" s="102" t="s">
        <v>3359</v>
      </c>
      <c r="H431" s="102">
        <v>200</v>
      </c>
      <c r="I431" s="102">
        <v>200</v>
      </c>
      <c r="J431" s="102"/>
      <c r="K431" s="102"/>
      <c r="L431" s="105">
        <v>20201118</v>
      </c>
    </row>
    <row r="432" spans="1:12">
      <c r="A432" s="132">
        <v>430</v>
      </c>
      <c r="B432" s="102" t="s">
        <v>7412</v>
      </c>
      <c r="C432" s="5" t="s">
        <v>8222</v>
      </c>
      <c r="D432" s="102" t="s">
        <v>8223</v>
      </c>
      <c r="E432" s="109">
        <v>2020</v>
      </c>
      <c r="F432" s="109">
        <v>2020</v>
      </c>
      <c r="G432" s="102" t="s">
        <v>3359</v>
      </c>
      <c r="H432" s="102">
        <v>200</v>
      </c>
      <c r="I432" s="102">
        <v>200</v>
      </c>
      <c r="J432" s="102"/>
      <c r="K432" s="102"/>
      <c r="L432" s="105">
        <v>20201118</v>
      </c>
    </row>
    <row r="433" spans="1:12">
      <c r="A433" s="132">
        <v>431</v>
      </c>
      <c r="B433" s="102" t="s">
        <v>7412</v>
      </c>
      <c r="C433" s="5" t="s">
        <v>8224</v>
      </c>
      <c r="D433" s="102" t="s">
        <v>8225</v>
      </c>
      <c r="E433" s="109">
        <v>2020</v>
      </c>
      <c r="F433" s="109">
        <v>2020</v>
      </c>
      <c r="G433" s="102" t="s">
        <v>3359</v>
      </c>
      <c r="H433" s="102">
        <v>200</v>
      </c>
      <c r="I433" s="102">
        <v>200</v>
      </c>
      <c r="J433" s="102"/>
      <c r="K433" s="102"/>
      <c r="L433" s="105">
        <v>20201118</v>
      </c>
    </row>
    <row r="434" spans="1:12">
      <c r="A434" s="132">
        <v>432</v>
      </c>
      <c r="B434" s="102" t="s">
        <v>7412</v>
      </c>
      <c r="C434" s="5" t="s">
        <v>8226</v>
      </c>
      <c r="D434" s="102" t="s">
        <v>8227</v>
      </c>
      <c r="E434" s="109">
        <v>2020</v>
      </c>
      <c r="F434" s="109">
        <v>2020</v>
      </c>
      <c r="G434" s="102" t="s">
        <v>3359</v>
      </c>
      <c r="H434" s="102">
        <v>200</v>
      </c>
      <c r="I434" s="102">
        <v>200</v>
      </c>
      <c r="J434" s="102"/>
      <c r="K434" s="102"/>
      <c r="L434" s="105">
        <v>20201118</v>
      </c>
    </row>
    <row r="435" spans="1:12">
      <c r="A435" s="132">
        <v>433</v>
      </c>
      <c r="B435" s="102" t="s">
        <v>7412</v>
      </c>
      <c r="C435" s="5" t="s">
        <v>8228</v>
      </c>
      <c r="D435" s="102" t="s">
        <v>8229</v>
      </c>
      <c r="E435" s="109">
        <v>2020</v>
      </c>
      <c r="F435" s="109">
        <v>2020</v>
      </c>
      <c r="G435" s="102" t="s">
        <v>3359</v>
      </c>
      <c r="H435" s="102">
        <v>200</v>
      </c>
      <c r="I435" s="102">
        <v>200</v>
      </c>
      <c r="J435" s="102"/>
      <c r="K435" s="102"/>
      <c r="L435" s="105">
        <v>20201118</v>
      </c>
    </row>
    <row r="436" spans="1:12">
      <c r="A436" s="132">
        <v>434</v>
      </c>
      <c r="B436" s="102" t="s">
        <v>7412</v>
      </c>
      <c r="C436" s="5" t="s">
        <v>8230</v>
      </c>
      <c r="D436" s="102" t="s">
        <v>8231</v>
      </c>
      <c r="E436" s="109">
        <v>2020</v>
      </c>
      <c r="F436" s="109">
        <v>2020</v>
      </c>
      <c r="G436" s="102" t="s">
        <v>3359</v>
      </c>
      <c r="H436" s="102">
        <v>200</v>
      </c>
      <c r="I436" s="102">
        <v>200</v>
      </c>
      <c r="J436" s="102"/>
      <c r="K436" s="102"/>
      <c r="L436" s="105">
        <v>20201118</v>
      </c>
    </row>
    <row r="437" spans="1:12">
      <c r="A437" s="132">
        <v>435</v>
      </c>
      <c r="B437" s="102" t="s">
        <v>7412</v>
      </c>
      <c r="C437" s="5" t="s">
        <v>8232</v>
      </c>
      <c r="D437" s="102" t="s">
        <v>8233</v>
      </c>
      <c r="E437" s="109">
        <v>2020</v>
      </c>
      <c r="F437" s="109">
        <v>2020</v>
      </c>
      <c r="G437" s="102" t="s">
        <v>3359</v>
      </c>
      <c r="H437" s="102">
        <v>200</v>
      </c>
      <c r="I437" s="102">
        <v>200</v>
      </c>
      <c r="J437" s="102"/>
      <c r="K437" s="102"/>
      <c r="L437" s="105">
        <v>20201118</v>
      </c>
    </row>
    <row r="438" spans="1:12">
      <c r="A438" s="132">
        <v>436</v>
      </c>
      <c r="B438" s="102" t="s">
        <v>7412</v>
      </c>
      <c r="C438" s="5" t="s">
        <v>8234</v>
      </c>
      <c r="D438" s="102" t="s">
        <v>8235</v>
      </c>
      <c r="E438" s="109">
        <v>2020</v>
      </c>
      <c r="F438" s="109">
        <v>2020</v>
      </c>
      <c r="G438" s="102" t="s">
        <v>3359</v>
      </c>
      <c r="H438" s="102">
        <v>200</v>
      </c>
      <c r="I438" s="102">
        <v>200</v>
      </c>
      <c r="J438" s="102"/>
      <c r="K438" s="102"/>
      <c r="L438" s="105">
        <v>20201118</v>
      </c>
    </row>
    <row r="439" spans="1:12">
      <c r="A439" s="132">
        <v>437</v>
      </c>
      <c r="B439" s="102" t="s">
        <v>7412</v>
      </c>
      <c r="C439" s="5" t="s">
        <v>8236</v>
      </c>
      <c r="D439" s="102" t="s">
        <v>8237</v>
      </c>
      <c r="E439" s="109">
        <v>2020</v>
      </c>
      <c r="F439" s="109">
        <v>2020</v>
      </c>
      <c r="G439" s="102" t="s">
        <v>3359</v>
      </c>
      <c r="H439" s="102">
        <v>200</v>
      </c>
      <c r="I439" s="102">
        <v>200</v>
      </c>
      <c r="J439" s="102"/>
      <c r="K439" s="102"/>
      <c r="L439" s="105">
        <v>20201118</v>
      </c>
    </row>
    <row r="440" spans="1:12">
      <c r="A440" s="132">
        <v>438</v>
      </c>
      <c r="B440" s="102" t="s">
        <v>7412</v>
      </c>
      <c r="C440" s="5" t="s">
        <v>8238</v>
      </c>
      <c r="D440" s="102" t="s">
        <v>8239</v>
      </c>
      <c r="E440" s="109">
        <v>2020</v>
      </c>
      <c r="F440" s="109">
        <v>2020</v>
      </c>
      <c r="G440" s="102" t="s">
        <v>3359</v>
      </c>
      <c r="H440" s="102">
        <v>200</v>
      </c>
      <c r="I440" s="102">
        <v>200</v>
      </c>
      <c r="J440" s="102"/>
      <c r="K440" s="102"/>
      <c r="L440" s="105">
        <v>20201118</v>
      </c>
    </row>
    <row r="441" spans="1:12">
      <c r="A441" s="132">
        <v>439</v>
      </c>
      <c r="B441" s="102" t="s">
        <v>7412</v>
      </c>
      <c r="C441" s="5" t="s">
        <v>8240</v>
      </c>
      <c r="D441" s="102" t="s">
        <v>8241</v>
      </c>
      <c r="E441" s="109">
        <v>2020</v>
      </c>
      <c r="F441" s="109">
        <v>2020</v>
      </c>
      <c r="G441" s="102" t="s">
        <v>3359</v>
      </c>
      <c r="H441" s="102">
        <v>200</v>
      </c>
      <c r="I441" s="102">
        <v>200</v>
      </c>
      <c r="J441" s="102"/>
      <c r="K441" s="102"/>
      <c r="L441" s="105">
        <v>20201118</v>
      </c>
    </row>
    <row r="442" spans="1:12">
      <c r="A442" s="132">
        <v>440</v>
      </c>
      <c r="B442" s="102" t="s">
        <v>7412</v>
      </c>
      <c r="C442" s="5" t="s">
        <v>4343</v>
      </c>
      <c r="D442" s="102" t="s">
        <v>8242</v>
      </c>
      <c r="E442" s="109">
        <v>2020</v>
      </c>
      <c r="F442" s="109">
        <v>2020</v>
      </c>
      <c r="G442" s="102" t="s">
        <v>3359</v>
      </c>
      <c r="H442" s="102">
        <v>200</v>
      </c>
      <c r="I442" s="102">
        <v>200</v>
      </c>
      <c r="J442" s="102"/>
      <c r="K442" s="102"/>
      <c r="L442" s="105">
        <v>20201118</v>
      </c>
    </row>
    <row r="443" spans="1:12">
      <c r="A443" s="132">
        <v>441</v>
      </c>
      <c r="B443" s="102" t="s">
        <v>7412</v>
      </c>
      <c r="C443" s="5" t="s">
        <v>8243</v>
      </c>
      <c r="D443" s="102" t="s">
        <v>8244</v>
      </c>
      <c r="E443" s="109">
        <v>2020</v>
      </c>
      <c r="F443" s="109">
        <v>2020</v>
      </c>
      <c r="G443" s="102" t="s">
        <v>3359</v>
      </c>
      <c r="H443" s="102">
        <v>200</v>
      </c>
      <c r="I443" s="102">
        <v>200</v>
      </c>
      <c r="J443" s="102"/>
      <c r="K443" s="102"/>
      <c r="L443" s="105">
        <v>20201118</v>
      </c>
    </row>
    <row r="444" spans="1:12">
      <c r="A444" s="132">
        <v>442</v>
      </c>
      <c r="B444" s="102" t="s">
        <v>7412</v>
      </c>
      <c r="C444" s="5" t="s">
        <v>3714</v>
      </c>
      <c r="D444" s="102" t="s">
        <v>8245</v>
      </c>
      <c r="E444" s="109">
        <v>2020</v>
      </c>
      <c r="F444" s="109">
        <v>2020</v>
      </c>
      <c r="G444" s="102" t="s">
        <v>3359</v>
      </c>
      <c r="H444" s="102">
        <v>200</v>
      </c>
      <c r="I444" s="102">
        <v>200</v>
      </c>
      <c r="J444" s="102"/>
      <c r="K444" s="102"/>
      <c r="L444" s="105">
        <v>20201118</v>
      </c>
    </row>
    <row r="445" spans="1:12">
      <c r="A445" s="132">
        <v>443</v>
      </c>
      <c r="B445" s="102" t="s">
        <v>7412</v>
      </c>
      <c r="C445" s="5" t="s">
        <v>8246</v>
      </c>
      <c r="D445" s="102" t="s">
        <v>8247</v>
      </c>
      <c r="E445" s="109">
        <v>2020</v>
      </c>
      <c r="F445" s="109">
        <v>2020</v>
      </c>
      <c r="G445" s="102" t="s">
        <v>3359</v>
      </c>
      <c r="H445" s="102">
        <v>200</v>
      </c>
      <c r="I445" s="102">
        <v>200</v>
      </c>
      <c r="J445" s="102"/>
      <c r="K445" s="102"/>
      <c r="L445" s="105">
        <v>20201118</v>
      </c>
    </row>
    <row r="446" spans="1:12">
      <c r="A446" s="132">
        <v>444</v>
      </c>
      <c r="B446" s="102" t="s">
        <v>7412</v>
      </c>
      <c r="C446" s="5" t="s">
        <v>8248</v>
      </c>
      <c r="D446" s="102" t="s">
        <v>8249</v>
      </c>
      <c r="E446" s="109">
        <v>2020</v>
      </c>
      <c r="F446" s="109">
        <v>2020</v>
      </c>
      <c r="G446" s="102" t="s">
        <v>3359</v>
      </c>
      <c r="H446" s="102">
        <v>200</v>
      </c>
      <c r="I446" s="102">
        <v>200</v>
      </c>
      <c r="J446" s="102"/>
      <c r="K446" s="102"/>
      <c r="L446" s="105">
        <v>20201118</v>
      </c>
    </row>
    <row r="447" spans="1:12">
      <c r="A447" s="132">
        <v>445</v>
      </c>
      <c r="B447" s="102" t="s">
        <v>7412</v>
      </c>
      <c r="C447" s="5" t="s">
        <v>8250</v>
      </c>
      <c r="D447" s="102" t="s">
        <v>8251</v>
      </c>
      <c r="E447" s="109">
        <v>2020</v>
      </c>
      <c r="F447" s="109">
        <v>2020</v>
      </c>
      <c r="G447" s="102" t="s">
        <v>3359</v>
      </c>
      <c r="H447" s="102">
        <v>200</v>
      </c>
      <c r="I447" s="102">
        <v>200</v>
      </c>
      <c r="J447" s="102"/>
      <c r="K447" s="102"/>
      <c r="L447" s="105">
        <v>20201118</v>
      </c>
    </row>
    <row r="448" spans="1:12">
      <c r="A448" s="132">
        <v>446</v>
      </c>
      <c r="B448" s="102" t="s">
        <v>7412</v>
      </c>
      <c r="C448" s="5" t="s">
        <v>8252</v>
      </c>
      <c r="D448" s="102" t="s">
        <v>8253</v>
      </c>
      <c r="E448" s="109">
        <v>2020</v>
      </c>
      <c r="F448" s="109">
        <v>2020</v>
      </c>
      <c r="G448" s="102" t="s">
        <v>3359</v>
      </c>
      <c r="H448" s="102">
        <v>200</v>
      </c>
      <c r="I448" s="102">
        <v>200</v>
      </c>
      <c r="J448" s="102"/>
      <c r="K448" s="102"/>
      <c r="L448" s="105">
        <v>20201118</v>
      </c>
    </row>
    <row r="449" spans="1:12">
      <c r="A449" s="132">
        <v>447</v>
      </c>
      <c r="B449" s="102" t="s">
        <v>7412</v>
      </c>
      <c r="C449" s="5" t="s">
        <v>8254</v>
      </c>
      <c r="D449" s="102" t="s">
        <v>8255</v>
      </c>
      <c r="E449" s="109">
        <v>2020</v>
      </c>
      <c r="F449" s="109">
        <v>2020</v>
      </c>
      <c r="G449" s="102" t="s">
        <v>3359</v>
      </c>
      <c r="H449" s="102">
        <v>200</v>
      </c>
      <c r="I449" s="102">
        <v>200</v>
      </c>
      <c r="J449" s="102"/>
      <c r="K449" s="102"/>
      <c r="L449" s="105">
        <v>20201118</v>
      </c>
    </row>
    <row r="450" spans="1:12">
      <c r="A450" s="132">
        <v>448</v>
      </c>
      <c r="B450" s="102" t="s">
        <v>7412</v>
      </c>
      <c r="C450" s="5" t="s">
        <v>8256</v>
      </c>
      <c r="D450" s="102" t="s">
        <v>8257</v>
      </c>
      <c r="E450" s="109">
        <v>2020</v>
      </c>
      <c r="F450" s="109">
        <v>2020</v>
      </c>
      <c r="G450" s="102" t="s">
        <v>3359</v>
      </c>
      <c r="H450" s="102">
        <v>200</v>
      </c>
      <c r="I450" s="102">
        <v>200</v>
      </c>
      <c r="J450" s="102"/>
      <c r="K450" s="102"/>
      <c r="L450" s="105">
        <v>20201118</v>
      </c>
    </row>
    <row r="451" spans="1:12">
      <c r="A451" s="132">
        <v>449</v>
      </c>
      <c r="B451" s="102" t="s">
        <v>7412</v>
      </c>
      <c r="C451" s="5" t="s">
        <v>8258</v>
      </c>
      <c r="D451" s="102" t="s">
        <v>8259</v>
      </c>
      <c r="E451" s="109">
        <v>2020</v>
      </c>
      <c r="F451" s="109">
        <v>2020</v>
      </c>
      <c r="G451" s="102" t="s">
        <v>3359</v>
      </c>
      <c r="H451" s="102">
        <v>200</v>
      </c>
      <c r="I451" s="102">
        <v>200</v>
      </c>
      <c r="J451" s="102"/>
      <c r="K451" s="102"/>
      <c r="L451" s="105">
        <v>20201118</v>
      </c>
    </row>
    <row r="452" spans="1:12">
      <c r="A452" s="132">
        <v>450</v>
      </c>
      <c r="B452" s="102" t="s">
        <v>7412</v>
      </c>
      <c r="C452" s="5" t="s">
        <v>8260</v>
      </c>
      <c r="D452" s="102" t="s">
        <v>8261</v>
      </c>
      <c r="E452" s="109">
        <v>2020</v>
      </c>
      <c r="F452" s="109">
        <v>2020</v>
      </c>
      <c r="G452" s="102" t="s">
        <v>3359</v>
      </c>
      <c r="H452" s="102">
        <v>200</v>
      </c>
      <c r="I452" s="102">
        <v>200</v>
      </c>
      <c r="J452" s="102"/>
      <c r="K452" s="102"/>
      <c r="L452" s="105">
        <v>20201118</v>
      </c>
    </row>
    <row r="453" spans="1:12">
      <c r="A453" s="132">
        <v>451</v>
      </c>
      <c r="B453" s="102" t="s">
        <v>7412</v>
      </c>
      <c r="C453" s="5" t="s">
        <v>8262</v>
      </c>
      <c r="D453" s="102" t="s">
        <v>8263</v>
      </c>
      <c r="E453" s="109">
        <v>2020</v>
      </c>
      <c r="F453" s="109">
        <v>2020</v>
      </c>
      <c r="G453" s="102" t="s">
        <v>3359</v>
      </c>
      <c r="H453" s="102">
        <v>200</v>
      </c>
      <c r="I453" s="102">
        <v>200</v>
      </c>
      <c r="J453" s="102"/>
      <c r="K453" s="102"/>
      <c r="L453" s="105">
        <v>20201118</v>
      </c>
    </row>
    <row r="454" spans="1:12">
      <c r="A454" s="132">
        <v>452</v>
      </c>
      <c r="B454" s="102" t="s">
        <v>7412</v>
      </c>
      <c r="C454" s="5" t="s">
        <v>8264</v>
      </c>
      <c r="D454" s="102" t="s">
        <v>8265</v>
      </c>
      <c r="E454" s="109">
        <v>2020</v>
      </c>
      <c r="F454" s="109">
        <v>2020</v>
      </c>
      <c r="G454" s="102" t="s">
        <v>3359</v>
      </c>
      <c r="H454" s="102">
        <v>200</v>
      </c>
      <c r="I454" s="102">
        <v>200</v>
      </c>
      <c r="J454" s="102"/>
      <c r="K454" s="102"/>
      <c r="L454" s="105">
        <v>20201118</v>
      </c>
    </row>
    <row r="455" spans="1:12">
      <c r="A455" s="132">
        <v>453</v>
      </c>
      <c r="B455" s="102" t="s">
        <v>7412</v>
      </c>
      <c r="C455" s="5" t="s">
        <v>8266</v>
      </c>
      <c r="D455" s="102" t="s">
        <v>8267</v>
      </c>
      <c r="E455" s="109">
        <v>2020</v>
      </c>
      <c r="F455" s="109">
        <v>2020</v>
      </c>
      <c r="G455" s="102" t="s">
        <v>3359</v>
      </c>
      <c r="H455" s="102">
        <v>200</v>
      </c>
      <c r="I455" s="102">
        <v>200</v>
      </c>
      <c r="J455" s="102"/>
      <c r="K455" s="102"/>
      <c r="L455" s="105">
        <v>20201118</v>
      </c>
    </row>
    <row r="456" spans="1:12">
      <c r="A456" s="132">
        <v>454</v>
      </c>
      <c r="B456" s="102" t="s">
        <v>7412</v>
      </c>
      <c r="C456" s="5" t="s">
        <v>8268</v>
      </c>
      <c r="D456" s="102" t="s">
        <v>8269</v>
      </c>
      <c r="E456" s="109">
        <v>2020</v>
      </c>
      <c r="F456" s="109">
        <v>2020</v>
      </c>
      <c r="G456" s="102" t="s">
        <v>3359</v>
      </c>
      <c r="H456" s="102">
        <v>200</v>
      </c>
      <c r="I456" s="102">
        <v>200</v>
      </c>
      <c r="J456" s="102"/>
      <c r="K456" s="102"/>
      <c r="L456" s="105">
        <v>20201118</v>
      </c>
    </row>
    <row r="457" spans="1:12">
      <c r="A457" s="132">
        <v>455</v>
      </c>
      <c r="B457" s="102" t="s">
        <v>7412</v>
      </c>
      <c r="C457" s="5" t="s">
        <v>8270</v>
      </c>
      <c r="D457" s="102" t="s">
        <v>8271</v>
      </c>
      <c r="E457" s="109">
        <v>2020</v>
      </c>
      <c r="F457" s="109">
        <v>2020</v>
      </c>
      <c r="G457" s="102" t="s">
        <v>3359</v>
      </c>
      <c r="H457" s="102">
        <v>200</v>
      </c>
      <c r="I457" s="102">
        <v>200</v>
      </c>
      <c r="J457" s="102"/>
      <c r="K457" s="102"/>
      <c r="L457" s="105">
        <v>20201118</v>
      </c>
    </row>
    <row r="458" spans="1:12">
      <c r="A458" s="132">
        <v>456</v>
      </c>
      <c r="B458" s="102" t="s">
        <v>7412</v>
      </c>
      <c r="C458" s="5" t="s">
        <v>8272</v>
      </c>
      <c r="D458" s="102" t="s">
        <v>8273</v>
      </c>
      <c r="E458" s="109">
        <v>2020</v>
      </c>
      <c r="F458" s="109">
        <v>2020</v>
      </c>
      <c r="G458" s="102" t="s">
        <v>3359</v>
      </c>
      <c r="H458" s="102">
        <v>200</v>
      </c>
      <c r="I458" s="102">
        <v>200</v>
      </c>
      <c r="J458" s="102"/>
      <c r="K458" s="102"/>
      <c r="L458" s="105">
        <v>20201118</v>
      </c>
    </row>
    <row r="459" spans="1:12">
      <c r="A459" s="132">
        <v>457</v>
      </c>
      <c r="B459" s="102" t="s">
        <v>7412</v>
      </c>
      <c r="C459" s="5" t="s">
        <v>8274</v>
      </c>
      <c r="D459" s="102" t="s">
        <v>8275</v>
      </c>
      <c r="E459" s="109">
        <v>2020</v>
      </c>
      <c r="F459" s="109">
        <v>2020</v>
      </c>
      <c r="G459" s="102" t="s">
        <v>3359</v>
      </c>
      <c r="H459" s="102">
        <v>200</v>
      </c>
      <c r="I459" s="102">
        <v>200</v>
      </c>
      <c r="J459" s="102"/>
      <c r="K459" s="102"/>
      <c r="L459" s="105">
        <v>20201118</v>
      </c>
    </row>
    <row r="460" spans="1:12">
      <c r="A460" s="132">
        <v>458</v>
      </c>
      <c r="B460" s="102" t="s">
        <v>7412</v>
      </c>
      <c r="C460" s="5" t="s">
        <v>8276</v>
      </c>
      <c r="D460" s="102" t="s">
        <v>8277</v>
      </c>
      <c r="E460" s="109">
        <v>2020</v>
      </c>
      <c r="F460" s="109">
        <v>2020</v>
      </c>
      <c r="G460" s="102" t="s">
        <v>3359</v>
      </c>
      <c r="H460" s="102">
        <v>200</v>
      </c>
      <c r="I460" s="102">
        <v>200</v>
      </c>
      <c r="J460" s="102"/>
      <c r="K460" s="102"/>
      <c r="L460" s="105">
        <v>20201118</v>
      </c>
    </row>
    <row r="461" spans="1:12">
      <c r="A461" s="132">
        <v>459</v>
      </c>
      <c r="B461" s="102" t="s">
        <v>7412</v>
      </c>
      <c r="C461" s="5" t="s">
        <v>8278</v>
      </c>
      <c r="D461" s="102" t="s">
        <v>8279</v>
      </c>
      <c r="E461" s="109">
        <v>2020</v>
      </c>
      <c r="F461" s="109">
        <v>2020</v>
      </c>
      <c r="G461" s="102" t="s">
        <v>3359</v>
      </c>
      <c r="H461" s="102">
        <v>200</v>
      </c>
      <c r="I461" s="102">
        <v>200</v>
      </c>
      <c r="J461" s="102"/>
      <c r="K461" s="102"/>
      <c r="L461" s="105">
        <v>20201118</v>
      </c>
    </row>
    <row r="462" spans="1:12">
      <c r="A462" s="132">
        <v>460</v>
      </c>
      <c r="B462" s="102" t="s">
        <v>7412</v>
      </c>
      <c r="C462" s="5" t="s">
        <v>8280</v>
      </c>
      <c r="D462" s="102" t="s">
        <v>8281</v>
      </c>
      <c r="E462" s="109">
        <v>2020</v>
      </c>
      <c r="F462" s="109">
        <v>2020</v>
      </c>
      <c r="G462" s="102" t="s">
        <v>3359</v>
      </c>
      <c r="H462" s="102">
        <v>200</v>
      </c>
      <c r="I462" s="102">
        <v>200</v>
      </c>
      <c r="J462" s="102"/>
      <c r="K462" s="102"/>
      <c r="L462" s="105">
        <v>20201118</v>
      </c>
    </row>
    <row r="463" spans="1:12">
      <c r="A463" s="132">
        <v>461</v>
      </c>
      <c r="B463" s="102" t="s">
        <v>7412</v>
      </c>
      <c r="C463" s="5" t="s">
        <v>8282</v>
      </c>
      <c r="D463" s="102" t="s">
        <v>8283</v>
      </c>
      <c r="E463" s="109">
        <v>2020</v>
      </c>
      <c r="F463" s="109">
        <v>2020</v>
      </c>
      <c r="G463" s="102" t="s">
        <v>3359</v>
      </c>
      <c r="H463" s="102">
        <v>200</v>
      </c>
      <c r="I463" s="102">
        <v>200</v>
      </c>
      <c r="J463" s="102"/>
      <c r="K463" s="102"/>
      <c r="L463" s="105">
        <v>20201118</v>
      </c>
    </row>
    <row r="464" spans="1:12">
      <c r="A464" s="132">
        <v>462</v>
      </c>
      <c r="B464" s="102" t="s">
        <v>7412</v>
      </c>
      <c r="C464" s="5" t="s">
        <v>8284</v>
      </c>
      <c r="D464" s="102" t="s">
        <v>8285</v>
      </c>
      <c r="E464" s="109">
        <v>2020</v>
      </c>
      <c r="F464" s="109">
        <v>2020</v>
      </c>
      <c r="G464" s="102" t="s">
        <v>3359</v>
      </c>
      <c r="H464" s="102">
        <v>200</v>
      </c>
      <c r="I464" s="102">
        <v>200</v>
      </c>
      <c r="J464" s="102"/>
      <c r="K464" s="102"/>
      <c r="L464" s="105">
        <v>20201118</v>
      </c>
    </row>
    <row r="465" spans="1:12">
      <c r="A465" s="132">
        <v>463</v>
      </c>
      <c r="B465" s="102" t="s">
        <v>7412</v>
      </c>
      <c r="C465" s="5" t="s">
        <v>8286</v>
      </c>
      <c r="D465" s="102" t="s">
        <v>8287</v>
      </c>
      <c r="E465" s="109">
        <v>2020</v>
      </c>
      <c r="F465" s="109">
        <v>2020</v>
      </c>
      <c r="G465" s="102" t="s">
        <v>3359</v>
      </c>
      <c r="H465" s="102">
        <v>200</v>
      </c>
      <c r="I465" s="102">
        <v>200</v>
      </c>
      <c r="J465" s="102"/>
      <c r="K465" s="102"/>
      <c r="L465" s="105">
        <v>20201118</v>
      </c>
    </row>
    <row r="466" spans="1:12">
      <c r="A466" s="132">
        <v>464</v>
      </c>
      <c r="B466" s="102" t="s">
        <v>7412</v>
      </c>
      <c r="C466" s="5" t="s">
        <v>8288</v>
      </c>
      <c r="D466" s="102" t="s">
        <v>8289</v>
      </c>
      <c r="E466" s="109">
        <v>2020</v>
      </c>
      <c r="F466" s="109">
        <v>2020</v>
      </c>
      <c r="G466" s="102" t="s">
        <v>3359</v>
      </c>
      <c r="H466" s="102">
        <v>200</v>
      </c>
      <c r="I466" s="102">
        <v>200</v>
      </c>
      <c r="J466" s="102"/>
      <c r="K466" s="102"/>
      <c r="L466" s="105">
        <v>20201118</v>
      </c>
    </row>
    <row r="467" spans="1:12">
      <c r="A467" s="132">
        <v>465</v>
      </c>
      <c r="B467" s="102" t="s">
        <v>7412</v>
      </c>
      <c r="C467" s="5" t="s">
        <v>8290</v>
      </c>
      <c r="D467" s="102" t="s">
        <v>8291</v>
      </c>
      <c r="E467" s="109">
        <v>2020</v>
      </c>
      <c r="F467" s="109">
        <v>2020</v>
      </c>
      <c r="G467" s="102" t="s">
        <v>3359</v>
      </c>
      <c r="H467" s="102">
        <v>200</v>
      </c>
      <c r="I467" s="102">
        <v>200</v>
      </c>
      <c r="J467" s="102"/>
      <c r="K467" s="102"/>
      <c r="L467" s="105">
        <v>20201118</v>
      </c>
    </row>
    <row r="468" spans="1:12">
      <c r="A468" s="132">
        <v>466</v>
      </c>
      <c r="B468" s="102" t="s">
        <v>7412</v>
      </c>
      <c r="C468" s="5" t="s">
        <v>8292</v>
      </c>
      <c r="D468" s="102" t="s">
        <v>8293</v>
      </c>
      <c r="E468" s="109">
        <v>2020</v>
      </c>
      <c r="F468" s="109">
        <v>2020</v>
      </c>
      <c r="G468" s="102" t="s">
        <v>3359</v>
      </c>
      <c r="H468" s="102">
        <v>200</v>
      </c>
      <c r="I468" s="102">
        <v>200</v>
      </c>
      <c r="J468" s="102"/>
      <c r="K468" s="102"/>
      <c r="L468" s="105">
        <v>20201118</v>
      </c>
    </row>
    <row r="469" spans="1:12">
      <c r="A469" s="132">
        <v>467</v>
      </c>
      <c r="B469" s="102" t="s">
        <v>7412</v>
      </c>
      <c r="C469" s="5" t="s">
        <v>8294</v>
      </c>
      <c r="D469" s="102" t="s">
        <v>8295</v>
      </c>
      <c r="E469" s="109">
        <v>2020</v>
      </c>
      <c r="F469" s="109">
        <v>2020</v>
      </c>
      <c r="G469" s="102" t="s">
        <v>3359</v>
      </c>
      <c r="H469" s="102">
        <v>200</v>
      </c>
      <c r="I469" s="102">
        <v>200</v>
      </c>
      <c r="J469" s="102"/>
      <c r="K469" s="102"/>
      <c r="L469" s="105">
        <v>20201118</v>
      </c>
    </row>
    <row r="470" spans="1:12">
      <c r="A470" s="132">
        <v>468</v>
      </c>
      <c r="B470" s="102" t="s">
        <v>7412</v>
      </c>
      <c r="C470" s="5" t="s">
        <v>8296</v>
      </c>
      <c r="D470" s="102" t="s">
        <v>8297</v>
      </c>
      <c r="E470" s="109">
        <v>2020</v>
      </c>
      <c r="F470" s="109">
        <v>2020</v>
      </c>
      <c r="G470" s="102" t="s">
        <v>3359</v>
      </c>
      <c r="H470" s="102">
        <v>200</v>
      </c>
      <c r="I470" s="102">
        <v>200</v>
      </c>
      <c r="J470" s="102"/>
      <c r="K470" s="102"/>
      <c r="L470" s="105">
        <v>20201118</v>
      </c>
    </row>
    <row r="471" spans="1:12">
      <c r="A471" s="132">
        <v>469</v>
      </c>
      <c r="B471" s="102" t="s">
        <v>7412</v>
      </c>
      <c r="C471" s="5" t="s">
        <v>8298</v>
      </c>
      <c r="D471" s="102" t="s">
        <v>8299</v>
      </c>
      <c r="E471" s="109">
        <v>2020</v>
      </c>
      <c r="F471" s="109">
        <v>2020</v>
      </c>
      <c r="G471" s="102" t="s">
        <v>3359</v>
      </c>
      <c r="H471" s="102">
        <v>200</v>
      </c>
      <c r="I471" s="102">
        <v>200</v>
      </c>
      <c r="J471" s="102"/>
      <c r="K471" s="102"/>
      <c r="L471" s="105">
        <v>20201118</v>
      </c>
    </row>
    <row r="472" spans="1:12">
      <c r="A472" s="132">
        <v>470</v>
      </c>
      <c r="B472" s="102" t="s">
        <v>7412</v>
      </c>
      <c r="C472" s="5" t="s">
        <v>8300</v>
      </c>
      <c r="D472" s="102" t="s">
        <v>8301</v>
      </c>
      <c r="E472" s="109">
        <v>2020</v>
      </c>
      <c r="F472" s="109">
        <v>2020</v>
      </c>
      <c r="G472" s="102" t="s">
        <v>3359</v>
      </c>
      <c r="H472" s="102">
        <v>200</v>
      </c>
      <c r="I472" s="102">
        <v>200</v>
      </c>
      <c r="J472" s="102"/>
      <c r="K472" s="102"/>
      <c r="L472" s="105">
        <v>20201118</v>
      </c>
    </row>
    <row r="473" spans="1:12">
      <c r="A473" s="132">
        <v>471</v>
      </c>
      <c r="B473" s="102" t="s">
        <v>7412</v>
      </c>
      <c r="C473" s="5" t="s">
        <v>8302</v>
      </c>
      <c r="D473" s="102" t="s">
        <v>8303</v>
      </c>
      <c r="E473" s="109">
        <v>2020</v>
      </c>
      <c r="F473" s="109">
        <v>2020</v>
      </c>
      <c r="G473" s="102" t="s">
        <v>3359</v>
      </c>
      <c r="H473" s="102">
        <v>200</v>
      </c>
      <c r="I473" s="102">
        <v>200</v>
      </c>
      <c r="J473" s="102" t="s">
        <v>1242</v>
      </c>
      <c r="K473" s="102"/>
      <c r="L473" s="105">
        <v>20201118</v>
      </c>
    </row>
    <row r="474" spans="1:12">
      <c r="A474" s="132">
        <v>472</v>
      </c>
      <c r="B474" s="102" t="s">
        <v>7412</v>
      </c>
      <c r="C474" s="5" t="s">
        <v>8304</v>
      </c>
      <c r="D474" s="102" t="s">
        <v>8305</v>
      </c>
      <c r="E474" s="109">
        <v>2020</v>
      </c>
      <c r="F474" s="109">
        <v>2020</v>
      </c>
      <c r="G474" s="102" t="s">
        <v>3359</v>
      </c>
      <c r="H474" s="102">
        <v>200</v>
      </c>
      <c r="I474" s="102">
        <v>200</v>
      </c>
      <c r="J474" s="102" t="s">
        <v>1242</v>
      </c>
      <c r="K474" s="102"/>
      <c r="L474" s="105">
        <v>20201118</v>
      </c>
    </row>
    <row r="475" spans="1:12">
      <c r="A475" s="132">
        <v>473</v>
      </c>
      <c r="B475" s="102" t="s">
        <v>7412</v>
      </c>
      <c r="C475" s="5" t="s">
        <v>8306</v>
      </c>
      <c r="D475" s="102" t="s">
        <v>8307</v>
      </c>
      <c r="E475" s="109">
        <v>2020</v>
      </c>
      <c r="F475" s="109">
        <v>2020</v>
      </c>
      <c r="G475" s="102" t="s">
        <v>3359</v>
      </c>
      <c r="H475" s="102">
        <v>200</v>
      </c>
      <c r="I475" s="102">
        <v>200</v>
      </c>
      <c r="J475" s="102"/>
      <c r="K475" s="102"/>
      <c r="L475" s="105">
        <v>20201118</v>
      </c>
    </row>
    <row r="476" spans="1:12">
      <c r="A476" s="132">
        <v>474</v>
      </c>
      <c r="B476" s="102" t="s">
        <v>7412</v>
      </c>
      <c r="C476" s="5" t="s">
        <v>8308</v>
      </c>
      <c r="D476" s="102" t="s">
        <v>8309</v>
      </c>
      <c r="E476" s="109">
        <v>2020</v>
      </c>
      <c r="F476" s="109">
        <v>2020</v>
      </c>
      <c r="G476" s="102" t="s">
        <v>3359</v>
      </c>
      <c r="H476" s="102">
        <v>200</v>
      </c>
      <c r="I476" s="102">
        <v>200</v>
      </c>
      <c r="J476" s="102"/>
      <c r="K476" s="102"/>
      <c r="L476" s="105">
        <v>20201118</v>
      </c>
    </row>
    <row r="477" spans="1:12">
      <c r="A477" s="132">
        <v>475</v>
      </c>
      <c r="B477" s="102" t="s">
        <v>7412</v>
      </c>
      <c r="C477" s="5" t="s">
        <v>8310</v>
      </c>
      <c r="D477" s="102" t="s">
        <v>8311</v>
      </c>
      <c r="E477" s="109">
        <v>2020</v>
      </c>
      <c r="F477" s="109">
        <v>2020</v>
      </c>
      <c r="G477" s="102" t="s">
        <v>3359</v>
      </c>
      <c r="H477" s="102">
        <v>200</v>
      </c>
      <c r="I477" s="102">
        <v>200</v>
      </c>
      <c r="J477" s="102"/>
      <c r="K477" s="102"/>
      <c r="L477" s="105">
        <v>20201118</v>
      </c>
    </row>
    <row r="478" spans="1:12">
      <c r="A478" s="132">
        <v>476</v>
      </c>
      <c r="B478" s="102" t="s">
        <v>7412</v>
      </c>
      <c r="C478" s="5" t="s">
        <v>8312</v>
      </c>
      <c r="D478" s="102" t="s">
        <v>8313</v>
      </c>
      <c r="E478" s="109">
        <v>2020</v>
      </c>
      <c r="F478" s="109">
        <v>2020</v>
      </c>
      <c r="G478" s="102" t="s">
        <v>3359</v>
      </c>
      <c r="H478" s="102">
        <v>200</v>
      </c>
      <c r="I478" s="102">
        <v>200</v>
      </c>
      <c r="J478" s="102"/>
      <c r="K478" s="102"/>
      <c r="L478" s="105">
        <v>20201118</v>
      </c>
    </row>
    <row r="479" spans="1:12">
      <c r="A479" s="132">
        <v>477</v>
      </c>
      <c r="B479" s="102" t="s">
        <v>7412</v>
      </c>
      <c r="C479" s="5" t="s">
        <v>8314</v>
      </c>
      <c r="D479" s="102" t="s">
        <v>8315</v>
      </c>
      <c r="E479" s="109">
        <v>2020</v>
      </c>
      <c r="F479" s="109">
        <v>2020</v>
      </c>
      <c r="G479" s="102" t="s">
        <v>3359</v>
      </c>
      <c r="H479" s="102">
        <v>200</v>
      </c>
      <c r="I479" s="102">
        <v>200</v>
      </c>
      <c r="J479" s="102"/>
      <c r="K479" s="102"/>
      <c r="L479" s="105">
        <v>20201118</v>
      </c>
    </row>
    <row r="480" spans="1:12">
      <c r="A480" s="132">
        <v>478</v>
      </c>
      <c r="B480" s="102" t="s">
        <v>7412</v>
      </c>
      <c r="C480" s="5" t="s">
        <v>8316</v>
      </c>
      <c r="D480" s="102" t="s">
        <v>8317</v>
      </c>
      <c r="E480" s="109">
        <v>2020</v>
      </c>
      <c r="F480" s="109">
        <v>2020</v>
      </c>
      <c r="G480" s="102" t="s">
        <v>3359</v>
      </c>
      <c r="H480" s="102">
        <v>200</v>
      </c>
      <c r="I480" s="102">
        <v>200</v>
      </c>
      <c r="J480" s="102"/>
      <c r="K480" s="102"/>
      <c r="L480" s="105">
        <v>20201118</v>
      </c>
    </row>
    <row r="481" spans="1:12">
      <c r="A481" s="132">
        <v>479</v>
      </c>
      <c r="B481" s="102" t="s">
        <v>7412</v>
      </c>
      <c r="C481" s="5" t="s">
        <v>8318</v>
      </c>
      <c r="D481" s="102" t="s">
        <v>8319</v>
      </c>
      <c r="E481" s="109">
        <v>2020</v>
      </c>
      <c r="F481" s="109">
        <v>2020</v>
      </c>
      <c r="G481" s="102" t="s">
        <v>3359</v>
      </c>
      <c r="H481" s="102">
        <v>200</v>
      </c>
      <c r="I481" s="102">
        <v>200</v>
      </c>
      <c r="J481" s="102"/>
      <c r="K481" s="102"/>
      <c r="L481" s="105">
        <v>20201118</v>
      </c>
    </row>
    <row r="482" spans="1:12">
      <c r="A482" s="132">
        <v>480</v>
      </c>
      <c r="B482" s="102" t="s">
        <v>7412</v>
      </c>
      <c r="C482" s="5" t="s">
        <v>8320</v>
      </c>
      <c r="D482" s="102" t="s">
        <v>8321</v>
      </c>
      <c r="E482" s="109">
        <v>2020</v>
      </c>
      <c r="F482" s="109">
        <v>2020</v>
      </c>
      <c r="G482" s="102" t="s">
        <v>3359</v>
      </c>
      <c r="H482" s="102">
        <v>500</v>
      </c>
      <c r="I482" s="102">
        <v>500</v>
      </c>
      <c r="J482" s="102"/>
      <c r="K482" s="102"/>
      <c r="L482" s="105">
        <v>20201118</v>
      </c>
    </row>
    <row r="483" spans="1:12">
      <c r="A483" s="132">
        <v>481</v>
      </c>
      <c r="B483" s="102" t="s">
        <v>7412</v>
      </c>
      <c r="C483" s="5" t="s">
        <v>8322</v>
      </c>
      <c r="D483" s="102" t="s">
        <v>8323</v>
      </c>
      <c r="E483" s="109">
        <v>2020</v>
      </c>
      <c r="F483" s="109">
        <v>2020</v>
      </c>
      <c r="G483" s="102" t="s">
        <v>3359</v>
      </c>
      <c r="H483" s="102">
        <v>200</v>
      </c>
      <c r="I483" s="102">
        <v>200</v>
      </c>
      <c r="J483" s="102"/>
      <c r="K483" s="102"/>
      <c r="L483" s="105">
        <v>20201118</v>
      </c>
    </row>
    <row r="484" spans="1:12">
      <c r="A484" s="132">
        <v>482</v>
      </c>
      <c r="B484" s="102" t="s">
        <v>7412</v>
      </c>
      <c r="C484" s="5" t="s">
        <v>8324</v>
      </c>
      <c r="D484" s="102" t="s">
        <v>8325</v>
      </c>
      <c r="E484" s="109">
        <v>2020</v>
      </c>
      <c r="F484" s="109">
        <v>2020</v>
      </c>
      <c r="G484" s="102" t="s">
        <v>3359</v>
      </c>
      <c r="H484" s="102">
        <v>200</v>
      </c>
      <c r="I484" s="102">
        <v>200</v>
      </c>
      <c r="J484" s="102"/>
      <c r="K484" s="102"/>
      <c r="L484" s="105">
        <v>20201118</v>
      </c>
    </row>
    <row r="485" spans="1:12">
      <c r="A485" s="132">
        <v>483</v>
      </c>
      <c r="B485" s="102" t="s">
        <v>7412</v>
      </c>
      <c r="C485" s="5" t="s">
        <v>8326</v>
      </c>
      <c r="D485" s="102" t="s">
        <v>8327</v>
      </c>
      <c r="E485" s="109">
        <v>2020</v>
      </c>
      <c r="F485" s="109">
        <v>2020</v>
      </c>
      <c r="G485" s="102" t="s">
        <v>3359</v>
      </c>
      <c r="H485" s="102">
        <v>200</v>
      </c>
      <c r="I485" s="102">
        <v>200</v>
      </c>
      <c r="J485" s="102"/>
      <c r="K485" s="102"/>
      <c r="L485" s="105">
        <v>20201118</v>
      </c>
    </row>
    <row r="486" spans="1:12">
      <c r="A486" s="132">
        <v>484</v>
      </c>
      <c r="B486" s="102" t="s">
        <v>7412</v>
      </c>
      <c r="C486" s="5" t="s">
        <v>8328</v>
      </c>
      <c r="D486" s="102" t="s">
        <v>8329</v>
      </c>
      <c r="E486" s="109">
        <v>2020</v>
      </c>
      <c r="F486" s="109">
        <v>2020</v>
      </c>
      <c r="G486" s="102" t="s">
        <v>3359</v>
      </c>
      <c r="H486" s="102">
        <v>500</v>
      </c>
      <c r="I486" s="102">
        <v>500</v>
      </c>
      <c r="J486" s="102"/>
      <c r="K486" s="102"/>
      <c r="L486" s="105">
        <v>20201118</v>
      </c>
    </row>
    <row r="487" spans="1:12">
      <c r="A487" s="132">
        <v>485</v>
      </c>
      <c r="B487" s="102" t="s">
        <v>7412</v>
      </c>
      <c r="C487" s="5" t="s">
        <v>2860</v>
      </c>
      <c r="D487" s="102" t="s">
        <v>8330</v>
      </c>
      <c r="E487" s="109">
        <v>2020</v>
      </c>
      <c r="F487" s="109">
        <v>2020</v>
      </c>
      <c r="G487" s="102" t="s">
        <v>3359</v>
      </c>
      <c r="H487" s="102">
        <v>200</v>
      </c>
      <c r="I487" s="102">
        <v>200</v>
      </c>
      <c r="J487" s="102"/>
      <c r="K487" s="102"/>
      <c r="L487" s="105">
        <v>20201118</v>
      </c>
    </row>
    <row r="488" spans="1:12">
      <c r="A488" s="132">
        <v>486</v>
      </c>
      <c r="B488" s="102" t="s">
        <v>7412</v>
      </c>
      <c r="C488" s="5" t="s">
        <v>8331</v>
      </c>
      <c r="D488" s="102" t="s">
        <v>8332</v>
      </c>
      <c r="E488" s="109">
        <v>2020</v>
      </c>
      <c r="F488" s="109">
        <v>2020</v>
      </c>
      <c r="G488" s="102" t="s">
        <v>3359</v>
      </c>
      <c r="H488" s="102">
        <v>200</v>
      </c>
      <c r="I488" s="102">
        <v>200</v>
      </c>
      <c r="J488" s="102"/>
      <c r="K488" s="102"/>
      <c r="L488" s="105">
        <v>20201118</v>
      </c>
    </row>
    <row r="489" spans="1:12">
      <c r="A489" s="132">
        <v>487</v>
      </c>
      <c r="B489" s="102" t="s">
        <v>7412</v>
      </c>
      <c r="C489" s="5" t="s">
        <v>8333</v>
      </c>
      <c r="D489" s="102" t="s">
        <v>8334</v>
      </c>
      <c r="E489" s="109">
        <v>2020</v>
      </c>
      <c r="F489" s="109">
        <v>2020</v>
      </c>
      <c r="G489" s="102" t="s">
        <v>3359</v>
      </c>
      <c r="H489" s="102">
        <v>200</v>
      </c>
      <c r="I489" s="102">
        <v>200</v>
      </c>
      <c r="J489" s="102"/>
      <c r="K489" s="102"/>
      <c r="L489" s="105">
        <v>20201118</v>
      </c>
    </row>
    <row r="490" spans="1:12">
      <c r="A490" s="132">
        <v>488</v>
      </c>
      <c r="B490" s="102" t="s">
        <v>7412</v>
      </c>
      <c r="C490" s="5" t="s">
        <v>2948</v>
      </c>
      <c r="D490" s="102" t="s">
        <v>8335</v>
      </c>
      <c r="E490" s="109">
        <v>2020</v>
      </c>
      <c r="F490" s="109">
        <v>2020</v>
      </c>
      <c r="G490" s="102" t="s">
        <v>3359</v>
      </c>
      <c r="H490" s="102">
        <v>200</v>
      </c>
      <c r="I490" s="102">
        <v>200</v>
      </c>
      <c r="J490" s="102"/>
      <c r="K490" s="102"/>
      <c r="L490" s="105">
        <v>20201118</v>
      </c>
    </row>
    <row r="491" spans="1:12">
      <c r="A491" s="132">
        <v>489</v>
      </c>
      <c r="B491" s="102" t="s">
        <v>7412</v>
      </c>
      <c r="C491" s="5" t="s">
        <v>8336</v>
      </c>
      <c r="D491" s="102" t="s">
        <v>8337</v>
      </c>
      <c r="E491" s="109">
        <v>2020</v>
      </c>
      <c r="F491" s="109">
        <v>2020</v>
      </c>
      <c r="G491" s="102" t="s">
        <v>3359</v>
      </c>
      <c r="H491" s="102">
        <v>200</v>
      </c>
      <c r="I491" s="102">
        <v>200</v>
      </c>
      <c r="J491" s="102"/>
      <c r="K491" s="102"/>
      <c r="L491" s="105">
        <v>20201118</v>
      </c>
    </row>
    <row r="492" spans="1:12">
      <c r="A492" s="132">
        <v>490</v>
      </c>
      <c r="B492" s="102" t="s">
        <v>7412</v>
      </c>
      <c r="C492" s="5" t="s">
        <v>8338</v>
      </c>
      <c r="D492" s="102" t="s">
        <v>8339</v>
      </c>
      <c r="E492" s="109">
        <v>2020</v>
      </c>
      <c r="F492" s="109">
        <v>2020</v>
      </c>
      <c r="G492" s="102" t="s">
        <v>3359</v>
      </c>
      <c r="H492" s="102">
        <v>200</v>
      </c>
      <c r="I492" s="102">
        <v>200</v>
      </c>
      <c r="J492" s="102"/>
      <c r="K492" s="102"/>
      <c r="L492" s="105">
        <v>20201118</v>
      </c>
    </row>
    <row r="493" spans="1:12">
      <c r="A493" s="132">
        <v>491</v>
      </c>
      <c r="B493" s="102" t="s">
        <v>7412</v>
      </c>
      <c r="C493" s="5" t="s">
        <v>38</v>
      </c>
      <c r="D493" s="102" t="s">
        <v>8340</v>
      </c>
      <c r="E493" s="109">
        <v>2020</v>
      </c>
      <c r="F493" s="109">
        <v>2020</v>
      </c>
      <c r="G493" s="102" t="s">
        <v>3359</v>
      </c>
      <c r="H493" s="102">
        <v>200</v>
      </c>
      <c r="I493" s="102">
        <v>200</v>
      </c>
      <c r="J493" s="102"/>
      <c r="K493" s="102"/>
      <c r="L493" s="105">
        <v>20201118</v>
      </c>
    </row>
    <row r="494" spans="1:12">
      <c r="A494" s="132">
        <v>492</v>
      </c>
      <c r="B494" s="102" t="s">
        <v>7412</v>
      </c>
      <c r="C494" s="5" t="s">
        <v>3078</v>
      </c>
      <c r="D494" s="102" t="s">
        <v>8341</v>
      </c>
      <c r="E494" s="109">
        <v>2020</v>
      </c>
      <c r="F494" s="109">
        <v>2020</v>
      </c>
      <c r="G494" s="102" t="s">
        <v>3359</v>
      </c>
      <c r="H494" s="102">
        <v>200</v>
      </c>
      <c r="I494" s="102">
        <v>200</v>
      </c>
      <c r="J494" s="102"/>
      <c r="K494" s="102"/>
      <c r="L494" s="105">
        <v>20201118</v>
      </c>
    </row>
    <row r="495" spans="1:12">
      <c r="A495" s="132">
        <v>493</v>
      </c>
      <c r="B495" s="102" t="s">
        <v>7412</v>
      </c>
      <c r="C495" s="5" t="s">
        <v>8342</v>
      </c>
      <c r="D495" s="102" t="s">
        <v>8343</v>
      </c>
      <c r="E495" s="109">
        <v>2020</v>
      </c>
      <c r="F495" s="109">
        <v>2020</v>
      </c>
      <c r="G495" s="102" t="s">
        <v>3359</v>
      </c>
      <c r="H495" s="102">
        <v>200</v>
      </c>
      <c r="I495" s="102">
        <v>200</v>
      </c>
      <c r="J495" s="102" t="s">
        <v>3647</v>
      </c>
      <c r="K495" s="102"/>
      <c r="L495" s="105">
        <v>20201118</v>
      </c>
    </row>
    <row r="496" spans="1:12">
      <c r="A496" s="132">
        <v>494</v>
      </c>
      <c r="B496" s="102" t="s">
        <v>7412</v>
      </c>
      <c r="C496" s="5" t="s">
        <v>8344</v>
      </c>
      <c r="D496" s="102" t="s">
        <v>8345</v>
      </c>
      <c r="E496" s="109">
        <v>2020</v>
      </c>
      <c r="F496" s="109">
        <v>2020</v>
      </c>
      <c r="G496" s="102" t="s">
        <v>3359</v>
      </c>
      <c r="H496" s="102">
        <v>200</v>
      </c>
      <c r="I496" s="102">
        <v>200</v>
      </c>
      <c r="J496" s="102"/>
      <c r="K496" s="102"/>
      <c r="L496" s="105">
        <v>20201118</v>
      </c>
    </row>
    <row r="497" spans="1:12">
      <c r="A497" s="132">
        <v>495</v>
      </c>
      <c r="B497" s="102" t="s">
        <v>7412</v>
      </c>
      <c r="C497" s="5" t="s">
        <v>8346</v>
      </c>
      <c r="D497" s="102" t="s">
        <v>8347</v>
      </c>
      <c r="E497" s="109">
        <v>2020</v>
      </c>
      <c r="F497" s="109">
        <v>2020</v>
      </c>
      <c r="G497" s="102" t="s">
        <v>3359</v>
      </c>
      <c r="H497" s="102">
        <v>200</v>
      </c>
      <c r="I497" s="102">
        <v>200</v>
      </c>
      <c r="J497" s="102"/>
      <c r="K497" s="102"/>
      <c r="L497" s="105">
        <v>20201118</v>
      </c>
    </row>
    <row r="498" spans="1:12">
      <c r="A498" s="132">
        <v>496</v>
      </c>
      <c r="B498" s="102" t="s">
        <v>7412</v>
      </c>
      <c r="C498" s="5" t="s">
        <v>8348</v>
      </c>
      <c r="D498" s="102" t="s">
        <v>8349</v>
      </c>
      <c r="E498" s="109">
        <v>2020</v>
      </c>
      <c r="F498" s="109">
        <v>2020</v>
      </c>
      <c r="G498" s="102" t="s">
        <v>3359</v>
      </c>
      <c r="H498" s="102">
        <v>200</v>
      </c>
      <c r="I498" s="102">
        <v>200</v>
      </c>
      <c r="J498" s="102"/>
      <c r="K498" s="102"/>
      <c r="L498" s="105">
        <v>20201118</v>
      </c>
    </row>
    <row r="499" spans="1:12">
      <c r="A499" s="132">
        <v>497</v>
      </c>
      <c r="B499" s="102" t="s">
        <v>7412</v>
      </c>
      <c r="C499" s="5" t="s">
        <v>8350</v>
      </c>
      <c r="D499" s="102" t="s">
        <v>8351</v>
      </c>
      <c r="E499" s="109">
        <v>2020</v>
      </c>
      <c r="F499" s="109">
        <v>2020</v>
      </c>
      <c r="G499" s="102" t="s">
        <v>3359</v>
      </c>
      <c r="H499" s="102">
        <v>200</v>
      </c>
      <c r="I499" s="102">
        <v>200</v>
      </c>
      <c r="J499" s="102"/>
      <c r="K499" s="102"/>
      <c r="L499" s="105">
        <v>20201118</v>
      </c>
    </row>
    <row r="500" spans="1:12">
      <c r="A500" s="132">
        <v>498</v>
      </c>
      <c r="B500" s="102" t="s">
        <v>7412</v>
      </c>
      <c r="C500" s="5" t="s">
        <v>8352</v>
      </c>
      <c r="D500" s="102" t="s">
        <v>8353</v>
      </c>
      <c r="E500" s="109">
        <v>2020</v>
      </c>
      <c r="F500" s="109">
        <v>2020</v>
      </c>
      <c r="G500" s="102" t="s">
        <v>3359</v>
      </c>
      <c r="H500" s="102">
        <v>200</v>
      </c>
      <c r="I500" s="102">
        <v>200</v>
      </c>
      <c r="J500" s="102"/>
      <c r="K500" s="102"/>
      <c r="L500" s="105">
        <v>20201118</v>
      </c>
    </row>
    <row r="501" spans="1:12">
      <c r="A501" s="132">
        <v>499</v>
      </c>
      <c r="B501" s="102" t="s">
        <v>7412</v>
      </c>
      <c r="C501" s="5" t="s">
        <v>7347</v>
      </c>
      <c r="D501" s="102" t="s">
        <v>8354</v>
      </c>
      <c r="E501" s="109">
        <v>2020</v>
      </c>
      <c r="F501" s="109">
        <v>2020</v>
      </c>
      <c r="G501" s="102" t="s">
        <v>3359</v>
      </c>
      <c r="H501" s="102">
        <v>200</v>
      </c>
      <c r="I501" s="102">
        <v>200</v>
      </c>
      <c r="J501" s="102"/>
      <c r="K501" s="102"/>
      <c r="L501" s="105">
        <v>20201118</v>
      </c>
    </row>
    <row r="502" spans="1:12">
      <c r="A502" s="132">
        <v>500</v>
      </c>
      <c r="B502" s="102" t="s">
        <v>7412</v>
      </c>
      <c r="C502" s="5" t="s">
        <v>8355</v>
      </c>
      <c r="D502" s="102" t="s">
        <v>8356</v>
      </c>
      <c r="E502" s="109">
        <v>2020</v>
      </c>
      <c r="F502" s="109">
        <v>2020</v>
      </c>
      <c r="G502" s="102" t="s">
        <v>3359</v>
      </c>
      <c r="H502" s="102">
        <v>200</v>
      </c>
      <c r="I502" s="102">
        <v>200</v>
      </c>
      <c r="J502" s="102"/>
      <c r="K502" s="102"/>
      <c r="L502" s="105">
        <v>20201118</v>
      </c>
    </row>
    <row r="503" spans="1:12">
      <c r="A503" s="132">
        <v>501</v>
      </c>
      <c r="B503" s="102" t="s">
        <v>7412</v>
      </c>
      <c r="C503" s="5" t="s">
        <v>8357</v>
      </c>
      <c r="D503" s="102" t="s">
        <v>8358</v>
      </c>
      <c r="E503" s="109">
        <v>2020</v>
      </c>
      <c r="F503" s="109">
        <v>2020</v>
      </c>
      <c r="G503" s="102" t="s">
        <v>3359</v>
      </c>
      <c r="H503" s="102">
        <v>200</v>
      </c>
      <c r="I503" s="102">
        <v>200</v>
      </c>
      <c r="J503" s="102"/>
      <c r="K503" s="102"/>
      <c r="L503" s="105">
        <v>20201118</v>
      </c>
    </row>
    <row r="504" spans="1:12">
      <c r="A504" s="132">
        <v>502</v>
      </c>
      <c r="B504" s="102" t="s">
        <v>7412</v>
      </c>
      <c r="C504" s="5" t="s">
        <v>8359</v>
      </c>
      <c r="D504" s="102" t="s">
        <v>8360</v>
      </c>
      <c r="E504" s="109">
        <v>2020</v>
      </c>
      <c r="F504" s="109">
        <v>2020</v>
      </c>
      <c r="G504" s="102" t="s">
        <v>3359</v>
      </c>
      <c r="H504" s="102">
        <v>200</v>
      </c>
      <c r="I504" s="102">
        <v>200</v>
      </c>
      <c r="J504" s="102"/>
      <c r="K504" s="102"/>
      <c r="L504" s="105">
        <v>20201118</v>
      </c>
    </row>
    <row r="505" spans="1:12">
      <c r="A505" s="132">
        <v>503</v>
      </c>
      <c r="B505" s="102" t="s">
        <v>7412</v>
      </c>
      <c r="C505" s="5" t="s">
        <v>8361</v>
      </c>
      <c r="D505" s="102" t="s">
        <v>8362</v>
      </c>
      <c r="E505" s="109">
        <v>2020</v>
      </c>
      <c r="F505" s="109">
        <v>2020</v>
      </c>
      <c r="G505" s="102" t="s">
        <v>3359</v>
      </c>
      <c r="H505" s="102">
        <v>200</v>
      </c>
      <c r="I505" s="102">
        <v>200</v>
      </c>
      <c r="J505" s="102"/>
      <c r="K505" s="102"/>
      <c r="L505" s="105">
        <v>20201118</v>
      </c>
    </row>
    <row r="506" spans="1:12">
      <c r="A506" s="132">
        <v>504</v>
      </c>
      <c r="B506" s="102" t="s">
        <v>7412</v>
      </c>
      <c r="C506" s="5" t="s">
        <v>1164</v>
      </c>
      <c r="D506" s="102" t="s">
        <v>8363</v>
      </c>
      <c r="E506" s="109">
        <v>2020</v>
      </c>
      <c r="F506" s="109">
        <v>2020</v>
      </c>
      <c r="G506" s="102" t="s">
        <v>3359</v>
      </c>
      <c r="H506" s="102">
        <v>200</v>
      </c>
      <c r="I506" s="102">
        <v>200</v>
      </c>
      <c r="J506" s="102"/>
      <c r="K506" s="102"/>
      <c r="L506" s="105">
        <v>20201118</v>
      </c>
    </row>
    <row r="507" spans="1:12">
      <c r="A507" s="132">
        <v>505</v>
      </c>
      <c r="B507" s="102" t="s">
        <v>7412</v>
      </c>
      <c r="C507" s="5" t="s">
        <v>8364</v>
      </c>
      <c r="D507" s="102" t="s">
        <v>8365</v>
      </c>
      <c r="E507" s="109">
        <v>2020</v>
      </c>
      <c r="F507" s="109">
        <v>2020</v>
      </c>
      <c r="G507" s="102" t="s">
        <v>3359</v>
      </c>
      <c r="H507" s="102">
        <v>200</v>
      </c>
      <c r="I507" s="102">
        <v>200</v>
      </c>
      <c r="J507" s="102"/>
      <c r="K507" s="102"/>
      <c r="L507" s="105">
        <v>20201118</v>
      </c>
    </row>
    <row r="508" spans="1:12">
      <c r="A508" s="132">
        <v>506</v>
      </c>
      <c r="B508" s="102" t="s">
        <v>7412</v>
      </c>
      <c r="C508" s="5" t="s">
        <v>8366</v>
      </c>
      <c r="D508" s="102" t="s">
        <v>8367</v>
      </c>
      <c r="E508" s="109">
        <v>2020</v>
      </c>
      <c r="F508" s="109">
        <v>2020</v>
      </c>
      <c r="G508" s="102" t="s">
        <v>3359</v>
      </c>
      <c r="H508" s="102">
        <v>200</v>
      </c>
      <c r="I508" s="102">
        <v>200</v>
      </c>
      <c r="J508" s="102"/>
      <c r="K508" s="102"/>
      <c r="L508" s="105">
        <v>20201118</v>
      </c>
    </row>
    <row r="509" spans="1:12">
      <c r="A509" s="132">
        <v>507</v>
      </c>
      <c r="B509" s="102" t="s">
        <v>7412</v>
      </c>
      <c r="C509" s="5" t="s">
        <v>8368</v>
      </c>
      <c r="D509" s="102" t="s">
        <v>8369</v>
      </c>
      <c r="E509" s="109">
        <v>2020</v>
      </c>
      <c r="F509" s="109">
        <v>2020</v>
      </c>
      <c r="G509" s="102" t="s">
        <v>3359</v>
      </c>
      <c r="H509" s="102">
        <v>200</v>
      </c>
      <c r="I509" s="102">
        <v>200</v>
      </c>
      <c r="J509" s="102"/>
      <c r="K509" s="102"/>
      <c r="L509" s="105">
        <v>20201118</v>
      </c>
    </row>
    <row r="510" spans="1:12">
      <c r="A510" s="132">
        <v>508</v>
      </c>
      <c r="B510" s="102" t="s">
        <v>7412</v>
      </c>
      <c r="C510" s="5" t="s">
        <v>8370</v>
      </c>
      <c r="D510" s="102" t="s">
        <v>8371</v>
      </c>
      <c r="E510" s="109">
        <v>2020</v>
      </c>
      <c r="F510" s="109">
        <v>2020</v>
      </c>
      <c r="G510" s="102" t="s">
        <v>3359</v>
      </c>
      <c r="H510" s="102">
        <v>200</v>
      </c>
      <c r="I510" s="102">
        <v>200</v>
      </c>
      <c r="J510" s="102"/>
      <c r="K510" s="102"/>
      <c r="L510" s="105">
        <v>20201118</v>
      </c>
    </row>
    <row r="511" spans="1:12">
      <c r="A511" s="132">
        <v>509</v>
      </c>
      <c r="B511" s="102" t="s">
        <v>7412</v>
      </c>
      <c r="C511" s="5" t="s">
        <v>8372</v>
      </c>
      <c r="D511" s="102" t="s">
        <v>8373</v>
      </c>
      <c r="E511" s="109">
        <v>2020</v>
      </c>
      <c r="F511" s="109">
        <v>2020</v>
      </c>
      <c r="G511" s="102" t="s">
        <v>3359</v>
      </c>
      <c r="H511" s="102">
        <v>200</v>
      </c>
      <c r="I511" s="102">
        <v>200</v>
      </c>
      <c r="J511" s="102" t="s">
        <v>1242</v>
      </c>
      <c r="K511" s="102"/>
      <c r="L511" s="105">
        <v>20201118</v>
      </c>
    </row>
    <row r="512" spans="1:12">
      <c r="A512" s="132">
        <v>510</v>
      </c>
      <c r="B512" s="102" t="s">
        <v>7412</v>
      </c>
      <c r="C512" s="5" t="s">
        <v>8374</v>
      </c>
      <c r="D512" s="102" t="s">
        <v>8375</v>
      </c>
      <c r="E512" s="109">
        <v>2020</v>
      </c>
      <c r="F512" s="109">
        <v>2020</v>
      </c>
      <c r="G512" s="102" t="s">
        <v>3359</v>
      </c>
      <c r="H512" s="102">
        <v>200</v>
      </c>
      <c r="I512" s="102">
        <v>200</v>
      </c>
      <c r="J512" s="102"/>
      <c r="K512" s="102"/>
      <c r="L512" s="105">
        <v>20201118</v>
      </c>
    </row>
    <row r="513" spans="1:12">
      <c r="A513" s="132">
        <v>511</v>
      </c>
      <c r="B513" s="102" t="s">
        <v>7412</v>
      </c>
      <c r="C513" s="5" t="s">
        <v>8376</v>
      </c>
      <c r="D513" s="102" t="s">
        <v>8377</v>
      </c>
      <c r="E513" s="109">
        <v>2020</v>
      </c>
      <c r="F513" s="109">
        <v>2020</v>
      </c>
      <c r="G513" s="102" t="s">
        <v>3359</v>
      </c>
      <c r="H513" s="102">
        <v>200</v>
      </c>
      <c r="I513" s="102">
        <v>200</v>
      </c>
      <c r="J513" s="102"/>
      <c r="K513" s="102"/>
      <c r="L513" s="105">
        <v>20201118</v>
      </c>
    </row>
    <row r="514" spans="1:12">
      <c r="A514" s="132">
        <v>512</v>
      </c>
      <c r="B514" s="102" t="s">
        <v>7412</v>
      </c>
      <c r="C514" s="5" t="s">
        <v>8378</v>
      </c>
      <c r="D514" s="102" t="s">
        <v>8379</v>
      </c>
      <c r="E514" s="109">
        <v>2020</v>
      </c>
      <c r="F514" s="109">
        <v>2020</v>
      </c>
      <c r="G514" s="102" t="s">
        <v>3359</v>
      </c>
      <c r="H514" s="102">
        <v>200</v>
      </c>
      <c r="I514" s="102">
        <v>200</v>
      </c>
      <c r="J514" s="102"/>
      <c r="K514" s="102"/>
      <c r="L514" s="105">
        <v>20201118</v>
      </c>
    </row>
    <row r="515" spans="1:12">
      <c r="A515" s="132">
        <v>513</v>
      </c>
      <c r="B515" s="102" t="s">
        <v>7412</v>
      </c>
      <c r="C515" s="5" t="s">
        <v>8380</v>
      </c>
      <c r="D515" s="102" t="s">
        <v>8381</v>
      </c>
      <c r="E515" s="109">
        <v>2020</v>
      </c>
      <c r="F515" s="109">
        <v>2020</v>
      </c>
      <c r="G515" s="102" t="s">
        <v>3359</v>
      </c>
      <c r="H515" s="102">
        <v>200</v>
      </c>
      <c r="I515" s="102">
        <v>200</v>
      </c>
      <c r="J515" s="102"/>
      <c r="K515" s="102"/>
      <c r="L515" s="105">
        <v>20201118</v>
      </c>
    </row>
    <row r="516" spans="1:12">
      <c r="A516" s="132">
        <v>514</v>
      </c>
      <c r="B516" s="102" t="s">
        <v>7412</v>
      </c>
      <c r="C516" s="5" t="s">
        <v>8382</v>
      </c>
      <c r="D516" s="102" t="s">
        <v>8383</v>
      </c>
      <c r="E516" s="109">
        <v>2020</v>
      </c>
      <c r="F516" s="109">
        <v>2020</v>
      </c>
      <c r="G516" s="102" t="s">
        <v>3359</v>
      </c>
      <c r="H516" s="102">
        <v>500</v>
      </c>
      <c r="I516" s="102">
        <v>500</v>
      </c>
      <c r="J516" s="102"/>
      <c r="K516" s="102"/>
      <c r="L516" s="105">
        <v>20201118</v>
      </c>
    </row>
    <row r="517" spans="1:12">
      <c r="A517" s="132">
        <v>515</v>
      </c>
      <c r="B517" s="102" t="s">
        <v>7412</v>
      </c>
      <c r="C517" s="5" t="s">
        <v>4823</v>
      </c>
      <c r="D517" s="102" t="s">
        <v>8384</v>
      </c>
      <c r="E517" s="109">
        <v>2020</v>
      </c>
      <c r="F517" s="109">
        <v>2020</v>
      </c>
      <c r="G517" s="102" t="s">
        <v>3359</v>
      </c>
      <c r="H517" s="102">
        <v>200</v>
      </c>
      <c r="I517" s="102">
        <v>200</v>
      </c>
      <c r="J517" s="102"/>
      <c r="K517" s="102"/>
      <c r="L517" s="105">
        <v>20201118</v>
      </c>
    </row>
    <row r="518" spans="1:12">
      <c r="A518" s="132">
        <v>516</v>
      </c>
      <c r="B518" s="102" t="s">
        <v>7412</v>
      </c>
      <c r="C518" s="5" t="s">
        <v>8385</v>
      </c>
      <c r="D518" s="102" t="s">
        <v>8386</v>
      </c>
      <c r="E518" s="109">
        <v>2020</v>
      </c>
      <c r="F518" s="109">
        <v>2020</v>
      </c>
      <c r="G518" s="102" t="s">
        <v>3359</v>
      </c>
      <c r="H518" s="102">
        <v>200</v>
      </c>
      <c r="I518" s="102">
        <v>200</v>
      </c>
      <c r="J518" s="102"/>
      <c r="K518" s="102"/>
      <c r="L518" s="105">
        <v>20201118</v>
      </c>
    </row>
    <row r="519" spans="1:12">
      <c r="A519" s="132">
        <v>517</v>
      </c>
      <c r="B519" s="102" t="s">
        <v>7412</v>
      </c>
      <c r="C519" s="5" t="s">
        <v>8387</v>
      </c>
      <c r="D519" s="102" t="s">
        <v>8388</v>
      </c>
      <c r="E519" s="109">
        <v>2020</v>
      </c>
      <c r="F519" s="109">
        <v>2020</v>
      </c>
      <c r="G519" s="102" t="s">
        <v>3359</v>
      </c>
      <c r="H519" s="102">
        <v>200</v>
      </c>
      <c r="I519" s="102">
        <v>200</v>
      </c>
      <c r="J519" s="102"/>
      <c r="K519" s="102"/>
      <c r="L519" s="105">
        <v>20201118</v>
      </c>
    </row>
    <row r="520" spans="1:12">
      <c r="A520" s="132">
        <v>518</v>
      </c>
      <c r="B520" s="102" t="s">
        <v>7412</v>
      </c>
      <c r="C520" s="5" t="s">
        <v>8389</v>
      </c>
      <c r="D520" s="102" t="s">
        <v>8390</v>
      </c>
      <c r="E520" s="109">
        <v>2020</v>
      </c>
      <c r="F520" s="109">
        <v>2020</v>
      </c>
      <c r="G520" s="102" t="s">
        <v>3359</v>
      </c>
      <c r="H520" s="102">
        <v>200</v>
      </c>
      <c r="I520" s="102">
        <v>200</v>
      </c>
      <c r="J520" s="102"/>
      <c r="K520" s="102"/>
      <c r="L520" s="105">
        <v>20201118</v>
      </c>
    </row>
    <row r="521" spans="1:12">
      <c r="A521" s="132">
        <v>519</v>
      </c>
      <c r="B521" s="102" t="s">
        <v>7412</v>
      </c>
      <c r="C521" s="5" t="s">
        <v>8391</v>
      </c>
      <c r="D521" s="102" t="s">
        <v>8392</v>
      </c>
      <c r="E521" s="109">
        <v>2020</v>
      </c>
      <c r="F521" s="109">
        <v>2020</v>
      </c>
      <c r="G521" s="102" t="s">
        <v>3359</v>
      </c>
      <c r="H521" s="102">
        <v>200</v>
      </c>
      <c r="I521" s="102">
        <v>200</v>
      </c>
      <c r="J521" s="102"/>
      <c r="K521" s="102"/>
      <c r="L521" s="105">
        <v>20201118</v>
      </c>
    </row>
    <row r="522" spans="1:12">
      <c r="A522" s="132">
        <v>520</v>
      </c>
      <c r="B522" s="102" t="s">
        <v>7412</v>
      </c>
      <c r="C522" s="5" t="s">
        <v>8393</v>
      </c>
      <c r="D522" s="102" t="s">
        <v>8394</v>
      </c>
      <c r="E522" s="109">
        <v>2020</v>
      </c>
      <c r="F522" s="109">
        <v>2020</v>
      </c>
      <c r="G522" s="102" t="s">
        <v>3359</v>
      </c>
      <c r="H522" s="102">
        <v>200</v>
      </c>
      <c r="I522" s="102">
        <v>200</v>
      </c>
      <c r="J522" s="102"/>
      <c r="K522" s="102"/>
      <c r="L522" s="105">
        <v>20201118</v>
      </c>
    </row>
    <row r="523" spans="1:12">
      <c r="A523" s="132">
        <v>521</v>
      </c>
      <c r="B523" s="102" t="s">
        <v>7412</v>
      </c>
      <c r="C523" s="5" t="s">
        <v>8395</v>
      </c>
      <c r="D523" s="102" t="s">
        <v>8396</v>
      </c>
      <c r="E523" s="109">
        <v>2020</v>
      </c>
      <c r="F523" s="109">
        <v>2020</v>
      </c>
      <c r="G523" s="102" t="s">
        <v>3359</v>
      </c>
      <c r="H523" s="102">
        <v>200</v>
      </c>
      <c r="I523" s="102">
        <v>200</v>
      </c>
      <c r="J523" s="102"/>
      <c r="K523" s="102"/>
      <c r="L523" s="105">
        <v>20201118</v>
      </c>
    </row>
    <row r="524" spans="1:12">
      <c r="A524" s="132">
        <v>522</v>
      </c>
      <c r="B524" s="102" t="s">
        <v>7412</v>
      </c>
      <c r="C524" s="5" t="s">
        <v>8397</v>
      </c>
      <c r="D524" s="102" t="s">
        <v>8398</v>
      </c>
      <c r="E524" s="109">
        <v>2020</v>
      </c>
      <c r="F524" s="109">
        <v>2020</v>
      </c>
      <c r="G524" s="102" t="s">
        <v>3359</v>
      </c>
      <c r="H524" s="102">
        <v>200</v>
      </c>
      <c r="I524" s="102">
        <v>200</v>
      </c>
      <c r="J524" s="102"/>
      <c r="K524" s="102"/>
      <c r="L524" s="105">
        <v>20201118</v>
      </c>
    </row>
    <row r="525" spans="1:12">
      <c r="A525" s="132">
        <v>523</v>
      </c>
      <c r="B525" s="102" t="s">
        <v>7412</v>
      </c>
      <c r="C525" s="5" t="s">
        <v>8399</v>
      </c>
      <c r="D525" s="102" t="s">
        <v>8400</v>
      </c>
      <c r="E525" s="109">
        <v>2020</v>
      </c>
      <c r="F525" s="109">
        <v>2020</v>
      </c>
      <c r="G525" s="102" t="s">
        <v>3359</v>
      </c>
      <c r="H525" s="102">
        <v>200</v>
      </c>
      <c r="I525" s="102">
        <v>200</v>
      </c>
      <c r="J525" s="102"/>
      <c r="K525" s="102"/>
      <c r="L525" s="105">
        <v>20201118</v>
      </c>
    </row>
    <row r="526" spans="1:12">
      <c r="A526" s="132">
        <v>524</v>
      </c>
      <c r="B526" s="102" t="s">
        <v>7412</v>
      </c>
      <c r="C526" s="5" t="s">
        <v>8401</v>
      </c>
      <c r="D526" s="102" t="s">
        <v>8402</v>
      </c>
      <c r="E526" s="109">
        <v>2020</v>
      </c>
      <c r="F526" s="109">
        <v>2020</v>
      </c>
      <c r="G526" s="102" t="s">
        <v>3359</v>
      </c>
      <c r="H526" s="102">
        <v>200</v>
      </c>
      <c r="I526" s="102">
        <v>200</v>
      </c>
      <c r="J526" s="102"/>
      <c r="K526" s="102"/>
      <c r="L526" s="105">
        <v>20201118</v>
      </c>
    </row>
    <row r="527" spans="1:12">
      <c r="A527" s="132">
        <v>525</v>
      </c>
      <c r="B527" s="102" t="s">
        <v>7412</v>
      </c>
      <c r="C527" s="5" t="s">
        <v>8403</v>
      </c>
      <c r="D527" s="102" t="s">
        <v>8404</v>
      </c>
      <c r="E527" s="109">
        <v>2020</v>
      </c>
      <c r="F527" s="109">
        <v>2020</v>
      </c>
      <c r="G527" s="102" t="s">
        <v>3359</v>
      </c>
      <c r="H527" s="102">
        <v>500</v>
      </c>
      <c r="I527" s="102">
        <v>500</v>
      </c>
      <c r="J527" s="102"/>
      <c r="K527" s="102"/>
      <c r="L527" s="105">
        <v>20201118</v>
      </c>
    </row>
    <row r="528" spans="1:12">
      <c r="A528" s="132">
        <v>526</v>
      </c>
      <c r="B528" s="102" t="s">
        <v>7412</v>
      </c>
      <c r="C528" s="5" t="s">
        <v>8405</v>
      </c>
      <c r="D528" s="102" t="s">
        <v>8406</v>
      </c>
      <c r="E528" s="109">
        <v>2020</v>
      </c>
      <c r="F528" s="109">
        <v>2020</v>
      </c>
      <c r="G528" s="102" t="s">
        <v>3359</v>
      </c>
      <c r="H528" s="102">
        <v>200</v>
      </c>
      <c r="I528" s="102">
        <v>200</v>
      </c>
      <c r="J528" s="102"/>
      <c r="K528" s="102"/>
      <c r="L528" s="105">
        <v>20201118</v>
      </c>
    </row>
    <row r="529" spans="1:12">
      <c r="A529" s="132">
        <v>527</v>
      </c>
      <c r="B529" s="102" t="s">
        <v>7412</v>
      </c>
      <c r="C529" s="5" t="s">
        <v>8407</v>
      </c>
      <c r="D529" s="102" t="s">
        <v>8408</v>
      </c>
      <c r="E529" s="109">
        <v>2020</v>
      </c>
      <c r="F529" s="109">
        <v>2020</v>
      </c>
      <c r="G529" s="102" t="s">
        <v>3359</v>
      </c>
      <c r="H529" s="102">
        <v>200</v>
      </c>
      <c r="I529" s="102">
        <v>200</v>
      </c>
      <c r="J529" s="102"/>
      <c r="K529" s="102"/>
      <c r="L529" s="105">
        <v>20201118</v>
      </c>
    </row>
    <row r="530" spans="1:12">
      <c r="A530" s="132">
        <v>528</v>
      </c>
      <c r="B530" s="102" t="s">
        <v>7412</v>
      </c>
      <c r="C530" s="5" t="s">
        <v>8409</v>
      </c>
      <c r="D530" s="102" t="s">
        <v>8410</v>
      </c>
      <c r="E530" s="109">
        <v>2020</v>
      </c>
      <c r="F530" s="109">
        <v>2020</v>
      </c>
      <c r="G530" s="102" t="s">
        <v>3359</v>
      </c>
      <c r="H530" s="102">
        <v>200</v>
      </c>
      <c r="I530" s="102">
        <v>200</v>
      </c>
      <c r="J530" s="102"/>
      <c r="K530" s="102"/>
      <c r="L530" s="105">
        <v>20201118</v>
      </c>
    </row>
    <row r="531" spans="1:12">
      <c r="A531" s="132">
        <v>529</v>
      </c>
      <c r="B531" s="102" t="s">
        <v>7412</v>
      </c>
      <c r="C531" s="5" t="s">
        <v>8411</v>
      </c>
      <c r="D531" s="102" t="s">
        <v>8412</v>
      </c>
      <c r="E531" s="109">
        <v>2020</v>
      </c>
      <c r="F531" s="109">
        <v>2020</v>
      </c>
      <c r="G531" s="102" t="s">
        <v>3359</v>
      </c>
      <c r="H531" s="102">
        <v>200</v>
      </c>
      <c r="I531" s="102">
        <v>200</v>
      </c>
      <c r="J531" s="102"/>
      <c r="K531" s="102"/>
      <c r="L531" s="105">
        <v>20201118</v>
      </c>
    </row>
    <row r="532" spans="1:12">
      <c r="A532" s="132">
        <v>530</v>
      </c>
      <c r="B532" s="102" t="s">
        <v>7412</v>
      </c>
      <c r="C532" s="5" t="s">
        <v>8413</v>
      </c>
      <c r="D532" s="102" t="s">
        <v>8414</v>
      </c>
      <c r="E532" s="109">
        <v>2020</v>
      </c>
      <c r="F532" s="109">
        <v>2020</v>
      </c>
      <c r="G532" s="102" t="s">
        <v>3359</v>
      </c>
      <c r="H532" s="102">
        <v>200</v>
      </c>
      <c r="I532" s="102">
        <v>200</v>
      </c>
      <c r="J532" s="102"/>
      <c r="K532" s="102"/>
      <c r="L532" s="105">
        <v>20201118</v>
      </c>
    </row>
    <row r="533" spans="1:12">
      <c r="A533" s="132">
        <v>531</v>
      </c>
      <c r="B533" s="102" t="s">
        <v>7412</v>
      </c>
      <c r="C533" s="5" t="s">
        <v>8415</v>
      </c>
      <c r="D533" s="102" t="s">
        <v>8416</v>
      </c>
      <c r="E533" s="109">
        <v>2020</v>
      </c>
      <c r="F533" s="109">
        <v>2020</v>
      </c>
      <c r="G533" s="102" t="s">
        <v>3359</v>
      </c>
      <c r="H533" s="102">
        <v>200</v>
      </c>
      <c r="I533" s="102">
        <v>200</v>
      </c>
      <c r="J533" s="102"/>
      <c r="K533" s="102"/>
      <c r="L533" s="105">
        <v>20201118</v>
      </c>
    </row>
    <row r="534" spans="1:12">
      <c r="A534" s="132">
        <v>532</v>
      </c>
      <c r="B534" s="102" t="s">
        <v>7412</v>
      </c>
      <c r="C534" s="5" t="s">
        <v>8417</v>
      </c>
      <c r="D534" s="102" t="s">
        <v>8418</v>
      </c>
      <c r="E534" s="109">
        <v>2020</v>
      </c>
      <c r="F534" s="109">
        <v>2020</v>
      </c>
      <c r="G534" s="102" t="s">
        <v>3359</v>
      </c>
      <c r="H534" s="102">
        <v>200</v>
      </c>
      <c r="I534" s="102">
        <v>200</v>
      </c>
      <c r="J534" s="102"/>
      <c r="K534" s="102"/>
      <c r="L534" s="105">
        <v>20201118</v>
      </c>
    </row>
    <row r="535" spans="1:12">
      <c r="A535" s="132">
        <v>533</v>
      </c>
      <c r="B535" s="102" t="s">
        <v>7412</v>
      </c>
      <c r="C535" s="5" t="s">
        <v>8419</v>
      </c>
      <c r="D535" s="102" t="s">
        <v>8420</v>
      </c>
      <c r="E535" s="109">
        <v>2020</v>
      </c>
      <c r="F535" s="109">
        <v>2020</v>
      </c>
      <c r="G535" s="102" t="s">
        <v>3359</v>
      </c>
      <c r="H535" s="102">
        <v>200</v>
      </c>
      <c r="I535" s="102">
        <v>200</v>
      </c>
      <c r="J535" s="102"/>
      <c r="K535" s="102"/>
      <c r="L535" s="105">
        <v>20201118</v>
      </c>
    </row>
    <row r="536" spans="1:12">
      <c r="A536" s="132">
        <v>534</v>
      </c>
      <c r="B536" s="102" t="s">
        <v>7412</v>
      </c>
      <c r="C536" s="5" t="s">
        <v>8421</v>
      </c>
      <c r="D536" s="102" t="s">
        <v>8422</v>
      </c>
      <c r="E536" s="109">
        <v>2020</v>
      </c>
      <c r="F536" s="109">
        <v>2020</v>
      </c>
      <c r="G536" s="102" t="s">
        <v>3359</v>
      </c>
      <c r="H536" s="102">
        <v>200</v>
      </c>
      <c r="I536" s="102">
        <v>200</v>
      </c>
      <c r="J536" s="102"/>
      <c r="K536" s="102"/>
      <c r="L536" s="105">
        <v>20201118</v>
      </c>
    </row>
    <row r="537" spans="1:12">
      <c r="A537" s="132">
        <v>535</v>
      </c>
      <c r="B537" s="102" t="s">
        <v>7412</v>
      </c>
      <c r="C537" s="5" t="s">
        <v>8423</v>
      </c>
      <c r="D537" s="102" t="s">
        <v>8424</v>
      </c>
      <c r="E537" s="109">
        <v>2020</v>
      </c>
      <c r="F537" s="109">
        <v>2020</v>
      </c>
      <c r="G537" s="102" t="s">
        <v>3359</v>
      </c>
      <c r="H537" s="102">
        <v>200</v>
      </c>
      <c r="I537" s="102">
        <v>200</v>
      </c>
      <c r="J537" s="102"/>
      <c r="K537" s="102"/>
      <c r="L537" s="105">
        <v>20201118</v>
      </c>
    </row>
    <row r="538" spans="1:12">
      <c r="A538" s="132">
        <v>536</v>
      </c>
      <c r="B538" s="102" t="s">
        <v>7412</v>
      </c>
      <c r="C538" s="5" t="s">
        <v>8425</v>
      </c>
      <c r="D538" s="102" t="s">
        <v>8426</v>
      </c>
      <c r="E538" s="109">
        <v>2020</v>
      </c>
      <c r="F538" s="109">
        <v>2020</v>
      </c>
      <c r="G538" s="102" t="s">
        <v>3359</v>
      </c>
      <c r="H538" s="102">
        <v>200</v>
      </c>
      <c r="I538" s="102">
        <v>200</v>
      </c>
      <c r="J538" s="102"/>
      <c r="K538" s="102"/>
      <c r="L538" s="105">
        <v>20201118</v>
      </c>
    </row>
    <row r="539" spans="1:12">
      <c r="A539" s="132">
        <v>537</v>
      </c>
      <c r="B539" s="102" t="s">
        <v>7412</v>
      </c>
      <c r="C539" s="5" t="s">
        <v>1402</v>
      </c>
      <c r="D539" s="102" t="s">
        <v>8427</v>
      </c>
      <c r="E539" s="109">
        <v>2020</v>
      </c>
      <c r="F539" s="109">
        <v>2020</v>
      </c>
      <c r="G539" s="102" t="s">
        <v>3359</v>
      </c>
      <c r="H539" s="102">
        <v>200</v>
      </c>
      <c r="I539" s="102">
        <v>200</v>
      </c>
      <c r="J539" s="102"/>
      <c r="K539" s="102"/>
      <c r="L539" s="105">
        <v>20201118</v>
      </c>
    </row>
    <row r="540" spans="1:12">
      <c r="A540" s="132">
        <v>538</v>
      </c>
      <c r="B540" s="102" t="s">
        <v>7412</v>
      </c>
      <c r="C540" s="5" t="s">
        <v>8428</v>
      </c>
      <c r="D540" s="102" t="s">
        <v>8429</v>
      </c>
      <c r="E540" s="109">
        <v>2020</v>
      </c>
      <c r="F540" s="109">
        <v>2020</v>
      </c>
      <c r="G540" s="102" t="s">
        <v>3359</v>
      </c>
      <c r="H540" s="102">
        <v>1000</v>
      </c>
      <c r="I540" s="102">
        <v>1000</v>
      </c>
      <c r="J540" s="102"/>
      <c r="K540" s="102"/>
      <c r="L540" s="105">
        <v>20201118</v>
      </c>
    </row>
    <row r="541" spans="1:12">
      <c r="A541" s="132">
        <v>539</v>
      </c>
      <c r="B541" s="102" t="s">
        <v>7412</v>
      </c>
      <c r="C541" s="5" t="s">
        <v>8430</v>
      </c>
      <c r="D541" s="102" t="s">
        <v>8431</v>
      </c>
      <c r="E541" s="109">
        <v>2020</v>
      </c>
      <c r="F541" s="109">
        <v>2020</v>
      </c>
      <c r="G541" s="102" t="s">
        <v>3359</v>
      </c>
      <c r="H541" s="102">
        <v>200</v>
      </c>
      <c r="I541" s="102">
        <v>200</v>
      </c>
      <c r="J541" s="102"/>
      <c r="K541" s="102"/>
      <c r="L541" s="105">
        <v>20201118</v>
      </c>
    </row>
    <row r="542" spans="1:12">
      <c r="A542" s="132">
        <v>540</v>
      </c>
      <c r="B542" s="102" t="s">
        <v>7412</v>
      </c>
      <c r="C542" s="5" t="s">
        <v>8432</v>
      </c>
      <c r="D542" s="102" t="s">
        <v>8433</v>
      </c>
      <c r="E542" s="109">
        <v>2020</v>
      </c>
      <c r="F542" s="109">
        <v>2020</v>
      </c>
      <c r="G542" s="102" t="s">
        <v>3359</v>
      </c>
      <c r="H542" s="102">
        <v>200</v>
      </c>
      <c r="I542" s="102">
        <v>200</v>
      </c>
      <c r="J542" s="102"/>
      <c r="K542" s="102"/>
      <c r="L542" s="105">
        <v>20201118</v>
      </c>
    </row>
    <row r="543" spans="1:12">
      <c r="A543" s="132">
        <v>541</v>
      </c>
      <c r="B543" s="102" t="s">
        <v>7412</v>
      </c>
      <c r="C543" s="5" t="s">
        <v>2595</v>
      </c>
      <c r="D543" s="102" t="s">
        <v>8434</v>
      </c>
      <c r="E543" s="109">
        <v>2020</v>
      </c>
      <c r="F543" s="109">
        <v>2020</v>
      </c>
      <c r="G543" s="102" t="s">
        <v>3359</v>
      </c>
      <c r="H543" s="102">
        <v>200</v>
      </c>
      <c r="I543" s="102">
        <v>200</v>
      </c>
      <c r="J543" s="102"/>
      <c r="K543" s="102"/>
      <c r="L543" s="105">
        <v>20201118</v>
      </c>
    </row>
    <row r="544" spans="1:12">
      <c r="A544" s="132">
        <v>542</v>
      </c>
      <c r="B544" s="102" t="s">
        <v>7412</v>
      </c>
      <c r="C544" s="5" t="s">
        <v>7130</v>
      </c>
      <c r="D544" s="102" t="s">
        <v>8435</v>
      </c>
      <c r="E544" s="109">
        <v>2020</v>
      </c>
      <c r="F544" s="109">
        <v>2020</v>
      </c>
      <c r="G544" s="102" t="s">
        <v>3359</v>
      </c>
      <c r="H544" s="102">
        <v>300</v>
      </c>
      <c r="I544" s="102">
        <v>300</v>
      </c>
      <c r="J544" s="102"/>
      <c r="K544" s="102"/>
      <c r="L544" s="105">
        <v>20201118</v>
      </c>
    </row>
    <row r="545" spans="1:12">
      <c r="A545" s="132">
        <v>543</v>
      </c>
      <c r="B545" s="102" t="s">
        <v>7412</v>
      </c>
      <c r="C545" s="5" t="s">
        <v>8436</v>
      </c>
      <c r="D545" s="102" t="s">
        <v>8437</v>
      </c>
      <c r="E545" s="109">
        <v>2020</v>
      </c>
      <c r="F545" s="109">
        <v>2020</v>
      </c>
      <c r="G545" s="102" t="s">
        <v>3359</v>
      </c>
      <c r="H545" s="102">
        <v>200</v>
      </c>
      <c r="I545" s="102">
        <v>200</v>
      </c>
      <c r="J545" s="102"/>
      <c r="K545" s="102"/>
      <c r="L545" s="105">
        <v>20201118</v>
      </c>
    </row>
    <row r="546" spans="1:12">
      <c r="A546" s="132">
        <v>544</v>
      </c>
      <c r="B546" s="102" t="s">
        <v>7412</v>
      </c>
      <c r="C546" s="5" t="s">
        <v>8438</v>
      </c>
      <c r="D546" s="102" t="s">
        <v>8439</v>
      </c>
      <c r="E546" s="109">
        <v>2020</v>
      </c>
      <c r="F546" s="109">
        <v>2020</v>
      </c>
      <c r="G546" s="102" t="s">
        <v>3359</v>
      </c>
      <c r="H546" s="102">
        <v>200</v>
      </c>
      <c r="I546" s="102">
        <v>200</v>
      </c>
      <c r="J546" s="102"/>
      <c r="K546" s="102"/>
      <c r="L546" s="105">
        <v>20201118</v>
      </c>
    </row>
    <row r="547" spans="1:12">
      <c r="A547" s="132">
        <v>545</v>
      </c>
      <c r="B547" s="102" t="s">
        <v>7412</v>
      </c>
      <c r="C547" s="5" t="s">
        <v>8440</v>
      </c>
      <c r="D547" s="102" t="s">
        <v>8441</v>
      </c>
      <c r="E547" s="109">
        <v>2020</v>
      </c>
      <c r="F547" s="109">
        <v>2020</v>
      </c>
      <c r="G547" s="102" t="s">
        <v>3359</v>
      </c>
      <c r="H547" s="102">
        <v>200</v>
      </c>
      <c r="I547" s="102">
        <v>200</v>
      </c>
      <c r="J547" s="102"/>
      <c r="K547" s="102"/>
      <c r="L547" s="105">
        <v>20201118</v>
      </c>
    </row>
    <row r="548" spans="1:12">
      <c r="A548" s="132">
        <v>546</v>
      </c>
      <c r="B548" s="102" t="s">
        <v>7412</v>
      </c>
      <c r="C548" s="5" t="s">
        <v>8442</v>
      </c>
      <c r="D548" s="102" t="s">
        <v>8443</v>
      </c>
      <c r="E548" s="109">
        <v>2020</v>
      </c>
      <c r="F548" s="109">
        <v>2020</v>
      </c>
      <c r="G548" s="102" t="s">
        <v>3359</v>
      </c>
      <c r="H548" s="102">
        <v>200</v>
      </c>
      <c r="I548" s="102">
        <v>200</v>
      </c>
      <c r="J548" s="102"/>
      <c r="K548" s="102"/>
      <c r="L548" s="105">
        <v>20201118</v>
      </c>
    </row>
    <row r="549" spans="1:12">
      <c r="A549" s="132">
        <v>547</v>
      </c>
      <c r="B549" s="102" t="s">
        <v>7412</v>
      </c>
      <c r="C549" s="5" t="s">
        <v>8444</v>
      </c>
      <c r="D549" s="102" t="s">
        <v>8445</v>
      </c>
      <c r="E549" s="109">
        <v>2020</v>
      </c>
      <c r="F549" s="109">
        <v>2020</v>
      </c>
      <c r="G549" s="102" t="s">
        <v>3359</v>
      </c>
      <c r="H549" s="102">
        <v>200</v>
      </c>
      <c r="I549" s="102">
        <v>200</v>
      </c>
      <c r="J549" s="102"/>
      <c r="K549" s="102"/>
      <c r="L549" s="105">
        <v>20201118</v>
      </c>
    </row>
    <row r="550" spans="1:12">
      <c r="A550" s="132">
        <v>548</v>
      </c>
      <c r="B550" s="102" t="s">
        <v>7412</v>
      </c>
      <c r="C550" s="5" t="s">
        <v>8446</v>
      </c>
      <c r="D550" s="102" t="s">
        <v>8447</v>
      </c>
      <c r="E550" s="109">
        <v>2020</v>
      </c>
      <c r="F550" s="109">
        <v>2020</v>
      </c>
      <c r="G550" s="102" t="s">
        <v>3359</v>
      </c>
      <c r="H550" s="102">
        <v>200</v>
      </c>
      <c r="I550" s="102">
        <v>200</v>
      </c>
      <c r="J550" s="102"/>
      <c r="K550" s="102"/>
      <c r="L550" s="105">
        <v>20201118</v>
      </c>
    </row>
    <row r="551" spans="1:12">
      <c r="A551" s="132">
        <v>549</v>
      </c>
      <c r="B551" s="102" t="s">
        <v>7412</v>
      </c>
      <c r="C551" s="5" t="s">
        <v>8448</v>
      </c>
      <c r="D551" s="102" t="s">
        <v>8449</v>
      </c>
      <c r="E551" s="109">
        <v>2020</v>
      </c>
      <c r="F551" s="109">
        <v>2020</v>
      </c>
      <c r="G551" s="102" t="s">
        <v>3359</v>
      </c>
      <c r="H551" s="102">
        <v>200</v>
      </c>
      <c r="I551" s="102">
        <v>200</v>
      </c>
      <c r="J551" s="102"/>
      <c r="K551" s="102"/>
      <c r="L551" s="105">
        <v>20201118</v>
      </c>
    </row>
    <row r="552" spans="1:12">
      <c r="A552" s="132">
        <v>550</v>
      </c>
      <c r="B552" s="102" t="s">
        <v>7412</v>
      </c>
      <c r="C552" s="5" t="s">
        <v>8314</v>
      </c>
      <c r="D552" s="102" t="s">
        <v>8450</v>
      </c>
      <c r="E552" s="109">
        <v>2020</v>
      </c>
      <c r="F552" s="109">
        <v>2020</v>
      </c>
      <c r="G552" s="102" t="s">
        <v>3359</v>
      </c>
      <c r="H552" s="102">
        <v>200</v>
      </c>
      <c r="I552" s="102">
        <v>200</v>
      </c>
      <c r="J552" s="102"/>
      <c r="K552" s="102"/>
      <c r="L552" s="105">
        <v>20201118</v>
      </c>
    </row>
    <row r="553" spans="1:12">
      <c r="A553" s="132">
        <v>551</v>
      </c>
      <c r="B553" s="102" t="s">
        <v>7412</v>
      </c>
      <c r="C553" s="5" t="s">
        <v>8451</v>
      </c>
      <c r="D553" s="102" t="s">
        <v>8452</v>
      </c>
      <c r="E553" s="109">
        <v>2020</v>
      </c>
      <c r="F553" s="109">
        <v>2020</v>
      </c>
      <c r="G553" s="102" t="s">
        <v>3359</v>
      </c>
      <c r="H553" s="102">
        <v>200</v>
      </c>
      <c r="I553" s="102">
        <v>200</v>
      </c>
      <c r="J553" s="102"/>
      <c r="K553" s="102"/>
      <c r="L553" s="105">
        <v>20201118</v>
      </c>
    </row>
    <row r="554" spans="1:12">
      <c r="A554" s="132">
        <v>552</v>
      </c>
      <c r="B554" s="102" t="s">
        <v>7412</v>
      </c>
      <c r="C554" s="5" t="s">
        <v>8453</v>
      </c>
      <c r="D554" s="102" t="s">
        <v>8454</v>
      </c>
      <c r="E554" s="109">
        <v>2020</v>
      </c>
      <c r="F554" s="109">
        <v>2020</v>
      </c>
      <c r="G554" s="102" t="s">
        <v>3359</v>
      </c>
      <c r="H554" s="102">
        <v>200</v>
      </c>
      <c r="I554" s="102">
        <v>200</v>
      </c>
      <c r="J554" s="102"/>
      <c r="K554" s="102"/>
      <c r="L554" s="105">
        <v>20201118</v>
      </c>
    </row>
    <row r="555" spans="1:12">
      <c r="A555" s="132">
        <v>553</v>
      </c>
      <c r="B555" s="102" t="s">
        <v>7412</v>
      </c>
      <c r="C555" s="5" t="s">
        <v>8455</v>
      </c>
      <c r="D555" s="102" t="s">
        <v>8456</v>
      </c>
      <c r="E555" s="109">
        <v>2020</v>
      </c>
      <c r="F555" s="109">
        <v>2020</v>
      </c>
      <c r="G555" s="102" t="s">
        <v>3359</v>
      </c>
      <c r="H555" s="102">
        <v>200</v>
      </c>
      <c r="I555" s="102">
        <v>200</v>
      </c>
      <c r="J555" s="102"/>
      <c r="K555" s="102"/>
      <c r="L555" s="105">
        <v>20201118</v>
      </c>
    </row>
    <row r="556" spans="1:12">
      <c r="A556" s="132">
        <v>554</v>
      </c>
      <c r="B556" s="102" t="s">
        <v>7412</v>
      </c>
      <c r="C556" s="5" t="s">
        <v>8457</v>
      </c>
      <c r="D556" s="102" t="s">
        <v>8458</v>
      </c>
      <c r="E556" s="109">
        <v>2020</v>
      </c>
      <c r="F556" s="109">
        <v>2020</v>
      </c>
      <c r="G556" s="102" t="s">
        <v>3359</v>
      </c>
      <c r="H556" s="102">
        <v>200</v>
      </c>
      <c r="I556" s="102">
        <v>200</v>
      </c>
      <c r="J556" s="102"/>
      <c r="K556" s="102"/>
      <c r="L556" s="105">
        <v>20201118</v>
      </c>
    </row>
    <row r="557" spans="1:12">
      <c r="A557" s="132">
        <v>555</v>
      </c>
      <c r="B557" s="102" t="s">
        <v>7412</v>
      </c>
      <c r="C557" s="5" t="s">
        <v>8459</v>
      </c>
      <c r="D557" s="102" t="s">
        <v>8460</v>
      </c>
      <c r="E557" s="109">
        <v>2020</v>
      </c>
      <c r="F557" s="109">
        <v>2020</v>
      </c>
      <c r="G557" s="102" t="s">
        <v>3359</v>
      </c>
      <c r="H557" s="102">
        <v>200</v>
      </c>
      <c r="I557" s="102">
        <v>200</v>
      </c>
      <c r="J557" s="102"/>
      <c r="K557" s="102"/>
      <c r="L557" s="105">
        <v>20201118</v>
      </c>
    </row>
    <row r="558" spans="1:12">
      <c r="A558" s="132">
        <v>556</v>
      </c>
      <c r="B558" s="102" t="s">
        <v>7412</v>
      </c>
      <c r="C558" s="5" t="s">
        <v>8461</v>
      </c>
      <c r="D558" s="102" t="s">
        <v>8462</v>
      </c>
      <c r="E558" s="109">
        <v>2020</v>
      </c>
      <c r="F558" s="109">
        <v>2020</v>
      </c>
      <c r="G558" s="102" t="s">
        <v>3359</v>
      </c>
      <c r="H558" s="102">
        <v>200</v>
      </c>
      <c r="I558" s="102">
        <v>200</v>
      </c>
      <c r="J558" s="102"/>
      <c r="K558" s="102"/>
      <c r="L558" s="105">
        <v>20201118</v>
      </c>
    </row>
    <row r="559" spans="1:12">
      <c r="A559" s="132">
        <v>557</v>
      </c>
      <c r="B559" s="102" t="s">
        <v>7412</v>
      </c>
      <c r="C559" s="5" t="s">
        <v>8463</v>
      </c>
      <c r="D559" s="102" t="s">
        <v>8464</v>
      </c>
      <c r="E559" s="109">
        <v>2020</v>
      </c>
      <c r="F559" s="109">
        <v>2020</v>
      </c>
      <c r="G559" s="102" t="s">
        <v>3359</v>
      </c>
      <c r="H559" s="102">
        <v>200</v>
      </c>
      <c r="I559" s="102">
        <v>200</v>
      </c>
      <c r="J559" s="102"/>
      <c r="K559" s="102"/>
      <c r="L559" s="105">
        <v>20201118</v>
      </c>
    </row>
    <row r="560" spans="1:12">
      <c r="A560" s="132">
        <v>558</v>
      </c>
      <c r="B560" s="102" t="s">
        <v>7412</v>
      </c>
      <c r="C560" s="5" t="s">
        <v>8465</v>
      </c>
      <c r="D560" s="102" t="s">
        <v>8466</v>
      </c>
      <c r="E560" s="109">
        <v>2020</v>
      </c>
      <c r="F560" s="109">
        <v>2020</v>
      </c>
      <c r="G560" s="102" t="s">
        <v>3359</v>
      </c>
      <c r="H560" s="102">
        <v>200</v>
      </c>
      <c r="I560" s="102">
        <v>200</v>
      </c>
      <c r="J560" s="102"/>
      <c r="K560" s="102"/>
      <c r="L560" s="105">
        <v>20201118</v>
      </c>
    </row>
    <row r="561" spans="1:12">
      <c r="A561" s="132">
        <v>559</v>
      </c>
      <c r="B561" s="102" t="s">
        <v>7412</v>
      </c>
      <c r="C561" s="5" t="s">
        <v>8467</v>
      </c>
      <c r="D561" s="102" t="s">
        <v>8468</v>
      </c>
      <c r="E561" s="109">
        <v>2020</v>
      </c>
      <c r="F561" s="109">
        <v>2020</v>
      </c>
      <c r="G561" s="102" t="s">
        <v>3359</v>
      </c>
      <c r="H561" s="102">
        <v>200</v>
      </c>
      <c r="I561" s="102">
        <v>200</v>
      </c>
      <c r="J561" s="102"/>
      <c r="K561" s="102"/>
      <c r="L561" s="105">
        <v>20201118</v>
      </c>
    </row>
    <row r="562" spans="1:12">
      <c r="A562" s="132">
        <v>560</v>
      </c>
      <c r="B562" s="102" t="s">
        <v>7412</v>
      </c>
      <c r="C562" s="5" t="s">
        <v>8469</v>
      </c>
      <c r="D562" s="102" t="s">
        <v>8470</v>
      </c>
      <c r="E562" s="109">
        <v>2020</v>
      </c>
      <c r="F562" s="109">
        <v>2020</v>
      </c>
      <c r="G562" s="102" t="s">
        <v>3359</v>
      </c>
      <c r="H562" s="102">
        <v>200</v>
      </c>
      <c r="I562" s="102">
        <v>200</v>
      </c>
      <c r="J562" s="102"/>
      <c r="K562" s="102"/>
      <c r="L562" s="105">
        <v>20201118</v>
      </c>
    </row>
    <row r="563" spans="1:12">
      <c r="A563" s="132">
        <v>561</v>
      </c>
      <c r="B563" s="102" t="s">
        <v>7412</v>
      </c>
      <c r="C563" s="5" t="s">
        <v>8471</v>
      </c>
      <c r="D563" s="102" t="s">
        <v>8472</v>
      </c>
      <c r="E563" s="109">
        <v>2020</v>
      </c>
      <c r="F563" s="109">
        <v>2020</v>
      </c>
      <c r="G563" s="102" t="s">
        <v>3359</v>
      </c>
      <c r="H563" s="102">
        <v>200</v>
      </c>
      <c r="I563" s="102">
        <v>200</v>
      </c>
      <c r="J563" s="102"/>
      <c r="K563" s="102"/>
      <c r="L563" s="105">
        <v>20201118</v>
      </c>
    </row>
    <row r="564" spans="1:12">
      <c r="A564" s="132">
        <v>562</v>
      </c>
      <c r="B564" s="102" t="s">
        <v>7412</v>
      </c>
      <c r="C564" s="5" t="s">
        <v>8473</v>
      </c>
      <c r="D564" s="102" t="s">
        <v>8474</v>
      </c>
      <c r="E564" s="109">
        <v>2020</v>
      </c>
      <c r="F564" s="109">
        <v>2020</v>
      </c>
      <c r="G564" s="102" t="s">
        <v>3359</v>
      </c>
      <c r="H564" s="102">
        <v>200</v>
      </c>
      <c r="I564" s="102">
        <v>200</v>
      </c>
      <c r="J564" s="102"/>
      <c r="K564" s="102"/>
      <c r="L564" s="105">
        <v>20201118</v>
      </c>
    </row>
    <row r="565" spans="1:12">
      <c r="A565" s="132">
        <v>563</v>
      </c>
      <c r="B565" s="102" t="s">
        <v>7412</v>
      </c>
      <c r="C565" s="5" t="s">
        <v>8475</v>
      </c>
      <c r="D565" s="102" t="s">
        <v>8476</v>
      </c>
      <c r="E565" s="109">
        <v>2020</v>
      </c>
      <c r="F565" s="109">
        <v>2020</v>
      </c>
      <c r="G565" s="102" t="s">
        <v>3359</v>
      </c>
      <c r="H565" s="102">
        <v>200</v>
      </c>
      <c r="I565" s="102">
        <v>200</v>
      </c>
      <c r="J565" s="102"/>
      <c r="K565" s="102"/>
      <c r="L565" s="105">
        <v>20201118</v>
      </c>
    </row>
    <row r="566" spans="1:12">
      <c r="A566" s="132">
        <v>564</v>
      </c>
      <c r="B566" s="102" t="s">
        <v>7412</v>
      </c>
      <c r="C566" s="5" t="s">
        <v>8477</v>
      </c>
      <c r="D566" s="102" t="s">
        <v>8478</v>
      </c>
      <c r="E566" s="109">
        <v>2020</v>
      </c>
      <c r="F566" s="109">
        <v>2020</v>
      </c>
      <c r="G566" s="102" t="s">
        <v>3359</v>
      </c>
      <c r="H566" s="102">
        <v>200</v>
      </c>
      <c r="I566" s="102">
        <v>200</v>
      </c>
      <c r="J566" s="102"/>
      <c r="K566" s="102"/>
      <c r="L566" s="105">
        <v>20201118</v>
      </c>
    </row>
    <row r="567" spans="1:12">
      <c r="A567" s="132">
        <v>565</v>
      </c>
      <c r="B567" s="102" t="s">
        <v>7412</v>
      </c>
      <c r="C567" s="5" t="s">
        <v>8479</v>
      </c>
      <c r="D567" s="102" t="s">
        <v>8480</v>
      </c>
      <c r="E567" s="109">
        <v>2020</v>
      </c>
      <c r="F567" s="109">
        <v>2020</v>
      </c>
      <c r="G567" s="102" t="s">
        <v>3359</v>
      </c>
      <c r="H567" s="102">
        <v>200</v>
      </c>
      <c r="I567" s="102">
        <v>200</v>
      </c>
      <c r="J567" s="102"/>
      <c r="K567" s="102"/>
      <c r="L567" s="105">
        <v>20201118</v>
      </c>
    </row>
    <row r="568" spans="1:12">
      <c r="A568" s="132">
        <v>566</v>
      </c>
      <c r="B568" s="102" t="s">
        <v>7412</v>
      </c>
      <c r="C568" s="5" t="s">
        <v>878</v>
      </c>
      <c r="D568" s="102" t="s">
        <v>8481</v>
      </c>
      <c r="E568" s="109">
        <v>2020</v>
      </c>
      <c r="F568" s="109">
        <v>2020</v>
      </c>
      <c r="G568" s="102" t="s">
        <v>3359</v>
      </c>
      <c r="H568" s="102">
        <v>200</v>
      </c>
      <c r="I568" s="102">
        <v>200</v>
      </c>
      <c r="J568" s="102"/>
      <c r="K568" s="102"/>
      <c r="L568" s="105">
        <v>20201118</v>
      </c>
    </row>
    <row r="569" spans="1:12">
      <c r="A569" s="132">
        <v>567</v>
      </c>
      <c r="B569" s="102" t="s">
        <v>7412</v>
      </c>
      <c r="C569" s="5" t="s">
        <v>8482</v>
      </c>
      <c r="D569" s="102" t="s">
        <v>8483</v>
      </c>
      <c r="E569" s="109">
        <v>2020</v>
      </c>
      <c r="F569" s="109">
        <v>2020</v>
      </c>
      <c r="G569" s="102" t="s">
        <v>3359</v>
      </c>
      <c r="H569" s="102">
        <v>200</v>
      </c>
      <c r="I569" s="102">
        <v>200</v>
      </c>
      <c r="J569" s="102"/>
      <c r="K569" s="102"/>
      <c r="L569" s="105">
        <v>20201118</v>
      </c>
    </row>
    <row r="570" spans="1:12">
      <c r="A570" s="132">
        <v>568</v>
      </c>
      <c r="B570" s="102" t="s">
        <v>7412</v>
      </c>
      <c r="C570" s="5" t="s">
        <v>8484</v>
      </c>
      <c r="D570" s="102" t="s">
        <v>8485</v>
      </c>
      <c r="E570" s="109">
        <v>2020</v>
      </c>
      <c r="F570" s="109">
        <v>2020</v>
      </c>
      <c r="G570" s="102" t="s">
        <v>3359</v>
      </c>
      <c r="H570" s="102">
        <v>200</v>
      </c>
      <c r="I570" s="102">
        <v>200</v>
      </c>
      <c r="J570" s="102"/>
      <c r="K570" s="102"/>
      <c r="L570" s="105">
        <v>20201118</v>
      </c>
    </row>
    <row r="571" spans="1:12">
      <c r="A571" s="132">
        <v>569</v>
      </c>
      <c r="B571" s="102" t="s">
        <v>7412</v>
      </c>
      <c r="C571" s="5" t="s">
        <v>8486</v>
      </c>
      <c r="D571" s="102" t="s">
        <v>8487</v>
      </c>
      <c r="E571" s="109">
        <v>2020</v>
      </c>
      <c r="F571" s="109">
        <v>2020</v>
      </c>
      <c r="G571" s="102" t="s">
        <v>3359</v>
      </c>
      <c r="H571" s="102">
        <v>500</v>
      </c>
      <c r="I571" s="102">
        <v>500</v>
      </c>
      <c r="J571" s="102"/>
      <c r="K571" s="102"/>
      <c r="L571" s="105">
        <v>20201118</v>
      </c>
    </row>
    <row r="572" spans="1:12">
      <c r="A572" s="132">
        <v>570</v>
      </c>
      <c r="B572" s="102" t="s">
        <v>7412</v>
      </c>
      <c r="C572" s="5" t="s">
        <v>8488</v>
      </c>
      <c r="D572" s="102" t="s">
        <v>8489</v>
      </c>
      <c r="E572" s="109">
        <v>2020</v>
      </c>
      <c r="F572" s="109">
        <v>2020</v>
      </c>
      <c r="G572" s="102" t="s">
        <v>3359</v>
      </c>
      <c r="H572" s="102">
        <v>200</v>
      </c>
      <c r="I572" s="102">
        <v>200</v>
      </c>
      <c r="J572" s="102"/>
      <c r="K572" s="102"/>
      <c r="L572" s="105">
        <v>20201118</v>
      </c>
    </row>
    <row r="573" spans="1:12">
      <c r="A573" s="132">
        <v>571</v>
      </c>
      <c r="B573" s="102" t="s">
        <v>7412</v>
      </c>
      <c r="C573" s="5" t="s">
        <v>8490</v>
      </c>
      <c r="D573" s="102" t="s">
        <v>8491</v>
      </c>
      <c r="E573" s="109">
        <v>2020</v>
      </c>
      <c r="F573" s="109">
        <v>2020</v>
      </c>
      <c r="G573" s="102" t="s">
        <v>3359</v>
      </c>
      <c r="H573" s="102">
        <v>200</v>
      </c>
      <c r="I573" s="102">
        <v>200</v>
      </c>
      <c r="J573" s="102"/>
      <c r="K573" s="102"/>
      <c r="L573" s="105">
        <v>20201118</v>
      </c>
    </row>
    <row r="574" spans="1:12">
      <c r="A574" s="132">
        <v>572</v>
      </c>
      <c r="B574" s="102" t="s">
        <v>7412</v>
      </c>
      <c r="C574" s="5" t="s">
        <v>8492</v>
      </c>
      <c r="D574" s="297" t="s">
        <v>8493</v>
      </c>
      <c r="E574" s="109">
        <v>2020</v>
      </c>
      <c r="F574" s="109">
        <v>2020</v>
      </c>
      <c r="G574" s="102" t="s">
        <v>3359</v>
      </c>
      <c r="H574" s="102">
        <v>200</v>
      </c>
      <c r="I574" s="102">
        <v>200</v>
      </c>
      <c r="J574" s="102"/>
      <c r="K574" s="102"/>
      <c r="L574" s="105">
        <v>20201118</v>
      </c>
    </row>
    <row r="575" spans="1:12">
      <c r="A575" s="132">
        <v>573</v>
      </c>
      <c r="B575" s="102" t="s">
        <v>7412</v>
      </c>
      <c r="C575" s="5" t="s">
        <v>8494</v>
      </c>
      <c r="D575" s="297" t="s">
        <v>8495</v>
      </c>
      <c r="E575" s="109">
        <v>2020</v>
      </c>
      <c r="F575" s="109">
        <v>2020</v>
      </c>
      <c r="G575" s="102" t="s">
        <v>3359</v>
      </c>
      <c r="H575" s="102">
        <v>200</v>
      </c>
      <c r="I575" s="102">
        <v>200</v>
      </c>
      <c r="J575" s="102"/>
      <c r="K575" s="102"/>
      <c r="L575" s="105">
        <v>20201118</v>
      </c>
    </row>
    <row r="576" spans="1:12">
      <c r="A576" s="132">
        <v>574</v>
      </c>
      <c r="B576" s="102" t="s">
        <v>7412</v>
      </c>
      <c r="C576" s="5" t="s">
        <v>8496</v>
      </c>
      <c r="D576" s="297" t="s">
        <v>8497</v>
      </c>
      <c r="E576" s="179">
        <v>2019</v>
      </c>
      <c r="F576" s="109">
        <v>2020</v>
      </c>
      <c r="G576" s="102" t="s">
        <v>289</v>
      </c>
      <c r="H576" s="102">
        <v>200</v>
      </c>
      <c r="I576" s="102">
        <v>400</v>
      </c>
      <c r="J576" s="102"/>
      <c r="K576" s="102"/>
      <c r="L576" s="105">
        <v>20201118</v>
      </c>
    </row>
    <row r="577" s="146" customFormat="1" spans="1:12">
      <c r="A577" s="132">
        <v>575</v>
      </c>
      <c r="B577" s="102" t="s">
        <v>7412</v>
      </c>
      <c r="C577" s="5" t="s">
        <v>8498</v>
      </c>
      <c r="D577" s="297" t="s">
        <v>8499</v>
      </c>
      <c r="E577" s="109">
        <v>2020</v>
      </c>
      <c r="F577" s="109">
        <v>2020</v>
      </c>
      <c r="G577" s="107" t="s">
        <v>189</v>
      </c>
      <c r="H577" s="102">
        <v>500</v>
      </c>
      <c r="I577" s="102">
        <v>500</v>
      </c>
      <c r="J577" s="102"/>
      <c r="K577" s="102"/>
      <c r="L577" s="105">
        <v>20201118</v>
      </c>
    </row>
    <row r="578" s="146" customFormat="1" spans="1:12">
      <c r="A578" s="132">
        <v>576</v>
      </c>
      <c r="B578" s="102" t="s">
        <v>7412</v>
      </c>
      <c r="C578" s="5" t="s">
        <v>8500</v>
      </c>
      <c r="D578" s="297" t="s">
        <v>8501</v>
      </c>
      <c r="E578" s="109">
        <v>2020</v>
      </c>
      <c r="F578" s="109">
        <v>2020</v>
      </c>
      <c r="G578" s="107" t="s">
        <v>189</v>
      </c>
      <c r="H578" s="102">
        <v>500</v>
      </c>
      <c r="I578" s="102">
        <v>500</v>
      </c>
      <c r="J578" s="102"/>
      <c r="K578" s="102"/>
      <c r="L578" s="105">
        <v>20201118</v>
      </c>
    </row>
    <row r="579" s="146" customFormat="1" spans="1:12">
      <c r="A579" s="132">
        <v>577</v>
      </c>
      <c r="B579" s="102" t="s">
        <v>7412</v>
      </c>
      <c r="C579" s="5" t="s">
        <v>8502</v>
      </c>
      <c r="D579" s="297" t="s">
        <v>8503</v>
      </c>
      <c r="E579" s="109">
        <v>2020</v>
      </c>
      <c r="F579" s="109">
        <v>2020</v>
      </c>
      <c r="G579" s="107" t="s">
        <v>189</v>
      </c>
      <c r="H579" s="102">
        <v>200</v>
      </c>
      <c r="I579" s="102">
        <v>200</v>
      </c>
      <c r="J579" s="102"/>
      <c r="K579" s="102"/>
      <c r="L579" s="105">
        <v>20201118</v>
      </c>
    </row>
    <row r="580" s="146" customFormat="1" spans="1:12">
      <c r="A580" s="132">
        <v>578</v>
      </c>
      <c r="B580" s="102" t="s">
        <v>7412</v>
      </c>
      <c r="C580" s="5" t="s">
        <v>8504</v>
      </c>
      <c r="D580" s="297" t="s">
        <v>8505</v>
      </c>
      <c r="E580" s="109">
        <v>2020</v>
      </c>
      <c r="F580" s="109">
        <v>2020</v>
      </c>
      <c r="G580" s="107" t="s">
        <v>189</v>
      </c>
      <c r="H580" s="102">
        <v>200</v>
      </c>
      <c r="I580" s="102">
        <v>200</v>
      </c>
      <c r="J580" s="102"/>
      <c r="K580" s="102"/>
      <c r="L580" s="105">
        <v>20201118</v>
      </c>
    </row>
    <row r="581" s="146" customFormat="1" spans="1:12">
      <c r="A581" s="132">
        <v>579</v>
      </c>
      <c r="B581" s="102" t="s">
        <v>7412</v>
      </c>
      <c r="C581" s="5" t="s">
        <v>8506</v>
      </c>
      <c r="D581" s="297" t="s">
        <v>8507</v>
      </c>
      <c r="E581" s="109">
        <v>2020</v>
      </c>
      <c r="F581" s="109">
        <v>2020</v>
      </c>
      <c r="G581" s="107" t="s">
        <v>189</v>
      </c>
      <c r="H581" s="102">
        <v>200</v>
      </c>
      <c r="I581" s="102">
        <v>200</v>
      </c>
      <c r="J581" s="102"/>
      <c r="K581" s="102"/>
      <c r="L581" s="105">
        <v>20201118</v>
      </c>
    </row>
    <row r="582" s="146" customFormat="1" spans="1:12">
      <c r="A582" s="132">
        <v>580</v>
      </c>
      <c r="B582" s="102" t="s">
        <v>7412</v>
      </c>
      <c r="C582" s="5" t="s">
        <v>3206</v>
      </c>
      <c r="D582" s="297" t="s">
        <v>8508</v>
      </c>
      <c r="E582" s="109">
        <v>2020</v>
      </c>
      <c r="F582" s="109">
        <v>2020</v>
      </c>
      <c r="G582" s="107" t="s">
        <v>189</v>
      </c>
      <c r="H582" s="102">
        <v>500</v>
      </c>
      <c r="I582" s="102">
        <v>500</v>
      </c>
      <c r="J582" s="102"/>
      <c r="K582" s="102"/>
      <c r="L582" s="105">
        <v>20201118</v>
      </c>
    </row>
    <row r="583" s="146" customFormat="1" spans="1:12">
      <c r="A583" s="132">
        <v>581</v>
      </c>
      <c r="B583" s="102" t="s">
        <v>7412</v>
      </c>
      <c r="C583" s="5" t="s">
        <v>8509</v>
      </c>
      <c r="D583" s="297" t="s">
        <v>8510</v>
      </c>
      <c r="E583" s="109">
        <v>2020</v>
      </c>
      <c r="F583" s="109">
        <v>2020</v>
      </c>
      <c r="G583" s="107" t="s">
        <v>189</v>
      </c>
      <c r="H583" s="102">
        <v>200</v>
      </c>
      <c r="I583" s="102">
        <v>200</v>
      </c>
      <c r="J583" s="102"/>
      <c r="K583" s="102"/>
      <c r="L583" s="105">
        <v>20201118</v>
      </c>
    </row>
    <row r="584" s="146" customFormat="1" spans="1:12">
      <c r="A584" s="132">
        <v>582</v>
      </c>
      <c r="B584" s="102" t="s">
        <v>7412</v>
      </c>
      <c r="C584" s="5" t="s">
        <v>8511</v>
      </c>
      <c r="D584" s="297" t="s">
        <v>8512</v>
      </c>
      <c r="E584" s="179">
        <v>2011</v>
      </c>
      <c r="F584" s="109">
        <v>2020</v>
      </c>
      <c r="G584" s="107" t="s">
        <v>6642</v>
      </c>
      <c r="H584" s="102">
        <v>200</v>
      </c>
      <c r="I584" s="102">
        <v>2000</v>
      </c>
      <c r="J584" s="102"/>
      <c r="K584" s="102"/>
      <c r="L584" s="105">
        <v>20201118</v>
      </c>
    </row>
    <row r="585" s="146" customFormat="1" spans="1:13">
      <c r="A585" s="205"/>
      <c r="B585" s="205"/>
      <c r="C585" s="39"/>
      <c r="D585" s="205"/>
      <c r="E585" s="205"/>
      <c r="F585" s="205"/>
      <c r="G585" s="205"/>
      <c r="H585" s="205"/>
      <c r="I585" s="102" t="s">
        <v>8513</v>
      </c>
      <c r="J585" s="205"/>
      <c r="K585" s="205"/>
      <c r="L585" s="105"/>
      <c r="M585" s="133"/>
    </row>
    <row r="586" s="146" customFormat="1" spans="1:13">
      <c r="A586" s="203"/>
      <c r="B586" s="203"/>
      <c r="C586" s="136"/>
      <c r="D586" s="203"/>
      <c r="E586" s="203"/>
      <c r="F586" s="203"/>
      <c r="G586" s="203"/>
      <c r="H586" s="203"/>
      <c r="I586" s="203"/>
      <c r="J586" s="203"/>
      <c r="K586" s="203"/>
      <c r="L586"/>
      <c r="M586" s="133"/>
    </row>
    <row r="587" s="146" customFormat="1" spans="1:13">
      <c r="A587" s="203"/>
      <c r="B587" s="203"/>
      <c r="C587" s="136"/>
      <c r="D587" s="203"/>
      <c r="E587" s="203"/>
      <c r="F587" s="203"/>
      <c r="G587" s="203"/>
      <c r="H587" s="203"/>
      <c r="I587" s="203"/>
      <c r="J587" s="203"/>
      <c r="K587" s="203"/>
      <c r="L587"/>
      <c r="M587" s="133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2"/>
  <sheetViews>
    <sheetView topLeftCell="A218" workbookViewId="0">
      <selection activeCell="A3" sqref="A3:L261"/>
    </sheetView>
  </sheetViews>
  <sheetFormatPr defaultColWidth="9" defaultRowHeight="13.5"/>
  <cols>
    <col min="1" max="1" width="6.625" style="133" customWidth="1"/>
    <col min="2" max="2" width="8.875" style="133" customWidth="1"/>
    <col min="3" max="3" width="13.75" style="133" customWidth="1"/>
    <col min="4" max="4" width="22.375" style="133" customWidth="1"/>
    <col min="5" max="5" width="9" style="133" customWidth="1"/>
    <col min="6" max="6" width="10.25" style="133" customWidth="1"/>
    <col min="7" max="7" width="14.5" style="133" customWidth="1"/>
    <col min="8" max="8" width="9.875" style="133" customWidth="1"/>
    <col min="9" max="9" width="12.75" style="133" customWidth="1"/>
    <col min="10" max="10" width="13.375" style="133" customWidth="1"/>
    <col min="11" max="11" width="6.625" style="133" customWidth="1"/>
    <col min="12" max="12" width="11.75" customWidth="1"/>
    <col min="13" max="13" width="6.625" style="133" customWidth="1"/>
    <col min="14" max="14" width="9" style="133"/>
    <col min="15" max="16381" width="9" style="146"/>
  </cols>
  <sheetData>
    <row r="1" customFormat="1" ht="18.75" spans="1:12">
      <c r="A1" s="99" t="s">
        <v>8514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5.5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spans="1:12">
      <c r="A3" s="137">
        <v>1</v>
      </c>
      <c r="B3" s="137" t="s">
        <v>8515</v>
      </c>
      <c r="C3" s="137" t="s">
        <v>8516</v>
      </c>
      <c r="D3" s="137" t="s">
        <v>8517</v>
      </c>
      <c r="E3" s="102" t="s">
        <v>15</v>
      </c>
      <c r="F3" s="102">
        <v>2020</v>
      </c>
      <c r="G3" s="137" t="s">
        <v>2480</v>
      </c>
      <c r="H3" s="137">
        <v>200</v>
      </c>
      <c r="I3" s="137">
        <v>200</v>
      </c>
      <c r="J3" s="137"/>
      <c r="K3" s="137"/>
      <c r="L3" s="105">
        <v>20201118</v>
      </c>
    </row>
    <row r="4" spans="1:12">
      <c r="A4" s="137">
        <v>2</v>
      </c>
      <c r="B4" s="137" t="s">
        <v>8515</v>
      </c>
      <c r="C4" s="137" t="s">
        <v>8518</v>
      </c>
      <c r="D4" s="137" t="s">
        <v>8519</v>
      </c>
      <c r="E4" s="102" t="s">
        <v>15</v>
      </c>
      <c r="F4" s="102">
        <v>2020</v>
      </c>
      <c r="G4" s="137" t="s">
        <v>2480</v>
      </c>
      <c r="H4" s="137">
        <v>200</v>
      </c>
      <c r="I4" s="137">
        <v>200</v>
      </c>
      <c r="J4" s="137"/>
      <c r="K4" s="137"/>
      <c r="L4" s="105">
        <v>20201118</v>
      </c>
    </row>
    <row r="5" spans="1:12">
      <c r="A5" s="137">
        <v>3</v>
      </c>
      <c r="B5" s="137" t="s">
        <v>8515</v>
      </c>
      <c r="C5" s="137" t="s">
        <v>8520</v>
      </c>
      <c r="D5" s="137" t="s">
        <v>8521</v>
      </c>
      <c r="E5" s="102" t="s">
        <v>15</v>
      </c>
      <c r="F5" s="102">
        <v>2020</v>
      </c>
      <c r="G5" s="137" t="s">
        <v>2480</v>
      </c>
      <c r="H5" s="137">
        <v>200</v>
      </c>
      <c r="I5" s="137">
        <v>200</v>
      </c>
      <c r="J5" s="137"/>
      <c r="K5" s="137"/>
      <c r="L5" s="105">
        <v>20201118</v>
      </c>
    </row>
    <row r="6" spans="1:12">
      <c r="A6" s="137">
        <v>4</v>
      </c>
      <c r="B6" s="137" t="s">
        <v>8515</v>
      </c>
      <c r="C6" s="137" t="s">
        <v>8522</v>
      </c>
      <c r="D6" s="137" t="s">
        <v>8523</v>
      </c>
      <c r="E6" s="102" t="s">
        <v>15</v>
      </c>
      <c r="F6" s="102">
        <v>2020</v>
      </c>
      <c r="G6" s="137" t="s">
        <v>2480</v>
      </c>
      <c r="H6" s="137">
        <v>200</v>
      </c>
      <c r="I6" s="137">
        <v>200</v>
      </c>
      <c r="J6" s="137"/>
      <c r="K6" s="137"/>
      <c r="L6" s="105">
        <v>20201118</v>
      </c>
    </row>
    <row r="7" spans="1:12">
      <c r="A7" s="137">
        <v>5</v>
      </c>
      <c r="B7" s="137" t="s">
        <v>8515</v>
      </c>
      <c r="C7" s="137" t="s">
        <v>8524</v>
      </c>
      <c r="D7" s="137" t="s">
        <v>8525</v>
      </c>
      <c r="E7" s="102" t="s">
        <v>15</v>
      </c>
      <c r="F7" s="102">
        <v>2020</v>
      </c>
      <c r="G7" s="137" t="s">
        <v>2480</v>
      </c>
      <c r="H7" s="137">
        <v>200</v>
      </c>
      <c r="I7" s="137">
        <v>200</v>
      </c>
      <c r="J7" s="137"/>
      <c r="K7" s="137"/>
      <c r="L7" s="105">
        <v>20201118</v>
      </c>
    </row>
    <row r="8" spans="1:12">
      <c r="A8" s="137">
        <v>6</v>
      </c>
      <c r="B8" s="137" t="s">
        <v>8515</v>
      </c>
      <c r="C8" s="137" t="s">
        <v>8526</v>
      </c>
      <c r="D8" s="137" t="s">
        <v>8527</v>
      </c>
      <c r="E8" s="102" t="s">
        <v>15</v>
      </c>
      <c r="F8" s="102">
        <v>2020</v>
      </c>
      <c r="G8" s="137" t="s">
        <v>2480</v>
      </c>
      <c r="H8" s="137">
        <v>200</v>
      </c>
      <c r="I8" s="137">
        <v>200</v>
      </c>
      <c r="J8" s="137"/>
      <c r="K8" s="137"/>
      <c r="L8" s="105">
        <v>20201118</v>
      </c>
    </row>
    <row r="9" spans="1:12">
      <c r="A9" s="137">
        <v>7</v>
      </c>
      <c r="B9" s="137" t="s">
        <v>8515</v>
      </c>
      <c r="C9" s="137" t="s">
        <v>4946</v>
      </c>
      <c r="D9" s="137" t="s">
        <v>8528</v>
      </c>
      <c r="E9" s="102" t="s">
        <v>15</v>
      </c>
      <c r="F9" s="102">
        <v>2020</v>
      </c>
      <c r="G9" s="137" t="s">
        <v>2480</v>
      </c>
      <c r="H9" s="137">
        <v>200</v>
      </c>
      <c r="I9" s="137">
        <v>200</v>
      </c>
      <c r="J9" s="137"/>
      <c r="K9" s="137"/>
      <c r="L9" s="105">
        <v>20201118</v>
      </c>
    </row>
    <row r="10" spans="1:12">
      <c r="A10" s="137">
        <v>8</v>
      </c>
      <c r="B10" s="137" t="s">
        <v>8515</v>
      </c>
      <c r="C10" s="137" t="s">
        <v>8529</v>
      </c>
      <c r="D10" s="137" t="s">
        <v>8530</v>
      </c>
      <c r="E10" s="102" t="s">
        <v>15</v>
      </c>
      <c r="F10" s="102">
        <v>2020</v>
      </c>
      <c r="G10" s="137" t="s">
        <v>2480</v>
      </c>
      <c r="H10" s="137">
        <v>200</v>
      </c>
      <c r="I10" s="137">
        <v>200</v>
      </c>
      <c r="J10" s="137" t="s">
        <v>1242</v>
      </c>
      <c r="K10" s="137"/>
      <c r="L10" s="105">
        <v>20201118</v>
      </c>
    </row>
    <row r="11" spans="1:12">
      <c r="A11" s="137">
        <v>9</v>
      </c>
      <c r="B11" s="137" t="s">
        <v>8515</v>
      </c>
      <c r="C11" s="137" t="s">
        <v>8531</v>
      </c>
      <c r="D11" s="137" t="s">
        <v>8532</v>
      </c>
      <c r="E11" s="102" t="s">
        <v>15</v>
      </c>
      <c r="F11" s="102">
        <v>2020</v>
      </c>
      <c r="G11" s="137" t="s">
        <v>2480</v>
      </c>
      <c r="H11" s="137">
        <v>200</v>
      </c>
      <c r="I11" s="137">
        <v>200</v>
      </c>
      <c r="J11" s="137" t="s">
        <v>1242</v>
      </c>
      <c r="K11" s="137"/>
      <c r="L11" s="105">
        <v>20201118</v>
      </c>
    </row>
    <row r="12" spans="1:12">
      <c r="A12" s="137">
        <v>10</v>
      </c>
      <c r="B12" s="137" t="s">
        <v>8515</v>
      </c>
      <c r="C12" s="137" t="s">
        <v>8533</v>
      </c>
      <c r="D12" s="137" t="s">
        <v>8534</v>
      </c>
      <c r="E12" s="102" t="s">
        <v>15</v>
      </c>
      <c r="F12" s="102">
        <v>2020</v>
      </c>
      <c r="G12" s="137" t="s">
        <v>2480</v>
      </c>
      <c r="H12" s="137">
        <v>200</v>
      </c>
      <c r="I12" s="137">
        <v>200</v>
      </c>
      <c r="J12" s="137"/>
      <c r="K12" s="137"/>
      <c r="L12" s="105">
        <v>20201118</v>
      </c>
    </row>
    <row r="13" spans="1:12">
      <c r="A13" s="137">
        <v>11</v>
      </c>
      <c r="B13" s="137" t="s">
        <v>8515</v>
      </c>
      <c r="C13" s="137" t="s">
        <v>8438</v>
      </c>
      <c r="D13" s="137" t="s">
        <v>8535</v>
      </c>
      <c r="E13" s="102" t="s">
        <v>15</v>
      </c>
      <c r="F13" s="102">
        <v>2020</v>
      </c>
      <c r="G13" s="137" t="s">
        <v>2480</v>
      </c>
      <c r="H13" s="137">
        <v>200</v>
      </c>
      <c r="I13" s="137">
        <v>200</v>
      </c>
      <c r="J13" s="137"/>
      <c r="K13" s="137"/>
      <c r="L13" s="105">
        <v>20201118</v>
      </c>
    </row>
    <row r="14" spans="1:12">
      <c r="A14" s="137">
        <v>12</v>
      </c>
      <c r="B14" s="137" t="s">
        <v>8515</v>
      </c>
      <c r="C14" s="137" t="s">
        <v>8536</v>
      </c>
      <c r="D14" s="137" t="s">
        <v>8537</v>
      </c>
      <c r="E14" s="102" t="s">
        <v>15</v>
      </c>
      <c r="F14" s="102">
        <v>2020</v>
      </c>
      <c r="G14" s="137" t="s">
        <v>2480</v>
      </c>
      <c r="H14" s="137">
        <v>200</v>
      </c>
      <c r="I14" s="137">
        <v>200</v>
      </c>
      <c r="J14" s="137"/>
      <c r="K14" s="137"/>
      <c r="L14" s="105">
        <v>20201118</v>
      </c>
    </row>
    <row r="15" spans="1:12">
      <c r="A15" s="137">
        <v>13</v>
      </c>
      <c r="B15" s="137" t="s">
        <v>8515</v>
      </c>
      <c r="C15" s="137" t="s">
        <v>8538</v>
      </c>
      <c r="D15" s="137" t="s">
        <v>8539</v>
      </c>
      <c r="E15" s="102" t="s">
        <v>15</v>
      </c>
      <c r="F15" s="102">
        <v>2020</v>
      </c>
      <c r="G15" s="137" t="s">
        <v>2480</v>
      </c>
      <c r="H15" s="137">
        <v>200</v>
      </c>
      <c r="I15" s="137">
        <v>200</v>
      </c>
      <c r="J15" s="137"/>
      <c r="K15" s="137"/>
      <c r="L15" s="105">
        <v>20201118</v>
      </c>
    </row>
    <row r="16" spans="1:12">
      <c r="A16" s="137">
        <v>14</v>
      </c>
      <c r="B16" s="137" t="s">
        <v>8515</v>
      </c>
      <c r="C16" s="137" t="s">
        <v>8540</v>
      </c>
      <c r="D16" s="137" t="s">
        <v>8541</v>
      </c>
      <c r="E16" s="102" t="s">
        <v>15</v>
      </c>
      <c r="F16" s="102">
        <v>2020</v>
      </c>
      <c r="G16" s="137" t="s">
        <v>2480</v>
      </c>
      <c r="H16" s="137">
        <v>200</v>
      </c>
      <c r="I16" s="137">
        <v>200</v>
      </c>
      <c r="J16" s="137"/>
      <c r="K16" s="137"/>
      <c r="L16" s="105">
        <v>20201118</v>
      </c>
    </row>
    <row r="17" spans="1:12">
      <c r="A17" s="137">
        <v>15</v>
      </c>
      <c r="B17" s="137" t="s">
        <v>8515</v>
      </c>
      <c r="C17" s="137" t="s">
        <v>8542</v>
      </c>
      <c r="D17" s="137" t="s">
        <v>8543</v>
      </c>
      <c r="E17" s="102" t="s">
        <v>15</v>
      </c>
      <c r="F17" s="102">
        <v>2020</v>
      </c>
      <c r="G17" s="137" t="s">
        <v>2480</v>
      </c>
      <c r="H17" s="137">
        <v>200</v>
      </c>
      <c r="I17" s="137">
        <v>200</v>
      </c>
      <c r="J17" s="137"/>
      <c r="K17" s="137"/>
      <c r="L17" s="105">
        <v>20201118</v>
      </c>
    </row>
    <row r="18" spans="1:12">
      <c r="A18" s="137">
        <v>16</v>
      </c>
      <c r="B18" s="137" t="s">
        <v>8515</v>
      </c>
      <c r="C18" s="137" t="s">
        <v>8544</v>
      </c>
      <c r="D18" s="137" t="s">
        <v>8545</v>
      </c>
      <c r="E18" s="102" t="s">
        <v>15</v>
      </c>
      <c r="F18" s="102">
        <v>2020</v>
      </c>
      <c r="G18" s="137" t="s">
        <v>2480</v>
      </c>
      <c r="H18" s="137">
        <v>200</v>
      </c>
      <c r="I18" s="137">
        <v>200</v>
      </c>
      <c r="J18" s="137"/>
      <c r="K18" s="137"/>
      <c r="L18" s="105">
        <v>20201118</v>
      </c>
    </row>
    <row r="19" spans="1:12">
      <c r="A19" s="137">
        <v>17</v>
      </c>
      <c r="B19" s="137" t="s">
        <v>8515</v>
      </c>
      <c r="C19" s="137" t="s">
        <v>8546</v>
      </c>
      <c r="D19" s="137" t="s">
        <v>8547</v>
      </c>
      <c r="E19" s="102" t="s">
        <v>15</v>
      </c>
      <c r="F19" s="102">
        <v>2020</v>
      </c>
      <c r="G19" s="137" t="s">
        <v>2480</v>
      </c>
      <c r="H19" s="137">
        <v>200</v>
      </c>
      <c r="I19" s="137">
        <v>200</v>
      </c>
      <c r="J19" s="137"/>
      <c r="K19" s="137"/>
      <c r="L19" s="105">
        <v>20201118</v>
      </c>
    </row>
    <row r="20" spans="1:12">
      <c r="A20" s="137">
        <v>18</v>
      </c>
      <c r="B20" s="137" t="s">
        <v>8515</v>
      </c>
      <c r="C20" s="137" t="s">
        <v>8548</v>
      </c>
      <c r="D20" s="137" t="s">
        <v>8549</v>
      </c>
      <c r="E20" s="102" t="s">
        <v>15</v>
      </c>
      <c r="F20" s="102">
        <v>2020</v>
      </c>
      <c r="G20" s="137" t="s">
        <v>2480</v>
      </c>
      <c r="H20" s="137">
        <v>200</v>
      </c>
      <c r="I20" s="137">
        <v>200</v>
      </c>
      <c r="J20" s="137"/>
      <c r="K20" s="137"/>
      <c r="L20" s="105">
        <v>20201118</v>
      </c>
    </row>
    <row r="21" spans="1:12">
      <c r="A21" s="137">
        <v>19</v>
      </c>
      <c r="B21" s="137" t="s">
        <v>8515</v>
      </c>
      <c r="C21" s="137" t="s">
        <v>8550</v>
      </c>
      <c r="D21" s="137" t="s">
        <v>8551</v>
      </c>
      <c r="E21" s="102" t="s">
        <v>15</v>
      </c>
      <c r="F21" s="102">
        <v>2020</v>
      </c>
      <c r="G21" s="137" t="s">
        <v>2480</v>
      </c>
      <c r="H21" s="137">
        <v>200</v>
      </c>
      <c r="I21" s="137">
        <v>200</v>
      </c>
      <c r="J21" s="137"/>
      <c r="K21" s="137"/>
      <c r="L21" s="105">
        <v>20201118</v>
      </c>
    </row>
    <row r="22" spans="1:12">
      <c r="A22" s="137">
        <v>20</v>
      </c>
      <c r="B22" s="137" t="s">
        <v>8515</v>
      </c>
      <c r="C22" s="137" t="s">
        <v>8552</v>
      </c>
      <c r="D22" s="137" t="s">
        <v>8553</v>
      </c>
      <c r="E22" s="102" t="s">
        <v>15</v>
      </c>
      <c r="F22" s="102">
        <v>2020</v>
      </c>
      <c r="G22" s="137" t="s">
        <v>2480</v>
      </c>
      <c r="H22" s="137">
        <v>200</v>
      </c>
      <c r="I22" s="137">
        <v>200</v>
      </c>
      <c r="J22" s="137"/>
      <c r="K22" s="137"/>
      <c r="L22" s="105">
        <v>20201118</v>
      </c>
    </row>
    <row r="23" spans="1:12">
      <c r="A23" s="137">
        <v>21</v>
      </c>
      <c r="B23" s="137" t="s">
        <v>8515</v>
      </c>
      <c r="C23" s="137" t="s">
        <v>8554</v>
      </c>
      <c r="D23" s="137" t="s">
        <v>8555</v>
      </c>
      <c r="E23" s="102" t="s">
        <v>15</v>
      </c>
      <c r="F23" s="102">
        <v>2020</v>
      </c>
      <c r="G23" s="137" t="s">
        <v>2480</v>
      </c>
      <c r="H23" s="137">
        <v>200</v>
      </c>
      <c r="I23" s="137">
        <v>200</v>
      </c>
      <c r="J23" s="137"/>
      <c r="K23" s="137"/>
      <c r="L23" s="105">
        <v>20201118</v>
      </c>
    </row>
    <row r="24" spans="1:12">
      <c r="A24" s="137">
        <v>22</v>
      </c>
      <c r="B24" s="137" t="s">
        <v>8515</v>
      </c>
      <c r="C24" s="137" t="s">
        <v>8556</v>
      </c>
      <c r="D24" s="137" t="s">
        <v>8557</v>
      </c>
      <c r="E24" s="102" t="s">
        <v>15</v>
      </c>
      <c r="F24" s="102">
        <v>2020</v>
      </c>
      <c r="G24" s="137" t="s">
        <v>2480</v>
      </c>
      <c r="H24" s="137">
        <v>200</v>
      </c>
      <c r="I24" s="137">
        <v>200</v>
      </c>
      <c r="J24" s="137"/>
      <c r="K24" s="137"/>
      <c r="L24" s="105">
        <v>20201118</v>
      </c>
    </row>
    <row r="25" spans="1:12">
      <c r="A25" s="137">
        <v>23</v>
      </c>
      <c r="B25" s="137" t="s">
        <v>8515</v>
      </c>
      <c r="C25" s="137" t="s">
        <v>8558</v>
      </c>
      <c r="D25" s="137" t="s">
        <v>8559</v>
      </c>
      <c r="E25" s="102" t="s">
        <v>15</v>
      </c>
      <c r="F25" s="102">
        <v>2020</v>
      </c>
      <c r="G25" s="137" t="s">
        <v>2480</v>
      </c>
      <c r="H25" s="137">
        <v>200</v>
      </c>
      <c r="I25" s="137">
        <v>200</v>
      </c>
      <c r="J25" s="137"/>
      <c r="K25" s="137"/>
      <c r="L25" s="105">
        <v>20201118</v>
      </c>
    </row>
    <row r="26" spans="1:12">
      <c r="A26" s="137">
        <v>24</v>
      </c>
      <c r="B26" s="137" t="s">
        <v>8515</v>
      </c>
      <c r="C26" s="137" t="s">
        <v>8560</v>
      </c>
      <c r="D26" s="137" t="s">
        <v>8561</v>
      </c>
      <c r="E26" s="102" t="s">
        <v>15</v>
      </c>
      <c r="F26" s="102">
        <v>2020</v>
      </c>
      <c r="G26" s="137" t="s">
        <v>2480</v>
      </c>
      <c r="H26" s="137">
        <v>200</v>
      </c>
      <c r="I26" s="137">
        <v>200</v>
      </c>
      <c r="J26" s="137" t="s">
        <v>1242</v>
      </c>
      <c r="K26" s="137"/>
      <c r="L26" s="105">
        <v>20201118</v>
      </c>
    </row>
    <row r="27" spans="1:12">
      <c r="A27" s="137">
        <v>25</v>
      </c>
      <c r="B27" s="137" t="s">
        <v>8515</v>
      </c>
      <c r="C27" s="137" t="s">
        <v>8562</v>
      </c>
      <c r="D27" s="137" t="s">
        <v>8563</v>
      </c>
      <c r="E27" s="102" t="s">
        <v>15</v>
      </c>
      <c r="F27" s="102">
        <v>2020</v>
      </c>
      <c r="G27" s="137" t="s">
        <v>2480</v>
      </c>
      <c r="H27" s="137">
        <v>200</v>
      </c>
      <c r="I27" s="137">
        <v>200</v>
      </c>
      <c r="J27" s="137"/>
      <c r="K27" s="137"/>
      <c r="L27" s="105">
        <v>20201118</v>
      </c>
    </row>
    <row r="28" spans="1:12">
      <c r="A28" s="137">
        <v>26</v>
      </c>
      <c r="B28" s="137" t="s">
        <v>8515</v>
      </c>
      <c r="C28" s="137" t="s">
        <v>8564</v>
      </c>
      <c r="D28" s="137" t="s">
        <v>8565</v>
      </c>
      <c r="E28" s="102" t="s">
        <v>15</v>
      </c>
      <c r="F28" s="102">
        <v>2020</v>
      </c>
      <c r="G28" s="137" t="s">
        <v>2480</v>
      </c>
      <c r="H28" s="137">
        <v>200</v>
      </c>
      <c r="I28" s="137">
        <v>200</v>
      </c>
      <c r="J28" s="137"/>
      <c r="K28" s="137"/>
      <c r="L28" s="105">
        <v>20201118</v>
      </c>
    </row>
    <row r="29" spans="1:12">
      <c r="A29" s="137">
        <v>27</v>
      </c>
      <c r="B29" s="137" t="s">
        <v>8515</v>
      </c>
      <c r="C29" s="137" t="s">
        <v>8566</v>
      </c>
      <c r="D29" s="137" t="s">
        <v>8567</v>
      </c>
      <c r="E29" s="102" t="s">
        <v>15</v>
      </c>
      <c r="F29" s="102">
        <v>2020</v>
      </c>
      <c r="G29" s="137" t="s">
        <v>2480</v>
      </c>
      <c r="H29" s="137">
        <v>200</v>
      </c>
      <c r="I29" s="137">
        <v>200</v>
      </c>
      <c r="J29" s="137"/>
      <c r="K29" s="137"/>
      <c r="L29" s="105">
        <v>20201118</v>
      </c>
    </row>
    <row r="30" spans="1:12">
      <c r="A30" s="137">
        <v>28</v>
      </c>
      <c r="B30" s="137" t="s">
        <v>8515</v>
      </c>
      <c r="C30" s="137" t="s">
        <v>8568</v>
      </c>
      <c r="D30" s="137" t="s">
        <v>8569</v>
      </c>
      <c r="E30" s="102" t="s">
        <v>15</v>
      </c>
      <c r="F30" s="102">
        <v>2020</v>
      </c>
      <c r="G30" s="137" t="s">
        <v>2480</v>
      </c>
      <c r="H30" s="137">
        <v>200</v>
      </c>
      <c r="I30" s="137">
        <v>200</v>
      </c>
      <c r="J30" s="137"/>
      <c r="K30" s="137"/>
      <c r="L30" s="105">
        <v>20201118</v>
      </c>
    </row>
    <row r="31" spans="1:12">
      <c r="A31" s="137">
        <v>29</v>
      </c>
      <c r="B31" s="137" t="s">
        <v>8515</v>
      </c>
      <c r="C31" s="137" t="s">
        <v>8570</v>
      </c>
      <c r="D31" s="137" t="s">
        <v>8571</v>
      </c>
      <c r="E31" s="102" t="s">
        <v>15</v>
      </c>
      <c r="F31" s="102">
        <v>2020</v>
      </c>
      <c r="G31" s="137" t="s">
        <v>2480</v>
      </c>
      <c r="H31" s="137">
        <v>200</v>
      </c>
      <c r="I31" s="137">
        <v>200</v>
      </c>
      <c r="J31" s="137"/>
      <c r="K31" s="137"/>
      <c r="L31" s="105">
        <v>20201118</v>
      </c>
    </row>
    <row r="32" spans="1:12">
      <c r="A32" s="137">
        <v>30</v>
      </c>
      <c r="B32" s="137" t="s">
        <v>8515</v>
      </c>
      <c r="C32" s="137" t="s">
        <v>7282</v>
      </c>
      <c r="D32" s="137" t="s">
        <v>8572</v>
      </c>
      <c r="E32" s="102" t="s">
        <v>15</v>
      </c>
      <c r="F32" s="102">
        <v>2020</v>
      </c>
      <c r="G32" s="137" t="s">
        <v>2480</v>
      </c>
      <c r="H32" s="137">
        <v>200</v>
      </c>
      <c r="I32" s="137">
        <v>200</v>
      </c>
      <c r="J32" s="137"/>
      <c r="K32" s="137"/>
      <c r="L32" s="105">
        <v>20201118</v>
      </c>
    </row>
    <row r="33" spans="1:12">
      <c r="A33" s="137">
        <v>31</v>
      </c>
      <c r="B33" s="137" t="s">
        <v>8515</v>
      </c>
      <c r="C33" s="137" t="s">
        <v>8573</v>
      </c>
      <c r="D33" s="137" t="s">
        <v>8574</v>
      </c>
      <c r="E33" s="102" t="s">
        <v>15</v>
      </c>
      <c r="F33" s="102">
        <v>2020</v>
      </c>
      <c r="G33" s="137" t="s">
        <v>2480</v>
      </c>
      <c r="H33" s="137">
        <v>200</v>
      </c>
      <c r="I33" s="137">
        <v>200</v>
      </c>
      <c r="J33" s="137"/>
      <c r="K33" s="137"/>
      <c r="L33" s="105">
        <v>20201118</v>
      </c>
    </row>
    <row r="34" spans="1:12">
      <c r="A34" s="137">
        <v>32</v>
      </c>
      <c r="B34" s="137" t="s">
        <v>8515</v>
      </c>
      <c r="C34" s="137" t="s">
        <v>7867</v>
      </c>
      <c r="D34" s="137" t="s">
        <v>8575</v>
      </c>
      <c r="E34" s="102" t="s">
        <v>15</v>
      </c>
      <c r="F34" s="102">
        <v>2020</v>
      </c>
      <c r="G34" s="137" t="s">
        <v>2480</v>
      </c>
      <c r="H34" s="137">
        <v>200</v>
      </c>
      <c r="I34" s="137">
        <v>200</v>
      </c>
      <c r="J34" s="137" t="s">
        <v>1242</v>
      </c>
      <c r="K34" s="137"/>
      <c r="L34" s="105">
        <v>20201118</v>
      </c>
    </row>
    <row r="35" spans="1:12">
      <c r="A35" s="137">
        <v>33</v>
      </c>
      <c r="B35" s="137" t="s">
        <v>8515</v>
      </c>
      <c r="C35" s="137" t="s">
        <v>8576</v>
      </c>
      <c r="D35" s="137" t="s">
        <v>8577</v>
      </c>
      <c r="E35" s="102" t="s">
        <v>15</v>
      </c>
      <c r="F35" s="102">
        <v>2020</v>
      </c>
      <c r="G35" s="137" t="s">
        <v>2480</v>
      </c>
      <c r="H35" s="137">
        <v>200</v>
      </c>
      <c r="I35" s="137">
        <v>200</v>
      </c>
      <c r="J35" s="137"/>
      <c r="K35" s="137"/>
      <c r="L35" s="105">
        <v>20201118</v>
      </c>
    </row>
    <row r="36" spans="1:12">
      <c r="A36" s="137">
        <v>34</v>
      </c>
      <c r="B36" s="137" t="s">
        <v>8515</v>
      </c>
      <c r="C36" s="137" t="s">
        <v>8578</v>
      </c>
      <c r="D36" s="137" t="s">
        <v>8579</v>
      </c>
      <c r="E36" s="102" t="s">
        <v>15</v>
      </c>
      <c r="F36" s="102">
        <v>2020</v>
      </c>
      <c r="G36" s="137" t="s">
        <v>2480</v>
      </c>
      <c r="H36" s="137">
        <v>200</v>
      </c>
      <c r="I36" s="137">
        <v>200</v>
      </c>
      <c r="J36" s="137"/>
      <c r="K36" s="137"/>
      <c r="L36" s="105">
        <v>20201118</v>
      </c>
    </row>
    <row r="37" spans="1:12">
      <c r="A37" s="137">
        <v>35</v>
      </c>
      <c r="B37" s="137" t="s">
        <v>8515</v>
      </c>
      <c r="C37" s="137" t="s">
        <v>8580</v>
      </c>
      <c r="D37" s="137" t="s">
        <v>8581</v>
      </c>
      <c r="E37" s="102" t="s">
        <v>15</v>
      </c>
      <c r="F37" s="102">
        <v>2020</v>
      </c>
      <c r="G37" s="137" t="s">
        <v>2480</v>
      </c>
      <c r="H37" s="137">
        <v>200</v>
      </c>
      <c r="I37" s="137">
        <v>200</v>
      </c>
      <c r="J37" s="137"/>
      <c r="K37" s="137"/>
      <c r="L37" s="105">
        <v>20201118</v>
      </c>
    </row>
    <row r="38" spans="1:12">
      <c r="A38" s="137">
        <v>36</v>
      </c>
      <c r="B38" s="137" t="s">
        <v>8515</v>
      </c>
      <c r="C38" s="137" t="s">
        <v>8582</v>
      </c>
      <c r="D38" s="137" t="s">
        <v>8583</v>
      </c>
      <c r="E38" s="102" t="s">
        <v>15</v>
      </c>
      <c r="F38" s="102">
        <v>2020</v>
      </c>
      <c r="G38" s="137" t="s">
        <v>2480</v>
      </c>
      <c r="H38" s="137">
        <v>200</v>
      </c>
      <c r="I38" s="137">
        <v>200</v>
      </c>
      <c r="J38" s="137"/>
      <c r="K38" s="137"/>
      <c r="L38" s="105">
        <v>20201118</v>
      </c>
    </row>
    <row r="39" spans="1:12">
      <c r="A39" s="137">
        <v>37</v>
      </c>
      <c r="B39" s="137" t="s">
        <v>8515</v>
      </c>
      <c r="C39" s="137" t="s">
        <v>8584</v>
      </c>
      <c r="D39" s="137" t="s">
        <v>8585</v>
      </c>
      <c r="E39" s="102" t="s">
        <v>15</v>
      </c>
      <c r="F39" s="102">
        <v>2020</v>
      </c>
      <c r="G39" s="137" t="s">
        <v>2480</v>
      </c>
      <c r="H39" s="137">
        <v>200</v>
      </c>
      <c r="I39" s="137">
        <v>200</v>
      </c>
      <c r="J39" s="137" t="s">
        <v>1242</v>
      </c>
      <c r="K39" s="137"/>
      <c r="L39" s="105">
        <v>20201118</v>
      </c>
    </row>
    <row r="40" spans="1:12">
      <c r="A40" s="137">
        <v>38</v>
      </c>
      <c r="B40" s="137" t="s">
        <v>8515</v>
      </c>
      <c r="C40" s="137" t="s">
        <v>8586</v>
      </c>
      <c r="D40" s="137" t="s">
        <v>8587</v>
      </c>
      <c r="E40" s="102" t="s">
        <v>15</v>
      </c>
      <c r="F40" s="102">
        <v>2020</v>
      </c>
      <c r="G40" s="137" t="s">
        <v>2480</v>
      </c>
      <c r="H40" s="137">
        <v>200</v>
      </c>
      <c r="I40" s="137">
        <v>200</v>
      </c>
      <c r="J40" s="137"/>
      <c r="K40" s="137"/>
      <c r="L40" s="105">
        <v>20201118</v>
      </c>
    </row>
    <row r="41" spans="1:12">
      <c r="A41" s="137">
        <v>39</v>
      </c>
      <c r="B41" s="137" t="s">
        <v>8515</v>
      </c>
      <c r="C41" s="9" t="s">
        <v>8588</v>
      </c>
      <c r="D41" s="137" t="s">
        <v>8589</v>
      </c>
      <c r="E41" s="102" t="s">
        <v>15</v>
      </c>
      <c r="F41" s="102">
        <v>2020</v>
      </c>
      <c r="G41" s="137" t="s">
        <v>2480</v>
      </c>
      <c r="H41" s="137">
        <v>200</v>
      </c>
      <c r="I41" s="137">
        <v>200</v>
      </c>
      <c r="J41" s="137"/>
      <c r="K41" s="137"/>
      <c r="L41" s="105">
        <v>20201118</v>
      </c>
    </row>
    <row r="42" spans="1:12">
      <c r="A42" s="137">
        <v>40</v>
      </c>
      <c r="B42" s="137" t="s">
        <v>8515</v>
      </c>
      <c r="C42" s="137" t="s">
        <v>8590</v>
      </c>
      <c r="D42" s="137" t="s">
        <v>8591</v>
      </c>
      <c r="E42" s="102" t="s">
        <v>15</v>
      </c>
      <c r="F42" s="102">
        <v>2020</v>
      </c>
      <c r="G42" s="137" t="s">
        <v>2480</v>
      </c>
      <c r="H42" s="137">
        <v>200</v>
      </c>
      <c r="I42" s="137">
        <v>200</v>
      </c>
      <c r="J42" s="137"/>
      <c r="K42" s="137"/>
      <c r="L42" s="105">
        <v>20201118</v>
      </c>
    </row>
    <row r="43" spans="1:12">
      <c r="A43" s="137">
        <v>41</v>
      </c>
      <c r="B43" s="137" t="s">
        <v>8515</v>
      </c>
      <c r="C43" s="137" t="s">
        <v>8592</v>
      </c>
      <c r="D43" s="137" t="s">
        <v>8593</v>
      </c>
      <c r="E43" s="102" t="s">
        <v>15</v>
      </c>
      <c r="F43" s="102">
        <v>2020</v>
      </c>
      <c r="G43" s="137" t="s">
        <v>2480</v>
      </c>
      <c r="H43" s="137">
        <v>200</v>
      </c>
      <c r="I43" s="137">
        <v>200</v>
      </c>
      <c r="J43" s="137"/>
      <c r="K43" s="137"/>
      <c r="L43" s="105">
        <v>20201118</v>
      </c>
    </row>
    <row r="44" spans="1:12">
      <c r="A44" s="137">
        <v>42</v>
      </c>
      <c r="B44" s="137" t="s">
        <v>8515</v>
      </c>
      <c r="C44" s="137" t="s">
        <v>8594</v>
      </c>
      <c r="D44" s="137" t="s">
        <v>8595</v>
      </c>
      <c r="E44" s="102" t="s">
        <v>15</v>
      </c>
      <c r="F44" s="102">
        <v>2020</v>
      </c>
      <c r="G44" s="137" t="s">
        <v>2480</v>
      </c>
      <c r="H44" s="137">
        <v>200</v>
      </c>
      <c r="I44" s="137">
        <v>200</v>
      </c>
      <c r="J44" s="137"/>
      <c r="K44" s="137"/>
      <c r="L44" s="105">
        <v>20201118</v>
      </c>
    </row>
    <row r="45" spans="1:12">
      <c r="A45" s="137">
        <v>43</v>
      </c>
      <c r="B45" s="137" t="s">
        <v>8515</v>
      </c>
      <c r="C45" s="137" t="s">
        <v>8596</v>
      </c>
      <c r="D45" s="137" t="s">
        <v>8597</v>
      </c>
      <c r="E45" s="102" t="s">
        <v>15</v>
      </c>
      <c r="F45" s="102">
        <v>2020</v>
      </c>
      <c r="G45" s="137" t="s">
        <v>2480</v>
      </c>
      <c r="H45" s="137">
        <v>200</v>
      </c>
      <c r="I45" s="137">
        <v>200</v>
      </c>
      <c r="J45" s="137" t="s">
        <v>1242</v>
      </c>
      <c r="K45" s="137"/>
      <c r="L45" s="105">
        <v>20201118</v>
      </c>
    </row>
    <row r="46" spans="1:12">
      <c r="A46" s="137">
        <v>44</v>
      </c>
      <c r="B46" s="137" t="s">
        <v>8515</v>
      </c>
      <c r="C46" s="137" t="s">
        <v>8598</v>
      </c>
      <c r="D46" s="137" t="s">
        <v>8599</v>
      </c>
      <c r="E46" s="102" t="s">
        <v>15</v>
      </c>
      <c r="F46" s="102">
        <v>2020</v>
      </c>
      <c r="G46" s="137" t="s">
        <v>2480</v>
      </c>
      <c r="H46" s="137">
        <v>200</v>
      </c>
      <c r="I46" s="137">
        <v>200</v>
      </c>
      <c r="J46" s="137"/>
      <c r="K46" s="137"/>
      <c r="L46" s="105">
        <v>20201118</v>
      </c>
    </row>
    <row r="47" spans="1:12">
      <c r="A47" s="137">
        <v>45</v>
      </c>
      <c r="B47" s="137" t="s">
        <v>8515</v>
      </c>
      <c r="C47" s="137" t="s">
        <v>8600</v>
      </c>
      <c r="D47" s="137" t="s">
        <v>8601</v>
      </c>
      <c r="E47" s="102" t="s">
        <v>15</v>
      </c>
      <c r="F47" s="102">
        <v>2020</v>
      </c>
      <c r="G47" s="137" t="s">
        <v>2480</v>
      </c>
      <c r="H47" s="137">
        <v>200</v>
      </c>
      <c r="I47" s="137">
        <v>200</v>
      </c>
      <c r="J47" s="137"/>
      <c r="K47" s="137"/>
      <c r="L47" s="105">
        <v>20201118</v>
      </c>
    </row>
    <row r="48" spans="1:12">
      <c r="A48" s="137">
        <v>46</v>
      </c>
      <c r="B48" s="137" t="s">
        <v>8515</v>
      </c>
      <c r="C48" s="137" t="s">
        <v>8602</v>
      </c>
      <c r="D48" s="137" t="s">
        <v>8603</v>
      </c>
      <c r="E48" s="102" t="s">
        <v>15</v>
      </c>
      <c r="F48" s="102">
        <v>2020</v>
      </c>
      <c r="G48" s="137" t="s">
        <v>2480</v>
      </c>
      <c r="H48" s="137">
        <v>200</v>
      </c>
      <c r="I48" s="137">
        <v>200</v>
      </c>
      <c r="J48" s="137"/>
      <c r="K48" s="137"/>
      <c r="L48" s="105">
        <v>20201118</v>
      </c>
    </row>
    <row r="49" spans="1:12">
      <c r="A49" s="137">
        <v>47</v>
      </c>
      <c r="B49" s="137" t="s">
        <v>8515</v>
      </c>
      <c r="C49" s="137" t="s">
        <v>8604</v>
      </c>
      <c r="D49" s="137" t="s">
        <v>8605</v>
      </c>
      <c r="E49" s="102" t="s">
        <v>15</v>
      </c>
      <c r="F49" s="102">
        <v>2020</v>
      </c>
      <c r="G49" s="137" t="s">
        <v>2480</v>
      </c>
      <c r="H49" s="137">
        <v>200</v>
      </c>
      <c r="I49" s="137">
        <v>200</v>
      </c>
      <c r="J49" s="137"/>
      <c r="K49" s="137"/>
      <c r="L49" s="105">
        <v>20201118</v>
      </c>
    </row>
    <row r="50" spans="1:12">
      <c r="A50" s="137">
        <v>48</v>
      </c>
      <c r="B50" s="137" t="s">
        <v>8515</v>
      </c>
      <c r="C50" s="137" t="s">
        <v>8606</v>
      </c>
      <c r="D50" s="137" t="s">
        <v>8607</v>
      </c>
      <c r="E50" s="102" t="s">
        <v>15</v>
      </c>
      <c r="F50" s="102">
        <v>2020</v>
      </c>
      <c r="G50" s="137" t="s">
        <v>2480</v>
      </c>
      <c r="H50" s="137">
        <v>200</v>
      </c>
      <c r="I50" s="137">
        <v>200</v>
      </c>
      <c r="J50" s="137"/>
      <c r="K50" s="137"/>
      <c r="L50" s="105">
        <v>20201118</v>
      </c>
    </row>
    <row r="51" spans="1:12">
      <c r="A51" s="137">
        <v>49</v>
      </c>
      <c r="B51" s="137" t="s">
        <v>8515</v>
      </c>
      <c r="C51" s="137" t="s">
        <v>8608</v>
      </c>
      <c r="D51" s="137" t="s">
        <v>8609</v>
      </c>
      <c r="E51" s="102" t="s">
        <v>15</v>
      </c>
      <c r="F51" s="102">
        <v>2020</v>
      </c>
      <c r="G51" s="137" t="s">
        <v>2480</v>
      </c>
      <c r="H51" s="137">
        <v>200</v>
      </c>
      <c r="I51" s="137">
        <v>200</v>
      </c>
      <c r="J51" s="137"/>
      <c r="K51" s="137"/>
      <c r="L51" s="105">
        <v>20201118</v>
      </c>
    </row>
    <row r="52" spans="1:12">
      <c r="A52" s="137">
        <v>50</v>
      </c>
      <c r="B52" s="137" t="s">
        <v>8515</v>
      </c>
      <c r="C52" s="137" t="s">
        <v>8610</v>
      </c>
      <c r="D52" s="137" t="s">
        <v>8611</v>
      </c>
      <c r="E52" s="102" t="s">
        <v>15</v>
      </c>
      <c r="F52" s="102">
        <v>2020</v>
      </c>
      <c r="G52" s="137" t="s">
        <v>2480</v>
      </c>
      <c r="H52" s="137">
        <v>200</v>
      </c>
      <c r="I52" s="137">
        <v>200</v>
      </c>
      <c r="J52" s="137" t="s">
        <v>1242</v>
      </c>
      <c r="K52" s="137"/>
      <c r="L52" s="105">
        <v>20201118</v>
      </c>
    </row>
    <row r="53" spans="1:12">
      <c r="A53" s="137">
        <v>51</v>
      </c>
      <c r="B53" s="137" t="s">
        <v>8515</v>
      </c>
      <c r="C53" s="137" t="s">
        <v>8612</v>
      </c>
      <c r="D53" s="137" t="s">
        <v>8613</v>
      </c>
      <c r="E53" s="102" t="s">
        <v>15</v>
      </c>
      <c r="F53" s="102">
        <v>2020</v>
      </c>
      <c r="G53" s="137" t="s">
        <v>2480</v>
      </c>
      <c r="H53" s="137">
        <v>200</v>
      </c>
      <c r="I53" s="137">
        <v>200</v>
      </c>
      <c r="J53" s="137"/>
      <c r="K53" s="137"/>
      <c r="L53" s="105">
        <v>20201118</v>
      </c>
    </row>
    <row r="54" spans="1:12">
      <c r="A54" s="137">
        <v>52</v>
      </c>
      <c r="B54" s="137" t="s">
        <v>8515</v>
      </c>
      <c r="C54" s="137" t="s">
        <v>8614</v>
      </c>
      <c r="D54" s="137" t="s">
        <v>8615</v>
      </c>
      <c r="E54" s="102" t="s">
        <v>15</v>
      </c>
      <c r="F54" s="102">
        <v>2020</v>
      </c>
      <c r="G54" s="137" t="s">
        <v>2480</v>
      </c>
      <c r="H54" s="137">
        <v>200</v>
      </c>
      <c r="I54" s="137">
        <v>200</v>
      </c>
      <c r="J54" s="137"/>
      <c r="K54" s="137"/>
      <c r="L54" s="105">
        <v>20201118</v>
      </c>
    </row>
    <row r="55" spans="1:12">
      <c r="A55" s="137">
        <v>53</v>
      </c>
      <c r="B55" s="137" t="s">
        <v>8515</v>
      </c>
      <c r="C55" s="137" t="s">
        <v>8616</v>
      </c>
      <c r="D55" s="137" t="s">
        <v>8617</v>
      </c>
      <c r="E55" s="102" t="s">
        <v>15</v>
      </c>
      <c r="F55" s="102">
        <v>2020</v>
      </c>
      <c r="G55" s="137" t="s">
        <v>2480</v>
      </c>
      <c r="H55" s="137">
        <v>200</v>
      </c>
      <c r="I55" s="137">
        <v>200</v>
      </c>
      <c r="J55" s="137"/>
      <c r="K55" s="137"/>
      <c r="L55" s="105">
        <v>20201118</v>
      </c>
    </row>
    <row r="56" spans="1:12">
      <c r="A56" s="137">
        <v>54</v>
      </c>
      <c r="B56" s="137" t="s">
        <v>8515</v>
      </c>
      <c r="C56" s="137" t="s">
        <v>8618</v>
      </c>
      <c r="D56" s="137" t="s">
        <v>8619</v>
      </c>
      <c r="E56" s="102" t="s">
        <v>15</v>
      </c>
      <c r="F56" s="102">
        <v>2020</v>
      </c>
      <c r="G56" s="137" t="s">
        <v>2480</v>
      </c>
      <c r="H56" s="137">
        <v>200</v>
      </c>
      <c r="I56" s="137">
        <v>200</v>
      </c>
      <c r="J56" s="137"/>
      <c r="K56" s="137"/>
      <c r="L56" s="105">
        <v>20201118</v>
      </c>
    </row>
    <row r="57" spans="1:12">
      <c r="A57" s="137">
        <v>55</v>
      </c>
      <c r="B57" s="137" t="s">
        <v>8515</v>
      </c>
      <c r="C57" s="137" t="s">
        <v>8620</v>
      </c>
      <c r="D57" s="137" t="s">
        <v>8621</v>
      </c>
      <c r="E57" s="102" t="s">
        <v>15</v>
      </c>
      <c r="F57" s="102">
        <v>2020</v>
      </c>
      <c r="G57" s="137" t="s">
        <v>2480</v>
      </c>
      <c r="H57" s="137">
        <v>200</v>
      </c>
      <c r="I57" s="137">
        <v>200</v>
      </c>
      <c r="J57" s="137"/>
      <c r="K57" s="137"/>
      <c r="L57" s="105">
        <v>20201118</v>
      </c>
    </row>
    <row r="58" spans="1:12">
      <c r="A58" s="137">
        <v>56</v>
      </c>
      <c r="B58" s="137" t="s">
        <v>8515</v>
      </c>
      <c r="C58" s="137" t="s">
        <v>8622</v>
      </c>
      <c r="D58" s="137" t="s">
        <v>8623</v>
      </c>
      <c r="E58" s="102" t="s">
        <v>15</v>
      </c>
      <c r="F58" s="102">
        <v>2020</v>
      </c>
      <c r="G58" s="137" t="s">
        <v>2480</v>
      </c>
      <c r="H58" s="137">
        <v>200</v>
      </c>
      <c r="I58" s="137">
        <v>200</v>
      </c>
      <c r="J58" s="137"/>
      <c r="K58" s="137"/>
      <c r="L58" s="105">
        <v>20201118</v>
      </c>
    </row>
    <row r="59" spans="1:12">
      <c r="A59" s="137">
        <v>57</v>
      </c>
      <c r="B59" s="137" t="s">
        <v>8515</v>
      </c>
      <c r="C59" s="137" t="s">
        <v>8624</v>
      </c>
      <c r="D59" s="137" t="s">
        <v>8625</v>
      </c>
      <c r="E59" s="102" t="s">
        <v>15</v>
      </c>
      <c r="F59" s="102">
        <v>2020</v>
      </c>
      <c r="G59" s="137" t="s">
        <v>2480</v>
      </c>
      <c r="H59" s="137">
        <v>200</v>
      </c>
      <c r="I59" s="137">
        <v>200</v>
      </c>
      <c r="J59" s="137"/>
      <c r="K59" s="137"/>
      <c r="L59" s="105">
        <v>20201118</v>
      </c>
    </row>
    <row r="60" spans="1:12">
      <c r="A60" s="137">
        <v>58</v>
      </c>
      <c r="B60" s="137" t="s">
        <v>8515</v>
      </c>
      <c r="C60" s="137" t="s">
        <v>8626</v>
      </c>
      <c r="D60" s="137" t="s">
        <v>8627</v>
      </c>
      <c r="E60" s="102" t="s">
        <v>15</v>
      </c>
      <c r="F60" s="102">
        <v>2020</v>
      </c>
      <c r="G60" s="137" t="s">
        <v>2480</v>
      </c>
      <c r="H60" s="137">
        <v>200</v>
      </c>
      <c r="I60" s="137">
        <v>200</v>
      </c>
      <c r="J60" s="137"/>
      <c r="K60" s="137"/>
      <c r="L60" s="105">
        <v>20201118</v>
      </c>
    </row>
    <row r="61" spans="1:12">
      <c r="A61" s="137">
        <v>59</v>
      </c>
      <c r="B61" s="137" t="s">
        <v>8515</v>
      </c>
      <c r="C61" s="137" t="s">
        <v>8628</v>
      </c>
      <c r="D61" s="137" t="s">
        <v>8629</v>
      </c>
      <c r="E61" s="102" t="s">
        <v>15</v>
      </c>
      <c r="F61" s="102">
        <v>2020</v>
      </c>
      <c r="G61" s="137" t="s">
        <v>2480</v>
      </c>
      <c r="H61" s="137">
        <v>200</v>
      </c>
      <c r="I61" s="137">
        <v>200</v>
      </c>
      <c r="J61" s="137"/>
      <c r="K61" s="137"/>
      <c r="L61" s="105">
        <v>20201118</v>
      </c>
    </row>
    <row r="62" spans="1:12">
      <c r="A62" s="137">
        <v>60</v>
      </c>
      <c r="B62" s="137" t="s">
        <v>8515</v>
      </c>
      <c r="C62" s="137" t="s">
        <v>8630</v>
      </c>
      <c r="D62" s="137" t="s">
        <v>8631</v>
      </c>
      <c r="E62" s="102" t="s">
        <v>15</v>
      </c>
      <c r="F62" s="102">
        <v>2020</v>
      </c>
      <c r="G62" s="137" t="s">
        <v>2480</v>
      </c>
      <c r="H62" s="137">
        <v>200</v>
      </c>
      <c r="I62" s="137">
        <v>200</v>
      </c>
      <c r="J62" s="137"/>
      <c r="K62" s="137"/>
      <c r="L62" s="105">
        <v>20201118</v>
      </c>
    </row>
    <row r="63" spans="1:12">
      <c r="A63" s="137">
        <v>61</v>
      </c>
      <c r="B63" s="137" t="s">
        <v>8515</v>
      </c>
      <c r="C63" s="137" t="s">
        <v>8632</v>
      </c>
      <c r="D63" s="137" t="s">
        <v>8633</v>
      </c>
      <c r="E63" s="102" t="s">
        <v>15</v>
      </c>
      <c r="F63" s="102">
        <v>2020</v>
      </c>
      <c r="G63" s="137" t="s">
        <v>2480</v>
      </c>
      <c r="H63" s="137">
        <v>200</v>
      </c>
      <c r="I63" s="137">
        <v>200</v>
      </c>
      <c r="J63" s="137"/>
      <c r="K63" s="137"/>
      <c r="L63" s="105">
        <v>20201118</v>
      </c>
    </row>
    <row r="64" spans="1:12">
      <c r="A64" s="137">
        <v>62</v>
      </c>
      <c r="B64" s="137" t="s">
        <v>8515</v>
      </c>
      <c r="C64" s="137" t="s">
        <v>8634</v>
      </c>
      <c r="D64" s="137" t="s">
        <v>8635</v>
      </c>
      <c r="E64" s="102" t="s">
        <v>15</v>
      </c>
      <c r="F64" s="102">
        <v>2020</v>
      </c>
      <c r="G64" s="137" t="s">
        <v>2480</v>
      </c>
      <c r="H64" s="137">
        <v>200</v>
      </c>
      <c r="I64" s="137">
        <v>200</v>
      </c>
      <c r="J64" s="137"/>
      <c r="K64" s="137"/>
      <c r="L64" s="105">
        <v>20201118</v>
      </c>
    </row>
    <row r="65" spans="1:12">
      <c r="A65" s="137">
        <v>63</v>
      </c>
      <c r="B65" s="137" t="s">
        <v>8515</v>
      </c>
      <c r="C65" s="137" t="s">
        <v>7584</v>
      </c>
      <c r="D65" s="137" t="s">
        <v>8636</v>
      </c>
      <c r="E65" s="102" t="s">
        <v>15</v>
      </c>
      <c r="F65" s="102">
        <v>2020</v>
      </c>
      <c r="G65" s="137" t="s">
        <v>2480</v>
      </c>
      <c r="H65" s="137">
        <v>200</v>
      </c>
      <c r="I65" s="137">
        <v>200</v>
      </c>
      <c r="J65" s="137"/>
      <c r="K65" s="137"/>
      <c r="L65" s="105">
        <v>20201118</v>
      </c>
    </row>
    <row r="66" spans="1:12">
      <c r="A66" s="137">
        <v>64</v>
      </c>
      <c r="B66" s="137" t="s">
        <v>8515</v>
      </c>
      <c r="C66" s="137" t="s">
        <v>8637</v>
      </c>
      <c r="D66" s="137" t="s">
        <v>8638</v>
      </c>
      <c r="E66" s="102" t="s">
        <v>15</v>
      </c>
      <c r="F66" s="102">
        <v>2020</v>
      </c>
      <c r="G66" s="137" t="s">
        <v>2480</v>
      </c>
      <c r="H66" s="137">
        <v>200</v>
      </c>
      <c r="I66" s="137">
        <v>200</v>
      </c>
      <c r="J66" s="137"/>
      <c r="K66" s="137"/>
      <c r="L66" s="105">
        <v>20201118</v>
      </c>
    </row>
    <row r="67" spans="1:12">
      <c r="A67" s="137">
        <v>65</v>
      </c>
      <c r="B67" s="137" t="s">
        <v>8515</v>
      </c>
      <c r="C67" s="137" t="s">
        <v>8639</v>
      </c>
      <c r="D67" s="137" t="s">
        <v>8640</v>
      </c>
      <c r="E67" s="102" t="s">
        <v>15</v>
      </c>
      <c r="F67" s="102">
        <v>2020</v>
      </c>
      <c r="G67" s="137" t="s">
        <v>2480</v>
      </c>
      <c r="H67" s="137">
        <v>200</v>
      </c>
      <c r="I67" s="137">
        <v>200</v>
      </c>
      <c r="J67" s="137"/>
      <c r="K67" s="137"/>
      <c r="L67" s="105">
        <v>20201118</v>
      </c>
    </row>
    <row r="68" spans="1:12">
      <c r="A68" s="137">
        <v>66</v>
      </c>
      <c r="B68" s="137" t="s">
        <v>8515</v>
      </c>
      <c r="C68" s="137" t="s">
        <v>8641</v>
      </c>
      <c r="D68" s="137" t="s">
        <v>8642</v>
      </c>
      <c r="E68" s="102" t="s">
        <v>15</v>
      </c>
      <c r="F68" s="102">
        <v>2020</v>
      </c>
      <c r="G68" s="137" t="s">
        <v>2480</v>
      </c>
      <c r="H68" s="137">
        <v>200</v>
      </c>
      <c r="I68" s="137">
        <v>200</v>
      </c>
      <c r="J68" s="137"/>
      <c r="K68" s="137"/>
      <c r="L68" s="105">
        <v>20201118</v>
      </c>
    </row>
    <row r="69" spans="1:12">
      <c r="A69" s="137">
        <v>67</v>
      </c>
      <c r="B69" s="137" t="s">
        <v>8515</v>
      </c>
      <c r="C69" s="137" t="s">
        <v>8643</v>
      </c>
      <c r="D69" s="137" t="s">
        <v>8644</v>
      </c>
      <c r="E69" s="102" t="s">
        <v>15</v>
      </c>
      <c r="F69" s="102">
        <v>2020</v>
      </c>
      <c r="G69" s="137" t="s">
        <v>2480</v>
      </c>
      <c r="H69" s="137">
        <v>200</v>
      </c>
      <c r="I69" s="137">
        <v>200</v>
      </c>
      <c r="J69" s="137"/>
      <c r="K69" s="137"/>
      <c r="L69" s="105">
        <v>20201118</v>
      </c>
    </row>
    <row r="70" spans="1:12">
      <c r="A70" s="137">
        <v>68</v>
      </c>
      <c r="B70" s="137" t="s">
        <v>8515</v>
      </c>
      <c r="C70" s="137" t="s">
        <v>8645</v>
      </c>
      <c r="D70" s="137" t="s">
        <v>8646</v>
      </c>
      <c r="E70" s="102" t="s">
        <v>15</v>
      </c>
      <c r="F70" s="102">
        <v>2020</v>
      </c>
      <c r="G70" s="137" t="s">
        <v>2480</v>
      </c>
      <c r="H70" s="137">
        <v>200</v>
      </c>
      <c r="I70" s="137">
        <v>200</v>
      </c>
      <c r="J70" s="137"/>
      <c r="K70" s="137"/>
      <c r="L70" s="105">
        <v>20201118</v>
      </c>
    </row>
    <row r="71" spans="1:12">
      <c r="A71" s="137">
        <v>69</v>
      </c>
      <c r="B71" s="137" t="s">
        <v>8515</v>
      </c>
      <c r="C71" s="137" t="s">
        <v>8647</v>
      </c>
      <c r="D71" s="137" t="s">
        <v>8648</v>
      </c>
      <c r="E71" s="102" t="s">
        <v>15</v>
      </c>
      <c r="F71" s="102">
        <v>2020</v>
      </c>
      <c r="G71" s="137" t="s">
        <v>2480</v>
      </c>
      <c r="H71" s="137">
        <v>200</v>
      </c>
      <c r="I71" s="137">
        <v>200</v>
      </c>
      <c r="J71" s="137"/>
      <c r="K71" s="137"/>
      <c r="L71" s="105">
        <v>20201118</v>
      </c>
    </row>
    <row r="72" spans="1:12">
      <c r="A72" s="137">
        <v>70</v>
      </c>
      <c r="B72" s="137" t="s">
        <v>8515</v>
      </c>
      <c r="C72" s="137" t="s">
        <v>2816</v>
      </c>
      <c r="D72" s="137" t="s">
        <v>8649</v>
      </c>
      <c r="E72" s="102" t="s">
        <v>15</v>
      </c>
      <c r="F72" s="102">
        <v>2020</v>
      </c>
      <c r="G72" s="137" t="s">
        <v>2480</v>
      </c>
      <c r="H72" s="137">
        <v>200</v>
      </c>
      <c r="I72" s="137">
        <v>200</v>
      </c>
      <c r="J72" s="137"/>
      <c r="K72" s="137"/>
      <c r="L72" s="105">
        <v>20201118</v>
      </c>
    </row>
    <row r="73" spans="1:12">
      <c r="A73" s="137">
        <v>71</v>
      </c>
      <c r="B73" s="137" t="s">
        <v>8515</v>
      </c>
      <c r="C73" s="137" t="s">
        <v>1488</v>
      </c>
      <c r="D73" s="137" t="s">
        <v>8650</v>
      </c>
      <c r="E73" s="102" t="s">
        <v>15</v>
      </c>
      <c r="F73" s="102">
        <v>2020</v>
      </c>
      <c r="G73" s="137" t="s">
        <v>2480</v>
      </c>
      <c r="H73" s="137">
        <v>200</v>
      </c>
      <c r="I73" s="137">
        <v>200</v>
      </c>
      <c r="J73" s="137"/>
      <c r="K73" s="137"/>
      <c r="L73" s="105">
        <v>20201118</v>
      </c>
    </row>
    <row r="74" spans="1:12">
      <c r="A74" s="137">
        <v>72</v>
      </c>
      <c r="B74" s="137" t="s">
        <v>8515</v>
      </c>
      <c r="C74" s="137" t="s">
        <v>8651</v>
      </c>
      <c r="D74" s="137" t="s">
        <v>8652</v>
      </c>
      <c r="E74" s="102" t="s">
        <v>15</v>
      </c>
      <c r="F74" s="102">
        <v>2020</v>
      </c>
      <c r="G74" s="137" t="s">
        <v>2480</v>
      </c>
      <c r="H74" s="137">
        <v>200</v>
      </c>
      <c r="I74" s="137">
        <v>200</v>
      </c>
      <c r="J74" s="137"/>
      <c r="K74" s="137"/>
      <c r="L74" s="105">
        <v>20201118</v>
      </c>
    </row>
    <row r="75" spans="1:12">
      <c r="A75" s="137">
        <v>73</v>
      </c>
      <c r="B75" s="137" t="s">
        <v>8515</v>
      </c>
      <c r="C75" s="137" t="s">
        <v>8653</v>
      </c>
      <c r="D75" s="137" t="s">
        <v>8654</v>
      </c>
      <c r="E75" s="102" t="s">
        <v>15</v>
      </c>
      <c r="F75" s="102">
        <v>2020</v>
      </c>
      <c r="G75" s="137" t="s">
        <v>2480</v>
      </c>
      <c r="H75" s="137">
        <v>200</v>
      </c>
      <c r="I75" s="137">
        <v>200</v>
      </c>
      <c r="J75" s="137"/>
      <c r="K75" s="137"/>
      <c r="L75" s="105">
        <v>20201118</v>
      </c>
    </row>
    <row r="76" spans="1:12">
      <c r="A76" s="137">
        <v>74</v>
      </c>
      <c r="B76" s="137" t="s">
        <v>8515</v>
      </c>
      <c r="C76" s="137" t="s">
        <v>8655</v>
      </c>
      <c r="D76" s="137" t="s">
        <v>8656</v>
      </c>
      <c r="E76" s="102" t="s">
        <v>15</v>
      </c>
      <c r="F76" s="102">
        <v>2020</v>
      </c>
      <c r="G76" s="137" t="s">
        <v>2480</v>
      </c>
      <c r="H76" s="137">
        <v>200</v>
      </c>
      <c r="I76" s="137">
        <v>200</v>
      </c>
      <c r="J76" s="137"/>
      <c r="K76" s="137"/>
      <c r="L76" s="105">
        <v>20201118</v>
      </c>
    </row>
    <row r="77" spans="1:12">
      <c r="A77" s="137">
        <v>75</v>
      </c>
      <c r="B77" s="137" t="s">
        <v>8515</v>
      </c>
      <c r="C77" s="137" t="s">
        <v>8657</v>
      </c>
      <c r="D77" s="137" t="s">
        <v>8658</v>
      </c>
      <c r="E77" s="102" t="s">
        <v>15</v>
      </c>
      <c r="F77" s="102">
        <v>2020</v>
      </c>
      <c r="G77" s="137" t="s">
        <v>2480</v>
      </c>
      <c r="H77" s="137">
        <v>200</v>
      </c>
      <c r="I77" s="137">
        <v>200</v>
      </c>
      <c r="J77" s="137" t="s">
        <v>3647</v>
      </c>
      <c r="K77" s="137"/>
      <c r="L77" s="105">
        <v>20201118</v>
      </c>
    </row>
    <row r="78" spans="1:12">
      <c r="A78" s="137">
        <v>76</v>
      </c>
      <c r="B78" s="137" t="s">
        <v>8515</v>
      </c>
      <c r="C78" s="137" t="s">
        <v>8659</v>
      </c>
      <c r="D78" s="137" t="s">
        <v>8660</v>
      </c>
      <c r="E78" s="102" t="s">
        <v>15</v>
      </c>
      <c r="F78" s="102">
        <v>2020</v>
      </c>
      <c r="G78" s="137" t="s">
        <v>2480</v>
      </c>
      <c r="H78" s="137">
        <v>200</v>
      </c>
      <c r="I78" s="137">
        <v>200</v>
      </c>
      <c r="J78" s="137"/>
      <c r="K78" s="137"/>
      <c r="L78" s="105">
        <v>20201118</v>
      </c>
    </row>
    <row r="79" spans="1:12">
      <c r="A79" s="137">
        <v>77</v>
      </c>
      <c r="B79" s="137" t="s">
        <v>8515</v>
      </c>
      <c r="C79" s="137" t="s">
        <v>8661</v>
      </c>
      <c r="D79" s="137" t="s">
        <v>8662</v>
      </c>
      <c r="E79" s="102" t="s">
        <v>15</v>
      </c>
      <c r="F79" s="102">
        <v>2020</v>
      </c>
      <c r="G79" s="137" t="s">
        <v>2480</v>
      </c>
      <c r="H79" s="137">
        <v>200</v>
      </c>
      <c r="I79" s="137">
        <v>200</v>
      </c>
      <c r="J79" s="137"/>
      <c r="K79" s="137"/>
      <c r="L79" s="105">
        <v>20201118</v>
      </c>
    </row>
    <row r="80" spans="1:12">
      <c r="A80" s="137">
        <v>78</v>
      </c>
      <c r="B80" s="137" t="s">
        <v>8515</v>
      </c>
      <c r="C80" s="137" t="s">
        <v>1558</v>
      </c>
      <c r="D80" s="137" t="s">
        <v>8663</v>
      </c>
      <c r="E80" s="102" t="s">
        <v>15</v>
      </c>
      <c r="F80" s="102">
        <v>2020</v>
      </c>
      <c r="G80" s="137" t="s">
        <v>2480</v>
      </c>
      <c r="H80" s="137">
        <v>200</v>
      </c>
      <c r="I80" s="137">
        <v>200</v>
      </c>
      <c r="J80" s="137"/>
      <c r="K80" s="137"/>
      <c r="L80" s="105">
        <v>20201118</v>
      </c>
    </row>
    <row r="81" spans="1:12">
      <c r="A81" s="137">
        <v>79</v>
      </c>
      <c r="B81" s="137" t="s">
        <v>8515</v>
      </c>
      <c r="C81" s="137" t="s">
        <v>8664</v>
      </c>
      <c r="D81" s="137" t="s">
        <v>8665</v>
      </c>
      <c r="E81" s="102" t="s">
        <v>15</v>
      </c>
      <c r="F81" s="102">
        <v>2020</v>
      </c>
      <c r="G81" s="137" t="s">
        <v>2480</v>
      </c>
      <c r="H81" s="137">
        <v>200</v>
      </c>
      <c r="I81" s="137">
        <v>200</v>
      </c>
      <c r="J81" s="137"/>
      <c r="K81" s="137"/>
      <c r="L81" s="105">
        <v>20201118</v>
      </c>
    </row>
    <row r="82" spans="1:12">
      <c r="A82" s="137">
        <v>80</v>
      </c>
      <c r="B82" s="137" t="s">
        <v>8515</v>
      </c>
      <c r="C82" s="137" t="s">
        <v>8666</v>
      </c>
      <c r="D82" s="137" t="s">
        <v>8667</v>
      </c>
      <c r="E82" s="102" t="s">
        <v>15</v>
      </c>
      <c r="F82" s="102">
        <v>2020</v>
      </c>
      <c r="G82" s="137" t="s">
        <v>2480</v>
      </c>
      <c r="H82" s="137">
        <v>200</v>
      </c>
      <c r="I82" s="137">
        <v>200</v>
      </c>
      <c r="J82" s="137"/>
      <c r="K82" s="137"/>
      <c r="L82" s="105">
        <v>20201118</v>
      </c>
    </row>
    <row r="83" spans="1:12">
      <c r="A83" s="137">
        <v>81</v>
      </c>
      <c r="B83" s="137" t="s">
        <v>8515</v>
      </c>
      <c r="C83" s="137" t="s">
        <v>8668</v>
      </c>
      <c r="D83" s="137" t="s">
        <v>8669</v>
      </c>
      <c r="E83" s="102" t="s">
        <v>15</v>
      </c>
      <c r="F83" s="102">
        <v>2020</v>
      </c>
      <c r="G83" s="137" t="s">
        <v>2480</v>
      </c>
      <c r="H83" s="137">
        <v>200</v>
      </c>
      <c r="I83" s="137">
        <v>200</v>
      </c>
      <c r="J83" s="137"/>
      <c r="K83" s="137"/>
      <c r="L83" s="105">
        <v>20201118</v>
      </c>
    </row>
    <row r="84" spans="1:12">
      <c r="A84" s="137">
        <v>82</v>
      </c>
      <c r="B84" s="137" t="s">
        <v>8515</v>
      </c>
      <c r="C84" s="137" t="s">
        <v>8670</v>
      </c>
      <c r="D84" s="137" t="s">
        <v>8671</v>
      </c>
      <c r="E84" s="102" t="s">
        <v>15</v>
      </c>
      <c r="F84" s="102">
        <v>2020</v>
      </c>
      <c r="G84" s="137" t="s">
        <v>2480</v>
      </c>
      <c r="H84" s="137">
        <v>200</v>
      </c>
      <c r="I84" s="137">
        <v>200</v>
      </c>
      <c r="J84" s="137"/>
      <c r="K84" s="137"/>
      <c r="L84" s="105">
        <v>20201118</v>
      </c>
    </row>
    <row r="85" spans="1:12">
      <c r="A85" s="137">
        <v>83</v>
      </c>
      <c r="B85" s="137" t="s">
        <v>8515</v>
      </c>
      <c r="C85" s="137" t="s">
        <v>8672</v>
      </c>
      <c r="D85" s="137" t="s">
        <v>8673</v>
      </c>
      <c r="E85" s="102" t="s">
        <v>15</v>
      </c>
      <c r="F85" s="102">
        <v>2020</v>
      </c>
      <c r="G85" s="137" t="s">
        <v>2480</v>
      </c>
      <c r="H85" s="137">
        <v>200</v>
      </c>
      <c r="I85" s="137">
        <v>200</v>
      </c>
      <c r="J85" s="137"/>
      <c r="K85" s="137"/>
      <c r="L85" s="105">
        <v>20201118</v>
      </c>
    </row>
    <row r="86" spans="1:12">
      <c r="A86" s="137">
        <v>84</v>
      </c>
      <c r="B86" s="137" t="s">
        <v>8515</v>
      </c>
      <c r="C86" s="137" t="s">
        <v>8674</v>
      </c>
      <c r="D86" s="137" t="s">
        <v>8675</v>
      </c>
      <c r="E86" s="102" t="s">
        <v>15</v>
      </c>
      <c r="F86" s="102">
        <v>2020</v>
      </c>
      <c r="G86" s="137" t="s">
        <v>2480</v>
      </c>
      <c r="H86" s="137">
        <v>200</v>
      </c>
      <c r="I86" s="137">
        <v>200</v>
      </c>
      <c r="J86" s="137"/>
      <c r="K86" s="137"/>
      <c r="L86" s="105">
        <v>20201118</v>
      </c>
    </row>
    <row r="87" spans="1:12">
      <c r="A87" s="137">
        <v>85</v>
      </c>
      <c r="B87" s="137" t="s">
        <v>8515</v>
      </c>
      <c r="C87" s="137" t="s">
        <v>8676</v>
      </c>
      <c r="D87" s="137" t="s">
        <v>8677</v>
      </c>
      <c r="E87" s="102" t="s">
        <v>15</v>
      </c>
      <c r="F87" s="102">
        <v>2020</v>
      </c>
      <c r="G87" s="137" t="s">
        <v>2480</v>
      </c>
      <c r="H87" s="137">
        <v>200</v>
      </c>
      <c r="I87" s="137">
        <v>200</v>
      </c>
      <c r="J87" s="137"/>
      <c r="K87" s="137"/>
      <c r="L87" s="105">
        <v>20201118</v>
      </c>
    </row>
    <row r="88" spans="1:12">
      <c r="A88" s="137">
        <v>86</v>
      </c>
      <c r="B88" s="137" t="s">
        <v>8515</v>
      </c>
      <c r="C88" s="137" t="s">
        <v>8678</v>
      </c>
      <c r="D88" s="137" t="s">
        <v>8679</v>
      </c>
      <c r="E88" s="102" t="s">
        <v>15</v>
      </c>
      <c r="F88" s="102">
        <v>2020</v>
      </c>
      <c r="G88" s="137" t="s">
        <v>2480</v>
      </c>
      <c r="H88" s="137">
        <v>200</v>
      </c>
      <c r="I88" s="137">
        <v>200</v>
      </c>
      <c r="J88" s="137"/>
      <c r="K88" s="137"/>
      <c r="L88" s="105">
        <v>20201118</v>
      </c>
    </row>
    <row r="89" spans="1:12">
      <c r="A89" s="137">
        <v>87</v>
      </c>
      <c r="B89" s="137" t="s">
        <v>8515</v>
      </c>
      <c r="C89" s="137" t="s">
        <v>8680</v>
      </c>
      <c r="D89" s="137" t="s">
        <v>8681</v>
      </c>
      <c r="E89" s="102" t="s">
        <v>15</v>
      </c>
      <c r="F89" s="102">
        <v>2020</v>
      </c>
      <c r="G89" s="137" t="s">
        <v>2480</v>
      </c>
      <c r="H89" s="137">
        <v>200</v>
      </c>
      <c r="I89" s="137">
        <v>200</v>
      </c>
      <c r="J89" s="137"/>
      <c r="K89" s="137"/>
      <c r="L89" s="105">
        <v>20201118</v>
      </c>
    </row>
    <row r="90" spans="1:12">
      <c r="A90" s="137">
        <v>88</v>
      </c>
      <c r="B90" s="137" t="s">
        <v>8515</v>
      </c>
      <c r="C90" s="137" t="s">
        <v>8682</v>
      </c>
      <c r="D90" s="137" t="s">
        <v>8683</v>
      </c>
      <c r="E90" s="102" t="s">
        <v>15</v>
      </c>
      <c r="F90" s="102">
        <v>2020</v>
      </c>
      <c r="G90" s="137" t="s">
        <v>2480</v>
      </c>
      <c r="H90" s="137">
        <v>200</v>
      </c>
      <c r="I90" s="137">
        <v>200</v>
      </c>
      <c r="J90" s="137"/>
      <c r="K90" s="137"/>
      <c r="L90" s="105">
        <v>20201118</v>
      </c>
    </row>
    <row r="91" spans="1:12">
      <c r="A91" s="137">
        <v>89</v>
      </c>
      <c r="B91" s="137" t="s">
        <v>8515</v>
      </c>
      <c r="C91" s="137" t="s">
        <v>8684</v>
      </c>
      <c r="D91" s="137" t="s">
        <v>8685</v>
      </c>
      <c r="E91" s="102" t="s">
        <v>15</v>
      </c>
      <c r="F91" s="102">
        <v>2020</v>
      </c>
      <c r="G91" s="137" t="s">
        <v>2480</v>
      </c>
      <c r="H91" s="137">
        <v>200</v>
      </c>
      <c r="I91" s="137">
        <v>200</v>
      </c>
      <c r="J91" s="137"/>
      <c r="K91" s="137"/>
      <c r="L91" s="105">
        <v>20201118</v>
      </c>
    </row>
    <row r="92" spans="1:12">
      <c r="A92" s="137">
        <v>90</v>
      </c>
      <c r="B92" s="137" t="s">
        <v>8515</v>
      </c>
      <c r="C92" s="137" t="s">
        <v>8686</v>
      </c>
      <c r="D92" s="137" t="s">
        <v>8687</v>
      </c>
      <c r="E92" s="102" t="s">
        <v>15</v>
      </c>
      <c r="F92" s="102">
        <v>2020</v>
      </c>
      <c r="G92" s="137" t="s">
        <v>2480</v>
      </c>
      <c r="H92" s="137">
        <v>1000</v>
      </c>
      <c r="I92" s="137">
        <v>1000</v>
      </c>
      <c r="J92" s="137"/>
      <c r="K92" s="137"/>
      <c r="L92" s="105">
        <v>20201118</v>
      </c>
    </row>
    <row r="93" spans="1:12">
      <c r="A93" s="137">
        <v>91</v>
      </c>
      <c r="B93" s="137" t="s">
        <v>8515</v>
      </c>
      <c r="C93" s="137" t="s">
        <v>8320</v>
      </c>
      <c r="D93" s="137" t="s">
        <v>8688</v>
      </c>
      <c r="E93" s="102" t="s">
        <v>15</v>
      </c>
      <c r="F93" s="102">
        <v>2020</v>
      </c>
      <c r="G93" s="137" t="s">
        <v>2480</v>
      </c>
      <c r="H93" s="137">
        <v>200</v>
      </c>
      <c r="I93" s="137">
        <v>200</v>
      </c>
      <c r="J93" s="137"/>
      <c r="K93" s="137"/>
      <c r="L93" s="105">
        <v>20201118</v>
      </c>
    </row>
    <row r="94" spans="1:12">
      <c r="A94" s="137">
        <v>92</v>
      </c>
      <c r="B94" s="137" t="s">
        <v>8515</v>
      </c>
      <c r="C94" s="137" t="s">
        <v>8689</v>
      </c>
      <c r="D94" s="137" t="s">
        <v>8690</v>
      </c>
      <c r="E94" s="102" t="s">
        <v>15</v>
      </c>
      <c r="F94" s="102">
        <v>2020</v>
      </c>
      <c r="G94" s="137" t="s">
        <v>2480</v>
      </c>
      <c r="H94" s="137">
        <v>200</v>
      </c>
      <c r="I94" s="137">
        <v>200</v>
      </c>
      <c r="J94" s="137"/>
      <c r="K94" s="137"/>
      <c r="L94" s="105">
        <v>20201118</v>
      </c>
    </row>
    <row r="95" spans="1:12">
      <c r="A95" s="137">
        <v>93</v>
      </c>
      <c r="B95" s="137" t="s">
        <v>8515</v>
      </c>
      <c r="C95" s="137" t="s">
        <v>8691</v>
      </c>
      <c r="D95" s="137" t="s">
        <v>8692</v>
      </c>
      <c r="E95" s="102" t="s">
        <v>15</v>
      </c>
      <c r="F95" s="102">
        <v>2020</v>
      </c>
      <c r="G95" s="137" t="s">
        <v>2480</v>
      </c>
      <c r="H95" s="137">
        <v>200</v>
      </c>
      <c r="I95" s="137">
        <v>200</v>
      </c>
      <c r="J95" s="137"/>
      <c r="K95" s="137"/>
      <c r="L95" s="105">
        <v>20201118</v>
      </c>
    </row>
    <row r="96" spans="1:12">
      <c r="A96" s="137">
        <v>94</v>
      </c>
      <c r="B96" s="137" t="s">
        <v>8515</v>
      </c>
      <c r="C96" s="137" t="s">
        <v>8693</v>
      </c>
      <c r="D96" s="137" t="s">
        <v>8694</v>
      </c>
      <c r="E96" s="102" t="s">
        <v>15</v>
      </c>
      <c r="F96" s="102">
        <v>2020</v>
      </c>
      <c r="G96" s="137" t="s">
        <v>2480</v>
      </c>
      <c r="H96" s="137">
        <v>200</v>
      </c>
      <c r="I96" s="137">
        <v>200</v>
      </c>
      <c r="J96" s="137"/>
      <c r="K96" s="137"/>
      <c r="L96" s="105">
        <v>20201118</v>
      </c>
    </row>
    <row r="97" spans="1:12">
      <c r="A97" s="137">
        <v>95</v>
      </c>
      <c r="B97" s="137" t="s">
        <v>8515</v>
      </c>
      <c r="C97" s="137" t="s">
        <v>8695</v>
      </c>
      <c r="D97" s="137" t="s">
        <v>8696</v>
      </c>
      <c r="E97" s="102" t="s">
        <v>15</v>
      </c>
      <c r="F97" s="102">
        <v>2020</v>
      </c>
      <c r="G97" s="137" t="s">
        <v>2480</v>
      </c>
      <c r="H97" s="137">
        <v>200</v>
      </c>
      <c r="I97" s="137">
        <v>200</v>
      </c>
      <c r="J97" s="137"/>
      <c r="K97" s="137"/>
      <c r="L97" s="105">
        <v>20201118</v>
      </c>
    </row>
    <row r="98" spans="1:12">
      <c r="A98" s="137">
        <v>96</v>
      </c>
      <c r="B98" s="137" t="s">
        <v>8515</v>
      </c>
      <c r="C98" s="137" t="s">
        <v>8697</v>
      </c>
      <c r="D98" s="137" t="s">
        <v>8698</v>
      </c>
      <c r="E98" s="102" t="s">
        <v>15</v>
      </c>
      <c r="F98" s="102">
        <v>2020</v>
      </c>
      <c r="G98" s="137" t="s">
        <v>2480</v>
      </c>
      <c r="H98" s="137">
        <v>200</v>
      </c>
      <c r="I98" s="137">
        <v>200</v>
      </c>
      <c r="J98" s="137"/>
      <c r="K98" s="137"/>
      <c r="L98" s="105">
        <v>20201118</v>
      </c>
    </row>
    <row r="99" spans="1:12">
      <c r="A99" s="137">
        <v>97</v>
      </c>
      <c r="B99" s="137" t="s">
        <v>8515</v>
      </c>
      <c r="C99" s="137" t="s">
        <v>8699</v>
      </c>
      <c r="D99" s="137" t="s">
        <v>8700</v>
      </c>
      <c r="E99" s="102" t="s">
        <v>15</v>
      </c>
      <c r="F99" s="102">
        <v>2020</v>
      </c>
      <c r="G99" s="137" t="s">
        <v>2480</v>
      </c>
      <c r="H99" s="137">
        <v>200</v>
      </c>
      <c r="I99" s="137">
        <v>200</v>
      </c>
      <c r="J99" s="137"/>
      <c r="K99" s="137"/>
      <c r="L99" s="105">
        <v>20201118</v>
      </c>
    </row>
    <row r="100" spans="1:12">
      <c r="A100" s="137">
        <v>98</v>
      </c>
      <c r="B100" s="137" t="s">
        <v>8515</v>
      </c>
      <c r="C100" s="137" t="s">
        <v>7740</v>
      </c>
      <c r="D100" s="137" t="s">
        <v>8701</v>
      </c>
      <c r="E100" s="102" t="s">
        <v>15</v>
      </c>
      <c r="F100" s="102">
        <v>2020</v>
      </c>
      <c r="G100" s="137" t="s">
        <v>2480</v>
      </c>
      <c r="H100" s="137">
        <v>200</v>
      </c>
      <c r="I100" s="137">
        <v>200</v>
      </c>
      <c r="J100" s="137"/>
      <c r="K100" s="137"/>
      <c r="L100" s="105">
        <v>20201118</v>
      </c>
    </row>
    <row r="101" spans="1:12">
      <c r="A101" s="137">
        <v>99</v>
      </c>
      <c r="B101" s="137" t="s">
        <v>8515</v>
      </c>
      <c r="C101" s="137" t="s">
        <v>8702</v>
      </c>
      <c r="D101" s="137" t="s">
        <v>8703</v>
      </c>
      <c r="E101" s="102" t="s">
        <v>15</v>
      </c>
      <c r="F101" s="102">
        <v>2020</v>
      </c>
      <c r="G101" s="137" t="s">
        <v>2480</v>
      </c>
      <c r="H101" s="137">
        <v>200</v>
      </c>
      <c r="I101" s="137">
        <v>200</v>
      </c>
      <c r="J101" s="137"/>
      <c r="K101" s="137"/>
      <c r="L101" s="105">
        <v>20201118</v>
      </c>
    </row>
    <row r="102" spans="1:12">
      <c r="A102" s="137">
        <v>100</v>
      </c>
      <c r="B102" s="137" t="s">
        <v>8515</v>
      </c>
      <c r="C102" s="137" t="s">
        <v>8704</v>
      </c>
      <c r="D102" s="137" t="s">
        <v>8705</v>
      </c>
      <c r="E102" s="102" t="s">
        <v>15</v>
      </c>
      <c r="F102" s="102">
        <v>2020</v>
      </c>
      <c r="G102" s="137" t="s">
        <v>2480</v>
      </c>
      <c r="H102" s="137">
        <v>200</v>
      </c>
      <c r="I102" s="137">
        <v>200</v>
      </c>
      <c r="J102" s="137"/>
      <c r="K102" s="137"/>
      <c r="L102" s="105">
        <v>20201118</v>
      </c>
    </row>
    <row r="103" spans="1:12">
      <c r="A103" s="137">
        <v>101</v>
      </c>
      <c r="B103" s="137" t="s">
        <v>8515</v>
      </c>
      <c r="C103" s="137" t="s">
        <v>8706</v>
      </c>
      <c r="D103" s="137" t="s">
        <v>8707</v>
      </c>
      <c r="E103" s="102" t="s">
        <v>15</v>
      </c>
      <c r="F103" s="102">
        <v>2020</v>
      </c>
      <c r="G103" s="137" t="s">
        <v>2480</v>
      </c>
      <c r="H103" s="137">
        <v>200</v>
      </c>
      <c r="I103" s="137">
        <v>200</v>
      </c>
      <c r="J103" s="137"/>
      <c r="K103" s="137"/>
      <c r="L103" s="105">
        <v>20201118</v>
      </c>
    </row>
    <row r="104" spans="1:12">
      <c r="A104" s="137">
        <v>102</v>
      </c>
      <c r="B104" s="137" t="s">
        <v>8515</v>
      </c>
      <c r="C104" s="137" t="s">
        <v>8708</v>
      </c>
      <c r="D104" s="137" t="s">
        <v>8709</v>
      </c>
      <c r="E104" s="102" t="s">
        <v>15</v>
      </c>
      <c r="F104" s="102">
        <v>2020</v>
      </c>
      <c r="G104" s="137" t="s">
        <v>2480</v>
      </c>
      <c r="H104" s="137">
        <v>200</v>
      </c>
      <c r="I104" s="137">
        <v>200</v>
      </c>
      <c r="J104" s="137"/>
      <c r="K104" s="137"/>
      <c r="L104" s="105">
        <v>20201118</v>
      </c>
    </row>
    <row r="105" spans="1:12">
      <c r="A105" s="137">
        <v>103</v>
      </c>
      <c r="B105" s="137" t="s">
        <v>8515</v>
      </c>
      <c r="C105" s="137" t="s">
        <v>8710</v>
      </c>
      <c r="D105" s="137" t="s">
        <v>8711</v>
      </c>
      <c r="E105" s="102" t="s">
        <v>15</v>
      </c>
      <c r="F105" s="102">
        <v>2020</v>
      </c>
      <c r="G105" s="137" t="s">
        <v>2480</v>
      </c>
      <c r="H105" s="137">
        <v>200</v>
      </c>
      <c r="I105" s="137">
        <v>200</v>
      </c>
      <c r="J105" s="137"/>
      <c r="K105" s="137"/>
      <c r="L105" s="105">
        <v>20201118</v>
      </c>
    </row>
    <row r="106" spans="1:12">
      <c r="A106" s="137">
        <v>104</v>
      </c>
      <c r="B106" s="137" t="s">
        <v>8515</v>
      </c>
      <c r="C106" s="137" t="s">
        <v>8712</v>
      </c>
      <c r="D106" s="137" t="s">
        <v>8713</v>
      </c>
      <c r="E106" s="102" t="s">
        <v>15</v>
      </c>
      <c r="F106" s="102">
        <v>2020</v>
      </c>
      <c r="G106" s="137" t="s">
        <v>2480</v>
      </c>
      <c r="H106" s="137">
        <v>200</v>
      </c>
      <c r="I106" s="137">
        <v>200</v>
      </c>
      <c r="J106" s="137"/>
      <c r="K106" s="137"/>
      <c r="L106" s="105">
        <v>20201118</v>
      </c>
    </row>
    <row r="107" spans="1:12">
      <c r="A107" s="137">
        <v>105</v>
      </c>
      <c r="B107" s="137" t="s">
        <v>8515</v>
      </c>
      <c r="C107" s="137" t="s">
        <v>8714</v>
      </c>
      <c r="D107" s="137" t="s">
        <v>8715</v>
      </c>
      <c r="E107" s="102" t="s">
        <v>15</v>
      </c>
      <c r="F107" s="102">
        <v>2020</v>
      </c>
      <c r="G107" s="137" t="s">
        <v>2480</v>
      </c>
      <c r="H107" s="137">
        <v>200</v>
      </c>
      <c r="I107" s="137">
        <v>200</v>
      </c>
      <c r="J107" s="137"/>
      <c r="K107" s="137"/>
      <c r="L107" s="105">
        <v>20201118</v>
      </c>
    </row>
    <row r="108" spans="1:12">
      <c r="A108" s="137">
        <v>106</v>
      </c>
      <c r="B108" s="137" t="s">
        <v>8515</v>
      </c>
      <c r="C108" s="137" t="s">
        <v>8716</v>
      </c>
      <c r="D108" s="137" t="s">
        <v>8717</v>
      </c>
      <c r="E108" s="102" t="s">
        <v>15</v>
      </c>
      <c r="F108" s="102">
        <v>2020</v>
      </c>
      <c r="G108" s="137" t="s">
        <v>2480</v>
      </c>
      <c r="H108" s="137">
        <v>200</v>
      </c>
      <c r="I108" s="137">
        <v>200</v>
      </c>
      <c r="J108" s="137"/>
      <c r="K108" s="137"/>
      <c r="L108" s="105">
        <v>20201118</v>
      </c>
    </row>
    <row r="109" spans="1:12">
      <c r="A109" s="137">
        <v>107</v>
      </c>
      <c r="B109" s="137" t="s">
        <v>8515</v>
      </c>
      <c r="C109" s="137" t="s">
        <v>8718</v>
      </c>
      <c r="D109" s="137" t="s">
        <v>8719</v>
      </c>
      <c r="E109" s="102" t="s">
        <v>15</v>
      </c>
      <c r="F109" s="102">
        <v>2020</v>
      </c>
      <c r="G109" s="137" t="s">
        <v>2480</v>
      </c>
      <c r="H109" s="137">
        <v>200</v>
      </c>
      <c r="I109" s="137">
        <v>200</v>
      </c>
      <c r="J109" s="137"/>
      <c r="K109" s="137"/>
      <c r="L109" s="105">
        <v>20201118</v>
      </c>
    </row>
    <row r="110" spans="1:12">
      <c r="A110" s="137">
        <v>108</v>
      </c>
      <c r="B110" s="137" t="s">
        <v>8515</v>
      </c>
      <c r="C110" s="137" t="s">
        <v>8720</v>
      </c>
      <c r="D110" s="137" t="s">
        <v>8721</v>
      </c>
      <c r="E110" s="102" t="s">
        <v>15</v>
      </c>
      <c r="F110" s="102">
        <v>2020</v>
      </c>
      <c r="G110" s="137" t="s">
        <v>2480</v>
      </c>
      <c r="H110" s="137">
        <v>200</v>
      </c>
      <c r="I110" s="137">
        <v>200</v>
      </c>
      <c r="J110" s="137"/>
      <c r="K110" s="137"/>
      <c r="L110" s="105">
        <v>20201118</v>
      </c>
    </row>
    <row r="111" spans="1:12">
      <c r="A111" s="137">
        <v>109</v>
      </c>
      <c r="B111" s="137" t="s">
        <v>8515</v>
      </c>
      <c r="C111" s="137" t="s">
        <v>8722</v>
      </c>
      <c r="D111" s="137" t="s">
        <v>8723</v>
      </c>
      <c r="E111" s="102" t="s">
        <v>15</v>
      </c>
      <c r="F111" s="102">
        <v>2020</v>
      </c>
      <c r="G111" s="137" t="s">
        <v>2480</v>
      </c>
      <c r="H111" s="137">
        <v>200</v>
      </c>
      <c r="I111" s="137">
        <v>200</v>
      </c>
      <c r="J111" s="137"/>
      <c r="K111" s="137"/>
      <c r="L111" s="105">
        <v>20201118</v>
      </c>
    </row>
    <row r="112" spans="1:12">
      <c r="A112" s="137">
        <v>110</v>
      </c>
      <c r="B112" s="137" t="s">
        <v>8515</v>
      </c>
      <c r="C112" s="137" t="s">
        <v>8724</v>
      </c>
      <c r="D112" s="137" t="s">
        <v>8725</v>
      </c>
      <c r="E112" s="102" t="s">
        <v>15</v>
      </c>
      <c r="F112" s="102">
        <v>2020</v>
      </c>
      <c r="G112" s="137" t="s">
        <v>2480</v>
      </c>
      <c r="H112" s="137">
        <v>200</v>
      </c>
      <c r="I112" s="137">
        <v>200</v>
      </c>
      <c r="J112" s="137"/>
      <c r="K112" s="137"/>
      <c r="L112" s="105">
        <v>20201118</v>
      </c>
    </row>
    <row r="113" spans="1:12">
      <c r="A113" s="137">
        <v>111</v>
      </c>
      <c r="B113" s="137" t="s">
        <v>8515</v>
      </c>
      <c r="C113" s="137" t="s">
        <v>3082</v>
      </c>
      <c r="D113" s="137" t="s">
        <v>8726</v>
      </c>
      <c r="E113" s="102" t="s">
        <v>15</v>
      </c>
      <c r="F113" s="102">
        <v>2020</v>
      </c>
      <c r="G113" s="137" t="s">
        <v>2480</v>
      </c>
      <c r="H113" s="137">
        <v>200</v>
      </c>
      <c r="I113" s="137">
        <v>200</v>
      </c>
      <c r="J113" s="137"/>
      <c r="K113" s="137"/>
      <c r="L113" s="105">
        <v>20201118</v>
      </c>
    </row>
    <row r="114" spans="1:12">
      <c r="A114" s="137">
        <v>112</v>
      </c>
      <c r="B114" s="137" t="s">
        <v>8515</v>
      </c>
      <c r="C114" s="137" t="s">
        <v>8727</v>
      </c>
      <c r="D114" s="137" t="s">
        <v>8728</v>
      </c>
      <c r="E114" s="102" t="s">
        <v>15</v>
      </c>
      <c r="F114" s="102">
        <v>2020</v>
      </c>
      <c r="G114" s="137" t="s">
        <v>2480</v>
      </c>
      <c r="H114" s="137">
        <v>200</v>
      </c>
      <c r="I114" s="137">
        <v>200</v>
      </c>
      <c r="J114" s="137"/>
      <c r="K114" s="137"/>
      <c r="L114" s="105">
        <v>20201118</v>
      </c>
    </row>
    <row r="115" spans="1:12">
      <c r="A115" s="137">
        <v>113</v>
      </c>
      <c r="B115" s="137" t="s">
        <v>8515</v>
      </c>
      <c r="C115" s="137" t="s">
        <v>8729</v>
      </c>
      <c r="D115" s="137" t="s">
        <v>8730</v>
      </c>
      <c r="E115" s="102" t="s">
        <v>15</v>
      </c>
      <c r="F115" s="102">
        <v>2020</v>
      </c>
      <c r="G115" s="137" t="s">
        <v>2480</v>
      </c>
      <c r="H115" s="137">
        <v>200</v>
      </c>
      <c r="I115" s="137">
        <v>200</v>
      </c>
      <c r="J115" s="137"/>
      <c r="K115" s="137"/>
      <c r="L115" s="105">
        <v>20201118</v>
      </c>
    </row>
    <row r="116" spans="1:12">
      <c r="A116" s="137">
        <v>114</v>
      </c>
      <c r="B116" s="137" t="s">
        <v>8515</v>
      </c>
      <c r="C116" s="137" t="s">
        <v>8731</v>
      </c>
      <c r="D116" s="137" t="s">
        <v>8732</v>
      </c>
      <c r="E116" s="102" t="s">
        <v>15</v>
      </c>
      <c r="F116" s="102">
        <v>2020</v>
      </c>
      <c r="G116" s="137" t="s">
        <v>2480</v>
      </c>
      <c r="H116" s="137">
        <v>200</v>
      </c>
      <c r="I116" s="137">
        <v>200</v>
      </c>
      <c r="J116" s="137"/>
      <c r="K116" s="137"/>
      <c r="L116" s="105">
        <v>20201118</v>
      </c>
    </row>
    <row r="117" spans="1:12">
      <c r="A117" s="137">
        <v>115</v>
      </c>
      <c r="B117" s="137" t="s">
        <v>8515</v>
      </c>
      <c r="C117" s="137" t="s">
        <v>8733</v>
      </c>
      <c r="D117" s="137" t="s">
        <v>8734</v>
      </c>
      <c r="E117" s="102" t="s">
        <v>15</v>
      </c>
      <c r="F117" s="102">
        <v>2020</v>
      </c>
      <c r="G117" s="137" t="s">
        <v>2480</v>
      </c>
      <c r="H117" s="137">
        <v>200</v>
      </c>
      <c r="I117" s="137">
        <v>200</v>
      </c>
      <c r="J117" s="137"/>
      <c r="K117" s="137"/>
      <c r="L117" s="105">
        <v>20201118</v>
      </c>
    </row>
    <row r="118" spans="1:12">
      <c r="A118" s="137">
        <v>116</v>
      </c>
      <c r="B118" s="137" t="s">
        <v>8515</v>
      </c>
      <c r="C118" s="137" t="s">
        <v>8735</v>
      </c>
      <c r="D118" s="137" t="s">
        <v>8736</v>
      </c>
      <c r="E118" s="102" t="s">
        <v>15</v>
      </c>
      <c r="F118" s="102">
        <v>2020</v>
      </c>
      <c r="G118" s="137" t="s">
        <v>2480</v>
      </c>
      <c r="H118" s="137">
        <v>200</v>
      </c>
      <c r="I118" s="137">
        <v>200</v>
      </c>
      <c r="J118" s="137"/>
      <c r="K118" s="137"/>
      <c r="L118" s="105">
        <v>20201118</v>
      </c>
    </row>
    <row r="119" spans="1:12">
      <c r="A119" s="137">
        <v>117</v>
      </c>
      <c r="B119" s="137" t="s">
        <v>8515</v>
      </c>
      <c r="C119" s="137" t="s">
        <v>8737</v>
      </c>
      <c r="D119" s="137" t="s">
        <v>8738</v>
      </c>
      <c r="E119" s="102" t="s">
        <v>15</v>
      </c>
      <c r="F119" s="102">
        <v>2020</v>
      </c>
      <c r="G119" s="137" t="s">
        <v>2480</v>
      </c>
      <c r="H119" s="137">
        <v>200</v>
      </c>
      <c r="I119" s="137">
        <v>200</v>
      </c>
      <c r="J119" s="137" t="s">
        <v>1242</v>
      </c>
      <c r="K119" s="137"/>
      <c r="L119" s="105">
        <v>20201118</v>
      </c>
    </row>
    <row r="120" spans="1:12">
      <c r="A120" s="137">
        <v>118</v>
      </c>
      <c r="B120" s="137" t="s">
        <v>8515</v>
      </c>
      <c r="C120" s="137" t="s">
        <v>8739</v>
      </c>
      <c r="D120" s="137" t="s">
        <v>8740</v>
      </c>
      <c r="E120" s="102" t="s">
        <v>15</v>
      </c>
      <c r="F120" s="102">
        <v>2020</v>
      </c>
      <c r="G120" s="137" t="s">
        <v>2480</v>
      </c>
      <c r="H120" s="137">
        <v>200</v>
      </c>
      <c r="I120" s="137">
        <v>200</v>
      </c>
      <c r="J120" s="137"/>
      <c r="K120" s="137"/>
      <c r="L120" s="105">
        <v>20201118</v>
      </c>
    </row>
    <row r="121" spans="1:12">
      <c r="A121" s="137">
        <v>119</v>
      </c>
      <c r="B121" s="137" t="s">
        <v>8515</v>
      </c>
      <c r="C121" s="137" t="s">
        <v>8741</v>
      </c>
      <c r="D121" s="137" t="s">
        <v>8742</v>
      </c>
      <c r="E121" s="102" t="s">
        <v>15</v>
      </c>
      <c r="F121" s="102">
        <v>2020</v>
      </c>
      <c r="G121" s="137" t="s">
        <v>2480</v>
      </c>
      <c r="H121" s="137">
        <v>300</v>
      </c>
      <c r="I121" s="137">
        <v>300</v>
      </c>
      <c r="J121" s="137"/>
      <c r="K121" s="137"/>
      <c r="L121" s="105">
        <v>20201118</v>
      </c>
    </row>
    <row r="122" spans="1:12">
      <c r="A122" s="137">
        <v>120</v>
      </c>
      <c r="B122" s="137" t="s">
        <v>8515</v>
      </c>
      <c r="C122" s="137" t="s">
        <v>3469</v>
      </c>
      <c r="D122" s="137" t="s">
        <v>8743</v>
      </c>
      <c r="E122" s="102" t="s">
        <v>15</v>
      </c>
      <c r="F122" s="102">
        <v>2020</v>
      </c>
      <c r="G122" s="137" t="s">
        <v>2480</v>
      </c>
      <c r="H122" s="137">
        <v>200</v>
      </c>
      <c r="I122" s="137">
        <v>200</v>
      </c>
      <c r="J122" s="137"/>
      <c r="K122" s="137"/>
      <c r="L122" s="105">
        <v>20201118</v>
      </c>
    </row>
    <row r="123" spans="1:12">
      <c r="A123" s="137">
        <v>121</v>
      </c>
      <c r="B123" s="137" t="s">
        <v>8515</v>
      </c>
      <c r="C123" s="137" t="s">
        <v>8744</v>
      </c>
      <c r="D123" s="137" t="s">
        <v>8745</v>
      </c>
      <c r="E123" s="102" t="s">
        <v>15</v>
      </c>
      <c r="F123" s="102">
        <v>2020</v>
      </c>
      <c r="G123" s="137" t="s">
        <v>2480</v>
      </c>
      <c r="H123" s="137">
        <v>200</v>
      </c>
      <c r="I123" s="137">
        <v>200</v>
      </c>
      <c r="J123" s="137"/>
      <c r="K123" s="137"/>
      <c r="L123" s="105">
        <v>20201118</v>
      </c>
    </row>
    <row r="124" spans="1:12">
      <c r="A124" s="137">
        <v>122</v>
      </c>
      <c r="B124" s="137" t="s">
        <v>8515</v>
      </c>
      <c r="C124" s="137" t="s">
        <v>8746</v>
      </c>
      <c r="D124" s="137" t="s">
        <v>8747</v>
      </c>
      <c r="E124" s="102" t="s">
        <v>15</v>
      </c>
      <c r="F124" s="102">
        <v>2020</v>
      </c>
      <c r="G124" s="137" t="s">
        <v>2480</v>
      </c>
      <c r="H124" s="137">
        <v>200</v>
      </c>
      <c r="I124" s="137">
        <v>200</v>
      </c>
      <c r="J124" s="137"/>
      <c r="K124" s="137"/>
      <c r="L124" s="105">
        <v>20201118</v>
      </c>
    </row>
    <row r="125" spans="1:12">
      <c r="A125" s="137">
        <v>123</v>
      </c>
      <c r="B125" s="137" t="s">
        <v>8515</v>
      </c>
      <c r="C125" s="137" t="s">
        <v>4341</v>
      </c>
      <c r="D125" s="137" t="s">
        <v>8748</v>
      </c>
      <c r="E125" s="102" t="s">
        <v>15</v>
      </c>
      <c r="F125" s="102">
        <v>2020</v>
      </c>
      <c r="G125" s="137" t="s">
        <v>2480</v>
      </c>
      <c r="H125" s="137">
        <v>200</v>
      </c>
      <c r="I125" s="137">
        <v>200</v>
      </c>
      <c r="J125" s="137"/>
      <c r="K125" s="137"/>
      <c r="L125" s="105">
        <v>20201118</v>
      </c>
    </row>
    <row r="126" spans="1:12">
      <c r="A126" s="137">
        <v>124</v>
      </c>
      <c r="B126" s="137" t="s">
        <v>8515</v>
      </c>
      <c r="C126" s="137" t="s">
        <v>8749</v>
      </c>
      <c r="D126" s="137" t="s">
        <v>8750</v>
      </c>
      <c r="E126" s="102" t="s">
        <v>15</v>
      </c>
      <c r="F126" s="102">
        <v>2020</v>
      </c>
      <c r="G126" s="137" t="s">
        <v>2480</v>
      </c>
      <c r="H126" s="137">
        <v>200</v>
      </c>
      <c r="I126" s="137">
        <v>200</v>
      </c>
      <c r="J126" s="137"/>
      <c r="K126" s="137"/>
      <c r="L126" s="105">
        <v>20201118</v>
      </c>
    </row>
    <row r="127" spans="1:12">
      <c r="A127" s="137">
        <v>125</v>
      </c>
      <c r="B127" s="137" t="s">
        <v>8515</v>
      </c>
      <c r="C127" s="137" t="s">
        <v>8751</v>
      </c>
      <c r="D127" s="137" t="s">
        <v>8752</v>
      </c>
      <c r="E127" s="102" t="s">
        <v>15</v>
      </c>
      <c r="F127" s="102">
        <v>2020</v>
      </c>
      <c r="G127" s="137" t="s">
        <v>2480</v>
      </c>
      <c r="H127" s="137">
        <v>200</v>
      </c>
      <c r="I127" s="137">
        <v>200</v>
      </c>
      <c r="J127" s="137"/>
      <c r="K127" s="137"/>
      <c r="L127" s="105">
        <v>20201118</v>
      </c>
    </row>
    <row r="128" spans="1:12">
      <c r="A128" s="137">
        <v>126</v>
      </c>
      <c r="B128" s="137" t="s">
        <v>8515</v>
      </c>
      <c r="C128" s="137" t="s">
        <v>8753</v>
      </c>
      <c r="D128" s="137" t="s">
        <v>8754</v>
      </c>
      <c r="E128" s="102" t="s">
        <v>15</v>
      </c>
      <c r="F128" s="102">
        <v>2020</v>
      </c>
      <c r="G128" s="137" t="s">
        <v>2480</v>
      </c>
      <c r="H128" s="137">
        <v>200</v>
      </c>
      <c r="I128" s="137">
        <v>200</v>
      </c>
      <c r="J128" s="137"/>
      <c r="K128" s="137"/>
      <c r="L128" s="105">
        <v>20201118</v>
      </c>
    </row>
    <row r="129" spans="1:12">
      <c r="A129" s="137">
        <v>127</v>
      </c>
      <c r="B129" s="137" t="s">
        <v>8515</v>
      </c>
      <c r="C129" s="137" t="s">
        <v>8755</v>
      </c>
      <c r="D129" s="137" t="s">
        <v>8756</v>
      </c>
      <c r="E129" s="102" t="s">
        <v>15</v>
      </c>
      <c r="F129" s="102">
        <v>2020</v>
      </c>
      <c r="G129" s="137" t="s">
        <v>2480</v>
      </c>
      <c r="H129" s="137">
        <v>200</v>
      </c>
      <c r="I129" s="137">
        <v>200</v>
      </c>
      <c r="J129" s="137"/>
      <c r="K129" s="137"/>
      <c r="L129" s="105">
        <v>20201118</v>
      </c>
    </row>
    <row r="130" spans="1:12">
      <c r="A130" s="137">
        <v>128</v>
      </c>
      <c r="B130" s="137" t="s">
        <v>8515</v>
      </c>
      <c r="C130" s="137" t="s">
        <v>200</v>
      </c>
      <c r="D130" s="137" t="s">
        <v>8757</v>
      </c>
      <c r="E130" s="102" t="s">
        <v>15</v>
      </c>
      <c r="F130" s="102">
        <v>2020</v>
      </c>
      <c r="G130" s="137" t="s">
        <v>2480</v>
      </c>
      <c r="H130" s="137">
        <v>200</v>
      </c>
      <c r="I130" s="137">
        <v>200</v>
      </c>
      <c r="J130" s="137"/>
      <c r="K130" s="137"/>
      <c r="L130" s="105">
        <v>20201118</v>
      </c>
    </row>
    <row r="131" spans="1:12">
      <c r="A131" s="137">
        <v>129</v>
      </c>
      <c r="B131" s="137" t="s">
        <v>8515</v>
      </c>
      <c r="C131" s="137" t="s">
        <v>8758</v>
      </c>
      <c r="D131" s="137" t="s">
        <v>8759</v>
      </c>
      <c r="E131" s="102" t="s">
        <v>15</v>
      </c>
      <c r="F131" s="102">
        <v>2020</v>
      </c>
      <c r="G131" s="137" t="s">
        <v>2480</v>
      </c>
      <c r="H131" s="137">
        <v>200</v>
      </c>
      <c r="I131" s="137">
        <v>200</v>
      </c>
      <c r="J131" s="137"/>
      <c r="K131" s="137"/>
      <c r="L131" s="105">
        <v>20201118</v>
      </c>
    </row>
    <row r="132" spans="1:12">
      <c r="A132" s="137">
        <v>130</v>
      </c>
      <c r="B132" s="137" t="s">
        <v>8515</v>
      </c>
      <c r="C132" s="137" t="s">
        <v>8760</v>
      </c>
      <c r="D132" s="137" t="s">
        <v>8761</v>
      </c>
      <c r="E132" s="102" t="s">
        <v>15</v>
      </c>
      <c r="F132" s="102">
        <v>2020</v>
      </c>
      <c r="G132" s="137" t="s">
        <v>2480</v>
      </c>
      <c r="H132" s="137">
        <v>200</v>
      </c>
      <c r="I132" s="137">
        <v>200</v>
      </c>
      <c r="J132" s="137"/>
      <c r="K132" s="137"/>
      <c r="L132" s="105">
        <v>20201118</v>
      </c>
    </row>
    <row r="133" spans="1:12">
      <c r="A133" s="137">
        <v>131</v>
      </c>
      <c r="B133" s="137" t="s">
        <v>8515</v>
      </c>
      <c r="C133" s="137" t="s">
        <v>8762</v>
      </c>
      <c r="D133" s="137" t="s">
        <v>8763</v>
      </c>
      <c r="E133" s="102" t="s">
        <v>15</v>
      </c>
      <c r="F133" s="102">
        <v>2020</v>
      </c>
      <c r="G133" s="137" t="s">
        <v>2480</v>
      </c>
      <c r="H133" s="137">
        <v>200</v>
      </c>
      <c r="I133" s="137">
        <v>200</v>
      </c>
      <c r="J133" s="137"/>
      <c r="K133" s="137"/>
      <c r="L133" s="105">
        <v>20201118</v>
      </c>
    </row>
    <row r="134" spans="1:12">
      <c r="A134" s="137">
        <v>132</v>
      </c>
      <c r="B134" s="137" t="s">
        <v>8515</v>
      </c>
      <c r="C134" s="137" t="s">
        <v>8764</v>
      </c>
      <c r="D134" s="137" t="s">
        <v>8765</v>
      </c>
      <c r="E134" s="102" t="s">
        <v>15</v>
      </c>
      <c r="F134" s="102">
        <v>2020</v>
      </c>
      <c r="G134" s="137" t="s">
        <v>2480</v>
      </c>
      <c r="H134" s="137">
        <v>200</v>
      </c>
      <c r="I134" s="137">
        <v>200</v>
      </c>
      <c r="J134" s="137"/>
      <c r="K134" s="137"/>
      <c r="L134" s="105">
        <v>20201118</v>
      </c>
    </row>
    <row r="135" spans="1:12">
      <c r="A135" s="137">
        <v>133</v>
      </c>
      <c r="B135" s="137" t="s">
        <v>8515</v>
      </c>
      <c r="C135" s="137" t="s">
        <v>8288</v>
      </c>
      <c r="D135" s="137" t="s">
        <v>8766</v>
      </c>
      <c r="E135" s="102" t="s">
        <v>15</v>
      </c>
      <c r="F135" s="102">
        <v>2020</v>
      </c>
      <c r="G135" s="137" t="s">
        <v>2480</v>
      </c>
      <c r="H135" s="137">
        <v>200</v>
      </c>
      <c r="I135" s="137">
        <v>200</v>
      </c>
      <c r="J135" s="137"/>
      <c r="K135" s="137"/>
      <c r="L135" s="105">
        <v>20201118</v>
      </c>
    </row>
    <row r="136" spans="1:12">
      <c r="A136" s="137">
        <v>134</v>
      </c>
      <c r="B136" s="137" t="s">
        <v>8515</v>
      </c>
      <c r="C136" s="137" t="s">
        <v>8767</v>
      </c>
      <c r="D136" s="137" t="s">
        <v>8768</v>
      </c>
      <c r="E136" s="102" t="s">
        <v>15</v>
      </c>
      <c r="F136" s="102">
        <v>2020</v>
      </c>
      <c r="G136" s="137" t="s">
        <v>2480</v>
      </c>
      <c r="H136" s="137">
        <v>200</v>
      </c>
      <c r="I136" s="137">
        <v>200</v>
      </c>
      <c r="J136" s="137"/>
      <c r="K136" s="137"/>
      <c r="L136" s="105">
        <v>20201118</v>
      </c>
    </row>
    <row r="137" spans="1:12">
      <c r="A137" s="137">
        <v>135</v>
      </c>
      <c r="B137" s="137" t="s">
        <v>8515</v>
      </c>
      <c r="C137" s="137" t="s">
        <v>8769</v>
      </c>
      <c r="D137" s="137" t="s">
        <v>8770</v>
      </c>
      <c r="E137" s="102" t="s">
        <v>15</v>
      </c>
      <c r="F137" s="102">
        <v>2020</v>
      </c>
      <c r="G137" s="137" t="s">
        <v>2480</v>
      </c>
      <c r="H137" s="137">
        <v>200</v>
      </c>
      <c r="I137" s="137">
        <v>200</v>
      </c>
      <c r="J137" s="137"/>
      <c r="K137" s="137"/>
      <c r="L137" s="105">
        <v>20201118</v>
      </c>
    </row>
    <row r="138" spans="1:12">
      <c r="A138" s="137">
        <v>136</v>
      </c>
      <c r="B138" s="137" t="s">
        <v>8515</v>
      </c>
      <c r="C138" s="137" t="s">
        <v>8771</v>
      </c>
      <c r="D138" s="137" t="s">
        <v>8772</v>
      </c>
      <c r="E138" s="102" t="s">
        <v>15</v>
      </c>
      <c r="F138" s="102">
        <v>2020</v>
      </c>
      <c r="G138" s="137" t="s">
        <v>2480</v>
      </c>
      <c r="H138" s="137">
        <v>200</v>
      </c>
      <c r="I138" s="137">
        <v>200</v>
      </c>
      <c r="J138" s="137"/>
      <c r="K138" s="137"/>
      <c r="L138" s="105">
        <v>20201118</v>
      </c>
    </row>
    <row r="139" spans="1:12">
      <c r="A139" s="137">
        <v>137</v>
      </c>
      <c r="B139" s="137" t="s">
        <v>8515</v>
      </c>
      <c r="C139" s="137" t="s">
        <v>8773</v>
      </c>
      <c r="D139" s="137" t="s">
        <v>8774</v>
      </c>
      <c r="E139" s="102" t="s">
        <v>15</v>
      </c>
      <c r="F139" s="102">
        <v>2020</v>
      </c>
      <c r="G139" s="137" t="s">
        <v>2480</v>
      </c>
      <c r="H139" s="137">
        <v>200</v>
      </c>
      <c r="I139" s="137">
        <v>200</v>
      </c>
      <c r="J139" s="137"/>
      <c r="K139" s="137"/>
      <c r="L139" s="105">
        <v>20201118</v>
      </c>
    </row>
    <row r="140" spans="1:12">
      <c r="A140" s="137">
        <v>138</v>
      </c>
      <c r="B140" s="137" t="s">
        <v>8515</v>
      </c>
      <c r="C140" s="137" t="s">
        <v>1315</v>
      </c>
      <c r="D140" s="137" t="s">
        <v>8775</v>
      </c>
      <c r="E140" s="102" t="s">
        <v>15</v>
      </c>
      <c r="F140" s="102">
        <v>2020</v>
      </c>
      <c r="G140" s="137" t="s">
        <v>2480</v>
      </c>
      <c r="H140" s="137">
        <v>200</v>
      </c>
      <c r="I140" s="137">
        <v>200</v>
      </c>
      <c r="J140" s="137"/>
      <c r="K140" s="137"/>
      <c r="L140" s="105">
        <v>20201118</v>
      </c>
    </row>
    <row r="141" spans="1:12">
      <c r="A141" s="137">
        <v>139</v>
      </c>
      <c r="B141" s="137" t="s">
        <v>8515</v>
      </c>
      <c r="C141" s="137" t="s">
        <v>8776</v>
      </c>
      <c r="D141" s="137" t="s">
        <v>8777</v>
      </c>
      <c r="E141" s="102" t="s">
        <v>15</v>
      </c>
      <c r="F141" s="102">
        <v>2020</v>
      </c>
      <c r="G141" s="137" t="s">
        <v>2480</v>
      </c>
      <c r="H141" s="137">
        <v>200</v>
      </c>
      <c r="I141" s="137">
        <v>200</v>
      </c>
      <c r="J141" s="137"/>
      <c r="K141" s="137"/>
      <c r="L141" s="105">
        <v>20201118</v>
      </c>
    </row>
    <row r="142" spans="1:12">
      <c r="A142" s="137">
        <v>140</v>
      </c>
      <c r="B142" s="137" t="s">
        <v>8515</v>
      </c>
      <c r="C142" s="137" t="s">
        <v>8778</v>
      </c>
      <c r="D142" s="137" t="s">
        <v>8779</v>
      </c>
      <c r="E142" s="102" t="s">
        <v>15</v>
      </c>
      <c r="F142" s="102">
        <v>2020</v>
      </c>
      <c r="G142" s="137" t="s">
        <v>2480</v>
      </c>
      <c r="H142" s="137">
        <v>200</v>
      </c>
      <c r="I142" s="137">
        <v>200</v>
      </c>
      <c r="J142" s="137" t="s">
        <v>1242</v>
      </c>
      <c r="K142" s="137"/>
      <c r="L142" s="105">
        <v>20201118</v>
      </c>
    </row>
    <row r="143" spans="1:12">
      <c r="A143" s="137">
        <v>141</v>
      </c>
      <c r="B143" s="137" t="s">
        <v>8515</v>
      </c>
      <c r="C143" s="137" t="s">
        <v>8780</v>
      </c>
      <c r="D143" s="137" t="s">
        <v>8781</v>
      </c>
      <c r="E143" s="102" t="s">
        <v>15</v>
      </c>
      <c r="F143" s="102">
        <v>2020</v>
      </c>
      <c r="G143" s="137" t="s">
        <v>2480</v>
      </c>
      <c r="H143" s="137">
        <v>200</v>
      </c>
      <c r="I143" s="137">
        <v>200</v>
      </c>
      <c r="J143" s="137"/>
      <c r="K143" s="137"/>
      <c r="L143" s="105">
        <v>20201118</v>
      </c>
    </row>
    <row r="144" spans="1:12">
      <c r="A144" s="137">
        <v>142</v>
      </c>
      <c r="B144" s="137" t="s">
        <v>8515</v>
      </c>
      <c r="C144" s="137" t="s">
        <v>8782</v>
      </c>
      <c r="D144" s="137" t="s">
        <v>8783</v>
      </c>
      <c r="E144" s="102" t="s">
        <v>15</v>
      </c>
      <c r="F144" s="102">
        <v>2020</v>
      </c>
      <c r="G144" s="137" t="s">
        <v>2480</v>
      </c>
      <c r="H144" s="137">
        <v>200</v>
      </c>
      <c r="I144" s="137">
        <v>200</v>
      </c>
      <c r="J144" s="137"/>
      <c r="K144" s="137"/>
      <c r="L144" s="105">
        <v>20201118</v>
      </c>
    </row>
    <row r="145" spans="1:12">
      <c r="A145" s="137">
        <v>143</v>
      </c>
      <c r="B145" s="137" t="s">
        <v>8515</v>
      </c>
      <c r="C145" s="137" t="s">
        <v>8784</v>
      </c>
      <c r="D145" s="137" t="s">
        <v>8785</v>
      </c>
      <c r="E145" s="102" t="s">
        <v>15</v>
      </c>
      <c r="F145" s="102">
        <v>2020</v>
      </c>
      <c r="G145" s="137" t="s">
        <v>2480</v>
      </c>
      <c r="H145" s="137">
        <v>200</v>
      </c>
      <c r="I145" s="137">
        <v>200</v>
      </c>
      <c r="J145" s="137"/>
      <c r="K145" s="137"/>
      <c r="L145" s="105">
        <v>20201118</v>
      </c>
    </row>
    <row r="146" spans="1:12">
      <c r="A146" s="137">
        <v>144</v>
      </c>
      <c r="B146" s="137" t="s">
        <v>8515</v>
      </c>
      <c r="C146" s="137" t="s">
        <v>8786</v>
      </c>
      <c r="D146" s="137" t="s">
        <v>8787</v>
      </c>
      <c r="E146" s="102" t="s">
        <v>15</v>
      </c>
      <c r="F146" s="102">
        <v>2020</v>
      </c>
      <c r="G146" s="137" t="s">
        <v>2480</v>
      </c>
      <c r="H146" s="137">
        <v>200</v>
      </c>
      <c r="I146" s="137">
        <v>200</v>
      </c>
      <c r="J146" s="137"/>
      <c r="K146" s="137"/>
      <c r="L146" s="105">
        <v>20201118</v>
      </c>
    </row>
    <row r="147" spans="1:12">
      <c r="A147" s="137">
        <v>145</v>
      </c>
      <c r="B147" s="137" t="s">
        <v>8515</v>
      </c>
      <c r="C147" s="137" t="s">
        <v>8788</v>
      </c>
      <c r="D147" s="137" t="s">
        <v>8789</v>
      </c>
      <c r="E147" s="102" t="s">
        <v>15</v>
      </c>
      <c r="F147" s="102">
        <v>2020</v>
      </c>
      <c r="G147" s="137" t="s">
        <v>2480</v>
      </c>
      <c r="H147" s="137">
        <v>200</v>
      </c>
      <c r="I147" s="137">
        <v>200</v>
      </c>
      <c r="J147" s="137"/>
      <c r="K147" s="137"/>
      <c r="L147" s="105">
        <v>20201118</v>
      </c>
    </row>
    <row r="148" spans="1:12">
      <c r="A148" s="137">
        <v>146</v>
      </c>
      <c r="B148" s="137" t="s">
        <v>8515</v>
      </c>
      <c r="C148" s="137" t="s">
        <v>8790</v>
      </c>
      <c r="D148" s="137" t="s">
        <v>8791</v>
      </c>
      <c r="E148" s="102" t="s">
        <v>15</v>
      </c>
      <c r="F148" s="102">
        <v>2020</v>
      </c>
      <c r="G148" s="137" t="s">
        <v>2480</v>
      </c>
      <c r="H148" s="137">
        <v>200</v>
      </c>
      <c r="I148" s="137">
        <v>200</v>
      </c>
      <c r="J148" s="137"/>
      <c r="K148" s="137"/>
      <c r="L148" s="105">
        <v>20201118</v>
      </c>
    </row>
    <row r="149" spans="1:12">
      <c r="A149" s="137">
        <v>147</v>
      </c>
      <c r="B149" s="137" t="s">
        <v>8515</v>
      </c>
      <c r="C149" s="137" t="s">
        <v>8792</v>
      </c>
      <c r="D149" s="137" t="s">
        <v>8793</v>
      </c>
      <c r="E149" s="102" t="s">
        <v>15</v>
      </c>
      <c r="F149" s="102">
        <v>2020</v>
      </c>
      <c r="G149" s="137" t="s">
        <v>2480</v>
      </c>
      <c r="H149" s="137">
        <v>200</v>
      </c>
      <c r="I149" s="137">
        <v>200</v>
      </c>
      <c r="J149" s="137"/>
      <c r="K149" s="137"/>
      <c r="L149" s="105">
        <v>20201118</v>
      </c>
    </row>
    <row r="150" spans="1:12">
      <c r="A150" s="137">
        <v>148</v>
      </c>
      <c r="B150" s="137" t="s">
        <v>8515</v>
      </c>
      <c r="C150" s="137" t="s">
        <v>8794</v>
      </c>
      <c r="D150" s="137" t="s">
        <v>8795</v>
      </c>
      <c r="E150" s="102" t="s">
        <v>15</v>
      </c>
      <c r="F150" s="102">
        <v>2020</v>
      </c>
      <c r="G150" s="137" t="s">
        <v>2480</v>
      </c>
      <c r="H150" s="137">
        <v>200</v>
      </c>
      <c r="I150" s="137">
        <v>200</v>
      </c>
      <c r="J150" s="137"/>
      <c r="K150" s="137"/>
      <c r="L150" s="105">
        <v>20201118</v>
      </c>
    </row>
    <row r="151" spans="1:12">
      <c r="A151" s="137">
        <v>149</v>
      </c>
      <c r="B151" s="137" t="s">
        <v>8515</v>
      </c>
      <c r="C151" s="137" t="s">
        <v>8796</v>
      </c>
      <c r="D151" s="137" t="s">
        <v>8797</v>
      </c>
      <c r="E151" s="102" t="s">
        <v>15</v>
      </c>
      <c r="F151" s="102">
        <v>2020</v>
      </c>
      <c r="G151" s="137" t="s">
        <v>2480</v>
      </c>
      <c r="H151" s="137">
        <v>200</v>
      </c>
      <c r="I151" s="137">
        <v>200</v>
      </c>
      <c r="J151" s="137"/>
      <c r="K151" s="137"/>
      <c r="L151" s="105">
        <v>20201118</v>
      </c>
    </row>
    <row r="152" spans="1:12">
      <c r="A152" s="137">
        <v>150</v>
      </c>
      <c r="B152" s="137" t="s">
        <v>8515</v>
      </c>
      <c r="C152" s="137" t="s">
        <v>8798</v>
      </c>
      <c r="D152" s="137" t="s">
        <v>8799</v>
      </c>
      <c r="E152" s="102" t="s">
        <v>15</v>
      </c>
      <c r="F152" s="102">
        <v>2020</v>
      </c>
      <c r="G152" s="137" t="s">
        <v>2480</v>
      </c>
      <c r="H152" s="137">
        <v>200</v>
      </c>
      <c r="I152" s="137">
        <v>200</v>
      </c>
      <c r="J152" s="137"/>
      <c r="K152" s="137"/>
      <c r="L152" s="105">
        <v>20201118</v>
      </c>
    </row>
    <row r="153" spans="1:12">
      <c r="A153" s="137">
        <v>151</v>
      </c>
      <c r="B153" s="137" t="s">
        <v>8515</v>
      </c>
      <c r="C153" s="137" t="s">
        <v>8800</v>
      </c>
      <c r="D153" s="137" t="s">
        <v>8801</v>
      </c>
      <c r="E153" s="102" t="s">
        <v>15</v>
      </c>
      <c r="F153" s="102">
        <v>2020</v>
      </c>
      <c r="G153" s="137" t="s">
        <v>2480</v>
      </c>
      <c r="H153" s="137">
        <v>1000</v>
      </c>
      <c r="I153" s="137">
        <v>1000</v>
      </c>
      <c r="J153" s="137"/>
      <c r="K153" s="137"/>
      <c r="L153" s="105">
        <v>20201118</v>
      </c>
    </row>
    <row r="154" spans="1:12">
      <c r="A154" s="137">
        <v>152</v>
      </c>
      <c r="B154" s="137" t="s">
        <v>8515</v>
      </c>
      <c r="C154" s="137" t="s">
        <v>8802</v>
      </c>
      <c r="D154" s="137" t="s">
        <v>8803</v>
      </c>
      <c r="E154" s="102" t="s">
        <v>15</v>
      </c>
      <c r="F154" s="102">
        <v>2020</v>
      </c>
      <c r="G154" s="137" t="s">
        <v>2480</v>
      </c>
      <c r="H154" s="137">
        <v>200</v>
      </c>
      <c r="I154" s="137">
        <v>200</v>
      </c>
      <c r="J154" s="137"/>
      <c r="K154" s="137"/>
      <c r="L154" s="105">
        <v>20201118</v>
      </c>
    </row>
    <row r="155" spans="1:12">
      <c r="A155" s="137">
        <v>153</v>
      </c>
      <c r="B155" s="137" t="s">
        <v>8515</v>
      </c>
      <c r="C155" s="137" t="s">
        <v>8804</v>
      </c>
      <c r="D155" s="137" t="s">
        <v>8805</v>
      </c>
      <c r="E155" s="102" t="s">
        <v>15</v>
      </c>
      <c r="F155" s="102">
        <v>2020</v>
      </c>
      <c r="G155" s="137" t="s">
        <v>2480</v>
      </c>
      <c r="H155" s="137">
        <v>200</v>
      </c>
      <c r="I155" s="137">
        <v>200</v>
      </c>
      <c r="J155" s="137"/>
      <c r="K155" s="137"/>
      <c r="L155" s="105">
        <v>20201118</v>
      </c>
    </row>
    <row r="156" spans="1:12">
      <c r="A156" s="137">
        <v>154</v>
      </c>
      <c r="B156" s="137" t="s">
        <v>8515</v>
      </c>
      <c r="C156" s="137" t="s">
        <v>8806</v>
      </c>
      <c r="D156" s="137" t="s">
        <v>8807</v>
      </c>
      <c r="E156" s="102" t="s">
        <v>15</v>
      </c>
      <c r="F156" s="102">
        <v>2020</v>
      </c>
      <c r="G156" s="137" t="s">
        <v>2480</v>
      </c>
      <c r="H156" s="137">
        <v>200</v>
      </c>
      <c r="I156" s="137">
        <v>200</v>
      </c>
      <c r="J156" s="137"/>
      <c r="K156" s="137"/>
      <c r="L156" s="105">
        <v>20201118</v>
      </c>
    </row>
    <row r="157" spans="1:12">
      <c r="A157" s="137">
        <v>155</v>
      </c>
      <c r="B157" s="137" t="s">
        <v>8515</v>
      </c>
      <c r="C157" s="137" t="s">
        <v>8808</v>
      </c>
      <c r="D157" s="137" t="s">
        <v>8809</v>
      </c>
      <c r="E157" s="102" t="s">
        <v>15</v>
      </c>
      <c r="F157" s="102">
        <v>2020</v>
      </c>
      <c r="G157" s="137" t="s">
        <v>2480</v>
      </c>
      <c r="H157" s="137">
        <v>200</v>
      </c>
      <c r="I157" s="137">
        <v>200</v>
      </c>
      <c r="J157" s="137"/>
      <c r="K157" s="137"/>
      <c r="L157" s="105">
        <v>20201118</v>
      </c>
    </row>
    <row r="158" spans="1:12">
      <c r="A158" s="137">
        <v>156</v>
      </c>
      <c r="B158" s="137" t="s">
        <v>8515</v>
      </c>
      <c r="C158" s="137" t="s">
        <v>8810</v>
      </c>
      <c r="D158" s="137" t="s">
        <v>8811</v>
      </c>
      <c r="E158" s="102" t="s">
        <v>15</v>
      </c>
      <c r="F158" s="102">
        <v>2020</v>
      </c>
      <c r="G158" s="137" t="s">
        <v>2480</v>
      </c>
      <c r="H158" s="137">
        <v>200</v>
      </c>
      <c r="I158" s="137">
        <v>200</v>
      </c>
      <c r="J158" s="137"/>
      <c r="K158" s="137"/>
      <c r="L158" s="105">
        <v>20201118</v>
      </c>
    </row>
    <row r="159" spans="1:12">
      <c r="A159" s="137">
        <v>157</v>
      </c>
      <c r="B159" s="137" t="s">
        <v>8515</v>
      </c>
      <c r="C159" s="137" t="s">
        <v>8812</v>
      </c>
      <c r="D159" s="137" t="s">
        <v>8813</v>
      </c>
      <c r="E159" s="102" t="s">
        <v>15</v>
      </c>
      <c r="F159" s="102">
        <v>2020</v>
      </c>
      <c r="G159" s="137" t="s">
        <v>2480</v>
      </c>
      <c r="H159" s="137">
        <v>200</v>
      </c>
      <c r="I159" s="137">
        <v>200</v>
      </c>
      <c r="J159" s="137"/>
      <c r="K159" s="137"/>
      <c r="L159" s="105">
        <v>20201118</v>
      </c>
    </row>
    <row r="160" spans="1:12">
      <c r="A160" s="137">
        <v>158</v>
      </c>
      <c r="B160" s="137" t="s">
        <v>8515</v>
      </c>
      <c r="C160" s="137" t="s">
        <v>8814</v>
      </c>
      <c r="D160" s="137" t="s">
        <v>8815</v>
      </c>
      <c r="E160" s="102" t="s">
        <v>15</v>
      </c>
      <c r="F160" s="102">
        <v>2020</v>
      </c>
      <c r="G160" s="137" t="s">
        <v>2480</v>
      </c>
      <c r="H160" s="137">
        <v>200</v>
      </c>
      <c r="I160" s="137">
        <v>200</v>
      </c>
      <c r="J160" s="137"/>
      <c r="K160" s="137"/>
      <c r="L160" s="105">
        <v>20201118</v>
      </c>
    </row>
    <row r="161" spans="1:12">
      <c r="A161" s="137">
        <v>159</v>
      </c>
      <c r="B161" s="137" t="s">
        <v>8515</v>
      </c>
      <c r="C161" s="137" t="s">
        <v>8816</v>
      </c>
      <c r="D161" s="137" t="s">
        <v>8817</v>
      </c>
      <c r="E161" s="102" t="s">
        <v>15</v>
      </c>
      <c r="F161" s="102">
        <v>2020</v>
      </c>
      <c r="G161" s="137" t="s">
        <v>2480</v>
      </c>
      <c r="H161" s="137">
        <v>200</v>
      </c>
      <c r="I161" s="137">
        <v>200</v>
      </c>
      <c r="J161" s="137"/>
      <c r="K161" s="137"/>
      <c r="L161" s="105">
        <v>20201118</v>
      </c>
    </row>
    <row r="162" spans="1:12">
      <c r="A162" s="137">
        <v>160</v>
      </c>
      <c r="B162" s="137" t="s">
        <v>8515</v>
      </c>
      <c r="C162" s="137" t="s">
        <v>8818</v>
      </c>
      <c r="D162" s="137" t="s">
        <v>8819</v>
      </c>
      <c r="E162" s="102" t="s">
        <v>15</v>
      </c>
      <c r="F162" s="102">
        <v>2020</v>
      </c>
      <c r="G162" s="137" t="s">
        <v>2480</v>
      </c>
      <c r="H162" s="137">
        <v>200</v>
      </c>
      <c r="I162" s="137">
        <v>200</v>
      </c>
      <c r="J162" s="137"/>
      <c r="K162" s="137"/>
      <c r="L162" s="105">
        <v>20201118</v>
      </c>
    </row>
    <row r="163" spans="1:12">
      <c r="A163" s="137">
        <v>161</v>
      </c>
      <c r="B163" s="137" t="s">
        <v>8515</v>
      </c>
      <c r="C163" s="137" t="s">
        <v>8820</v>
      </c>
      <c r="D163" s="137" t="s">
        <v>8821</v>
      </c>
      <c r="E163" s="102" t="s">
        <v>15</v>
      </c>
      <c r="F163" s="102">
        <v>2020</v>
      </c>
      <c r="G163" s="137" t="s">
        <v>2480</v>
      </c>
      <c r="H163" s="137">
        <v>200</v>
      </c>
      <c r="I163" s="137">
        <v>200</v>
      </c>
      <c r="J163" s="137"/>
      <c r="K163" s="137"/>
      <c r="L163" s="105">
        <v>20201118</v>
      </c>
    </row>
    <row r="164" spans="1:12">
      <c r="A164" s="137">
        <v>162</v>
      </c>
      <c r="B164" s="137" t="s">
        <v>8515</v>
      </c>
      <c r="C164" s="137" t="s">
        <v>8822</v>
      </c>
      <c r="D164" s="137" t="s">
        <v>8823</v>
      </c>
      <c r="E164" s="102" t="s">
        <v>15</v>
      </c>
      <c r="F164" s="102">
        <v>2020</v>
      </c>
      <c r="G164" s="137" t="s">
        <v>2480</v>
      </c>
      <c r="H164" s="137">
        <v>200</v>
      </c>
      <c r="I164" s="137">
        <v>200</v>
      </c>
      <c r="J164" s="137"/>
      <c r="K164" s="137"/>
      <c r="L164" s="105">
        <v>20201118</v>
      </c>
    </row>
    <row r="165" spans="1:12">
      <c r="A165" s="137">
        <v>163</v>
      </c>
      <c r="B165" s="137" t="s">
        <v>8515</v>
      </c>
      <c r="C165" s="137" t="s">
        <v>8824</v>
      </c>
      <c r="D165" s="137" t="s">
        <v>8825</v>
      </c>
      <c r="E165" s="102" t="s">
        <v>15</v>
      </c>
      <c r="F165" s="102">
        <v>2020</v>
      </c>
      <c r="G165" s="137" t="s">
        <v>2480</v>
      </c>
      <c r="H165" s="137">
        <v>200</v>
      </c>
      <c r="I165" s="137">
        <v>200</v>
      </c>
      <c r="J165" s="137"/>
      <c r="K165" s="137"/>
      <c r="L165" s="105">
        <v>20201118</v>
      </c>
    </row>
    <row r="166" spans="1:12">
      <c r="A166" s="137">
        <v>164</v>
      </c>
      <c r="B166" s="137" t="s">
        <v>8515</v>
      </c>
      <c r="C166" s="137" t="s">
        <v>8826</v>
      </c>
      <c r="D166" s="137" t="s">
        <v>8827</v>
      </c>
      <c r="E166" s="102" t="s">
        <v>15</v>
      </c>
      <c r="F166" s="102">
        <v>2020</v>
      </c>
      <c r="G166" s="137" t="s">
        <v>2480</v>
      </c>
      <c r="H166" s="137">
        <v>200</v>
      </c>
      <c r="I166" s="137">
        <v>200</v>
      </c>
      <c r="J166" s="137"/>
      <c r="K166" s="137"/>
      <c r="L166" s="105">
        <v>20201118</v>
      </c>
    </row>
    <row r="167" spans="1:12">
      <c r="A167" s="137">
        <v>165</v>
      </c>
      <c r="B167" s="137" t="s">
        <v>8515</v>
      </c>
      <c r="C167" s="137" t="s">
        <v>884</v>
      </c>
      <c r="D167" s="137" t="s">
        <v>8828</v>
      </c>
      <c r="E167" s="102" t="s">
        <v>15</v>
      </c>
      <c r="F167" s="102">
        <v>2020</v>
      </c>
      <c r="G167" s="137" t="s">
        <v>2480</v>
      </c>
      <c r="H167" s="137">
        <v>200</v>
      </c>
      <c r="I167" s="137">
        <v>200</v>
      </c>
      <c r="J167" s="137"/>
      <c r="K167" s="137"/>
      <c r="L167" s="105">
        <v>20201118</v>
      </c>
    </row>
    <row r="168" spans="1:12">
      <c r="A168" s="137">
        <v>166</v>
      </c>
      <c r="B168" s="137" t="s">
        <v>8515</v>
      </c>
      <c r="C168" s="137" t="s">
        <v>8829</v>
      </c>
      <c r="D168" s="137" t="s">
        <v>8830</v>
      </c>
      <c r="E168" s="102" t="s">
        <v>15</v>
      </c>
      <c r="F168" s="102">
        <v>2020</v>
      </c>
      <c r="G168" s="137" t="s">
        <v>2480</v>
      </c>
      <c r="H168" s="137">
        <v>200</v>
      </c>
      <c r="I168" s="137">
        <v>200</v>
      </c>
      <c r="J168" s="137"/>
      <c r="K168" s="137"/>
      <c r="L168" s="105">
        <v>20201118</v>
      </c>
    </row>
    <row r="169" spans="1:12">
      <c r="A169" s="137">
        <v>167</v>
      </c>
      <c r="B169" s="137" t="s">
        <v>8515</v>
      </c>
      <c r="C169" s="137" t="s">
        <v>8592</v>
      </c>
      <c r="D169" s="137" t="s">
        <v>8831</v>
      </c>
      <c r="E169" s="102" t="s">
        <v>15</v>
      </c>
      <c r="F169" s="102">
        <v>2020</v>
      </c>
      <c r="G169" s="137" t="s">
        <v>2480</v>
      </c>
      <c r="H169" s="137">
        <v>200</v>
      </c>
      <c r="I169" s="137">
        <v>200</v>
      </c>
      <c r="J169" s="137"/>
      <c r="K169" s="137"/>
      <c r="L169" s="105">
        <v>20201118</v>
      </c>
    </row>
    <row r="170" spans="1:12">
      <c r="A170" s="137">
        <v>168</v>
      </c>
      <c r="B170" s="137" t="s">
        <v>8515</v>
      </c>
      <c r="C170" s="137" t="s">
        <v>8832</v>
      </c>
      <c r="D170" s="137" t="s">
        <v>8833</v>
      </c>
      <c r="E170" s="102" t="s">
        <v>15</v>
      </c>
      <c r="F170" s="102">
        <v>2020</v>
      </c>
      <c r="G170" s="137" t="s">
        <v>2480</v>
      </c>
      <c r="H170" s="137">
        <v>200</v>
      </c>
      <c r="I170" s="137">
        <v>200</v>
      </c>
      <c r="J170" s="137"/>
      <c r="K170" s="137"/>
      <c r="L170" s="105">
        <v>20201118</v>
      </c>
    </row>
    <row r="171" spans="1:12">
      <c r="A171" s="137">
        <v>169</v>
      </c>
      <c r="B171" s="137" t="s">
        <v>8515</v>
      </c>
      <c r="C171" s="137" t="s">
        <v>8834</v>
      </c>
      <c r="D171" s="137" t="s">
        <v>8835</v>
      </c>
      <c r="E171" s="102" t="s">
        <v>15</v>
      </c>
      <c r="F171" s="102">
        <v>2020</v>
      </c>
      <c r="G171" s="137" t="s">
        <v>2480</v>
      </c>
      <c r="H171" s="137">
        <v>200</v>
      </c>
      <c r="I171" s="137">
        <v>200</v>
      </c>
      <c r="J171" s="137"/>
      <c r="K171" s="137"/>
      <c r="L171" s="105">
        <v>20201118</v>
      </c>
    </row>
    <row r="172" spans="1:12">
      <c r="A172" s="137">
        <v>170</v>
      </c>
      <c r="B172" s="137" t="s">
        <v>8515</v>
      </c>
      <c r="C172" s="137" t="s">
        <v>8836</v>
      </c>
      <c r="D172" s="137" t="s">
        <v>8837</v>
      </c>
      <c r="E172" s="102" t="s">
        <v>15</v>
      </c>
      <c r="F172" s="102">
        <v>2020</v>
      </c>
      <c r="G172" s="137" t="s">
        <v>2480</v>
      </c>
      <c r="H172" s="137">
        <v>200</v>
      </c>
      <c r="I172" s="137">
        <v>200</v>
      </c>
      <c r="J172" s="137"/>
      <c r="K172" s="137"/>
      <c r="L172" s="105">
        <v>20201118</v>
      </c>
    </row>
    <row r="173" spans="1:12">
      <c r="A173" s="137">
        <v>171</v>
      </c>
      <c r="B173" s="137" t="s">
        <v>8515</v>
      </c>
      <c r="C173" s="137" t="s">
        <v>8838</v>
      </c>
      <c r="D173" s="137" t="s">
        <v>8839</v>
      </c>
      <c r="E173" s="102" t="s">
        <v>15</v>
      </c>
      <c r="F173" s="102">
        <v>2020</v>
      </c>
      <c r="G173" s="137" t="s">
        <v>2480</v>
      </c>
      <c r="H173" s="137">
        <v>200</v>
      </c>
      <c r="I173" s="137">
        <v>200</v>
      </c>
      <c r="J173" s="137"/>
      <c r="K173" s="137"/>
      <c r="L173" s="105">
        <v>20201118</v>
      </c>
    </row>
    <row r="174" spans="1:12">
      <c r="A174" s="137">
        <v>172</v>
      </c>
      <c r="B174" s="137" t="s">
        <v>8515</v>
      </c>
      <c r="C174" s="137" t="s">
        <v>8840</v>
      </c>
      <c r="D174" s="137" t="s">
        <v>8841</v>
      </c>
      <c r="E174" s="102" t="s">
        <v>15</v>
      </c>
      <c r="F174" s="102">
        <v>2020</v>
      </c>
      <c r="G174" s="137" t="s">
        <v>2480</v>
      </c>
      <c r="H174" s="137">
        <v>200</v>
      </c>
      <c r="I174" s="137">
        <v>200</v>
      </c>
      <c r="J174" s="137"/>
      <c r="K174" s="137"/>
      <c r="L174" s="105">
        <v>20201118</v>
      </c>
    </row>
    <row r="175" spans="1:12">
      <c r="A175" s="137">
        <v>173</v>
      </c>
      <c r="B175" s="137" t="s">
        <v>8515</v>
      </c>
      <c r="C175" s="137" t="s">
        <v>8842</v>
      </c>
      <c r="D175" s="137" t="s">
        <v>8843</v>
      </c>
      <c r="E175" s="102" t="s">
        <v>15</v>
      </c>
      <c r="F175" s="102">
        <v>2020</v>
      </c>
      <c r="G175" s="137" t="s">
        <v>2480</v>
      </c>
      <c r="H175" s="137">
        <v>200</v>
      </c>
      <c r="I175" s="137">
        <v>200</v>
      </c>
      <c r="J175" s="137"/>
      <c r="K175" s="137"/>
      <c r="L175" s="105">
        <v>20201118</v>
      </c>
    </row>
    <row r="176" spans="1:12">
      <c r="A176" s="137">
        <v>174</v>
      </c>
      <c r="B176" s="137" t="s">
        <v>8515</v>
      </c>
      <c r="C176" s="137" t="s">
        <v>8844</v>
      </c>
      <c r="D176" s="137" t="s">
        <v>8845</v>
      </c>
      <c r="E176" s="102" t="s">
        <v>15</v>
      </c>
      <c r="F176" s="102">
        <v>2020</v>
      </c>
      <c r="G176" s="137" t="s">
        <v>2480</v>
      </c>
      <c r="H176" s="137">
        <v>200</v>
      </c>
      <c r="I176" s="137">
        <v>200</v>
      </c>
      <c r="J176" s="137"/>
      <c r="K176" s="137"/>
      <c r="L176" s="105">
        <v>20201118</v>
      </c>
    </row>
    <row r="177" spans="1:12">
      <c r="A177" s="137">
        <v>175</v>
      </c>
      <c r="B177" s="137" t="s">
        <v>8515</v>
      </c>
      <c r="C177" s="137" t="s">
        <v>8846</v>
      </c>
      <c r="D177" s="137" t="s">
        <v>8847</v>
      </c>
      <c r="E177" s="102" t="s">
        <v>15</v>
      </c>
      <c r="F177" s="102">
        <v>2020</v>
      </c>
      <c r="G177" s="137" t="s">
        <v>2480</v>
      </c>
      <c r="H177" s="137">
        <v>200</v>
      </c>
      <c r="I177" s="137">
        <v>200</v>
      </c>
      <c r="J177" s="137"/>
      <c r="K177" s="137"/>
      <c r="L177" s="105">
        <v>20201118</v>
      </c>
    </row>
    <row r="178" spans="1:12">
      <c r="A178" s="137">
        <v>176</v>
      </c>
      <c r="B178" s="137" t="s">
        <v>8515</v>
      </c>
      <c r="C178" s="137" t="s">
        <v>8848</v>
      </c>
      <c r="D178" s="137" t="s">
        <v>8849</v>
      </c>
      <c r="E178" s="102" t="s">
        <v>15</v>
      </c>
      <c r="F178" s="102">
        <v>2020</v>
      </c>
      <c r="G178" s="137" t="s">
        <v>2480</v>
      </c>
      <c r="H178" s="137">
        <v>200</v>
      </c>
      <c r="I178" s="137">
        <v>200</v>
      </c>
      <c r="J178" s="137"/>
      <c r="K178" s="137"/>
      <c r="L178" s="105">
        <v>20201118</v>
      </c>
    </row>
    <row r="179" spans="1:12">
      <c r="A179" s="137">
        <v>177</v>
      </c>
      <c r="B179" s="137" t="s">
        <v>8515</v>
      </c>
      <c r="C179" s="137" t="s">
        <v>8850</v>
      </c>
      <c r="D179" s="137" t="s">
        <v>8851</v>
      </c>
      <c r="E179" s="102" t="s">
        <v>15</v>
      </c>
      <c r="F179" s="102">
        <v>2020</v>
      </c>
      <c r="G179" s="137" t="s">
        <v>2480</v>
      </c>
      <c r="H179" s="137">
        <v>200</v>
      </c>
      <c r="I179" s="137">
        <v>200</v>
      </c>
      <c r="J179" s="137"/>
      <c r="K179" s="137"/>
      <c r="L179" s="105">
        <v>20201118</v>
      </c>
    </row>
    <row r="180" spans="1:12">
      <c r="A180" s="137">
        <v>178</v>
      </c>
      <c r="B180" s="137" t="s">
        <v>8515</v>
      </c>
      <c r="C180" s="137" t="s">
        <v>8852</v>
      </c>
      <c r="D180" s="137" t="s">
        <v>8853</v>
      </c>
      <c r="E180" s="102" t="s">
        <v>15</v>
      </c>
      <c r="F180" s="102">
        <v>2020</v>
      </c>
      <c r="G180" s="137" t="s">
        <v>2480</v>
      </c>
      <c r="H180" s="137">
        <v>200</v>
      </c>
      <c r="I180" s="137">
        <v>200</v>
      </c>
      <c r="J180" s="137"/>
      <c r="K180" s="137"/>
      <c r="L180" s="105">
        <v>20201118</v>
      </c>
    </row>
    <row r="181" spans="1:12">
      <c r="A181" s="137">
        <v>179</v>
      </c>
      <c r="B181" s="137" t="s">
        <v>8515</v>
      </c>
      <c r="C181" s="137" t="s">
        <v>8854</v>
      </c>
      <c r="D181" s="137" t="s">
        <v>8855</v>
      </c>
      <c r="E181" s="102" t="s">
        <v>15</v>
      </c>
      <c r="F181" s="102">
        <v>2020</v>
      </c>
      <c r="G181" s="137" t="s">
        <v>2480</v>
      </c>
      <c r="H181" s="137">
        <v>200</v>
      </c>
      <c r="I181" s="137">
        <v>200</v>
      </c>
      <c r="J181" s="137"/>
      <c r="K181" s="137"/>
      <c r="L181" s="105">
        <v>20201118</v>
      </c>
    </row>
    <row r="182" spans="1:12">
      <c r="A182" s="137">
        <v>180</v>
      </c>
      <c r="B182" s="137" t="s">
        <v>8515</v>
      </c>
      <c r="C182" s="137" t="s">
        <v>8856</v>
      </c>
      <c r="D182" s="137" t="s">
        <v>8857</v>
      </c>
      <c r="E182" s="102" t="s">
        <v>15</v>
      </c>
      <c r="F182" s="102">
        <v>2020</v>
      </c>
      <c r="G182" s="137" t="s">
        <v>2480</v>
      </c>
      <c r="H182" s="137">
        <v>200</v>
      </c>
      <c r="I182" s="137">
        <v>200</v>
      </c>
      <c r="J182" s="137"/>
      <c r="K182" s="137"/>
      <c r="L182" s="105">
        <v>20201118</v>
      </c>
    </row>
    <row r="183" spans="1:12">
      <c r="A183" s="137">
        <v>181</v>
      </c>
      <c r="B183" s="137" t="s">
        <v>8515</v>
      </c>
      <c r="C183" s="137" t="s">
        <v>8858</v>
      </c>
      <c r="D183" s="137" t="s">
        <v>8859</v>
      </c>
      <c r="E183" s="102" t="s">
        <v>15</v>
      </c>
      <c r="F183" s="102">
        <v>2020</v>
      </c>
      <c r="G183" s="137" t="s">
        <v>2480</v>
      </c>
      <c r="H183" s="137">
        <v>200</v>
      </c>
      <c r="I183" s="137">
        <v>200</v>
      </c>
      <c r="J183" s="137"/>
      <c r="K183" s="137"/>
      <c r="L183" s="105">
        <v>20201118</v>
      </c>
    </row>
    <row r="184" spans="1:12">
      <c r="A184" s="137">
        <v>182</v>
      </c>
      <c r="B184" s="137" t="s">
        <v>8515</v>
      </c>
      <c r="C184" s="137" t="s">
        <v>8860</v>
      </c>
      <c r="D184" s="137" t="s">
        <v>8861</v>
      </c>
      <c r="E184" s="102" t="s">
        <v>15</v>
      </c>
      <c r="F184" s="102">
        <v>2020</v>
      </c>
      <c r="G184" s="137" t="s">
        <v>2480</v>
      </c>
      <c r="H184" s="137">
        <v>200</v>
      </c>
      <c r="I184" s="137">
        <v>200</v>
      </c>
      <c r="J184" s="137"/>
      <c r="K184" s="137"/>
      <c r="L184" s="105">
        <v>20201118</v>
      </c>
    </row>
    <row r="185" spans="1:12">
      <c r="A185" s="137">
        <v>183</v>
      </c>
      <c r="B185" s="137" t="s">
        <v>8515</v>
      </c>
      <c r="C185" s="137" t="s">
        <v>8862</v>
      </c>
      <c r="D185" s="137" t="s">
        <v>8863</v>
      </c>
      <c r="E185" s="102" t="s">
        <v>15</v>
      </c>
      <c r="F185" s="102">
        <v>2020</v>
      </c>
      <c r="G185" s="137" t="s">
        <v>2480</v>
      </c>
      <c r="H185" s="137">
        <v>200</v>
      </c>
      <c r="I185" s="137">
        <v>200</v>
      </c>
      <c r="J185" s="137" t="s">
        <v>8864</v>
      </c>
      <c r="K185" s="137"/>
      <c r="L185" s="105">
        <v>20201118</v>
      </c>
    </row>
    <row r="186" spans="1:12">
      <c r="A186" s="137">
        <v>184</v>
      </c>
      <c r="B186" s="137" t="s">
        <v>8515</v>
      </c>
      <c r="C186" s="137" t="s">
        <v>8865</v>
      </c>
      <c r="D186" s="137" t="s">
        <v>8866</v>
      </c>
      <c r="E186" s="102" t="s">
        <v>15</v>
      </c>
      <c r="F186" s="102">
        <v>2020</v>
      </c>
      <c r="G186" s="137" t="s">
        <v>2480</v>
      </c>
      <c r="H186" s="137">
        <v>1000</v>
      </c>
      <c r="I186" s="137">
        <v>1000</v>
      </c>
      <c r="J186" s="137"/>
      <c r="K186" s="137"/>
      <c r="L186" s="105">
        <v>20201118</v>
      </c>
    </row>
    <row r="187" spans="1:12">
      <c r="A187" s="137">
        <v>185</v>
      </c>
      <c r="B187" s="137" t="s">
        <v>8515</v>
      </c>
      <c r="C187" s="137" t="s">
        <v>8867</v>
      </c>
      <c r="D187" s="137" t="s">
        <v>8868</v>
      </c>
      <c r="E187" s="102" t="s">
        <v>15</v>
      </c>
      <c r="F187" s="102">
        <v>2020</v>
      </c>
      <c r="G187" s="137" t="s">
        <v>2480</v>
      </c>
      <c r="H187" s="137">
        <v>200</v>
      </c>
      <c r="I187" s="137">
        <v>200</v>
      </c>
      <c r="J187" s="137"/>
      <c r="K187" s="137"/>
      <c r="L187" s="105">
        <v>20201118</v>
      </c>
    </row>
    <row r="188" spans="1:12">
      <c r="A188" s="137">
        <v>186</v>
      </c>
      <c r="B188" s="137" t="s">
        <v>8515</v>
      </c>
      <c r="C188" s="137" t="s">
        <v>8869</v>
      </c>
      <c r="D188" s="137" t="s">
        <v>8870</v>
      </c>
      <c r="E188" s="102" t="s">
        <v>15</v>
      </c>
      <c r="F188" s="102">
        <v>2020</v>
      </c>
      <c r="G188" s="137" t="s">
        <v>2480</v>
      </c>
      <c r="H188" s="137">
        <v>200</v>
      </c>
      <c r="I188" s="137">
        <v>200</v>
      </c>
      <c r="J188" s="137"/>
      <c r="K188" s="137"/>
      <c r="L188" s="105">
        <v>20201118</v>
      </c>
    </row>
    <row r="189" spans="1:12">
      <c r="A189" s="137">
        <v>187</v>
      </c>
      <c r="B189" s="137" t="s">
        <v>8515</v>
      </c>
      <c r="C189" s="137" t="s">
        <v>8871</v>
      </c>
      <c r="D189" s="137" t="s">
        <v>8872</v>
      </c>
      <c r="E189" s="102" t="s">
        <v>15</v>
      </c>
      <c r="F189" s="102">
        <v>2020</v>
      </c>
      <c r="G189" s="137" t="s">
        <v>2480</v>
      </c>
      <c r="H189" s="137">
        <v>200</v>
      </c>
      <c r="I189" s="137">
        <v>200</v>
      </c>
      <c r="J189" s="137"/>
      <c r="K189" s="137"/>
      <c r="L189" s="105">
        <v>20201118</v>
      </c>
    </row>
    <row r="190" spans="1:12">
      <c r="A190" s="137">
        <v>188</v>
      </c>
      <c r="B190" s="137" t="s">
        <v>8515</v>
      </c>
      <c r="C190" s="137" t="s">
        <v>8873</v>
      </c>
      <c r="D190" s="137" t="s">
        <v>8874</v>
      </c>
      <c r="E190" s="102" t="s">
        <v>15</v>
      </c>
      <c r="F190" s="102">
        <v>2020</v>
      </c>
      <c r="G190" s="137" t="s">
        <v>2480</v>
      </c>
      <c r="H190" s="137">
        <v>200</v>
      </c>
      <c r="I190" s="137">
        <v>200</v>
      </c>
      <c r="J190" s="137"/>
      <c r="K190" s="137"/>
      <c r="L190" s="105">
        <v>20201118</v>
      </c>
    </row>
    <row r="191" spans="1:12">
      <c r="A191" s="137">
        <v>189</v>
      </c>
      <c r="B191" s="137" t="s">
        <v>8515</v>
      </c>
      <c r="C191" s="137" t="s">
        <v>8875</v>
      </c>
      <c r="D191" s="137" t="s">
        <v>8876</v>
      </c>
      <c r="E191" s="102" t="s">
        <v>15</v>
      </c>
      <c r="F191" s="102">
        <v>2020</v>
      </c>
      <c r="G191" s="137" t="s">
        <v>2480</v>
      </c>
      <c r="H191" s="137">
        <v>200</v>
      </c>
      <c r="I191" s="137">
        <v>200</v>
      </c>
      <c r="J191" s="137"/>
      <c r="K191" s="137"/>
      <c r="L191" s="105">
        <v>20201118</v>
      </c>
    </row>
    <row r="192" spans="1:12">
      <c r="A192" s="137">
        <v>190</v>
      </c>
      <c r="B192" s="137" t="s">
        <v>8515</v>
      </c>
      <c r="C192" s="137" t="s">
        <v>8877</v>
      </c>
      <c r="D192" s="137" t="s">
        <v>8878</v>
      </c>
      <c r="E192" s="102" t="s">
        <v>15</v>
      </c>
      <c r="F192" s="102">
        <v>2020</v>
      </c>
      <c r="G192" s="137" t="s">
        <v>2480</v>
      </c>
      <c r="H192" s="137">
        <v>200</v>
      </c>
      <c r="I192" s="137">
        <v>200</v>
      </c>
      <c r="J192" s="137"/>
      <c r="K192" s="137"/>
      <c r="L192" s="105">
        <v>20201118</v>
      </c>
    </row>
    <row r="193" spans="1:12">
      <c r="A193" s="137">
        <v>191</v>
      </c>
      <c r="B193" s="137" t="s">
        <v>8515</v>
      </c>
      <c r="C193" s="137" t="s">
        <v>8879</v>
      </c>
      <c r="D193" s="137" t="s">
        <v>8880</v>
      </c>
      <c r="E193" s="102" t="s">
        <v>15</v>
      </c>
      <c r="F193" s="102">
        <v>2020</v>
      </c>
      <c r="G193" s="137" t="s">
        <v>2480</v>
      </c>
      <c r="H193" s="137">
        <v>200</v>
      </c>
      <c r="I193" s="137">
        <v>200</v>
      </c>
      <c r="J193" s="137"/>
      <c r="K193" s="137"/>
      <c r="L193" s="105">
        <v>20201118</v>
      </c>
    </row>
    <row r="194" spans="1:12">
      <c r="A194" s="137">
        <v>192</v>
      </c>
      <c r="B194" s="137" t="s">
        <v>8515</v>
      </c>
      <c r="C194" s="137" t="s">
        <v>8881</v>
      </c>
      <c r="D194" s="137" t="s">
        <v>8882</v>
      </c>
      <c r="E194" s="102" t="s">
        <v>15</v>
      </c>
      <c r="F194" s="102">
        <v>2020</v>
      </c>
      <c r="G194" s="137" t="s">
        <v>2480</v>
      </c>
      <c r="H194" s="137">
        <v>200</v>
      </c>
      <c r="I194" s="137">
        <v>200</v>
      </c>
      <c r="J194" s="137"/>
      <c r="K194" s="137"/>
      <c r="L194" s="105">
        <v>20201118</v>
      </c>
    </row>
    <row r="195" spans="1:12">
      <c r="A195" s="137">
        <v>193</v>
      </c>
      <c r="B195" s="137" t="s">
        <v>8515</v>
      </c>
      <c r="C195" s="137" t="s">
        <v>8883</v>
      </c>
      <c r="D195" s="137" t="s">
        <v>8884</v>
      </c>
      <c r="E195" s="102" t="s">
        <v>15</v>
      </c>
      <c r="F195" s="102">
        <v>2020</v>
      </c>
      <c r="G195" s="137" t="s">
        <v>2480</v>
      </c>
      <c r="H195" s="137">
        <v>200</v>
      </c>
      <c r="I195" s="137">
        <v>200</v>
      </c>
      <c r="J195" s="137"/>
      <c r="K195" s="137"/>
      <c r="L195" s="105">
        <v>20201118</v>
      </c>
    </row>
    <row r="196" spans="1:12">
      <c r="A196" s="137">
        <v>194</v>
      </c>
      <c r="B196" s="137" t="s">
        <v>8515</v>
      </c>
      <c r="C196" s="137" t="s">
        <v>8885</v>
      </c>
      <c r="D196" s="137" t="s">
        <v>8886</v>
      </c>
      <c r="E196" s="102" t="s">
        <v>15</v>
      </c>
      <c r="F196" s="102">
        <v>2020</v>
      </c>
      <c r="G196" s="137" t="s">
        <v>2480</v>
      </c>
      <c r="H196" s="137">
        <v>1000</v>
      </c>
      <c r="I196" s="137">
        <v>1000</v>
      </c>
      <c r="J196" s="137"/>
      <c r="K196" s="137"/>
      <c r="L196" s="105">
        <v>20201118</v>
      </c>
    </row>
    <row r="197" spans="1:12">
      <c r="A197" s="137">
        <v>195</v>
      </c>
      <c r="B197" s="137" t="s">
        <v>8515</v>
      </c>
      <c r="C197" s="137" t="s">
        <v>8887</v>
      </c>
      <c r="D197" s="137" t="s">
        <v>8888</v>
      </c>
      <c r="E197" s="102" t="s">
        <v>15</v>
      </c>
      <c r="F197" s="102">
        <v>2020</v>
      </c>
      <c r="G197" s="137" t="s">
        <v>2480</v>
      </c>
      <c r="H197" s="137">
        <v>200</v>
      </c>
      <c r="I197" s="137">
        <v>200</v>
      </c>
      <c r="J197" s="137"/>
      <c r="K197" s="137"/>
      <c r="L197" s="105">
        <v>20201118</v>
      </c>
    </row>
    <row r="198" spans="1:12">
      <c r="A198" s="137">
        <v>196</v>
      </c>
      <c r="B198" s="137" t="s">
        <v>8515</v>
      </c>
      <c r="C198" s="137" t="s">
        <v>8889</v>
      </c>
      <c r="D198" s="137" t="s">
        <v>8890</v>
      </c>
      <c r="E198" s="102" t="s">
        <v>15</v>
      </c>
      <c r="F198" s="102">
        <v>2020</v>
      </c>
      <c r="G198" s="137" t="s">
        <v>2480</v>
      </c>
      <c r="H198" s="137">
        <v>200</v>
      </c>
      <c r="I198" s="137">
        <v>200</v>
      </c>
      <c r="J198" s="137"/>
      <c r="K198" s="137"/>
      <c r="L198" s="105">
        <v>20201118</v>
      </c>
    </row>
    <row r="199" spans="1:12">
      <c r="A199" s="137">
        <v>197</v>
      </c>
      <c r="B199" s="137" t="s">
        <v>8515</v>
      </c>
      <c r="C199" s="137" t="s">
        <v>8891</v>
      </c>
      <c r="D199" s="137" t="s">
        <v>8892</v>
      </c>
      <c r="E199" s="102" t="s">
        <v>15</v>
      </c>
      <c r="F199" s="102">
        <v>2020</v>
      </c>
      <c r="G199" s="137" t="s">
        <v>2480</v>
      </c>
      <c r="H199" s="137">
        <v>200</v>
      </c>
      <c r="I199" s="137">
        <v>200</v>
      </c>
      <c r="J199" s="137"/>
      <c r="K199" s="137"/>
      <c r="L199" s="105">
        <v>20201118</v>
      </c>
    </row>
    <row r="200" spans="1:12">
      <c r="A200" s="137">
        <v>198</v>
      </c>
      <c r="B200" s="137" t="s">
        <v>8515</v>
      </c>
      <c r="C200" s="137" t="s">
        <v>8893</v>
      </c>
      <c r="D200" s="137" t="s">
        <v>8894</v>
      </c>
      <c r="E200" s="102" t="s">
        <v>15</v>
      </c>
      <c r="F200" s="102">
        <v>2020</v>
      </c>
      <c r="G200" s="137" t="s">
        <v>2480</v>
      </c>
      <c r="H200" s="137">
        <v>200</v>
      </c>
      <c r="I200" s="137">
        <v>200</v>
      </c>
      <c r="J200" s="137"/>
      <c r="K200" s="137"/>
      <c r="L200" s="105">
        <v>20201118</v>
      </c>
    </row>
    <row r="201" spans="1:12">
      <c r="A201" s="137">
        <v>199</v>
      </c>
      <c r="B201" s="137" t="s">
        <v>8515</v>
      </c>
      <c r="C201" s="137" t="s">
        <v>8895</v>
      </c>
      <c r="D201" s="137" t="s">
        <v>8896</v>
      </c>
      <c r="E201" s="102" t="s">
        <v>15</v>
      </c>
      <c r="F201" s="102">
        <v>2020</v>
      </c>
      <c r="G201" s="137" t="s">
        <v>2480</v>
      </c>
      <c r="H201" s="137">
        <v>200</v>
      </c>
      <c r="I201" s="137">
        <v>200</v>
      </c>
      <c r="J201" s="137"/>
      <c r="K201" s="137"/>
      <c r="L201" s="105">
        <v>20201118</v>
      </c>
    </row>
    <row r="202" spans="1:12">
      <c r="A202" s="137">
        <v>200</v>
      </c>
      <c r="B202" s="137" t="s">
        <v>8515</v>
      </c>
      <c r="C202" s="137" t="s">
        <v>8897</v>
      </c>
      <c r="D202" s="137" t="s">
        <v>8898</v>
      </c>
      <c r="E202" s="102" t="s">
        <v>15</v>
      </c>
      <c r="F202" s="102">
        <v>2020</v>
      </c>
      <c r="G202" s="137" t="s">
        <v>2480</v>
      </c>
      <c r="H202" s="137">
        <v>200</v>
      </c>
      <c r="I202" s="137">
        <v>200</v>
      </c>
      <c r="J202" s="137"/>
      <c r="K202" s="137"/>
      <c r="L202" s="105">
        <v>20201118</v>
      </c>
    </row>
    <row r="203" spans="1:12">
      <c r="A203" s="137">
        <v>201</v>
      </c>
      <c r="B203" s="137" t="s">
        <v>8515</v>
      </c>
      <c r="C203" s="137" t="s">
        <v>8899</v>
      </c>
      <c r="D203" s="137" t="s">
        <v>8900</v>
      </c>
      <c r="E203" s="102" t="s">
        <v>15</v>
      </c>
      <c r="F203" s="102">
        <v>2020</v>
      </c>
      <c r="G203" s="137" t="s">
        <v>2480</v>
      </c>
      <c r="H203" s="137">
        <v>200</v>
      </c>
      <c r="I203" s="137">
        <v>200</v>
      </c>
      <c r="J203" s="137"/>
      <c r="K203" s="137"/>
      <c r="L203" s="105">
        <v>20201118</v>
      </c>
    </row>
    <row r="204" spans="1:12">
      <c r="A204" s="137">
        <v>202</v>
      </c>
      <c r="B204" s="137" t="s">
        <v>8515</v>
      </c>
      <c r="C204" s="137" t="s">
        <v>8901</v>
      </c>
      <c r="D204" s="137" t="s">
        <v>8902</v>
      </c>
      <c r="E204" s="102" t="s">
        <v>15</v>
      </c>
      <c r="F204" s="102">
        <v>2020</v>
      </c>
      <c r="G204" s="137" t="s">
        <v>2480</v>
      </c>
      <c r="H204" s="137">
        <v>200</v>
      </c>
      <c r="I204" s="137">
        <v>200</v>
      </c>
      <c r="J204" s="137"/>
      <c r="K204" s="137"/>
      <c r="L204" s="105">
        <v>20201118</v>
      </c>
    </row>
    <row r="205" spans="1:12">
      <c r="A205" s="137">
        <v>203</v>
      </c>
      <c r="B205" s="137" t="s">
        <v>8515</v>
      </c>
      <c r="C205" s="137" t="s">
        <v>8903</v>
      </c>
      <c r="D205" s="137" t="s">
        <v>8904</v>
      </c>
      <c r="E205" s="102" t="s">
        <v>15</v>
      </c>
      <c r="F205" s="102">
        <v>2020</v>
      </c>
      <c r="G205" s="137" t="s">
        <v>2480</v>
      </c>
      <c r="H205" s="137">
        <v>200</v>
      </c>
      <c r="I205" s="137">
        <v>200</v>
      </c>
      <c r="J205" s="137"/>
      <c r="K205" s="137"/>
      <c r="L205" s="105">
        <v>20201118</v>
      </c>
    </row>
    <row r="206" spans="1:12">
      <c r="A206" s="137">
        <v>204</v>
      </c>
      <c r="B206" s="137" t="s">
        <v>8515</v>
      </c>
      <c r="C206" s="137" t="s">
        <v>7319</v>
      </c>
      <c r="D206" s="137" t="s">
        <v>8905</v>
      </c>
      <c r="E206" s="102" t="s">
        <v>15</v>
      </c>
      <c r="F206" s="102">
        <v>2020</v>
      </c>
      <c r="G206" s="137" t="s">
        <v>2480</v>
      </c>
      <c r="H206" s="137">
        <v>200</v>
      </c>
      <c r="I206" s="137">
        <v>200</v>
      </c>
      <c r="J206" s="137"/>
      <c r="K206" s="137"/>
      <c r="L206" s="105">
        <v>20201118</v>
      </c>
    </row>
    <row r="207" spans="1:12">
      <c r="A207" s="137">
        <v>205</v>
      </c>
      <c r="B207" s="137" t="s">
        <v>8515</v>
      </c>
      <c r="C207" s="137" t="s">
        <v>8906</v>
      </c>
      <c r="D207" s="137" t="s">
        <v>8907</v>
      </c>
      <c r="E207" s="102" t="s">
        <v>15</v>
      </c>
      <c r="F207" s="102">
        <v>2020</v>
      </c>
      <c r="G207" s="137" t="s">
        <v>2480</v>
      </c>
      <c r="H207" s="137">
        <v>200</v>
      </c>
      <c r="I207" s="137">
        <v>200</v>
      </c>
      <c r="J207" s="137"/>
      <c r="K207" s="137"/>
      <c r="L207" s="105">
        <v>20201118</v>
      </c>
    </row>
    <row r="208" spans="1:12">
      <c r="A208" s="137">
        <v>206</v>
      </c>
      <c r="B208" s="137" t="s">
        <v>8515</v>
      </c>
      <c r="C208" s="137" t="s">
        <v>8908</v>
      </c>
      <c r="D208" s="137" t="s">
        <v>8909</v>
      </c>
      <c r="E208" s="102" t="s">
        <v>15</v>
      </c>
      <c r="F208" s="102">
        <v>2020</v>
      </c>
      <c r="G208" s="137" t="s">
        <v>2480</v>
      </c>
      <c r="H208" s="137">
        <v>200</v>
      </c>
      <c r="I208" s="137">
        <v>200</v>
      </c>
      <c r="J208" s="137"/>
      <c r="K208" s="137"/>
      <c r="L208" s="105">
        <v>20201118</v>
      </c>
    </row>
    <row r="209" spans="1:12">
      <c r="A209" s="137">
        <v>207</v>
      </c>
      <c r="B209" s="137" t="s">
        <v>8515</v>
      </c>
      <c r="C209" s="137" t="s">
        <v>8910</v>
      </c>
      <c r="D209" s="137" t="s">
        <v>8911</v>
      </c>
      <c r="E209" s="102" t="s">
        <v>15</v>
      </c>
      <c r="F209" s="102">
        <v>2020</v>
      </c>
      <c r="G209" s="137" t="s">
        <v>2480</v>
      </c>
      <c r="H209" s="137">
        <v>200</v>
      </c>
      <c r="I209" s="137">
        <v>200</v>
      </c>
      <c r="J209" s="137"/>
      <c r="K209" s="137"/>
      <c r="L209" s="105">
        <v>20201118</v>
      </c>
    </row>
    <row r="210" spans="1:12">
      <c r="A210" s="137">
        <v>208</v>
      </c>
      <c r="B210" s="137" t="s">
        <v>8515</v>
      </c>
      <c r="C210" s="137" t="s">
        <v>8912</v>
      </c>
      <c r="D210" s="137" t="s">
        <v>8913</v>
      </c>
      <c r="E210" s="102" t="s">
        <v>15</v>
      </c>
      <c r="F210" s="102">
        <v>2020</v>
      </c>
      <c r="G210" s="137" t="s">
        <v>2480</v>
      </c>
      <c r="H210" s="137">
        <v>200</v>
      </c>
      <c r="I210" s="137">
        <v>200</v>
      </c>
      <c r="J210" s="137"/>
      <c r="K210" s="137"/>
      <c r="L210" s="105">
        <v>20201118</v>
      </c>
    </row>
    <row r="211" spans="1:12">
      <c r="A211" s="137">
        <v>209</v>
      </c>
      <c r="B211" s="137" t="s">
        <v>8515</v>
      </c>
      <c r="C211" s="137" t="s">
        <v>8914</v>
      </c>
      <c r="D211" s="137" t="s">
        <v>8915</v>
      </c>
      <c r="E211" s="102" t="s">
        <v>15</v>
      </c>
      <c r="F211" s="102">
        <v>2020</v>
      </c>
      <c r="G211" s="137" t="s">
        <v>2480</v>
      </c>
      <c r="H211" s="137">
        <v>500</v>
      </c>
      <c r="I211" s="137">
        <v>500</v>
      </c>
      <c r="J211" s="137"/>
      <c r="K211" s="137"/>
      <c r="L211" s="105">
        <v>20201118</v>
      </c>
    </row>
    <row r="212" spans="1:12">
      <c r="A212" s="137">
        <v>210</v>
      </c>
      <c r="B212" s="137" t="s">
        <v>8515</v>
      </c>
      <c r="C212" s="137" t="s">
        <v>3228</v>
      </c>
      <c r="D212" s="137" t="s">
        <v>8916</v>
      </c>
      <c r="E212" s="102" t="s">
        <v>15</v>
      </c>
      <c r="F212" s="102">
        <v>2020</v>
      </c>
      <c r="G212" s="137" t="s">
        <v>2480</v>
      </c>
      <c r="H212" s="137">
        <v>200</v>
      </c>
      <c r="I212" s="137">
        <v>200</v>
      </c>
      <c r="J212" s="137"/>
      <c r="K212" s="137"/>
      <c r="L212" s="105">
        <v>20201118</v>
      </c>
    </row>
    <row r="213" spans="1:12">
      <c r="A213" s="137">
        <v>211</v>
      </c>
      <c r="B213" s="137" t="s">
        <v>8515</v>
      </c>
      <c r="C213" s="137" t="s">
        <v>8917</v>
      </c>
      <c r="D213" s="137" t="s">
        <v>8918</v>
      </c>
      <c r="E213" s="102" t="s">
        <v>15</v>
      </c>
      <c r="F213" s="102">
        <v>2020</v>
      </c>
      <c r="G213" s="137" t="s">
        <v>2480</v>
      </c>
      <c r="H213" s="137">
        <v>500</v>
      </c>
      <c r="I213" s="137">
        <v>500</v>
      </c>
      <c r="J213" s="137"/>
      <c r="K213" s="137"/>
      <c r="L213" s="105">
        <v>20201118</v>
      </c>
    </row>
    <row r="214" spans="1:12">
      <c r="A214" s="137">
        <v>212</v>
      </c>
      <c r="B214" s="137" t="s">
        <v>8515</v>
      </c>
      <c r="C214" s="137" t="s">
        <v>8919</v>
      </c>
      <c r="D214" s="137" t="s">
        <v>8920</v>
      </c>
      <c r="E214" s="102" t="s">
        <v>15</v>
      </c>
      <c r="F214" s="102">
        <v>2020</v>
      </c>
      <c r="G214" s="137" t="s">
        <v>2480</v>
      </c>
      <c r="H214" s="137">
        <v>200</v>
      </c>
      <c r="I214" s="137">
        <v>200</v>
      </c>
      <c r="J214" s="137"/>
      <c r="K214" s="137"/>
      <c r="L214" s="105">
        <v>20201118</v>
      </c>
    </row>
    <row r="215" spans="1:12">
      <c r="A215" s="137">
        <v>213</v>
      </c>
      <c r="B215" s="137" t="s">
        <v>8515</v>
      </c>
      <c r="C215" s="137" t="s">
        <v>8921</v>
      </c>
      <c r="D215" s="137" t="s">
        <v>8922</v>
      </c>
      <c r="E215" s="102" t="s">
        <v>15</v>
      </c>
      <c r="F215" s="102">
        <v>2020</v>
      </c>
      <c r="G215" s="137" t="s">
        <v>2480</v>
      </c>
      <c r="H215" s="137">
        <v>500</v>
      </c>
      <c r="I215" s="137">
        <v>500</v>
      </c>
      <c r="J215" s="137"/>
      <c r="K215" s="137"/>
      <c r="L215" s="105">
        <v>20201118</v>
      </c>
    </row>
    <row r="216" spans="1:12">
      <c r="A216" s="137">
        <v>214</v>
      </c>
      <c r="B216" s="137" t="s">
        <v>8515</v>
      </c>
      <c r="C216" s="137" t="s">
        <v>8923</v>
      </c>
      <c r="D216" s="137" t="s">
        <v>8924</v>
      </c>
      <c r="E216" s="102" t="s">
        <v>15</v>
      </c>
      <c r="F216" s="102">
        <v>2020</v>
      </c>
      <c r="G216" s="137" t="s">
        <v>2480</v>
      </c>
      <c r="H216" s="137">
        <v>200</v>
      </c>
      <c r="I216" s="137">
        <v>200</v>
      </c>
      <c r="J216" s="137"/>
      <c r="K216" s="137"/>
      <c r="L216" s="105">
        <v>20201118</v>
      </c>
    </row>
    <row r="217" spans="1:12">
      <c r="A217" s="137">
        <v>215</v>
      </c>
      <c r="B217" s="137" t="s">
        <v>8515</v>
      </c>
      <c r="C217" s="137" t="s">
        <v>8925</v>
      </c>
      <c r="D217" s="137" t="s">
        <v>8926</v>
      </c>
      <c r="E217" s="102" t="s">
        <v>15</v>
      </c>
      <c r="F217" s="102">
        <v>2020</v>
      </c>
      <c r="G217" s="137" t="s">
        <v>2480</v>
      </c>
      <c r="H217" s="137">
        <v>200</v>
      </c>
      <c r="I217" s="137">
        <v>200</v>
      </c>
      <c r="J217" s="137"/>
      <c r="K217" s="137"/>
      <c r="L217" s="105">
        <v>20201118</v>
      </c>
    </row>
    <row r="218" spans="1:12">
      <c r="A218" s="137">
        <v>216</v>
      </c>
      <c r="B218" s="137" t="s">
        <v>8515</v>
      </c>
      <c r="C218" s="137" t="s">
        <v>8927</v>
      </c>
      <c r="D218" s="137" t="s">
        <v>8928</v>
      </c>
      <c r="E218" s="102" t="s">
        <v>15</v>
      </c>
      <c r="F218" s="102">
        <v>2020</v>
      </c>
      <c r="G218" s="137" t="s">
        <v>2480</v>
      </c>
      <c r="H218" s="137">
        <v>200</v>
      </c>
      <c r="I218" s="137">
        <v>200</v>
      </c>
      <c r="J218" s="137"/>
      <c r="K218" s="137"/>
      <c r="L218" s="105">
        <v>20201118</v>
      </c>
    </row>
    <row r="219" spans="1:12">
      <c r="A219" s="137">
        <v>217</v>
      </c>
      <c r="B219" s="137" t="s">
        <v>8515</v>
      </c>
      <c r="C219" s="137" t="s">
        <v>8929</v>
      </c>
      <c r="D219" s="137" t="s">
        <v>8930</v>
      </c>
      <c r="E219" s="102" t="s">
        <v>15</v>
      </c>
      <c r="F219" s="102">
        <v>2020</v>
      </c>
      <c r="G219" s="137" t="s">
        <v>2480</v>
      </c>
      <c r="H219" s="137">
        <v>200</v>
      </c>
      <c r="I219" s="137">
        <v>200</v>
      </c>
      <c r="J219" s="137"/>
      <c r="K219" s="137"/>
      <c r="L219" s="105">
        <v>20201118</v>
      </c>
    </row>
    <row r="220" spans="1:12">
      <c r="A220" s="137">
        <v>218</v>
      </c>
      <c r="B220" s="137" t="s">
        <v>8515</v>
      </c>
      <c r="C220" s="137" t="s">
        <v>8931</v>
      </c>
      <c r="D220" s="137" t="s">
        <v>8932</v>
      </c>
      <c r="E220" s="102" t="s">
        <v>15</v>
      </c>
      <c r="F220" s="102">
        <v>2020</v>
      </c>
      <c r="G220" s="137" t="s">
        <v>2480</v>
      </c>
      <c r="H220" s="137">
        <v>500</v>
      </c>
      <c r="I220" s="137">
        <v>500</v>
      </c>
      <c r="J220" s="137"/>
      <c r="K220" s="137"/>
      <c r="L220" s="105">
        <v>20201118</v>
      </c>
    </row>
    <row r="221" spans="1:12">
      <c r="A221" s="137">
        <v>219</v>
      </c>
      <c r="B221" s="137" t="s">
        <v>8515</v>
      </c>
      <c r="C221" s="137" t="s">
        <v>8933</v>
      </c>
      <c r="D221" s="137" t="s">
        <v>8934</v>
      </c>
      <c r="E221" s="102" t="s">
        <v>15</v>
      </c>
      <c r="F221" s="102">
        <v>2020</v>
      </c>
      <c r="G221" s="137" t="s">
        <v>2480</v>
      </c>
      <c r="H221" s="137">
        <v>200</v>
      </c>
      <c r="I221" s="137">
        <v>200</v>
      </c>
      <c r="J221" s="137"/>
      <c r="K221" s="137"/>
      <c r="L221" s="105">
        <v>20201118</v>
      </c>
    </row>
    <row r="222" spans="1:12">
      <c r="A222" s="137">
        <v>220</v>
      </c>
      <c r="B222" s="137" t="s">
        <v>8515</v>
      </c>
      <c r="C222" s="137" t="s">
        <v>8935</v>
      </c>
      <c r="D222" s="137" t="s">
        <v>8936</v>
      </c>
      <c r="E222" s="102" t="s">
        <v>15</v>
      </c>
      <c r="F222" s="102">
        <v>2020</v>
      </c>
      <c r="G222" s="137" t="s">
        <v>2480</v>
      </c>
      <c r="H222" s="137">
        <v>200</v>
      </c>
      <c r="I222" s="137">
        <v>200</v>
      </c>
      <c r="J222" s="137"/>
      <c r="K222" s="137"/>
      <c r="L222" s="105">
        <v>20201118</v>
      </c>
    </row>
    <row r="223" spans="1:12">
      <c r="A223" s="137">
        <v>221</v>
      </c>
      <c r="B223" s="137" t="s">
        <v>8515</v>
      </c>
      <c r="C223" s="137" t="s">
        <v>8937</v>
      </c>
      <c r="D223" s="137" t="s">
        <v>8938</v>
      </c>
      <c r="E223" s="102" t="s">
        <v>15</v>
      </c>
      <c r="F223" s="102">
        <v>2020</v>
      </c>
      <c r="G223" s="137" t="s">
        <v>2480</v>
      </c>
      <c r="H223" s="137">
        <v>200</v>
      </c>
      <c r="I223" s="137">
        <v>200</v>
      </c>
      <c r="J223" s="137"/>
      <c r="K223" s="137"/>
      <c r="L223" s="105">
        <v>20201118</v>
      </c>
    </row>
    <row r="224" spans="1:12">
      <c r="A224" s="137">
        <v>222</v>
      </c>
      <c r="B224" s="137" t="s">
        <v>8515</v>
      </c>
      <c r="C224" s="137" t="s">
        <v>8939</v>
      </c>
      <c r="D224" s="137" t="s">
        <v>8940</v>
      </c>
      <c r="E224" s="102" t="s">
        <v>15</v>
      </c>
      <c r="F224" s="102">
        <v>2020</v>
      </c>
      <c r="G224" s="137" t="s">
        <v>2480</v>
      </c>
      <c r="H224" s="137">
        <v>200</v>
      </c>
      <c r="I224" s="137">
        <v>200</v>
      </c>
      <c r="J224" s="137"/>
      <c r="K224" s="137"/>
      <c r="L224" s="105">
        <v>20201118</v>
      </c>
    </row>
    <row r="225" spans="1:12">
      <c r="A225" s="137">
        <v>223</v>
      </c>
      <c r="B225" s="137" t="s">
        <v>8515</v>
      </c>
      <c r="C225" s="137" t="s">
        <v>8941</v>
      </c>
      <c r="D225" s="137" t="s">
        <v>8942</v>
      </c>
      <c r="E225" s="102" t="s">
        <v>15</v>
      </c>
      <c r="F225" s="102">
        <v>2020</v>
      </c>
      <c r="G225" s="137" t="s">
        <v>2480</v>
      </c>
      <c r="H225" s="137">
        <v>200</v>
      </c>
      <c r="I225" s="137">
        <v>200</v>
      </c>
      <c r="J225" s="137"/>
      <c r="K225" s="137"/>
      <c r="L225" s="105">
        <v>20201118</v>
      </c>
    </row>
    <row r="226" spans="1:12">
      <c r="A226" s="137">
        <v>224</v>
      </c>
      <c r="B226" s="137" t="s">
        <v>8515</v>
      </c>
      <c r="C226" s="137" t="s">
        <v>8943</v>
      </c>
      <c r="D226" s="137" t="s">
        <v>8944</v>
      </c>
      <c r="E226" s="102" t="s">
        <v>15</v>
      </c>
      <c r="F226" s="102">
        <v>2020</v>
      </c>
      <c r="G226" s="137" t="s">
        <v>2480</v>
      </c>
      <c r="H226" s="137">
        <v>200</v>
      </c>
      <c r="I226" s="137">
        <v>200</v>
      </c>
      <c r="J226" s="137"/>
      <c r="K226" s="137"/>
      <c r="L226" s="105">
        <v>20201118</v>
      </c>
    </row>
    <row r="227" spans="1:12">
      <c r="A227" s="137">
        <v>225</v>
      </c>
      <c r="B227" s="137" t="s">
        <v>8515</v>
      </c>
      <c r="C227" s="137" t="s">
        <v>7964</v>
      </c>
      <c r="D227" s="137" t="s">
        <v>8945</v>
      </c>
      <c r="E227" s="102" t="s">
        <v>15</v>
      </c>
      <c r="F227" s="102">
        <v>2020</v>
      </c>
      <c r="G227" s="137" t="s">
        <v>2480</v>
      </c>
      <c r="H227" s="137">
        <v>200</v>
      </c>
      <c r="I227" s="137">
        <v>200</v>
      </c>
      <c r="J227" s="137"/>
      <c r="K227" s="137"/>
      <c r="L227" s="105">
        <v>20201118</v>
      </c>
    </row>
    <row r="228" spans="1:12">
      <c r="A228" s="137">
        <v>226</v>
      </c>
      <c r="B228" s="137" t="s">
        <v>8515</v>
      </c>
      <c r="C228" s="137" t="s">
        <v>8946</v>
      </c>
      <c r="D228" s="137" t="s">
        <v>8947</v>
      </c>
      <c r="E228" s="102" t="s">
        <v>15</v>
      </c>
      <c r="F228" s="102">
        <v>2020</v>
      </c>
      <c r="G228" s="137" t="s">
        <v>2480</v>
      </c>
      <c r="H228" s="137">
        <v>200</v>
      </c>
      <c r="I228" s="137">
        <v>200</v>
      </c>
      <c r="J228" s="137"/>
      <c r="K228" s="137"/>
      <c r="L228" s="105">
        <v>20201118</v>
      </c>
    </row>
    <row r="229" spans="1:12">
      <c r="A229" s="137">
        <v>227</v>
      </c>
      <c r="B229" s="137" t="s">
        <v>8515</v>
      </c>
      <c r="C229" s="137" t="s">
        <v>8948</v>
      </c>
      <c r="D229" s="137" t="s">
        <v>8949</v>
      </c>
      <c r="E229" s="102" t="s">
        <v>15</v>
      </c>
      <c r="F229" s="102">
        <v>2020</v>
      </c>
      <c r="G229" s="137" t="s">
        <v>2480</v>
      </c>
      <c r="H229" s="137">
        <v>200</v>
      </c>
      <c r="I229" s="137">
        <v>200</v>
      </c>
      <c r="J229" s="137"/>
      <c r="K229" s="137"/>
      <c r="L229" s="105">
        <v>20201118</v>
      </c>
    </row>
    <row r="230" spans="1:12">
      <c r="A230" s="137">
        <v>228</v>
      </c>
      <c r="B230" s="137" t="s">
        <v>8515</v>
      </c>
      <c r="C230" s="137" t="s">
        <v>8950</v>
      </c>
      <c r="D230" s="137" t="s">
        <v>8951</v>
      </c>
      <c r="E230" s="102" t="s">
        <v>15</v>
      </c>
      <c r="F230" s="102">
        <v>2020</v>
      </c>
      <c r="G230" s="137" t="s">
        <v>2480</v>
      </c>
      <c r="H230" s="137">
        <v>200</v>
      </c>
      <c r="I230" s="137">
        <v>200</v>
      </c>
      <c r="J230" s="137"/>
      <c r="K230" s="137"/>
      <c r="L230" s="105">
        <v>20201118</v>
      </c>
    </row>
    <row r="231" spans="1:12">
      <c r="A231" s="137">
        <v>229</v>
      </c>
      <c r="B231" s="137" t="s">
        <v>8515</v>
      </c>
      <c r="C231" s="137" t="s">
        <v>8952</v>
      </c>
      <c r="D231" s="137" t="s">
        <v>8953</v>
      </c>
      <c r="E231" s="102" t="s">
        <v>15</v>
      </c>
      <c r="F231" s="102">
        <v>2020</v>
      </c>
      <c r="G231" s="137" t="s">
        <v>2480</v>
      </c>
      <c r="H231" s="137">
        <v>200</v>
      </c>
      <c r="I231" s="137">
        <v>200</v>
      </c>
      <c r="J231" s="137"/>
      <c r="K231" s="137"/>
      <c r="L231" s="105">
        <v>20201118</v>
      </c>
    </row>
    <row r="232" spans="1:12">
      <c r="A232" s="137">
        <v>230</v>
      </c>
      <c r="B232" s="137" t="s">
        <v>8515</v>
      </c>
      <c r="C232" s="137" t="s">
        <v>8954</v>
      </c>
      <c r="D232" s="137" t="s">
        <v>8955</v>
      </c>
      <c r="E232" s="102" t="s">
        <v>15</v>
      </c>
      <c r="F232" s="102">
        <v>2020</v>
      </c>
      <c r="G232" s="137" t="s">
        <v>2480</v>
      </c>
      <c r="H232" s="137">
        <v>200</v>
      </c>
      <c r="I232" s="137">
        <v>200</v>
      </c>
      <c r="J232" s="137"/>
      <c r="K232" s="137"/>
      <c r="L232" s="105">
        <v>20201118</v>
      </c>
    </row>
    <row r="233" spans="1:12">
      <c r="A233" s="137">
        <v>231</v>
      </c>
      <c r="B233" s="137" t="s">
        <v>8515</v>
      </c>
      <c r="C233" s="137" t="s">
        <v>8956</v>
      </c>
      <c r="D233" s="137" t="s">
        <v>8957</v>
      </c>
      <c r="E233" s="102" t="s">
        <v>15</v>
      </c>
      <c r="F233" s="102">
        <v>2020</v>
      </c>
      <c r="G233" s="137" t="s">
        <v>2480</v>
      </c>
      <c r="H233" s="137">
        <v>500</v>
      </c>
      <c r="I233" s="137">
        <v>500</v>
      </c>
      <c r="J233" s="137"/>
      <c r="K233" s="137"/>
      <c r="L233" s="105">
        <v>20201118</v>
      </c>
    </row>
    <row r="234" spans="1:12">
      <c r="A234" s="137">
        <v>232</v>
      </c>
      <c r="B234" s="137" t="s">
        <v>8515</v>
      </c>
      <c r="C234" s="137" t="s">
        <v>8958</v>
      </c>
      <c r="D234" s="137" t="s">
        <v>8959</v>
      </c>
      <c r="E234" s="102" t="s">
        <v>15</v>
      </c>
      <c r="F234" s="102">
        <v>2020</v>
      </c>
      <c r="G234" s="137" t="s">
        <v>2480</v>
      </c>
      <c r="H234" s="137">
        <v>200</v>
      </c>
      <c r="I234" s="137">
        <v>200</v>
      </c>
      <c r="J234" s="137"/>
      <c r="K234" s="137"/>
      <c r="L234" s="105">
        <v>20201118</v>
      </c>
    </row>
    <row r="235" spans="1:12">
      <c r="A235" s="137">
        <v>233</v>
      </c>
      <c r="B235" s="137" t="s">
        <v>8515</v>
      </c>
      <c r="C235" s="137" t="s">
        <v>8960</v>
      </c>
      <c r="D235" s="137" t="s">
        <v>8961</v>
      </c>
      <c r="E235" s="102" t="s">
        <v>15</v>
      </c>
      <c r="F235" s="102">
        <v>2020</v>
      </c>
      <c r="G235" s="137" t="s">
        <v>2480</v>
      </c>
      <c r="H235" s="137">
        <v>200</v>
      </c>
      <c r="I235" s="137">
        <v>200</v>
      </c>
      <c r="J235" s="137"/>
      <c r="K235" s="137"/>
      <c r="L235" s="105">
        <v>20201118</v>
      </c>
    </row>
    <row r="236" spans="1:12">
      <c r="A236" s="137">
        <v>234</v>
      </c>
      <c r="B236" s="137" t="s">
        <v>8515</v>
      </c>
      <c r="C236" s="137" t="s">
        <v>8962</v>
      </c>
      <c r="D236" s="137" t="s">
        <v>8963</v>
      </c>
      <c r="E236" s="102" t="s">
        <v>15</v>
      </c>
      <c r="F236" s="102">
        <v>2020</v>
      </c>
      <c r="G236" s="137" t="s">
        <v>2480</v>
      </c>
      <c r="H236" s="137">
        <v>200</v>
      </c>
      <c r="I236" s="137">
        <v>200</v>
      </c>
      <c r="J236" s="137"/>
      <c r="K236" s="137"/>
      <c r="L236" s="105">
        <v>20201118</v>
      </c>
    </row>
    <row r="237" spans="1:12">
      <c r="A237" s="137">
        <v>235</v>
      </c>
      <c r="B237" s="137" t="s">
        <v>8515</v>
      </c>
      <c r="C237" s="137" t="s">
        <v>8964</v>
      </c>
      <c r="D237" s="137" t="s">
        <v>8965</v>
      </c>
      <c r="E237" s="102" t="s">
        <v>15</v>
      </c>
      <c r="F237" s="102">
        <v>2020</v>
      </c>
      <c r="G237" s="137" t="s">
        <v>2480</v>
      </c>
      <c r="H237" s="137">
        <v>200</v>
      </c>
      <c r="I237" s="137">
        <v>200</v>
      </c>
      <c r="J237" s="137"/>
      <c r="K237" s="137"/>
      <c r="L237" s="105">
        <v>20201118</v>
      </c>
    </row>
    <row r="238" spans="1:12">
      <c r="A238" s="137">
        <v>236</v>
      </c>
      <c r="B238" s="137" t="s">
        <v>8515</v>
      </c>
      <c r="C238" s="137" t="s">
        <v>8966</v>
      </c>
      <c r="D238" s="137" t="s">
        <v>8967</v>
      </c>
      <c r="E238" s="102" t="s">
        <v>15</v>
      </c>
      <c r="F238" s="102">
        <v>2020</v>
      </c>
      <c r="G238" s="137" t="s">
        <v>2480</v>
      </c>
      <c r="H238" s="137">
        <v>200</v>
      </c>
      <c r="I238" s="137">
        <v>200</v>
      </c>
      <c r="J238" s="137"/>
      <c r="K238" s="137"/>
      <c r="L238" s="105">
        <v>20201118</v>
      </c>
    </row>
    <row r="239" spans="1:12">
      <c r="A239" s="137">
        <v>237</v>
      </c>
      <c r="B239" s="137" t="s">
        <v>8515</v>
      </c>
      <c r="C239" s="137" t="s">
        <v>8968</v>
      </c>
      <c r="D239" s="137" t="s">
        <v>8969</v>
      </c>
      <c r="E239" s="102" t="s">
        <v>15</v>
      </c>
      <c r="F239" s="102">
        <v>2020</v>
      </c>
      <c r="G239" s="137" t="s">
        <v>2480</v>
      </c>
      <c r="H239" s="137">
        <v>200</v>
      </c>
      <c r="I239" s="137">
        <v>200</v>
      </c>
      <c r="J239" s="137"/>
      <c r="K239" s="137"/>
      <c r="L239" s="105">
        <v>20201118</v>
      </c>
    </row>
    <row r="240" spans="1:12">
      <c r="A240" s="137">
        <v>238</v>
      </c>
      <c r="B240" s="137" t="s">
        <v>8515</v>
      </c>
      <c r="C240" s="137" t="s">
        <v>8970</v>
      </c>
      <c r="D240" s="137" t="s">
        <v>8971</v>
      </c>
      <c r="E240" s="102" t="s">
        <v>15</v>
      </c>
      <c r="F240" s="102">
        <v>2020</v>
      </c>
      <c r="G240" s="137" t="s">
        <v>2480</v>
      </c>
      <c r="H240" s="137">
        <v>200</v>
      </c>
      <c r="I240" s="137">
        <v>200</v>
      </c>
      <c r="J240" s="137"/>
      <c r="K240" s="137"/>
      <c r="L240" s="105">
        <v>20201118</v>
      </c>
    </row>
    <row r="241" spans="1:12">
      <c r="A241" s="137">
        <v>239</v>
      </c>
      <c r="B241" s="137" t="s">
        <v>8515</v>
      </c>
      <c r="C241" s="137" t="s">
        <v>8972</v>
      </c>
      <c r="D241" s="137" t="s">
        <v>8973</v>
      </c>
      <c r="E241" s="102" t="s">
        <v>15</v>
      </c>
      <c r="F241" s="102">
        <v>2020</v>
      </c>
      <c r="G241" s="137" t="s">
        <v>2480</v>
      </c>
      <c r="H241" s="137">
        <v>200</v>
      </c>
      <c r="I241" s="137">
        <v>200</v>
      </c>
      <c r="J241" s="137"/>
      <c r="K241" s="137"/>
      <c r="L241" s="105">
        <v>20201118</v>
      </c>
    </row>
    <row r="242" spans="1:12">
      <c r="A242" s="137">
        <v>240</v>
      </c>
      <c r="B242" s="137" t="s">
        <v>8515</v>
      </c>
      <c r="C242" s="137" t="s">
        <v>8974</v>
      </c>
      <c r="D242" s="137" t="s">
        <v>8975</v>
      </c>
      <c r="E242" s="102" t="s">
        <v>15</v>
      </c>
      <c r="F242" s="102">
        <v>2020</v>
      </c>
      <c r="G242" s="137" t="s">
        <v>2480</v>
      </c>
      <c r="H242" s="137">
        <v>200</v>
      </c>
      <c r="I242" s="137">
        <v>200</v>
      </c>
      <c r="J242" s="137"/>
      <c r="K242" s="137"/>
      <c r="L242" s="105">
        <v>20201118</v>
      </c>
    </row>
    <row r="243" spans="1:12">
      <c r="A243" s="137">
        <v>241</v>
      </c>
      <c r="B243" s="137" t="s">
        <v>8515</v>
      </c>
      <c r="C243" s="137" t="s">
        <v>8976</v>
      </c>
      <c r="D243" s="137" t="s">
        <v>8977</v>
      </c>
      <c r="E243" s="102" t="s">
        <v>15</v>
      </c>
      <c r="F243" s="102">
        <v>2020</v>
      </c>
      <c r="G243" s="137" t="s">
        <v>2480</v>
      </c>
      <c r="H243" s="137">
        <v>200</v>
      </c>
      <c r="I243" s="137">
        <v>200</v>
      </c>
      <c r="J243" s="137"/>
      <c r="K243" s="137"/>
      <c r="L243" s="105">
        <v>20201118</v>
      </c>
    </row>
    <row r="244" spans="1:12">
      <c r="A244" s="137">
        <v>242</v>
      </c>
      <c r="B244" s="137" t="s">
        <v>8515</v>
      </c>
      <c r="C244" s="137" t="s">
        <v>8978</v>
      </c>
      <c r="D244" s="137" t="s">
        <v>8979</v>
      </c>
      <c r="E244" s="102" t="s">
        <v>15</v>
      </c>
      <c r="F244" s="102">
        <v>2020</v>
      </c>
      <c r="G244" s="137" t="s">
        <v>2480</v>
      </c>
      <c r="H244" s="137">
        <v>200</v>
      </c>
      <c r="I244" s="137">
        <v>200</v>
      </c>
      <c r="J244" s="137"/>
      <c r="K244" s="137"/>
      <c r="L244" s="105">
        <v>20201118</v>
      </c>
    </row>
    <row r="245" spans="1:12">
      <c r="A245" s="137">
        <v>243</v>
      </c>
      <c r="B245" s="137" t="s">
        <v>8515</v>
      </c>
      <c r="C245" s="137" t="s">
        <v>8980</v>
      </c>
      <c r="D245" s="137" t="s">
        <v>8981</v>
      </c>
      <c r="E245" s="102" t="s">
        <v>15</v>
      </c>
      <c r="F245" s="102">
        <v>2020</v>
      </c>
      <c r="G245" s="137" t="s">
        <v>2480</v>
      </c>
      <c r="H245" s="137">
        <v>200</v>
      </c>
      <c r="I245" s="137">
        <v>200</v>
      </c>
      <c r="J245" s="137"/>
      <c r="K245" s="137"/>
      <c r="L245" s="105">
        <v>20201118</v>
      </c>
    </row>
    <row r="246" spans="1:12">
      <c r="A246" s="137">
        <v>244</v>
      </c>
      <c r="B246" s="137" t="s">
        <v>8515</v>
      </c>
      <c r="C246" s="109" t="s">
        <v>3040</v>
      </c>
      <c r="D246" s="288" t="s">
        <v>8982</v>
      </c>
      <c r="E246" s="102" t="s">
        <v>15</v>
      </c>
      <c r="F246" s="102">
        <v>2020</v>
      </c>
      <c r="G246" s="178" t="s">
        <v>295</v>
      </c>
      <c r="H246" s="137">
        <v>200</v>
      </c>
      <c r="I246" s="137">
        <v>200</v>
      </c>
      <c r="J246" s="109"/>
      <c r="K246" s="109"/>
      <c r="L246" s="105">
        <v>20201118</v>
      </c>
    </row>
    <row r="247" spans="1:12">
      <c r="A247" s="137">
        <v>245</v>
      </c>
      <c r="B247" s="137" t="s">
        <v>8515</v>
      </c>
      <c r="C247" s="109" t="s">
        <v>8983</v>
      </c>
      <c r="D247" s="288" t="s">
        <v>8984</v>
      </c>
      <c r="E247" s="102" t="s">
        <v>15</v>
      </c>
      <c r="F247" s="102">
        <v>2020</v>
      </c>
      <c r="G247" s="178" t="s">
        <v>295</v>
      </c>
      <c r="H247" s="137">
        <v>200</v>
      </c>
      <c r="I247" s="137">
        <v>200</v>
      </c>
      <c r="J247" s="109"/>
      <c r="K247" s="109"/>
      <c r="L247" s="105">
        <v>20201118</v>
      </c>
    </row>
    <row r="248" spans="1:12">
      <c r="A248" s="137">
        <v>246</v>
      </c>
      <c r="B248" s="137" t="s">
        <v>8515</v>
      </c>
      <c r="C248" s="109" t="s">
        <v>8985</v>
      </c>
      <c r="D248" s="288" t="s">
        <v>8986</v>
      </c>
      <c r="E248" s="102" t="s">
        <v>15</v>
      </c>
      <c r="F248" s="102">
        <v>2020</v>
      </c>
      <c r="G248" s="178" t="s">
        <v>295</v>
      </c>
      <c r="H248" s="137">
        <v>200</v>
      </c>
      <c r="I248" s="137">
        <v>200</v>
      </c>
      <c r="J248" s="109"/>
      <c r="K248" s="109"/>
      <c r="L248" s="105">
        <v>20201118</v>
      </c>
    </row>
    <row r="249" spans="1:12">
      <c r="A249" s="137">
        <v>247</v>
      </c>
      <c r="B249" s="137" t="s">
        <v>8515</v>
      </c>
      <c r="C249" s="109" t="s">
        <v>8987</v>
      </c>
      <c r="D249" s="288" t="s">
        <v>8988</v>
      </c>
      <c r="E249" s="102" t="s">
        <v>15</v>
      </c>
      <c r="F249" s="102">
        <v>2020</v>
      </c>
      <c r="G249" s="178" t="s">
        <v>295</v>
      </c>
      <c r="H249" s="137">
        <v>200</v>
      </c>
      <c r="I249" s="137">
        <v>200</v>
      </c>
      <c r="J249" s="109"/>
      <c r="K249" s="109"/>
      <c r="L249" s="105">
        <v>20201118</v>
      </c>
    </row>
    <row r="250" spans="1:12">
      <c r="A250" s="137">
        <v>248</v>
      </c>
      <c r="B250" s="137" t="s">
        <v>8515</v>
      </c>
      <c r="C250" s="109" t="s">
        <v>8989</v>
      </c>
      <c r="D250" s="288" t="s">
        <v>8990</v>
      </c>
      <c r="E250" s="102" t="s">
        <v>15</v>
      </c>
      <c r="F250" s="102">
        <v>2020</v>
      </c>
      <c r="G250" s="178" t="s">
        <v>295</v>
      </c>
      <c r="H250" s="137">
        <v>200</v>
      </c>
      <c r="I250" s="137">
        <v>200</v>
      </c>
      <c r="J250" s="109"/>
      <c r="K250" s="109"/>
      <c r="L250" s="105">
        <v>20201118</v>
      </c>
    </row>
    <row r="251" spans="1:12">
      <c r="A251" s="137">
        <v>249</v>
      </c>
      <c r="B251" s="137" t="s">
        <v>8515</v>
      </c>
      <c r="C251" s="109" t="s">
        <v>8991</v>
      </c>
      <c r="D251" s="288" t="s">
        <v>8992</v>
      </c>
      <c r="E251" s="102" t="s">
        <v>15</v>
      </c>
      <c r="F251" s="102">
        <v>2020</v>
      </c>
      <c r="G251" s="178" t="s">
        <v>295</v>
      </c>
      <c r="H251" s="137">
        <v>200</v>
      </c>
      <c r="I251" s="137">
        <v>200</v>
      </c>
      <c r="J251" s="109"/>
      <c r="K251" s="109"/>
      <c r="L251" s="105">
        <v>20201118</v>
      </c>
    </row>
    <row r="252" spans="1:12">
      <c r="A252" s="137">
        <v>250</v>
      </c>
      <c r="B252" s="137" t="s">
        <v>8515</v>
      </c>
      <c r="C252" s="109" t="s">
        <v>8993</v>
      </c>
      <c r="D252" s="288" t="s">
        <v>8994</v>
      </c>
      <c r="E252" s="102" t="s">
        <v>15</v>
      </c>
      <c r="F252" s="102">
        <v>2020</v>
      </c>
      <c r="G252" s="178" t="s">
        <v>295</v>
      </c>
      <c r="H252" s="137">
        <v>200</v>
      </c>
      <c r="I252" s="137">
        <v>200</v>
      </c>
      <c r="J252" s="109"/>
      <c r="K252" s="109"/>
      <c r="L252" s="105">
        <v>20201118</v>
      </c>
    </row>
    <row r="253" spans="1:12">
      <c r="A253" s="137">
        <v>251</v>
      </c>
      <c r="B253" s="137" t="s">
        <v>8515</v>
      </c>
      <c r="C253" s="109" t="s">
        <v>8995</v>
      </c>
      <c r="D253" s="288" t="s">
        <v>8996</v>
      </c>
      <c r="E253" s="102" t="s">
        <v>15</v>
      </c>
      <c r="F253" s="102">
        <v>2020</v>
      </c>
      <c r="G253" s="178" t="s">
        <v>295</v>
      </c>
      <c r="H253" s="137">
        <v>200</v>
      </c>
      <c r="I253" s="137">
        <v>200</v>
      </c>
      <c r="J253" s="109"/>
      <c r="K253" s="109"/>
      <c r="L253" s="105">
        <v>20201118</v>
      </c>
    </row>
    <row r="254" spans="1:12">
      <c r="A254" s="137">
        <v>252</v>
      </c>
      <c r="B254" s="137" t="s">
        <v>8515</v>
      </c>
      <c r="C254" s="109" t="s">
        <v>8997</v>
      </c>
      <c r="D254" s="288" t="s">
        <v>8998</v>
      </c>
      <c r="E254" s="102" t="s">
        <v>15</v>
      </c>
      <c r="F254" s="102">
        <v>2020</v>
      </c>
      <c r="G254" s="178" t="s">
        <v>295</v>
      </c>
      <c r="H254" s="137">
        <v>200</v>
      </c>
      <c r="I254" s="137">
        <v>200</v>
      </c>
      <c r="J254" s="109"/>
      <c r="K254" s="109"/>
      <c r="L254" s="105">
        <v>20201118</v>
      </c>
    </row>
    <row r="255" spans="1:12">
      <c r="A255" s="137">
        <v>253</v>
      </c>
      <c r="B255" s="137" t="s">
        <v>8515</v>
      </c>
      <c r="C255" s="109" t="s">
        <v>8999</v>
      </c>
      <c r="D255" s="288" t="s">
        <v>9000</v>
      </c>
      <c r="E255" s="102" t="s">
        <v>15</v>
      </c>
      <c r="F255" s="102">
        <v>2020</v>
      </c>
      <c r="G255" s="178" t="s">
        <v>295</v>
      </c>
      <c r="H255" s="137">
        <v>200</v>
      </c>
      <c r="I255" s="137">
        <v>200</v>
      </c>
      <c r="J255" s="109"/>
      <c r="K255" s="109"/>
      <c r="L255" s="105">
        <v>20201118</v>
      </c>
    </row>
    <row r="256" spans="1:12">
      <c r="A256" s="137">
        <v>254</v>
      </c>
      <c r="B256" s="137" t="s">
        <v>8515</v>
      </c>
      <c r="C256" s="109" t="s">
        <v>9001</v>
      </c>
      <c r="D256" s="288" t="s">
        <v>9002</v>
      </c>
      <c r="E256" s="102" t="s">
        <v>15</v>
      </c>
      <c r="F256" s="102">
        <v>2020</v>
      </c>
      <c r="G256" s="178" t="s">
        <v>295</v>
      </c>
      <c r="H256" s="137">
        <v>200</v>
      </c>
      <c r="I256" s="137">
        <v>200</v>
      </c>
      <c r="J256" s="109"/>
      <c r="K256" s="109"/>
      <c r="L256" s="105">
        <v>20201118</v>
      </c>
    </row>
    <row r="257" spans="1:12">
      <c r="A257" s="137">
        <v>255</v>
      </c>
      <c r="B257" s="137" t="s">
        <v>8515</v>
      </c>
      <c r="C257" s="109" t="s">
        <v>9003</v>
      </c>
      <c r="D257" s="288" t="s">
        <v>9004</v>
      </c>
      <c r="E257" s="102" t="s">
        <v>15</v>
      </c>
      <c r="F257" s="102">
        <v>2020</v>
      </c>
      <c r="G257" s="178" t="s">
        <v>295</v>
      </c>
      <c r="H257" s="137">
        <v>200</v>
      </c>
      <c r="I257" s="137">
        <v>400</v>
      </c>
      <c r="J257" s="109"/>
      <c r="K257" s="109"/>
      <c r="L257" s="105">
        <v>20201118</v>
      </c>
    </row>
    <row r="258" ht="14.25" spans="1:12">
      <c r="A258" s="137">
        <v>256</v>
      </c>
      <c r="B258" s="182" t="s">
        <v>8515</v>
      </c>
      <c r="C258" s="183" t="s">
        <v>9005</v>
      </c>
      <c r="D258" s="300" t="s">
        <v>9006</v>
      </c>
      <c r="E258" s="185" t="s">
        <v>292</v>
      </c>
      <c r="F258" s="186">
        <v>2020</v>
      </c>
      <c r="G258" s="187" t="s">
        <v>295</v>
      </c>
      <c r="H258" s="188">
        <v>200</v>
      </c>
      <c r="I258" s="188">
        <v>1000</v>
      </c>
      <c r="J258" s="201"/>
      <c r="K258" s="201"/>
      <c r="L258" s="105">
        <v>20201118</v>
      </c>
    </row>
    <row r="259" ht="14.25" spans="1:12">
      <c r="A259" s="189">
        <v>257</v>
      </c>
      <c r="B259" s="190" t="s">
        <v>8515</v>
      </c>
      <c r="C259" s="191" t="s">
        <v>9007</v>
      </c>
      <c r="D259" s="301" t="s">
        <v>9008</v>
      </c>
      <c r="E259" s="193" t="s">
        <v>320</v>
      </c>
      <c r="F259" s="194">
        <v>2020</v>
      </c>
      <c r="G259" s="195" t="s">
        <v>295</v>
      </c>
      <c r="H259" s="196">
        <v>200</v>
      </c>
      <c r="I259" s="196">
        <v>1600</v>
      </c>
      <c r="J259" s="202"/>
      <c r="K259" s="202"/>
      <c r="L259" s="105">
        <v>20201118</v>
      </c>
    </row>
    <row r="260" ht="14.25" spans="1:12">
      <c r="A260" s="137">
        <v>258</v>
      </c>
      <c r="B260" s="197" t="s">
        <v>8515</v>
      </c>
      <c r="C260" s="172" t="s">
        <v>9009</v>
      </c>
      <c r="D260" s="302" t="s">
        <v>9010</v>
      </c>
      <c r="E260" s="5" t="s">
        <v>6651</v>
      </c>
      <c r="F260" s="153">
        <v>2020</v>
      </c>
      <c r="G260" s="199" t="s">
        <v>295</v>
      </c>
      <c r="H260" s="73">
        <v>200</v>
      </c>
      <c r="I260" s="73">
        <v>1400</v>
      </c>
      <c r="J260" s="75"/>
      <c r="K260" s="75"/>
      <c r="L260" s="105">
        <v>20201118</v>
      </c>
    </row>
    <row r="261" s="181" customFormat="1" spans="1:14">
      <c r="A261" s="137">
        <v>259</v>
      </c>
      <c r="B261" s="200" t="s">
        <v>8515</v>
      </c>
      <c r="C261" s="200" t="s">
        <v>9011</v>
      </c>
      <c r="D261" s="303" t="s">
        <v>9012</v>
      </c>
      <c r="E261" s="149" t="s">
        <v>15</v>
      </c>
      <c r="F261" s="149" t="s">
        <v>15</v>
      </c>
      <c r="G261" s="137" t="s">
        <v>2480</v>
      </c>
      <c r="H261" s="137">
        <v>200</v>
      </c>
      <c r="I261" s="137">
        <v>200</v>
      </c>
      <c r="J261" s="149"/>
      <c r="K261" s="149"/>
      <c r="L261" s="105">
        <v>20201224</v>
      </c>
      <c r="M261" s="157"/>
      <c r="N261" s="157"/>
    </row>
    <row r="262" s="146" customFormat="1" spans="1:14">
      <c r="A262" s="164"/>
      <c r="B262" s="164"/>
      <c r="C262" s="164"/>
      <c r="D262" s="164"/>
      <c r="E262" s="164"/>
      <c r="F262" s="164"/>
      <c r="G262" s="164"/>
      <c r="H262" s="164"/>
      <c r="I262" s="164" t="s">
        <v>9013</v>
      </c>
      <c r="J262" s="164"/>
      <c r="K262" s="164"/>
      <c r="L262" s="105"/>
      <c r="M262" s="133"/>
      <c r="N262" s="133"/>
    </row>
    <row r="263" s="146" customFormat="1" spans="1:14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/>
      <c r="M263" s="133"/>
      <c r="N263" s="133"/>
    </row>
    <row r="264" s="146" customFormat="1" spans="1:14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/>
      <c r="M264" s="133"/>
      <c r="N264" s="133"/>
    </row>
    <row r="265" s="146" customFormat="1" spans="1:14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/>
      <c r="M265" s="133"/>
      <c r="N265" s="133"/>
    </row>
    <row r="266" s="146" customFormat="1" spans="1:14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/>
      <c r="M266" s="133"/>
      <c r="N266" s="133"/>
    </row>
    <row r="267" s="146" customFormat="1" spans="1:14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/>
      <c r="M267" s="133"/>
      <c r="N267" s="133"/>
    </row>
    <row r="268" s="146" customFormat="1" spans="1:14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/>
      <c r="M268" s="133"/>
      <c r="N268" s="133"/>
    </row>
    <row r="269" s="146" customFormat="1" spans="1:14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/>
      <c r="M269" s="133"/>
      <c r="N269" s="133"/>
    </row>
    <row r="270" s="146" customFormat="1" spans="1:14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/>
      <c r="M270" s="133"/>
      <c r="N270" s="133"/>
    </row>
    <row r="271" s="146" customFormat="1" spans="1:14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/>
      <c r="M271" s="133"/>
      <c r="N271" s="133"/>
    </row>
    <row r="272" s="146" customFormat="1" spans="1:14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/>
      <c r="M272" s="133"/>
      <c r="N272" s="133"/>
    </row>
    <row r="273" s="146" customFormat="1" spans="1:14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/>
      <c r="M273" s="133"/>
      <c r="N273" s="133"/>
    </row>
    <row r="274" s="146" customFormat="1" spans="1:14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/>
      <c r="M274" s="133"/>
      <c r="N274" s="133"/>
    </row>
    <row r="275" s="146" customFormat="1" spans="1:14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/>
      <c r="M275" s="133"/>
      <c r="N275" s="133"/>
    </row>
    <row r="276" s="146" customFormat="1" spans="1:14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/>
      <c r="M276" s="133"/>
      <c r="N276" s="133"/>
    </row>
    <row r="277" s="146" customFormat="1" spans="1:14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/>
      <c r="M277" s="133"/>
      <c r="N277" s="133"/>
    </row>
    <row r="278" s="146" customFormat="1" spans="1:14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/>
      <c r="M278" s="133"/>
      <c r="N278" s="133"/>
    </row>
    <row r="279" s="146" customFormat="1" spans="1:14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/>
      <c r="M279" s="133"/>
      <c r="N279" s="133"/>
    </row>
    <row r="280" s="146" customFormat="1" spans="1:14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/>
      <c r="M280" s="133"/>
      <c r="N280" s="133"/>
    </row>
    <row r="281" s="146" customFormat="1" spans="1:14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/>
      <c r="M281" s="133"/>
      <c r="N281" s="133"/>
    </row>
    <row r="282" s="146" customFormat="1" spans="1:14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/>
      <c r="M282" s="133"/>
      <c r="N282" s="133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00"/>
  <sheetViews>
    <sheetView topLeftCell="A460" workbookViewId="0">
      <selection activeCell="A3" sqref="A3:L496"/>
    </sheetView>
  </sheetViews>
  <sheetFormatPr defaultColWidth="9" defaultRowHeight="13.5"/>
  <cols>
    <col min="1" max="1" width="6.25" style="177" customWidth="1"/>
    <col min="2" max="2" width="9" style="177"/>
    <col min="3" max="3" width="11.625" style="177" customWidth="1"/>
    <col min="4" max="4" width="23" style="177" customWidth="1"/>
    <col min="5" max="5" width="9.75" style="177" customWidth="1"/>
    <col min="6" max="11" width="9" style="177"/>
    <col min="12" max="12" width="11.75" customWidth="1"/>
    <col min="13" max="16377" width="9" style="146"/>
  </cols>
  <sheetData>
    <row r="1" customFormat="1" ht="18.75" spans="1:12">
      <c r="A1" s="99" t="s">
        <v>9014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s="175" customFormat="1" ht="16" customHeight="1" spans="1:12">
      <c r="A3" s="109">
        <v>1</v>
      </c>
      <c r="B3" s="109" t="s">
        <v>9015</v>
      </c>
      <c r="C3" s="109" t="s">
        <v>9016</v>
      </c>
      <c r="D3" s="109" t="s">
        <v>9017</v>
      </c>
      <c r="E3" s="109">
        <v>2020</v>
      </c>
      <c r="F3" s="109">
        <v>2020</v>
      </c>
      <c r="G3" s="10" t="s">
        <v>16</v>
      </c>
      <c r="H3" s="109">
        <v>200</v>
      </c>
      <c r="I3" s="109">
        <v>200</v>
      </c>
      <c r="J3" s="109"/>
      <c r="K3" s="109"/>
      <c r="L3" s="105">
        <v>20201118</v>
      </c>
    </row>
    <row r="4" s="175" customFormat="1" ht="16" customHeight="1" spans="1:12">
      <c r="A4" s="109">
        <v>2</v>
      </c>
      <c r="B4" s="109" t="s">
        <v>9015</v>
      </c>
      <c r="C4" s="109" t="s">
        <v>9018</v>
      </c>
      <c r="D4" s="109" t="s">
        <v>9019</v>
      </c>
      <c r="E4" s="109">
        <v>2020</v>
      </c>
      <c r="F4" s="109">
        <v>2020</v>
      </c>
      <c r="G4" s="109" t="s">
        <v>16</v>
      </c>
      <c r="H4" s="109">
        <v>200</v>
      </c>
      <c r="I4" s="109">
        <v>200</v>
      </c>
      <c r="J4" s="109"/>
      <c r="K4" s="109"/>
      <c r="L4" s="105">
        <v>20201118</v>
      </c>
    </row>
    <row r="5" s="175" customFormat="1" ht="16" customHeight="1" spans="1:12">
      <c r="A5" s="109">
        <v>3</v>
      </c>
      <c r="B5" s="109" t="s">
        <v>9015</v>
      </c>
      <c r="C5" s="109" t="s">
        <v>9020</v>
      </c>
      <c r="D5" s="109" t="s">
        <v>9021</v>
      </c>
      <c r="E5" s="109">
        <v>2020</v>
      </c>
      <c r="F5" s="109">
        <v>2020</v>
      </c>
      <c r="G5" s="109" t="s">
        <v>16</v>
      </c>
      <c r="H5" s="109">
        <v>200</v>
      </c>
      <c r="I5" s="109">
        <v>200</v>
      </c>
      <c r="J5" s="109"/>
      <c r="K5" s="109"/>
      <c r="L5" s="105">
        <v>20201118</v>
      </c>
    </row>
    <row r="6" s="175" customFormat="1" ht="16" customHeight="1" spans="1:12">
      <c r="A6" s="109">
        <v>4</v>
      </c>
      <c r="B6" s="109" t="s">
        <v>9015</v>
      </c>
      <c r="C6" s="109" t="s">
        <v>9022</v>
      </c>
      <c r="D6" s="109" t="s">
        <v>9023</v>
      </c>
      <c r="E6" s="109">
        <v>2020</v>
      </c>
      <c r="F6" s="109">
        <v>2020</v>
      </c>
      <c r="G6" s="109" t="s">
        <v>16</v>
      </c>
      <c r="H6" s="109">
        <v>200</v>
      </c>
      <c r="I6" s="109">
        <v>200</v>
      </c>
      <c r="J6" s="109"/>
      <c r="K6" s="109"/>
      <c r="L6" s="105">
        <v>20201118</v>
      </c>
    </row>
    <row r="7" s="175" customFormat="1" ht="16" customHeight="1" spans="1:12">
      <c r="A7" s="109">
        <v>5</v>
      </c>
      <c r="B7" s="109" t="s">
        <v>9015</v>
      </c>
      <c r="C7" s="109" t="s">
        <v>9024</v>
      </c>
      <c r="D7" s="109" t="s">
        <v>9025</v>
      </c>
      <c r="E7" s="109">
        <v>2020</v>
      </c>
      <c r="F7" s="109">
        <v>2020</v>
      </c>
      <c r="G7" s="109" t="s">
        <v>16</v>
      </c>
      <c r="H7" s="109">
        <v>200</v>
      </c>
      <c r="I7" s="109">
        <v>200</v>
      </c>
      <c r="J7" s="109"/>
      <c r="K7" s="109"/>
      <c r="L7" s="105">
        <v>20201118</v>
      </c>
    </row>
    <row r="8" s="175" customFormat="1" ht="16" customHeight="1" spans="1:12">
      <c r="A8" s="109">
        <v>6</v>
      </c>
      <c r="B8" s="109" t="s">
        <v>9015</v>
      </c>
      <c r="C8" s="109" t="s">
        <v>7780</v>
      </c>
      <c r="D8" s="109" t="s">
        <v>9026</v>
      </c>
      <c r="E8" s="109">
        <v>2020</v>
      </c>
      <c r="F8" s="109">
        <v>2020</v>
      </c>
      <c r="G8" s="109" t="s">
        <v>16</v>
      </c>
      <c r="H8" s="109">
        <v>200</v>
      </c>
      <c r="I8" s="109">
        <v>200</v>
      </c>
      <c r="J8" s="109"/>
      <c r="K8" s="109"/>
      <c r="L8" s="105">
        <v>20201118</v>
      </c>
    </row>
    <row r="9" s="175" customFormat="1" ht="16" customHeight="1" spans="1:12">
      <c r="A9" s="109">
        <v>7</v>
      </c>
      <c r="B9" s="109" t="s">
        <v>9015</v>
      </c>
      <c r="C9" s="109" t="s">
        <v>9027</v>
      </c>
      <c r="D9" s="109" t="s">
        <v>9028</v>
      </c>
      <c r="E9" s="109">
        <v>2020</v>
      </c>
      <c r="F9" s="109">
        <v>2020</v>
      </c>
      <c r="G9" s="109" t="s">
        <v>16</v>
      </c>
      <c r="H9" s="6">
        <v>200</v>
      </c>
      <c r="I9" s="109">
        <v>200</v>
      </c>
      <c r="J9" s="109"/>
      <c r="K9" s="109"/>
      <c r="L9" s="105">
        <v>20201118</v>
      </c>
    </row>
    <row r="10" s="175" customFormat="1" ht="16" customHeight="1" spans="1:12">
      <c r="A10" s="109">
        <v>8</v>
      </c>
      <c r="B10" s="109" t="s">
        <v>9015</v>
      </c>
      <c r="C10" s="109" t="s">
        <v>9029</v>
      </c>
      <c r="D10" s="109" t="s">
        <v>9030</v>
      </c>
      <c r="E10" s="109">
        <v>2020</v>
      </c>
      <c r="F10" s="109">
        <v>2020</v>
      </c>
      <c r="G10" s="109" t="s">
        <v>16</v>
      </c>
      <c r="H10" s="109">
        <v>200</v>
      </c>
      <c r="I10" s="109">
        <v>200</v>
      </c>
      <c r="J10" s="109"/>
      <c r="K10" s="109"/>
      <c r="L10" s="105">
        <v>20201118</v>
      </c>
    </row>
    <row r="11" s="175" customFormat="1" ht="16" customHeight="1" spans="1:12">
      <c r="A11" s="109">
        <v>9</v>
      </c>
      <c r="B11" s="109" t="s">
        <v>9015</v>
      </c>
      <c r="C11" s="109" t="s">
        <v>9031</v>
      </c>
      <c r="D11" s="109" t="s">
        <v>9032</v>
      </c>
      <c r="E11" s="109">
        <v>2020</v>
      </c>
      <c r="F11" s="109">
        <v>2020</v>
      </c>
      <c r="G11" s="109" t="s">
        <v>16</v>
      </c>
      <c r="H11" s="109">
        <v>200</v>
      </c>
      <c r="I11" s="109">
        <v>200</v>
      </c>
      <c r="J11" s="109"/>
      <c r="K11" s="109"/>
      <c r="L11" s="105">
        <v>20201118</v>
      </c>
    </row>
    <row r="12" s="175" customFormat="1" ht="16" customHeight="1" spans="1:12">
      <c r="A12" s="109">
        <v>10</v>
      </c>
      <c r="B12" s="109" t="s">
        <v>9015</v>
      </c>
      <c r="C12" s="109" t="s">
        <v>9033</v>
      </c>
      <c r="D12" s="109" t="s">
        <v>9034</v>
      </c>
      <c r="E12" s="109">
        <v>2020</v>
      </c>
      <c r="F12" s="109">
        <v>2020</v>
      </c>
      <c r="G12" s="109" t="s">
        <v>16</v>
      </c>
      <c r="H12" s="109">
        <v>200</v>
      </c>
      <c r="I12" s="109">
        <v>200</v>
      </c>
      <c r="J12" s="109"/>
      <c r="K12" s="109"/>
      <c r="L12" s="105">
        <v>20201118</v>
      </c>
    </row>
    <row r="13" s="175" customFormat="1" ht="16" customHeight="1" spans="1:12">
      <c r="A13" s="109">
        <v>11</v>
      </c>
      <c r="B13" s="109" t="s">
        <v>9015</v>
      </c>
      <c r="C13" s="109" t="s">
        <v>9035</v>
      </c>
      <c r="D13" s="109" t="s">
        <v>9036</v>
      </c>
      <c r="E13" s="109">
        <v>2020</v>
      </c>
      <c r="F13" s="109">
        <v>2020</v>
      </c>
      <c r="G13" s="109" t="s">
        <v>16</v>
      </c>
      <c r="H13" s="109">
        <v>200</v>
      </c>
      <c r="I13" s="109">
        <v>200</v>
      </c>
      <c r="J13" s="109"/>
      <c r="K13" s="109"/>
      <c r="L13" s="105">
        <v>20201118</v>
      </c>
    </row>
    <row r="14" s="175" customFormat="1" ht="16" customHeight="1" spans="1:12">
      <c r="A14" s="109">
        <v>12</v>
      </c>
      <c r="B14" s="109" t="s">
        <v>9015</v>
      </c>
      <c r="C14" s="109" t="s">
        <v>9037</v>
      </c>
      <c r="D14" s="109" t="s">
        <v>9038</v>
      </c>
      <c r="E14" s="109">
        <v>2020</v>
      </c>
      <c r="F14" s="109">
        <v>2020</v>
      </c>
      <c r="G14" s="109" t="s">
        <v>16</v>
      </c>
      <c r="H14" s="109">
        <v>200</v>
      </c>
      <c r="I14" s="109">
        <v>200</v>
      </c>
      <c r="J14" s="109"/>
      <c r="K14" s="109"/>
      <c r="L14" s="105">
        <v>20201118</v>
      </c>
    </row>
    <row r="15" s="175" customFormat="1" ht="16" customHeight="1" spans="1:12">
      <c r="A15" s="109">
        <v>13</v>
      </c>
      <c r="B15" s="109" t="s">
        <v>9015</v>
      </c>
      <c r="C15" s="109" t="s">
        <v>9039</v>
      </c>
      <c r="D15" s="109" t="s">
        <v>9040</v>
      </c>
      <c r="E15" s="109">
        <v>2020</v>
      </c>
      <c r="F15" s="109">
        <v>2020</v>
      </c>
      <c r="G15" s="109" t="s">
        <v>16</v>
      </c>
      <c r="H15" s="109">
        <v>200</v>
      </c>
      <c r="I15" s="109">
        <v>200</v>
      </c>
      <c r="J15" s="109"/>
      <c r="K15" s="109"/>
      <c r="L15" s="105">
        <v>20201118</v>
      </c>
    </row>
    <row r="16" s="175" customFormat="1" ht="16" customHeight="1" spans="1:12">
      <c r="A16" s="109">
        <v>14</v>
      </c>
      <c r="B16" s="109" t="s">
        <v>9015</v>
      </c>
      <c r="C16" s="109" t="s">
        <v>9041</v>
      </c>
      <c r="D16" s="109" t="s">
        <v>9042</v>
      </c>
      <c r="E16" s="109">
        <v>2020</v>
      </c>
      <c r="F16" s="109">
        <v>2020</v>
      </c>
      <c r="G16" s="109" t="s">
        <v>16</v>
      </c>
      <c r="H16" s="109">
        <v>200</v>
      </c>
      <c r="I16" s="109">
        <v>200</v>
      </c>
      <c r="J16" s="109" t="s">
        <v>3405</v>
      </c>
      <c r="K16" s="109"/>
      <c r="L16" s="105">
        <v>20201118</v>
      </c>
    </row>
    <row r="17" s="175" customFormat="1" ht="16" customHeight="1" spans="1:12">
      <c r="A17" s="109">
        <v>15</v>
      </c>
      <c r="B17" s="109" t="s">
        <v>9015</v>
      </c>
      <c r="C17" s="109" t="s">
        <v>9043</v>
      </c>
      <c r="D17" s="109" t="s">
        <v>9044</v>
      </c>
      <c r="E17" s="109">
        <v>2020</v>
      </c>
      <c r="F17" s="109">
        <v>2020</v>
      </c>
      <c r="G17" s="109" t="s">
        <v>16</v>
      </c>
      <c r="H17" s="109">
        <v>200</v>
      </c>
      <c r="I17" s="109">
        <v>200</v>
      </c>
      <c r="J17" s="109"/>
      <c r="K17" s="109"/>
      <c r="L17" s="105">
        <v>20201118</v>
      </c>
    </row>
    <row r="18" s="175" customFormat="1" ht="16" customHeight="1" spans="1:12">
      <c r="A18" s="109">
        <v>16</v>
      </c>
      <c r="B18" s="109" t="s">
        <v>9015</v>
      </c>
      <c r="C18" s="109" t="s">
        <v>9045</v>
      </c>
      <c r="D18" s="109" t="s">
        <v>9046</v>
      </c>
      <c r="E18" s="109">
        <v>2020</v>
      </c>
      <c r="F18" s="109">
        <v>2020</v>
      </c>
      <c r="G18" s="109" t="s">
        <v>16</v>
      </c>
      <c r="H18" s="109">
        <v>200</v>
      </c>
      <c r="I18" s="109">
        <v>200</v>
      </c>
      <c r="J18" s="109"/>
      <c r="K18" s="109"/>
      <c r="L18" s="105">
        <v>20201118</v>
      </c>
    </row>
    <row r="19" s="175" customFormat="1" ht="16" customHeight="1" spans="1:12">
      <c r="A19" s="109">
        <v>17</v>
      </c>
      <c r="B19" s="109" t="s">
        <v>9015</v>
      </c>
      <c r="C19" s="109" t="s">
        <v>9047</v>
      </c>
      <c r="D19" s="109" t="s">
        <v>9048</v>
      </c>
      <c r="E19" s="109">
        <v>2020</v>
      </c>
      <c r="F19" s="109">
        <v>2020</v>
      </c>
      <c r="G19" s="109" t="s">
        <v>16</v>
      </c>
      <c r="H19" s="109">
        <v>200</v>
      </c>
      <c r="I19" s="109">
        <v>200</v>
      </c>
      <c r="J19" s="109"/>
      <c r="K19" s="109"/>
      <c r="L19" s="105">
        <v>20201118</v>
      </c>
    </row>
    <row r="20" s="175" customFormat="1" ht="16" customHeight="1" spans="1:12">
      <c r="A20" s="109">
        <v>18</v>
      </c>
      <c r="B20" s="109" t="s">
        <v>9015</v>
      </c>
      <c r="C20" s="109" t="s">
        <v>9049</v>
      </c>
      <c r="D20" s="109" t="s">
        <v>9050</v>
      </c>
      <c r="E20" s="109">
        <v>2020</v>
      </c>
      <c r="F20" s="109">
        <v>2020</v>
      </c>
      <c r="G20" s="109" t="s">
        <v>16</v>
      </c>
      <c r="H20" s="109">
        <v>200</v>
      </c>
      <c r="I20" s="109">
        <v>200</v>
      </c>
      <c r="J20" s="109"/>
      <c r="K20" s="109"/>
      <c r="L20" s="105">
        <v>20201118</v>
      </c>
    </row>
    <row r="21" s="175" customFormat="1" ht="16" customHeight="1" spans="1:12">
      <c r="A21" s="109">
        <v>19</v>
      </c>
      <c r="B21" s="109" t="s">
        <v>9015</v>
      </c>
      <c r="C21" s="109" t="s">
        <v>9051</v>
      </c>
      <c r="D21" s="109" t="s">
        <v>9052</v>
      </c>
      <c r="E21" s="109">
        <v>2020</v>
      </c>
      <c r="F21" s="109">
        <v>2020</v>
      </c>
      <c r="G21" s="109" t="s">
        <v>16</v>
      </c>
      <c r="H21" s="109">
        <v>200</v>
      </c>
      <c r="I21" s="109">
        <v>200</v>
      </c>
      <c r="J21" s="109"/>
      <c r="K21" s="109"/>
      <c r="L21" s="105">
        <v>20201118</v>
      </c>
    </row>
    <row r="22" s="175" customFormat="1" ht="16" customHeight="1" spans="1:12">
      <c r="A22" s="109">
        <v>20</v>
      </c>
      <c r="B22" s="109" t="s">
        <v>9015</v>
      </c>
      <c r="C22" s="109" t="s">
        <v>9053</v>
      </c>
      <c r="D22" s="109" t="s">
        <v>9054</v>
      </c>
      <c r="E22" s="109">
        <v>2020</v>
      </c>
      <c r="F22" s="109">
        <v>2020</v>
      </c>
      <c r="G22" s="109" t="s">
        <v>16</v>
      </c>
      <c r="H22" s="109">
        <v>200</v>
      </c>
      <c r="I22" s="109">
        <v>200</v>
      </c>
      <c r="J22" s="109"/>
      <c r="K22" s="109"/>
      <c r="L22" s="105">
        <v>20201118</v>
      </c>
    </row>
    <row r="23" s="175" customFormat="1" ht="16" customHeight="1" spans="1:12">
      <c r="A23" s="109">
        <v>21</v>
      </c>
      <c r="B23" s="109" t="s">
        <v>9015</v>
      </c>
      <c r="C23" s="109" t="s">
        <v>3565</v>
      </c>
      <c r="D23" s="109" t="s">
        <v>9055</v>
      </c>
      <c r="E23" s="109">
        <v>2020</v>
      </c>
      <c r="F23" s="109">
        <v>2020</v>
      </c>
      <c r="G23" s="109" t="s">
        <v>16</v>
      </c>
      <c r="H23" s="109">
        <v>200</v>
      </c>
      <c r="I23" s="109">
        <v>200</v>
      </c>
      <c r="J23" s="109"/>
      <c r="K23" s="109"/>
      <c r="L23" s="105">
        <v>20201118</v>
      </c>
    </row>
    <row r="24" s="175" customFormat="1" ht="16" customHeight="1" spans="1:12">
      <c r="A24" s="109">
        <v>22</v>
      </c>
      <c r="B24" s="109" t="s">
        <v>9015</v>
      </c>
      <c r="C24" s="109" t="s">
        <v>9056</v>
      </c>
      <c r="D24" s="109" t="s">
        <v>9057</v>
      </c>
      <c r="E24" s="109">
        <v>2020</v>
      </c>
      <c r="F24" s="109">
        <v>2020</v>
      </c>
      <c r="G24" s="109" t="s">
        <v>16</v>
      </c>
      <c r="H24" s="109">
        <v>200</v>
      </c>
      <c r="I24" s="109">
        <v>200</v>
      </c>
      <c r="J24" s="109"/>
      <c r="K24" s="109"/>
      <c r="L24" s="105">
        <v>20201118</v>
      </c>
    </row>
    <row r="25" s="175" customFormat="1" ht="16" customHeight="1" spans="1:12">
      <c r="A25" s="109">
        <v>23</v>
      </c>
      <c r="B25" s="109" t="s">
        <v>9015</v>
      </c>
      <c r="C25" s="109" t="s">
        <v>9058</v>
      </c>
      <c r="D25" s="109" t="s">
        <v>9059</v>
      </c>
      <c r="E25" s="109">
        <v>2020</v>
      </c>
      <c r="F25" s="109">
        <v>2020</v>
      </c>
      <c r="G25" s="109" t="s">
        <v>16</v>
      </c>
      <c r="H25" s="109">
        <v>200</v>
      </c>
      <c r="I25" s="109">
        <v>200</v>
      </c>
      <c r="J25" s="109"/>
      <c r="K25" s="109"/>
      <c r="L25" s="105">
        <v>20201118</v>
      </c>
    </row>
    <row r="26" s="175" customFormat="1" ht="16" customHeight="1" spans="1:12">
      <c r="A26" s="109">
        <v>24</v>
      </c>
      <c r="B26" s="109" t="s">
        <v>9015</v>
      </c>
      <c r="C26" s="109" t="s">
        <v>8324</v>
      </c>
      <c r="D26" s="109" t="s">
        <v>9060</v>
      </c>
      <c r="E26" s="109">
        <v>2020</v>
      </c>
      <c r="F26" s="109">
        <v>2020</v>
      </c>
      <c r="G26" s="109" t="s">
        <v>16</v>
      </c>
      <c r="H26" s="109">
        <v>200</v>
      </c>
      <c r="I26" s="109">
        <v>200</v>
      </c>
      <c r="J26" s="109"/>
      <c r="K26" s="109"/>
      <c r="L26" s="105">
        <v>20201118</v>
      </c>
    </row>
    <row r="27" s="175" customFormat="1" ht="16" customHeight="1" spans="1:12">
      <c r="A27" s="109">
        <v>25</v>
      </c>
      <c r="B27" s="109" t="s">
        <v>9015</v>
      </c>
      <c r="C27" s="109" t="s">
        <v>9061</v>
      </c>
      <c r="D27" s="109" t="s">
        <v>9062</v>
      </c>
      <c r="E27" s="109">
        <v>2020</v>
      </c>
      <c r="F27" s="109">
        <v>2020</v>
      </c>
      <c r="G27" s="109" t="s">
        <v>16</v>
      </c>
      <c r="H27" s="109">
        <v>200</v>
      </c>
      <c r="I27" s="109">
        <v>200</v>
      </c>
      <c r="J27" s="109"/>
      <c r="K27" s="109"/>
      <c r="L27" s="105">
        <v>20201118</v>
      </c>
    </row>
    <row r="28" s="175" customFormat="1" ht="16" customHeight="1" spans="1:12">
      <c r="A28" s="109">
        <v>26</v>
      </c>
      <c r="B28" s="109" t="s">
        <v>9015</v>
      </c>
      <c r="C28" s="109" t="s">
        <v>9063</v>
      </c>
      <c r="D28" s="109" t="s">
        <v>9064</v>
      </c>
      <c r="E28" s="109">
        <v>2020</v>
      </c>
      <c r="F28" s="109">
        <v>2020</v>
      </c>
      <c r="G28" s="109" t="s">
        <v>16</v>
      </c>
      <c r="H28" s="109">
        <v>200</v>
      </c>
      <c r="I28" s="109">
        <v>200</v>
      </c>
      <c r="J28" s="109"/>
      <c r="K28" s="109"/>
      <c r="L28" s="105">
        <v>20201118</v>
      </c>
    </row>
    <row r="29" s="175" customFormat="1" ht="16" customHeight="1" spans="1:12">
      <c r="A29" s="109">
        <v>27</v>
      </c>
      <c r="B29" s="109" t="s">
        <v>9015</v>
      </c>
      <c r="C29" s="109" t="s">
        <v>9065</v>
      </c>
      <c r="D29" s="109" t="s">
        <v>9066</v>
      </c>
      <c r="E29" s="109">
        <v>2020</v>
      </c>
      <c r="F29" s="109">
        <v>2020</v>
      </c>
      <c r="G29" s="109" t="s">
        <v>16</v>
      </c>
      <c r="H29" s="109">
        <v>200</v>
      </c>
      <c r="I29" s="109">
        <v>200</v>
      </c>
      <c r="J29" s="109"/>
      <c r="K29" s="109"/>
      <c r="L29" s="105">
        <v>20201118</v>
      </c>
    </row>
    <row r="30" s="175" customFormat="1" ht="16" customHeight="1" spans="1:12">
      <c r="A30" s="109">
        <v>28</v>
      </c>
      <c r="B30" s="109" t="s">
        <v>9015</v>
      </c>
      <c r="C30" s="109" t="s">
        <v>9067</v>
      </c>
      <c r="D30" s="109" t="s">
        <v>9068</v>
      </c>
      <c r="E30" s="109">
        <v>2020</v>
      </c>
      <c r="F30" s="109">
        <v>2020</v>
      </c>
      <c r="G30" s="109" t="s">
        <v>16</v>
      </c>
      <c r="H30" s="109">
        <v>200</v>
      </c>
      <c r="I30" s="109">
        <v>200</v>
      </c>
      <c r="J30" s="109"/>
      <c r="K30" s="109"/>
      <c r="L30" s="105">
        <v>20201118</v>
      </c>
    </row>
    <row r="31" s="175" customFormat="1" ht="16" customHeight="1" spans="1:12">
      <c r="A31" s="109">
        <v>29</v>
      </c>
      <c r="B31" s="109" t="s">
        <v>9015</v>
      </c>
      <c r="C31" s="109" t="s">
        <v>9069</v>
      </c>
      <c r="D31" s="109" t="s">
        <v>9070</v>
      </c>
      <c r="E31" s="109">
        <v>2020</v>
      </c>
      <c r="F31" s="109">
        <v>2020</v>
      </c>
      <c r="G31" s="109" t="s">
        <v>16</v>
      </c>
      <c r="H31" s="109">
        <v>200</v>
      </c>
      <c r="I31" s="109">
        <v>200</v>
      </c>
      <c r="J31" s="109" t="s">
        <v>108</v>
      </c>
      <c r="K31" s="109"/>
      <c r="L31" s="105">
        <v>20201118</v>
      </c>
    </row>
    <row r="32" s="175" customFormat="1" ht="16" customHeight="1" spans="1:12">
      <c r="A32" s="109">
        <v>30</v>
      </c>
      <c r="B32" s="109" t="s">
        <v>9015</v>
      </c>
      <c r="C32" s="109" t="s">
        <v>9071</v>
      </c>
      <c r="D32" s="109" t="s">
        <v>9072</v>
      </c>
      <c r="E32" s="109">
        <v>2020</v>
      </c>
      <c r="F32" s="109">
        <v>2020</v>
      </c>
      <c r="G32" s="109" t="s">
        <v>16</v>
      </c>
      <c r="H32" s="109">
        <v>200</v>
      </c>
      <c r="I32" s="109">
        <v>200</v>
      </c>
      <c r="J32" s="109"/>
      <c r="K32" s="109"/>
      <c r="L32" s="105">
        <v>20201118</v>
      </c>
    </row>
    <row r="33" s="175" customFormat="1" ht="16" customHeight="1" spans="1:12">
      <c r="A33" s="109">
        <v>31</v>
      </c>
      <c r="B33" s="109" t="s">
        <v>9015</v>
      </c>
      <c r="C33" s="109" t="s">
        <v>9073</v>
      </c>
      <c r="D33" s="109" t="s">
        <v>9074</v>
      </c>
      <c r="E33" s="109">
        <v>2020</v>
      </c>
      <c r="F33" s="109">
        <v>2020</v>
      </c>
      <c r="G33" s="109" t="s">
        <v>16</v>
      </c>
      <c r="H33" s="109">
        <v>200</v>
      </c>
      <c r="I33" s="109">
        <v>200</v>
      </c>
      <c r="J33" s="109" t="s">
        <v>108</v>
      </c>
      <c r="K33" s="109"/>
      <c r="L33" s="105">
        <v>20201118</v>
      </c>
    </row>
    <row r="34" s="175" customFormat="1" ht="16" customHeight="1" spans="1:12">
      <c r="A34" s="109">
        <v>32</v>
      </c>
      <c r="B34" s="109" t="s">
        <v>9015</v>
      </c>
      <c r="C34" s="109" t="s">
        <v>9075</v>
      </c>
      <c r="D34" s="109" t="s">
        <v>9076</v>
      </c>
      <c r="E34" s="109">
        <v>2020</v>
      </c>
      <c r="F34" s="109">
        <v>2020</v>
      </c>
      <c r="G34" s="109" t="s">
        <v>16</v>
      </c>
      <c r="H34" s="109">
        <v>200</v>
      </c>
      <c r="I34" s="109">
        <v>200</v>
      </c>
      <c r="J34" s="109"/>
      <c r="K34" s="109"/>
      <c r="L34" s="105">
        <v>20201118</v>
      </c>
    </row>
    <row r="35" s="175" customFormat="1" ht="16" customHeight="1" spans="1:12">
      <c r="A35" s="109">
        <v>33</v>
      </c>
      <c r="B35" s="109" t="s">
        <v>9015</v>
      </c>
      <c r="C35" s="109" t="s">
        <v>9077</v>
      </c>
      <c r="D35" s="109" t="s">
        <v>9078</v>
      </c>
      <c r="E35" s="109">
        <v>2020</v>
      </c>
      <c r="F35" s="109">
        <v>2020</v>
      </c>
      <c r="G35" s="109" t="s">
        <v>16</v>
      </c>
      <c r="H35" s="109">
        <v>200</v>
      </c>
      <c r="I35" s="109">
        <v>200</v>
      </c>
      <c r="J35" s="109"/>
      <c r="K35" s="109"/>
      <c r="L35" s="105">
        <v>20201118</v>
      </c>
    </row>
    <row r="36" s="175" customFormat="1" ht="16" customHeight="1" spans="1:12">
      <c r="A36" s="109">
        <v>34</v>
      </c>
      <c r="B36" s="109" t="s">
        <v>9015</v>
      </c>
      <c r="C36" s="109" t="s">
        <v>9079</v>
      </c>
      <c r="D36" s="109" t="s">
        <v>9080</v>
      </c>
      <c r="E36" s="109">
        <v>2020</v>
      </c>
      <c r="F36" s="109">
        <v>2020</v>
      </c>
      <c r="G36" s="109" t="s">
        <v>16</v>
      </c>
      <c r="H36" s="109">
        <v>200</v>
      </c>
      <c r="I36" s="109">
        <v>200</v>
      </c>
      <c r="J36" s="109"/>
      <c r="K36" s="109"/>
      <c r="L36" s="105">
        <v>20201118</v>
      </c>
    </row>
    <row r="37" s="175" customFormat="1" ht="16" customHeight="1" spans="1:12">
      <c r="A37" s="109">
        <v>35</v>
      </c>
      <c r="B37" s="109" t="s">
        <v>9015</v>
      </c>
      <c r="C37" s="109" t="s">
        <v>9081</v>
      </c>
      <c r="D37" s="109" t="s">
        <v>9082</v>
      </c>
      <c r="E37" s="109">
        <v>2020</v>
      </c>
      <c r="F37" s="109">
        <v>2020</v>
      </c>
      <c r="G37" s="109" t="s">
        <v>16</v>
      </c>
      <c r="H37" s="109">
        <v>200</v>
      </c>
      <c r="I37" s="109">
        <v>200</v>
      </c>
      <c r="J37" s="109"/>
      <c r="K37" s="109"/>
      <c r="L37" s="105">
        <v>20201118</v>
      </c>
    </row>
    <row r="38" s="175" customFormat="1" ht="16" customHeight="1" spans="1:12">
      <c r="A38" s="109">
        <v>36</v>
      </c>
      <c r="B38" s="109" t="s">
        <v>9015</v>
      </c>
      <c r="C38" s="109" t="s">
        <v>9083</v>
      </c>
      <c r="D38" s="109" t="s">
        <v>9084</v>
      </c>
      <c r="E38" s="109">
        <v>2020</v>
      </c>
      <c r="F38" s="109">
        <v>2020</v>
      </c>
      <c r="G38" s="109" t="s">
        <v>16</v>
      </c>
      <c r="H38" s="109">
        <v>200</v>
      </c>
      <c r="I38" s="109">
        <v>200</v>
      </c>
      <c r="J38" s="109"/>
      <c r="K38" s="109"/>
      <c r="L38" s="105">
        <v>20201118</v>
      </c>
    </row>
    <row r="39" s="175" customFormat="1" ht="16" customHeight="1" spans="1:12">
      <c r="A39" s="109">
        <v>37</v>
      </c>
      <c r="B39" s="109" t="s">
        <v>9015</v>
      </c>
      <c r="C39" s="109" t="s">
        <v>9085</v>
      </c>
      <c r="D39" s="109" t="s">
        <v>9086</v>
      </c>
      <c r="E39" s="109">
        <v>2020</v>
      </c>
      <c r="F39" s="109">
        <v>2020</v>
      </c>
      <c r="G39" s="109" t="s">
        <v>16</v>
      </c>
      <c r="H39" s="109">
        <v>200</v>
      </c>
      <c r="I39" s="109">
        <v>200</v>
      </c>
      <c r="J39" s="109"/>
      <c r="K39" s="109"/>
      <c r="L39" s="105">
        <v>20201118</v>
      </c>
    </row>
    <row r="40" s="175" customFormat="1" ht="16" customHeight="1" spans="1:12">
      <c r="A40" s="109">
        <v>38</v>
      </c>
      <c r="B40" s="109" t="s">
        <v>9015</v>
      </c>
      <c r="C40" s="109" t="s">
        <v>9087</v>
      </c>
      <c r="D40" s="109" t="s">
        <v>9088</v>
      </c>
      <c r="E40" s="109">
        <v>2020</v>
      </c>
      <c r="F40" s="109">
        <v>2020</v>
      </c>
      <c r="G40" s="109" t="s">
        <v>16</v>
      </c>
      <c r="H40" s="109">
        <v>200</v>
      </c>
      <c r="I40" s="109">
        <v>200</v>
      </c>
      <c r="J40" s="109" t="s">
        <v>108</v>
      </c>
      <c r="K40" s="109"/>
      <c r="L40" s="105">
        <v>20201118</v>
      </c>
    </row>
    <row r="41" s="175" customFormat="1" ht="16" customHeight="1" spans="1:12">
      <c r="A41" s="109">
        <v>39</v>
      </c>
      <c r="B41" s="109" t="s">
        <v>9015</v>
      </c>
      <c r="C41" s="109" t="s">
        <v>9089</v>
      </c>
      <c r="D41" s="109" t="s">
        <v>9090</v>
      </c>
      <c r="E41" s="109">
        <v>2020</v>
      </c>
      <c r="F41" s="109">
        <v>2020</v>
      </c>
      <c r="G41" s="109" t="s">
        <v>16</v>
      </c>
      <c r="H41" s="109">
        <v>200</v>
      </c>
      <c r="I41" s="109">
        <v>200</v>
      </c>
      <c r="J41" s="109" t="s">
        <v>108</v>
      </c>
      <c r="K41" s="109"/>
      <c r="L41" s="105">
        <v>20201118</v>
      </c>
    </row>
    <row r="42" s="175" customFormat="1" ht="16" customHeight="1" spans="1:12">
      <c r="A42" s="109">
        <v>40</v>
      </c>
      <c r="B42" s="109" t="s">
        <v>9015</v>
      </c>
      <c r="C42" s="109" t="s">
        <v>9091</v>
      </c>
      <c r="D42" s="109" t="s">
        <v>9092</v>
      </c>
      <c r="E42" s="109">
        <v>2020</v>
      </c>
      <c r="F42" s="109">
        <v>2020</v>
      </c>
      <c r="G42" s="109" t="s">
        <v>16</v>
      </c>
      <c r="H42" s="109">
        <v>200</v>
      </c>
      <c r="I42" s="109">
        <v>200</v>
      </c>
      <c r="J42" s="109"/>
      <c r="K42" s="109"/>
      <c r="L42" s="105">
        <v>20201118</v>
      </c>
    </row>
    <row r="43" s="175" customFormat="1" ht="16" customHeight="1" spans="1:12">
      <c r="A43" s="109">
        <v>41</v>
      </c>
      <c r="B43" s="109" t="s">
        <v>9015</v>
      </c>
      <c r="C43" s="109" t="s">
        <v>9093</v>
      </c>
      <c r="D43" s="109" t="s">
        <v>9094</v>
      </c>
      <c r="E43" s="109">
        <v>2020</v>
      </c>
      <c r="F43" s="109">
        <v>2020</v>
      </c>
      <c r="G43" s="109" t="s">
        <v>16</v>
      </c>
      <c r="H43" s="109">
        <v>200</v>
      </c>
      <c r="I43" s="109">
        <v>200</v>
      </c>
      <c r="J43" s="109"/>
      <c r="K43" s="109"/>
      <c r="L43" s="105">
        <v>20201118</v>
      </c>
    </row>
    <row r="44" s="175" customFormat="1" ht="16" customHeight="1" spans="1:12">
      <c r="A44" s="109">
        <v>42</v>
      </c>
      <c r="B44" s="109" t="s">
        <v>9015</v>
      </c>
      <c r="C44" s="109" t="s">
        <v>8134</v>
      </c>
      <c r="D44" s="109" t="s">
        <v>9095</v>
      </c>
      <c r="E44" s="109">
        <v>2020</v>
      </c>
      <c r="F44" s="109">
        <v>2020</v>
      </c>
      <c r="G44" s="109" t="s">
        <v>16</v>
      </c>
      <c r="H44" s="109">
        <v>200</v>
      </c>
      <c r="I44" s="109">
        <v>200</v>
      </c>
      <c r="J44" s="109"/>
      <c r="K44" s="109"/>
      <c r="L44" s="105">
        <v>20201118</v>
      </c>
    </row>
    <row r="45" s="175" customFormat="1" ht="16" customHeight="1" spans="1:12">
      <c r="A45" s="109">
        <v>43</v>
      </c>
      <c r="B45" s="109" t="s">
        <v>9015</v>
      </c>
      <c r="C45" s="109" t="s">
        <v>9096</v>
      </c>
      <c r="D45" s="109" t="s">
        <v>9097</v>
      </c>
      <c r="E45" s="109">
        <v>2020</v>
      </c>
      <c r="F45" s="109">
        <v>2020</v>
      </c>
      <c r="G45" s="109" t="s">
        <v>16</v>
      </c>
      <c r="H45" s="109">
        <v>200</v>
      </c>
      <c r="I45" s="109">
        <v>200</v>
      </c>
      <c r="J45" s="109"/>
      <c r="K45" s="109"/>
      <c r="L45" s="105">
        <v>20201118</v>
      </c>
    </row>
    <row r="46" s="175" customFormat="1" ht="16" customHeight="1" spans="1:12">
      <c r="A46" s="109">
        <v>44</v>
      </c>
      <c r="B46" s="109" t="s">
        <v>9015</v>
      </c>
      <c r="C46" s="109" t="s">
        <v>9098</v>
      </c>
      <c r="D46" s="109" t="s">
        <v>9099</v>
      </c>
      <c r="E46" s="109">
        <v>2020</v>
      </c>
      <c r="F46" s="109">
        <v>2020</v>
      </c>
      <c r="G46" s="109" t="s">
        <v>16</v>
      </c>
      <c r="H46" s="109">
        <v>200</v>
      </c>
      <c r="I46" s="109">
        <v>200</v>
      </c>
      <c r="J46" s="109"/>
      <c r="K46" s="109"/>
      <c r="L46" s="105">
        <v>20201118</v>
      </c>
    </row>
    <row r="47" s="175" customFormat="1" ht="16" customHeight="1" spans="1:12">
      <c r="A47" s="109">
        <v>45</v>
      </c>
      <c r="B47" s="109" t="s">
        <v>9015</v>
      </c>
      <c r="C47" s="109" t="s">
        <v>9100</v>
      </c>
      <c r="D47" s="109" t="s">
        <v>9101</v>
      </c>
      <c r="E47" s="109">
        <v>2020</v>
      </c>
      <c r="F47" s="109">
        <v>2020</v>
      </c>
      <c r="G47" s="109" t="s">
        <v>16</v>
      </c>
      <c r="H47" s="109">
        <v>200</v>
      </c>
      <c r="I47" s="109">
        <v>200</v>
      </c>
      <c r="J47" s="109" t="s">
        <v>108</v>
      </c>
      <c r="K47" s="109"/>
      <c r="L47" s="105">
        <v>20201118</v>
      </c>
    </row>
    <row r="48" s="175" customFormat="1" ht="16" customHeight="1" spans="1:12">
      <c r="A48" s="109">
        <v>46</v>
      </c>
      <c r="B48" s="109" t="s">
        <v>9015</v>
      </c>
      <c r="C48" s="109" t="s">
        <v>9102</v>
      </c>
      <c r="D48" s="109" t="s">
        <v>9103</v>
      </c>
      <c r="E48" s="109">
        <v>2020</v>
      </c>
      <c r="F48" s="109">
        <v>2020</v>
      </c>
      <c r="G48" s="109" t="s">
        <v>16</v>
      </c>
      <c r="H48" s="109">
        <v>200</v>
      </c>
      <c r="I48" s="109">
        <v>200</v>
      </c>
      <c r="J48" s="109"/>
      <c r="K48" s="109"/>
      <c r="L48" s="105">
        <v>20201118</v>
      </c>
    </row>
    <row r="49" s="175" customFormat="1" ht="16" customHeight="1" spans="1:12">
      <c r="A49" s="109">
        <v>47</v>
      </c>
      <c r="B49" s="109" t="s">
        <v>9015</v>
      </c>
      <c r="C49" s="109" t="s">
        <v>8224</v>
      </c>
      <c r="D49" s="109" t="s">
        <v>9104</v>
      </c>
      <c r="E49" s="109">
        <v>2020</v>
      </c>
      <c r="F49" s="109">
        <v>2020</v>
      </c>
      <c r="G49" s="109" t="s">
        <v>16</v>
      </c>
      <c r="H49" s="109">
        <v>200</v>
      </c>
      <c r="I49" s="109">
        <v>200</v>
      </c>
      <c r="J49" s="109"/>
      <c r="K49" s="109"/>
      <c r="L49" s="105">
        <v>20201118</v>
      </c>
    </row>
    <row r="50" s="175" customFormat="1" ht="16" customHeight="1" spans="1:12">
      <c r="A50" s="109">
        <v>48</v>
      </c>
      <c r="B50" s="109" t="s">
        <v>9015</v>
      </c>
      <c r="C50" s="109" t="s">
        <v>9105</v>
      </c>
      <c r="D50" s="109" t="s">
        <v>9106</v>
      </c>
      <c r="E50" s="109">
        <v>2020</v>
      </c>
      <c r="F50" s="109">
        <v>2020</v>
      </c>
      <c r="G50" s="109" t="s">
        <v>16</v>
      </c>
      <c r="H50" s="109">
        <v>200</v>
      </c>
      <c r="I50" s="109">
        <v>200</v>
      </c>
      <c r="J50" s="109"/>
      <c r="K50" s="109"/>
      <c r="L50" s="105">
        <v>20201118</v>
      </c>
    </row>
    <row r="51" s="175" customFormat="1" ht="16" customHeight="1" spans="1:12">
      <c r="A51" s="109">
        <v>49</v>
      </c>
      <c r="B51" s="109" t="s">
        <v>9015</v>
      </c>
      <c r="C51" s="109" t="s">
        <v>9107</v>
      </c>
      <c r="D51" s="109" t="s">
        <v>9108</v>
      </c>
      <c r="E51" s="109">
        <v>2020</v>
      </c>
      <c r="F51" s="109">
        <v>2020</v>
      </c>
      <c r="G51" s="109" t="s">
        <v>16</v>
      </c>
      <c r="H51" s="109">
        <v>200</v>
      </c>
      <c r="I51" s="109">
        <v>200</v>
      </c>
      <c r="J51" s="109"/>
      <c r="K51" s="109"/>
      <c r="L51" s="105">
        <v>20201118</v>
      </c>
    </row>
    <row r="52" s="175" customFormat="1" ht="16" customHeight="1" spans="1:12">
      <c r="A52" s="109">
        <v>50</v>
      </c>
      <c r="B52" s="109" t="s">
        <v>9015</v>
      </c>
      <c r="C52" s="109" t="s">
        <v>9109</v>
      </c>
      <c r="D52" s="109" t="s">
        <v>9110</v>
      </c>
      <c r="E52" s="109">
        <v>2020</v>
      </c>
      <c r="F52" s="109">
        <v>2020</v>
      </c>
      <c r="G52" s="109" t="s">
        <v>16</v>
      </c>
      <c r="H52" s="109">
        <v>200</v>
      </c>
      <c r="I52" s="109">
        <v>200</v>
      </c>
      <c r="J52" s="109"/>
      <c r="K52" s="109"/>
      <c r="L52" s="105">
        <v>20201118</v>
      </c>
    </row>
    <row r="53" s="175" customFormat="1" ht="16" customHeight="1" spans="1:12">
      <c r="A53" s="109">
        <v>51</v>
      </c>
      <c r="B53" s="109" t="s">
        <v>9015</v>
      </c>
      <c r="C53" s="109" t="s">
        <v>9111</v>
      </c>
      <c r="D53" s="109" t="s">
        <v>9112</v>
      </c>
      <c r="E53" s="109">
        <v>2020</v>
      </c>
      <c r="F53" s="109">
        <v>2020</v>
      </c>
      <c r="G53" s="109" t="s">
        <v>16</v>
      </c>
      <c r="H53" s="109">
        <v>200</v>
      </c>
      <c r="I53" s="109">
        <v>200</v>
      </c>
      <c r="J53" s="109"/>
      <c r="K53" s="109"/>
      <c r="L53" s="105">
        <v>20201118</v>
      </c>
    </row>
    <row r="54" s="175" customFormat="1" ht="16" customHeight="1" spans="1:12">
      <c r="A54" s="109">
        <v>52</v>
      </c>
      <c r="B54" s="109" t="s">
        <v>9015</v>
      </c>
      <c r="C54" s="109" t="s">
        <v>9113</v>
      </c>
      <c r="D54" s="109" t="s">
        <v>9114</v>
      </c>
      <c r="E54" s="109">
        <v>2020</v>
      </c>
      <c r="F54" s="109">
        <v>2020</v>
      </c>
      <c r="G54" s="109" t="s">
        <v>16</v>
      </c>
      <c r="H54" s="109">
        <v>200</v>
      </c>
      <c r="I54" s="109">
        <v>200</v>
      </c>
      <c r="J54" s="109"/>
      <c r="K54" s="109"/>
      <c r="L54" s="105">
        <v>20201118</v>
      </c>
    </row>
    <row r="55" s="175" customFormat="1" ht="16" customHeight="1" spans="1:12">
      <c r="A55" s="109">
        <v>53</v>
      </c>
      <c r="B55" s="109" t="s">
        <v>9015</v>
      </c>
      <c r="C55" s="109" t="s">
        <v>9115</v>
      </c>
      <c r="D55" s="109" t="s">
        <v>9116</v>
      </c>
      <c r="E55" s="109">
        <v>2020</v>
      </c>
      <c r="F55" s="109">
        <v>2020</v>
      </c>
      <c r="G55" s="109" t="s">
        <v>16</v>
      </c>
      <c r="H55" s="109">
        <v>200</v>
      </c>
      <c r="I55" s="109">
        <v>200</v>
      </c>
      <c r="J55" s="109"/>
      <c r="K55" s="109"/>
      <c r="L55" s="105">
        <v>20201118</v>
      </c>
    </row>
    <row r="56" s="175" customFormat="1" ht="16" customHeight="1" spans="1:12">
      <c r="A56" s="109">
        <v>54</v>
      </c>
      <c r="B56" s="109" t="s">
        <v>9015</v>
      </c>
      <c r="C56" s="109" t="s">
        <v>9117</v>
      </c>
      <c r="D56" s="109" t="s">
        <v>9118</v>
      </c>
      <c r="E56" s="109">
        <v>2020</v>
      </c>
      <c r="F56" s="109">
        <v>2020</v>
      </c>
      <c r="G56" s="109" t="s">
        <v>16</v>
      </c>
      <c r="H56" s="109">
        <v>200</v>
      </c>
      <c r="I56" s="109">
        <v>200</v>
      </c>
      <c r="J56" s="109"/>
      <c r="K56" s="109"/>
      <c r="L56" s="105">
        <v>20201118</v>
      </c>
    </row>
    <row r="57" s="175" customFormat="1" ht="16" customHeight="1" spans="1:12">
      <c r="A57" s="109">
        <v>55</v>
      </c>
      <c r="B57" s="109" t="s">
        <v>9015</v>
      </c>
      <c r="C57" s="109" t="s">
        <v>8224</v>
      </c>
      <c r="D57" s="109" t="s">
        <v>9119</v>
      </c>
      <c r="E57" s="109">
        <v>2020</v>
      </c>
      <c r="F57" s="109">
        <v>2020</v>
      </c>
      <c r="G57" s="109" t="s">
        <v>16</v>
      </c>
      <c r="H57" s="109">
        <v>200</v>
      </c>
      <c r="I57" s="109">
        <v>200</v>
      </c>
      <c r="J57" s="109"/>
      <c r="K57" s="109"/>
      <c r="L57" s="105">
        <v>20201118</v>
      </c>
    </row>
    <row r="58" s="175" customFormat="1" ht="16" customHeight="1" spans="1:12">
      <c r="A58" s="109">
        <v>56</v>
      </c>
      <c r="B58" s="109" t="s">
        <v>9015</v>
      </c>
      <c r="C58" s="109" t="s">
        <v>9120</v>
      </c>
      <c r="D58" s="109" t="s">
        <v>9121</v>
      </c>
      <c r="E58" s="109">
        <v>2020</v>
      </c>
      <c r="F58" s="109">
        <v>2020</v>
      </c>
      <c r="G58" s="109" t="s">
        <v>16</v>
      </c>
      <c r="H58" s="109">
        <v>200</v>
      </c>
      <c r="I58" s="109">
        <v>200</v>
      </c>
      <c r="J58" s="109"/>
      <c r="K58" s="109"/>
      <c r="L58" s="105">
        <v>20201118</v>
      </c>
    </row>
    <row r="59" s="175" customFormat="1" ht="16" customHeight="1" spans="1:12">
      <c r="A59" s="109">
        <v>57</v>
      </c>
      <c r="B59" s="109" t="s">
        <v>9015</v>
      </c>
      <c r="C59" s="109" t="s">
        <v>9122</v>
      </c>
      <c r="D59" s="109" t="s">
        <v>9123</v>
      </c>
      <c r="E59" s="109">
        <v>2020</v>
      </c>
      <c r="F59" s="109">
        <v>2020</v>
      </c>
      <c r="G59" s="109" t="s">
        <v>16</v>
      </c>
      <c r="H59" s="109">
        <v>200</v>
      </c>
      <c r="I59" s="109">
        <v>200</v>
      </c>
      <c r="J59" s="109"/>
      <c r="K59" s="109"/>
      <c r="L59" s="105">
        <v>20201118</v>
      </c>
    </row>
    <row r="60" s="175" customFormat="1" ht="16" customHeight="1" spans="1:12">
      <c r="A60" s="109">
        <v>58</v>
      </c>
      <c r="B60" s="109" t="s">
        <v>9015</v>
      </c>
      <c r="C60" s="109" t="s">
        <v>9124</v>
      </c>
      <c r="D60" s="109" t="s">
        <v>9125</v>
      </c>
      <c r="E60" s="109">
        <v>2020</v>
      </c>
      <c r="F60" s="109">
        <v>2020</v>
      </c>
      <c r="G60" s="109" t="s">
        <v>16</v>
      </c>
      <c r="H60" s="109">
        <v>200</v>
      </c>
      <c r="I60" s="109">
        <v>200</v>
      </c>
      <c r="J60" s="109"/>
      <c r="K60" s="109"/>
      <c r="L60" s="105">
        <v>20201118</v>
      </c>
    </row>
    <row r="61" s="175" customFormat="1" ht="16" customHeight="1" spans="1:12">
      <c r="A61" s="109">
        <v>59</v>
      </c>
      <c r="B61" s="109" t="s">
        <v>9015</v>
      </c>
      <c r="C61" s="109" t="s">
        <v>9126</v>
      </c>
      <c r="D61" s="109" t="s">
        <v>9127</v>
      </c>
      <c r="E61" s="109">
        <v>2020</v>
      </c>
      <c r="F61" s="109">
        <v>2020</v>
      </c>
      <c r="G61" s="109" t="s">
        <v>16</v>
      </c>
      <c r="H61" s="109">
        <v>200</v>
      </c>
      <c r="I61" s="109">
        <v>200</v>
      </c>
      <c r="J61" s="109"/>
      <c r="K61" s="109"/>
      <c r="L61" s="105">
        <v>20201118</v>
      </c>
    </row>
    <row r="62" s="175" customFormat="1" ht="16" customHeight="1" spans="1:12">
      <c r="A62" s="109">
        <v>60</v>
      </c>
      <c r="B62" s="109" t="s">
        <v>9015</v>
      </c>
      <c r="C62" s="109" t="s">
        <v>9128</v>
      </c>
      <c r="D62" s="109" t="s">
        <v>9129</v>
      </c>
      <c r="E62" s="109">
        <v>2020</v>
      </c>
      <c r="F62" s="109">
        <v>2020</v>
      </c>
      <c r="G62" s="109" t="s">
        <v>16</v>
      </c>
      <c r="H62" s="109">
        <v>200</v>
      </c>
      <c r="I62" s="109">
        <v>200</v>
      </c>
      <c r="J62" s="109"/>
      <c r="K62" s="109"/>
      <c r="L62" s="105">
        <v>20201118</v>
      </c>
    </row>
    <row r="63" s="175" customFormat="1" ht="16" customHeight="1" spans="1:12">
      <c r="A63" s="109">
        <v>61</v>
      </c>
      <c r="B63" s="109" t="s">
        <v>9015</v>
      </c>
      <c r="C63" s="109" t="s">
        <v>9130</v>
      </c>
      <c r="D63" s="109" t="s">
        <v>9131</v>
      </c>
      <c r="E63" s="109">
        <v>2020</v>
      </c>
      <c r="F63" s="109">
        <v>2020</v>
      </c>
      <c r="G63" s="109" t="s">
        <v>16</v>
      </c>
      <c r="H63" s="109">
        <v>200</v>
      </c>
      <c r="I63" s="109">
        <v>200</v>
      </c>
      <c r="J63" s="109"/>
      <c r="K63" s="109"/>
      <c r="L63" s="105">
        <v>20201118</v>
      </c>
    </row>
    <row r="64" s="175" customFormat="1" ht="16" customHeight="1" spans="1:12">
      <c r="A64" s="109">
        <v>62</v>
      </c>
      <c r="B64" s="109" t="s">
        <v>9015</v>
      </c>
      <c r="C64" s="109" t="s">
        <v>9132</v>
      </c>
      <c r="D64" s="109" t="s">
        <v>9133</v>
      </c>
      <c r="E64" s="109">
        <v>2020</v>
      </c>
      <c r="F64" s="109">
        <v>2020</v>
      </c>
      <c r="G64" s="109" t="s">
        <v>16</v>
      </c>
      <c r="H64" s="109">
        <v>200</v>
      </c>
      <c r="I64" s="109">
        <v>200</v>
      </c>
      <c r="J64" s="109"/>
      <c r="K64" s="109"/>
      <c r="L64" s="105">
        <v>20201118</v>
      </c>
    </row>
    <row r="65" s="175" customFormat="1" ht="16" customHeight="1" spans="1:12">
      <c r="A65" s="109">
        <v>63</v>
      </c>
      <c r="B65" s="109" t="s">
        <v>9015</v>
      </c>
      <c r="C65" s="109" t="s">
        <v>151</v>
      </c>
      <c r="D65" s="109" t="s">
        <v>9134</v>
      </c>
      <c r="E65" s="109">
        <v>2020</v>
      </c>
      <c r="F65" s="109">
        <v>2020</v>
      </c>
      <c r="G65" s="109" t="s">
        <v>16</v>
      </c>
      <c r="H65" s="109">
        <v>200</v>
      </c>
      <c r="I65" s="109">
        <v>200</v>
      </c>
      <c r="J65" s="109" t="s">
        <v>108</v>
      </c>
      <c r="K65" s="109"/>
      <c r="L65" s="105">
        <v>20201118</v>
      </c>
    </row>
    <row r="66" s="175" customFormat="1" ht="16" customHeight="1" spans="1:12">
      <c r="A66" s="109">
        <v>64</v>
      </c>
      <c r="B66" s="109" t="s">
        <v>9015</v>
      </c>
      <c r="C66" s="109" t="s">
        <v>9135</v>
      </c>
      <c r="D66" s="109" t="s">
        <v>9136</v>
      </c>
      <c r="E66" s="109">
        <v>2020</v>
      </c>
      <c r="F66" s="109">
        <v>2020</v>
      </c>
      <c r="G66" s="109" t="s">
        <v>16</v>
      </c>
      <c r="H66" s="109">
        <v>200</v>
      </c>
      <c r="I66" s="109">
        <v>200</v>
      </c>
      <c r="J66" s="109" t="s">
        <v>108</v>
      </c>
      <c r="K66" s="109"/>
      <c r="L66" s="105">
        <v>20201118</v>
      </c>
    </row>
    <row r="67" s="175" customFormat="1" ht="16" customHeight="1" spans="1:12">
      <c r="A67" s="109">
        <v>65</v>
      </c>
      <c r="B67" s="109" t="s">
        <v>9015</v>
      </c>
      <c r="C67" s="109" t="s">
        <v>9137</v>
      </c>
      <c r="D67" s="109" t="s">
        <v>9138</v>
      </c>
      <c r="E67" s="109">
        <v>2020</v>
      </c>
      <c r="F67" s="109">
        <v>2020</v>
      </c>
      <c r="G67" s="109" t="s">
        <v>16</v>
      </c>
      <c r="H67" s="109">
        <v>200</v>
      </c>
      <c r="I67" s="109">
        <v>200</v>
      </c>
      <c r="J67" s="109"/>
      <c r="K67" s="109"/>
      <c r="L67" s="105">
        <v>20201118</v>
      </c>
    </row>
    <row r="68" s="175" customFormat="1" ht="16" customHeight="1" spans="1:12">
      <c r="A68" s="109">
        <v>66</v>
      </c>
      <c r="B68" s="109" t="s">
        <v>9015</v>
      </c>
      <c r="C68" s="109" t="s">
        <v>9139</v>
      </c>
      <c r="D68" s="109" t="s">
        <v>9140</v>
      </c>
      <c r="E68" s="109">
        <v>2020</v>
      </c>
      <c r="F68" s="109">
        <v>2020</v>
      </c>
      <c r="G68" s="109" t="s">
        <v>16</v>
      </c>
      <c r="H68" s="109">
        <v>200</v>
      </c>
      <c r="I68" s="109">
        <v>200</v>
      </c>
      <c r="J68" s="109"/>
      <c r="K68" s="109"/>
      <c r="L68" s="105">
        <v>20201118</v>
      </c>
    </row>
    <row r="69" s="175" customFormat="1" ht="16" customHeight="1" spans="1:12">
      <c r="A69" s="109">
        <v>67</v>
      </c>
      <c r="B69" s="109" t="s">
        <v>9015</v>
      </c>
      <c r="C69" s="109" t="s">
        <v>9141</v>
      </c>
      <c r="D69" s="109" t="s">
        <v>9142</v>
      </c>
      <c r="E69" s="109">
        <v>2020</v>
      </c>
      <c r="F69" s="109">
        <v>2020</v>
      </c>
      <c r="G69" s="109" t="s">
        <v>16</v>
      </c>
      <c r="H69" s="109">
        <v>200</v>
      </c>
      <c r="I69" s="109">
        <v>200</v>
      </c>
      <c r="J69" s="109"/>
      <c r="K69" s="109"/>
      <c r="L69" s="105">
        <v>20201118</v>
      </c>
    </row>
    <row r="70" s="175" customFormat="1" ht="16" customHeight="1" spans="1:12">
      <c r="A70" s="109">
        <v>68</v>
      </c>
      <c r="B70" s="109" t="s">
        <v>9015</v>
      </c>
      <c r="C70" s="109" t="s">
        <v>9143</v>
      </c>
      <c r="D70" s="109" t="s">
        <v>9144</v>
      </c>
      <c r="E70" s="109">
        <v>2020</v>
      </c>
      <c r="F70" s="109">
        <v>2020</v>
      </c>
      <c r="G70" s="109" t="s">
        <v>16</v>
      </c>
      <c r="H70" s="109">
        <v>200</v>
      </c>
      <c r="I70" s="109">
        <v>200</v>
      </c>
      <c r="J70" s="109"/>
      <c r="K70" s="109"/>
      <c r="L70" s="105">
        <v>20201118</v>
      </c>
    </row>
    <row r="71" s="175" customFormat="1" ht="16" customHeight="1" spans="1:12">
      <c r="A71" s="109">
        <v>69</v>
      </c>
      <c r="B71" s="109" t="s">
        <v>9015</v>
      </c>
      <c r="C71" s="109" t="s">
        <v>9145</v>
      </c>
      <c r="D71" s="109" t="s">
        <v>9146</v>
      </c>
      <c r="E71" s="109">
        <v>2020</v>
      </c>
      <c r="F71" s="109">
        <v>2020</v>
      </c>
      <c r="G71" s="109" t="s">
        <v>16</v>
      </c>
      <c r="H71" s="109">
        <v>200</v>
      </c>
      <c r="I71" s="109">
        <v>200</v>
      </c>
      <c r="J71" s="109"/>
      <c r="K71" s="109"/>
      <c r="L71" s="105">
        <v>20201118</v>
      </c>
    </row>
    <row r="72" s="175" customFormat="1" ht="16" customHeight="1" spans="1:12">
      <c r="A72" s="109">
        <v>70</v>
      </c>
      <c r="B72" s="109" t="s">
        <v>9015</v>
      </c>
      <c r="C72" s="109" t="s">
        <v>9147</v>
      </c>
      <c r="D72" s="109" t="s">
        <v>9148</v>
      </c>
      <c r="E72" s="109">
        <v>2020</v>
      </c>
      <c r="F72" s="109">
        <v>2020</v>
      </c>
      <c r="G72" s="109" t="s">
        <v>16</v>
      </c>
      <c r="H72" s="109">
        <v>200</v>
      </c>
      <c r="I72" s="109">
        <v>200</v>
      </c>
      <c r="J72" s="109" t="s">
        <v>1038</v>
      </c>
      <c r="K72" s="109"/>
      <c r="L72" s="105">
        <v>20201118</v>
      </c>
    </row>
    <row r="73" s="175" customFormat="1" ht="16" customHeight="1" spans="1:12">
      <c r="A73" s="109">
        <v>71</v>
      </c>
      <c r="B73" s="109" t="s">
        <v>9015</v>
      </c>
      <c r="C73" s="109" t="s">
        <v>9149</v>
      </c>
      <c r="D73" s="109" t="s">
        <v>9150</v>
      </c>
      <c r="E73" s="109">
        <v>2020</v>
      </c>
      <c r="F73" s="109">
        <v>2020</v>
      </c>
      <c r="G73" s="109" t="s">
        <v>16</v>
      </c>
      <c r="H73" s="109">
        <v>200</v>
      </c>
      <c r="I73" s="109">
        <v>200</v>
      </c>
      <c r="J73" s="109"/>
      <c r="K73" s="109"/>
      <c r="L73" s="105">
        <v>20201118</v>
      </c>
    </row>
    <row r="74" s="175" customFormat="1" ht="16" customHeight="1" spans="1:12">
      <c r="A74" s="109">
        <v>72</v>
      </c>
      <c r="B74" s="109" t="s">
        <v>9015</v>
      </c>
      <c r="C74" s="109" t="s">
        <v>9151</v>
      </c>
      <c r="D74" s="109" t="s">
        <v>9152</v>
      </c>
      <c r="E74" s="109">
        <v>2020</v>
      </c>
      <c r="F74" s="109">
        <v>2020</v>
      </c>
      <c r="G74" s="109" t="s">
        <v>16</v>
      </c>
      <c r="H74" s="109">
        <v>200</v>
      </c>
      <c r="I74" s="109">
        <v>200</v>
      </c>
      <c r="J74" s="109"/>
      <c r="K74" s="109"/>
      <c r="L74" s="105">
        <v>20201118</v>
      </c>
    </row>
    <row r="75" s="175" customFormat="1" ht="16" customHeight="1" spans="1:12">
      <c r="A75" s="109">
        <v>73</v>
      </c>
      <c r="B75" s="109" t="s">
        <v>9015</v>
      </c>
      <c r="C75" s="109" t="s">
        <v>9153</v>
      </c>
      <c r="D75" s="109" t="s">
        <v>9154</v>
      </c>
      <c r="E75" s="109">
        <v>2020</v>
      </c>
      <c r="F75" s="109">
        <v>2020</v>
      </c>
      <c r="G75" s="109" t="s">
        <v>16</v>
      </c>
      <c r="H75" s="109">
        <v>200</v>
      </c>
      <c r="I75" s="109">
        <v>200</v>
      </c>
      <c r="J75" s="109"/>
      <c r="K75" s="109"/>
      <c r="L75" s="105">
        <v>20201118</v>
      </c>
    </row>
    <row r="76" s="175" customFormat="1" ht="16" customHeight="1" spans="1:12">
      <c r="A76" s="109">
        <v>74</v>
      </c>
      <c r="B76" s="109" t="s">
        <v>9015</v>
      </c>
      <c r="C76" s="109" t="s">
        <v>9155</v>
      </c>
      <c r="D76" s="109" t="s">
        <v>9156</v>
      </c>
      <c r="E76" s="109">
        <v>2020</v>
      </c>
      <c r="F76" s="109">
        <v>2020</v>
      </c>
      <c r="G76" s="109" t="s">
        <v>16</v>
      </c>
      <c r="H76" s="109">
        <v>200</v>
      </c>
      <c r="I76" s="109">
        <v>200</v>
      </c>
      <c r="J76" s="109"/>
      <c r="K76" s="109"/>
      <c r="L76" s="105">
        <v>20201118</v>
      </c>
    </row>
    <row r="77" s="175" customFormat="1" ht="16" customHeight="1" spans="1:12">
      <c r="A77" s="109">
        <v>75</v>
      </c>
      <c r="B77" s="109" t="s">
        <v>9015</v>
      </c>
      <c r="C77" s="109" t="s">
        <v>9157</v>
      </c>
      <c r="D77" s="109" t="s">
        <v>9158</v>
      </c>
      <c r="E77" s="109">
        <v>2020</v>
      </c>
      <c r="F77" s="109">
        <v>2020</v>
      </c>
      <c r="G77" s="109" t="s">
        <v>16</v>
      </c>
      <c r="H77" s="109">
        <v>200</v>
      </c>
      <c r="I77" s="109">
        <v>200</v>
      </c>
      <c r="J77" s="109"/>
      <c r="K77" s="109"/>
      <c r="L77" s="105">
        <v>20201118</v>
      </c>
    </row>
    <row r="78" s="175" customFormat="1" ht="16" customHeight="1" spans="1:12">
      <c r="A78" s="109">
        <v>76</v>
      </c>
      <c r="B78" s="109" t="s">
        <v>9015</v>
      </c>
      <c r="C78" s="109" t="s">
        <v>9159</v>
      </c>
      <c r="D78" s="109" t="s">
        <v>9160</v>
      </c>
      <c r="E78" s="109">
        <v>2020</v>
      </c>
      <c r="F78" s="109">
        <v>2020</v>
      </c>
      <c r="G78" s="109" t="s">
        <v>16</v>
      </c>
      <c r="H78" s="109">
        <v>200</v>
      </c>
      <c r="I78" s="109">
        <v>200</v>
      </c>
      <c r="J78" s="109"/>
      <c r="K78" s="109"/>
      <c r="L78" s="105">
        <v>20201118</v>
      </c>
    </row>
    <row r="79" s="175" customFormat="1" ht="16" customHeight="1" spans="1:12">
      <c r="A79" s="109">
        <v>77</v>
      </c>
      <c r="B79" s="109" t="s">
        <v>9015</v>
      </c>
      <c r="C79" s="109" t="s">
        <v>9161</v>
      </c>
      <c r="D79" s="109" t="s">
        <v>9162</v>
      </c>
      <c r="E79" s="109">
        <v>2020</v>
      </c>
      <c r="F79" s="109">
        <v>2020</v>
      </c>
      <c r="G79" s="109" t="s">
        <v>16</v>
      </c>
      <c r="H79" s="109">
        <v>200</v>
      </c>
      <c r="I79" s="109">
        <v>200</v>
      </c>
      <c r="J79" s="109"/>
      <c r="K79" s="109"/>
      <c r="L79" s="105">
        <v>20201118</v>
      </c>
    </row>
    <row r="80" s="175" customFormat="1" ht="16" customHeight="1" spans="1:12">
      <c r="A80" s="109">
        <v>78</v>
      </c>
      <c r="B80" s="109" t="s">
        <v>9015</v>
      </c>
      <c r="C80" s="109" t="s">
        <v>9163</v>
      </c>
      <c r="D80" s="109" t="s">
        <v>9164</v>
      </c>
      <c r="E80" s="109">
        <v>2020</v>
      </c>
      <c r="F80" s="109">
        <v>2020</v>
      </c>
      <c r="G80" s="109" t="s">
        <v>16</v>
      </c>
      <c r="H80" s="109">
        <v>200</v>
      </c>
      <c r="I80" s="109">
        <v>200</v>
      </c>
      <c r="J80" s="109"/>
      <c r="K80" s="109"/>
      <c r="L80" s="105">
        <v>20201118</v>
      </c>
    </row>
    <row r="81" s="175" customFormat="1" ht="16" customHeight="1" spans="1:12">
      <c r="A81" s="109">
        <v>79</v>
      </c>
      <c r="B81" s="109" t="s">
        <v>9015</v>
      </c>
      <c r="C81" s="109" t="s">
        <v>9165</v>
      </c>
      <c r="D81" s="109" t="s">
        <v>9166</v>
      </c>
      <c r="E81" s="109">
        <v>2020</v>
      </c>
      <c r="F81" s="109">
        <v>2020</v>
      </c>
      <c r="G81" s="109" t="s">
        <v>16</v>
      </c>
      <c r="H81" s="109">
        <v>200</v>
      </c>
      <c r="I81" s="109">
        <v>200</v>
      </c>
      <c r="J81" s="109"/>
      <c r="K81" s="109"/>
      <c r="L81" s="105">
        <v>20201118</v>
      </c>
    </row>
    <row r="82" s="175" customFormat="1" ht="16" customHeight="1" spans="1:12">
      <c r="A82" s="109">
        <v>80</v>
      </c>
      <c r="B82" s="109" t="s">
        <v>9015</v>
      </c>
      <c r="C82" s="109" t="s">
        <v>9167</v>
      </c>
      <c r="D82" s="109" t="s">
        <v>9168</v>
      </c>
      <c r="E82" s="109">
        <v>2020</v>
      </c>
      <c r="F82" s="109">
        <v>2020</v>
      </c>
      <c r="G82" s="109" t="s">
        <v>16</v>
      </c>
      <c r="H82" s="109">
        <v>200</v>
      </c>
      <c r="I82" s="109">
        <v>200</v>
      </c>
      <c r="J82" s="109"/>
      <c r="K82" s="109"/>
      <c r="L82" s="105">
        <v>20201118</v>
      </c>
    </row>
    <row r="83" s="175" customFormat="1" ht="16" customHeight="1" spans="1:12">
      <c r="A83" s="109">
        <v>81</v>
      </c>
      <c r="B83" s="109" t="s">
        <v>9015</v>
      </c>
      <c r="C83" s="109" t="s">
        <v>9169</v>
      </c>
      <c r="D83" s="109" t="s">
        <v>9170</v>
      </c>
      <c r="E83" s="109">
        <v>2020</v>
      </c>
      <c r="F83" s="109">
        <v>2020</v>
      </c>
      <c r="G83" s="109" t="s">
        <v>16</v>
      </c>
      <c r="H83" s="109">
        <v>200</v>
      </c>
      <c r="I83" s="109">
        <v>200</v>
      </c>
      <c r="J83" s="109"/>
      <c r="K83" s="109"/>
      <c r="L83" s="105">
        <v>20201118</v>
      </c>
    </row>
    <row r="84" s="175" customFormat="1" ht="16" customHeight="1" spans="1:12">
      <c r="A84" s="109">
        <v>82</v>
      </c>
      <c r="B84" s="109" t="s">
        <v>9015</v>
      </c>
      <c r="C84" s="109" t="s">
        <v>9171</v>
      </c>
      <c r="D84" s="109" t="s">
        <v>9172</v>
      </c>
      <c r="E84" s="109">
        <v>2020</v>
      </c>
      <c r="F84" s="109">
        <v>2020</v>
      </c>
      <c r="G84" s="109" t="s">
        <v>16</v>
      </c>
      <c r="H84" s="109">
        <v>200</v>
      </c>
      <c r="I84" s="109">
        <v>200</v>
      </c>
      <c r="J84" s="109"/>
      <c r="K84" s="109"/>
      <c r="L84" s="105">
        <v>20201118</v>
      </c>
    </row>
    <row r="85" s="175" customFormat="1" ht="16" customHeight="1" spans="1:12">
      <c r="A85" s="109">
        <v>83</v>
      </c>
      <c r="B85" s="109" t="s">
        <v>9015</v>
      </c>
      <c r="C85" s="109" t="s">
        <v>9173</v>
      </c>
      <c r="D85" s="109" t="s">
        <v>9174</v>
      </c>
      <c r="E85" s="109">
        <v>2020</v>
      </c>
      <c r="F85" s="109">
        <v>2020</v>
      </c>
      <c r="G85" s="109" t="s">
        <v>16</v>
      </c>
      <c r="H85" s="109">
        <v>200</v>
      </c>
      <c r="I85" s="109">
        <v>200</v>
      </c>
      <c r="J85" s="109"/>
      <c r="K85" s="109"/>
      <c r="L85" s="105">
        <v>20201118</v>
      </c>
    </row>
    <row r="86" s="175" customFormat="1" ht="16" customHeight="1" spans="1:12">
      <c r="A86" s="109">
        <v>84</v>
      </c>
      <c r="B86" s="109" t="s">
        <v>9015</v>
      </c>
      <c r="C86" s="109" t="s">
        <v>9175</v>
      </c>
      <c r="D86" s="109" t="s">
        <v>9176</v>
      </c>
      <c r="E86" s="109">
        <v>2020</v>
      </c>
      <c r="F86" s="109">
        <v>2020</v>
      </c>
      <c r="G86" s="109" t="s">
        <v>16</v>
      </c>
      <c r="H86" s="109">
        <v>200</v>
      </c>
      <c r="I86" s="109">
        <v>200</v>
      </c>
      <c r="J86" s="109"/>
      <c r="K86" s="109"/>
      <c r="L86" s="105">
        <v>20201118</v>
      </c>
    </row>
    <row r="87" s="175" customFormat="1" ht="16" customHeight="1" spans="1:12">
      <c r="A87" s="109">
        <v>85</v>
      </c>
      <c r="B87" s="109" t="s">
        <v>9015</v>
      </c>
      <c r="C87" s="109" t="s">
        <v>9177</v>
      </c>
      <c r="D87" s="109" t="s">
        <v>9178</v>
      </c>
      <c r="E87" s="109">
        <v>2020</v>
      </c>
      <c r="F87" s="109">
        <v>2020</v>
      </c>
      <c r="G87" s="109" t="s">
        <v>16</v>
      </c>
      <c r="H87" s="109">
        <v>200</v>
      </c>
      <c r="I87" s="109">
        <v>200</v>
      </c>
      <c r="J87" s="109"/>
      <c r="K87" s="109"/>
      <c r="L87" s="105">
        <v>20201118</v>
      </c>
    </row>
    <row r="88" s="175" customFormat="1" ht="16" customHeight="1" spans="1:12">
      <c r="A88" s="109">
        <v>86</v>
      </c>
      <c r="B88" s="109" t="s">
        <v>9015</v>
      </c>
      <c r="C88" s="109" t="s">
        <v>9179</v>
      </c>
      <c r="D88" s="109" t="s">
        <v>9180</v>
      </c>
      <c r="E88" s="109">
        <v>2020</v>
      </c>
      <c r="F88" s="109">
        <v>2020</v>
      </c>
      <c r="G88" s="109" t="s">
        <v>16</v>
      </c>
      <c r="H88" s="109">
        <v>200</v>
      </c>
      <c r="I88" s="109">
        <v>200</v>
      </c>
      <c r="J88" s="109"/>
      <c r="K88" s="109"/>
      <c r="L88" s="105">
        <v>20201118</v>
      </c>
    </row>
    <row r="89" s="175" customFormat="1" ht="16" customHeight="1" spans="1:12">
      <c r="A89" s="109">
        <v>87</v>
      </c>
      <c r="B89" s="109" t="s">
        <v>9015</v>
      </c>
      <c r="C89" s="109" t="s">
        <v>9181</v>
      </c>
      <c r="D89" s="109" t="s">
        <v>9182</v>
      </c>
      <c r="E89" s="109">
        <v>2020</v>
      </c>
      <c r="F89" s="109">
        <v>2020</v>
      </c>
      <c r="G89" s="109" t="s">
        <v>16</v>
      </c>
      <c r="H89" s="109">
        <v>200</v>
      </c>
      <c r="I89" s="109">
        <v>200</v>
      </c>
      <c r="J89" s="109"/>
      <c r="K89" s="109"/>
      <c r="L89" s="105">
        <v>20201118</v>
      </c>
    </row>
    <row r="90" s="175" customFormat="1" ht="16" customHeight="1" spans="1:12">
      <c r="A90" s="109">
        <v>88</v>
      </c>
      <c r="B90" s="109" t="s">
        <v>9015</v>
      </c>
      <c r="C90" s="109" t="s">
        <v>9183</v>
      </c>
      <c r="D90" s="109" t="s">
        <v>9184</v>
      </c>
      <c r="E90" s="109">
        <v>2020</v>
      </c>
      <c r="F90" s="109">
        <v>2020</v>
      </c>
      <c r="G90" s="109" t="s">
        <v>16</v>
      </c>
      <c r="H90" s="109">
        <v>200</v>
      </c>
      <c r="I90" s="109">
        <v>200</v>
      </c>
      <c r="J90" s="109"/>
      <c r="K90" s="109"/>
      <c r="L90" s="105">
        <v>20201118</v>
      </c>
    </row>
    <row r="91" s="175" customFormat="1" ht="16" customHeight="1" spans="1:12">
      <c r="A91" s="109">
        <v>89</v>
      </c>
      <c r="B91" s="109" t="s">
        <v>9015</v>
      </c>
      <c r="C91" s="109" t="s">
        <v>9185</v>
      </c>
      <c r="D91" s="109" t="s">
        <v>9186</v>
      </c>
      <c r="E91" s="109">
        <v>2020</v>
      </c>
      <c r="F91" s="109">
        <v>2020</v>
      </c>
      <c r="G91" s="109" t="s">
        <v>16</v>
      </c>
      <c r="H91" s="109">
        <v>200</v>
      </c>
      <c r="I91" s="109">
        <v>200</v>
      </c>
      <c r="J91" s="109"/>
      <c r="K91" s="109"/>
      <c r="L91" s="105">
        <v>20201118</v>
      </c>
    </row>
    <row r="92" s="175" customFormat="1" ht="16" customHeight="1" spans="1:12">
      <c r="A92" s="109">
        <v>90</v>
      </c>
      <c r="B92" s="109" t="s">
        <v>9015</v>
      </c>
      <c r="C92" s="109" t="s">
        <v>9187</v>
      </c>
      <c r="D92" s="109" t="s">
        <v>9188</v>
      </c>
      <c r="E92" s="109">
        <v>2020</v>
      </c>
      <c r="F92" s="109">
        <v>2020</v>
      </c>
      <c r="G92" s="109" t="s">
        <v>16</v>
      </c>
      <c r="H92" s="109">
        <v>200</v>
      </c>
      <c r="I92" s="109">
        <v>200</v>
      </c>
      <c r="J92" s="109"/>
      <c r="K92" s="109"/>
      <c r="L92" s="105">
        <v>20201118</v>
      </c>
    </row>
    <row r="93" s="175" customFormat="1" ht="16" customHeight="1" spans="1:12">
      <c r="A93" s="109">
        <v>91</v>
      </c>
      <c r="B93" s="109" t="s">
        <v>9015</v>
      </c>
      <c r="C93" s="109" t="s">
        <v>2898</v>
      </c>
      <c r="D93" s="109" t="s">
        <v>9189</v>
      </c>
      <c r="E93" s="109">
        <v>2020</v>
      </c>
      <c r="F93" s="109">
        <v>2020</v>
      </c>
      <c r="G93" s="109" t="s">
        <v>16</v>
      </c>
      <c r="H93" s="109">
        <v>200</v>
      </c>
      <c r="I93" s="109">
        <v>200</v>
      </c>
      <c r="J93" s="109" t="s">
        <v>108</v>
      </c>
      <c r="K93" s="109"/>
      <c r="L93" s="105">
        <v>20201118</v>
      </c>
    </row>
    <row r="94" s="175" customFormat="1" ht="16" customHeight="1" spans="1:12">
      <c r="A94" s="109">
        <v>92</v>
      </c>
      <c r="B94" s="109" t="s">
        <v>9015</v>
      </c>
      <c r="C94" s="109" t="s">
        <v>9190</v>
      </c>
      <c r="D94" s="109" t="s">
        <v>9191</v>
      </c>
      <c r="E94" s="109">
        <v>2020</v>
      </c>
      <c r="F94" s="109">
        <v>2020</v>
      </c>
      <c r="G94" s="109" t="s">
        <v>16</v>
      </c>
      <c r="H94" s="109">
        <v>200</v>
      </c>
      <c r="I94" s="109">
        <v>200</v>
      </c>
      <c r="J94" s="109"/>
      <c r="K94" s="109"/>
      <c r="L94" s="105">
        <v>20201118</v>
      </c>
    </row>
    <row r="95" s="175" customFormat="1" ht="16" customHeight="1" spans="1:12">
      <c r="A95" s="109">
        <v>93</v>
      </c>
      <c r="B95" s="109" t="s">
        <v>9015</v>
      </c>
      <c r="C95" s="109" t="s">
        <v>9192</v>
      </c>
      <c r="D95" s="109" t="s">
        <v>9193</v>
      </c>
      <c r="E95" s="109">
        <v>2020</v>
      </c>
      <c r="F95" s="109">
        <v>2020</v>
      </c>
      <c r="G95" s="109" t="s">
        <v>16</v>
      </c>
      <c r="H95" s="109">
        <v>200</v>
      </c>
      <c r="I95" s="109">
        <v>200</v>
      </c>
      <c r="J95" s="109"/>
      <c r="K95" s="109"/>
      <c r="L95" s="105">
        <v>20201118</v>
      </c>
    </row>
    <row r="96" s="175" customFormat="1" ht="16" customHeight="1" spans="1:12">
      <c r="A96" s="109">
        <v>94</v>
      </c>
      <c r="B96" s="109" t="s">
        <v>9015</v>
      </c>
      <c r="C96" s="109" t="s">
        <v>9194</v>
      </c>
      <c r="D96" s="109" t="s">
        <v>9195</v>
      </c>
      <c r="E96" s="109">
        <v>2020</v>
      </c>
      <c r="F96" s="109">
        <v>2020</v>
      </c>
      <c r="G96" s="109" t="s">
        <v>16</v>
      </c>
      <c r="H96" s="109">
        <v>200</v>
      </c>
      <c r="I96" s="109">
        <v>200</v>
      </c>
      <c r="J96" s="109"/>
      <c r="K96" s="109"/>
      <c r="L96" s="105">
        <v>20201118</v>
      </c>
    </row>
    <row r="97" s="175" customFormat="1" ht="16" customHeight="1" spans="1:12">
      <c r="A97" s="109">
        <v>95</v>
      </c>
      <c r="B97" s="109" t="s">
        <v>9015</v>
      </c>
      <c r="C97" s="109" t="s">
        <v>9196</v>
      </c>
      <c r="D97" s="109" t="s">
        <v>9197</v>
      </c>
      <c r="E97" s="109">
        <v>2020</v>
      </c>
      <c r="F97" s="109">
        <v>2020</v>
      </c>
      <c r="G97" s="109" t="s">
        <v>16</v>
      </c>
      <c r="H97" s="109">
        <v>200</v>
      </c>
      <c r="I97" s="109">
        <v>200</v>
      </c>
      <c r="J97" s="109"/>
      <c r="K97" s="109"/>
      <c r="L97" s="105">
        <v>20201118</v>
      </c>
    </row>
    <row r="98" s="175" customFormat="1" ht="16" customHeight="1" spans="1:12">
      <c r="A98" s="109">
        <v>96</v>
      </c>
      <c r="B98" s="109" t="s">
        <v>9015</v>
      </c>
      <c r="C98" s="109" t="s">
        <v>9198</v>
      </c>
      <c r="D98" s="109" t="s">
        <v>9199</v>
      </c>
      <c r="E98" s="109">
        <v>2020</v>
      </c>
      <c r="F98" s="109">
        <v>2020</v>
      </c>
      <c r="G98" s="109" t="s">
        <v>16</v>
      </c>
      <c r="H98" s="109">
        <v>200</v>
      </c>
      <c r="I98" s="109">
        <v>200</v>
      </c>
      <c r="J98" s="109"/>
      <c r="K98" s="109"/>
      <c r="L98" s="105">
        <v>20201118</v>
      </c>
    </row>
    <row r="99" s="175" customFormat="1" ht="16" customHeight="1" spans="1:12">
      <c r="A99" s="109">
        <v>97</v>
      </c>
      <c r="B99" s="109" t="s">
        <v>9015</v>
      </c>
      <c r="C99" s="109" t="s">
        <v>9200</v>
      </c>
      <c r="D99" s="109" t="s">
        <v>9201</v>
      </c>
      <c r="E99" s="109">
        <v>2020</v>
      </c>
      <c r="F99" s="109">
        <v>2020</v>
      </c>
      <c r="G99" s="109" t="s">
        <v>16</v>
      </c>
      <c r="H99" s="109">
        <v>200</v>
      </c>
      <c r="I99" s="109">
        <v>200</v>
      </c>
      <c r="J99" s="109"/>
      <c r="K99" s="109"/>
      <c r="L99" s="105">
        <v>20201118</v>
      </c>
    </row>
    <row r="100" s="175" customFormat="1" ht="16" customHeight="1" spans="1:12">
      <c r="A100" s="109">
        <v>98</v>
      </c>
      <c r="B100" s="109" t="s">
        <v>9015</v>
      </c>
      <c r="C100" s="109" t="s">
        <v>9202</v>
      </c>
      <c r="D100" s="109" t="s">
        <v>9203</v>
      </c>
      <c r="E100" s="109">
        <v>2020</v>
      </c>
      <c r="F100" s="109">
        <v>2020</v>
      </c>
      <c r="G100" s="109" t="s">
        <v>16</v>
      </c>
      <c r="H100" s="109">
        <v>200</v>
      </c>
      <c r="I100" s="109">
        <v>200</v>
      </c>
      <c r="J100" s="109" t="s">
        <v>108</v>
      </c>
      <c r="K100" s="109"/>
      <c r="L100" s="105">
        <v>20201118</v>
      </c>
    </row>
    <row r="101" s="175" customFormat="1" ht="16" customHeight="1" spans="1:12">
      <c r="A101" s="109">
        <v>99</v>
      </c>
      <c r="B101" s="109" t="s">
        <v>9015</v>
      </c>
      <c r="C101" s="109" t="s">
        <v>9204</v>
      </c>
      <c r="D101" s="109" t="s">
        <v>9205</v>
      </c>
      <c r="E101" s="109">
        <v>2020</v>
      </c>
      <c r="F101" s="109">
        <v>2020</v>
      </c>
      <c r="G101" s="109" t="s">
        <v>16</v>
      </c>
      <c r="H101" s="109">
        <v>200</v>
      </c>
      <c r="I101" s="109">
        <v>200</v>
      </c>
      <c r="J101" s="109" t="s">
        <v>108</v>
      </c>
      <c r="K101" s="109"/>
      <c r="L101" s="105">
        <v>20201118</v>
      </c>
    </row>
    <row r="102" s="175" customFormat="1" ht="16" customHeight="1" spans="1:12">
      <c r="A102" s="109">
        <v>100</v>
      </c>
      <c r="B102" s="109" t="s">
        <v>9015</v>
      </c>
      <c r="C102" s="109" t="s">
        <v>9206</v>
      </c>
      <c r="D102" s="109" t="s">
        <v>9207</v>
      </c>
      <c r="E102" s="109">
        <v>2020</v>
      </c>
      <c r="F102" s="109">
        <v>2020</v>
      </c>
      <c r="G102" s="109" t="s">
        <v>16</v>
      </c>
      <c r="H102" s="109">
        <v>200</v>
      </c>
      <c r="I102" s="109">
        <v>200</v>
      </c>
      <c r="J102" s="109"/>
      <c r="K102" s="109"/>
      <c r="L102" s="105">
        <v>20201118</v>
      </c>
    </row>
    <row r="103" s="175" customFormat="1" ht="16" customHeight="1" spans="1:12">
      <c r="A103" s="109">
        <v>101</v>
      </c>
      <c r="B103" s="109" t="s">
        <v>9015</v>
      </c>
      <c r="C103" s="109" t="s">
        <v>9208</v>
      </c>
      <c r="D103" s="109" t="s">
        <v>9209</v>
      </c>
      <c r="E103" s="109">
        <v>2020</v>
      </c>
      <c r="F103" s="109">
        <v>2020</v>
      </c>
      <c r="G103" s="109" t="s">
        <v>16</v>
      </c>
      <c r="H103" s="109">
        <v>200</v>
      </c>
      <c r="I103" s="109">
        <v>200</v>
      </c>
      <c r="J103" s="109"/>
      <c r="K103" s="109"/>
      <c r="L103" s="105">
        <v>20201118</v>
      </c>
    </row>
    <row r="104" s="175" customFormat="1" ht="16" customHeight="1" spans="1:12">
      <c r="A104" s="109">
        <v>102</v>
      </c>
      <c r="B104" s="109" t="s">
        <v>9015</v>
      </c>
      <c r="C104" s="109" t="s">
        <v>9210</v>
      </c>
      <c r="D104" s="109" t="s">
        <v>9211</v>
      </c>
      <c r="E104" s="109">
        <v>2020</v>
      </c>
      <c r="F104" s="109">
        <v>2020</v>
      </c>
      <c r="G104" s="109" t="s">
        <v>16</v>
      </c>
      <c r="H104" s="109">
        <v>3000</v>
      </c>
      <c r="I104" s="109">
        <v>3000</v>
      </c>
      <c r="J104" s="109"/>
      <c r="K104" s="109"/>
      <c r="L104" s="105">
        <v>20201118</v>
      </c>
    </row>
    <row r="105" s="175" customFormat="1" ht="16" customHeight="1" spans="1:12">
      <c r="A105" s="109">
        <v>103</v>
      </c>
      <c r="B105" s="109" t="s">
        <v>9015</v>
      </c>
      <c r="C105" s="109" t="s">
        <v>9212</v>
      </c>
      <c r="D105" s="109" t="s">
        <v>9213</v>
      </c>
      <c r="E105" s="109">
        <v>2020</v>
      </c>
      <c r="F105" s="109">
        <v>2020</v>
      </c>
      <c r="G105" s="109" t="s">
        <v>16</v>
      </c>
      <c r="H105" s="109">
        <v>200</v>
      </c>
      <c r="I105" s="109">
        <v>200</v>
      </c>
      <c r="J105" s="109"/>
      <c r="K105" s="109"/>
      <c r="L105" s="105">
        <v>20201118</v>
      </c>
    </row>
    <row r="106" s="175" customFormat="1" ht="16" customHeight="1" spans="1:12">
      <c r="A106" s="109">
        <v>104</v>
      </c>
      <c r="B106" s="109" t="s">
        <v>9015</v>
      </c>
      <c r="C106" s="109" t="s">
        <v>9214</v>
      </c>
      <c r="D106" s="109" t="s">
        <v>9215</v>
      </c>
      <c r="E106" s="109">
        <v>2020</v>
      </c>
      <c r="F106" s="109">
        <v>2020</v>
      </c>
      <c r="G106" s="109" t="s">
        <v>16</v>
      </c>
      <c r="H106" s="109">
        <v>200</v>
      </c>
      <c r="I106" s="109">
        <v>200</v>
      </c>
      <c r="J106" s="109"/>
      <c r="K106" s="109"/>
      <c r="L106" s="105">
        <v>20201118</v>
      </c>
    </row>
    <row r="107" s="175" customFormat="1" ht="16" customHeight="1" spans="1:12">
      <c r="A107" s="109">
        <v>105</v>
      </c>
      <c r="B107" s="109" t="s">
        <v>9015</v>
      </c>
      <c r="C107" s="109" t="s">
        <v>9216</v>
      </c>
      <c r="D107" s="109" t="s">
        <v>9217</v>
      </c>
      <c r="E107" s="109">
        <v>2020</v>
      </c>
      <c r="F107" s="109">
        <v>2020</v>
      </c>
      <c r="G107" s="109" t="s">
        <v>16</v>
      </c>
      <c r="H107" s="109">
        <v>200</v>
      </c>
      <c r="I107" s="109">
        <v>200</v>
      </c>
      <c r="J107" s="109"/>
      <c r="K107" s="109"/>
      <c r="L107" s="105">
        <v>20201118</v>
      </c>
    </row>
    <row r="108" s="175" customFormat="1" ht="16" customHeight="1" spans="1:12">
      <c r="A108" s="109">
        <v>106</v>
      </c>
      <c r="B108" s="109" t="s">
        <v>9015</v>
      </c>
      <c r="C108" s="109" t="s">
        <v>9218</v>
      </c>
      <c r="D108" s="109" t="s">
        <v>9219</v>
      </c>
      <c r="E108" s="109">
        <v>2020</v>
      </c>
      <c r="F108" s="109">
        <v>2020</v>
      </c>
      <c r="G108" s="109" t="s">
        <v>16</v>
      </c>
      <c r="H108" s="109">
        <v>200</v>
      </c>
      <c r="I108" s="109">
        <v>200</v>
      </c>
      <c r="J108" s="109"/>
      <c r="K108" s="109"/>
      <c r="L108" s="105">
        <v>20201118</v>
      </c>
    </row>
    <row r="109" s="175" customFormat="1" ht="16" customHeight="1" spans="1:12">
      <c r="A109" s="109">
        <v>107</v>
      </c>
      <c r="B109" s="109" t="s">
        <v>9015</v>
      </c>
      <c r="C109" s="109" t="s">
        <v>9220</v>
      </c>
      <c r="D109" s="109" t="s">
        <v>9221</v>
      </c>
      <c r="E109" s="109">
        <v>2020</v>
      </c>
      <c r="F109" s="109">
        <v>2020</v>
      </c>
      <c r="G109" s="109" t="s">
        <v>16</v>
      </c>
      <c r="H109" s="109">
        <v>200</v>
      </c>
      <c r="I109" s="109">
        <v>200</v>
      </c>
      <c r="J109" s="109"/>
      <c r="K109" s="109"/>
      <c r="L109" s="105">
        <v>20201118</v>
      </c>
    </row>
    <row r="110" s="175" customFormat="1" ht="16" customHeight="1" spans="1:12">
      <c r="A110" s="109">
        <v>108</v>
      </c>
      <c r="B110" s="109" t="s">
        <v>9015</v>
      </c>
      <c r="C110" s="109" t="s">
        <v>9222</v>
      </c>
      <c r="D110" s="109" t="s">
        <v>9223</v>
      </c>
      <c r="E110" s="109">
        <v>2020</v>
      </c>
      <c r="F110" s="109">
        <v>2020</v>
      </c>
      <c r="G110" s="109" t="s">
        <v>16</v>
      </c>
      <c r="H110" s="109">
        <v>200</v>
      </c>
      <c r="I110" s="109">
        <v>200</v>
      </c>
      <c r="J110" s="109"/>
      <c r="K110" s="109"/>
      <c r="L110" s="105">
        <v>20201118</v>
      </c>
    </row>
    <row r="111" s="175" customFormat="1" ht="16" customHeight="1" spans="1:12">
      <c r="A111" s="109">
        <v>109</v>
      </c>
      <c r="B111" s="109" t="s">
        <v>9015</v>
      </c>
      <c r="C111" s="109" t="s">
        <v>9224</v>
      </c>
      <c r="D111" s="109" t="s">
        <v>9225</v>
      </c>
      <c r="E111" s="109">
        <v>2020</v>
      </c>
      <c r="F111" s="109">
        <v>2020</v>
      </c>
      <c r="G111" s="109" t="s">
        <v>16</v>
      </c>
      <c r="H111" s="109">
        <v>200</v>
      </c>
      <c r="I111" s="109">
        <v>200</v>
      </c>
      <c r="J111" s="109"/>
      <c r="K111" s="109"/>
      <c r="L111" s="105">
        <v>20201118</v>
      </c>
    </row>
    <row r="112" s="175" customFormat="1" ht="16" customHeight="1" spans="1:12">
      <c r="A112" s="109">
        <v>110</v>
      </c>
      <c r="B112" s="109" t="s">
        <v>9015</v>
      </c>
      <c r="C112" s="109" t="s">
        <v>9226</v>
      </c>
      <c r="D112" s="109" t="s">
        <v>9227</v>
      </c>
      <c r="E112" s="109">
        <v>2020</v>
      </c>
      <c r="F112" s="109">
        <v>2020</v>
      </c>
      <c r="G112" s="109" t="s">
        <v>16</v>
      </c>
      <c r="H112" s="109">
        <v>200</v>
      </c>
      <c r="I112" s="109">
        <v>200</v>
      </c>
      <c r="J112" s="109"/>
      <c r="K112" s="109"/>
      <c r="L112" s="105">
        <v>20201118</v>
      </c>
    </row>
    <row r="113" s="175" customFormat="1" ht="16" customHeight="1" spans="1:12">
      <c r="A113" s="109">
        <v>111</v>
      </c>
      <c r="B113" s="109" t="s">
        <v>9015</v>
      </c>
      <c r="C113" s="109" t="s">
        <v>5986</v>
      </c>
      <c r="D113" s="109" t="s">
        <v>9228</v>
      </c>
      <c r="E113" s="109">
        <v>2020</v>
      </c>
      <c r="F113" s="109">
        <v>2020</v>
      </c>
      <c r="G113" s="109" t="s">
        <v>16</v>
      </c>
      <c r="H113" s="109">
        <v>200</v>
      </c>
      <c r="I113" s="109">
        <v>200</v>
      </c>
      <c r="J113" s="109"/>
      <c r="K113" s="109"/>
      <c r="L113" s="105">
        <v>20201118</v>
      </c>
    </row>
    <row r="114" s="175" customFormat="1" ht="16" customHeight="1" spans="1:12">
      <c r="A114" s="109">
        <v>112</v>
      </c>
      <c r="B114" s="109" t="s">
        <v>9015</v>
      </c>
      <c r="C114" s="109" t="s">
        <v>9229</v>
      </c>
      <c r="D114" s="109" t="s">
        <v>9230</v>
      </c>
      <c r="E114" s="109">
        <v>2020</v>
      </c>
      <c r="F114" s="109">
        <v>2020</v>
      </c>
      <c r="G114" s="109" t="s">
        <v>16</v>
      </c>
      <c r="H114" s="109">
        <v>200</v>
      </c>
      <c r="I114" s="109">
        <v>200</v>
      </c>
      <c r="J114" s="109"/>
      <c r="K114" s="109"/>
      <c r="L114" s="105">
        <v>20201118</v>
      </c>
    </row>
    <row r="115" s="175" customFormat="1" ht="16" customHeight="1" spans="1:12">
      <c r="A115" s="109">
        <v>113</v>
      </c>
      <c r="B115" s="109" t="s">
        <v>9015</v>
      </c>
      <c r="C115" s="109" t="s">
        <v>9231</v>
      </c>
      <c r="D115" s="109" t="s">
        <v>9232</v>
      </c>
      <c r="E115" s="109">
        <v>2020</v>
      </c>
      <c r="F115" s="109">
        <v>2020</v>
      </c>
      <c r="G115" s="109" t="s">
        <v>16</v>
      </c>
      <c r="H115" s="109">
        <v>200</v>
      </c>
      <c r="I115" s="109">
        <v>200</v>
      </c>
      <c r="J115" s="109"/>
      <c r="K115" s="109"/>
      <c r="L115" s="105">
        <v>20201118</v>
      </c>
    </row>
    <row r="116" s="175" customFormat="1" ht="16" customHeight="1" spans="1:12">
      <c r="A116" s="109">
        <v>114</v>
      </c>
      <c r="B116" s="109" t="s">
        <v>9015</v>
      </c>
      <c r="C116" s="109" t="s">
        <v>9233</v>
      </c>
      <c r="D116" s="109" t="s">
        <v>9234</v>
      </c>
      <c r="E116" s="109">
        <v>2020</v>
      </c>
      <c r="F116" s="109">
        <v>2020</v>
      </c>
      <c r="G116" s="109" t="s">
        <v>16</v>
      </c>
      <c r="H116" s="109">
        <v>200</v>
      </c>
      <c r="I116" s="109">
        <v>200</v>
      </c>
      <c r="J116" s="109"/>
      <c r="K116" s="109"/>
      <c r="L116" s="105">
        <v>20201118</v>
      </c>
    </row>
    <row r="117" s="175" customFormat="1" ht="16" customHeight="1" spans="1:12">
      <c r="A117" s="109">
        <v>115</v>
      </c>
      <c r="B117" s="109" t="s">
        <v>9015</v>
      </c>
      <c r="C117" s="109" t="s">
        <v>9235</v>
      </c>
      <c r="D117" s="109" t="s">
        <v>9236</v>
      </c>
      <c r="E117" s="109">
        <v>2020</v>
      </c>
      <c r="F117" s="109">
        <v>2020</v>
      </c>
      <c r="G117" s="109" t="s">
        <v>16</v>
      </c>
      <c r="H117" s="109">
        <v>200</v>
      </c>
      <c r="I117" s="109">
        <v>200</v>
      </c>
      <c r="J117" s="109"/>
      <c r="K117" s="109"/>
      <c r="L117" s="105">
        <v>20201118</v>
      </c>
    </row>
    <row r="118" s="175" customFormat="1" ht="16" customHeight="1" spans="1:12">
      <c r="A118" s="109">
        <v>116</v>
      </c>
      <c r="B118" s="109" t="s">
        <v>9015</v>
      </c>
      <c r="C118" s="109" t="s">
        <v>9237</v>
      </c>
      <c r="D118" s="109" t="s">
        <v>9238</v>
      </c>
      <c r="E118" s="109">
        <v>2020</v>
      </c>
      <c r="F118" s="109">
        <v>2020</v>
      </c>
      <c r="G118" s="109" t="s">
        <v>16</v>
      </c>
      <c r="H118" s="109">
        <v>200</v>
      </c>
      <c r="I118" s="109">
        <v>200</v>
      </c>
      <c r="J118" s="109"/>
      <c r="K118" s="109"/>
      <c r="L118" s="105">
        <v>20201118</v>
      </c>
    </row>
    <row r="119" s="175" customFormat="1" ht="16" customHeight="1" spans="1:12">
      <c r="A119" s="109">
        <v>117</v>
      </c>
      <c r="B119" s="109" t="s">
        <v>9015</v>
      </c>
      <c r="C119" s="109" t="s">
        <v>9239</v>
      </c>
      <c r="D119" s="109" t="s">
        <v>9240</v>
      </c>
      <c r="E119" s="109">
        <v>2020</v>
      </c>
      <c r="F119" s="109">
        <v>2020</v>
      </c>
      <c r="G119" s="109" t="s">
        <v>16</v>
      </c>
      <c r="H119" s="109">
        <v>200</v>
      </c>
      <c r="I119" s="109">
        <v>200</v>
      </c>
      <c r="J119" s="109"/>
      <c r="K119" s="109"/>
      <c r="L119" s="105">
        <v>20201118</v>
      </c>
    </row>
    <row r="120" s="175" customFormat="1" ht="16" customHeight="1" spans="1:12">
      <c r="A120" s="109">
        <v>118</v>
      </c>
      <c r="B120" s="109" t="s">
        <v>9015</v>
      </c>
      <c r="C120" s="109" t="s">
        <v>9241</v>
      </c>
      <c r="D120" s="109" t="s">
        <v>9242</v>
      </c>
      <c r="E120" s="109">
        <v>2020</v>
      </c>
      <c r="F120" s="109">
        <v>2020</v>
      </c>
      <c r="G120" s="109" t="s">
        <v>16</v>
      </c>
      <c r="H120" s="109">
        <v>200</v>
      </c>
      <c r="I120" s="109">
        <v>200</v>
      </c>
      <c r="J120" s="109"/>
      <c r="K120" s="109"/>
      <c r="L120" s="105">
        <v>20201118</v>
      </c>
    </row>
    <row r="121" s="175" customFormat="1" ht="16" customHeight="1" spans="1:12">
      <c r="A121" s="109">
        <v>119</v>
      </c>
      <c r="B121" s="109" t="s">
        <v>9015</v>
      </c>
      <c r="C121" s="109" t="s">
        <v>9243</v>
      </c>
      <c r="D121" s="109" t="s">
        <v>9244</v>
      </c>
      <c r="E121" s="109">
        <v>2020</v>
      </c>
      <c r="F121" s="109">
        <v>2020</v>
      </c>
      <c r="G121" s="109" t="s">
        <v>16</v>
      </c>
      <c r="H121" s="109">
        <v>200</v>
      </c>
      <c r="I121" s="109">
        <v>200</v>
      </c>
      <c r="J121" s="109"/>
      <c r="K121" s="109"/>
      <c r="L121" s="105">
        <v>20201118</v>
      </c>
    </row>
    <row r="122" s="175" customFormat="1" ht="16" customHeight="1" spans="1:12">
      <c r="A122" s="109">
        <v>120</v>
      </c>
      <c r="B122" s="109" t="s">
        <v>9015</v>
      </c>
      <c r="C122" s="109" t="s">
        <v>9245</v>
      </c>
      <c r="D122" s="109" t="s">
        <v>9246</v>
      </c>
      <c r="E122" s="109">
        <v>2020</v>
      </c>
      <c r="F122" s="109">
        <v>2020</v>
      </c>
      <c r="G122" s="109" t="s">
        <v>16</v>
      </c>
      <c r="H122" s="109">
        <v>200</v>
      </c>
      <c r="I122" s="109">
        <v>200</v>
      </c>
      <c r="J122" s="109"/>
      <c r="K122" s="109"/>
      <c r="L122" s="105">
        <v>20201118</v>
      </c>
    </row>
    <row r="123" s="175" customFormat="1" ht="16" customHeight="1" spans="1:12">
      <c r="A123" s="109">
        <v>121</v>
      </c>
      <c r="B123" s="109" t="s">
        <v>9015</v>
      </c>
      <c r="C123" s="109" t="s">
        <v>3811</v>
      </c>
      <c r="D123" s="109" t="s">
        <v>9247</v>
      </c>
      <c r="E123" s="109">
        <v>2020</v>
      </c>
      <c r="F123" s="109">
        <v>2020</v>
      </c>
      <c r="G123" s="109" t="s">
        <v>16</v>
      </c>
      <c r="H123" s="109">
        <v>200</v>
      </c>
      <c r="I123" s="109">
        <v>200</v>
      </c>
      <c r="J123" s="109"/>
      <c r="K123" s="109"/>
      <c r="L123" s="105">
        <v>20201118</v>
      </c>
    </row>
    <row r="124" s="175" customFormat="1" ht="16" customHeight="1" spans="1:12">
      <c r="A124" s="109">
        <v>122</v>
      </c>
      <c r="B124" s="109" t="s">
        <v>9015</v>
      </c>
      <c r="C124" s="109" t="s">
        <v>9248</v>
      </c>
      <c r="D124" s="109" t="s">
        <v>9249</v>
      </c>
      <c r="E124" s="109">
        <v>2020</v>
      </c>
      <c r="F124" s="109">
        <v>2020</v>
      </c>
      <c r="G124" s="109" t="s">
        <v>16</v>
      </c>
      <c r="H124" s="109">
        <v>200</v>
      </c>
      <c r="I124" s="109">
        <v>200</v>
      </c>
      <c r="J124" s="109"/>
      <c r="K124" s="109"/>
      <c r="L124" s="105">
        <v>20201118</v>
      </c>
    </row>
    <row r="125" s="175" customFormat="1" ht="16" customHeight="1" spans="1:12">
      <c r="A125" s="109">
        <v>123</v>
      </c>
      <c r="B125" s="109" t="s">
        <v>9015</v>
      </c>
      <c r="C125" s="109" t="s">
        <v>9250</v>
      </c>
      <c r="D125" s="109" t="s">
        <v>9251</v>
      </c>
      <c r="E125" s="109">
        <v>2020</v>
      </c>
      <c r="F125" s="109">
        <v>2020</v>
      </c>
      <c r="G125" s="109" t="s">
        <v>16</v>
      </c>
      <c r="H125" s="109">
        <v>200</v>
      </c>
      <c r="I125" s="109">
        <v>200</v>
      </c>
      <c r="J125" s="109"/>
      <c r="K125" s="109"/>
      <c r="L125" s="105">
        <v>20201118</v>
      </c>
    </row>
    <row r="126" s="175" customFormat="1" ht="16" customHeight="1" spans="1:12">
      <c r="A126" s="109">
        <v>124</v>
      </c>
      <c r="B126" s="109" t="s">
        <v>9015</v>
      </c>
      <c r="C126" s="109" t="s">
        <v>9252</v>
      </c>
      <c r="D126" s="109" t="s">
        <v>9253</v>
      </c>
      <c r="E126" s="109">
        <v>2020</v>
      </c>
      <c r="F126" s="109">
        <v>2020</v>
      </c>
      <c r="G126" s="109" t="s">
        <v>16</v>
      </c>
      <c r="H126" s="109">
        <v>200</v>
      </c>
      <c r="I126" s="109">
        <v>200</v>
      </c>
      <c r="J126" s="109"/>
      <c r="K126" s="109"/>
      <c r="L126" s="105">
        <v>20201118</v>
      </c>
    </row>
    <row r="127" s="175" customFormat="1" ht="16" customHeight="1" spans="1:12">
      <c r="A127" s="109">
        <v>125</v>
      </c>
      <c r="B127" s="109" t="s">
        <v>9015</v>
      </c>
      <c r="C127" s="109" t="s">
        <v>9254</v>
      </c>
      <c r="D127" s="109" t="s">
        <v>9255</v>
      </c>
      <c r="E127" s="109">
        <v>2020</v>
      </c>
      <c r="F127" s="109">
        <v>2020</v>
      </c>
      <c r="G127" s="109" t="s">
        <v>16</v>
      </c>
      <c r="H127" s="109">
        <v>200</v>
      </c>
      <c r="I127" s="109">
        <v>200</v>
      </c>
      <c r="J127" s="109"/>
      <c r="K127" s="109"/>
      <c r="L127" s="105">
        <v>20201118</v>
      </c>
    </row>
    <row r="128" s="175" customFormat="1" ht="16" customHeight="1" spans="1:12">
      <c r="A128" s="109">
        <v>126</v>
      </c>
      <c r="B128" s="109" t="s">
        <v>9015</v>
      </c>
      <c r="C128" s="109" t="s">
        <v>9256</v>
      </c>
      <c r="D128" s="109" t="s">
        <v>9257</v>
      </c>
      <c r="E128" s="109">
        <v>2020</v>
      </c>
      <c r="F128" s="109">
        <v>2020</v>
      </c>
      <c r="G128" s="109" t="s">
        <v>16</v>
      </c>
      <c r="H128" s="109">
        <v>200</v>
      </c>
      <c r="I128" s="109">
        <v>200</v>
      </c>
      <c r="J128" s="109" t="s">
        <v>3405</v>
      </c>
      <c r="K128" s="109"/>
      <c r="L128" s="105">
        <v>20201118</v>
      </c>
    </row>
    <row r="129" s="175" customFormat="1" ht="16" customHeight="1" spans="1:12">
      <c r="A129" s="109">
        <v>127</v>
      </c>
      <c r="B129" s="109" t="s">
        <v>9015</v>
      </c>
      <c r="C129" s="109" t="s">
        <v>9258</v>
      </c>
      <c r="D129" s="109" t="s">
        <v>9259</v>
      </c>
      <c r="E129" s="109">
        <v>2020</v>
      </c>
      <c r="F129" s="109">
        <v>2020</v>
      </c>
      <c r="G129" s="109" t="s">
        <v>16</v>
      </c>
      <c r="H129" s="109">
        <v>200</v>
      </c>
      <c r="I129" s="109">
        <v>200</v>
      </c>
      <c r="J129" s="109"/>
      <c r="K129" s="109"/>
      <c r="L129" s="105">
        <v>20201118</v>
      </c>
    </row>
    <row r="130" s="175" customFormat="1" ht="16" customHeight="1" spans="1:12">
      <c r="A130" s="109">
        <v>128</v>
      </c>
      <c r="B130" s="109" t="s">
        <v>9015</v>
      </c>
      <c r="C130" s="109" t="s">
        <v>9260</v>
      </c>
      <c r="D130" s="109" t="s">
        <v>9261</v>
      </c>
      <c r="E130" s="109">
        <v>2020</v>
      </c>
      <c r="F130" s="109">
        <v>2020</v>
      </c>
      <c r="G130" s="109" t="s">
        <v>16</v>
      </c>
      <c r="H130" s="109">
        <v>200</v>
      </c>
      <c r="I130" s="109">
        <v>200</v>
      </c>
      <c r="J130" s="109"/>
      <c r="K130" s="109"/>
      <c r="L130" s="105">
        <v>20201118</v>
      </c>
    </row>
    <row r="131" s="175" customFormat="1" ht="16" customHeight="1" spans="1:12">
      <c r="A131" s="109">
        <v>129</v>
      </c>
      <c r="B131" s="109" t="s">
        <v>9015</v>
      </c>
      <c r="C131" s="109" t="s">
        <v>9262</v>
      </c>
      <c r="D131" s="109" t="s">
        <v>9263</v>
      </c>
      <c r="E131" s="109">
        <v>2020</v>
      </c>
      <c r="F131" s="109">
        <v>2020</v>
      </c>
      <c r="G131" s="109" t="s">
        <v>16</v>
      </c>
      <c r="H131" s="109">
        <v>200</v>
      </c>
      <c r="I131" s="109">
        <v>200</v>
      </c>
      <c r="J131" s="109"/>
      <c r="K131" s="109"/>
      <c r="L131" s="105">
        <v>20201118</v>
      </c>
    </row>
    <row r="132" s="175" customFormat="1" ht="16" customHeight="1" spans="1:12">
      <c r="A132" s="109">
        <v>130</v>
      </c>
      <c r="B132" s="109" t="s">
        <v>9015</v>
      </c>
      <c r="C132" s="109" t="s">
        <v>9264</v>
      </c>
      <c r="D132" s="109" t="s">
        <v>9265</v>
      </c>
      <c r="E132" s="109">
        <v>2020</v>
      </c>
      <c r="F132" s="109">
        <v>2020</v>
      </c>
      <c r="G132" s="109" t="s">
        <v>16</v>
      </c>
      <c r="H132" s="109">
        <v>200</v>
      </c>
      <c r="I132" s="109">
        <v>200</v>
      </c>
      <c r="J132" s="109"/>
      <c r="K132" s="109"/>
      <c r="L132" s="105">
        <v>20201118</v>
      </c>
    </row>
    <row r="133" s="175" customFormat="1" ht="16" customHeight="1" spans="1:12">
      <c r="A133" s="109">
        <v>131</v>
      </c>
      <c r="B133" s="109" t="s">
        <v>9015</v>
      </c>
      <c r="C133" s="109" t="s">
        <v>9266</v>
      </c>
      <c r="D133" s="109" t="s">
        <v>9267</v>
      </c>
      <c r="E133" s="109">
        <v>2020</v>
      </c>
      <c r="F133" s="109">
        <v>2020</v>
      </c>
      <c r="G133" s="109" t="s">
        <v>16</v>
      </c>
      <c r="H133" s="109">
        <v>200</v>
      </c>
      <c r="I133" s="109">
        <v>200</v>
      </c>
      <c r="J133" s="109"/>
      <c r="K133" s="109"/>
      <c r="L133" s="105">
        <v>20201118</v>
      </c>
    </row>
    <row r="134" s="175" customFormat="1" ht="16" customHeight="1" spans="1:12">
      <c r="A134" s="109">
        <v>132</v>
      </c>
      <c r="B134" s="109" t="s">
        <v>9015</v>
      </c>
      <c r="C134" s="109" t="s">
        <v>9268</v>
      </c>
      <c r="D134" s="109" t="s">
        <v>9269</v>
      </c>
      <c r="E134" s="109">
        <v>2020</v>
      </c>
      <c r="F134" s="109">
        <v>2020</v>
      </c>
      <c r="G134" s="109" t="s">
        <v>16</v>
      </c>
      <c r="H134" s="109">
        <v>200</v>
      </c>
      <c r="I134" s="109">
        <v>200</v>
      </c>
      <c r="J134" s="109"/>
      <c r="K134" s="109"/>
      <c r="L134" s="105">
        <v>20201118</v>
      </c>
    </row>
    <row r="135" s="175" customFormat="1" ht="16" customHeight="1" spans="1:12">
      <c r="A135" s="109">
        <v>133</v>
      </c>
      <c r="B135" s="109" t="s">
        <v>9015</v>
      </c>
      <c r="C135" s="109" t="s">
        <v>9270</v>
      </c>
      <c r="D135" s="109" t="s">
        <v>9271</v>
      </c>
      <c r="E135" s="109">
        <v>2020</v>
      </c>
      <c r="F135" s="109">
        <v>2020</v>
      </c>
      <c r="G135" s="109" t="s">
        <v>16</v>
      </c>
      <c r="H135" s="109">
        <v>200</v>
      </c>
      <c r="I135" s="109">
        <v>200</v>
      </c>
      <c r="J135" s="109"/>
      <c r="K135" s="109"/>
      <c r="L135" s="105">
        <v>20201118</v>
      </c>
    </row>
    <row r="136" s="175" customFormat="1" ht="16" customHeight="1" spans="1:12">
      <c r="A136" s="109">
        <v>134</v>
      </c>
      <c r="B136" s="109" t="s">
        <v>9015</v>
      </c>
      <c r="C136" s="109" t="s">
        <v>9272</v>
      </c>
      <c r="D136" s="109" t="s">
        <v>9273</v>
      </c>
      <c r="E136" s="109">
        <v>2020</v>
      </c>
      <c r="F136" s="109">
        <v>2020</v>
      </c>
      <c r="G136" s="109" t="s">
        <v>16</v>
      </c>
      <c r="H136" s="109">
        <v>200</v>
      </c>
      <c r="I136" s="109">
        <v>200</v>
      </c>
      <c r="J136" s="109"/>
      <c r="K136" s="109"/>
      <c r="L136" s="105">
        <v>20201118</v>
      </c>
    </row>
    <row r="137" s="175" customFormat="1" ht="16" customHeight="1" spans="1:12">
      <c r="A137" s="109">
        <v>135</v>
      </c>
      <c r="B137" s="109" t="s">
        <v>9015</v>
      </c>
      <c r="C137" s="109" t="s">
        <v>9274</v>
      </c>
      <c r="D137" s="109" t="s">
        <v>9275</v>
      </c>
      <c r="E137" s="109">
        <v>2020</v>
      </c>
      <c r="F137" s="109">
        <v>2020</v>
      </c>
      <c r="G137" s="109" t="s">
        <v>16</v>
      </c>
      <c r="H137" s="109">
        <v>200</v>
      </c>
      <c r="I137" s="109">
        <v>200</v>
      </c>
      <c r="J137" s="109"/>
      <c r="K137" s="109"/>
      <c r="L137" s="105">
        <v>20201118</v>
      </c>
    </row>
    <row r="138" s="175" customFormat="1" ht="16" customHeight="1" spans="1:12">
      <c r="A138" s="109">
        <v>136</v>
      </c>
      <c r="B138" s="109" t="s">
        <v>9015</v>
      </c>
      <c r="C138" s="109" t="s">
        <v>9276</v>
      </c>
      <c r="D138" s="109" t="s">
        <v>9277</v>
      </c>
      <c r="E138" s="109">
        <v>2020</v>
      </c>
      <c r="F138" s="109">
        <v>2020</v>
      </c>
      <c r="G138" s="109" t="s">
        <v>16</v>
      </c>
      <c r="H138" s="109">
        <v>200</v>
      </c>
      <c r="I138" s="109">
        <v>200</v>
      </c>
      <c r="J138" s="109"/>
      <c r="K138" s="109"/>
      <c r="L138" s="105">
        <v>20201118</v>
      </c>
    </row>
    <row r="139" s="175" customFormat="1" ht="16" customHeight="1" spans="1:12">
      <c r="A139" s="109">
        <v>137</v>
      </c>
      <c r="B139" s="109" t="s">
        <v>9015</v>
      </c>
      <c r="C139" s="109" t="s">
        <v>773</v>
      </c>
      <c r="D139" s="109" t="s">
        <v>9278</v>
      </c>
      <c r="E139" s="109">
        <v>2020</v>
      </c>
      <c r="F139" s="109">
        <v>2020</v>
      </c>
      <c r="G139" s="109" t="s">
        <v>16</v>
      </c>
      <c r="H139" s="109">
        <v>200</v>
      </c>
      <c r="I139" s="109">
        <v>200</v>
      </c>
      <c r="J139" s="109"/>
      <c r="K139" s="109"/>
      <c r="L139" s="105">
        <v>20201118</v>
      </c>
    </row>
    <row r="140" s="175" customFormat="1" ht="16" customHeight="1" spans="1:12">
      <c r="A140" s="109">
        <v>138</v>
      </c>
      <c r="B140" s="109" t="s">
        <v>9015</v>
      </c>
      <c r="C140" s="109" t="s">
        <v>9279</v>
      </c>
      <c r="D140" s="109" t="s">
        <v>9280</v>
      </c>
      <c r="E140" s="109">
        <v>2020</v>
      </c>
      <c r="F140" s="109">
        <v>2020</v>
      </c>
      <c r="G140" s="109" t="s">
        <v>16</v>
      </c>
      <c r="H140" s="109">
        <v>200</v>
      </c>
      <c r="I140" s="109">
        <v>200</v>
      </c>
      <c r="J140" s="109"/>
      <c r="K140" s="109"/>
      <c r="L140" s="105">
        <v>20201118</v>
      </c>
    </row>
    <row r="141" s="175" customFormat="1" ht="16" customHeight="1" spans="1:12">
      <c r="A141" s="109">
        <v>139</v>
      </c>
      <c r="B141" s="109" t="s">
        <v>9015</v>
      </c>
      <c r="C141" s="109" t="s">
        <v>9281</v>
      </c>
      <c r="D141" s="109" t="s">
        <v>9282</v>
      </c>
      <c r="E141" s="109">
        <v>2020</v>
      </c>
      <c r="F141" s="109">
        <v>2020</v>
      </c>
      <c r="G141" s="109" t="s">
        <v>16</v>
      </c>
      <c r="H141" s="109">
        <v>200</v>
      </c>
      <c r="I141" s="109">
        <v>200</v>
      </c>
      <c r="J141" s="109"/>
      <c r="K141" s="109"/>
      <c r="L141" s="105">
        <v>20201118</v>
      </c>
    </row>
    <row r="142" s="175" customFormat="1" ht="16" customHeight="1" spans="1:12">
      <c r="A142" s="109">
        <v>140</v>
      </c>
      <c r="B142" s="109" t="s">
        <v>9015</v>
      </c>
      <c r="C142" s="109" t="s">
        <v>9283</v>
      </c>
      <c r="D142" s="109" t="s">
        <v>9284</v>
      </c>
      <c r="E142" s="109">
        <v>2020</v>
      </c>
      <c r="F142" s="109">
        <v>2020</v>
      </c>
      <c r="G142" s="109" t="s">
        <v>16</v>
      </c>
      <c r="H142" s="109">
        <v>200</v>
      </c>
      <c r="I142" s="109">
        <v>200</v>
      </c>
      <c r="J142" s="109"/>
      <c r="K142" s="109"/>
      <c r="L142" s="105">
        <v>20201118</v>
      </c>
    </row>
    <row r="143" s="175" customFormat="1" ht="16" customHeight="1" spans="1:12">
      <c r="A143" s="109">
        <v>141</v>
      </c>
      <c r="B143" s="109" t="s">
        <v>9015</v>
      </c>
      <c r="C143" s="109" t="s">
        <v>9285</v>
      </c>
      <c r="D143" s="109" t="s">
        <v>9286</v>
      </c>
      <c r="E143" s="109">
        <v>2020</v>
      </c>
      <c r="F143" s="109">
        <v>2020</v>
      </c>
      <c r="G143" s="109" t="s">
        <v>16</v>
      </c>
      <c r="H143" s="109">
        <v>200</v>
      </c>
      <c r="I143" s="109">
        <v>200</v>
      </c>
      <c r="J143" s="109"/>
      <c r="K143" s="109"/>
      <c r="L143" s="105">
        <v>20201118</v>
      </c>
    </row>
    <row r="144" s="175" customFormat="1" ht="16" customHeight="1" spans="1:12">
      <c r="A144" s="109">
        <v>142</v>
      </c>
      <c r="B144" s="109" t="s">
        <v>9015</v>
      </c>
      <c r="C144" s="109" t="s">
        <v>9287</v>
      </c>
      <c r="D144" s="109" t="s">
        <v>9288</v>
      </c>
      <c r="E144" s="109">
        <v>2020</v>
      </c>
      <c r="F144" s="109">
        <v>2020</v>
      </c>
      <c r="G144" s="109" t="s">
        <v>16</v>
      </c>
      <c r="H144" s="109">
        <v>200</v>
      </c>
      <c r="I144" s="109">
        <v>200</v>
      </c>
      <c r="J144" s="109"/>
      <c r="K144" s="109"/>
      <c r="L144" s="105">
        <v>20201118</v>
      </c>
    </row>
    <row r="145" s="175" customFormat="1" ht="16" customHeight="1" spans="1:12">
      <c r="A145" s="109">
        <v>143</v>
      </c>
      <c r="B145" s="109" t="s">
        <v>9015</v>
      </c>
      <c r="C145" s="109" t="s">
        <v>9289</v>
      </c>
      <c r="D145" s="109" t="s">
        <v>9290</v>
      </c>
      <c r="E145" s="109">
        <v>2020</v>
      </c>
      <c r="F145" s="109">
        <v>2020</v>
      </c>
      <c r="G145" s="109" t="s">
        <v>16</v>
      </c>
      <c r="H145" s="109">
        <v>200</v>
      </c>
      <c r="I145" s="109">
        <v>200</v>
      </c>
      <c r="J145" s="109"/>
      <c r="K145" s="109"/>
      <c r="L145" s="105">
        <v>20201118</v>
      </c>
    </row>
    <row r="146" s="175" customFormat="1" ht="16" customHeight="1" spans="1:12">
      <c r="A146" s="109">
        <v>144</v>
      </c>
      <c r="B146" s="109" t="s">
        <v>9015</v>
      </c>
      <c r="C146" s="109" t="s">
        <v>9291</v>
      </c>
      <c r="D146" s="109" t="s">
        <v>9292</v>
      </c>
      <c r="E146" s="109">
        <v>2020</v>
      </c>
      <c r="F146" s="109">
        <v>2020</v>
      </c>
      <c r="G146" s="109" t="s">
        <v>16</v>
      </c>
      <c r="H146" s="109">
        <v>200</v>
      </c>
      <c r="I146" s="109">
        <v>200</v>
      </c>
      <c r="J146" s="109"/>
      <c r="K146" s="109"/>
      <c r="L146" s="105">
        <v>20201118</v>
      </c>
    </row>
    <row r="147" s="175" customFormat="1" ht="16" customHeight="1" spans="1:12">
      <c r="A147" s="109">
        <v>145</v>
      </c>
      <c r="B147" s="109" t="s">
        <v>9015</v>
      </c>
      <c r="C147" s="109" t="s">
        <v>9293</v>
      </c>
      <c r="D147" s="109" t="s">
        <v>9294</v>
      </c>
      <c r="E147" s="109">
        <v>2020</v>
      </c>
      <c r="F147" s="109">
        <v>2020</v>
      </c>
      <c r="G147" s="109" t="s">
        <v>16</v>
      </c>
      <c r="H147" s="109">
        <v>200</v>
      </c>
      <c r="I147" s="109">
        <v>200</v>
      </c>
      <c r="J147" s="109"/>
      <c r="K147" s="109"/>
      <c r="L147" s="105">
        <v>20201118</v>
      </c>
    </row>
    <row r="148" s="175" customFormat="1" ht="16" customHeight="1" spans="1:12">
      <c r="A148" s="109">
        <v>146</v>
      </c>
      <c r="B148" s="109" t="s">
        <v>9015</v>
      </c>
      <c r="C148" s="109" t="s">
        <v>9295</v>
      </c>
      <c r="D148" s="109" t="s">
        <v>9296</v>
      </c>
      <c r="E148" s="109">
        <v>2020</v>
      </c>
      <c r="F148" s="109">
        <v>2020</v>
      </c>
      <c r="G148" s="109" t="s">
        <v>16</v>
      </c>
      <c r="H148" s="109">
        <v>200</v>
      </c>
      <c r="I148" s="109">
        <v>200</v>
      </c>
      <c r="J148" s="109"/>
      <c r="K148" s="109"/>
      <c r="L148" s="105">
        <v>20201118</v>
      </c>
    </row>
    <row r="149" s="175" customFormat="1" ht="16" customHeight="1" spans="1:12">
      <c r="A149" s="109">
        <v>147</v>
      </c>
      <c r="B149" s="109" t="s">
        <v>9015</v>
      </c>
      <c r="C149" s="109" t="s">
        <v>9297</v>
      </c>
      <c r="D149" s="109" t="s">
        <v>9298</v>
      </c>
      <c r="E149" s="109">
        <v>2020</v>
      </c>
      <c r="F149" s="109">
        <v>2020</v>
      </c>
      <c r="G149" s="109" t="s">
        <v>16</v>
      </c>
      <c r="H149" s="109">
        <v>200</v>
      </c>
      <c r="I149" s="109">
        <v>200</v>
      </c>
      <c r="J149" s="109"/>
      <c r="K149" s="109"/>
      <c r="L149" s="105">
        <v>20201118</v>
      </c>
    </row>
    <row r="150" s="175" customFormat="1" ht="16" customHeight="1" spans="1:12">
      <c r="A150" s="109">
        <v>148</v>
      </c>
      <c r="B150" s="109" t="s">
        <v>9015</v>
      </c>
      <c r="C150" s="109" t="s">
        <v>9299</v>
      </c>
      <c r="D150" s="109" t="s">
        <v>9300</v>
      </c>
      <c r="E150" s="109">
        <v>2020</v>
      </c>
      <c r="F150" s="109">
        <v>2020</v>
      </c>
      <c r="G150" s="109" t="s">
        <v>16</v>
      </c>
      <c r="H150" s="109">
        <v>200</v>
      </c>
      <c r="I150" s="109">
        <v>200</v>
      </c>
      <c r="J150" s="109"/>
      <c r="K150" s="109"/>
      <c r="L150" s="105">
        <v>20201118</v>
      </c>
    </row>
    <row r="151" s="175" customFormat="1" ht="16" customHeight="1" spans="1:12">
      <c r="A151" s="109">
        <v>149</v>
      </c>
      <c r="B151" s="109" t="s">
        <v>9015</v>
      </c>
      <c r="C151" s="109" t="s">
        <v>9301</v>
      </c>
      <c r="D151" s="109" t="s">
        <v>9302</v>
      </c>
      <c r="E151" s="109">
        <v>2020</v>
      </c>
      <c r="F151" s="109">
        <v>2020</v>
      </c>
      <c r="G151" s="109" t="s">
        <v>16</v>
      </c>
      <c r="H151" s="109">
        <v>200</v>
      </c>
      <c r="I151" s="109">
        <v>200</v>
      </c>
      <c r="J151" s="109"/>
      <c r="K151" s="109"/>
      <c r="L151" s="105">
        <v>20201118</v>
      </c>
    </row>
    <row r="152" s="175" customFormat="1" ht="16" customHeight="1" spans="1:12">
      <c r="A152" s="109">
        <v>150</v>
      </c>
      <c r="B152" s="109" t="s">
        <v>9015</v>
      </c>
      <c r="C152" s="109" t="s">
        <v>5359</v>
      </c>
      <c r="D152" s="109" t="s">
        <v>9303</v>
      </c>
      <c r="E152" s="109">
        <v>2020</v>
      </c>
      <c r="F152" s="109">
        <v>2020</v>
      </c>
      <c r="G152" s="109" t="s">
        <v>16</v>
      </c>
      <c r="H152" s="109">
        <v>200</v>
      </c>
      <c r="I152" s="109">
        <v>200</v>
      </c>
      <c r="J152" s="109"/>
      <c r="K152" s="109"/>
      <c r="L152" s="105">
        <v>20201118</v>
      </c>
    </row>
    <row r="153" s="175" customFormat="1" ht="16" customHeight="1" spans="1:12">
      <c r="A153" s="109">
        <v>151</v>
      </c>
      <c r="B153" s="109" t="s">
        <v>9015</v>
      </c>
      <c r="C153" s="109" t="s">
        <v>9304</v>
      </c>
      <c r="D153" s="109" t="s">
        <v>9305</v>
      </c>
      <c r="E153" s="109">
        <v>2020</v>
      </c>
      <c r="F153" s="109">
        <v>2020</v>
      </c>
      <c r="G153" s="109" t="s">
        <v>16</v>
      </c>
      <c r="H153" s="109">
        <v>200</v>
      </c>
      <c r="I153" s="109">
        <v>200</v>
      </c>
      <c r="J153" s="109"/>
      <c r="K153" s="109"/>
      <c r="L153" s="105">
        <v>20201118</v>
      </c>
    </row>
    <row r="154" s="175" customFormat="1" ht="16" customHeight="1" spans="1:12">
      <c r="A154" s="109">
        <v>152</v>
      </c>
      <c r="B154" s="109" t="s">
        <v>9015</v>
      </c>
      <c r="C154" s="109" t="s">
        <v>9306</v>
      </c>
      <c r="D154" s="109" t="s">
        <v>9307</v>
      </c>
      <c r="E154" s="109">
        <v>2020</v>
      </c>
      <c r="F154" s="109">
        <v>2020</v>
      </c>
      <c r="G154" s="109" t="s">
        <v>16</v>
      </c>
      <c r="H154" s="109">
        <v>200</v>
      </c>
      <c r="I154" s="109">
        <v>200</v>
      </c>
      <c r="J154" s="109"/>
      <c r="K154" s="109"/>
      <c r="L154" s="105">
        <v>20201118</v>
      </c>
    </row>
    <row r="155" s="175" customFormat="1" ht="16" customHeight="1" spans="1:12">
      <c r="A155" s="109">
        <v>153</v>
      </c>
      <c r="B155" s="109" t="s">
        <v>9015</v>
      </c>
      <c r="C155" s="109" t="s">
        <v>9308</v>
      </c>
      <c r="D155" s="109" t="s">
        <v>9309</v>
      </c>
      <c r="E155" s="109">
        <v>2020</v>
      </c>
      <c r="F155" s="109">
        <v>2020</v>
      </c>
      <c r="G155" s="109" t="s">
        <v>16</v>
      </c>
      <c r="H155" s="109">
        <v>200</v>
      </c>
      <c r="I155" s="109">
        <v>200</v>
      </c>
      <c r="J155" s="109"/>
      <c r="K155" s="109"/>
      <c r="L155" s="105">
        <v>20201118</v>
      </c>
    </row>
    <row r="156" s="175" customFormat="1" ht="16" customHeight="1" spans="1:12">
      <c r="A156" s="109">
        <v>154</v>
      </c>
      <c r="B156" s="109" t="s">
        <v>9015</v>
      </c>
      <c r="C156" s="109" t="s">
        <v>8670</v>
      </c>
      <c r="D156" s="109" t="s">
        <v>9310</v>
      </c>
      <c r="E156" s="109">
        <v>2020</v>
      </c>
      <c r="F156" s="109">
        <v>2020</v>
      </c>
      <c r="G156" s="109" t="s">
        <v>16</v>
      </c>
      <c r="H156" s="109">
        <v>200</v>
      </c>
      <c r="I156" s="109">
        <v>200</v>
      </c>
      <c r="J156" s="109"/>
      <c r="K156" s="109"/>
      <c r="L156" s="105">
        <v>20201118</v>
      </c>
    </row>
    <row r="157" s="175" customFormat="1" ht="16" customHeight="1" spans="1:12">
      <c r="A157" s="109">
        <v>155</v>
      </c>
      <c r="B157" s="109" t="s">
        <v>9015</v>
      </c>
      <c r="C157" s="109" t="s">
        <v>9311</v>
      </c>
      <c r="D157" s="109" t="s">
        <v>9312</v>
      </c>
      <c r="E157" s="109">
        <v>2020</v>
      </c>
      <c r="F157" s="109">
        <v>2020</v>
      </c>
      <c r="G157" s="109" t="s">
        <v>16</v>
      </c>
      <c r="H157" s="109">
        <v>200</v>
      </c>
      <c r="I157" s="109">
        <v>200</v>
      </c>
      <c r="J157" s="109"/>
      <c r="K157" s="109"/>
      <c r="L157" s="105">
        <v>20201118</v>
      </c>
    </row>
    <row r="158" s="175" customFormat="1" ht="16" customHeight="1" spans="1:12">
      <c r="A158" s="109">
        <v>156</v>
      </c>
      <c r="B158" s="109" t="s">
        <v>9015</v>
      </c>
      <c r="C158" s="109" t="s">
        <v>9313</v>
      </c>
      <c r="D158" s="109" t="s">
        <v>9314</v>
      </c>
      <c r="E158" s="109">
        <v>2020</v>
      </c>
      <c r="F158" s="109">
        <v>2020</v>
      </c>
      <c r="G158" s="109" t="s">
        <v>16</v>
      </c>
      <c r="H158" s="109">
        <v>200</v>
      </c>
      <c r="I158" s="109">
        <v>200</v>
      </c>
      <c r="J158" s="109"/>
      <c r="K158" s="109"/>
      <c r="L158" s="105">
        <v>20201118</v>
      </c>
    </row>
    <row r="159" s="175" customFormat="1" ht="16" customHeight="1" spans="1:12">
      <c r="A159" s="109">
        <v>157</v>
      </c>
      <c r="B159" s="109" t="s">
        <v>9015</v>
      </c>
      <c r="C159" s="109" t="s">
        <v>9315</v>
      </c>
      <c r="D159" s="109" t="s">
        <v>9316</v>
      </c>
      <c r="E159" s="109">
        <v>2020</v>
      </c>
      <c r="F159" s="109">
        <v>2020</v>
      </c>
      <c r="G159" s="109" t="s">
        <v>16</v>
      </c>
      <c r="H159" s="109">
        <v>200</v>
      </c>
      <c r="I159" s="109">
        <v>200</v>
      </c>
      <c r="J159" s="109"/>
      <c r="K159" s="109"/>
      <c r="L159" s="105">
        <v>20201118</v>
      </c>
    </row>
    <row r="160" s="175" customFormat="1" ht="16" customHeight="1" spans="1:12">
      <c r="A160" s="109">
        <v>158</v>
      </c>
      <c r="B160" s="109" t="s">
        <v>9015</v>
      </c>
      <c r="C160" s="109" t="s">
        <v>9317</v>
      </c>
      <c r="D160" s="109" t="s">
        <v>9318</v>
      </c>
      <c r="E160" s="109">
        <v>2020</v>
      </c>
      <c r="F160" s="109">
        <v>2020</v>
      </c>
      <c r="G160" s="109" t="s">
        <v>16</v>
      </c>
      <c r="H160" s="109">
        <v>200</v>
      </c>
      <c r="I160" s="109">
        <v>200</v>
      </c>
      <c r="J160" s="109"/>
      <c r="K160" s="109"/>
      <c r="L160" s="105">
        <v>20201118</v>
      </c>
    </row>
    <row r="161" s="175" customFormat="1" ht="16" customHeight="1" spans="1:12">
      <c r="A161" s="109">
        <v>159</v>
      </c>
      <c r="B161" s="109" t="s">
        <v>9015</v>
      </c>
      <c r="C161" s="109" t="s">
        <v>9319</v>
      </c>
      <c r="D161" s="109" t="s">
        <v>9320</v>
      </c>
      <c r="E161" s="109">
        <v>2020</v>
      </c>
      <c r="F161" s="109">
        <v>2020</v>
      </c>
      <c r="G161" s="109" t="s">
        <v>16</v>
      </c>
      <c r="H161" s="109">
        <v>200</v>
      </c>
      <c r="I161" s="109">
        <v>200</v>
      </c>
      <c r="J161" s="109" t="s">
        <v>1038</v>
      </c>
      <c r="K161" s="109"/>
      <c r="L161" s="105">
        <v>20201118</v>
      </c>
    </row>
    <row r="162" s="175" customFormat="1" ht="16" customHeight="1" spans="1:12">
      <c r="A162" s="109">
        <v>160</v>
      </c>
      <c r="B162" s="109" t="s">
        <v>9015</v>
      </c>
      <c r="C162" s="109" t="s">
        <v>9321</v>
      </c>
      <c r="D162" s="109" t="s">
        <v>9322</v>
      </c>
      <c r="E162" s="109">
        <v>2020</v>
      </c>
      <c r="F162" s="109">
        <v>2020</v>
      </c>
      <c r="G162" s="109" t="s">
        <v>16</v>
      </c>
      <c r="H162" s="109">
        <v>200</v>
      </c>
      <c r="I162" s="109">
        <v>200</v>
      </c>
      <c r="J162" s="109"/>
      <c r="K162" s="109"/>
      <c r="L162" s="105">
        <v>20201118</v>
      </c>
    </row>
    <row r="163" s="175" customFormat="1" ht="16" customHeight="1" spans="1:12">
      <c r="A163" s="109">
        <v>161</v>
      </c>
      <c r="B163" s="109" t="s">
        <v>9015</v>
      </c>
      <c r="C163" s="109" t="s">
        <v>9323</v>
      </c>
      <c r="D163" s="109" t="s">
        <v>9324</v>
      </c>
      <c r="E163" s="109">
        <v>2020</v>
      </c>
      <c r="F163" s="109">
        <v>2020</v>
      </c>
      <c r="G163" s="109" t="s">
        <v>16</v>
      </c>
      <c r="H163" s="109">
        <v>200</v>
      </c>
      <c r="I163" s="109">
        <v>200</v>
      </c>
      <c r="J163" s="109"/>
      <c r="K163" s="109"/>
      <c r="L163" s="105">
        <v>20201118</v>
      </c>
    </row>
    <row r="164" s="175" customFormat="1" ht="16" customHeight="1" spans="1:12">
      <c r="A164" s="109">
        <v>162</v>
      </c>
      <c r="B164" s="109" t="s">
        <v>9015</v>
      </c>
      <c r="C164" s="109" t="s">
        <v>9325</v>
      </c>
      <c r="D164" s="109" t="s">
        <v>9326</v>
      </c>
      <c r="E164" s="109">
        <v>2020</v>
      </c>
      <c r="F164" s="109">
        <v>2020</v>
      </c>
      <c r="G164" s="109" t="s">
        <v>16</v>
      </c>
      <c r="H164" s="109">
        <v>200</v>
      </c>
      <c r="I164" s="109">
        <v>200</v>
      </c>
      <c r="J164" s="109"/>
      <c r="K164" s="109"/>
      <c r="L164" s="105">
        <v>20201118</v>
      </c>
    </row>
    <row r="165" s="175" customFormat="1" ht="16" customHeight="1" spans="1:12">
      <c r="A165" s="109">
        <v>163</v>
      </c>
      <c r="B165" s="109" t="s">
        <v>9015</v>
      </c>
      <c r="C165" s="109" t="s">
        <v>9327</v>
      </c>
      <c r="D165" s="109" t="s">
        <v>9328</v>
      </c>
      <c r="E165" s="109">
        <v>2020</v>
      </c>
      <c r="F165" s="109">
        <v>2020</v>
      </c>
      <c r="G165" s="109" t="s">
        <v>16</v>
      </c>
      <c r="H165" s="109">
        <v>200</v>
      </c>
      <c r="I165" s="109">
        <v>200</v>
      </c>
      <c r="J165" s="109"/>
      <c r="K165" s="109"/>
      <c r="L165" s="105">
        <v>20201118</v>
      </c>
    </row>
    <row r="166" s="175" customFormat="1" ht="16" customHeight="1" spans="1:12">
      <c r="A166" s="109">
        <v>164</v>
      </c>
      <c r="B166" s="109" t="s">
        <v>9015</v>
      </c>
      <c r="C166" s="109" t="s">
        <v>9329</v>
      </c>
      <c r="D166" s="109" t="s">
        <v>9330</v>
      </c>
      <c r="E166" s="109">
        <v>2020</v>
      </c>
      <c r="F166" s="109">
        <v>2020</v>
      </c>
      <c r="G166" s="109" t="s">
        <v>16</v>
      </c>
      <c r="H166" s="109">
        <v>200</v>
      </c>
      <c r="I166" s="109">
        <v>200</v>
      </c>
      <c r="J166" s="109"/>
      <c r="K166" s="109"/>
      <c r="L166" s="105">
        <v>20201118</v>
      </c>
    </row>
    <row r="167" s="175" customFormat="1" ht="16" customHeight="1" spans="1:12">
      <c r="A167" s="109">
        <v>165</v>
      </c>
      <c r="B167" s="109" t="s">
        <v>9015</v>
      </c>
      <c r="C167" s="109" t="s">
        <v>9331</v>
      </c>
      <c r="D167" s="109" t="s">
        <v>9332</v>
      </c>
      <c r="E167" s="109">
        <v>2020</v>
      </c>
      <c r="F167" s="109">
        <v>2020</v>
      </c>
      <c r="G167" s="109" t="s">
        <v>16</v>
      </c>
      <c r="H167" s="109">
        <v>200</v>
      </c>
      <c r="I167" s="109">
        <v>200</v>
      </c>
      <c r="J167" s="109"/>
      <c r="K167" s="109"/>
      <c r="L167" s="105">
        <v>20201118</v>
      </c>
    </row>
    <row r="168" s="175" customFormat="1" ht="16" customHeight="1" spans="1:12">
      <c r="A168" s="109">
        <v>166</v>
      </c>
      <c r="B168" s="109" t="s">
        <v>9015</v>
      </c>
      <c r="C168" s="109" t="s">
        <v>9333</v>
      </c>
      <c r="D168" s="109" t="s">
        <v>9334</v>
      </c>
      <c r="E168" s="109">
        <v>2020</v>
      </c>
      <c r="F168" s="109">
        <v>2020</v>
      </c>
      <c r="G168" s="109" t="s">
        <v>16</v>
      </c>
      <c r="H168" s="109">
        <v>200</v>
      </c>
      <c r="I168" s="109">
        <v>200</v>
      </c>
      <c r="J168" s="109"/>
      <c r="K168" s="109"/>
      <c r="L168" s="105">
        <v>20201118</v>
      </c>
    </row>
    <row r="169" s="175" customFormat="1" ht="16" customHeight="1" spans="1:12">
      <c r="A169" s="109">
        <v>167</v>
      </c>
      <c r="B169" s="109" t="s">
        <v>9015</v>
      </c>
      <c r="C169" s="109" t="s">
        <v>9335</v>
      </c>
      <c r="D169" s="109" t="s">
        <v>9336</v>
      </c>
      <c r="E169" s="109">
        <v>2020</v>
      </c>
      <c r="F169" s="109">
        <v>2020</v>
      </c>
      <c r="G169" s="109" t="s">
        <v>16</v>
      </c>
      <c r="H169" s="109">
        <v>200</v>
      </c>
      <c r="I169" s="109">
        <v>200</v>
      </c>
      <c r="J169" s="109"/>
      <c r="K169" s="109"/>
      <c r="L169" s="105">
        <v>20201118</v>
      </c>
    </row>
    <row r="170" s="175" customFormat="1" ht="16" customHeight="1" spans="1:12">
      <c r="A170" s="109">
        <v>168</v>
      </c>
      <c r="B170" s="109" t="s">
        <v>9015</v>
      </c>
      <c r="C170" s="109" t="s">
        <v>9337</v>
      </c>
      <c r="D170" s="109" t="s">
        <v>9338</v>
      </c>
      <c r="E170" s="109">
        <v>2020</v>
      </c>
      <c r="F170" s="109">
        <v>2020</v>
      </c>
      <c r="G170" s="109" t="s">
        <v>16</v>
      </c>
      <c r="H170" s="109">
        <v>200</v>
      </c>
      <c r="I170" s="109">
        <v>200</v>
      </c>
      <c r="J170" s="109"/>
      <c r="K170" s="109"/>
      <c r="L170" s="105">
        <v>20201118</v>
      </c>
    </row>
    <row r="171" s="175" customFormat="1" ht="16" customHeight="1" spans="1:12">
      <c r="A171" s="109">
        <v>169</v>
      </c>
      <c r="B171" s="109" t="s">
        <v>9015</v>
      </c>
      <c r="C171" s="109" t="s">
        <v>9339</v>
      </c>
      <c r="D171" s="109" t="s">
        <v>9340</v>
      </c>
      <c r="E171" s="109">
        <v>2020</v>
      </c>
      <c r="F171" s="109">
        <v>2020</v>
      </c>
      <c r="G171" s="109" t="s">
        <v>16</v>
      </c>
      <c r="H171" s="109">
        <v>200</v>
      </c>
      <c r="I171" s="109">
        <v>200</v>
      </c>
      <c r="J171" s="109"/>
      <c r="K171" s="109"/>
      <c r="L171" s="105">
        <v>20201118</v>
      </c>
    </row>
    <row r="172" s="175" customFormat="1" ht="16" customHeight="1" spans="1:12">
      <c r="A172" s="109">
        <v>170</v>
      </c>
      <c r="B172" s="109" t="s">
        <v>9015</v>
      </c>
      <c r="C172" s="109" t="s">
        <v>9341</v>
      </c>
      <c r="D172" s="109" t="s">
        <v>9342</v>
      </c>
      <c r="E172" s="109">
        <v>2020</v>
      </c>
      <c r="F172" s="109">
        <v>2020</v>
      </c>
      <c r="G172" s="109" t="s">
        <v>16</v>
      </c>
      <c r="H172" s="109">
        <v>200</v>
      </c>
      <c r="I172" s="109">
        <v>200</v>
      </c>
      <c r="J172" s="109"/>
      <c r="K172" s="109"/>
      <c r="L172" s="105">
        <v>20201118</v>
      </c>
    </row>
    <row r="173" s="175" customFormat="1" ht="16" customHeight="1" spans="1:12">
      <c r="A173" s="109">
        <v>171</v>
      </c>
      <c r="B173" s="109" t="s">
        <v>9015</v>
      </c>
      <c r="C173" s="109" t="s">
        <v>9343</v>
      </c>
      <c r="D173" s="109" t="s">
        <v>9344</v>
      </c>
      <c r="E173" s="109">
        <v>2020</v>
      </c>
      <c r="F173" s="109">
        <v>2020</v>
      </c>
      <c r="G173" s="109" t="s">
        <v>16</v>
      </c>
      <c r="H173" s="109">
        <v>200</v>
      </c>
      <c r="I173" s="109">
        <v>200</v>
      </c>
      <c r="J173" s="109"/>
      <c r="K173" s="109"/>
      <c r="L173" s="105">
        <v>20201118</v>
      </c>
    </row>
    <row r="174" s="175" customFormat="1" ht="16" customHeight="1" spans="1:12">
      <c r="A174" s="109">
        <v>172</v>
      </c>
      <c r="B174" s="109" t="s">
        <v>9015</v>
      </c>
      <c r="C174" s="109" t="s">
        <v>3102</v>
      </c>
      <c r="D174" s="109" t="s">
        <v>9345</v>
      </c>
      <c r="E174" s="109">
        <v>2020</v>
      </c>
      <c r="F174" s="109">
        <v>2020</v>
      </c>
      <c r="G174" s="109" t="s">
        <v>16</v>
      </c>
      <c r="H174" s="109">
        <v>200</v>
      </c>
      <c r="I174" s="109">
        <v>200</v>
      </c>
      <c r="J174" s="109"/>
      <c r="K174" s="109"/>
      <c r="L174" s="105">
        <v>20201118</v>
      </c>
    </row>
    <row r="175" s="175" customFormat="1" ht="16" customHeight="1" spans="1:12">
      <c r="A175" s="109">
        <v>173</v>
      </c>
      <c r="B175" s="109" t="s">
        <v>9015</v>
      </c>
      <c r="C175" s="109" t="s">
        <v>9346</v>
      </c>
      <c r="D175" s="109" t="s">
        <v>9347</v>
      </c>
      <c r="E175" s="109">
        <v>2020</v>
      </c>
      <c r="F175" s="109">
        <v>2020</v>
      </c>
      <c r="G175" s="109" t="s">
        <v>16</v>
      </c>
      <c r="H175" s="109">
        <v>200</v>
      </c>
      <c r="I175" s="109">
        <v>200</v>
      </c>
      <c r="J175" s="109"/>
      <c r="K175" s="109"/>
      <c r="L175" s="105">
        <v>20201118</v>
      </c>
    </row>
    <row r="176" s="175" customFormat="1" ht="16" customHeight="1" spans="1:12">
      <c r="A176" s="109">
        <v>174</v>
      </c>
      <c r="B176" s="109" t="s">
        <v>9015</v>
      </c>
      <c r="C176" s="109" t="s">
        <v>9348</v>
      </c>
      <c r="D176" s="109" t="s">
        <v>9349</v>
      </c>
      <c r="E176" s="109">
        <v>2020</v>
      </c>
      <c r="F176" s="109">
        <v>2020</v>
      </c>
      <c r="G176" s="109" t="s">
        <v>16</v>
      </c>
      <c r="H176" s="109">
        <v>200</v>
      </c>
      <c r="I176" s="109">
        <v>200</v>
      </c>
      <c r="J176" s="109"/>
      <c r="K176" s="109"/>
      <c r="L176" s="105">
        <v>20201118</v>
      </c>
    </row>
    <row r="177" s="175" customFormat="1" ht="16" customHeight="1" spans="1:12">
      <c r="A177" s="109">
        <v>175</v>
      </c>
      <c r="B177" s="109" t="s">
        <v>9015</v>
      </c>
      <c r="C177" s="109" t="s">
        <v>9350</v>
      </c>
      <c r="D177" s="109" t="s">
        <v>9351</v>
      </c>
      <c r="E177" s="109">
        <v>2020</v>
      </c>
      <c r="F177" s="109">
        <v>2020</v>
      </c>
      <c r="G177" s="109" t="s">
        <v>16</v>
      </c>
      <c r="H177" s="109">
        <v>200</v>
      </c>
      <c r="I177" s="109">
        <v>200</v>
      </c>
      <c r="J177" s="109"/>
      <c r="K177" s="109"/>
      <c r="L177" s="105">
        <v>20201118</v>
      </c>
    </row>
    <row r="178" s="175" customFormat="1" ht="16" customHeight="1" spans="1:12">
      <c r="A178" s="109">
        <v>176</v>
      </c>
      <c r="B178" s="109" t="s">
        <v>9015</v>
      </c>
      <c r="C178" s="109" t="s">
        <v>2985</v>
      </c>
      <c r="D178" s="109" t="s">
        <v>9352</v>
      </c>
      <c r="E178" s="109">
        <v>2020</v>
      </c>
      <c r="F178" s="109">
        <v>2020</v>
      </c>
      <c r="G178" s="109" t="s">
        <v>16</v>
      </c>
      <c r="H178" s="109">
        <v>200</v>
      </c>
      <c r="I178" s="109">
        <v>200</v>
      </c>
      <c r="J178" s="109"/>
      <c r="K178" s="109"/>
      <c r="L178" s="105">
        <v>20201118</v>
      </c>
    </row>
    <row r="179" s="175" customFormat="1" ht="16" customHeight="1" spans="1:12">
      <c r="A179" s="109">
        <v>177</v>
      </c>
      <c r="B179" s="109" t="s">
        <v>9015</v>
      </c>
      <c r="C179" s="109" t="s">
        <v>9353</v>
      </c>
      <c r="D179" s="109" t="s">
        <v>9354</v>
      </c>
      <c r="E179" s="109">
        <v>2020</v>
      </c>
      <c r="F179" s="109">
        <v>2020</v>
      </c>
      <c r="G179" s="109" t="s">
        <v>16</v>
      </c>
      <c r="H179" s="109">
        <v>200</v>
      </c>
      <c r="I179" s="109">
        <v>200</v>
      </c>
      <c r="J179" s="109"/>
      <c r="K179" s="109"/>
      <c r="L179" s="105">
        <v>20201118</v>
      </c>
    </row>
    <row r="180" s="175" customFormat="1" ht="16" customHeight="1" spans="1:12">
      <c r="A180" s="109">
        <v>178</v>
      </c>
      <c r="B180" s="109" t="s">
        <v>9015</v>
      </c>
      <c r="C180" s="109" t="s">
        <v>9355</v>
      </c>
      <c r="D180" s="109" t="s">
        <v>9356</v>
      </c>
      <c r="E180" s="109">
        <v>2020</v>
      </c>
      <c r="F180" s="109">
        <v>2020</v>
      </c>
      <c r="G180" s="109" t="s">
        <v>16</v>
      </c>
      <c r="H180" s="109">
        <v>200</v>
      </c>
      <c r="I180" s="109">
        <v>200</v>
      </c>
      <c r="J180" s="109"/>
      <c r="K180" s="109"/>
      <c r="L180" s="105">
        <v>20201118</v>
      </c>
    </row>
    <row r="181" s="175" customFormat="1" ht="16" customHeight="1" spans="1:12">
      <c r="A181" s="109">
        <v>179</v>
      </c>
      <c r="B181" s="109" t="s">
        <v>9015</v>
      </c>
      <c r="C181" s="109" t="s">
        <v>9357</v>
      </c>
      <c r="D181" s="109" t="s">
        <v>9358</v>
      </c>
      <c r="E181" s="109">
        <v>2020</v>
      </c>
      <c r="F181" s="109">
        <v>2020</v>
      </c>
      <c r="G181" s="109" t="s">
        <v>16</v>
      </c>
      <c r="H181" s="109">
        <v>200</v>
      </c>
      <c r="I181" s="109">
        <v>200</v>
      </c>
      <c r="J181" s="109"/>
      <c r="K181" s="109"/>
      <c r="L181" s="105">
        <v>20201118</v>
      </c>
    </row>
    <row r="182" s="175" customFormat="1" ht="16" customHeight="1" spans="1:12">
      <c r="A182" s="109">
        <v>180</v>
      </c>
      <c r="B182" s="109" t="s">
        <v>9015</v>
      </c>
      <c r="C182" s="109" t="s">
        <v>1731</v>
      </c>
      <c r="D182" s="109" t="s">
        <v>9359</v>
      </c>
      <c r="E182" s="109">
        <v>2020</v>
      </c>
      <c r="F182" s="109">
        <v>2020</v>
      </c>
      <c r="G182" s="109" t="s">
        <v>16</v>
      </c>
      <c r="H182" s="109">
        <v>200</v>
      </c>
      <c r="I182" s="109">
        <v>200</v>
      </c>
      <c r="J182" s="109"/>
      <c r="K182" s="109"/>
      <c r="L182" s="105">
        <v>20201118</v>
      </c>
    </row>
    <row r="183" s="175" customFormat="1" ht="16" customHeight="1" spans="1:12">
      <c r="A183" s="109">
        <v>181</v>
      </c>
      <c r="B183" s="109" t="s">
        <v>9015</v>
      </c>
      <c r="C183" s="109" t="s">
        <v>9360</v>
      </c>
      <c r="D183" s="109" t="s">
        <v>9361</v>
      </c>
      <c r="E183" s="109">
        <v>2020</v>
      </c>
      <c r="F183" s="109">
        <v>2020</v>
      </c>
      <c r="G183" s="109" t="s">
        <v>16</v>
      </c>
      <c r="H183" s="109">
        <v>200</v>
      </c>
      <c r="I183" s="109">
        <v>200</v>
      </c>
      <c r="J183" s="109"/>
      <c r="K183" s="109"/>
      <c r="L183" s="105">
        <v>20201118</v>
      </c>
    </row>
    <row r="184" s="175" customFormat="1" ht="16" customHeight="1" spans="1:12">
      <c r="A184" s="109">
        <v>182</v>
      </c>
      <c r="B184" s="109" t="s">
        <v>9015</v>
      </c>
      <c r="C184" s="109" t="s">
        <v>7158</v>
      </c>
      <c r="D184" s="109" t="s">
        <v>9362</v>
      </c>
      <c r="E184" s="109">
        <v>2020</v>
      </c>
      <c r="F184" s="109">
        <v>2020</v>
      </c>
      <c r="G184" s="109" t="s">
        <v>16</v>
      </c>
      <c r="H184" s="109">
        <v>200</v>
      </c>
      <c r="I184" s="109">
        <v>200</v>
      </c>
      <c r="J184" s="109"/>
      <c r="K184" s="109"/>
      <c r="L184" s="105">
        <v>20201118</v>
      </c>
    </row>
    <row r="185" s="175" customFormat="1" ht="16" customHeight="1" spans="1:12">
      <c r="A185" s="109">
        <v>183</v>
      </c>
      <c r="B185" s="109" t="s">
        <v>9015</v>
      </c>
      <c r="C185" s="109" t="s">
        <v>9363</v>
      </c>
      <c r="D185" s="109" t="s">
        <v>9364</v>
      </c>
      <c r="E185" s="109">
        <v>2020</v>
      </c>
      <c r="F185" s="109">
        <v>2020</v>
      </c>
      <c r="G185" s="109" t="s">
        <v>16</v>
      </c>
      <c r="H185" s="109">
        <v>200</v>
      </c>
      <c r="I185" s="109">
        <v>200</v>
      </c>
      <c r="J185" s="109"/>
      <c r="K185" s="109"/>
      <c r="L185" s="105">
        <v>20201118</v>
      </c>
    </row>
    <row r="186" s="175" customFormat="1" ht="16" customHeight="1" spans="1:12">
      <c r="A186" s="109">
        <v>184</v>
      </c>
      <c r="B186" s="109" t="s">
        <v>9015</v>
      </c>
      <c r="C186" s="109" t="s">
        <v>1273</v>
      </c>
      <c r="D186" s="109" t="s">
        <v>9365</v>
      </c>
      <c r="E186" s="109">
        <v>2020</v>
      </c>
      <c r="F186" s="109">
        <v>2020</v>
      </c>
      <c r="G186" s="109" t="s">
        <v>16</v>
      </c>
      <c r="H186" s="109">
        <v>200</v>
      </c>
      <c r="I186" s="109">
        <v>200</v>
      </c>
      <c r="J186" s="109"/>
      <c r="K186" s="109"/>
      <c r="L186" s="105">
        <v>20201118</v>
      </c>
    </row>
    <row r="187" s="175" customFormat="1" ht="16" customHeight="1" spans="1:12">
      <c r="A187" s="109">
        <v>185</v>
      </c>
      <c r="B187" s="109" t="s">
        <v>9015</v>
      </c>
      <c r="C187" s="109" t="s">
        <v>9366</v>
      </c>
      <c r="D187" s="109" t="s">
        <v>9367</v>
      </c>
      <c r="E187" s="109">
        <v>2020</v>
      </c>
      <c r="F187" s="109">
        <v>2020</v>
      </c>
      <c r="G187" s="109" t="s">
        <v>16</v>
      </c>
      <c r="H187" s="109">
        <v>200</v>
      </c>
      <c r="I187" s="109">
        <v>200</v>
      </c>
      <c r="J187" s="109"/>
      <c r="K187" s="109"/>
      <c r="L187" s="105">
        <v>20201118</v>
      </c>
    </row>
    <row r="188" s="175" customFormat="1" ht="16" customHeight="1" spans="1:12">
      <c r="A188" s="109">
        <v>186</v>
      </c>
      <c r="B188" s="109" t="s">
        <v>9015</v>
      </c>
      <c r="C188" s="109" t="s">
        <v>9368</v>
      </c>
      <c r="D188" s="109" t="s">
        <v>9369</v>
      </c>
      <c r="E188" s="109">
        <v>2020</v>
      </c>
      <c r="F188" s="109">
        <v>2020</v>
      </c>
      <c r="G188" s="109" t="s">
        <v>16</v>
      </c>
      <c r="H188" s="109">
        <v>200</v>
      </c>
      <c r="I188" s="109">
        <v>200</v>
      </c>
      <c r="J188" s="109"/>
      <c r="K188" s="109"/>
      <c r="L188" s="105">
        <v>20201118</v>
      </c>
    </row>
    <row r="189" s="175" customFormat="1" ht="16" customHeight="1" spans="1:12">
      <c r="A189" s="109">
        <v>187</v>
      </c>
      <c r="B189" s="109" t="s">
        <v>9015</v>
      </c>
      <c r="C189" s="109" t="s">
        <v>9370</v>
      </c>
      <c r="D189" s="109" t="s">
        <v>9371</v>
      </c>
      <c r="E189" s="109">
        <v>2020</v>
      </c>
      <c r="F189" s="109">
        <v>2020</v>
      </c>
      <c r="G189" s="109" t="s">
        <v>16</v>
      </c>
      <c r="H189" s="109">
        <v>200</v>
      </c>
      <c r="I189" s="109">
        <v>200</v>
      </c>
      <c r="J189" s="109"/>
      <c r="K189" s="109"/>
      <c r="L189" s="105">
        <v>20201118</v>
      </c>
    </row>
    <row r="190" s="175" customFormat="1" ht="16" customHeight="1" spans="1:12">
      <c r="A190" s="109">
        <v>188</v>
      </c>
      <c r="B190" s="109" t="s">
        <v>9015</v>
      </c>
      <c r="C190" s="109" t="s">
        <v>9372</v>
      </c>
      <c r="D190" s="109" t="s">
        <v>9373</v>
      </c>
      <c r="E190" s="109">
        <v>2020</v>
      </c>
      <c r="F190" s="109">
        <v>2020</v>
      </c>
      <c r="G190" s="109" t="s">
        <v>16</v>
      </c>
      <c r="H190" s="109">
        <v>200</v>
      </c>
      <c r="I190" s="109">
        <v>200</v>
      </c>
      <c r="J190" s="109"/>
      <c r="K190" s="109"/>
      <c r="L190" s="105">
        <v>20201118</v>
      </c>
    </row>
    <row r="191" s="175" customFormat="1" ht="16" customHeight="1" spans="1:12">
      <c r="A191" s="109">
        <v>189</v>
      </c>
      <c r="B191" s="109" t="s">
        <v>9015</v>
      </c>
      <c r="C191" s="109" t="s">
        <v>9374</v>
      </c>
      <c r="D191" s="109" t="s">
        <v>9375</v>
      </c>
      <c r="E191" s="109">
        <v>2020</v>
      </c>
      <c r="F191" s="109">
        <v>2020</v>
      </c>
      <c r="G191" s="109" t="s">
        <v>16</v>
      </c>
      <c r="H191" s="109">
        <v>200</v>
      </c>
      <c r="I191" s="109">
        <v>200</v>
      </c>
      <c r="J191" s="109"/>
      <c r="K191" s="109"/>
      <c r="L191" s="105">
        <v>20201118</v>
      </c>
    </row>
    <row r="192" s="175" customFormat="1" ht="16" customHeight="1" spans="1:12">
      <c r="A192" s="109">
        <v>190</v>
      </c>
      <c r="B192" s="109" t="s">
        <v>9015</v>
      </c>
      <c r="C192" s="109" t="s">
        <v>386</v>
      </c>
      <c r="D192" s="109" t="s">
        <v>9376</v>
      </c>
      <c r="E192" s="109">
        <v>2020</v>
      </c>
      <c r="F192" s="109">
        <v>2020</v>
      </c>
      <c r="G192" s="109" t="s">
        <v>16</v>
      </c>
      <c r="H192" s="109">
        <v>200</v>
      </c>
      <c r="I192" s="109">
        <v>200</v>
      </c>
      <c r="J192" s="109"/>
      <c r="K192" s="109"/>
      <c r="L192" s="105">
        <v>20201118</v>
      </c>
    </row>
    <row r="193" s="175" customFormat="1" ht="16" customHeight="1" spans="1:12">
      <c r="A193" s="109">
        <v>191</v>
      </c>
      <c r="B193" s="109" t="s">
        <v>9015</v>
      </c>
      <c r="C193" s="109" t="s">
        <v>9377</v>
      </c>
      <c r="D193" s="109" t="s">
        <v>9378</v>
      </c>
      <c r="E193" s="109">
        <v>2020</v>
      </c>
      <c r="F193" s="109">
        <v>2020</v>
      </c>
      <c r="G193" s="109" t="s">
        <v>16</v>
      </c>
      <c r="H193" s="109">
        <v>200</v>
      </c>
      <c r="I193" s="109">
        <v>200</v>
      </c>
      <c r="J193" s="109"/>
      <c r="K193" s="109"/>
      <c r="L193" s="105">
        <v>20201118</v>
      </c>
    </row>
    <row r="194" s="175" customFormat="1" ht="16" customHeight="1" spans="1:12">
      <c r="A194" s="109">
        <v>192</v>
      </c>
      <c r="B194" s="109" t="s">
        <v>9015</v>
      </c>
      <c r="C194" s="109" t="s">
        <v>4343</v>
      </c>
      <c r="D194" s="109" t="s">
        <v>9379</v>
      </c>
      <c r="E194" s="109">
        <v>2020</v>
      </c>
      <c r="F194" s="109">
        <v>2020</v>
      </c>
      <c r="G194" s="109" t="s">
        <v>16</v>
      </c>
      <c r="H194" s="109">
        <v>200</v>
      </c>
      <c r="I194" s="109">
        <v>200</v>
      </c>
      <c r="J194" s="109"/>
      <c r="K194" s="109"/>
      <c r="L194" s="105">
        <v>20201118</v>
      </c>
    </row>
    <row r="195" s="175" customFormat="1" ht="16" customHeight="1" spans="1:12">
      <c r="A195" s="109">
        <v>193</v>
      </c>
      <c r="B195" s="109" t="s">
        <v>9015</v>
      </c>
      <c r="C195" s="109" t="s">
        <v>9380</v>
      </c>
      <c r="D195" s="109" t="s">
        <v>9381</v>
      </c>
      <c r="E195" s="109">
        <v>2020</v>
      </c>
      <c r="F195" s="109">
        <v>2020</v>
      </c>
      <c r="G195" s="109" t="s">
        <v>16</v>
      </c>
      <c r="H195" s="109">
        <v>200</v>
      </c>
      <c r="I195" s="109">
        <v>200</v>
      </c>
      <c r="J195" s="109"/>
      <c r="K195" s="109"/>
      <c r="L195" s="105">
        <v>20201118</v>
      </c>
    </row>
    <row r="196" s="175" customFormat="1" ht="16" customHeight="1" spans="1:12">
      <c r="A196" s="109">
        <v>194</v>
      </c>
      <c r="B196" s="109" t="s">
        <v>9015</v>
      </c>
      <c r="C196" s="109" t="s">
        <v>9382</v>
      </c>
      <c r="D196" s="109" t="s">
        <v>9383</v>
      </c>
      <c r="E196" s="109">
        <v>2020</v>
      </c>
      <c r="F196" s="109">
        <v>2020</v>
      </c>
      <c r="G196" s="109" t="s">
        <v>16</v>
      </c>
      <c r="H196" s="109">
        <v>200</v>
      </c>
      <c r="I196" s="109">
        <v>200</v>
      </c>
      <c r="J196" s="109"/>
      <c r="K196" s="109"/>
      <c r="L196" s="105">
        <v>20201118</v>
      </c>
    </row>
    <row r="197" s="175" customFormat="1" ht="16" customHeight="1" spans="1:12">
      <c r="A197" s="109">
        <v>195</v>
      </c>
      <c r="B197" s="109" t="s">
        <v>9015</v>
      </c>
      <c r="C197" s="109" t="s">
        <v>9384</v>
      </c>
      <c r="D197" s="109" t="s">
        <v>9385</v>
      </c>
      <c r="E197" s="109">
        <v>2020</v>
      </c>
      <c r="F197" s="109">
        <v>2020</v>
      </c>
      <c r="G197" s="109" t="s">
        <v>16</v>
      </c>
      <c r="H197" s="109">
        <v>200</v>
      </c>
      <c r="I197" s="109">
        <v>200</v>
      </c>
      <c r="J197" s="109"/>
      <c r="K197" s="109"/>
      <c r="L197" s="105">
        <v>20201118</v>
      </c>
    </row>
    <row r="198" s="175" customFormat="1" ht="16" customHeight="1" spans="1:12">
      <c r="A198" s="109">
        <v>196</v>
      </c>
      <c r="B198" s="109" t="s">
        <v>9015</v>
      </c>
      <c r="C198" s="109" t="s">
        <v>9386</v>
      </c>
      <c r="D198" s="109" t="s">
        <v>9387</v>
      </c>
      <c r="E198" s="109">
        <v>2020</v>
      </c>
      <c r="F198" s="109">
        <v>2020</v>
      </c>
      <c r="G198" s="109" t="s">
        <v>16</v>
      </c>
      <c r="H198" s="109">
        <v>200</v>
      </c>
      <c r="I198" s="109">
        <v>200</v>
      </c>
      <c r="J198" s="109"/>
      <c r="K198" s="109"/>
      <c r="L198" s="105">
        <v>20201118</v>
      </c>
    </row>
    <row r="199" s="175" customFormat="1" ht="16" customHeight="1" spans="1:12">
      <c r="A199" s="109">
        <v>197</v>
      </c>
      <c r="B199" s="109" t="s">
        <v>9015</v>
      </c>
      <c r="C199" s="109" t="s">
        <v>9388</v>
      </c>
      <c r="D199" s="109" t="s">
        <v>9389</v>
      </c>
      <c r="E199" s="109">
        <v>2020</v>
      </c>
      <c r="F199" s="109">
        <v>2020</v>
      </c>
      <c r="G199" s="109" t="s">
        <v>16</v>
      </c>
      <c r="H199" s="109">
        <v>200</v>
      </c>
      <c r="I199" s="109">
        <v>200</v>
      </c>
      <c r="J199" s="109" t="s">
        <v>108</v>
      </c>
      <c r="K199" s="109"/>
      <c r="L199" s="105">
        <v>20201118</v>
      </c>
    </row>
    <row r="200" s="175" customFormat="1" ht="16" customHeight="1" spans="1:12">
      <c r="A200" s="109">
        <v>198</v>
      </c>
      <c r="B200" s="109" t="s">
        <v>9015</v>
      </c>
      <c r="C200" s="109" t="s">
        <v>9390</v>
      </c>
      <c r="D200" s="109" t="s">
        <v>9391</v>
      </c>
      <c r="E200" s="109">
        <v>2020</v>
      </c>
      <c r="F200" s="109">
        <v>2020</v>
      </c>
      <c r="G200" s="109" t="s">
        <v>16</v>
      </c>
      <c r="H200" s="109">
        <v>200</v>
      </c>
      <c r="I200" s="109">
        <v>200</v>
      </c>
      <c r="J200" s="109"/>
      <c r="K200" s="109"/>
      <c r="L200" s="105">
        <v>20201118</v>
      </c>
    </row>
    <row r="201" s="175" customFormat="1" ht="16" customHeight="1" spans="1:12">
      <c r="A201" s="109">
        <v>199</v>
      </c>
      <c r="B201" s="109" t="s">
        <v>9015</v>
      </c>
      <c r="C201" s="109" t="s">
        <v>9392</v>
      </c>
      <c r="D201" s="109" t="s">
        <v>9393</v>
      </c>
      <c r="E201" s="109">
        <v>2020</v>
      </c>
      <c r="F201" s="109">
        <v>2020</v>
      </c>
      <c r="G201" s="109" t="s">
        <v>16</v>
      </c>
      <c r="H201" s="109">
        <v>200</v>
      </c>
      <c r="I201" s="109">
        <v>200</v>
      </c>
      <c r="J201" s="109"/>
      <c r="K201" s="109"/>
      <c r="L201" s="105">
        <v>20201118</v>
      </c>
    </row>
    <row r="202" s="175" customFormat="1" ht="16" customHeight="1" spans="1:12">
      <c r="A202" s="109">
        <v>200</v>
      </c>
      <c r="B202" s="109" t="s">
        <v>9015</v>
      </c>
      <c r="C202" s="109" t="s">
        <v>9394</v>
      </c>
      <c r="D202" s="109" t="s">
        <v>9395</v>
      </c>
      <c r="E202" s="109">
        <v>2020</v>
      </c>
      <c r="F202" s="109">
        <v>2020</v>
      </c>
      <c r="G202" s="109" t="s">
        <v>16</v>
      </c>
      <c r="H202" s="109">
        <v>200</v>
      </c>
      <c r="I202" s="109">
        <v>200</v>
      </c>
      <c r="J202" s="109"/>
      <c r="K202" s="109"/>
      <c r="L202" s="105">
        <v>20201118</v>
      </c>
    </row>
    <row r="203" s="175" customFormat="1" ht="16" customHeight="1" spans="1:12">
      <c r="A203" s="109">
        <v>201</v>
      </c>
      <c r="B203" s="109" t="s">
        <v>9015</v>
      </c>
      <c r="C203" s="109" t="s">
        <v>9396</v>
      </c>
      <c r="D203" s="109" t="s">
        <v>9397</v>
      </c>
      <c r="E203" s="109">
        <v>2020</v>
      </c>
      <c r="F203" s="109">
        <v>2020</v>
      </c>
      <c r="G203" s="109" t="s">
        <v>16</v>
      </c>
      <c r="H203" s="109">
        <v>200</v>
      </c>
      <c r="I203" s="109">
        <v>200</v>
      </c>
      <c r="J203" s="109"/>
      <c r="K203" s="109"/>
      <c r="L203" s="105">
        <v>20201118</v>
      </c>
    </row>
    <row r="204" s="175" customFormat="1" ht="16" customHeight="1" spans="1:12">
      <c r="A204" s="109">
        <v>202</v>
      </c>
      <c r="B204" s="109" t="s">
        <v>9015</v>
      </c>
      <c r="C204" s="109" t="s">
        <v>9398</v>
      </c>
      <c r="D204" s="109" t="s">
        <v>9399</v>
      </c>
      <c r="E204" s="109">
        <v>2020</v>
      </c>
      <c r="F204" s="109">
        <v>2020</v>
      </c>
      <c r="G204" s="109" t="s">
        <v>16</v>
      </c>
      <c r="H204" s="109">
        <v>200</v>
      </c>
      <c r="I204" s="109">
        <v>200</v>
      </c>
      <c r="J204" s="109"/>
      <c r="K204" s="109"/>
      <c r="L204" s="105">
        <v>20201118</v>
      </c>
    </row>
    <row r="205" s="175" customFormat="1" ht="16" customHeight="1" spans="1:12">
      <c r="A205" s="109">
        <v>203</v>
      </c>
      <c r="B205" s="109" t="s">
        <v>9015</v>
      </c>
      <c r="C205" s="109" t="s">
        <v>9400</v>
      </c>
      <c r="D205" s="109" t="s">
        <v>9401</v>
      </c>
      <c r="E205" s="109">
        <v>2020</v>
      </c>
      <c r="F205" s="109">
        <v>2020</v>
      </c>
      <c r="G205" s="109" t="s">
        <v>16</v>
      </c>
      <c r="H205" s="109">
        <v>200</v>
      </c>
      <c r="I205" s="109">
        <v>200</v>
      </c>
      <c r="J205" s="109"/>
      <c r="K205" s="109"/>
      <c r="L205" s="105">
        <v>20201118</v>
      </c>
    </row>
    <row r="206" s="175" customFormat="1" ht="16" customHeight="1" spans="1:12">
      <c r="A206" s="109">
        <v>204</v>
      </c>
      <c r="B206" s="109" t="s">
        <v>9015</v>
      </c>
      <c r="C206" s="109" t="s">
        <v>9402</v>
      </c>
      <c r="D206" s="109" t="s">
        <v>9403</v>
      </c>
      <c r="E206" s="109">
        <v>2020</v>
      </c>
      <c r="F206" s="109">
        <v>2020</v>
      </c>
      <c r="G206" s="109" t="s">
        <v>16</v>
      </c>
      <c r="H206" s="109">
        <v>200</v>
      </c>
      <c r="I206" s="109">
        <v>200</v>
      </c>
      <c r="J206" s="109"/>
      <c r="K206" s="109"/>
      <c r="L206" s="105">
        <v>20201118</v>
      </c>
    </row>
    <row r="207" s="175" customFormat="1" ht="16" customHeight="1" spans="1:12">
      <c r="A207" s="109">
        <v>205</v>
      </c>
      <c r="B207" s="109" t="s">
        <v>9015</v>
      </c>
      <c r="C207" s="109" t="s">
        <v>2154</v>
      </c>
      <c r="D207" s="109" t="s">
        <v>9404</v>
      </c>
      <c r="E207" s="109">
        <v>2020</v>
      </c>
      <c r="F207" s="109">
        <v>2020</v>
      </c>
      <c r="G207" s="109" t="s">
        <v>16</v>
      </c>
      <c r="H207" s="109">
        <v>200</v>
      </c>
      <c r="I207" s="109">
        <v>200</v>
      </c>
      <c r="J207" s="109"/>
      <c r="K207" s="109"/>
      <c r="L207" s="105">
        <v>20201118</v>
      </c>
    </row>
    <row r="208" s="175" customFormat="1" ht="16" customHeight="1" spans="1:12">
      <c r="A208" s="109">
        <v>206</v>
      </c>
      <c r="B208" s="109" t="s">
        <v>9015</v>
      </c>
      <c r="C208" s="109" t="s">
        <v>9405</v>
      </c>
      <c r="D208" s="109" t="s">
        <v>9406</v>
      </c>
      <c r="E208" s="109">
        <v>2020</v>
      </c>
      <c r="F208" s="109">
        <v>2020</v>
      </c>
      <c r="G208" s="109" t="s">
        <v>16</v>
      </c>
      <c r="H208" s="109">
        <v>200</v>
      </c>
      <c r="I208" s="109">
        <v>200</v>
      </c>
      <c r="J208" s="109"/>
      <c r="K208" s="109"/>
      <c r="L208" s="105">
        <v>20201118</v>
      </c>
    </row>
    <row r="209" s="175" customFormat="1" ht="16" customHeight="1" spans="1:12">
      <c r="A209" s="109">
        <v>207</v>
      </c>
      <c r="B209" s="109" t="s">
        <v>9015</v>
      </c>
      <c r="C209" s="109" t="s">
        <v>9407</v>
      </c>
      <c r="D209" s="109" t="s">
        <v>9408</v>
      </c>
      <c r="E209" s="109">
        <v>2020</v>
      </c>
      <c r="F209" s="109">
        <v>2020</v>
      </c>
      <c r="G209" s="109" t="s">
        <v>16</v>
      </c>
      <c r="H209" s="109">
        <v>200</v>
      </c>
      <c r="I209" s="109">
        <v>200</v>
      </c>
      <c r="J209" s="109"/>
      <c r="K209" s="109"/>
      <c r="L209" s="105">
        <v>20201118</v>
      </c>
    </row>
    <row r="210" s="175" customFormat="1" ht="16" customHeight="1" spans="1:12">
      <c r="A210" s="109">
        <v>208</v>
      </c>
      <c r="B210" s="109" t="s">
        <v>9015</v>
      </c>
      <c r="C210" s="109" t="s">
        <v>9409</v>
      </c>
      <c r="D210" s="109" t="s">
        <v>9410</v>
      </c>
      <c r="E210" s="109">
        <v>2020</v>
      </c>
      <c r="F210" s="109">
        <v>2020</v>
      </c>
      <c r="G210" s="109" t="s">
        <v>16</v>
      </c>
      <c r="H210" s="109">
        <v>200</v>
      </c>
      <c r="I210" s="109">
        <v>200</v>
      </c>
      <c r="J210" s="109"/>
      <c r="K210" s="109"/>
      <c r="L210" s="105">
        <v>20201118</v>
      </c>
    </row>
    <row r="211" s="175" customFormat="1" ht="16" customHeight="1" spans="1:12">
      <c r="A211" s="109">
        <v>209</v>
      </c>
      <c r="B211" s="109" t="s">
        <v>9015</v>
      </c>
      <c r="C211" s="109" t="s">
        <v>7347</v>
      </c>
      <c r="D211" s="109" t="s">
        <v>9411</v>
      </c>
      <c r="E211" s="109">
        <v>2020</v>
      </c>
      <c r="F211" s="109">
        <v>2020</v>
      </c>
      <c r="G211" s="109" t="s">
        <v>16</v>
      </c>
      <c r="H211" s="109">
        <v>200</v>
      </c>
      <c r="I211" s="109">
        <v>200</v>
      </c>
      <c r="J211" s="109"/>
      <c r="K211" s="109"/>
      <c r="L211" s="105">
        <v>20201118</v>
      </c>
    </row>
    <row r="212" s="175" customFormat="1" ht="16" customHeight="1" spans="1:12">
      <c r="A212" s="109">
        <v>210</v>
      </c>
      <c r="B212" s="109" t="s">
        <v>9015</v>
      </c>
      <c r="C212" s="109" t="s">
        <v>9412</v>
      </c>
      <c r="D212" s="109" t="s">
        <v>9413</v>
      </c>
      <c r="E212" s="109">
        <v>2020</v>
      </c>
      <c r="F212" s="109">
        <v>2020</v>
      </c>
      <c r="G212" s="109" t="s">
        <v>16</v>
      </c>
      <c r="H212" s="109">
        <v>200</v>
      </c>
      <c r="I212" s="109">
        <v>200</v>
      </c>
      <c r="J212" s="109"/>
      <c r="K212" s="109"/>
      <c r="L212" s="105">
        <v>20201118</v>
      </c>
    </row>
    <row r="213" s="175" customFormat="1" ht="16" customHeight="1" spans="1:12">
      <c r="A213" s="109">
        <v>211</v>
      </c>
      <c r="B213" s="109" t="s">
        <v>9015</v>
      </c>
      <c r="C213" s="109" t="s">
        <v>9414</v>
      </c>
      <c r="D213" s="109" t="s">
        <v>9415</v>
      </c>
      <c r="E213" s="109">
        <v>2020</v>
      </c>
      <c r="F213" s="109">
        <v>2020</v>
      </c>
      <c r="G213" s="109" t="s">
        <v>16</v>
      </c>
      <c r="H213" s="109">
        <v>200</v>
      </c>
      <c r="I213" s="109">
        <v>200</v>
      </c>
      <c r="J213" s="109"/>
      <c r="K213" s="109"/>
      <c r="L213" s="105">
        <v>20201118</v>
      </c>
    </row>
    <row r="214" s="175" customFormat="1" ht="16" customHeight="1" spans="1:12">
      <c r="A214" s="109">
        <v>212</v>
      </c>
      <c r="B214" s="109" t="s">
        <v>9015</v>
      </c>
      <c r="C214" s="109" t="s">
        <v>9416</v>
      </c>
      <c r="D214" s="109" t="s">
        <v>9417</v>
      </c>
      <c r="E214" s="109">
        <v>2020</v>
      </c>
      <c r="F214" s="109">
        <v>2020</v>
      </c>
      <c r="G214" s="109" t="s">
        <v>16</v>
      </c>
      <c r="H214" s="109">
        <v>200</v>
      </c>
      <c r="I214" s="109">
        <v>200</v>
      </c>
      <c r="J214" s="109"/>
      <c r="K214" s="109"/>
      <c r="L214" s="105">
        <v>20201118</v>
      </c>
    </row>
    <row r="215" s="175" customFormat="1" ht="16" customHeight="1" spans="1:12">
      <c r="A215" s="109">
        <v>213</v>
      </c>
      <c r="B215" s="109" t="s">
        <v>9015</v>
      </c>
      <c r="C215" s="109" t="s">
        <v>9418</v>
      </c>
      <c r="D215" s="109" t="s">
        <v>9419</v>
      </c>
      <c r="E215" s="109">
        <v>2020</v>
      </c>
      <c r="F215" s="109">
        <v>2020</v>
      </c>
      <c r="G215" s="109" t="s">
        <v>16</v>
      </c>
      <c r="H215" s="109">
        <v>200</v>
      </c>
      <c r="I215" s="109">
        <v>200</v>
      </c>
      <c r="J215" s="109"/>
      <c r="K215" s="109"/>
      <c r="L215" s="105">
        <v>20201118</v>
      </c>
    </row>
    <row r="216" s="175" customFormat="1" ht="16" customHeight="1" spans="1:12">
      <c r="A216" s="109">
        <v>214</v>
      </c>
      <c r="B216" s="109" t="s">
        <v>9015</v>
      </c>
      <c r="C216" s="109" t="s">
        <v>9420</v>
      </c>
      <c r="D216" s="109" t="s">
        <v>9421</v>
      </c>
      <c r="E216" s="109">
        <v>2020</v>
      </c>
      <c r="F216" s="109">
        <v>2020</v>
      </c>
      <c r="G216" s="109" t="s">
        <v>16</v>
      </c>
      <c r="H216" s="109">
        <v>200</v>
      </c>
      <c r="I216" s="109">
        <v>200</v>
      </c>
      <c r="J216" s="109"/>
      <c r="K216" s="109"/>
      <c r="L216" s="105">
        <v>20201118</v>
      </c>
    </row>
    <row r="217" s="175" customFormat="1" ht="16" customHeight="1" spans="1:12">
      <c r="A217" s="109">
        <v>215</v>
      </c>
      <c r="B217" s="109" t="s">
        <v>9015</v>
      </c>
      <c r="C217" s="109" t="s">
        <v>38</v>
      </c>
      <c r="D217" s="109" t="s">
        <v>9422</v>
      </c>
      <c r="E217" s="109">
        <v>2020</v>
      </c>
      <c r="F217" s="109">
        <v>2020</v>
      </c>
      <c r="G217" s="109" t="s">
        <v>16</v>
      </c>
      <c r="H217" s="109">
        <v>200</v>
      </c>
      <c r="I217" s="109">
        <v>200</v>
      </c>
      <c r="J217" s="109"/>
      <c r="K217" s="109"/>
      <c r="L217" s="105">
        <v>20201118</v>
      </c>
    </row>
    <row r="218" s="175" customFormat="1" ht="16" customHeight="1" spans="1:12">
      <c r="A218" s="109">
        <v>216</v>
      </c>
      <c r="B218" s="109" t="s">
        <v>9015</v>
      </c>
      <c r="C218" s="109" t="s">
        <v>9423</v>
      </c>
      <c r="D218" s="109" t="s">
        <v>9424</v>
      </c>
      <c r="E218" s="109">
        <v>2020</v>
      </c>
      <c r="F218" s="109">
        <v>2020</v>
      </c>
      <c r="G218" s="109" t="s">
        <v>16</v>
      </c>
      <c r="H218" s="109">
        <v>200</v>
      </c>
      <c r="I218" s="109">
        <v>200</v>
      </c>
      <c r="J218" s="109"/>
      <c r="K218" s="109"/>
      <c r="L218" s="105">
        <v>20201118</v>
      </c>
    </row>
    <row r="219" s="175" customFormat="1" ht="16" customHeight="1" spans="1:12">
      <c r="A219" s="109">
        <v>217</v>
      </c>
      <c r="B219" s="109" t="s">
        <v>9015</v>
      </c>
      <c r="C219" s="109" t="s">
        <v>9425</v>
      </c>
      <c r="D219" s="109" t="s">
        <v>9426</v>
      </c>
      <c r="E219" s="109">
        <v>2020</v>
      </c>
      <c r="F219" s="109">
        <v>2020</v>
      </c>
      <c r="G219" s="109" t="s">
        <v>16</v>
      </c>
      <c r="H219" s="109">
        <v>200</v>
      </c>
      <c r="I219" s="109">
        <v>200</v>
      </c>
      <c r="J219" s="109"/>
      <c r="K219" s="109"/>
      <c r="L219" s="105">
        <v>20201118</v>
      </c>
    </row>
    <row r="220" s="175" customFormat="1" ht="16" customHeight="1" spans="1:12">
      <c r="A220" s="109">
        <v>218</v>
      </c>
      <c r="B220" s="109" t="s">
        <v>9015</v>
      </c>
      <c r="C220" s="109" t="s">
        <v>9427</v>
      </c>
      <c r="D220" s="109" t="s">
        <v>9428</v>
      </c>
      <c r="E220" s="109">
        <v>2020</v>
      </c>
      <c r="F220" s="109">
        <v>2020</v>
      </c>
      <c r="G220" s="109" t="s">
        <v>16</v>
      </c>
      <c r="H220" s="109">
        <v>200</v>
      </c>
      <c r="I220" s="109">
        <v>200</v>
      </c>
      <c r="J220" s="109"/>
      <c r="K220" s="109"/>
      <c r="L220" s="105">
        <v>20201118</v>
      </c>
    </row>
    <row r="221" s="175" customFormat="1" ht="16" customHeight="1" spans="1:12">
      <c r="A221" s="109">
        <v>219</v>
      </c>
      <c r="B221" s="109" t="s">
        <v>9015</v>
      </c>
      <c r="C221" s="109" t="s">
        <v>9429</v>
      </c>
      <c r="D221" s="109" t="s">
        <v>9430</v>
      </c>
      <c r="E221" s="109">
        <v>2020</v>
      </c>
      <c r="F221" s="109">
        <v>2020</v>
      </c>
      <c r="G221" s="109" t="s">
        <v>16</v>
      </c>
      <c r="H221" s="109">
        <v>200</v>
      </c>
      <c r="I221" s="109">
        <v>200</v>
      </c>
      <c r="J221" s="109"/>
      <c r="K221" s="109"/>
      <c r="L221" s="105">
        <v>20201118</v>
      </c>
    </row>
    <row r="222" s="175" customFormat="1" ht="16" customHeight="1" spans="1:12">
      <c r="A222" s="109">
        <v>220</v>
      </c>
      <c r="B222" s="109" t="s">
        <v>9015</v>
      </c>
      <c r="C222" s="109" t="s">
        <v>9431</v>
      </c>
      <c r="D222" s="109" t="s">
        <v>9432</v>
      </c>
      <c r="E222" s="109">
        <v>2020</v>
      </c>
      <c r="F222" s="109">
        <v>2020</v>
      </c>
      <c r="G222" s="109" t="s">
        <v>16</v>
      </c>
      <c r="H222" s="109">
        <v>200</v>
      </c>
      <c r="I222" s="109">
        <v>200</v>
      </c>
      <c r="J222" s="109"/>
      <c r="K222" s="109"/>
      <c r="L222" s="105">
        <v>20201118</v>
      </c>
    </row>
    <row r="223" s="175" customFormat="1" ht="16" customHeight="1" spans="1:12">
      <c r="A223" s="109">
        <v>221</v>
      </c>
      <c r="B223" s="109" t="s">
        <v>9015</v>
      </c>
      <c r="C223" s="109" t="s">
        <v>9433</v>
      </c>
      <c r="D223" s="109" t="s">
        <v>9434</v>
      </c>
      <c r="E223" s="109">
        <v>2020</v>
      </c>
      <c r="F223" s="109">
        <v>2020</v>
      </c>
      <c r="G223" s="109" t="s">
        <v>16</v>
      </c>
      <c r="H223" s="109">
        <v>200</v>
      </c>
      <c r="I223" s="109">
        <v>200</v>
      </c>
      <c r="J223" s="109"/>
      <c r="K223" s="109"/>
      <c r="L223" s="105">
        <v>20201118</v>
      </c>
    </row>
    <row r="224" s="175" customFormat="1" ht="16" customHeight="1" spans="1:12">
      <c r="A224" s="109">
        <v>222</v>
      </c>
      <c r="B224" s="109" t="s">
        <v>9015</v>
      </c>
      <c r="C224" s="109" t="s">
        <v>9435</v>
      </c>
      <c r="D224" s="109" t="s">
        <v>9436</v>
      </c>
      <c r="E224" s="109">
        <v>2020</v>
      </c>
      <c r="F224" s="109">
        <v>2020</v>
      </c>
      <c r="G224" s="109" t="s">
        <v>16</v>
      </c>
      <c r="H224" s="109">
        <v>200</v>
      </c>
      <c r="I224" s="109">
        <v>200</v>
      </c>
      <c r="J224" s="109"/>
      <c r="K224" s="109"/>
      <c r="L224" s="105">
        <v>20201118</v>
      </c>
    </row>
    <row r="225" s="175" customFormat="1" ht="16" customHeight="1" spans="1:12">
      <c r="A225" s="109">
        <v>223</v>
      </c>
      <c r="B225" s="109" t="s">
        <v>9015</v>
      </c>
      <c r="C225" s="109" t="s">
        <v>9437</v>
      </c>
      <c r="D225" s="109" t="s">
        <v>9438</v>
      </c>
      <c r="E225" s="109">
        <v>2020</v>
      </c>
      <c r="F225" s="109">
        <v>2020</v>
      </c>
      <c r="G225" s="109" t="s">
        <v>16</v>
      </c>
      <c r="H225" s="109">
        <v>200</v>
      </c>
      <c r="I225" s="109">
        <v>200</v>
      </c>
      <c r="J225" s="109"/>
      <c r="K225" s="109"/>
      <c r="L225" s="105">
        <v>20201118</v>
      </c>
    </row>
    <row r="226" s="175" customFormat="1" ht="16" customHeight="1" spans="1:12">
      <c r="A226" s="109">
        <v>224</v>
      </c>
      <c r="B226" s="109" t="s">
        <v>9015</v>
      </c>
      <c r="C226" s="109" t="s">
        <v>9439</v>
      </c>
      <c r="D226" s="109" t="s">
        <v>9440</v>
      </c>
      <c r="E226" s="109">
        <v>2020</v>
      </c>
      <c r="F226" s="109">
        <v>2020</v>
      </c>
      <c r="G226" s="109" t="s">
        <v>16</v>
      </c>
      <c r="H226" s="109">
        <v>200</v>
      </c>
      <c r="I226" s="109">
        <v>200</v>
      </c>
      <c r="J226" s="109"/>
      <c r="K226" s="109"/>
      <c r="L226" s="105">
        <v>20201118</v>
      </c>
    </row>
    <row r="227" s="175" customFormat="1" ht="16" customHeight="1" spans="1:12">
      <c r="A227" s="109">
        <v>225</v>
      </c>
      <c r="B227" s="109" t="s">
        <v>9015</v>
      </c>
      <c r="C227" s="109" t="s">
        <v>9441</v>
      </c>
      <c r="D227" s="109" t="s">
        <v>9442</v>
      </c>
      <c r="E227" s="109">
        <v>2020</v>
      </c>
      <c r="F227" s="109">
        <v>2020</v>
      </c>
      <c r="G227" s="109" t="s">
        <v>16</v>
      </c>
      <c r="H227" s="109">
        <v>200</v>
      </c>
      <c r="I227" s="109">
        <v>200</v>
      </c>
      <c r="J227" s="109"/>
      <c r="K227" s="109"/>
      <c r="L227" s="105">
        <v>20201118</v>
      </c>
    </row>
    <row r="228" s="175" customFormat="1" ht="16" customHeight="1" spans="1:12">
      <c r="A228" s="109">
        <v>226</v>
      </c>
      <c r="B228" s="109" t="s">
        <v>9015</v>
      </c>
      <c r="C228" s="109" t="s">
        <v>9443</v>
      </c>
      <c r="D228" s="109" t="s">
        <v>9444</v>
      </c>
      <c r="E228" s="109">
        <v>2020</v>
      </c>
      <c r="F228" s="109">
        <v>2020</v>
      </c>
      <c r="G228" s="109" t="s">
        <v>16</v>
      </c>
      <c r="H228" s="109">
        <v>200</v>
      </c>
      <c r="I228" s="109">
        <v>200</v>
      </c>
      <c r="J228" s="109"/>
      <c r="K228" s="109"/>
      <c r="L228" s="105">
        <v>20201118</v>
      </c>
    </row>
    <row r="229" s="175" customFormat="1" ht="16" customHeight="1" spans="1:12">
      <c r="A229" s="109">
        <v>227</v>
      </c>
      <c r="B229" s="109" t="s">
        <v>9015</v>
      </c>
      <c r="C229" s="109" t="s">
        <v>5253</v>
      </c>
      <c r="D229" s="109" t="s">
        <v>9445</v>
      </c>
      <c r="E229" s="109">
        <v>2020</v>
      </c>
      <c r="F229" s="109">
        <v>2020</v>
      </c>
      <c r="G229" s="109" t="s">
        <v>16</v>
      </c>
      <c r="H229" s="109">
        <v>200</v>
      </c>
      <c r="I229" s="109">
        <v>200</v>
      </c>
      <c r="J229" s="109"/>
      <c r="K229" s="109"/>
      <c r="L229" s="105">
        <v>20201118</v>
      </c>
    </row>
    <row r="230" s="175" customFormat="1" ht="16" customHeight="1" spans="1:12">
      <c r="A230" s="109">
        <v>228</v>
      </c>
      <c r="B230" s="109" t="s">
        <v>9015</v>
      </c>
      <c r="C230" s="109" t="s">
        <v>7206</v>
      </c>
      <c r="D230" s="109" t="s">
        <v>9446</v>
      </c>
      <c r="E230" s="109">
        <v>2020</v>
      </c>
      <c r="F230" s="109">
        <v>2020</v>
      </c>
      <c r="G230" s="109" t="s">
        <v>16</v>
      </c>
      <c r="H230" s="109">
        <v>200</v>
      </c>
      <c r="I230" s="109">
        <v>200</v>
      </c>
      <c r="J230" s="109"/>
      <c r="K230" s="109"/>
      <c r="L230" s="105">
        <v>20201118</v>
      </c>
    </row>
    <row r="231" s="175" customFormat="1" ht="16" customHeight="1" spans="1:12">
      <c r="A231" s="109">
        <v>229</v>
      </c>
      <c r="B231" s="109" t="s">
        <v>9015</v>
      </c>
      <c r="C231" s="109" t="s">
        <v>9447</v>
      </c>
      <c r="D231" s="109" t="s">
        <v>9448</v>
      </c>
      <c r="E231" s="109">
        <v>2020</v>
      </c>
      <c r="F231" s="109">
        <v>2020</v>
      </c>
      <c r="G231" s="109" t="s">
        <v>16</v>
      </c>
      <c r="H231" s="109">
        <v>200</v>
      </c>
      <c r="I231" s="109">
        <v>200</v>
      </c>
      <c r="J231" s="109"/>
      <c r="K231" s="109"/>
      <c r="L231" s="105">
        <v>20201118</v>
      </c>
    </row>
    <row r="232" s="175" customFormat="1" ht="16" customHeight="1" spans="1:12">
      <c r="A232" s="109">
        <v>230</v>
      </c>
      <c r="B232" s="109" t="s">
        <v>9015</v>
      </c>
      <c r="C232" s="109" t="s">
        <v>9449</v>
      </c>
      <c r="D232" s="109" t="s">
        <v>9450</v>
      </c>
      <c r="E232" s="109">
        <v>2020</v>
      </c>
      <c r="F232" s="109">
        <v>2020</v>
      </c>
      <c r="G232" s="109" t="s">
        <v>16</v>
      </c>
      <c r="H232" s="109">
        <v>200</v>
      </c>
      <c r="I232" s="109">
        <v>200</v>
      </c>
      <c r="J232" s="109"/>
      <c r="K232" s="109"/>
      <c r="L232" s="105">
        <v>20201118</v>
      </c>
    </row>
    <row r="233" s="175" customFormat="1" ht="16" customHeight="1" spans="1:12">
      <c r="A233" s="109">
        <v>231</v>
      </c>
      <c r="B233" s="109" t="s">
        <v>9015</v>
      </c>
      <c r="C233" s="109" t="s">
        <v>2830</v>
      </c>
      <c r="D233" s="109" t="s">
        <v>9451</v>
      </c>
      <c r="E233" s="109">
        <v>2020</v>
      </c>
      <c r="F233" s="109">
        <v>2020</v>
      </c>
      <c r="G233" s="109" t="s">
        <v>16</v>
      </c>
      <c r="H233" s="109">
        <v>200</v>
      </c>
      <c r="I233" s="109">
        <v>200</v>
      </c>
      <c r="J233" s="109"/>
      <c r="K233" s="109"/>
      <c r="L233" s="105">
        <v>20201118</v>
      </c>
    </row>
    <row r="234" s="175" customFormat="1" ht="16" customHeight="1" spans="1:12">
      <c r="A234" s="109">
        <v>232</v>
      </c>
      <c r="B234" s="109" t="s">
        <v>9015</v>
      </c>
      <c r="C234" s="109" t="s">
        <v>9452</v>
      </c>
      <c r="D234" s="109" t="s">
        <v>9453</v>
      </c>
      <c r="E234" s="109">
        <v>2020</v>
      </c>
      <c r="F234" s="109">
        <v>2020</v>
      </c>
      <c r="G234" s="109" t="s">
        <v>16</v>
      </c>
      <c r="H234" s="109">
        <v>200</v>
      </c>
      <c r="I234" s="109">
        <v>200</v>
      </c>
      <c r="J234" s="109"/>
      <c r="K234" s="109"/>
      <c r="L234" s="105">
        <v>20201118</v>
      </c>
    </row>
    <row r="235" s="175" customFormat="1" ht="16" customHeight="1" spans="1:12">
      <c r="A235" s="109">
        <v>233</v>
      </c>
      <c r="B235" s="109" t="s">
        <v>9015</v>
      </c>
      <c r="C235" s="109" t="s">
        <v>9454</v>
      </c>
      <c r="D235" s="109" t="s">
        <v>9455</v>
      </c>
      <c r="E235" s="109">
        <v>2020</v>
      </c>
      <c r="F235" s="109">
        <v>2020</v>
      </c>
      <c r="G235" s="109" t="s">
        <v>16</v>
      </c>
      <c r="H235" s="109">
        <v>200</v>
      </c>
      <c r="I235" s="109">
        <v>200</v>
      </c>
      <c r="J235" s="109"/>
      <c r="K235" s="109"/>
      <c r="L235" s="105">
        <v>20201118</v>
      </c>
    </row>
    <row r="236" s="175" customFormat="1" ht="16" customHeight="1" spans="1:12">
      <c r="A236" s="109">
        <v>234</v>
      </c>
      <c r="B236" s="109" t="s">
        <v>9015</v>
      </c>
      <c r="C236" s="109" t="s">
        <v>9456</v>
      </c>
      <c r="D236" s="109" t="s">
        <v>9457</v>
      </c>
      <c r="E236" s="109">
        <v>2020</v>
      </c>
      <c r="F236" s="109">
        <v>2020</v>
      </c>
      <c r="G236" s="109" t="s">
        <v>16</v>
      </c>
      <c r="H236" s="109">
        <v>200</v>
      </c>
      <c r="I236" s="109">
        <v>200</v>
      </c>
      <c r="J236" s="109"/>
      <c r="K236" s="109"/>
      <c r="L236" s="105">
        <v>20201118</v>
      </c>
    </row>
    <row r="237" s="175" customFormat="1" ht="16" customHeight="1" spans="1:12">
      <c r="A237" s="109">
        <v>235</v>
      </c>
      <c r="B237" s="109" t="s">
        <v>9015</v>
      </c>
      <c r="C237" s="109" t="s">
        <v>9458</v>
      </c>
      <c r="D237" s="109" t="s">
        <v>9459</v>
      </c>
      <c r="E237" s="109">
        <v>2020</v>
      </c>
      <c r="F237" s="109">
        <v>2020</v>
      </c>
      <c r="G237" s="109" t="s">
        <v>16</v>
      </c>
      <c r="H237" s="109">
        <v>200</v>
      </c>
      <c r="I237" s="109">
        <v>200</v>
      </c>
      <c r="J237" s="109"/>
      <c r="K237" s="109"/>
      <c r="L237" s="105">
        <v>20201118</v>
      </c>
    </row>
    <row r="238" s="175" customFormat="1" ht="16" customHeight="1" spans="1:12">
      <c r="A238" s="109">
        <v>236</v>
      </c>
      <c r="B238" s="109" t="s">
        <v>9015</v>
      </c>
      <c r="C238" s="109" t="s">
        <v>9460</v>
      </c>
      <c r="D238" s="109" t="s">
        <v>9461</v>
      </c>
      <c r="E238" s="109">
        <v>2020</v>
      </c>
      <c r="F238" s="109">
        <v>2020</v>
      </c>
      <c r="G238" s="109" t="s">
        <v>16</v>
      </c>
      <c r="H238" s="109">
        <v>200</v>
      </c>
      <c r="I238" s="109">
        <v>200</v>
      </c>
      <c r="J238" s="109"/>
      <c r="K238" s="109"/>
      <c r="L238" s="105">
        <v>20201118</v>
      </c>
    </row>
    <row r="239" s="175" customFormat="1" ht="16" customHeight="1" spans="1:12">
      <c r="A239" s="109">
        <v>237</v>
      </c>
      <c r="B239" s="109" t="s">
        <v>9015</v>
      </c>
      <c r="C239" s="109" t="s">
        <v>9462</v>
      </c>
      <c r="D239" s="109" t="s">
        <v>9463</v>
      </c>
      <c r="E239" s="109">
        <v>2020</v>
      </c>
      <c r="F239" s="109">
        <v>2020</v>
      </c>
      <c r="G239" s="109" t="s">
        <v>16</v>
      </c>
      <c r="H239" s="109">
        <v>200</v>
      </c>
      <c r="I239" s="109">
        <v>200</v>
      </c>
      <c r="J239" s="109"/>
      <c r="K239" s="109"/>
      <c r="L239" s="105">
        <v>20201118</v>
      </c>
    </row>
    <row r="240" s="175" customFormat="1" ht="16" customHeight="1" spans="1:12">
      <c r="A240" s="109">
        <v>238</v>
      </c>
      <c r="B240" s="109" t="s">
        <v>9015</v>
      </c>
      <c r="C240" s="109" t="s">
        <v>9464</v>
      </c>
      <c r="D240" s="109" t="s">
        <v>9465</v>
      </c>
      <c r="E240" s="109">
        <v>2020</v>
      </c>
      <c r="F240" s="109">
        <v>2020</v>
      </c>
      <c r="G240" s="109" t="s">
        <v>16</v>
      </c>
      <c r="H240" s="109">
        <v>200</v>
      </c>
      <c r="I240" s="109">
        <v>200</v>
      </c>
      <c r="J240" s="109"/>
      <c r="K240" s="109"/>
      <c r="L240" s="105">
        <v>20201118</v>
      </c>
    </row>
    <row r="241" s="175" customFormat="1" ht="16" customHeight="1" spans="1:12">
      <c r="A241" s="109">
        <v>239</v>
      </c>
      <c r="B241" s="109" t="s">
        <v>9015</v>
      </c>
      <c r="C241" s="109" t="s">
        <v>9466</v>
      </c>
      <c r="D241" s="109" t="s">
        <v>9467</v>
      </c>
      <c r="E241" s="109">
        <v>2020</v>
      </c>
      <c r="F241" s="109">
        <v>2020</v>
      </c>
      <c r="G241" s="109" t="s">
        <v>16</v>
      </c>
      <c r="H241" s="109">
        <v>200</v>
      </c>
      <c r="I241" s="109">
        <v>200</v>
      </c>
      <c r="J241" s="109"/>
      <c r="K241" s="109"/>
      <c r="L241" s="105">
        <v>20201118</v>
      </c>
    </row>
    <row r="242" s="175" customFormat="1" ht="16" customHeight="1" spans="1:12">
      <c r="A242" s="109">
        <v>240</v>
      </c>
      <c r="B242" s="109" t="s">
        <v>9015</v>
      </c>
      <c r="C242" s="109" t="s">
        <v>9468</v>
      </c>
      <c r="D242" s="109" t="s">
        <v>9469</v>
      </c>
      <c r="E242" s="109">
        <v>2020</v>
      </c>
      <c r="F242" s="109">
        <v>2020</v>
      </c>
      <c r="G242" s="109" t="s">
        <v>16</v>
      </c>
      <c r="H242" s="109">
        <v>200</v>
      </c>
      <c r="I242" s="109">
        <v>200</v>
      </c>
      <c r="J242" s="109"/>
      <c r="K242" s="109"/>
      <c r="L242" s="105">
        <v>20201118</v>
      </c>
    </row>
    <row r="243" s="175" customFormat="1" ht="16" customHeight="1" spans="1:12">
      <c r="A243" s="109">
        <v>241</v>
      </c>
      <c r="B243" s="109" t="s">
        <v>9015</v>
      </c>
      <c r="C243" s="109" t="s">
        <v>9470</v>
      </c>
      <c r="D243" s="109" t="s">
        <v>9471</v>
      </c>
      <c r="E243" s="109">
        <v>2020</v>
      </c>
      <c r="F243" s="109">
        <v>2020</v>
      </c>
      <c r="G243" s="109" t="s">
        <v>16</v>
      </c>
      <c r="H243" s="109">
        <v>200</v>
      </c>
      <c r="I243" s="109">
        <v>200</v>
      </c>
      <c r="J243" s="109"/>
      <c r="K243" s="109"/>
      <c r="L243" s="105">
        <v>20201118</v>
      </c>
    </row>
    <row r="244" s="175" customFormat="1" ht="16" customHeight="1" spans="1:12">
      <c r="A244" s="109">
        <v>242</v>
      </c>
      <c r="B244" s="109" t="s">
        <v>9015</v>
      </c>
      <c r="C244" s="109" t="s">
        <v>9472</v>
      </c>
      <c r="D244" s="109" t="s">
        <v>9473</v>
      </c>
      <c r="E244" s="109">
        <v>2020</v>
      </c>
      <c r="F244" s="109">
        <v>2020</v>
      </c>
      <c r="G244" s="109" t="s">
        <v>16</v>
      </c>
      <c r="H244" s="109">
        <v>200</v>
      </c>
      <c r="I244" s="109">
        <v>200</v>
      </c>
      <c r="J244" s="109"/>
      <c r="K244" s="109"/>
      <c r="L244" s="105">
        <v>20201118</v>
      </c>
    </row>
    <row r="245" s="175" customFormat="1" ht="16" customHeight="1" spans="1:12">
      <c r="A245" s="109">
        <v>243</v>
      </c>
      <c r="B245" s="109" t="s">
        <v>9015</v>
      </c>
      <c r="C245" s="109" t="s">
        <v>9474</v>
      </c>
      <c r="D245" s="109" t="s">
        <v>9475</v>
      </c>
      <c r="E245" s="109">
        <v>2020</v>
      </c>
      <c r="F245" s="109">
        <v>2020</v>
      </c>
      <c r="G245" s="109" t="s">
        <v>16</v>
      </c>
      <c r="H245" s="109">
        <v>200</v>
      </c>
      <c r="I245" s="109">
        <v>200</v>
      </c>
      <c r="J245" s="109"/>
      <c r="K245" s="109"/>
      <c r="L245" s="105">
        <v>20201118</v>
      </c>
    </row>
    <row r="246" s="175" customFormat="1" ht="16" customHeight="1" spans="1:12">
      <c r="A246" s="109">
        <v>244</v>
      </c>
      <c r="B246" s="109" t="s">
        <v>9015</v>
      </c>
      <c r="C246" s="109" t="s">
        <v>9476</v>
      </c>
      <c r="D246" s="109" t="s">
        <v>9477</v>
      </c>
      <c r="E246" s="109">
        <v>2020</v>
      </c>
      <c r="F246" s="109">
        <v>2020</v>
      </c>
      <c r="G246" s="109" t="s">
        <v>16</v>
      </c>
      <c r="H246" s="109">
        <v>200</v>
      </c>
      <c r="I246" s="109">
        <v>200</v>
      </c>
      <c r="J246" s="109"/>
      <c r="K246" s="109"/>
      <c r="L246" s="105">
        <v>20201118</v>
      </c>
    </row>
    <row r="247" s="175" customFormat="1" ht="16" customHeight="1" spans="1:12">
      <c r="A247" s="109">
        <v>245</v>
      </c>
      <c r="B247" s="109" t="s">
        <v>9015</v>
      </c>
      <c r="C247" s="109" t="s">
        <v>9478</v>
      </c>
      <c r="D247" s="109" t="s">
        <v>9479</v>
      </c>
      <c r="E247" s="109">
        <v>2020</v>
      </c>
      <c r="F247" s="109">
        <v>2020</v>
      </c>
      <c r="G247" s="109" t="s">
        <v>16</v>
      </c>
      <c r="H247" s="109">
        <v>200</v>
      </c>
      <c r="I247" s="109">
        <v>200</v>
      </c>
      <c r="J247" s="109"/>
      <c r="K247" s="109"/>
      <c r="L247" s="105">
        <v>20201118</v>
      </c>
    </row>
    <row r="248" s="175" customFormat="1" ht="16" customHeight="1" spans="1:12">
      <c r="A248" s="109">
        <v>246</v>
      </c>
      <c r="B248" s="109" t="s">
        <v>9015</v>
      </c>
      <c r="C248" s="109" t="s">
        <v>9480</v>
      </c>
      <c r="D248" s="109" t="s">
        <v>9481</v>
      </c>
      <c r="E248" s="109">
        <v>2020</v>
      </c>
      <c r="F248" s="109">
        <v>2020</v>
      </c>
      <c r="G248" s="109" t="s">
        <v>16</v>
      </c>
      <c r="H248" s="109">
        <v>200</v>
      </c>
      <c r="I248" s="109">
        <v>200</v>
      </c>
      <c r="J248" s="109"/>
      <c r="K248" s="109"/>
      <c r="L248" s="105">
        <v>20201118</v>
      </c>
    </row>
    <row r="249" s="175" customFormat="1" ht="16" customHeight="1" spans="1:12">
      <c r="A249" s="109">
        <v>247</v>
      </c>
      <c r="B249" s="109" t="s">
        <v>9015</v>
      </c>
      <c r="C249" s="109" t="s">
        <v>9482</v>
      </c>
      <c r="D249" s="109" t="s">
        <v>9483</v>
      </c>
      <c r="E249" s="109">
        <v>2020</v>
      </c>
      <c r="F249" s="109">
        <v>2020</v>
      </c>
      <c r="G249" s="109" t="s">
        <v>16</v>
      </c>
      <c r="H249" s="109">
        <v>200</v>
      </c>
      <c r="I249" s="109">
        <v>200</v>
      </c>
      <c r="J249" s="109"/>
      <c r="K249" s="109"/>
      <c r="L249" s="105">
        <v>20201118</v>
      </c>
    </row>
    <row r="250" s="175" customFormat="1" ht="16" customHeight="1" spans="1:12">
      <c r="A250" s="109">
        <v>248</v>
      </c>
      <c r="B250" s="109" t="s">
        <v>9015</v>
      </c>
      <c r="C250" s="109" t="s">
        <v>9484</v>
      </c>
      <c r="D250" s="109" t="s">
        <v>9485</v>
      </c>
      <c r="E250" s="109">
        <v>2020</v>
      </c>
      <c r="F250" s="109">
        <v>2020</v>
      </c>
      <c r="G250" s="109" t="s">
        <v>16</v>
      </c>
      <c r="H250" s="109">
        <v>200</v>
      </c>
      <c r="I250" s="109">
        <v>200</v>
      </c>
      <c r="J250" s="109"/>
      <c r="K250" s="109"/>
      <c r="L250" s="105">
        <v>20201118</v>
      </c>
    </row>
    <row r="251" s="175" customFormat="1" ht="16" customHeight="1" spans="1:12">
      <c r="A251" s="109">
        <v>249</v>
      </c>
      <c r="B251" s="109" t="s">
        <v>9015</v>
      </c>
      <c r="C251" s="109" t="s">
        <v>9486</v>
      </c>
      <c r="D251" s="109" t="s">
        <v>9487</v>
      </c>
      <c r="E251" s="109">
        <v>2020</v>
      </c>
      <c r="F251" s="109">
        <v>2020</v>
      </c>
      <c r="G251" s="109" t="s">
        <v>16</v>
      </c>
      <c r="H251" s="109">
        <v>200</v>
      </c>
      <c r="I251" s="109">
        <v>200</v>
      </c>
      <c r="J251" s="109"/>
      <c r="K251" s="109"/>
      <c r="L251" s="105">
        <v>20201118</v>
      </c>
    </row>
    <row r="252" s="175" customFormat="1" ht="16" customHeight="1" spans="1:12">
      <c r="A252" s="109">
        <v>250</v>
      </c>
      <c r="B252" s="109" t="s">
        <v>9015</v>
      </c>
      <c r="C252" s="109" t="s">
        <v>9488</v>
      </c>
      <c r="D252" s="109" t="s">
        <v>9489</v>
      </c>
      <c r="E252" s="109">
        <v>2020</v>
      </c>
      <c r="F252" s="109">
        <v>2020</v>
      </c>
      <c r="G252" s="109" t="s">
        <v>16</v>
      </c>
      <c r="H252" s="109">
        <v>200</v>
      </c>
      <c r="I252" s="109">
        <v>200</v>
      </c>
      <c r="J252" s="109"/>
      <c r="K252" s="109"/>
      <c r="L252" s="105">
        <v>20201118</v>
      </c>
    </row>
    <row r="253" s="175" customFormat="1" ht="16" customHeight="1" spans="1:12">
      <c r="A253" s="109">
        <v>251</v>
      </c>
      <c r="B253" s="109" t="s">
        <v>9015</v>
      </c>
      <c r="C253" s="109" t="s">
        <v>9490</v>
      </c>
      <c r="D253" s="109" t="s">
        <v>9491</v>
      </c>
      <c r="E253" s="109">
        <v>2020</v>
      </c>
      <c r="F253" s="109">
        <v>2020</v>
      </c>
      <c r="G253" s="109" t="s">
        <v>16</v>
      </c>
      <c r="H253" s="109">
        <v>200</v>
      </c>
      <c r="I253" s="109">
        <v>200</v>
      </c>
      <c r="J253" s="109"/>
      <c r="K253" s="109"/>
      <c r="L253" s="105">
        <v>20201118</v>
      </c>
    </row>
    <row r="254" s="175" customFormat="1" ht="16" customHeight="1" spans="1:12">
      <c r="A254" s="109">
        <v>252</v>
      </c>
      <c r="B254" s="109" t="s">
        <v>9015</v>
      </c>
      <c r="C254" s="109" t="s">
        <v>9492</v>
      </c>
      <c r="D254" s="109" t="s">
        <v>9493</v>
      </c>
      <c r="E254" s="109">
        <v>2020</v>
      </c>
      <c r="F254" s="109">
        <v>2020</v>
      </c>
      <c r="G254" s="109" t="s">
        <v>16</v>
      </c>
      <c r="H254" s="109">
        <v>200</v>
      </c>
      <c r="I254" s="109">
        <v>200</v>
      </c>
      <c r="J254" s="109" t="s">
        <v>3405</v>
      </c>
      <c r="K254" s="109"/>
      <c r="L254" s="105">
        <v>20201118</v>
      </c>
    </row>
    <row r="255" s="175" customFormat="1" ht="16" customHeight="1" spans="1:12">
      <c r="A255" s="109">
        <v>253</v>
      </c>
      <c r="B255" s="109" t="s">
        <v>9015</v>
      </c>
      <c r="C255" s="109" t="s">
        <v>9494</v>
      </c>
      <c r="D255" s="109" t="s">
        <v>9495</v>
      </c>
      <c r="E255" s="109">
        <v>2020</v>
      </c>
      <c r="F255" s="109">
        <v>2020</v>
      </c>
      <c r="G255" s="109" t="s">
        <v>16</v>
      </c>
      <c r="H255" s="109">
        <v>200</v>
      </c>
      <c r="I255" s="109">
        <v>200</v>
      </c>
      <c r="J255" s="109"/>
      <c r="K255" s="109"/>
      <c r="L255" s="105">
        <v>20201118</v>
      </c>
    </row>
    <row r="256" s="175" customFormat="1" ht="16" customHeight="1" spans="1:12">
      <c r="A256" s="109">
        <v>254</v>
      </c>
      <c r="B256" s="109" t="s">
        <v>9015</v>
      </c>
      <c r="C256" s="109" t="s">
        <v>9496</v>
      </c>
      <c r="D256" s="109" t="s">
        <v>9497</v>
      </c>
      <c r="E256" s="109">
        <v>2020</v>
      </c>
      <c r="F256" s="109">
        <v>2020</v>
      </c>
      <c r="G256" s="109" t="s">
        <v>16</v>
      </c>
      <c r="H256" s="109">
        <v>200</v>
      </c>
      <c r="I256" s="109">
        <v>200</v>
      </c>
      <c r="J256" s="109"/>
      <c r="K256" s="109"/>
      <c r="L256" s="105">
        <v>20201118</v>
      </c>
    </row>
    <row r="257" s="175" customFormat="1" ht="16" customHeight="1" spans="1:12">
      <c r="A257" s="109">
        <v>255</v>
      </c>
      <c r="B257" s="109" t="s">
        <v>9015</v>
      </c>
      <c r="C257" s="109" t="s">
        <v>9498</v>
      </c>
      <c r="D257" s="109" t="s">
        <v>9499</v>
      </c>
      <c r="E257" s="109">
        <v>2020</v>
      </c>
      <c r="F257" s="109">
        <v>2020</v>
      </c>
      <c r="G257" s="109" t="s">
        <v>16</v>
      </c>
      <c r="H257" s="109">
        <v>200</v>
      </c>
      <c r="I257" s="109">
        <v>200</v>
      </c>
      <c r="J257" s="109"/>
      <c r="K257" s="109"/>
      <c r="L257" s="105">
        <v>20201118</v>
      </c>
    </row>
    <row r="258" s="175" customFormat="1" ht="16" customHeight="1" spans="1:12">
      <c r="A258" s="109">
        <v>256</v>
      </c>
      <c r="B258" s="109" t="s">
        <v>9015</v>
      </c>
      <c r="C258" s="109" t="s">
        <v>9500</v>
      </c>
      <c r="D258" s="109" t="s">
        <v>9501</v>
      </c>
      <c r="E258" s="109">
        <v>2020</v>
      </c>
      <c r="F258" s="109">
        <v>2020</v>
      </c>
      <c r="G258" s="109" t="s">
        <v>16</v>
      </c>
      <c r="H258" s="109">
        <v>200</v>
      </c>
      <c r="I258" s="109">
        <v>200</v>
      </c>
      <c r="J258" s="109"/>
      <c r="K258" s="109"/>
      <c r="L258" s="105">
        <v>20201118</v>
      </c>
    </row>
    <row r="259" s="175" customFormat="1" ht="16" customHeight="1" spans="1:12">
      <c r="A259" s="109">
        <v>257</v>
      </c>
      <c r="B259" s="109" t="s">
        <v>9015</v>
      </c>
      <c r="C259" s="109" t="s">
        <v>9502</v>
      </c>
      <c r="D259" s="109" t="s">
        <v>9503</v>
      </c>
      <c r="E259" s="109">
        <v>2020</v>
      </c>
      <c r="F259" s="109">
        <v>2020</v>
      </c>
      <c r="G259" s="109" t="s">
        <v>16</v>
      </c>
      <c r="H259" s="109">
        <v>200</v>
      </c>
      <c r="I259" s="109">
        <v>200</v>
      </c>
      <c r="J259" s="109"/>
      <c r="K259" s="109"/>
      <c r="L259" s="105">
        <v>20201118</v>
      </c>
    </row>
    <row r="260" s="175" customFormat="1" ht="16" customHeight="1" spans="1:12">
      <c r="A260" s="109">
        <v>258</v>
      </c>
      <c r="B260" s="109" t="s">
        <v>9015</v>
      </c>
      <c r="C260" s="109" t="s">
        <v>9504</v>
      </c>
      <c r="D260" s="109" t="s">
        <v>9505</v>
      </c>
      <c r="E260" s="109">
        <v>2020</v>
      </c>
      <c r="F260" s="109">
        <v>2020</v>
      </c>
      <c r="G260" s="109" t="s">
        <v>16</v>
      </c>
      <c r="H260" s="109">
        <v>200</v>
      </c>
      <c r="I260" s="109">
        <v>200</v>
      </c>
      <c r="J260" s="109"/>
      <c r="K260" s="109"/>
      <c r="L260" s="105">
        <v>20201118</v>
      </c>
    </row>
    <row r="261" s="175" customFormat="1" ht="16" customHeight="1" spans="1:12">
      <c r="A261" s="109">
        <v>259</v>
      </c>
      <c r="B261" s="109" t="s">
        <v>9015</v>
      </c>
      <c r="C261" s="109" t="s">
        <v>9506</v>
      </c>
      <c r="D261" s="109" t="s">
        <v>9507</v>
      </c>
      <c r="E261" s="109">
        <v>2020</v>
      </c>
      <c r="F261" s="109">
        <v>2020</v>
      </c>
      <c r="G261" s="109" t="s">
        <v>16</v>
      </c>
      <c r="H261" s="109">
        <v>200</v>
      </c>
      <c r="I261" s="109">
        <v>200</v>
      </c>
      <c r="J261" s="109"/>
      <c r="K261" s="109"/>
      <c r="L261" s="105">
        <v>20201118</v>
      </c>
    </row>
    <row r="262" s="175" customFormat="1" ht="16" customHeight="1" spans="1:12">
      <c r="A262" s="109">
        <v>260</v>
      </c>
      <c r="B262" s="109" t="s">
        <v>9015</v>
      </c>
      <c r="C262" s="109" t="s">
        <v>6900</v>
      </c>
      <c r="D262" s="109" t="s">
        <v>9508</v>
      </c>
      <c r="E262" s="109">
        <v>2020</v>
      </c>
      <c r="F262" s="109">
        <v>2020</v>
      </c>
      <c r="G262" s="109" t="s">
        <v>16</v>
      </c>
      <c r="H262" s="109">
        <v>200</v>
      </c>
      <c r="I262" s="109">
        <v>200</v>
      </c>
      <c r="J262" s="109"/>
      <c r="K262" s="109"/>
      <c r="L262" s="105">
        <v>20201118</v>
      </c>
    </row>
    <row r="263" s="175" customFormat="1" ht="16" customHeight="1" spans="1:12">
      <c r="A263" s="109">
        <v>261</v>
      </c>
      <c r="B263" s="109" t="s">
        <v>9015</v>
      </c>
      <c r="C263" s="109" t="s">
        <v>9509</v>
      </c>
      <c r="D263" s="109" t="s">
        <v>9510</v>
      </c>
      <c r="E263" s="109">
        <v>2020</v>
      </c>
      <c r="F263" s="109">
        <v>2020</v>
      </c>
      <c r="G263" s="109" t="s">
        <v>16</v>
      </c>
      <c r="H263" s="109">
        <v>200</v>
      </c>
      <c r="I263" s="109">
        <v>200</v>
      </c>
      <c r="J263" s="109"/>
      <c r="K263" s="109"/>
      <c r="L263" s="105">
        <v>20201118</v>
      </c>
    </row>
    <row r="264" s="175" customFormat="1" ht="16" customHeight="1" spans="1:12">
      <c r="A264" s="109">
        <v>262</v>
      </c>
      <c r="B264" s="109" t="s">
        <v>9015</v>
      </c>
      <c r="C264" s="109" t="s">
        <v>9511</v>
      </c>
      <c r="D264" s="109" t="s">
        <v>9512</v>
      </c>
      <c r="E264" s="109">
        <v>2020</v>
      </c>
      <c r="F264" s="109">
        <v>2020</v>
      </c>
      <c r="G264" s="109" t="s">
        <v>16</v>
      </c>
      <c r="H264" s="109">
        <v>200</v>
      </c>
      <c r="I264" s="109">
        <v>200</v>
      </c>
      <c r="J264" s="109"/>
      <c r="K264" s="109"/>
      <c r="L264" s="105">
        <v>20201118</v>
      </c>
    </row>
    <row r="265" s="175" customFormat="1" ht="16" customHeight="1" spans="1:12">
      <c r="A265" s="109">
        <v>263</v>
      </c>
      <c r="B265" s="109" t="s">
        <v>9015</v>
      </c>
      <c r="C265" s="109" t="s">
        <v>9513</v>
      </c>
      <c r="D265" s="109" t="s">
        <v>9514</v>
      </c>
      <c r="E265" s="109">
        <v>2020</v>
      </c>
      <c r="F265" s="109">
        <v>2020</v>
      </c>
      <c r="G265" s="109" t="s">
        <v>16</v>
      </c>
      <c r="H265" s="109">
        <v>200</v>
      </c>
      <c r="I265" s="109">
        <v>200</v>
      </c>
      <c r="J265" s="109"/>
      <c r="K265" s="109"/>
      <c r="L265" s="105">
        <v>20201118</v>
      </c>
    </row>
    <row r="266" s="175" customFormat="1" ht="16" customHeight="1" spans="1:12">
      <c r="A266" s="109">
        <v>264</v>
      </c>
      <c r="B266" s="109" t="s">
        <v>9015</v>
      </c>
      <c r="C266" s="109" t="s">
        <v>9515</v>
      </c>
      <c r="D266" s="109" t="s">
        <v>9516</v>
      </c>
      <c r="E266" s="109">
        <v>2020</v>
      </c>
      <c r="F266" s="109">
        <v>2020</v>
      </c>
      <c r="G266" s="109" t="s">
        <v>16</v>
      </c>
      <c r="H266" s="109">
        <v>200</v>
      </c>
      <c r="I266" s="109">
        <v>200</v>
      </c>
      <c r="J266" s="109"/>
      <c r="K266" s="109"/>
      <c r="L266" s="105">
        <v>20201118</v>
      </c>
    </row>
    <row r="267" s="175" customFormat="1" ht="16" customHeight="1" spans="1:12">
      <c r="A267" s="109">
        <v>265</v>
      </c>
      <c r="B267" s="109" t="s">
        <v>9015</v>
      </c>
      <c r="C267" s="109" t="s">
        <v>9517</v>
      </c>
      <c r="D267" s="109" t="s">
        <v>9518</v>
      </c>
      <c r="E267" s="109">
        <v>2020</v>
      </c>
      <c r="F267" s="109">
        <v>2020</v>
      </c>
      <c r="G267" s="109" t="s">
        <v>16</v>
      </c>
      <c r="H267" s="109">
        <v>200</v>
      </c>
      <c r="I267" s="109">
        <v>200</v>
      </c>
      <c r="J267" s="109"/>
      <c r="K267" s="109"/>
      <c r="L267" s="105">
        <v>20201118</v>
      </c>
    </row>
    <row r="268" s="175" customFormat="1" ht="16" customHeight="1" spans="1:12">
      <c r="A268" s="109">
        <v>266</v>
      </c>
      <c r="B268" s="109" t="s">
        <v>9015</v>
      </c>
      <c r="C268" s="109" t="s">
        <v>9519</v>
      </c>
      <c r="D268" s="109" t="s">
        <v>9520</v>
      </c>
      <c r="E268" s="109">
        <v>2020</v>
      </c>
      <c r="F268" s="109">
        <v>2020</v>
      </c>
      <c r="G268" s="109" t="s">
        <v>16</v>
      </c>
      <c r="H268" s="109">
        <v>200</v>
      </c>
      <c r="I268" s="109">
        <v>200</v>
      </c>
      <c r="J268" s="109"/>
      <c r="K268" s="109"/>
      <c r="L268" s="105">
        <v>20201118</v>
      </c>
    </row>
    <row r="269" s="175" customFormat="1" ht="16" customHeight="1" spans="1:12">
      <c r="A269" s="109">
        <v>267</v>
      </c>
      <c r="B269" s="109" t="s">
        <v>9015</v>
      </c>
      <c r="C269" s="109" t="s">
        <v>9521</v>
      </c>
      <c r="D269" s="109" t="s">
        <v>9522</v>
      </c>
      <c r="E269" s="109">
        <v>2020</v>
      </c>
      <c r="F269" s="109">
        <v>2020</v>
      </c>
      <c r="G269" s="109" t="s">
        <v>16</v>
      </c>
      <c r="H269" s="109">
        <v>200</v>
      </c>
      <c r="I269" s="109">
        <v>200</v>
      </c>
      <c r="J269" s="109"/>
      <c r="K269" s="109"/>
      <c r="L269" s="105">
        <v>20201118</v>
      </c>
    </row>
    <row r="270" s="175" customFormat="1" ht="16" customHeight="1" spans="1:12">
      <c r="A270" s="109">
        <v>268</v>
      </c>
      <c r="B270" s="109" t="s">
        <v>9015</v>
      </c>
      <c r="C270" s="109" t="s">
        <v>9523</v>
      </c>
      <c r="D270" s="109" t="s">
        <v>9524</v>
      </c>
      <c r="E270" s="109">
        <v>2020</v>
      </c>
      <c r="F270" s="109">
        <v>2020</v>
      </c>
      <c r="G270" s="109" t="s">
        <v>16</v>
      </c>
      <c r="H270" s="109">
        <v>200</v>
      </c>
      <c r="I270" s="109">
        <v>200</v>
      </c>
      <c r="J270" s="109"/>
      <c r="K270" s="109"/>
      <c r="L270" s="105">
        <v>20201118</v>
      </c>
    </row>
    <row r="271" s="175" customFormat="1" ht="16" customHeight="1" spans="1:12">
      <c r="A271" s="109">
        <v>269</v>
      </c>
      <c r="B271" s="109" t="s">
        <v>9015</v>
      </c>
      <c r="C271" s="109" t="s">
        <v>9525</v>
      </c>
      <c r="D271" s="109" t="s">
        <v>9526</v>
      </c>
      <c r="E271" s="109">
        <v>2020</v>
      </c>
      <c r="F271" s="109">
        <v>2020</v>
      </c>
      <c r="G271" s="109" t="s">
        <v>16</v>
      </c>
      <c r="H271" s="109">
        <v>200</v>
      </c>
      <c r="I271" s="109">
        <v>200</v>
      </c>
      <c r="J271" s="109"/>
      <c r="K271" s="109"/>
      <c r="L271" s="105">
        <v>20201118</v>
      </c>
    </row>
    <row r="272" s="175" customFormat="1" ht="16" customHeight="1" spans="1:12">
      <c r="A272" s="109">
        <v>270</v>
      </c>
      <c r="B272" s="109" t="s">
        <v>9015</v>
      </c>
      <c r="C272" s="109" t="s">
        <v>9527</v>
      </c>
      <c r="D272" s="109" t="s">
        <v>9528</v>
      </c>
      <c r="E272" s="109">
        <v>2020</v>
      </c>
      <c r="F272" s="109">
        <v>2020</v>
      </c>
      <c r="G272" s="109" t="s">
        <v>16</v>
      </c>
      <c r="H272" s="109">
        <v>200</v>
      </c>
      <c r="I272" s="109">
        <v>200</v>
      </c>
      <c r="J272" s="109"/>
      <c r="K272" s="109"/>
      <c r="L272" s="105">
        <v>20201118</v>
      </c>
    </row>
    <row r="273" s="175" customFormat="1" ht="16" customHeight="1" spans="1:12">
      <c r="A273" s="109">
        <v>271</v>
      </c>
      <c r="B273" s="109" t="s">
        <v>9015</v>
      </c>
      <c r="C273" s="109" t="s">
        <v>9529</v>
      </c>
      <c r="D273" s="109" t="s">
        <v>9530</v>
      </c>
      <c r="E273" s="109">
        <v>2020</v>
      </c>
      <c r="F273" s="109">
        <v>2020</v>
      </c>
      <c r="G273" s="109" t="s">
        <v>16</v>
      </c>
      <c r="H273" s="109">
        <v>200</v>
      </c>
      <c r="I273" s="109">
        <v>200</v>
      </c>
      <c r="J273" s="109"/>
      <c r="K273" s="109"/>
      <c r="L273" s="105">
        <v>20201118</v>
      </c>
    </row>
    <row r="274" s="175" customFormat="1" ht="16" customHeight="1" spans="1:12">
      <c r="A274" s="109">
        <v>272</v>
      </c>
      <c r="B274" s="109" t="s">
        <v>9015</v>
      </c>
      <c r="C274" s="109" t="s">
        <v>9531</v>
      </c>
      <c r="D274" s="109" t="s">
        <v>9532</v>
      </c>
      <c r="E274" s="109">
        <v>2020</v>
      </c>
      <c r="F274" s="109">
        <v>2020</v>
      </c>
      <c r="G274" s="109" t="s">
        <v>16</v>
      </c>
      <c r="H274" s="109">
        <v>200</v>
      </c>
      <c r="I274" s="109">
        <v>200</v>
      </c>
      <c r="J274" s="109"/>
      <c r="K274" s="109"/>
      <c r="L274" s="105">
        <v>20201118</v>
      </c>
    </row>
    <row r="275" s="175" customFormat="1" ht="16" customHeight="1" spans="1:12">
      <c r="A275" s="109">
        <v>273</v>
      </c>
      <c r="B275" s="109" t="s">
        <v>9015</v>
      </c>
      <c r="C275" s="109" t="s">
        <v>9533</v>
      </c>
      <c r="D275" s="109" t="s">
        <v>9534</v>
      </c>
      <c r="E275" s="109">
        <v>2020</v>
      </c>
      <c r="F275" s="109">
        <v>2020</v>
      </c>
      <c r="G275" s="109" t="s">
        <v>16</v>
      </c>
      <c r="H275" s="109">
        <v>200</v>
      </c>
      <c r="I275" s="109">
        <v>200</v>
      </c>
      <c r="J275" s="109"/>
      <c r="K275" s="109"/>
      <c r="L275" s="105">
        <v>20201118</v>
      </c>
    </row>
    <row r="276" s="175" customFormat="1" ht="16" customHeight="1" spans="1:12">
      <c r="A276" s="109">
        <v>274</v>
      </c>
      <c r="B276" s="109" t="s">
        <v>9015</v>
      </c>
      <c r="C276" s="109" t="s">
        <v>6539</v>
      </c>
      <c r="D276" s="109" t="s">
        <v>9535</v>
      </c>
      <c r="E276" s="109">
        <v>2020</v>
      </c>
      <c r="F276" s="109">
        <v>2020</v>
      </c>
      <c r="G276" s="109" t="s">
        <v>16</v>
      </c>
      <c r="H276" s="109">
        <v>200</v>
      </c>
      <c r="I276" s="109">
        <v>200</v>
      </c>
      <c r="J276" s="109"/>
      <c r="K276" s="109"/>
      <c r="L276" s="105">
        <v>20201118</v>
      </c>
    </row>
    <row r="277" s="175" customFormat="1" ht="16" customHeight="1" spans="1:12">
      <c r="A277" s="109">
        <v>275</v>
      </c>
      <c r="B277" s="109" t="s">
        <v>9015</v>
      </c>
      <c r="C277" s="109" t="s">
        <v>9536</v>
      </c>
      <c r="D277" s="109" t="s">
        <v>9537</v>
      </c>
      <c r="E277" s="109">
        <v>2020</v>
      </c>
      <c r="F277" s="109">
        <v>2020</v>
      </c>
      <c r="G277" s="109" t="s">
        <v>16</v>
      </c>
      <c r="H277" s="109">
        <v>200</v>
      </c>
      <c r="I277" s="109">
        <v>200</v>
      </c>
      <c r="J277" s="109" t="s">
        <v>108</v>
      </c>
      <c r="K277" s="109"/>
      <c r="L277" s="105">
        <v>20201118</v>
      </c>
    </row>
    <row r="278" s="175" customFormat="1" ht="16" customHeight="1" spans="1:12">
      <c r="A278" s="109">
        <v>276</v>
      </c>
      <c r="B278" s="109" t="s">
        <v>9015</v>
      </c>
      <c r="C278" s="109" t="s">
        <v>5941</v>
      </c>
      <c r="D278" s="109" t="s">
        <v>9538</v>
      </c>
      <c r="E278" s="109">
        <v>2020</v>
      </c>
      <c r="F278" s="109">
        <v>2020</v>
      </c>
      <c r="G278" s="109" t="s">
        <v>16</v>
      </c>
      <c r="H278" s="109">
        <v>200</v>
      </c>
      <c r="I278" s="109">
        <v>200</v>
      </c>
      <c r="J278" s="109"/>
      <c r="K278" s="109"/>
      <c r="L278" s="105">
        <v>20201118</v>
      </c>
    </row>
    <row r="279" s="175" customFormat="1" ht="16" customHeight="1" spans="1:12">
      <c r="A279" s="109">
        <v>277</v>
      </c>
      <c r="B279" s="109" t="s">
        <v>9015</v>
      </c>
      <c r="C279" s="109" t="s">
        <v>9539</v>
      </c>
      <c r="D279" s="109" t="s">
        <v>9540</v>
      </c>
      <c r="E279" s="109">
        <v>2020</v>
      </c>
      <c r="F279" s="109">
        <v>2020</v>
      </c>
      <c r="G279" s="109" t="s">
        <v>16</v>
      </c>
      <c r="H279" s="109">
        <v>200</v>
      </c>
      <c r="I279" s="109">
        <v>200</v>
      </c>
      <c r="J279" s="109"/>
      <c r="K279" s="109"/>
      <c r="L279" s="105">
        <v>20201118</v>
      </c>
    </row>
    <row r="280" s="175" customFormat="1" ht="16" customHeight="1" spans="1:12">
      <c r="A280" s="109">
        <v>278</v>
      </c>
      <c r="B280" s="109" t="s">
        <v>9015</v>
      </c>
      <c r="C280" s="109" t="s">
        <v>9541</v>
      </c>
      <c r="D280" s="109" t="s">
        <v>9542</v>
      </c>
      <c r="E280" s="109">
        <v>2020</v>
      </c>
      <c r="F280" s="109">
        <v>2020</v>
      </c>
      <c r="G280" s="109" t="s">
        <v>16</v>
      </c>
      <c r="H280" s="109">
        <v>200</v>
      </c>
      <c r="I280" s="109">
        <v>200</v>
      </c>
      <c r="J280" s="109"/>
      <c r="K280" s="109"/>
      <c r="L280" s="105">
        <v>20201118</v>
      </c>
    </row>
    <row r="281" s="175" customFormat="1" ht="16" customHeight="1" spans="1:12">
      <c r="A281" s="109">
        <v>279</v>
      </c>
      <c r="B281" s="109" t="s">
        <v>9015</v>
      </c>
      <c r="C281" s="109" t="s">
        <v>7087</v>
      </c>
      <c r="D281" s="109" t="s">
        <v>9543</v>
      </c>
      <c r="E281" s="109">
        <v>2020</v>
      </c>
      <c r="F281" s="109">
        <v>2020</v>
      </c>
      <c r="G281" s="109" t="s">
        <v>16</v>
      </c>
      <c r="H281" s="109">
        <v>200</v>
      </c>
      <c r="I281" s="109">
        <v>200</v>
      </c>
      <c r="J281" s="109"/>
      <c r="K281" s="109"/>
      <c r="L281" s="105">
        <v>20201118</v>
      </c>
    </row>
    <row r="282" s="175" customFormat="1" ht="16" customHeight="1" spans="1:12">
      <c r="A282" s="109">
        <v>280</v>
      </c>
      <c r="B282" s="109" t="s">
        <v>9015</v>
      </c>
      <c r="C282" s="109" t="s">
        <v>9544</v>
      </c>
      <c r="D282" s="109" t="s">
        <v>9545</v>
      </c>
      <c r="E282" s="109">
        <v>2020</v>
      </c>
      <c r="F282" s="109">
        <v>2020</v>
      </c>
      <c r="G282" s="109" t="s">
        <v>16</v>
      </c>
      <c r="H282" s="109">
        <v>200</v>
      </c>
      <c r="I282" s="109">
        <v>200</v>
      </c>
      <c r="J282" s="109"/>
      <c r="K282" s="109"/>
      <c r="L282" s="105">
        <v>20201118</v>
      </c>
    </row>
    <row r="283" s="175" customFormat="1" ht="16" customHeight="1" spans="1:12">
      <c r="A283" s="109">
        <v>281</v>
      </c>
      <c r="B283" s="109" t="s">
        <v>9015</v>
      </c>
      <c r="C283" s="109" t="s">
        <v>9546</v>
      </c>
      <c r="D283" s="109" t="s">
        <v>9547</v>
      </c>
      <c r="E283" s="109">
        <v>2020</v>
      </c>
      <c r="F283" s="109">
        <v>2020</v>
      </c>
      <c r="G283" s="109" t="s">
        <v>16</v>
      </c>
      <c r="H283" s="109">
        <v>200</v>
      </c>
      <c r="I283" s="109">
        <v>200</v>
      </c>
      <c r="J283" s="109"/>
      <c r="K283" s="109"/>
      <c r="L283" s="105">
        <v>20201118</v>
      </c>
    </row>
    <row r="284" s="175" customFormat="1" ht="16" customHeight="1" spans="1:12">
      <c r="A284" s="109">
        <v>282</v>
      </c>
      <c r="B284" s="109" t="s">
        <v>9015</v>
      </c>
      <c r="C284" s="109" t="s">
        <v>9548</v>
      </c>
      <c r="D284" s="109" t="s">
        <v>9549</v>
      </c>
      <c r="E284" s="109">
        <v>2020</v>
      </c>
      <c r="F284" s="109">
        <v>2020</v>
      </c>
      <c r="G284" s="109" t="s">
        <v>16</v>
      </c>
      <c r="H284" s="109">
        <v>200</v>
      </c>
      <c r="I284" s="109">
        <v>200</v>
      </c>
      <c r="J284" s="109"/>
      <c r="K284" s="109"/>
      <c r="L284" s="105">
        <v>20201118</v>
      </c>
    </row>
    <row r="285" s="175" customFormat="1" ht="16" customHeight="1" spans="1:12">
      <c r="A285" s="109">
        <v>283</v>
      </c>
      <c r="B285" s="109" t="s">
        <v>9015</v>
      </c>
      <c r="C285" s="109" t="s">
        <v>9550</v>
      </c>
      <c r="D285" s="109" t="s">
        <v>9551</v>
      </c>
      <c r="E285" s="109">
        <v>2020</v>
      </c>
      <c r="F285" s="109">
        <v>2020</v>
      </c>
      <c r="G285" s="109" t="s">
        <v>16</v>
      </c>
      <c r="H285" s="109">
        <v>200</v>
      </c>
      <c r="I285" s="109">
        <v>200</v>
      </c>
      <c r="J285" s="109"/>
      <c r="K285" s="109"/>
      <c r="L285" s="105">
        <v>20201118</v>
      </c>
    </row>
    <row r="286" s="175" customFormat="1" ht="16" customHeight="1" spans="1:12">
      <c r="A286" s="109">
        <v>284</v>
      </c>
      <c r="B286" s="109" t="s">
        <v>9015</v>
      </c>
      <c r="C286" s="109" t="s">
        <v>9552</v>
      </c>
      <c r="D286" s="109" t="s">
        <v>9553</v>
      </c>
      <c r="E286" s="109">
        <v>2020</v>
      </c>
      <c r="F286" s="109">
        <v>2020</v>
      </c>
      <c r="G286" s="109" t="s">
        <v>16</v>
      </c>
      <c r="H286" s="109">
        <v>200</v>
      </c>
      <c r="I286" s="109">
        <v>200</v>
      </c>
      <c r="J286" s="109"/>
      <c r="K286" s="109"/>
      <c r="L286" s="105">
        <v>20201118</v>
      </c>
    </row>
    <row r="287" s="175" customFormat="1" ht="16" customHeight="1" spans="1:12">
      <c r="A287" s="109">
        <v>285</v>
      </c>
      <c r="B287" s="109" t="s">
        <v>9015</v>
      </c>
      <c r="C287" s="109" t="s">
        <v>9554</v>
      </c>
      <c r="D287" s="109" t="s">
        <v>9555</v>
      </c>
      <c r="E287" s="109">
        <v>2020</v>
      </c>
      <c r="F287" s="109">
        <v>2020</v>
      </c>
      <c r="G287" s="109" t="s">
        <v>16</v>
      </c>
      <c r="H287" s="109">
        <v>200</v>
      </c>
      <c r="I287" s="109">
        <v>200</v>
      </c>
      <c r="J287" s="109"/>
      <c r="K287" s="109"/>
      <c r="L287" s="105">
        <v>20201118</v>
      </c>
    </row>
    <row r="288" s="175" customFormat="1" ht="16" customHeight="1" spans="1:12">
      <c r="A288" s="109">
        <v>286</v>
      </c>
      <c r="B288" s="109" t="s">
        <v>9015</v>
      </c>
      <c r="C288" s="109" t="s">
        <v>9556</v>
      </c>
      <c r="D288" s="109" t="s">
        <v>9557</v>
      </c>
      <c r="E288" s="109">
        <v>2020</v>
      </c>
      <c r="F288" s="109">
        <v>2020</v>
      </c>
      <c r="G288" s="109" t="s">
        <v>16</v>
      </c>
      <c r="H288" s="109">
        <v>200</v>
      </c>
      <c r="I288" s="109">
        <v>200</v>
      </c>
      <c r="J288" s="109"/>
      <c r="K288" s="109"/>
      <c r="L288" s="105">
        <v>20201118</v>
      </c>
    </row>
    <row r="289" s="175" customFormat="1" ht="16" customHeight="1" spans="1:12">
      <c r="A289" s="109">
        <v>287</v>
      </c>
      <c r="B289" s="109" t="s">
        <v>9015</v>
      </c>
      <c r="C289" s="109" t="s">
        <v>9558</v>
      </c>
      <c r="D289" s="109" t="s">
        <v>9559</v>
      </c>
      <c r="E289" s="109">
        <v>2020</v>
      </c>
      <c r="F289" s="109">
        <v>2020</v>
      </c>
      <c r="G289" s="109" t="s">
        <v>16</v>
      </c>
      <c r="H289" s="109">
        <v>200</v>
      </c>
      <c r="I289" s="109">
        <v>200</v>
      </c>
      <c r="J289" s="109"/>
      <c r="K289" s="109"/>
      <c r="L289" s="105">
        <v>20201118</v>
      </c>
    </row>
    <row r="290" s="175" customFormat="1" ht="16" customHeight="1" spans="1:12">
      <c r="A290" s="109">
        <v>288</v>
      </c>
      <c r="B290" s="109" t="s">
        <v>9015</v>
      </c>
      <c r="C290" s="109" t="s">
        <v>9560</v>
      </c>
      <c r="D290" s="109" t="s">
        <v>9561</v>
      </c>
      <c r="E290" s="109">
        <v>2020</v>
      </c>
      <c r="F290" s="109">
        <v>2020</v>
      </c>
      <c r="G290" s="109" t="s">
        <v>16</v>
      </c>
      <c r="H290" s="109">
        <v>200</v>
      </c>
      <c r="I290" s="109">
        <v>200</v>
      </c>
      <c r="J290" s="109"/>
      <c r="K290" s="109"/>
      <c r="L290" s="105">
        <v>20201118</v>
      </c>
    </row>
    <row r="291" s="175" customFormat="1" ht="16" customHeight="1" spans="1:12">
      <c r="A291" s="109">
        <v>289</v>
      </c>
      <c r="B291" s="109" t="s">
        <v>9015</v>
      </c>
      <c r="C291" s="109" t="s">
        <v>3054</v>
      </c>
      <c r="D291" s="109" t="s">
        <v>9562</v>
      </c>
      <c r="E291" s="109">
        <v>2020</v>
      </c>
      <c r="F291" s="109">
        <v>2020</v>
      </c>
      <c r="G291" s="109" t="s">
        <v>16</v>
      </c>
      <c r="H291" s="109">
        <v>200</v>
      </c>
      <c r="I291" s="109">
        <v>200</v>
      </c>
      <c r="J291" s="109"/>
      <c r="K291" s="109"/>
      <c r="L291" s="105">
        <v>20201118</v>
      </c>
    </row>
    <row r="292" s="176" customFormat="1" ht="16" customHeight="1" spans="1:16377">
      <c r="A292" s="109">
        <v>290</v>
      </c>
      <c r="B292" s="6" t="s">
        <v>9015</v>
      </c>
      <c r="C292" s="6" t="s">
        <v>9563</v>
      </c>
      <c r="D292" s="6" t="s">
        <v>9564</v>
      </c>
      <c r="E292" s="6">
        <v>2020</v>
      </c>
      <c r="F292" s="6">
        <v>2020</v>
      </c>
      <c r="G292" s="6" t="s">
        <v>16</v>
      </c>
      <c r="H292" s="6" t="s">
        <v>9565</v>
      </c>
      <c r="I292" s="6">
        <v>1000</v>
      </c>
      <c r="J292" s="6"/>
      <c r="K292" s="6"/>
      <c r="L292" s="105">
        <v>20201118</v>
      </c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  <c r="CJ292" s="148"/>
      <c r="CK292" s="148"/>
      <c r="CL292" s="148"/>
      <c r="CM292" s="148"/>
      <c r="CN292" s="148"/>
      <c r="CO292" s="148"/>
      <c r="CP292" s="148"/>
      <c r="CQ292" s="148"/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  <c r="DB292" s="148"/>
      <c r="DC292" s="148"/>
      <c r="DD292" s="148"/>
      <c r="DE292" s="148"/>
      <c r="DF292" s="148"/>
      <c r="DG292" s="148"/>
      <c r="DH292" s="148"/>
      <c r="DI292" s="148"/>
      <c r="DJ292" s="148"/>
      <c r="DK292" s="148"/>
      <c r="DL292" s="148"/>
      <c r="DM292" s="148"/>
      <c r="DN292" s="148"/>
      <c r="DO292" s="148"/>
      <c r="DP292" s="148"/>
      <c r="DQ292" s="148"/>
      <c r="DR292" s="148"/>
      <c r="DS292" s="148"/>
      <c r="DT292" s="148"/>
      <c r="DU292" s="148"/>
      <c r="DV292" s="148"/>
      <c r="DW292" s="148"/>
      <c r="DX292" s="148"/>
      <c r="DY292" s="148"/>
      <c r="DZ292" s="148"/>
      <c r="EA292" s="148"/>
      <c r="EB292" s="148"/>
      <c r="EC292" s="148"/>
      <c r="ED292" s="148"/>
      <c r="EE292" s="148"/>
      <c r="EF292" s="148"/>
      <c r="EG292" s="148"/>
      <c r="EH292" s="148"/>
      <c r="EI292" s="148"/>
      <c r="EJ292" s="148"/>
      <c r="EK292" s="148"/>
      <c r="EL292" s="148"/>
      <c r="EM292" s="148"/>
      <c r="EN292" s="148"/>
      <c r="EO292" s="148"/>
      <c r="EP292" s="148"/>
      <c r="EQ292" s="148"/>
      <c r="ER292" s="148"/>
      <c r="ES292" s="148"/>
      <c r="ET292" s="148"/>
      <c r="EU292" s="148"/>
      <c r="EV292" s="148"/>
      <c r="EW292" s="148"/>
      <c r="EX292" s="148"/>
      <c r="EY292" s="148"/>
      <c r="EZ292" s="148"/>
      <c r="FA292" s="148"/>
      <c r="FB292" s="148"/>
      <c r="FC292" s="148"/>
      <c r="FD292" s="148"/>
      <c r="FE292" s="148"/>
      <c r="FF292" s="148"/>
      <c r="FG292" s="148"/>
      <c r="FH292" s="148"/>
      <c r="FI292" s="148"/>
      <c r="FJ292" s="148"/>
      <c r="FK292" s="148"/>
      <c r="FL292" s="148"/>
      <c r="FM292" s="148"/>
      <c r="FN292" s="148"/>
      <c r="FO292" s="148"/>
      <c r="FP292" s="148"/>
      <c r="FQ292" s="148"/>
      <c r="FR292" s="148"/>
      <c r="FS292" s="148"/>
      <c r="FT292" s="148"/>
      <c r="FU292" s="148"/>
      <c r="FV292" s="148"/>
      <c r="FW292" s="148"/>
      <c r="FX292" s="148"/>
      <c r="FY292" s="148"/>
      <c r="FZ292" s="148"/>
      <c r="GA292" s="148"/>
      <c r="GB292" s="148"/>
      <c r="GC292" s="148"/>
      <c r="GD292" s="148"/>
      <c r="GE292" s="148"/>
      <c r="GF292" s="148"/>
      <c r="GG292" s="148"/>
      <c r="GH292" s="148"/>
      <c r="GI292" s="148"/>
      <c r="GJ292" s="148"/>
      <c r="GK292" s="148"/>
      <c r="GL292" s="148"/>
      <c r="GM292" s="148"/>
      <c r="GN292" s="148"/>
      <c r="GO292" s="148"/>
      <c r="GP292" s="148"/>
      <c r="GQ292" s="148"/>
      <c r="GR292" s="148"/>
      <c r="GS292" s="148"/>
      <c r="GT292" s="148"/>
      <c r="GU292" s="148"/>
      <c r="GV292" s="148"/>
      <c r="GW292" s="148"/>
      <c r="GX292" s="148"/>
      <c r="GY292" s="148"/>
      <c r="GZ292" s="148"/>
      <c r="HA292" s="148"/>
      <c r="HB292" s="148"/>
      <c r="HC292" s="148"/>
      <c r="HD292" s="148"/>
      <c r="HE292" s="148"/>
      <c r="HF292" s="148"/>
      <c r="HG292" s="148"/>
      <c r="HH292" s="148"/>
      <c r="HI292" s="148"/>
      <c r="HJ292" s="148"/>
      <c r="HK292" s="148"/>
      <c r="HL292" s="148"/>
      <c r="HM292" s="148"/>
      <c r="HN292" s="148"/>
      <c r="HO292" s="148"/>
      <c r="HP292" s="148"/>
      <c r="HQ292" s="148"/>
      <c r="HR292" s="148"/>
      <c r="HS292" s="148"/>
      <c r="HT292" s="148"/>
      <c r="HU292" s="148"/>
      <c r="HV292" s="148"/>
      <c r="HW292" s="148"/>
      <c r="HX292" s="148"/>
      <c r="HY292" s="148"/>
      <c r="HZ292" s="148"/>
      <c r="IA292" s="148"/>
      <c r="IB292" s="148"/>
      <c r="IC292" s="148"/>
      <c r="ID292" s="148"/>
      <c r="IE292" s="148"/>
      <c r="IF292" s="148"/>
      <c r="IG292" s="148"/>
      <c r="IH292" s="148"/>
      <c r="II292" s="148"/>
      <c r="IJ292" s="148"/>
      <c r="IK292" s="148"/>
      <c r="IL292" s="148"/>
      <c r="IM292" s="148"/>
      <c r="IN292" s="148"/>
      <c r="IO292" s="148"/>
      <c r="IP292" s="148"/>
      <c r="IQ292" s="148"/>
      <c r="IR292" s="148"/>
      <c r="IS292" s="148"/>
      <c r="IT292" s="148"/>
      <c r="IU292" s="148"/>
      <c r="IV292" s="148"/>
      <c r="IW292" s="148"/>
      <c r="IX292" s="148"/>
      <c r="IY292" s="148"/>
      <c r="IZ292" s="148"/>
      <c r="JA292" s="148"/>
      <c r="JB292" s="148"/>
      <c r="JC292" s="148"/>
      <c r="JD292" s="148"/>
      <c r="JE292" s="148"/>
      <c r="JF292" s="148"/>
      <c r="JG292" s="148"/>
      <c r="JH292" s="148"/>
      <c r="JI292" s="148"/>
      <c r="JJ292" s="148"/>
      <c r="JK292" s="148"/>
      <c r="JL292" s="148"/>
      <c r="JM292" s="148"/>
      <c r="JN292" s="148"/>
      <c r="JO292" s="148"/>
      <c r="JP292" s="148"/>
      <c r="JQ292" s="148"/>
      <c r="JR292" s="148"/>
      <c r="JS292" s="148"/>
      <c r="JT292" s="148"/>
      <c r="JU292" s="148"/>
      <c r="JV292" s="148"/>
      <c r="JW292" s="148"/>
      <c r="JX292" s="148"/>
      <c r="JY292" s="148"/>
      <c r="JZ292" s="148"/>
      <c r="KA292" s="148"/>
      <c r="KB292" s="148"/>
      <c r="KC292" s="148"/>
      <c r="KD292" s="148"/>
      <c r="KE292" s="148"/>
      <c r="KF292" s="148"/>
      <c r="KG292" s="148"/>
      <c r="KH292" s="148"/>
      <c r="KI292" s="148"/>
      <c r="KJ292" s="148"/>
      <c r="KK292" s="148"/>
      <c r="KL292" s="148"/>
      <c r="KM292" s="148"/>
      <c r="KN292" s="148"/>
      <c r="KO292" s="148"/>
      <c r="KP292" s="148"/>
      <c r="KQ292" s="148"/>
      <c r="KR292" s="148"/>
      <c r="KS292" s="148"/>
      <c r="KT292" s="148"/>
      <c r="KU292" s="148"/>
      <c r="KV292" s="148"/>
      <c r="KW292" s="148"/>
      <c r="KX292" s="148"/>
      <c r="KY292" s="148"/>
      <c r="KZ292" s="148"/>
      <c r="LA292" s="148"/>
      <c r="LB292" s="148"/>
      <c r="LC292" s="148"/>
      <c r="LD292" s="148"/>
      <c r="LE292" s="148"/>
      <c r="LF292" s="148"/>
      <c r="LG292" s="148"/>
      <c r="LH292" s="148"/>
      <c r="LI292" s="148"/>
      <c r="LJ292" s="148"/>
      <c r="LK292" s="148"/>
      <c r="LL292" s="148"/>
      <c r="LM292" s="148"/>
      <c r="LN292" s="148"/>
      <c r="LO292" s="148"/>
      <c r="LP292" s="148"/>
      <c r="LQ292" s="148"/>
      <c r="LR292" s="148"/>
      <c r="LS292" s="148"/>
      <c r="LT292" s="148"/>
      <c r="LU292" s="148"/>
      <c r="LV292" s="148"/>
      <c r="LW292" s="148"/>
      <c r="LX292" s="148"/>
      <c r="LY292" s="148"/>
      <c r="LZ292" s="148"/>
      <c r="MA292" s="148"/>
      <c r="MB292" s="148"/>
      <c r="MC292" s="148"/>
      <c r="MD292" s="148"/>
      <c r="ME292" s="148"/>
      <c r="MF292" s="148"/>
      <c r="MG292" s="148"/>
      <c r="MH292" s="148"/>
      <c r="MI292" s="148"/>
      <c r="MJ292" s="148"/>
      <c r="MK292" s="148"/>
      <c r="ML292" s="148"/>
      <c r="MM292" s="148"/>
      <c r="MN292" s="148"/>
      <c r="MO292" s="148"/>
      <c r="MP292" s="148"/>
      <c r="MQ292" s="148"/>
      <c r="MR292" s="148"/>
      <c r="MS292" s="148"/>
      <c r="MT292" s="148"/>
      <c r="MU292" s="148"/>
      <c r="MV292" s="148"/>
      <c r="MW292" s="148"/>
      <c r="MX292" s="148"/>
      <c r="MY292" s="148"/>
      <c r="MZ292" s="148"/>
      <c r="NA292" s="148"/>
      <c r="NB292" s="148"/>
      <c r="NC292" s="148"/>
      <c r="ND292" s="148"/>
      <c r="NE292" s="148"/>
      <c r="NF292" s="148"/>
      <c r="NG292" s="148"/>
      <c r="NH292" s="148"/>
      <c r="NI292" s="148"/>
      <c r="NJ292" s="148"/>
      <c r="NK292" s="148"/>
      <c r="NL292" s="148"/>
      <c r="NM292" s="148"/>
      <c r="NN292" s="148"/>
      <c r="NO292" s="148"/>
      <c r="NP292" s="148"/>
      <c r="NQ292" s="148"/>
      <c r="NR292" s="148"/>
      <c r="NS292" s="148"/>
      <c r="NT292" s="148"/>
      <c r="NU292" s="148"/>
      <c r="NV292" s="148"/>
      <c r="NW292" s="148"/>
      <c r="NX292" s="148"/>
      <c r="NY292" s="148"/>
      <c r="NZ292" s="148"/>
      <c r="OA292" s="148"/>
      <c r="OB292" s="148"/>
      <c r="OC292" s="148"/>
      <c r="OD292" s="148"/>
      <c r="OE292" s="148"/>
      <c r="OF292" s="148"/>
      <c r="OG292" s="148"/>
      <c r="OH292" s="148"/>
      <c r="OI292" s="148"/>
      <c r="OJ292" s="148"/>
      <c r="OK292" s="148"/>
      <c r="OL292" s="148"/>
      <c r="OM292" s="148"/>
      <c r="ON292" s="148"/>
      <c r="OO292" s="148"/>
      <c r="OP292" s="148"/>
      <c r="OQ292" s="148"/>
      <c r="OR292" s="148"/>
      <c r="OS292" s="148"/>
      <c r="OT292" s="148"/>
      <c r="OU292" s="148"/>
      <c r="OV292" s="148"/>
      <c r="OW292" s="148"/>
      <c r="OX292" s="148"/>
      <c r="OY292" s="148"/>
      <c r="OZ292" s="148"/>
      <c r="PA292" s="148"/>
      <c r="PB292" s="148"/>
      <c r="PC292" s="148"/>
      <c r="PD292" s="148"/>
      <c r="PE292" s="148"/>
      <c r="PF292" s="148"/>
      <c r="PG292" s="148"/>
      <c r="PH292" s="148"/>
      <c r="PI292" s="148"/>
      <c r="PJ292" s="148"/>
      <c r="PK292" s="148"/>
      <c r="PL292" s="148"/>
      <c r="PM292" s="148"/>
      <c r="PN292" s="148"/>
      <c r="PO292" s="148"/>
      <c r="PP292" s="148"/>
      <c r="PQ292" s="148"/>
      <c r="PR292" s="148"/>
      <c r="PS292" s="148"/>
      <c r="PT292" s="148"/>
      <c r="PU292" s="148"/>
      <c r="PV292" s="148"/>
      <c r="PW292" s="148"/>
      <c r="PX292" s="148"/>
      <c r="PY292" s="148"/>
      <c r="PZ292" s="148"/>
      <c r="QA292" s="148"/>
      <c r="QB292" s="148"/>
      <c r="QC292" s="148"/>
      <c r="QD292" s="148"/>
      <c r="QE292" s="148"/>
      <c r="QF292" s="148"/>
      <c r="QG292" s="148"/>
      <c r="QH292" s="148"/>
      <c r="QI292" s="148"/>
      <c r="QJ292" s="148"/>
      <c r="QK292" s="148"/>
      <c r="QL292" s="148"/>
      <c r="QM292" s="148"/>
      <c r="QN292" s="148"/>
      <c r="QO292" s="148"/>
      <c r="QP292" s="148"/>
      <c r="QQ292" s="148"/>
      <c r="QR292" s="148"/>
      <c r="QS292" s="148"/>
      <c r="QT292" s="148"/>
      <c r="QU292" s="148"/>
      <c r="QV292" s="148"/>
      <c r="QW292" s="148"/>
      <c r="QX292" s="148"/>
      <c r="QY292" s="148"/>
      <c r="QZ292" s="148"/>
      <c r="RA292" s="148"/>
      <c r="RB292" s="148"/>
      <c r="RC292" s="148"/>
      <c r="RD292" s="148"/>
      <c r="RE292" s="148"/>
      <c r="RF292" s="148"/>
      <c r="RG292" s="148"/>
      <c r="RH292" s="148"/>
      <c r="RI292" s="148"/>
      <c r="RJ292" s="148"/>
      <c r="RK292" s="148"/>
      <c r="RL292" s="148"/>
      <c r="RM292" s="148"/>
      <c r="RN292" s="148"/>
      <c r="RO292" s="148"/>
      <c r="RP292" s="148"/>
      <c r="RQ292" s="148"/>
      <c r="RR292" s="148"/>
      <c r="RS292" s="148"/>
      <c r="RT292" s="148"/>
      <c r="RU292" s="148"/>
      <c r="RV292" s="148"/>
      <c r="RW292" s="148"/>
      <c r="RX292" s="148"/>
      <c r="RY292" s="148"/>
      <c r="RZ292" s="148"/>
      <c r="SA292" s="148"/>
      <c r="SB292" s="148"/>
      <c r="SC292" s="148"/>
      <c r="SD292" s="148"/>
      <c r="SE292" s="148"/>
      <c r="SF292" s="148"/>
      <c r="SG292" s="148"/>
      <c r="SH292" s="148"/>
      <c r="SI292" s="148"/>
      <c r="SJ292" s="148"/>
      <c r="SK292" s="148"/>
      <c r="SL292" s="148"/>
      <c r="SM292" s="148"/>
      <c r="SN292" s="148"/>
      <c r="SO292" s="148"/>
      <c r="SP292" s="148"/>
      <c r="SQ292" s="148"/>
      <c r="SR292" s="148"/>
      <c r="SS292" s="148"/>
      <c r="ST292" s="148"/>
      <c r="SU292" s="148"/>
      <c r="SV292" s="148"/>
      <c r="SW292" s="148"/>
      <c r="SX292" s="148"/>
      <c r="SY292" s="148"/>
      <c r="SZ292" s="148"/>
      <c r="TA292" s="148"/>
      <c r="TB292" s="148"/>
      <c r="TC292" s="148"/>
      <c r="TD292" s="148"/>
      <c r="TE292" s="148"/>
      <c r="TF292" s="148"/>
      <c r="TG292" s="148"/>
      <c r="TH292" s="148"/>
      <c r="TI292" s="148"/>
      <c r="TJ292" s="148"/>
      <c r="TK292" s="148"/>
      <c r="TL292" s="148"/>
      <c r="TM292" s="148"/>
      <c r="TN292" s="148"/>
      <c r="TO292" s="148"/>
      <c r="TP292" s="148"/>
      <c r="TQ292" s="148"/>
      <c r="TR292" s="148"/>
      <c r="TS292" s="148"/>
      <c r="TT292" s="148"/>
      <c r="TU292" s="148"/>
      <c r="TV292" s="148"/>
      <c r="TW292" s="148"/>
      <c r="TX292" s="148"/>
      <c r="TY292" s="148"/>
      <c r="TZ292" s="148"/>
      <c r="UA292" s="148"/>
      <c r="UB292" s="148"/>
      <c r="UC292" s="148"/>
      <c r="UD292" s="148"/>
      <c r="UE292" s="148"/>
      <c r="UF292" s="148"/>
      <c r="UG292" s="148"/>
      <c r="UH292" s="148"/>
      <c r="UI292" s="148"/>
      <c r="UJ292" s="148"/>
      <c r="UK292" s="148"/>
      <c r="UL292" s="148"/>
      <c r="UM292" s="148"/>
      <c r="UN292" s="148"/>
      <c r="UO292" s="148"/>
      <c r="UP292" s="148"/>
      <c r="UQ292" s="148"/>
      <c r="UR292" s="148"/>
      <c r="US292" s="148"/>
      <c r="UT292" s="148"/>
      <c r="UU292" s="148"/>
      <c r="UV292" s="148"/>
      <c r="UW292" s="148"/>
      <c r="UX292" s="148"/>
      <c r="UY292" s="148"/>
      <c r="UZ292" s="148"/>
      <c r="VA292" s="148"/>
      <c r="VB292" s="148"/>
      <c r="VC292" s="148"/>
      <c r="VD292" s="148"/>
      <c r="VE292" s="148"/>
      <c r="VF292" s="148"/>
      <c r="VG292" s="148"/>
      <c r="VH292" s="148"/>
      <c r="VI292" s="148"/>
      <c r="VJ292" s="148"/>
      <c r="VK292" s="148"/>
      <c r="VL292" s="148"/>
      <c r="VM292" s="148"/>
      <c r="VN292" s="148"/>
      <c r="VO292" s="148"/>
      <c r="VP292" s="148"/>
      <c r="VQ292" s="148"/>
      <c r="VR292" s="148"/>
      <c r="VS292" s="148"/>
      <c r="VT292" s="148"/>
      <c r="VU292" s="148"/>
      <c r="VV292" s="148"/>
      <c r="VW292" s="148"/>
      <c r="VX292" s="148"/>
      <c r="VY292" s="148"/>
      <c r="VZ292" s="148"/>
      <c r="WA292" s="148"/>
      <c r="WB292" s="148"/>
      <c r="WC292" s="148"/>
      <c r="WD292" s="148"/>
      <c r="WE292" s="148"/>
      <c r="WF292" s="148"/>
      <c r="WG292" s="148"/>
      <c r="WH292" s="148"/>
      <c r="WI292" s="148"/>
      <c r="WJ292" s="148"/>
      <c r="WK292" s="148"/>
      <c r="WL292" s="148"/>
      <c r="WM292" s="148"/>
      <c r="WN292" s="148"/>
      <c r="WO292" s="148"/>
      <c r="WP292" s="148"/>
      <c r="WQ292" s="148"/>
      <c r="WR292" s="148"/>
      <c r="WS292" s="148"/>
      <c r="WT292" s="148"/>
      <c r="WU292" s="148"/>
      <c r="WV292" s="148"/>
      <c r="WW292" s="148"/>
      <c r="WX292" s="148"/>
      <c r="WY292" s="148"/>
      <c r="WZ292" s="148"/>
      <c r="XA292" s="148"/>
      <c r="XB292" s="148"/>
      <c r="XC292" s="148"/>
      <c r="XD292" s="148"/>
      <c r="XE292" s="148"/>
      <c r="XF292" s="148"/>
      <c r="XG292" s="148"/>
      <c r="XH292" s="148"/>
      <c r="XI292" s="148"/>
      <c r="XJ292" s="148"/>
      <c r="XK292" s="148"/>
      <c r="XL292" s="148"/>
      <c r="XM292" s="148"/>
      <c r="XN292" s="148"/>
      <c r="XO292" s="148"/>
      <c r="XP292" s="148"/>
      <c r="XQ292" s="148"/>
      <c r="XR292" s="148"/>
      <c r="XS292" s="148"/>
      <c r="XT292" s="148"/>
      <c r="XU292" s="148"/>
      <c r="XV292" s="148"/>
      <c r="XW292" s="148"/>
      <c r="XX292" s="148"/>
      <c r="XY292" s="148"/>
      <c r="XZ292" s="148"/>
      <c r="YA292" s="148"/>
      <c r="YB292" s="148"/>
      <c r="YC292" s="148"/>
      <c r="YD292" s="148"/>
      <c r="YE292" s="148"/>
      <c r="YF292" s="148"/>
      <c r="YG292" s="148"/>
      <c r="YH292" s="148"/>
      <c r="YI292" s="148"/>
      <c r="YJ292" s="148"/>
      <c r="YK292" s="148"/>
      <c r="YL292" s="148"/>
      <c r="YM292" s="148"/>
      <c r="YN292" s="148"/>
      <c r="YO292" s="148"/>
      <c r="YP292" s="148"/>
      <c r="YQ292" s="148"/>
      <c r="YR292" s="148"/>
      <c r="YS292" s="148"/>
      <c r="YT292" s="148"/>
      <c r="YU292" s="148"/>
      <c r="YV292" s="148"/>
      <c r="YW292" s="148"/>
      <c r="YX292" s="148"/>
      <c r="YY292" s="148"/>
      <c r="YZ292" s="148"/>
      <c r="ZA292" s="148"/>
      <c r="ZB292" s="148"/>
      <c r="ZC292" s="148"/>
      <c r="ZD292" s="148"/>
      <c r="ZE292" s="148"/>
      <c r="ZF292" s="148"/>
      <c r="ZG292" s="148"/>
      <c r="ZH292" s="148"/>
      <c r="ZI292" s="148"/>
      <c r="ZJ292" s="148"/>
      <c r="ZK292" s="148"/>
      <c r="ZL292" s="148"/>
      <c r="ZM292" s="148"/>
      <c r="ZN292" s="148"/>
      <c r="ZO292" s="148"/>
      <c r="ZP292" s="148"/>
      <c r="ZQ292" s="148"/>
      <c r="ZR292" s="148"/>
      <c r="ZS292" s="148"/>
      <c r="ZT292" s="148"/>
      <c r="ZU292" s="148"/>
      <c r="ZV292" s="148"/>
      <c r="ZW292" s="148"/>
      <c r="ZX292" s="148"/>
      <c r="ZY292" s="148"/>
      <c r="ZZ292" s="148"/>
      <c r="AAA292" s="148"/>
      <c r="AAB292" s="148"/>
      <c r="AAC292" s="148"/>
      <c r="AAD292" s="148"/>
      <c r="AAE292" s="148"/>
      <c r="AAF292" s="148"/>
      <c r="AAG292" s="148"/>
      <c r="AAH292" s="148"/>
      <c r="AAI292" s="148"/>
      <c r="AAJ292" s="148"/>
      <c r="AAK292" s="148"/>
      <c r="AAL292" s="148"/>
      <c r="AAM292" s="148"/>
      <c r="AAN292" s="148"/>
      <c r="AAO292" s="148"/>
      <c r="AAP292" s="148"/>
      <c r="AAQ292" s="148"/>
      <c r="AAR292" s="148"/>
      <c r="AAS292" s="148"/>
      <c r="AAT292" s="148"/>
      <c r="AAU292" s="148"/>
      <c r="AAV292" s="148"/>
      <c r="AAW292" s="148"/>
      <c r="AAX292" s="148"/>
      <c r="AAY292" s="148"/>
      <c r="AAZ292" s="148"/>
      <c r="ABA292" s="148"/>
      <c r="ABB292" s="148"/>
      <c r="ABC292" s="148"/>
      <c r="ABD292" s="148"/>
      <c r="ABE292" s="148"/>
      <c r="ABF292" s="148"/>
      <c r="ABG292" s="148"/>
      <c r="ABH292" s="148"/>
      <c r="ABI292" s="148"/>
      <c r="ABJ292" s="148"/>
      <c r="ABK292" s="148"/>
      <c r="ABL292" s="148"/>
      <c r="ABM292" s="148"/>
      <c r="ABN292" s="148"/>
      <c r="ABO292" s="148"/>
      <c r="ABP292" s="148"/>
      <c r="ABQ292" s="148"/>
      <c r="ABR292" s="148"/>
      <c r="ABS292" s="148"/>
      <c r="ABT292" s="148"/>
      <c r="ABU292" s="148"/>
      <c r="ABV292" s="148"/>
      <c r="ABW292" s="148"/>
      <c r="ABX292" s="148"/>
      <c r="ABY292" s="148"/>
      <c r="ABZ292" s="148"/>
      <c r="ACA292" s="148"/>
      <c r="ACB292" s="148"/>
      <c r="ACC292" s="148"/>
      <c r="ACD292" s="148"/>
      <c r="ACE292" s="148"/>
      <c r="ACF292" s="148"/>
      <c r="ACG292" s="148"/>
      <c r="ACH292" s="148"/>
      <c r="ACI292" s="148"/>
      <c r="ACJ292" s="148"/>
      <c r="ACK292" s="148"/>
      <c r="ACL292" s="148"/>
      <c r="ACM292" s="148"/>
      <c r="ACN292" s="148"/>
      <c r="ACO292" s="148"/>
      <c r="ACP292" s="148"/>
      <c r="ACQ292" s="148"/>
      <c r="ACR292" s="148"/>
      <c r="ACS292" s="148"/>
      <c r="ACT292" s="148"/>
      <c r="ACU292" s="148"/>
      <c r="ACV292" s="148"/>
      <c r="ACW292" s="148"/>
      <c r="ACX292" s="148"/>
      <c r="ACY292" s="148"/>
      <c r="ACZ292" s="148"/>
      <c r="ADA292" s="148"/>
      <c r="ADB292" s="148"/>
      <c r="ADC292" s="148"/>
      <c r="ADD292" s="148"/>
      <c r="ADE292" s="148"/>
      <c r="ADF292" s="148"/>
      <c r="ADG292" s="148"/>
      <c r="ADH292" s="148"/>
      <c r="ADI292" s="148"/>
      <c r="ADJ292" s="148"/>
      <c r="ADK292" s="148"/>
      <c r="ADL292" s="148"/>
      <c r="ADM292" s="148"/>
      <c r="ADN292" s="148"/>
      <c r="ADO292" s="148"/>
      <c r="ADP292" s="148"/>
      <c r="ADQ292" s="148"/>
      <c r="ADR292" s="148"/>
      <c r="ADS292" s="148"/>
      <c r="ADT292" s="148"/>
      <c r="ADU292" s="148"/>
      <c r="ADV292" s="148"/>
      <c r="ADW292" s="148"/>
      <c r="ADX292" s="148"/>
      <c r="ADY292" s="148"/>
      <c r="ADZ292" s="148"/>
      <c r="AEA292" s="148"/>
      <c r="AEB292" s="148"/>
      <c r="AEC292" s="148"/>
      <c r="AED292" s="148"/>
      <c r="AEE292" s="148"/>
      <c r="AEF292" s="148"/>
      <c r="AEG292" s="148"/>
      <c r="AEH292" s="148"/>
      <c r="AEI292" s="148"/>
      <c r="AEJ292" s="148"/>
      <c r="AEK292" s="148"/>
      <c r="AEL292" s="148"/>
      <c r="AEM292" s="148"/>
      <c r="AEN292" s="148"/>
      <c r="AEO292" s="148"/>
      <c r="AEP292" s="148"/>
      <c r="AEQ292" s="148"/>
      <c r="AER292" s="148"/>
      <c r="AES292" s="148"/>
      <c r="AET292" s="148"/>
      <c r="AEU292" s="148"/>
      <c r="AEV292" s="148"/>
      <c r="AEW292" s="148"/>
      <c r="AEX292" s="148"/>
      <c r="AEY292" s="148"/>
      <c r="AEZ292" s="148"/>
      <c r="AFA292" s="148"/>
      <c r="AFB292" s="148"/>
      <c r="AFC292" s="148"/>
      <c r="AFD292" s="148"/>
      <c r="AFE292" s="148"/>
      <c r="AFF292" s="148"/>
      <c r="AFG292" s="148"/>
      <c r="AFH292" s="148"/>
      <c r="AFI292" s="148"/>
      <c r="AFJ292" s="148"/>
      <c r="AFK292" s="148"/>
      <c r="AFL292" s="148"/>
      <c r="AFM292" s="148"/>
      <c r="AFN292" s="148"/>
      <c r="AFO292" s="148"/>
      <c r="AFP292" s="148"/>
      <c r="AFQ292" s="148"/>
      <c r="AFR292" s="148"/>
      <c r="AFS292" s="148"/>
      <c r="AFT292" s="148"/>
      <c r="AFU292" s="148"/>
      <c r="AFV292" s="148"/>
      <c r="AFW292" s="148"/>
      <c r="AFX292" s="148"/>
      <c r="AFY292" s="148"/>
      <c r="AFZ292" s="148"/>
      <c r="AGA292" s="148"/>
      <c r="AGB292" s="148"/>
      <c r="AGC292" s="148"/>
      <c r="AGD292" s="148"/>
      <c r="AGE292" s="148"/>
      <c r="AGF292" s="148"/>
      <c r="AGG292" s="148"/>
      <c r="AGH292" s="148"/>
      <c r="AGI292" s="148"/>
      <c r="AGJ292" s="148"/>
      <c r="AGK292" s="148"/>
      <c r="AGL292" s="148"/>
      <c r="AGM292" s="148"/>
      <c r="AGN292" s="148"/>
      <c r="AGO292" s="148"/>
      <c r="AGP292" s="148"/>
      <c r="AGQ292" s="148"/>
      <c r="AGR292" s="148"/>
      <c r="AGS292" s="148"/>
      <c r="AGT292" s="148"/>
      <c r="AGU292" s="148"/>
      <c r="AGV292" s="148"/>
      <c r="AGW292" s="148"/>
      <c r="AGX292" s="148"/>
      <c r="AGY292" s="148"/>
      <c r="AGZ292" s="148"/>
      <c r="AHA292" s="148"/>
      <c r="AHB292" s="148"/>
      <c r="AHC292" s="148"/>
      <c r="AHD292" s="148"/>
      <c r="AHE292" s="148"/>
      <c r="AHF292" s="148"/>
      <c r="AHG292" s="148"/>
      <c r="AHH292" s="148"/>
      <c r="AHI292" s="148"/>
      <c r="AHJ292" s="148"/>
      <c r="AHK292" s="148"/>
      <c r="AHL292" s="148"/>
      <c r="AHM292" s="148"/>
      <c r="AHN292" s="148"/>
      <c r="AHO292" s="148"/>
      <c r="AHP292" s="148"/>
      <c r="AHQ292" s="148"/>
      <c r="AHR292" s="148"/>
      <c r="AHS292" s="148"/>
      <c r="AHT292" s="148"/>
      <c r="AHU292" s="148"/>
      <c r="AHV292" s="148"/>
      <c r="AHW292" s="148"/>
      <c r="AHX292" s="148"/>
      <c r="AHY292" s="148"/>
      <c r="AHZ292" s="148"/>
      <c r="AIA292" s="148"/>
      <c r="AIB292" s="148"/>
      <c r="AIC292" s="148"/>
      <c r="AID292" s="148"/>
      <c r="AIE292" s="148"/>
      <c r="AIF292" s="148"/>
      <c r="AIG292" s="148"/>
      <c r="AIH292" s="148"/>
      <c r="AII292" s="148"/>
      <c r="AIJ292" s="148"/>
      <c r="AIK292" s="148"/>
      <c r="AIL292" s="148"/>
      <c r="AIM292" s="148"/>
      <c r="AIN292" s="148"/>
      <c r="AIO292" s="148"/>
      <c r="AIP292" s="148"/>
      <c r="AIQ292" s="148"/>
      <c r="AIR292" s="148"/>
      <c r="AIS292" s="148"/>
      <c r="AIT292" s="148"/>
      <c r="AIU292" s="148"/>
      <c r="AIV292" s="148"/>
      <c r="AIW292" s="148"/>
      <c r="AIX292" s="148"/>
      <c r="AIY292" s="148"/>
      <c r="AIZ292" s="148"/>
      <c r="AJA292" s="148"/>
      <c r="AJB292" s="148"/>
      <c r="AJC292" s="148"/>
      <c r="AJD292" s="148"/>
      <c r="AJE292" s="148"/>
      <c r="AJF292" s="148"/>
      <c r="AJG292" s="148"/>
      <c r="AJH292" s="148"/>
      <c r="AJI292" s="148"/>
      <c r="AJJ292" s="148"/>
      <c r="AJK292" s="148"/>
      <c r="AJL292" s="148"/>
      <c r="AJM292" s="148"/>
      <c r="AJN292" s="148"/>
      <c r="AJO292" s="148"/>
      <c r="AJP292" s="148"/>
      <c r="AJQ292" s="148"/>
      <c r="AJR292" s="148"/>
      <c r="AJS292" s="148"/>
      <c r="AJT292" s="148"/>
      <c r="AJU292" s="148"/>
      <c r="AJV292" s="148"/>
      <c r="AJW292" s="148"/>
      <c r="AJX292" s="148"/>
      <c r="AJY292" s="148"/>
      <c r="AJZ292" s="148"/>
      <c r="AKA292" s="148"/>
      <c r="AKB292" s="148"/>
      <c r="AKC292" s="148"/>
      <c r="AKD292" s="148"/>
      <c r="AKE292" s="148"/>
      <c r="AKF292" s="148"/>
      <c r="AKG292" s="148"/>
      <c r="AKH292" s="148"/>
      <c r="AKI292" s="148"/>
      <c r="AKJ292" s="148"/>
      <c r="AKK292" s="148"/>
      <c r="AKL292" s="148"/>
      <c r="AKM292" s="148"/>
      <c r="AKN292" s="148"/>
      <c r="AKO292" s="148"/>
      <c r="AKP292" s="148"/>
      <c r="AKQ292" s="148"/>
      <c r="AKR292" s="148"/>
      <c r="AKS292" s="148"/>
      <c r="AKT292" s="148"/>
      <c r="AKU292" s="148"/>
      <c r="AKV292" s="148"/>
      <c r="AKW292" s="148"/>
      <c r="AKX292" s="148"/>
      <c r="AKY292" s="148"/>
      <c r="AKZ292" s="148"/>
      <c r="ALA292" s="148"/>
      <c r="ALB292" s="148"/>
      <c r="ALC292" s="148"/>
      <c r="ALD292" s="148"/>
      <c r="ALE292" s="148"/>
      <c r="ALF292" s="148"/>
      <c r="ALG292" s="148"/>
      <c r="ALH292" s="148"/>
      <c r="ALI292" s="148"/>
      <c r="ALJ292" s="148"/>
      <c r="ALK292" s="148"/>
      <c r="ALL292" s="148"/>
      <c r="ALM292" s="148"/>
      <c r="ALN292" s="148"/>
      <c r="ALO292" s="148"/>
      <c r="ALP292" s="148"/>
      <c r="ALQ292" s="148"/>
      <c r="ALR292" s="148"/>
      <c r="ALS292" s="148"/>
      <c r="ALT292" s="148"/>
      <c r="ALU292" s="148"/>
      <c r="ALV292" s="148"/>
      <c r="ALW292" s="148"/>
      <c r="ALX292" s="148"/>
      <c r="ALY292" s="148"/>
      <c r="ALZ292" s="148"/>
      <c r="AMA292" s="148"/>
      <c r="AMB292" s="148"/>
      <c r="AMC292" s="148"/>
      <c r="AMD292" s="148"/>
      <c r="AME292" s="148"/>
      <c r="AMF292" s="148"/>
      <c r="AMG292" s="148"/>
      <c r="AMH292" s="148"/>
      <c r="AMI292" s="148"/>
      <c r="AMJ292" s="148"/>
      <c r="AMK292" s="148"/>
      <c r="AML292" s="148"/>
      <c r="AMM292" s="148"/>
      <c r="AMN292" s="148"/>
      <c r="AMO292" s="148"/>
      <c r="AMP292" s="148"/>
      <c r="AMQ292" s="148"/>
      <c r="AMR292" s="148"/>
      <c r="AMS292" s="148"/>
      <c r="AMT292" s="148"/>
      <c r="AMU292" s="148"/>
      <c r="AMV292" s="148"/>
      <c r="AMW292" s="148"/>
      <c r="AMX292" s="148"/>
      <c r="AMY292" s="148"/>
      <c r="AMZ292" s="148"/>
      <c r="ANA292" s="148"/>
      <c r="ANB292" s="148"/>
      <c r="ANC292" s="148"/>
      <c r="AND292" s="148"/>
      <c r="ANE292" s="148"/>
      <c r="ANF292" s="148"/>
      <c r="ANG292" s="148"/>
      <c r="ANH292" s="148"/>
      <c r="ANI292" s="148"/>
      <c r="ANJ292" s="148"/>
      <c r="ANK292" s="148"/>
      <c r="ANL292" s="148"/>
      <c r="ANM292" s="148"/>
      <c r="ANN292" s="148"/>
      <c r="ANO292" s="148"/>
      <c r="ANP292" s="148"/>
      <c r="ANQ292" s="148"/>
      <c r="ANR292" s="148"/>
      <c r="ANS292" s="148"/>
      <c r="ANT292" s="148"/>
      <c r="ANU292" s="148"/>
      <c r="ANV292" s="148"/>
      <c r="ANW292" s="148"/>
      <c r="ANX292" s="148"/>
      <c r="ANY292" s="148"/>
      <c r="ANZ292" s="148"/>
      <c r="AOA292" s="148"/>
      <c r="AOB292" s="148"/>
      <c r="AOC292" s="148"/>
      <c r="AOD292" s="148"/>
      <c r="AOE292" s="148"/>
      <c r="AOF292" s="148"/>
      <c r="AOG292" s="148"/>
      <c r="AOH292" s="148"/>
      <c r="AOI292" s="148"/>
      <c r="AOJ292" s="148"/>
      <c r="AOK292" s="148"/>
      <c r="AOL292" s="148"/>
      <c r="AOM292" s="148"/>
      <c r="AON292" s="148"/>
      <c r="AOO292" s="148"/>
      <c r="AOP292" s="148"/>
      <c r="AOQ292" s="148"/>
      <c r="AOR292" s="148"/>
      <c r="AOS292" s="148"/>
      <c r="AOT292" s="148"/>
      <c r="AOU292" s="148"/>
      <c r="AOV292" s="148"/>
      <c r="AOW292" s="148"/>
      <c r="AOX292" s="148"/>
      <c r="AOY292" s="148"/>
      <c r="AOZ292" s="148"/>
      <c r="APA292" s="148"/>
      <c r="APB292" s="148"/>
      <c r="APC292" s="148"/>
      <c r="APD292" s="148"/>
      <c r="APE292" s="148"/>
      <c r="APF292" s="148"/>
      <c r="APG292" s="148"/>
      <c r="APH292" s="148"/>
      <c r="API292" s="148"/>
      <c r="APJ292" s="148"/>
      <c r="APK292" s="148"/>
      <c r="APL292" s="148"/>
      <c r="APM292" s="148"/>
      <c r="APN292" s="148"/>
      <c r="APO292" s="148"/>
      <c r="APP292" s="148"/>
      <c r="APQ292" s="148"/>
      <c r="APR292" s="148"/>
      <c r="APS292" s="148"/>
      <c r="APT292" s="148"/>
      <c r="APU292" s="148"/>
      <c r="APV292" s="148"/>
      <c r="APW292" s="148"/>
      <c r="APX292" s="148"/>
      <c r="APY292" s="148"/>
      <c r="APZ292" s="148"/>
      <c r="AQA292" s="148"/>
      <c r="AQB292" s="148"/>
      <c r="AQC292" s="148"/>
      <c r="AQD292" s="148"/>
      <c r="AQE292" s="148"/>
      <c r="AQF292" s="148"/>
      <c r="AQG292" s="148"/>
      <c r="AQH292" s="148"/>
      <c r="AQI292" s="148"/>
      <c r="AQJ292" s="148"/>
      <c r="AQK292" s="148"/>
      <c r="AQL292" s="148"/>
      <c r="AQM292" s="148"/>
      <c r="AQN292" s="148"/>
      <c r="AQO292" s="148"/>
      <c r="AQP292" s="148"/>
      <c r="AQQ292" s="148"/>
      <c r="AQR292" s="148"/>
      <c r="AQS292" s="148"/>
      <c r="AQT292" s="148"/>
      <c r="AQU292" s="148"/>
      <c r="AQV292" s="148"/>
      <c r="AQW292" s="148"/>
      <c r="AQX292" s="148"/>
      <c r="AQY292" s="148"/>
      <c r="AQZ292" s="148"/>
      <c r="ARA292" s="148"/>
      <c r="ARB292" s="148"/>
      <c r="ARC292" s="148"/>
      <c r="ARD292" s="148"/>
      <c r="ARE292" s="148"/>
      <c r="ARF292" s="148"/>
      <c r="ARG292" s="148"/>
      <c r="ARH292" s="148"/>
      <c r="ARI292" s="148"/>
      <c r="ARJ292" s="148"/>
      <c r="ARK292" s="148"/>
      <c r="ARL292" s="148"/>
      <c r="ARM292" s="148"/>
      <c r="ARN292" s="148"/>
      <c r="ARO292" s="148"/>
      <c r="ARP292" s="148"/>
      <c r="ARQ292" s="148"/>
      <c r="ARR292" s="148"/>
      <c r="ARS292" s="148"/>
      <c r="ART292" s="148"/>
      <c r="ARU292" s="148"/>
      <c r="ARV292" s="148"/>
      <c r="ARW292" s="148"/>
      <c r="ARX292" s="148"/>
      <c r="ARY292" s="148"/>
      <c r="ARZ292" s="148"/>
      <c r="ASA292" s="148"/>
      <c r="ASB292" s="148"/>
      <c r="ASC292" s="148"/>
      <c r="ASD292" s="148"/>
      <c r="ASE292" s="148"/>
      <c r="ASF292" s="148"/>
      <c r="ASG292" s="148"/>
      <c r="ASH292" s="148"/>
      <c r="ASI292" s="148"/>
      <c r="ASJ292" s="148"/>
      <c r="ASK292" s="148"/>
      <c r="ASL292" s="148"/>
      <c r="ASM292" s="148"/>
      <c r="ASN292" s="148"/>
      <c r="ASO292" s="148"/>
      <c r="ASP292" s="148"/>
      <c r="ASQ292" s="148"/>
      <c r="ASR292" s="148"/>
      <c r="ASS292" s="148"/>
      <c r="AST292" s="148"/>
      <c r="ASU292" s="148"/>
      <c r="ASV292" s="148"/>
      <c r="ASW292" s="148"/>
      <c r="ASX292" s="148"/>
      <c r="ASY292" s="148"/>
      <c r="ASZ292" s="148"/>
      <c r="ATA292" s="148"/>
      <c r="ATB292" s="148"/>
      <c r="ATC292" s="148"/>
      <c r="ATD292" s="148"/>
      <c r="ATE292" s="148"/>
      <c r="ATF292" s="148"/>
      <c r="ATG292" s="148"/>
      <c r="ATH292" s="148"/>
      <c r="ATI292" s="148"/>
      <c r="ATJ292" s="148"/>
      <c r="ATK292" s="148"/>
      <c r="ATL292" s="148"/>
      <c r="ATM292" s="148"/>
      <c r="ATN292" s="148"/>
      <c r="ATO292" s="148"/>
      <c r="ATP292" s="148"/>
      <c r="ATQ292" s="148"/>
      <c r="ATR292" s="148"/>
      <c r="ATS292" s="148"/>
      <c r="ATT292" s="148"/>
      <c r="ATU292" s="148"/>
      <c r="ATV292" s="148"/>
      <c r="ATW292" s="148"/>
      <c r="ATX292" s="148"/>
      <c r="ATY292" s="148"/>
      <c r="ATZ292" s="148"/>
      <c r="AUA292" s="148"/>
      <c r="AUB292" s="148"/>
      <c r="AUC292" s="148"/>
      <c r="AUD292" s="148"/>
      <c r="AUE292" s="148"/>
      <c r="AUF292" s="148"/>
      <c r="AUG292" s="148"/>
      <c r="AUH292" s="148"/>
      <c r="AUI292" s="148"/>
      <c r="AUJ292" s="148"/>
      <c r="AUK292" s="148"/>
      <c r="AUL292" s="148"/>
      <c r="AUM292" s="148"/>
      <c r="AUN292" s="148"/>
      <c r="AUO292" s="148"/>
      <c r="AUP292" s="148"/>
      <c r="AUQ292" s="148"/>
      <c r="AUR292" s="148"/>
      <c r="AUS292" s="148"/>
      <c r="AUT292" s="148"/>
      <c r="AUU292" s="148"/>
      <c r="AUV292" s="148"/>
      <c r="AUW292" s="148"/>
      <c r="AUX292" s="148"/>
      <c r="AUY292" s="148"/>
      <c r="AUZ292" s="148"/>
      <c r="AVA292" s="148"/>
      <c r="AVB292" s="148"/>
      <c r="AVC292" s="148"/>
      <c r="AVD292" s="148"/>
      <c r="AVE292" s="148"/>
      <c r="AVF292" s="148"/>
      <c r="AVG292" s="148"/>
      <c r="AVH292" s="148"/>
      <c r="AVI292" s="148"/>
      <c r="AVJ292" s="148"/>
      <c r="AVK292" s="148"/>
      <c r="AVL292" s="148"/>
      <c r="AVM292" s="148"/>
      <c r="AVN292" s="148"/>
      <c r="AVO292" s="148"/>
      <c r="AVP292" s="148"/>
      <c r="AVQ292" s="148"/>
      <c r="AVR292" s="148"/>
      <c r="AVS292" s="148"/>
      <c r="AVT292" s="148"/>
      <c r="AVU292" s="148"/>
      <c r="AVV292" s="148"/>
      <c r="AVW292" s="148"/>
      <c r="AVX292" s="148"/>
      <c r="AVY292" s="148"/>
      <c r="AVZ292" s="148"/>
      <c r="AWA292" s="148"/>
      <c r="AWB292" s="148"/>
      <c r="AWC292" s="148"/>
      <c r="AWD292" s="148"/>
      <c r="AWE292" s="148"/>
      <c r="AWF292" s="148"/>
      <c r="AWG292" s="148"/>
      <c r="AWH292" s="148"/>
      <c r="AWI292" s="148"/>
      <c r="AWJ292" s="148"/>
      <c r="AWK292" s="148"/>
      <c r="AWL292" s="148"/>
      <c r="AWM292" s="148"/>
      <c r="AWN292" s="148"/>
      <c r="AWO292" s="148"/>
      <c r="AWP292" s="148"/>
      <c r="AWQ292" s="148"/>
      <c r="AWR292" s="148"/>
      <c r="AWS292" s="148"/>
      <c r="AWT292" s="148"/>
      <c r="AWU292" s="148"/>
      <c r="AWV292" s="148"/>
      <c r="AWW292" s="148"/>
      <c r="AWX292" s="148"/>
      <c r="AWY292" s="148"/>
      <c r="AWZ292" s="148"/>
      <c r="AXA292" s="148"/>
      <c r="AXB292" s="148"/>
      <c r="AXC292" s="148"/>
      <c r="AXD292" s="148"/>
      <c r="AXE292" s="148"/>
      <c r="AXF292" s="148"/>
      <c r="AXG292" s="148"/>
      <c r="AXH292" s="148"/>
      <c r="AXI292" s="148"/>
      <c r="AXJ292" s="148"/>
      <c r="AXK292" s="148"/>
      <c r="AXL292" s="148"/>
      <c r="AXM292" s="148"/>
      <c r="AXN292" s="148"/>
      <c r="AXO292" s="148"/>
      <c r="AXP292" s="148"/>
      <c r="AXQ292" s="148"/>
      <c r="AXR292" s="148"/>
      <c r="AXS292" s="148"/>
      <c r="AXT292" s="148"/>
      <c r="AXU292" s="148"/>
      <c r="AXV292" s="148"/>
      <c r="AXW292" s="148"/>
      <c r="AXX292" s="148"/>
      <c r="AXY292" s="148"/>
      <c r="AXZ292" s="148"/>
      <c r="AYA292" s="148"/>
      <c r="AYB292" s="148"/>
      <c r="AYC292" s="148"/>
      <c r="AYD292" s="148"/>
      <c r="AYE292" s="148"/>
      <c r="AYF292" s="148"/>
      <c r="AYG292" s="148"/>
      <c r="AYH292" s="148"/>
      <c r="AYI292" s="148"/>
      <c r="AYJ292" s="148"/>
      <c r="AYK292" s="148"/>
      <c r="AYL292" s="148"/>
      <c r="AYM292" s="148"/>
      <c r="AYN292" s="148"/>
      <c r="AYO292" s="148"/>
      <c r="AYP292" s="148"/>
      <c r="AYQ292" s="148"/>
      <c r="AYR292" s="148"/>
      <c r="AYS292" s="148"/>
      <c r="AYT292" s="148"/>
      <c r="AYU292" s="148"/>
      <c r="AYV292" s="148"/>
      <c r="AYW292" s="148"/>
      <c r="AYX292" s="148"/>
      <c r="AYY292" s="148"/>
      <c r="AYZ292" s="148"/>
      <c r="AZA292" s="148"/>
      <c r="AZB292" s="148"/>
      <c r="AZC292" s="148"/>
      <c r="AZD292" s="148"/>
      <c r="AZE292" s="148"/>
      <c r="AZF292" s="148"/>
      <c r="AZG292" s="148"/>
      <c r="AZH292" s="148"/>
      <c r="AZI292" s="148"/>
      <c r="AZJ292" s="148"/>
      <c r="AZK292" s="148"/>
      <c r="AZL292" s="148"/>
      <c r="AZM292" s="148"/>
      <c r="AZN292" s="148"/>
      <c r="AZO292" s="148"/>
      <c r="AZP292" s="148"/>
      <c r="AZQ292" s="148"/>
      <c r="AZR292" s="148"/>
      <c r="AZS292" s="148"/>
      <c r="AZT292" s="148"/>
      <c r="AZU292" s="148"/>
      <c r="AZV292" s="148"/>
      <c r="AZW292" s="148"/>
      <c r="AZX292" s="148"/>
      <c r="AZY292" s="148"/>
      <c r="AZZ292" s="148"/>
      <c r="BAA292" s="148"/>
      <c r="BAB292" s="148"/>
      <c r="BAC292" s="148"/>
      <c r="BAD292" s="148"/>
      <c r="BAE292" s="148"/>
      <c r="BAF292" s="148"/>
      <c r="BAG292" s="148"/>
      <c r="BAH292" s="148"/>
      <c r="BAI292" s="148"/>
      <c r="BAJ292" s="148"/>
      <c r="BAK292" s="148"/>
      <c r="BAL292" s="148"/>
      <c r="BAM292" s="148"/>
      <c r="BAN292" s="148"/>
      <c r="BAO292" s="148"/>
      <c r="BAP292" s="148"/>
      <c r="BAQ292" s="148"/>
      <c r="BAR292" s="148"/>
      <c r="BAS292" s="148"/>
      <c r="BAT292" s="148"/>
      <c r="BAU292" s="148"/>
      <c r="BAV292" s="148"/>
      <c r="BAW292" s="148"/>
      <c r="BAX292" s="148"/>
      <c r="BAY292" s="148"/>
      <c r="BAZ292" s="148"/>
      <c r="BBA292" s="148"/>
      <c r="BBB292" s="148"/>
      <c r="BBC292" s="148"/>
      <c r="BBD292" s="148"/>
      <c r="BBE292" s="148"/>
      <c r="BBF292" s="148"/>
      <c r="BBG292" s="148"/>
      <c r="BBH292" s="148"/>
      <c r="BBI292" s="148"/>
      <c r="BBJ292" s="148"/>
      <c r="BBK292" s="148"/>
      <c r="BBL292" s="148"/>
      <c r="BBM292" s="148"/>
      <c r="BBN292" s="148"/>
      <c r="BBO292" s="148"/>
      <c r="BBP292" s="148"/>
      <c r="BBQ292" s="148"/>
      <c r="BBR292" s="148"/>
      <c r="BBS292" s="148"/>
      <c r="BBT292" s="148"/>
      <c r="BBU292" s="148"/>
      <c r="BBV292" s="148"/>
      <c r="BBW292" s="148"/>
      <c r="BBX292" s="148"/>
      <c r="BBY292" s="148"/>
      <c r="BBZ292" s="148"/>
      <c r="BCA292" s="148"/>
      <c r="BCB292" s="148"/>
      <c r="BCC292" s="148"/>
      <c r="BCD292" s="148"/>
      <c r="BCE292" s="148"/>
      <c r="BCF292" s="148"/>
      <c r="BCG292" s="148"/>
      <c r="BCH292" s="148"/>
      <c r="BCI292" s="148"/>
      <c r="BCJ292" s="148"/>
      <c r="BCK292" s="148"/>
      <c r="BCL292" s="148"/>
      <c r="BCM292" s="148"/>
      <c r="BCN292" s="148"/>
      <c r="BCO292" s="148"/>
      <c r="BCP292" s="148"/>
      <c r="BCQ292" s="148"/>
      <c r="BCR292" s="148"/>
      <c r="BCS292" s="148"/>
      <c r="BCT292" s="148"/>
      <c r="BCU292" s="148"/>
      <c r="BCV292" s="148"/>
      <c r="BCW292" s="148"/>
      <c r="BCX292" s="148"/>
      <c r="BCY292" s="148"/>
      <c r="BCZ292" s="148"/>
      <c r="BDA292" s="148"/>
      <c r="BDB292" s="148"/>
      <c r="BDC292" s="148"/>
      <c r="BDD292" s="148"/>
      <c r="BDE292" s="148"/>
      <c r="BDF292" s="148"/>
      <c r="BDG292" s="148"/>
      <c r="BDH292" s="148"/>
      <c r="BDI292" s="148"/>
      <c r="BDJ292" s="148"/>
      <c r="BDK292" s="148"/>
      <c r="BDL292" s="148"/>
      <c r="BDM292" s="148"/>
      <c r="BDN292" s="148"/>
      <c r="BDO292" s="148"/>
      <c r="BDP292" s="148"/>
      <c r="BDQ292" s="148"/>
      <c r="BDR292" s="148"/>
      <c r="BDS292" s="148"/>
      <c r="BDT292" s="148"/>
      <c r="BDU292" s="148"/>
      <c r="BDV292" s="148"/>
      <c r="BDW292" s="148"/>
      <c r="BDX292" s="148"/>
      <c r="BDY292" s="148"/>
      <c r="BDZ292" s="148"/>
      <c r="BEA292" s="148"/>
      <c r="BEB292" s="148"/>
      <c r="BEC292" s="148"/>
      <c r="BED292" s="148"/>
      <c r="BEE292" s="148"/>
      <c r="BEF292" s="148"/>
      <c r="BEG292" s="148"/>
      <c r="BEH292" s="148"/>
      <c r="BEI292" s="148"/>
      <c r="BEJ292" s="148"/>
      <c r="BEK292" s="148"/>
      <c r="BEL292" s="148"/>
      <c r="BEM292" s="148"/>
      <c r="BEN292" s="148"/>
      <c r="BEO292" s="148"/>
      <c r="BEP292" s="148"/>
      <c r="BEQ292" s="148"/>
      <c r="BER292" s="148"/>
      <c r="BES292" s="148"/>
      <c r="BET292" s="148"/>
      <c r="BEU292" s="148"/>
      <c r="BEV292" s="148"/>
      <c r="BEW292" s="148"/>
      <c r="BEX292" s="148"/>
      <c r="BEY292" s="148"/>
      <c r="BEZ292" s="148"/>
      <c r="BFA292" s="148"/>
      <c r="BFB292" s="148"/>
      <c r="BFC292" s="148"/>
      <c r="BFD292" s="148"/>
      <c r="BFE292" s="148"/>
      <c r="BFF292" s="148"/>
      <c r="BFG292" s="148"/>
      <c r="BFH292" s="148"/>
      <c r="BFI292" s="148"/>
      <c r="BFJ292" s="148"/>
      <c r="BFK292" s="148"/>
      <c r="BFL292" s="148"/>
      <c r="BFM292" s="148"/>
      <c r="BFN292" s="148"/>
      <c r="BFO292" s="148"/>
      <c r="BFP292" s="148"/>
      <c r="BFQ292" s="148"/>
      <c r="BFR292" s="148"/>
      <c r="BFS292" s="148"/>
      <c r="BFT292" s="148"/>
      <c r="BFU292" s="148"/>
      <c r="BFV292" s="148"/>
      <c r="BFW292" s="148"/>
      <c r="BFX292" s="148"/>
      <c r="BFY292" s="148"/>
      <c r="BFZ292" s="148"/>
      <c r="BGA292" s="148"/>
      <c r="BGB292" s="148"/>
      <c r="BGC292" s="148"/>
      <c r="BGD292" s="148"/>
      <c r="BGE292" s="148"/>
      <c r="BGF292" s="148"/>
      <c r="BGG292" s="148"/>
      <c r="BGH292" s="148"/>
      <c r="BGI292" s="148"/>
      <c r="BGJ292" s="148"/>
      <c r="BGK292" s="148"/>
      <c r="BGL292" s="148"/>
      <c r="BGM292" s="148"/>
      <c r="BGN292" s="148"/>
      <c r="BGO292" s="148"/>
      <c r="BGP292" s="148"/>
      <c r="BGQ292" s="148"/>
      <c r="BGR292" s="148"/>
      <c r="BGS292" s="148"/>
      <c r="BGT292" s="148"/>
      <c r="BGU292" s="148"/>
      <c r="BGV292" s="148"/>
      <c r="BGW292" s="148"/>
      <c r="BGX292" s="148"/>
      <c r="BGY292" s="148"/>
      <c r="BGZ292" s="148"/>
      <c r="BHA292" s="148"/>
      <c r="BHB292" s="148"/>
      <c r="BHC292" s="148"/>
      <c r="BHD292" s="148"/>
      <c r="BHE292" s="148"/>
      <c r="BHF292" s="148"/>
      <c r="BHG292" s="148"/>
      <c r="BHH292" s="148"/>
      <c r="BHI292" s="148"/>
      <c r="BHJ292" s="148"/>
      <c r="BHK292" s="148"/>
      <c r="BHL292" s="148"/>
      <c r="BHM292" s="148"/>
      <c r="BHN292" s="148"/>
      <c r="BHO292" s="148"/>
      <c r="BHP292" s="148"/>
      <c r="BHQ292" s="148"/>
      <c r="BHR292" s="148"/>
      <c r="BHS292" s="148"/>
      <c r="BHT292" s="148"/>
      <c r="BHU292" s="148"/>
      <c r="BHV292" s="148"/>
      <c r="BHW292" s="148"/>
      <c r="BHX292" s="148"/>
      <c r="BHY292" s="148"/>
      <c r="BHZ292" s="148"/>
      <c r="BIA292" s="148"/>
      <c r="BIB292" s="148"/>
      <c r="BIC292" s="148"/>
      <c r="BID292" s="148"/>
      <c r="BIE292" s="148"/>
      <c r="BIF292" s="148"/>
      <c r="BIG292" s="148"/>
      <c r="BIH292" s="148"/>
      <c r="BII292" s="148"/>
      <c r="BIJ292" s="148"/>
      <c r="BIK292" s="148"/>
      <c r="BIL292" s="148"/>
      <c r="BIM292" s="148"/>
      <c r="BIN292" s="148"/>
      <c r="BIO292" s="148"/>
      <c r="BIP292" s="148"/>
      <c r="BIQ292" s="148"/>
      <c r="BIR292" s="148"/>
      <c r="BIS292" s="148"/>
      <c r="BIT292" s="148"/>
      <c r="BIU292" s="148"/>
      <c r="BIV292" s="148"/>
      <c r="BIW292" s="148"/>
      <c r="BIX292" s="148"/>
      <c r="BIY292" s="148"/>
      <c r="BIZ292" s="148"/>
      <c r="BJA292" s="148"/>
      <c r="BJB292" s="148"/>
      <c r="BJC292" s="148"/>
      <c r="BJD292" s="148"/>
      <c r="BJE292" s="148"/>
      <c r="BJF292" s="148"/>
      <c r="BJG292" s="148"/>
      <c r="BJH292" s="148"/>
      <c r="BJI292" s="148"/>
      <c r="BJJ292" s="148"/>
      <c r="BJK292" s="148"/>
      <c r="BJL292" s="148"/>
      <c r="BJM292" s="148"/>
      <c r="BJN292" s="148"/>
      <c r="BJO292" s="148"/>
      <c r="BJP292" s="148"/>
      <c r="BJQ292" s="148"/>
      <c r="BJR292" s="148"/>
      <c r="BJS292" s="148"/>
      <c r="BJT292" s="148"/>
      <c r="BJU292" s="148"/>
      <c r="BJV292" s="148"/>
      <c r="BJW292" s="148"/>
      <c r="BJX292" s="148"/>
      <c r="BJY292" s="148"/>
      <c r="BJZ292" s="148"/>
      <c r="BKA292" s="148"/>
      <c r="BKB292" s="148"/>
      <c r="BKC292" s="148"/>
      <c r="BKD292" s="148"/>
      <c r="BKE292" s="148"/>
      <c r="BKF292" s="148"/>
      <c r="BKG292" s="148"/>
      <c r="BKH292" s="148"/>
      <c r="BKI292" s="148"/>
      <c r="BKJ292" s="148"/>
      <c r="BKK292" s="148"/>
      <c r="BKL292" s="148"/>
      <c r="BKM292" s="148"/>
      <c r="BKN292" s="148"/>
      <c r="BKO292" s="148"/>
      <c r="BKP292" s="148"/>
      <c r="BKQ292" s="148"/>
      <c r="BKR292" s="148"/>
      <c r="BKS292" s="148"/>
      <c r="BKT292" s="148"/>
      <c r="BKU292" s="148"/>
      <c r="BKV292" s="148"/>
      <c r="BKW292" s="148"/>
      <c r="BKX292" s="148"/>
      <c r="BKY292" s="148"/>
      <c r="BKZ292" s="148"/>
      <c r="BLA292" s="148"/>
      <c r="BLB292" s="148"/>
      <c r="BLC292" s="148"/>
      <c r="BLD292" s="148"/>
      <c r="BLE292" s="148"/>
      <c r="BLF292" s="148"/>
      <c r="BLG292" s="148"/>
      <c r="BLH292" s="148"/>
      <c r="BLI292" s="148"/>
      <c r="BLJ292" s="148"/>
      <c r="BLK292" s="148"/>
      <c r="BLL292" s="148"/>
      <c r="BLM292" s="148"/>
      <c r="BLN292" s="148"/>
      <c r="BLO292" s="148"/>
      <c r="BLP292" s="148"/>
      <c r="BLQ292" s="148"/>
      <c r="BLR292" s="148"/>
      <c r="BLS292" s="148"/>
      <c r="BLT292" s="148"/>
      <c r="BLU292" s="148"/>
      <c r="BLV292" s="148"/>
      <c r="BLW292" s="148"/>
      <c r="BLX292" s="148"/>
      <c r="BLY292" s="148"/>
      <c r="BLZ292" s="148"/>
      <c r="BMA292" s="148"/>
      <c r="BMB292" s="148"/>
      <c r="BMC292" s="148"/>
      <c r="BMD292" s="148"/>
      <c r="BME292" s="148"/>
      <c r="BMF292" s="148"/>
      <c r="BMG292" s="148"/>
      <c r="BMH292" s="148"/>
      <c r="BMI292" s="148"/>
      <c r="BMJ292" s="148"/>
      <c r="BMK292" s="148"/>
      <c r="BML292" s="148"/>
      <c r="BMM292" s="148"/>
      <c r="BMN292" s="148"/>
      <c r="BMO292" s="148"/>
      <c r="BMP292" s="148"/>
      <c r="BMQ292" s="148"/>
      <c r="BMR292" s="148"/>
      <c r="BMS292" s="148"/>
      <c r="BMT292" s="148"/>
      <c r="BMU292" s="148"/>
      <c r="BMV292" s="148"/>
      <c r="BMW292" s="148"/>
      <c r="BMX292" s="148"/>
      <c r="BMY292" s="148"/>
      <c r="BMZ292" s="148"/>
      <c r="BNA292" s="148"/>
      <c r="BNB292" s="148"/>
      <c r="BNC292" s="148"/>
      <c r="BND292" s="148"/>
      <c r="BNE292" s="148"/>
      <c r="BNF292" s="148"/>
      <c r="BNG292" s="148"/>
      <c r="BNH292" s="148"/>
      <c r="BNI292" s="148"/>
      <c r="BNJ292" s="148"/>
      <c r="BNK292" s="148"/>
      <c r="BNL292" s="148"/>
      <c r="BNM292" s="148"/>
      <c r="BNN292" s="148"/>
      <c r="BNO292" s="148"/>
      <c r="BNP292" s="148"/>
      <c r="BNQ292" s="148"/>
      <c r="BNR292" s="148"/>
      <c r="BNS292" s="148"/>
      <c r="BNT292" s="148"/>
      <c r="BNU292" s="148"/>
      <c r="BNV292" s="148"/>
      <c r="BNW292" s="148"/>
      <c r="BNX292" s="148"/>
      <c r="BNY292" s="148"/>
      <c r="BNZ292" s="148"/>
      <c r="BOA292" s="148"/>
      <c r="BOB292" s="148"/>
      <c r="BOC292" s="148"/>
      <c r="BOD292" s="148"/>
      <c r="BOE292" s="148"/>
      <c r="BOF292" s="148"/>
      <c r="BOG292" s="148"/>
      <c r="BOH292" s="148"/>
      <c r="BOI292" s="148"/>
      <c r="BOJ292" s="148"/>
      <c r="BOK292" s="148"/>
      <c r="BOL292" s="148"/>
      <c r="BOM292" s="148"/>
      <c r="BON292" s="148"/>
      <c r="BOO292" s="148"/>
      <c r="BOP292" s="148"/>
      <c r="BOQ292" s="148"/>
      <c r="BOR292" s="148"/>
      <c r="BOS292" s="148"/>
      <c r="BOT292" s="148"/>
      <c r="BOU292" s="148"/>
      <c r="BOV292" s="148"/>
      <c r="BOW292" s="148"/>
      <c r="BOX292" s="148"/>
      <c r="BOY292" s="148"/>
      <c r="BOZ292" s="148"/>
      <c r="BPA292" s="148"/>
      <c r="BPB292" s="148"/>
      <c r="BPC292" s="148"/>
      <c r="BPD292" s="148"/>
      <c r="BPE292" s="148"/>
      <c r="BPF292" s="148"/>
      <c r="BPG292" s="148"/>
      <c r="BPH292" s="148"/>
      <c r="BPI292" s="148"/>
      <c r="BPJ292" s="148"/>
      <c r="BPK292" s="148"/>
      <c r="BPL292" s="148"/>
      <c r="BPM292" s="148"/>
      <c r="BPN292" s="148"/>
      <c r="BPO292" s="148"/>
      <c r="BPP292" s="148"/>
      <c r="BPQ292" s="148"/>
      <c r="BPR292" s="148"/>
      <c r="BPS292" s="148"/>
      <c r="BPT292" s="148"/>
      <c r="BPU292" s="148"/>
      <c r="BPV292" s="148"/>
      <c r="BPW292" s="148"/>
      <c r="BPX292" s="148"/>
      <c r="BPY292" s="148"/>
      <c r="BPZ292" s="148"/>
      <c r="BQA292" s="148"/>
      <c r="BQB292" s="148"/>
      <c r="BQC292" s="148"/>
      <c r="BQD292" s="148"/>
      <c r="BQE292" s="148"/>
      <c r="BQF292" s="148"/>
      <c r="BQG292" s="148"/>
      <c r="BQH292" s="148"/>
      <c r="BQI292" s="148"/>
      <c r="BQJ292" s="148"/>
      <c r="BQK292" s="148"/>
      <c r="BQL292" s="148"/>
      <c r="BQM292" s="148"/>
      <c r="BQN292" s="148"/>
      <c r="BQO292" s="148"/>
      <c r="BQP292" s="148"/>
      <c r="BQQ292" s="148"/>
      <c r="BQR292" s="148"/>
      <c r="BQS292" s="148"/>
      <c r="BQT292" s="148"/>
      <c r="BQU292" s="148"/>
      <c r="BQV292" s="148"/>
      <c r="BQW292" s="148"/>
      <c r="BQX292" s="148"/>
      <c r="BQY292" s="148"/>
      <c r="BQZ292" s="148"/>
      <c r="BRA292" s="148"/>
      <c r="BRB292" s="148"/>
      <c r="BRC292" s="148"/>
      <c r="BRD292" s="148"/>
      <c r="BRE292" s="148"/>
      <c r="BRF292" s="148"/>
      <c r="BRG292" s="148"/>
      <c r="BRH292" s="148"/>
      <c r="BRI292" s="148"/>
      <c r="BRJ292" s="148"/>
      <c r="BRK292" s="148"/>
      <c r="BRL292" s="148"/>
      <c r="BRM292" s="148"/>
      <c r="BRN292" s="148"/>
      <c r="BRO292" s="148"/>
      <c r="BRP292" s="148"/>
      <c r="BRQ292" s="148"/>
      <c r="BRR292" s="148"/>
      <c r="BRS292" s="148"/>
      <c r="BRT292" s="148"/>
      <c r="BRU292" s="148"/>
      <c r="BRV292" s="148"/>
      <c r="BRW292" s="148"/>
      <c r="BRX292" s="148"/>
      <c r="BRY292" s="148"/>
      <c r="BRZ292" s="148"/>
      <c r="BSA292" s="148"/>
      <c r="BSB292" s="148"/>
      <c r="BSC292" s="148"/>
      <c r="BSD292" s="148"/>
      <c r="BSE292" s="148"/>
      <c r="BSF292" s="148"/>
      <c r="BSG292" s="148"/>
      <c r="BSH292" s="148"/>
      <c r="BSI292" s="148"/>
      <c r="BSJ292" s="148"/>
      <c r="BSK292" s="148"/>
      <c r="BSL292" s="148"/>
      <c r="BSM292" s="148"/>
      <c r="BSN292" s="148"/>
      <c r="BSO292" s="148"/>
      <c r="BSP292" s="148"/>
      <c r="BSQ292" s="148"/>
      <c r="BSR292" s="148"/>
      <c r="BSS292" s="148"/>
      <c r="BST292" s="148"/>
      <c r="BSU292" s="148"/>
      <c r="BSV292" s="148"/>
      <c r="BSW292" s="148"/>
      <c r="BSX292" s="148"/>
      <c r="BSY292" s="148"/>
      <c r="BSZ292" s="148"/>
      <c r="BTA292" s="148"/>
      <c r="BTB292" s="148"/>
      <c r="BTC292" s="148"/>
      <c r="BTD292" s="148"/>
      <c r="BTE292" s="148"/>
      <c r="BTF292" s="148"/>
      <c r="BTG292" s="148"/>
      <c r="BTH292" s="148"/>
      <c r="BTI292" s="148"/>
      <c r="BTJ292" s="148"/>
      <c r="BTK292" s="148"/>
      <c r="BTL292" s="148"/>
      <c r="BTM292" s="148"/>
      <c r="BTN292" s="148"/>
      <c r="BTO292" s="148"/>
      <c r="BTP292" s="148"/>
      <c r="BTQ292" s="148"/>
      <c r="BTR292" s="148"/>
      <c r="BTS292" s="148"/>
      <c r="BTT292" s="148"/>
      <c r="BTU292" s="148"/>
      <c r="BTV292" s="148"/>
      <c r="BTW292" s="148"/>
      <c r="BTX292" s="148"/>
      <c r="BTY292" s="148"/>
      <c r="BTZ292" s="148"/>
      <c r="BUA292" s="148"/>
      <c r="BUB292" s="148"/>
      <c r="BUC292" s="148"/>
      <c r="BUD292" s="148"/>
      <c r="BUE292" s="148"/>
      <c r="BUF292" s="148"/>
      <c r="BUG292" s="148"/>
      <c r="BUH292" s="148"/>
      <c r="BUI292" s="148"/>
      <c r="BUJ292" s="148"/>
      <c r="BUK292" s="148"/>
      <c r="BUL292" s="148"/>
      <c r="BUM292" s="148"/>
      <c r="BUN292" s="148"/>
      <c r="BUO292" s="148"/>
      <c r="BUP292" s="148"/>
      <c r="BUQ292" s="148"/>
      <c r="BUR292" s="148"/>
      <c r="BUS292" s="148"/>
      <c r="BUT292" s="148"/>
      <c r="BUU292" s="148"/>
      <c r="BUV292" s="148"/>
      <c r="BUW292" s="148"/>
      <c r="BUX292" s="148"/>
      <c r="BUY292" s="148"/>
      <c r="BUZ292" s="148"/>
      <c r="BVA292" s="148"/>
      <c r="BVB292" s="148"/>
      <c r="BVC292" s="148"/>
      <c r="BVD292" s="148"/>
      <c r="BVE292" s="148"/>
      <c r="BVF292" s="148"/>
      <c r="BVG292" s="148"/>
      <c r="BVH292" s="148"/>
      <c r="BVI292" s="148"/>
      <c r="BVJ292" s="148"/>
      <c r="BVK292" s="148"/>
      <c r="BVL292" s="148"/>
      <c r="BVM292" s="148"/>
      <c r="BVN292" s="148"/>
      <c r="BVO292" s="148"/>
      <c r="BVP292" s="148"/>
      <c r="BVQ292" s="148"/>
      <c r="BVR292" s="148"/>
      <c r="BVS292" s="148"/>
      <c r="BVT292" s="148"/>
      <c r="BVU292" s="148"/>
      <c r="BVV292" s="148"/>
      <c r="BVW292" s="148"/>
      <c r="BVX292" s="148"/>
      <c r="BVY292" s="148"/>
      <c r="BVZ292" s="148"/>
      <c r="BWA292" s="148"/>
      <c r="BWB292" s="148"/>
      <c r="BWC292" s="148"/>
      <c r="BWD292" s="148"/>
      <c r="BWE292" s="148"/>
      <c r="BWF292" s="148"/>
      <c r="BWG292" s="148"/>
      <c r="BWH292" s="148"/>
      <c r="BWI292" s="148"/>
      <c r="BWJ292" s="148"/>
      <c r="BWK292" s="148"/>
      <c r="BWL292" s="148"/>
      <c r="BWM292" s="148"/>
      <c r="BWN292" s="148"/>
      <c r="BWO292" s="148"/>
      <c r="BWP292" s="148"/>
      <c r="BWQ292" s="148"/>
      <c r="BWR292" s="148"/>
      <c r="BWS292" s="148"/>
      <c r="BWT292" s="148"/>
      <c r="BWU292" s="148"/>
      <c r="BWV292" s="148"/>
      <c r="BWW292" s="148"/>
      <c r="BWX292" s="148"/>
      <c r="BWY292" s="148"/>
      <c r="BWZ292" s="148"/>
      <c r="BXA292" s="148"/>
      <c r="BXB292" s="148"/>
      <c r="BXC292" s="148"/>
      <c r="BXD292" s="148"/>
      <c r="BXE292" s="148"/>
      <c r="BXF292" s="148"/>
      <c r="BXG292" s="148"/>
      <c r="BXH292" s="148"/>
      <c r="BXI292" s="148"/>
      <c r="BXJ292" s="148"/>
      <c r="BXK292" s="148"/>
      <c r="BXL292" s="148"/>
      <c r="BXM292" s="148"/>
      <c r="BXN292" s="148"/>
      <c r="BXO292" s="148"/>
      <c r="BXP292" s="148"/>
      <c r="BXQ292" s="148"/>
      <c r="BXR292" s="148"/>
      <c r="BXS292" s="148"/>
      <c r="BXT292" s="148"/>
      <c r="BXU292" s="148"/>
      <c r="BXV292" s="148"/>
      <c r="BXW292" s="148"/>
      <c r="BXX292" s="148"/>
      <c r="BXY292" s="148"/>
      <c r="BXZ292" s="148"/>
      <c r="BYA292" s="148"/>
      <c r="BYB292" s="148"/>
      <c r="BYC292" s="148"/>
      <c r="BYD292" s="148"/>
      <c r="BYE292" s="148"/>
      <c r="BYF292" s="148"/>
      <c r="BYG292" s="148"/>
      <c r="BYH292" s="148"/>
      <c r="BYI292" s="148"/>
      <c r="BYJ292" s="148"/>
      <c r="BYK292" s="148"/>
      <c r="BYL292" s="148"/>
      <c r="BYM292" s="148"/>
      <c r="BYN292" s="148"/>
      <c r="BYO292" s="148"/>
      <c r="BYP292" s="148"/>
      <c r="BYQ292" s="148"/>
      <c r="BYR292" s="148"/>
      <c r="BYS292" s="148"/>
      <c r="BYT292" s="148"/>
      <c r="BYU292" s="148"/>
      <c r="BYV292" s="148"/>
      <c r="BYW292" s="148"/>
      <c r="BYX292" s="148"/>
      <c r="BYY292" s="148"/>
      <c r="BYZ292" s="148"/>
      <c r="BZA292" s="148"/>
      <c r="BZB292" s="148"/>
      <c r="BZC292" s="148"/>
      <c r="BZD292" s="148"/>
      <c r="BZE292" s="148"/>
      <c r="BZF292" s="148"/>
      <c r="BZG292" s="148"/>
      <c r="BZH292" s="148"/>
      <c r="BZI292" s="148"/>
      <c r="BZJ292" s="148"/>
      <c r="BZK292" s="148"/>
      <c r="BZL292" s="148"/>
      <c r="BZM292" s="148"/>
      <c r="BZN292" s="148"/>
      <c r="BZO292" s="148"/>
      <c r="BZP292" s="148"/>
      <c r="BZQ292" s="148"/>
      <c r="BZR292" s="148"/>
      <c r="BZS292" s="148"/>
      <c r="BZT292" s="148"/>
      <c r="BZU292" s="148"/>
      <c r="BZV292" s="148"/>
      <c r="BZW292" s="148"/>
      <c r="BZX292" s="148"/>
      <c r="BZY292" s="148"/>
      <c r="BZZ292" s="148"/>
      <c r="CAA292" s="148"/>
      <c r="CAB292" s="148"/>
      <c r="CAC292" s="148"/>
      <c r="CAD292" s="148"/>
      <c r="CAE292" s="148"/>
      <c r="CAF292" s="148"/>
      <c r="CAG292" s="148"/>
      <c r="CAH292" s="148"/>
      <c r="CAI292" s="148"/>
      <c r="CAJ292" s="148"/>
      <c r="CAK292" s="148"/>
      <c r="CAL292" s="148"/>
      <c r="CAM292" s="148"/>
      <c r="CAN292" s="148"/>
      <c r="CAO292" s="148"/>
      <c r="CAP292" s="148"/>
      <c r="CAQ292" s="148"/>
      <c r="CAR292" s="148"/>
      <c r="CAS292" s="148"/>
      <c r="CAT292" s="148"/>
      <c r="CAU292" s="148"/>
      <c r="CAV292" s="148"/>
      <c r="CAW292" s="148"/>
      <c r="CAX292" s="148"/>
      <c r="CAY292" s="148"/>
      <c r="CAZ292" s="148"/>
      <c r="CBA292" s="148"/>
      <c r="CBB292" s="148"/>
      <c r="CBC292" s="148"/>
      <c r="CBD292" s="148"/>
      <c r="CBE292" s="148"/>
      <c r="CBF292" s="148"/>
      <c r="CBG292" s="148"/>
      <c r="CBH292" s="148"/>
      <c r="CBI292" s="148"/>
      <c r="CBJ292" s="148"/>
      <c r="CBK292" s="148"/>
      <c r="CBL292" s="148"/>
      <c r="CBM292" s="148"/>
      <c r="CBN292" s="148"/>
      <c r="CBO292" s="148"/>
      <c r="CBP292" s="148"/>
      <c r="CBQ292" s="148"/>
      <c r="CBR292" s="148"/>
      <c r="CBS292" s="148"/>
      <c r="CBT292" s="148"/>
      <c r="CBU292" s="148"/>
      <c r="CBV292" s="148"/>
      <c r="CBW292" s="148"/>
      <c r="CBX292" s="148"/>
      <c r="CBY292" s="148"/>
      <c r="CBZ292" s="148"/>
      <c r="CCA292" s="148"/>
      <c r="CCB292" s="148"/>
      <c r="CCC292" s="148"/>
      <c r="CCD292" s="148"/>
      <c r="CCE292" s="148"/>
      <c r="CCF292" s="148"/>
      <c r="CCG292" s="148"/>
      <c r="CCH292" s="148"/>
      <c r="CCI292" s="148"/>
      <c r="CCJ292" s="148"/>
      <c r="CCK292" s="148"/>
      <c r="CCL292" s="148"/>
      <c r="CCM292" s="148"/>
      <c r="CCN292" s="148"/>
      <c r="CCO292" s="148"/>
      <c r="CCP292" s="148"/>
      <c r="CCQ292" s="148"/>
      <c r="CCR292" s="148"/>
      <c r="CCS292" s="148"/>
      <c r="CCT292" s="148"/>
      <c r="CCU292" s="148"/>
      <c r="CCV292" s="148"/>
      <c r="CCW292" s="148"/>
      <c r="CCX292" s="148"/>
      <c r="CCY292" s="148"/>
      <c r="CCZ292" s="148"/>
      <c r="CDA292" s="148"/>
      <c r="CDB292" s="148"/>
      <c r="CDC292" s="148"/>
      <c r="CDD292" s="148"/>
      <c r="CDE292" s="148"/>
      <c r="CDF292" s="148"/>
      <c r="CDG292" s="148"/>
      <c r="CDH292" s="148"/>
      <c r="CDI292" s="148"/>
      <c r="CDJ292" s="148"/>
      <c r="CDK292" s="148"/>
      <c r="CDL292" s="148"/>
      <c r="CDM292" s="148"/>
      <c r="CDN292" s="148"/>
      <c r="CDO292" s="148"/>
      <c r="CDP292" s="148"/>
      <c r="CDQ292" s="148"/>
      <c r="CDR292" s="148"/>
      <c r="CDS292" s="148"/>
      <c r="CDT292" s="148"/>
      <c r="CDU292" s="148"/>
      <c r="CDV292" s="148"/>
      <c r="CDW292" s="148"/>
      <c r="CDX292" s="148"/>
      <c r="CDY292" s="148"/>
      <c r="CDZ292" s="148"/>
      <c r="CEA292" s="148"/>
      <c r="CEB292" s="148"/>
      <c r="CEC292" s="148"/>
      <c r="CED292" s="148"/>
      <c r="CEE292" s="148"/>
      <c r="CEF292" s="148"/>
      <c r="CEG292" s="148"/>
      <c r="CEH292" s="148"/>
      <c r="CEI292" s="148"/>
      <c r="CEJ292" s="148"/>
      <c r="CEK292" s="148"/>
      <c r="CEL292" s="148"/>
      <c r="CEM292" s="148"/>
      <c r="CEN292" s="148"/>
      <c r="CEO292" s="148"/>
      <c r="CEP292" s="148"/>
      <c r="CEQ292" s="148"/>
      <c r="CER292" s="148"/>
      <c r="CES292" s="148"/>
      <c r="CET292" s="148"/>
      <c r="CEU292" s="148"/>
      <c r="CEV292" s="148"/>
      <c r="CEW292" s="148"/>
      <c r="CEX292" s="148"/>
      <c r="CEY292" s="148"/>
      <c r="CEZ292" s="148"/>
      <c r="CFA292" s="148"/>
      <c r="CFB292" s="148"/>
      <c r="CFC292" s="148"/>
      <c r="CFD292" s="148"/>
      <c r="CFE292" s="148"/>
      <c r="CFF292" s="148"/>
      <c r="CFG292" s="148"/>
      <c r="CFH292" s="148"/>
      <c r="CFI292" s="148"/>
      <c r="CFJ292" s="148"/>
      <c r="CFK292" s="148"/>
      <c r="CFL292" s="148"/>
      <c r="CFM292" s="148"/>
      <c r="CFN292" s="148"/>
      <c r="CFO292" s="148"/>
      <c r="CFP292" s="148"/>
      <c r="CFQ292" s="148"/>
      <c r="CFR292" s="148"/>
      <c r="CFS292" s="148"/>
      <c r="CFT292" s="148"/>
      <c r="CFU292" s="148"/>
      <c r="CFV292" s="148"/>
      <c r="CFW292" s="148"/>
      <c r="CFX292" s="148"/>
      <c r="CFY292" s="148"/>
      <c r="CFZ292" s="148"/>
      <c r="CGA292" s="148"/>
      <c r="CGB292" s="148"/>
      <c r="CGC292" s="148"/>
      <c r="CGD292" s="148"/>
      <c r="CGE292" s="148"/>
      <c r="CGF292" s="148"/>
      <c r="CGG292" s="148"/>
      <c r="CGH292" s="148"/>
      <c r="CGI292" s="148"/>
      <c r="CGJ292" s="148"/>
      <c r="CGK292" s="148"/>
      <c r="CGL292" s="148"/>
      <c r="CGM292" s="148"/>
      <c r="CGN292" s="148"/>
      <c r="CGO292" s="148"/>
      <c r="CGP292" s="148"/>
      <c r="CGQ292" s="148"/>
      <c r="CGR292" s="148"/>
      <c r="CGS292" s="148"/>
      <c r="CGT292" s="148"/>
      <c r="CGU292" s="148"/>
      <c r="CGV292" s="148"/>
      <c r="CGW292" s="148"/>
      <c r="CGX292" s="148"/>
      <c r="CGY292" s="148"/>
      <c r="CGZ292" s="148"/>
      <c r="CHA292" s="148"/>
      <c r="CHB292" s="148"/>
      <c r="CHC292" s="148"/>
      <c r="CHD292" s="148"/>
      <c r="CHE292" s="148"/>
      <c r="CHF292" s="148"/>
      <c r="CHG292" s="148"/>
      <c r="CHH292" s="148"/>
      <c r="CHI292" s="148"/>
      <c r="CHJ292" s="148"/>
      <c r="CHK292" s="148"/>
      <c r="CHL292" s="148"/>
      <c r="CHM292" s="148"/>
      <c r="CHN292" s="148"/>
      <c r="CHO292" s="148"/>
      <c r="CHP292" s="148"/>
      <c r="CHQ292" s="148"/>
      <c r="CHR292" s="148"/>
      <c r="CHS292" s="148"/>
      <c r="CHT292" s="148"/>
      <c r="CHU292" s="148"/>
      <c r="CHV292" s="148"/>
      <c r="CHW292" s="148"/>
      <c r="CHX292" s="148"/>
      <c r="CHY292" s="148"/>
      <c r="CHZ292" s="148"/>
      <c r="CIA292" s="148"/>
      <c r="CIB292" s="148"/>
      <c r="CIC292" s="148"/>
      <c r="CID292" s="148"/>
      <c r="CIE292" s="148"/>
      <c r="CIF292" s="148"/>
      <c r="CIG292" s="148"/>
      <c r="CIH292" s="148"/>
      <c r="CII292" s="148"/>
      <c r="CIJ292" s="148"/>
      <c r="CIK292" s="148"/>
      <c r="CIL292" s="148"/>
      <c r="CIM292" s="148"/>
      <c r="CIN292" s="148"/>
      <c r="CIO292" s="148"/>
      <c r="CIP292" s="148"/>
      <c r="CIQ292" s="148"/>
      <c r="CIR292" s="148"/>
      <c r="CIS292" s="148"/>
      <c r="CIT292" s="148"/>
      <c r="CIU292" s="148"/>
      <c r="CIV292" s="148"/>
      <c r="CIW292" s="148"/>
      <c r="CIX292" s="148"/>
      <c r="CIY292" s="148"/>
      <c r="CIZ292" s="148"/>
      <c r="CJA292" s="148"/>
      <c r="CJB292" s="148"/>
      <c r="CJC292" s="148"/>
      <c r="CJD292" s="148"/>
      <c r="CJE292" s="148"/>
      <c r="CJF292" s="148"/>
      <c r="CJG292" s="148"/>
      <c r="CJH292" s="148"/>
      <c r="CJI292" s="148"/>
      <c r="CJJ292" s="148"/>
      <c r="CJK292" s="148"/>
      <c r="CJL292" s="148"/>
      <c r="CJM292" s="148"/>
      <c r="CJN292" s="148"/>
      <c r="CJO292" s="148"/>
      <c r="CJP292" s="148"/>
      <c r="CJQ292" s="148"/>
      <c r="CJR292" s="148"/>
      <c r="CJS292" s="148"/>
      <c r="CJT292" s="148"/>
      <c r="CJU292" s="148"/>
      <c r="CJV292" s="148"/>
      <c r="CJW292" s="148"/>
      <c r="CJX292" s="148"/>
      <c r="CJY292" s="148"/>
      <c r="CJZ292" s="148"/>
      <c r="CKA292" s="148"/>
      <c r="CKB292" s="148"/>
      <c r="CKC292" s="148"/>
      <c r="CKD292" s="148"/>
      <c r="CKE292" s="148"/>
      <c r="CKF292" s="148"/>
      <c r="CKG292" s="148"/>
      <c r="CKH292" s="148"/>
      <c r="CKI292" s="148"/>
      <c r="CKJ292" s="148"/>
      <c r="CKK292" s="148"/>
      <c r="CKL292" s="148"/>
      <c r="CKM292" s="148"/>
      <c r="CKN292" s="148"/>
      <c r="CKO292" s="148"/>
      <c r="CKP292" s="148"/>
      <c r="CKQ292" s="148"/>
      <c r="CKR292" s="148"/>
      <c r="CKS292" s="148"/>
      <c r="CKT292" s="148"/>
      <c r="CKU292" s="148"/>
      <c r="CKV292" s="148"/>
      <c r="CKW292" s="148"/>
      <c r="CKX292" s="148"/>
      <c r="CKY292" s="148"/>
      <c r="CKZ292" s="148"/>
      <c r="CLA292" s="148"/>
      <c r="CLB292" s="148"/>
      <c r="CLC292" s="148"/>
      <c r="CLD292" s="148"/>
      <c r="CLE292" s="148"/>
      <c r="CLF292" s="148"/>
      <c r="CLG292" s="148"/>
      <c r="CLH292" s="148"/>
      <c r="CLI292" s="148"/>
      <c r="CLJ292" s="148"/>
      <c r="CLK292" s="148"/>
      <c r="CLL292" s="148"/>
      <c r="CLM292" s="148"/>
      <c r="CLN292" s="148"/>
      <c r="CLO292" s="148"/>
      <c r="CLP292" s="148"/>
      <c r="CLQ292" s="148"/>
      <c r="CLR292" s="148"/>
      <c r="CLS292" s="148"/>
      <c r="CLT292" s="148"/>
      <c r="CLU292" s="148"/>
      <c r="CLV292" s="148"/>
      <c r="CLW292" s="148"/>
      <c r="CLX292" s="148"/>
      <c r="CLY292" s="148"/>
      <c r="CLZ292" s="148"/>
      <c r="CMA292" s="148"/>
      <c r="CMB292" s="148"/>
      <c r="CMC292" s="148"/>
      <c r="CMD292" s="148"/>
      <c r="CME292" s="148"/>
      <c r="CMF292" s="148"/>
      <c r="CMG292" s="148"/>
      <c r="CMH292" s="148"/>
      <c r="CMI292" s="148"/>
      <c r="CMJ292" s="148"/>
      <c r="CMK292" s="148"/>
      <c r="CML292" s="148"/>
      <c r="CMM292" s="148"/>
      <c r="CMN292" s="148"/>
      <c r="CMO292" s="148"/>
      <c r="CMP292" s="148"/>
      <c r="CMQ292" s="148"/>
      <c r="CMR292" s="148"/>
      <c r="CMS292" s="148"/>
      <c r="CMT292" s="148"/>
      <c r="CMU292" s="148"/>
      <c r="CMV292" s="148"/>
      <c r="CMW292" s="148"/>
      <c r="CMX292" s="148"/>
      <c r="CMY292" s="148"/>
      <c r="CMZ292" s="148"/>
      <c r="CNA292" s="148"/>
      <c r="CNB292" s="148"/>
      <c r="CNC292" s="148"/>
      <c r="CND292" s="148"/>
      <c r="CNE292" s="148"/>
      <c r="CNF292" s="148"/>
      <c r="CNG292" s="148"/>
      <c r="CNH292" s="148"/>
      <c r="CNI292" s="148"/>
      <c r="CNJ292" s="148"/>
      <c r="CNK292" s="148"/>
      <c r="CNL292" s="148"/>
      <c r="CNM292" s="148"/>
      <c r="CNN292" s="148"/>
      <c r="CNO292" s="148"/>
      <c r="CNP292" s="148"/>
      <c r="CNQ292" s="148"/>
      <c r="CNR292" s="148"/>
      <c r="CNS292" s="148"/>
      <c r="CNT292" s="148"/>
      <c r="CNU292" s="148"/>
      <c r="CNV292" s="148"/>
      <c r="CNW292" s="148"/>
      <c r="CNX292" s="148"/>
      <c r="CNY292" s="148"/>
      <c r="CNZ292" s="148"/>
      <c r="COA292" s="148"/>
      <c r="COB292" s="148"/>
      <c r="COC292" s="148"/>
      <c r="COD292" s="148"/>
      <c r="COE292" s="148"/>
      <c r="COF292" s="148"/>
      <c r="COG292" s="148"/>
      <c r="COH292" s="148"/>
      <c r="COI292" s="148"/>
      <c r="COJ292" s="148"/>
      <c r="COK292" s="148"/>
      <c r="COL292" s="148"/>
      <c r="COM292" s="148"/>
      <c r="CON292" s="148"/>
      <c r="COO292" s="148"/>
      <c r="COP292" s="148"/>
      <c r="COQ292" s="148"/>
      <c r="COR292" s="148"/>
      <c r="COS292" s="148"/>
      <c r="COT292" s="148"/>
      <c r="COU292" s="148"/>
      <c r="COV292" s="148"/>
      <c r="COW292" s="148"/>
      <c r="COX292" s="148"/>
      <c r="COY292" s="148"/>
      <c r="COZ292" s="148"/>
      <c r="CPA292" s="148"/>
      <c r="CPB292" s="148"/>
      <c r="CPC292" s="148"/>
      <c r="CPD292" s="148"/>
      <c r="CPE292" s="148"/>
      <c r="CPF292" s="148"/>
      <c r="CPG292" s="148"/>
      <c r="CPH292" s="148"/>
      <c r="CPI292" s="148"/>
      <c r="CPJ292" s="148"/>
      <c r="CPK292" s="148"/>
      <c r="CPL292" s="148"/>
      <c r="CPM292" s="148"/>
      <c r="CPN292" s="148"/>
      <c r="CPO292" s="148"/>
      <c r="CPP292" s="148"/>
      <c r="CPQ292" s="148"/>
      <c r="CPR292" s="148"/>
      <c r="CPS292" s="148"/>
      <c r="CPT292" s="148"/>
      <c r="CPU292" s="148"/>
      <c r="CPV292" s="148"/>
      <c r="CPW292" s="148"/>
      <c r="CPX292" s="148"/>
      <c r="CPY292" s="148"/>
      <c r="CPZ292" s="148"/>
      <c r="CQA292" s="148"/>
      <c r="CQB292" s="148"/>
      <c r="CQC292" s="148"/>
      <c r="CQD292" s="148"/>
      <c r="CQE292" s="148"/>
      <c r="CQF292" s="148"/>
      <c r="CQG292" s="148"/>
      <c r="CQH292" s="148"/>
      <c r="CQI292" s="148"/>
      <c r="CQJ292" s="148"/>
      <c r="CQK292" s="148"/>
      <c r="CQL292" s="148"/>
      <c r="CQM292" s="148"/>
      <c r="CQN292" s="148"/>
      <c r="CQO292" s="148"/>
      <c r="CQP292" s="148"/>
      <c r="CQQ292" s="148"/>
      <c r="CQR292" s="148"/>
      <c r="CQS292" s="148"/>
      <c r="CQT292" s="148"/>
      <c r="CQU292" s="148"/>
      <c r="CQV292" s="148"/>
      <c r="CQW292" s="148"/>
      <c r="CQX292" s="148"/>
      <c r="CQY292" s="148"/>
      <c r="CQZ292" s="148"/>
      <c r="CRA292" s="148"/>
      <c r="CRB292" s="148"/>
      <c r="CRC292" s="148"/>
      <c r="CRD292" s="148"/>
      <c r="CRE292" s="148"/>
      <c r="CRF292" s="148"/>
      <c r="CRG292" s="148"/>
      <c r="CRH292" s="148"/>
      <c r="CRI292" s="148"/>
      <c r="CRJ292" s="148"/>
      <c r="CRK292" s="148"/>
      <c r="CRL292" s="148"/>
      <c r="CRM292" s="148"/>
      <c r="CRN292" s="148"/>
      <c r="CRO292" s="148"/>
      <c r="CRP292" s="148"/>
      <c r="CRQ292" s="148"/>
      <c r="CRR292" s="148"/>
      <c r="CRS292" s="148"/>
      <c r="CRT292" s="148"/>
      <c r="CRU292" s="148"/>
      <c r="CRV292" s="148"/>
      <c r="CRW292" s="148"/>
      <c r="CRX292" s="148"/>
      <c r="CRY292" s="148"/>
      <c r="CRZ292" s="148"/>
      <c r="CSA292" s="148"/>
      <c r="CSB292" s="148"/>
      <c r="CSC292" s="148"/>
      <c r="CSD292" s="148"/>
      <c r="CSE292" s="148"/>
      <c r="CSF292" s="148"/>
      <c r="CSG292" s="148"/>
      <c r="CSH292" s="148"/>
      <c r="CSI292" s="148"/>
      <c r="CSJ292" s="148"/>
      <c r="CSK292" s="148"/>
      <c r="CSL292" s="148"/>
      <c r="CSM292" s="148"/>
      <c r="CSN292" s="148"/>
      <c r="CSO292" s="148"/>
      <c r="CSP292" s="148"/>
      <c r="CSQ292" s="148"/>
      <c r="CSR292" s="148"/>
      <c r="CSS292" s="148"/>
      <c r="CST292" s="148"/>
      <c r="CSU292" s="148"/>
      <c r="CSV292" s="148"/>
      <c r="CSW292" s="148"/>
      <c r="CSX292" s="148"/>
      <c r="CSY292" s="148"/>
      <c r="CSZ292" s="148"/>
      <c r="CTA292" s="148"/>
      <c r="CTB292" s="148"/>
      <c r="CTC292" s="148"/>
      <c r="CTD292" s="148"/>
      <c r="CTE292" s="148"/>
      <c r="CTF292" s="148"/>
      <c r="CTG292" s="148"/>
      <c r="CTH292" s="148"/>
      <c r="CTI292" s="148"/>
      <c r="CTJ292" s="148"/>
      <c r="CTK292" s="148"/>
      <c r="CTL292" s="148"/>
      <c r="CTM292" s="148"/>
      <c r="CTN292" s="148"/>
      <c r="CTO292" s="148"/>
      <c r="CTP292" s="148"/>
      <c r="CTQ292" s="148"/>
      <c r="CTR292" s="148"/>
      <c r="CTS292" s="148"/>
      <c r="CTT292" s="148"/>
      <c r="CTU292" s="148"/>
      <c r="CTV292" s="148"/>
      <c r="CTW292" s="148"/>
      <c r="CTX292" s="148"/>
      <c r="CTY292" s="148"/>
      <c r="CTZ292" s="148"/>
      <c r="CUA292" s="148"/>
      <c r="CUB292" s="148"/>
      <c r="CUC292" s="148"/>
      <c r="CUD292" s="148"/>
      <c r="CUE292" s="148"/>
      <c r="CUF292" s="148"/>
      <c r="CUG292" s="148"/>
      <c r="CUH292" s="148"/>
      <c r="CUI292" s="148"/>
      <c r="CUJ292" s="148"/>
      <c r="CUK292" s="148"/>
      <c r="CUL292" s="148"/>
      <c r="CUM292" s="148"/>
      <c r="CUN292" s="148"/>
      <c r="CUO292" s="148"/>
      <c r="CUP292" s="148"/>
      <c r="CUQ292" s="148"/>
      <c r="CUR292" s="148"/>
      <c r="CUS292" s="148"/>
      <c r="CUT292" s="148"/>
      <c r="CUU292" s="148"/>
      <c r="CUV292" s="148"/>
      <c r="CUW292" s="148"/>
      <c r="CUX292" s="148"/>
      <c r="CUY292" s="148"/>
      <c r="CUZ292" s="148"/>
      <c r="CVA292" s="148"/>
      <c r="CVB292" s="148"/>
      <c r="CVC292" s="148"/>
      <c r="CVD292" s="148"/>
      <c r="CVE292" s="148"/>
      <c r="CVF292" s="148"/>
      <c r="CVG292" s="148"/>
      <c r="CVH292" s="148"/>
      <c r="CVI292" s="148"/>
      <c r="CVJ292" s="148"/>
      <c r="CVK292" s="148"/>
      <c r="CVL292" s="148"/>
      <c r="CVM292" s="148"/>
      <c r="CVN292" s="148"/>
      <c r="CVO292" s="148"/>
      <c r="CVP292" s="148"/>
      <c r="CVQ292" s="148"/>
      <c r="CVR292" s="148"/>
      <c r="CVS292" s="148"/>
      <c r="CVT292" s="148"/>
      <c r="CVU292" s="148"/>
      <c r="CVV292" s="148"/>
      <c r="CVW292" s="148"/>
      <c r="CVX292" s="148"/>
      <c r="CVY292" s="148"/>
      <c r="CVZ292" s="148"/>
      <c r="CWA292" s="148"/>
      <c r="CWB292" s="148"/>
      <c r="CWC292" s="148"/>
      <c r="CWD292" s="148"/>
      <c r="CWE292" s="148"/>
      <c r="CWF292" s="148"/>
      <c r="CWG292" s="148"/>
      <c r="CWH292" s="148"/>
      <c r="CWI292" s="148"/>
      <c r="CWJ292" s="148"/>
      <c r="CWK292" s="148"/>
      <c r="CWL292" s="148"/>
      <c r="CWM292" s="148"/>
      <c r="CWN292" s="148"/>
      <c r="CWO292" s="148"/>
      <c r="CWP292" s="148"/>
      <c r="CWQ292" s="148"/>
      <c r="CWR292" s="148"/>
      <c r="CWS292" s="148"/>
      <c r="CWT292" s="148"/>
      <c r="CWU292" s="148"/>
      <c r="CWV292" s="148"/>
      <c r="CWW292" s="148"/>
      <c r="CWX292" s="148"/>
      <c r="CWY292" s="148"/>
      <c r="CWZ292" s="148"/>
      <c r="CXA292" s="148"/>
      <c r="CXB292" s="148"/>
      <c r="CXC292" s="148"/>
      <c r="CXD292" s="148"/>
      <c r="CXE292" s="148"/>
      <c r="CXF292" s="148"/>
      <c r="CXG292" s="148"/>
      <c r="CXH292" s="148"/>
      <c r="CXI292" s="148"/>
      <c r="CXJ292" s="148"/>
      <c r="CXK292" s="148"/>
      <c r="CXL292" s="148"/>
      <c r="CXM292" s="148"/>
      <c r="CXN292" s="148"/>
      <c r="CXO292" s="148"/>
      <c r="CXP292" s="148"/>
      <c r="CXQ292" s="148"/>
      <c r="CXR292" s="148"/>
      <c r="CXS292" s="148"/>
      <c r="CXT292" s="148"/>
      <c r="CXU292" s="148"/>
      <c r="CXV292" s="148"/>
      <c r="CXW292" s="148"/>
      <c r="CXX292" s="148"/>
      <c r="CXY292" s="148"/>
      <c r="CXZ292" s="148"/>
      <c r="CYA292" s="148"/>
      <c r="CYB292" s="148"/>
      <c r="CYC292" s="148"/>
      <c r="CYD292" s="148"/>
      <c r="CYE292" s="148"/>
      <c r="CYF292" s="148"/>
      <c r="CYG292" s="148"/>
      <c r="CYH292" s="148"/>
      <c r="CYI292" s="148"/>
      <c r="CYJ292" s="148"/>
      <c r="CYK292" s="148"/>
      <c r="CYL292" s="148"/>
      <c r="CYM292" s="148"/>
      <c r="CYN292" s="148"/>
      <c r="CYO292" s="148"/>
      <c r="CYP292" s="148"/>
      <c r="CYQ292" s="148"/>
      <c r="CYR292" s="148"/>
      <c r="CYS292" s="148"/>
      <c r="CYT292" s="148"/>
      <c r="CYU292" s="148"/>
      <c r="CYV292" s="148"/>
      <c r="CYW292" s="148"/>
      <c r="CYX292" s="148"/>
      <c r="CYY292" s="148"/>
      <c r="CYZ292" s="148"/>
      <c r="CZA292" s="148"/>
      <c r="CZB292" s="148"/>
      <c r="CZC292" s="148"/>
      <c r="CZD292" s="148"/>
      <c r="CZE292" s="148"/>
      <c r="CZF292" s="148"/>
      <c r="CZG292" s="148"/>
      <c r="CZH292" s="148"/>
      <c r="CZI292" s="148"/>
      <c r="CZJ292" s="148"/>
      <c r="CZK292" s="148"/>
      <c r="CZL292" s="148"/>
      <c r="CZM292" s="148"/>
      <c r="CZN292" s="148"/>
      <c r="CZO292" s="148"/>
      <c r="CZP292" s="148"/>
      <c r="CZQ292" s="148"/>
      <c r="CZR292" s="148"/>
      <c r="CZS292" s="148"/>
      <c r="CZT292" s="148"/>
      <c r="CZU292" s="148"/>
      <c r="CZV292" s="148"/>
      <c r="CZW292" s="148"/>
      <c r="CZX292" s="148"/>
      <c r="CZY292" s="148"/>
      <c r="CZZ292" s="148"/>
      <c r="DAA292" s="148"/>
      <c r="DAB292" s="148"/>
      <c r="DAC292" s="148"/>
      <c r="DAD292" s="148"/>
      <c r="DAE292" s="148"/>
      <c r="DAF292" s="148"/>
      <c r="DAG292" s="148"/>
      <c r="DAH292" s="148"/>
      <c r="DAI292" s="148"/>
      <c r="DAJ292" s="148"/>
      <c r="DAK292" s="148"/>
      <c r="DAL292" s="148"/>
      <c r="DAM292" s="148"/>
      <c r="DAN292" s="148"/>
      <c r="DAO292" s="148"/>
      <c r="DAP292" s="148"/>
      <c r="DAQ292" s="148"/>
      <c r="DAR292" s="148"/>
      <c r="DAS292" s="148"/>
      <c r="DAT292" s="148"/>
      <c r="DAU292" s="148"/>
      <c r="DAV292" s="148"/>
      <c r="DAW292" s="148"/>
      <c r="DAX292" s="148"/>
      <c r="DAY292" s="148"/>
      <c r="DAZ292" s="148"/>
      <c r="DBA292" s="148"/>
      <c r="DBB292" s="148"/>
      <c r="DBC292" s="148"/>
      <c r="DBD292" s="148"/>
      <c r="DBE292" s="148"/>
      <c r="DBF292" s="148"/>
      <c r="DBG292" s="148"/>
      <c r="DBH292" s="148"/>
      <c r="DBI292" s="148"/>
      <c r="DBJ292" s="148"/>
      <c r="DBK292" s="148"/>
      <c r="DBL292" s="148"/>
      <c r="DBM292" s="148"/>
      <c r="DBN292" s="148"/>
      <c r="DBO292" s="148"/>
      <c r="DBP292" s="148"/>
      <c r="DBQ292" s="148"/>
      <c r="DBR292" s="148"/>
      <c r="DBS292" s="148"/>
      <c r="DBT292" s="148"/>
      <c r="DBU292" s="148"/>
      <c r="DBV292" s="148"/>
      <c r="DBW292" s="148"/>
      <c r="DBX292" s="148"/>
      <c r="DBY292" s="148"/>
      <c r="DBZ292" s="148"/>
      <c r="DCA292" s="148"/>
      <c r="DCB292" s="148"/>
      <c r="DCC292" s="148"/>
      <c r="DCD292" s="148"/>
      <c r="DCE292" s="148"/>
      <c r="DCF292" s="148"/>
      <c r="DCG292" s="148"/>
      <c r="DCH292" s="148"/>
      <c r="DCI292" s="148"/>
      <c r="DCJ292" s="148"/>
      <c r="DCK292" s="148"/>
      <c r="DCL292" s="148"/>
      <c r="DCM292" s="148"/>
      <c r="DCN292" s="148"/>
      <c r="DCO292" s="148"/>
      <c r="DCP292" s="148"/>
      <c r="DCQ292" s="148"/>
      <c r="DCR292" s="148"/>
      <c r="DCS292" s="148"/>
      <c r="DCT292" s="148"/>
      <c r="DCU292" s="148"/>
      <c r="DCV292" s="148"/>
      <c r="DCW292" s="148"/>
      <c r="DCX292" s="148"/>
      <c r="DCY292" s="148"/>
      <c r="DCZ292" s="148"/>
      <c r="DDA292" s="148"/>
      <c r="DDB292" s="148"/>
      <c r="DDC292" s="148"/>
      <c r="DDD292" s="148"/>
      <c r="DDE292" s="148"/>
      <c r="DDF292" s="148"/>
      <c r="DDG292" s="148"/>
      <c r="DDH292" s="148"/>
      <c r="DDI292" s="148"/>
      <c r="DDJ292" s="148"/>
      <c r="DDK292" s="148"/>
      <c r="DDL292" s="148"/>
      <c r="DDM292" s="148"/>
      <c r="DDN292" s="148"/>
      <c r="DDO292" s="148"/>
      <c r="DDP292" s="148"/>
      <c r="DDQ292" s="148"/>
      <c r="DDR292" s="148"/>
      <c r="DDS292" s="148"/>
      <c r="DDT292" s="148"/>
      <c r="DDU292" s="148"/>
      <c r="DDV292" s="148"/>
      <c r="DDW292" s="148"/>
      <c r="DDX292" s="148"/>
      <c r="DDY292" s="148"/>
      <c r="DDZ292" s="148"/>
      <c r="DEA292" s="148"/>
      <c r="DEB292" s="148"/>
      <c r="DEC292" s="148"/>
      <c r="DED292" s="148"/>
      <c r="DEE292" s="148"/>
      <c r="DEF292" s="148"/>
      <c r="DEG292" s="148"/>
      <c r="DEH292" s="148"/>
      <c r="DEI292" s="148"/>
      <c r="DEJ292" s="148"/>
      <c r="DEK292" s="148"/>
      <c r="DEL292" s="148"/>
      <c r="DEM292" s="148"/>
      <c r="DEN292" s="148"/>
      <c r="DEO292" s="148"/>
      <c r="DEP292" s="148"/>
      <c r="DEQ292" s="148"/>
      <c r="DER292" s="148"/>
      <c r="DES292" s="148"/>
      <c r="DET292" s="148"/>
      <c r="DEU292" s="148"/>
      <c r="DEV292" s="148"/>
      <c r="DEW292" s="148"/>
      <c r="DEX292" s="148"/>
      <c r="DEY292" s="148"/>
      <c r="DEZ292" s="148"/>
      <c r="DFA292" s="148"/>
      <c r="DFB292" s="148"/>
      <c r="DFC292" s="148"/>
      <c r="DFD292" s="148"/>
      <c r="DFE292" s="148"/>
      <c r="DFF292" s="148"/>
      <c r="DFG292" s="148"/>
      <c r="DFH292" s="148"/>
      <c r="DFI292" s="148"/>
      <c r="DFJ292" s="148"/>
      <c r="DFK292" s="148"/>
      <c r="DFL292" s="148"/>
      <c r="DFM292" s="148"/>
      <c r="DFN292" s="148"/>
      <c r="DFO292" s="148"/>
      <c r="DFP292" s="148"/>
      <c r="DFQ292" s="148"/>
      <c r="DFR292" s="148"/>
      <c r="DFS292" s="148"/>
      <c r="DFT292" s="148"/>
      <c r="DFU292" s="148"/>
      <c r="DFV292" s="148"/>
      <c r="DFW292" s="148"/>
      <c r="DFX292" s="148"/>
      <c r="DFY292" s="148"/>
      <c r="DFZ292" s="148"/>
      <c r="DGA292" s="148"/>
      <c r="DGB292" s="148"/>
      <c r="DGC292" s="148"/>
      <c r="DGD292" s="148"/>
      <c r="DGE292" s="148"/>
      <c r="DGF292" s="148"/>
      <c r="DGG292" s="148"/>
      <c r="DGH292" s="148"/>
      <c r="DGI292" s="148"/>
      <c r="DGJ292" s="148"/>
      <c r="DGK292" s="148"/>
      <c r="DGL292" s="148"/>
      <c r="DGM292" s="148"/>
      <c r="DGN292" s="148"/>
      <c r="DGO292" s="148"/>
      <c r="DGP292" s="148"/>
      <c r="DGQ292" s="148"/>
      <c r="DGR292" s="148"/>
      <c r="DGS292" s="148"/>
      <c r="DGT292" s="148"/>
      <c r="DGU292" s="148"/>
      <c r="DGV292" s="148"/>
      <c r="DGW292" s="148"/>
      <c r="DGX292" s="148"/>
      <c r="DGY292" s="148"/>
      <c r="DGZ292" s="148"/>
      <c r="DHA292" s="148"/>
      <c r="DHB292" s="148"/>
      <c r="DHC292" s="148"/>
      <c r="DHD292" s="148"/>
      <c r="DHE292" s="148"/>
      <c r="DHF292" s="148"/>
      <c r="DHG292" s="148"/>
      <c r="DHH292" s="148"/>
      <c r="DHI292" s="148"/>
      <c r="DHJ292" s="148"/>
      <c r="DHK292" s="148"/>
      <c r="DHL292" s="148"/>
      <c r="DHM292" s="148"/>
      <c r="DHN292" s="148"/>
      <c r="DHO292" s="148"/>
      <c r="DHP292" s="148"/>
      <c r="DHQ292" s="148"/>
      <c r="DHR292" s="148"/>
      <c r="DHS292" s="148"/>
      <c r="DHT292" s="148"/>
      <c r="DHU292" s="148"/>
      <c r="DHV292" s="148"/>
      <c r="DHW292" s="148"/>
      <c r="DHX292" s="148"/>
      <c r="DHY292" s="148"/>
      <c r="DHZ292" s="148"/>
      <c r="DIA292" s="148"/>
      <c r="DIB292" s="148"/>
      <c r="DIC292" s="148"/>
      <c r="DID292" s="148"/>
      <c r="DIE292" s="148"/>
      <c r="DIF292" s="148"/>
      <c r="DIG292" s="148"/>
      <c r="DIH292" s="148"/>
      <c r="DII292" s="148"/>
      <c r="DIJ292" s="148"/>
      <c r="DIK292" s="148"/>
      <c r="DIL292" s="148"/>
      <c r="DIM292" s="148"/>
      <c r="DIN292" s="148"/>
      <c r="DIO292" s="148"/>
      <c r="DIP292" s="148"/>
      <c r="DIQ292" s="148"/>
      <c r="DIR292" s="148"/>
      <c r="DIS292" s="148"/>
      <c r="DIT292" s="148"/>
      <c r="DIU292" s="148"/>
      <c r="DIV292" s="148"/>
      <c r="DIW292" s="148"/>
      <c r="DIX292" s="148"/>
      <c r="DIY292" s="148"/>
      <c r="DIZ292" s="148"/>
      <c r="DJA292" s="148"/>
      <c r="DJB292" s="148"/>
      <c r="DJC292" s="148"/>
      <c r="DJD292" s="148"/>
      <c r="DJE292" s="148"/>
      <c r="DJF292" s="148"/>
      <c r="DJG292" s="148"/>
      <c r="DJH292" s="148"/>
      <c r="DJI292" s="148"/>
      <c r="DJJ292" s="148"/>
      <c r="DJK292" s="148"/>
      <c r="DJL292" s="148"/>
      <c r="DJM292" s="148"/>
      <c r="DJN292" s="148"/>
      <c r="DJO292" s="148"/>
      <c r="DJP292" s="148"/>
      <c r="DJQ292" s="148"/>
      <c r="DJR292" s="148"/>
      <c r="DJS292" s="148"/>
      <c r="DJT292" s="148"/>
      <c r="DJU292" s="148"/>
      <c r="DJV292" s="148"/>
      <c r="DJW292" s="148"/>
      <c r="DJX292" s="148"/>
      <c r="DJY292" s="148"/>
      <c r="DJZ292" s="148"/>
      <c r="DKA292" s="148"/>
      <c r="DKB292" s="148"/>
      <c r="DKC292" s="148"/>
      <c r="DKD292" s="148"/>
      <c r="DKE292" s="148"/>
      <c r="DKF292" s="148"/>
      <c r="DKG292" s="148"/>
      <c r="DKH292" s="148"/>
      <c r="DKI292" s="148"/>
      <c r="DKJ292" s="148"/>
      <c r="DKK292" s="148"/>
      <c r="DKL292" s="148"/>
      <c r="DKM292" s="148"/>
      <c r="DKN292" s="148"/>
      <c r="DKO292" s="148"/>
      <c r="DKP292" s="148"/>
      <c r="DKQ292" s="148"/>
      <c r="DKR292" s="148"/>
      <c r="DKS292" s="148"/>
      <c r="DKT292" s="148"/>
      <c r="DKU292" s="148"/>
      <c r="DKV292" s="148"/>
      <c r="DKW292" s="148"/>
      <c r="DKX292" s="148"/>
      <c r="DKY292" s="148"/>
      <c r="DKZ292" s="148"/>
      <c r="DLA292" s="148"/>
      <c r="DLB292" s="148"/>
      <c r="DLC292" s="148"/>
      <c r="DLD292" s="148"/>
      <c r="DLE292" s="148"/>
      <c r="DLF292" s="148"/>
      <c r="DLG292" s="148"/>
      <c r="DLH292" s="148"/>
      <c r="DLI292" s="148"/>
      <c r="DLJ292" s="148"/>
      <c r="DLK292" s="148"/>
      <c r="DLL292" s="148"/>
      <c r="DLM292" s="148"/>
      <c r="DLN292" s="148"/>
      <c r="DLO292" s="148"/>
      <c r="DLP292" s="148"/>
      <c r="DLQ292" s="148"/>
      <c r="DLR292" s="148"/>
      <c r="DLS292" s="148"/>
      <c r="DLT292" s="148"/>
      <c r="DLU292" s="148"/>
      <c r="DLV292" s="148"/>
      <c r="DLW292" s="148"/>
      <c r="DLX292" s="148"/>
      <c r="DLY292" s="148"/>
      <c r="DLZ292" s="148"/>
      <c r="DMA292" s="148"/>
      <c r="DMB292" s="148"/>
      <c r="DMC292" s="148"/>
      <c r="DMD292" s="148"/>
      <c r="DME292" s="148"/>
      <c r="DMF292" s="148"/>
      <c r="DMG292" s="148"/>
      <c r="DMH292" s="148"/>
      <c r="DMI292" s="148"/>
      <c r="DMJ292" s="148"/>
      <c r="DMK292" s="148"/>
      <c r="DML292" s="148"/>
      <c r="DMM292" s="148"/>
      <c r="DMN292" s="148"/>
      <c r="DMO292" s="148"/>
      <c r="DMP292" s="148"/>
      <c r="DMQ292" s="148"/>
      <c r="DMR292" s="148"/>
      <c r="DMS292" s="148"/>
      <c r="DMT292" s="148"/>
      <c r="DMU292" s="148"/>
      <c r="DMV292" s="148"/>
      <c r="DMW292" s="148"/>
      <c r="DMX292" s="148"/>
      <c r="DMY292" s="148"/>
      <c r="DMZ292" s="148"/>
      <c r="DNA292" s="148"/>
      <c r="DNB292" s="148"/>
      <c r="DNC292" s="148"/>
      <c r="DND292" s="148"/>
      <c r="DNE292" s="148"/>
      <c r="DNF292" s="148"/>
      <c r="DNG292" s="148"/>
      <c r="DNH292" s="148"/>
      <c r="DNI292" s="148"/>
      <c r="DNJ292" s="148"/>
      <c r="DNK292" s="148"/>
      <c r="DNL292" s="148"/>
      <c r="DNM292" s="148"/>
      <c r="DNN292" s="148"/>
      <c r="DNO292" s="148"/>
      <c r="DNP292" s="148"/>
      <c r="DNQ292" s="148"/>
      <c r="DNR292" s="148"/>
      <c r="DNS292" s="148"/>
      <c r="DNT292" s="148"/>
      <c r="DNU292" s="148"/>
      <c r="DNV292" s="148"/>
      <c r="DNW292" s="148"/>
      <c r="DNX292" s="148"/>
      <c r="DNY292" s="148"/>
      <c r="DNZ292" s="148"/>
      <c r="DOA292" s="148"/>
      <c r="DOB292" s="148"/>
      <c r="DOC292" s="148"/>
      <c r="DOD292" s="148"/>
      <c r="DOE292" s="148"/>
      <c r="DOF292" s="148"/>
      <c r="DOG292" s="148"/>
      <c r="DOH292" s="148"/>
      <c r="DOI292" s="148"/>
      <c r="DOJ292" s="148"/>
      <c r="DOK292" s="148"/>
      <c r="DOL292" s="148"/>
      <c r="DOM292" s="148"/>
      <c r="DON292" s="148"/>
      <c r="DOO292" s="148"/>
      <c r="DOP292" s="148"/>
      <c r="DOQ292" s="148"/>
      <c r="DOR292" s="148"/>
      <c r="DOS292" s="148"/>
      <c r="DOT292" s="148"/>
      <c r="DOU292" s="148"/>
      <c r="DOV292" s="148"/>
      <c r="DOW292" s="148"/>
      <c r="DOX292" s="148"/>
      <c r="DOY292" s="148"/>
      <c r="DOZ292" s="148"/>
      <c r="DPA292" s="148"/>
      <c r="DPB292" s="148"/>
      <c r="DPC292" s="148"/>
      <c r="DPD292" s="148"/>
      <c r="DPE292" s="148"/>
      <c r="DPF292" s="148"/>
      <c r="DPG292" s="148"/>
      <c r="DPH292" s="148"/>
      <c r="DPI292" s="148"/>
      <c r="DPJ292" s="148"/>
      <c r="DPK292" s="148"/>
      <c r="DPL292" s="148"/>
      <c r="DPM292" s="148"/>
      <c r="DPN292" s="148"/>
      <c r="DPO292" s="148"/>
      <c r="DPP292" s="148"/>
      <c r="DPQ292" s="148"/>
      <c r="DPR292" s="148"/>
      <c r="DPS292" s="148"/>
      <c r="DPT292" s="148"/>
      <c r="DPU292" s="148"/>
      <c r="DPV292" s="148"/>
      <c r="DPW292" s="148"/>
      <c r="DPX292" s="148"/>
      <c r="DPY292" s="148"/>
      <c r="DPZ292" s="148"/>
      <c r="DQA292" s="148"/>
      <c r="DQB292" s="148"/>
      <c r="DQC292" s="148"/>
      <c r="DQD292" s="148"/>
      <c r="DQE292" s="148"/>
      <c r="DQF292" s="148"/>
      <c r="DQG292" s="148"/>
      <c r="DQH292" s="148"/>
      <c r="DQI292" s="148"/>
      <c r="DQJ292" s="148"/>
      <c r="DQK292" s="148"/>
      <c r="DQL292" s="148"/>
      <c r="DQM292" s="148"/>
      <c r="DQN292" s="148"/>
      <c r="DQO292" s="148"/>
      <c r="DQP292" s="148"/>
      <c r="DQQ292" s="148"/>
      <c r="DQR292" s="148"/>
      <c r="DQS292" s="148"/>
      <c r="DQT292" s="148"/>
      <c r="DQU292" s="148"/>
      <c r="DQV292" s="148"/>
      <c r="DQW292" s="148"/>
      <c r="DQX292" s="148"/>
      <c r="DQY292" s="148"/>
      <c r="DQZ292" s="148"/>
      <c r="DRA292" s="148"/>
      <c r="DRB292" s="148"/>
      <c r="DRC292" s="148"/>
      <c r="DRD292" s="148"/>
      <c r="DRE292" s="148"/>
      <c r="DRF292" s="148"/>
      <c r="DRG292" s="148"/>
      <c r="DRH292" s="148"/>
      <c r="DRI292" s="148"/>
      <c r="DRJ292" s="148"/>
      <c r="DRK292" s="148"/>
      <c r="DRL292" s="148"/>
      <c r="DRM292" s="148"/>
      <c r="DRN292" s="148"/>
      <c r="DRO292" s="148"/>
      <c r="DRP292" s="148"/>
      <c r="DRQ292" s="148"/>
      <c r="DRR292" s="148"/>
      <c r="DRS292" s="148"/>
      <c r="DRT292" s="148"/>
      <c r="DRU292" s="148"/>
      <c r="DRV292" s="148"/>
      <c r="DRW292" s="148"/>
      <c r="DRX292" s="148"/>
      <c r="DRY292" s="148"/>
      <c r="DRZ292" s="148"/>
      <c r="DSA292" s="148"/>
      <c r="DSB292" s="148"/>
      <c r="DSC292" s="148"/>
      <c r="DSD292" s="148"/>
      <c r="DSE292" s="148"/>
      <c r="DSF292" s="148"/>
      <c r="DSG292" s="148"/>
      <c r="DSH292" s="148"/>
      <c r="DSI292" s="148"/>
      <c r="DSJ292" s="148"/>
      <c r="DSK292" s="148"/>
      <c r="DSL292" s="148"/>
      <c r="DSM292" s="148"/>
      <c r="DSN292" s="148"/>
      <c r="DSO292" s="148"/>
      <c r="DSP292" s="148"/>
      <c r="DSQ292" s="148"/>
      <c r="DSR292" s="148"/>
      <c r="DSS292" s="148"/>
      <c r="DST292" s="148"/>
      <c r="DSU292" s="148"/>
      <c r="DSV292" s="148"/>
      <c r="DSW292" s="148"/>
      <c r="DSX292" s="148"/>
      <c r="DSY292" s="148"/>
      <c r="DSZ292" s="148"/>
      <c r="DTA292" s="148"/>
      <c r="DTB292" s="148"/>
      <c r="DTC292" s="148"/>
      <c r="DTD292" s="148"/>
      <c r="DTE292" s="148"/>
      <c r="DTF292" s="148"/>
      <c r="DTG292" s="148"/>
      <c r="DTH292" s="148"/>
      <c r="DTI292" s="148"/>
      <c r="DTJ292" s="148"/>
      <c r="DTK292" s="148"/>
      <c r="DTL292" s="148"/>
      <c r="DTM292" s="148"/>
      <c r="DTN292" s="148"/>
      <c r="DTO292" s="148"/>
      <c r="DTP292" s="148"/>
      <c r="DTQ292" s="148"/>
      <c r="DTR292" s="148"/>
      <c r="DTS292" s="148"/>
      <c r="DTT292" s="148"/>
      <c r="DTU292" s="148"/>
      <c r="DTV292" s="148"/>
      <c r="DTW292" s="148"/>
      <c r="DTX292" s="148"/>
      <c r="DTY292" s="148"/>
      <c r="DTZ292" s="148"/>
      <c r="DUA292" s="148"/>
      <c r="DUB292" s="148"/>
      <c r="DUC292" s="148"/>
      <c r="DUD292" s="148"/>
      <c r="DUE292" s="148"/>
      <c r="DUF292" s="148"/>
      <c r="DUG292" s="148"/>
      <c r="DUH292" s="148"/>
      <c r="DUI292" s="148"/>
      <c r="DUJ292" s="148"/>
      <c r="DUK292" s="148"/>
      <c r="DUL292" s="148"/>
      <c r="DUM292" s="148"/>
      <c r="DUN292" s="148"/>
      <c r="DUO292" s="148"/>
      <c r="DUP292" s="148"/>
      <c r="DUQ292" s="148"/>
      <c r="DUR292" s="148"/>
      <c r="DUS292" s="148"/>
      <c r="DUT292" s="148"/>
      <c r="DUU292" s="148"/>
      <c r="DUV292" s="148"/>
      <c r="DUW292" s="148"/>
      <c r="DUX292" s="148"/>
      <c r="DUY292" s="148"/>
      <c r="DUZ292" s="148"/>
      <c r="DVA292" s="148"/>
      <c r="DVB292" s="148"/>
      <c r="DVC292" s="148"/>
      <c r="DVD292" s="148"/>
      <c r="DVE292" s="148"/>
      <c r="DVF292" s="148"/>
      <c r="DVG292" s="148"/>
      <c r="DVH292" s="148"/>
      <c r="DVI292" s="148"/>
      <c r="DVJ292" s="148"/>
      <c r="DVK292" s="148"/>
      <c r="DVL292" s="148"/>
      <c r="DVM292" s="148"/>
      <c r="DVN292" s="148"/>
      <c r="DVO292" s="148"/>
      <c r="DVP292" s="148"/>
      <c r="DVQ292" s="148"/>
      <c r="DVR292" s="148"/>
      <c r="DVS292" s="148"/>
      <c r="DVT292" s="148"/>
      <c r="DVU292" s="148"/>
      <c r="DVV292" s="148"/>
      <c r="DVW292" s="148"/>
      <c r="DVX292" s="148"/>
      <c r="DVY292" s="148"/>
      <c r="DVZ292" s="148"/>
      <c r="DWA292" s="148"/>
      <c r="DWB292" s="148"/>
      <c r="DWC292" s="148"/>
      <c r="DWD292" s="148"/>
      <c r="DWE292" s="148"/>
      <c r="DWF292" s="148"/>
      <c r="DWG292" s="148"/>
      <c r="DWH292" s="148"/>
      <c r="DWI292" s="148"/>
      <c r="DWJ292" s="148"/>
      <c r="DWK292" s="148"/>
      <c r="DWL292" s="148"/>
      <c r="DWM292" s="148"/>
      <c r="DWN292" s="148"/>
      <c r="DWO292" s="148"/>
      <c r="DWP292" s="148"/>
      <c r="DWQ292" s="148"/>
      <c r="DWR292" s="148"/>
      <c r="DWS292" s="148"/>
      <c r="DWT292" s="148"/>
      <c r="DWU292" s="148"/>
      <c r="DWV292" s="148"/>
      <c r="DWW292" s="148"/>
      <c r="DWX292" s="148"/>
      <c r="DWY292" s="148"/>
      <c r="DWZ292" s="148"/>
      <c r="DXA292" s="148"/>
      <c r="DXB292" s="148"/>
      <c r="DXC292" s="148"/>
      <c r="DXD292" s="148"/>
      <c r="DXE292" s="148"/>
      <c r="DXF292" s="148"/>
      <c r="DXG292" s="148"/>
      <c r="DXH292" s="148"/>
      <c r="DXI292" s="148"/>
      <c r="DXJ292" s="148"/>
      <c r="DXK292" s="148"/>
      <c r="DXL292" s="148"/>
      <c r="DXM292" s="148"/>
      <c r="DXN292" s="148"/>
      <c r="DXO292" s="148"/>
      <c r="DXP292" s="148"/>
      <c r="DXQ292" s="148"/>
      <c r="DXR292" s="148"/>
      <c r="DXS292" s="148"/>
      <c r="DXT292" s="148"/>
      <c r="DXU292" s="148"/>
      <c r="DXV292" s="148"/>
      <c r="DXW292" s="148"/>
      <c r="DXX292" s="148"/>
      <c r="DXY292" s="148"/>
      <c r="DXZ292" s="148"/>
      <c r="DYA292" s="148"/>
      <c r="DYB292" s="148"/>
      <c r="DYC292" s="148"/>
      <c r="DYD292" s="148"/>
      <c r="DYE292" s="148"/>
      <c r="DYF292" s="148"/>
      <c r="DYG292" s="148"/>
      <c r="DYH292" s="148"/>
      <c r="DYI292" s="148"/>
      <c r="DYJ292" s="148"/>
      <c r="DYK292" s="148"/>
      <c r="DYL292" s="148"/>
      <c r="DYM292" s="148"/>
      <c r="DYN292" s="148"/>
      <c r="DYO292" s="148"/>
      <c r="DYP292" s="148"/>
      <c r="DYQ292" s="148"/>
      <c r="DYR292" s="148"/>
      <c r="DYS292" s="148"/>
      <c r="DYT292" s="148"/>
      <c r="DYU292" s="148"/>
      <c r="DYV292" s="148"/>
      <c r="DYW292" s="148"/>
      <c r="DYX292" s="148"/>
      <c r="DYY292" s="148"/>
      <c r="DYZ292" s="148"/>
      <c r="DZA292" s="148"/>
      <c r="DZB292" s="148"/>
      <c r="DZC292" s="148"/>
      <c r="DZD292" s="148"/>
      <c r="DZE292" s="148"/>
      <c r="DZF292" s="148"/>
      <c r="DZG292" s="148"/>
      <c r="DZH292" s="148"/>
      <c r="DZI292" s="148"/>
      <c r="DZJ292" s="148"/>
      <c r="DZK292" s="148"/>
      <c r="DZL292" s="148"/>
      <c r="DZM292" s="148"/>
      <c r="DZN292" s="148"/>
      <c r="DZO292" s="148"/>
      <c r="DZP292" s="148"/>
      <c r="DZQ292" s="148"/>
      <c r="DZR292" s="148"/>
      <c r="DZS292" s="148"/>
      <c r="DZT292" s="148"/>
      <c r="DZU292" s="148"/>
      <c r="DZV292" s="148"/>
      <c r="DZW292" s="148"/>
      <c r="DZX292" s="148"/>
      <c r="DZY292" s="148"/>
      <c r="DZZ292" s="148"/>
      <c r="EAA292" s="148"/>
      <c r="EAB292" s="148"/>
      <c r="EAC292" s="148"/>
      <c r="EAD292" s="148"/>
      <c r="EAE292" s="148"/>
      <c r="EAF292" s="148"/>
      <c r="EAG292" s="148"/>
      <c r="EAH292" s="148"/>
      <c r="EAI292" s="148"/>
      <c r="EAJ292" s="148"/>
      <c r="EAK292" s="148"/>
      <c r="EAL292" s="148"/>
      <c r="EAM292" s="148"/>
      <c r="EAN292" s="148"/>
      <c r="EAO292" s="148"/>
      <c r="EAP292" s="148"/>
      <c r="EAQ292" s="148"/>
      <c r="EAR292" s="148"/>
      <c r="EAS292" s="148"/>
      <c r="EAT292" s="148"/>
      <c r="EAU292" s="148"/>
      <c r="EAV292" s="148"/>
      <c r="EAW292" s="148"/>
      <c r="EAX292" s="148"/>
      <c r="EAY292" s="148"/>
      <c r="EAZ292" s="148"/>
      <c r="EBA292" s="148"/>
      <c r="EBB292" s="148"/>
      <c r="EBC292" s="148"/>
      <c r="EBD292" s="148"/>
      <c r="EBE292" s="148"/>
      <c r="EBF292" s="148"/>
      <c r="EBG292" s="148"/>
      <c r="EBH292" s="148"/>
      <c r="EBI292" s="148"/>
      <c r="EBJ292" s="148"/>
      <c r="EBK292" s="148"/>
      <c r="EBL292" s="148"/>
      <c r="EBM292" s="148"/>
      <c r="EBN292" s="148"/>
      <c r="EBO292" s="148"/>
      <c r="EBP292" s="148"/>
      <c r="EBQ292" s="148"/>
      <c r="EBR292" s="148"/>
      <c r="EBS292" s="148"/>
      <c r="EBT292" s="148"/>
      <c r="EBU292" s="148"/>
      <c r="EBV292" s="148"/>
      <c r="EBW292" s="148"/>
      <c r="EBX292" s="148"/>
      <c r="EBY292" s="148"/>
      <c r="EBZ292" s="148"/>
      <c r="ECA292" s="148"/>
      <c r="ECB292" s="148"/>
      <c r="ECC292" s="148"/>
      <c r="ECD292" s="148"/>
      <c r="ECE292" s="148"/>
      <c r="ECF292" s="148"/>
      <c r="ECG292" s="148"/>
      <c r="ECH292" s="148"/>
      <c r="ECI292" s="148"/>
      <c r="ECJ292" s="148"/>
      <c r="ECK292" s="148"/>
      <c r="ECL292" s="148"/>
      <c r="ECM292" s="148"/>
      <c r="ECN292" s="148"/>
      <c r="ECO292" s="148"/>
      <c r="ECP292" s="148"/>
      <c r="ECQ292" s="148"/>
      <c r="ECR292" s="148"/>
      <c r="ECS292" s="148"/>
      <c r="ECT292" s="148"/>
      <c r="ECU292" s="148"/>
      <c r="ECV292" s="148"/>
      <c r="ECW292" s="148"/>
      <c r="ECX292" s="148"/>
      <c r="ECY292" s="148"/>
      <c r="ECZ292" s="148"/>
      <c r="EDA292" s="148"/>
      <c r="EDB292" s="148"/>
      <c r="EDC292" s="148"/>
      <c r="EDD292" s="148"/>
      <c r="EDE292" s="148"/>
      <c r="EDF292" s="148"/>
      <c r="EDG292" s="148"/>
      <c r="EDH292" s="148"/>
      <c r="EDI292" s="148"/>
      <c r="EDJ292" s="148"/>
      <c r="EDK292" s="148"/>
      <c r="EDL292" s="148"/>
      <c r="EDM292" s="148"/>
      <c r="EDN292" s="148"/>
      <c r="EDO292" s="148"/>
      <c r="EDP292" s="148"/>
      <c r="EDQ292" s="148"/>
      <c r="EDR292" s="148"/>
      <c r="EDS292" s="148"/>
      <c r="EDT292" s="148"/>
      <c r="EDU292" s="148"/>
      <c r="EDV292" s="148"/>
      <c r="EDW292" s="148"/>
      <c r="EDX292" s="148"/>
      <c r="EDY292" s="148"/>
      <c r="EDZ292" s="148"/>
      <c r="EEA292" s="148"/>
      <c r="EEB292" s="148"/>
      <c r="EEC292" s="148"/>
      <c r="EED292" s="148"/>
      <c r="EEE292" s="148"/>
      <c r="EEF292" s="148"/>
      <c r="EEG292" s="148"/>
      <c r="EEH292" s="148"/>
      <c r="EEI292" s="148"/>
      <c r="EEJ292" s="148"/>
      <c r="EEK292" s="148"/>
      <c r="EEL292" s="148"/>
      <c r="EEM292" s="148"/>
      <c r="EEN292" s="148"/>
      <c r="EEO292" s="148"/>
      <c r="EEP292" s="148"/>
      <c r="EEQ292" s="148"/>
      <c r="EER292" s="148"/>
      <c r="EES292" s="148"/>
      <c r="EET292" s="148"/>
      <c r="EEU292" s="148"/>
      <c r="EEV292" s="148"/>
      <c r="EEW292" s="148"/>
      <c r="EEX292" s="148"/>
      <c r="EEY292" s="148"/>
      <c r="EEZ292" s="148"/>
      <c r="EFA292" s="148"/>
      <c r="EFB292" s="148"/>
      <c r="EFC292" s="148"/>
      <c r="EFD292" s="148"/>
      <c r="EFE292" s="148"/>
      <c r="EFF292" s="148"/>
      <c r="EFG292" s="148"/>
      <c r="EFH292" s="148"/>
      <c r="EFI292" s="148"/>
      <c r="EFJ292" s="148"/>
      <c r="EFK292" s="148"/>
      <c r="EFL292" s="148"/>
      <c r="EFM292" s="148"/>
      <c r="EFN292" s="148"/>
      <c r="EFO292" s="148"/>
      <c r="EFP292" s="148"/>
      <c r="EFQ292" s="148"/>
      <c r="EFR292" s="148"/>
      <c r="EFS292" s="148"/>
      <c r="EFT292" s="148"/>
      <c r="EFU292" s="148"/>
      <c r="EFV292" s="148"/>
      <c r="EFW292" s="148"/>
      <c r="EFX292" s="148"/>
      <c r="EFY292" s="148"/>
      <c r="EFZ292" s="148"/>
      <c r="EGA292" s="148"/>
      <c r="EGB292" s="148"/>
      <c r="EGC292" s="148"/>
      <c r="EGD292" s="148"/>
      <c r="EGE292" s="148"/>
      <c r="EGF292" s="148"/>
      <c r="EGG292" s="148"/>
      <c r="EGH292" s="148"/>
      <c r="EGI292" s="148"/>
      <c r="EGJ292" s="148"/>
      <c r="EGK292" s="148"/>
      <c r="EGL292" s="148"/>
      <c r="EGM292" s="148"/>
      <c r="EGN292" s="148"/>
      <c r="EGO292" s="148"/>
      <c r="EGP292" s="148"/>
      <c r="EGQ292" s="148"/>
      <c r="EGR292" s="148"/>
      <c r="EGS292" s="148"/>
      <c r="EGT292" s="148"/>
      <c r="EGU292" s="148"/>
      <c r="EGV292" s="148"/>
      <c r="EGW292" s="148"/>
      <c r="EGX292" s="148"/>
      <c r="EGY292" s="148"/>
      <c r="EGZ292" s="148"/>
      <c r="EHA292" s="148"/>
      <c r="EHB292" s="148"/>
      <c r="EHC292" s="148"/>
      <c r="EHD292" s="148"/>
      <c r="EHE292" s="148"/>
      <c r="EHF292" s="148"/>
      <c r="EHG292" s="148"/>
      <c r="EHH292" s="148"/>
      <c r="EHI292" s="148"/>
      <c r="EHJ292" s="148"/>
      <c r="EHK292" s="148"/>
      <c r="EHL292" s="148"/>
      <c r="EHM292" s="148"/>
      <c r="EHN292" s="148"/>
      <c r="EHO292" s="148"/>
      <c r="EHP292" s="148"/>
      <c r="EHQ292" s="148"/>
      <c r="EHR292" s="148"/>
      <c r="EHS292" s="148"/>
      <c r="EHT292" s="148"/>
      <c r="EHU292" s="148"/>
      <c r="EHV292" s="148"/>
      <c r="EHW292" s="148"/>
      <c r="EHX292" s="148"/>
      <c r="EHY292" s="148"/>
      <c r="EHZ292" s="148"/>
      <c r="EIA292" s="148"/>
      <c r="EIB292" s="148"/>
      <c r="EIC292" s="148"/>
      <c r="EID292" s="148"/>
      <c r="EIE292" s="148"/>
      <c r="EIF292" s="148"/>
      <c r="EIG292" s="148"/>
      <c r="EIH292" s="148"/>
      <c r="EII292" s="148"/>
      <c r="EIJ292" s="148"/>
      <c r="EIK292" s="148"/>
      <c r="EIL292" s="148"/>
      <c r="EIM292" s="148"/>
      <c r="EIN292" s="148"/>
      <c r="EIO292" s="148"/>
      <c r="EIP292" s="148"/>
      <c r="EIQ292" s="148"/>
      <c r="EIR292" s="148"/>
      <c r="EIS292" s="148"/>
      <c r="EIT292" s="148"/>
      <c r="EIU292" s="148"/>
      <c r="EIV292" s="148"/>
      <c r="EIW292" s="148"/>
      <c r="EIX292" s="148"/>
      <c r="EIY292" s="148"/>
      <c r="EIZ292" s="148"/>
      <c r="EJA292" s="148"/>
      <c r="EJB292" s="148"/>
      <c r="EJC292" s="148"/>
      <c r="EJD292" s="148"/>
      <c r="EJE292" s="148"/>
      <c r="EJF292" s="148"/>
      <c r="EJG292" s="148"/>
      <c r="EJH292" s="148"/>
      <c r="EJI292" s="148"/>
      <c r="EJJ292" s="148"/>
      <c r="EJK292" s="148"/>
      <c r="EJL292" s="148"/>
      <c r="EJM292" s="148"/>
      <c r="EJN292" s="148"/>
      <c r="EJO292" s="148"/>
      <c r="EJP292" s="148"/>
      <c r="EJQ292" s="148"/>
      <c r="EJR292" s="148"/>
      <c r="EJS292" s="148"/>
      <c r="EJT292" s="148"/>
      <c r="EJU292" s="148"/>
      <c r="EJV292" s="148"/>
      <c r="EJW292" s="148"/>
      <c r="EJX292" s="148"/>
      <c r="EJY292" s="148"/>
      <c r="EJZ292" s="148"/>
      <c r="EKA292" s="148"/>
      <c r="EKB292" s="148"/>
      <c r="EKC292" s="148"/>
      <c r="EKD292" s="148"/>
      <c r="EKE292" s="148"/>
      <c r="EKF292" s="148"/>
      <c r="EKG292" s="148"/>
      <c r="EKH292" s="148"/>
      <c r="EKI292" s="148"/>
      <c r="EKJ292" s="148"/>
      <c r="EKK292" s="148"/>
      <c r="EKL292" s="148"/>
      <c r="EKM292" s="148"/>
      <c r="EKN292" s="148"/>
      <c r="EKO292" s="148"/>
      <c r="EKP292" s="148"/>
      <c r="EKQ292" s="148"/>
      <c r="EKR292" s="148"/>
      <c r="EKS292" s="148"/>
      <c r="EKT292" s="148"/>
      <c r="EKU292" s="148"/>
      <c r="EKV292" s="148"/>
      <c r="EKW292" s="148"/>
      <c r="EKX292" s="148"/>
      <c r="EKY292" s="148"/>
      <c r="EKZ292" s="148"/>
      <c r="ELA292" s="148"/>
      <c r="ELB292" s="148"/>
      <c r="ELC292" s="148"/>
      <c r="ELD292" s="148"/>
      <c r="ELE292" s="148"/>
      <c r="ELF292" s="148"/>
      <c r="ELG292" s="148"/>
      <c r="ELH292" s="148"/>
      <c r="ELI292" s="148"/>
      <c r="ELJ292" s="148"/>
      <c r="ELK292" s="148"/>
      <c r="ELL292" s="148"/>
      <c r="ELM292" s="148"/>
      <c r="ELN292" s="148"/>
      <c r="ELO292" s="148"/>
      <c r="ELP292" s="148"/>
      <c r="ELQ292" s="148"/>
      <c r="ELR292" s="148"/>
      <c r="ELS292" s="148"/>
      <c r="ELT292" s="148"/>
      <c r="ELU292" s="148"/>
      <c r="ELV292" s="148"/>
      <c r="ELW292" s="148"/>
      <c r="ELX292" s="148"/>
      <c r="ELY292" s="148"/>
      <c r="ELZ292" s="148"/>
      <c r="EMA292" s="148"/>
      <c r="EMB292" s="148"/>
      <c r="EMC292" s="148"/>
      <c r="EMD292" s="148"/>
      <c r="EME292" s="148"/>
      <c r="EMF292" s="148"/>
      <c r="EMG292" s="148"/>
      <c r="EMH292" s="148"/>
      <c r="EMI292" s="148"/>
      <c r="EMJ292" s="148"/>
      <c r="EMK292" s="148"/>
      <c r="EML292" s="148"/>
      <c r="EMM292" s="148"/>
      <c r="EMN292" s="148"/>
      <c r="EMO292" s="148"/>
      <c r="EMP292" s="148"/>
      <c r="EMQ292" s="148"/>
      <c r="EMR292" s="148"/>
      <c r="EMS292" s="148"/>
      <c r="EMT292" s="148"/>
      <c r="EMU292" s="148"/>
      <c r="EMV292" s="148"/>
      <c r="EMW292" s="148"/>
      <c r="EMX292" s="148"/>
      <c r="EMY292" s="148"/>
      <c r="EMZ292" s="148"/>
      <c r="ENA292" s="148"/>
      <c r="ENB292" s="148"/>
      <c r="ENC292" s="148"/>
      <c r="END292" s="148"/>
      <c r="ENE292" s="148"/>
      <c r="ENF292" s="148"/>
      <c r="ENG292" s="148"/>
      <c r="ENH292" s="148"/>
      <c r="ENI292" s="148"/>
      <c r="ENJ292" s="148"/>
      <c r="ENK292" s="148"/>
      <c r="ENL292" s="148"/>
      <c r="ENM292" s="148"/>
      <c r="ENN292" s="148"/>
      <c r="ENO292" s="148"/>
      <c r="ENP292" s="148"/>
      <c r="ENQ292" s="148"/>
      <c r="ENR292" s="148"/>
      <c r="ENS292" s="148"/>
      <c r="ENT292" s="148"/>
      <c r="ENU292" s="148"/>
      <c r="ENV292" s="148"/>
      <c r="ENW292" s="148"/>
      <c r="ENX292" s="148"/>
      <c r="ENY292" s="148"/>
      <c r="ENZ292" s="148"/>
      <c r="EOA292" s="148"/>
      <c r="EOB292" s="148"/>
      <c r="EOC292" s="148"/>
      <c r="EOD292" s="148"/>
      <c r="EOE292" s="148"/>
      <c r="EOF292" s="148"/>
      <c r="EOG292" s="148"/>
      <c r="EOH292" s="148"/>
      <c r="EOI292" s="148"/>
      <c r="EOJ292" s="148"/>
      <c r="EOK292" s="148"/>
      <c r="EOL292" s="148"/>
      <c r="EOM292" s="148"/>
      <c r="EON292" s="148"/>
      <c r="EOO292" s="148"/>
      <c r="EOP292" s="148"/>
      <c r="EOQ292" s="148"/>
      <c r="EOR292" s="148"/>
      <c r="EOS292" s="148"/>
      <c r="EOT292" s="148"/>
      <c r="EOU292" s="148"/>
      <c r="EOV292" s="148"/>
      <c r="EOW292" s="148"/>
      <c r="EOX292" s="148"/>
      <c r="EOY292" s="148"/>
      <c r="EOZ292" s="148"/>
      <c r="EPA292" s="148"/>
      <c r="EPB292" s="148"/>
      <c r="EPC292" s="148"/>
      <c r="EPD292" s="148"/>
      <c r="EPE292" s="148"/>
      <c r="EPF292" s="148"/>
      <c r="EPG292" s="148"/>
      <c r="EPH292" s="148"/>
      <c r="EPI292" s="148"/>
      <c r="EPJ292" s="148"/>
      <c r="EPK292" s="148"/>
      <c r="EPL292" s="148"/>
      <c r="EPM292" s="148"/>
      <c r="EPN292" s="148"/>
      <c r="EPO292" s="148"/>
      <c r="EPP292" s="148"/>
      <c r="EPQ292" s="148"/>
      <c r="EPR292" s="148"/>
      <c r="EPS292" s="148"/>
      <c r="EPT292" s="148"/>
      <c r="EPU292" s="148"/>
      <c r="EPV292" s="148"/>
      <c r="EPW292" s="148"/>
      <c r="EPX292" s="148"/>
      <c r="EPY292" s="148"/>
      <c r="EPZ292" s="148"/>
      <c r="EQA292" s="148"/>
      <c r="EQB292" s="148"/>
      <c r="EQC292" s="148"/>
      <c r="EQD292" s="148"/>
      <c r="EQE292" s="148"/>
      <c r="EQF292" s="148"/>
      <c r="EQG292" s="148"/>
      <c r="EQH292" s="148"/>
      <c r="EQI292" s="148"/>
      <c r="EQJ292" s="148"/>
      <c r="EQK292" s="148"/>
      <c r="EQL292" s="148"/>
      <c r="EQM292" s="148"/>
      <c r="EQN292" s="148"/>
      <c r="EQO292" s="148"/>
      <c r="EQP292" s="148"/>
      <c r="EQQ292" s="148"/>
      <c r="EQR292" s="148"/>
      <c r="EQS292" s="148"/>
      <c r="EQT292" s="148"/>
      <c r="EQU292" s="148"/>
      <c r="EQV292" s="148"/>
      <c r="EQW292" s="148"/>
      <c r="EQX292" s="148"/>
      <c r="EQY292" s="148"/>
      <c r="EQZ292" s="148"/>
      <c r="ERA292" s="148"/>
      <c r="ERB292" s="148"/>
      <c r="ERC292" s="148"/>
      <c r="ERD292" s="148"/>
      <c r="ERE292" s="148"/>
      <c r="ERF292" s="148"/>
      <c r="ERG292" s="148"/>
      <c r="ERH292" s="148"/>
      <c r="ERI292" s="148"/>
      <c r="ERJ292" s="148"/>
      <c r="ERK292" s="148"/>
      <c r="ERL292" s="148"/>
      <c r="ERM292" s="148"/>
      <c r="ERN292" s="148"/>
      <c r="ERO292" s="148"/>
      <c r="ERP292" s="148"/>
      <c r="ERQ292" s="148"/>
      <c r="ERR292" s="148"/>
      <c r="ERS292" s="148"/>
      <c r="ERT292" s="148"/>
      <c r="ERU292" s="148"/>
      <c r="ERV292" s="148"/>
      <c r="ERW292" s="148"/>
      <c r="ERX292" s="148"/>
      <c r="ERY292" s="148"/>
      <c r="ERZ292" s="148"/>
      <c r="ESA292" s="148"/>
      <c r="ESB292" s="148"/>
      <c r="ESC292" s="148"/>
      <c r="ESD292" s="148"/>
      <c r="ESE292" s="148"/>
      <c r="ESF292" s="148"/>
      <c r="ESG292" s="148"/>
      <c r="ESH292" s="148"/>
      <c r="ESI292" s="148"/>
      <c r="ESJ292" s="148"/>
      <c r="ESK292" s="148"/>
      <c r="ESL292" s="148"/>
      <c r="ESM292" s="148"/>
      <c r="ESN292" s="148"/>
      <c r="ESO292" s="148"/>
      <c r="ESP292" s="148"/>
      <c r="ESQ292" s="148"/>
      <c r="ESR292" s="148"/>
      <c r="ESS292" s="148"/>
      <c r="EST292" s="148"/>
      <c r="ESU292" s="148"/>
      <c r="ESV292" s="148"/>
      <c r="ESW292" s="148"/>
      <c r="ESX292" s="148"/>
      <c r="ESY292" s="148"/>
      <c r="ESZ292" s="148"/>
      <c r="ETA292" s="148"/>
      <c r="ETB292" s="148"/>
      <c r="ETC292" s="148"/>
      <c r="ETD292" s="148"/>
      <c r="ETE292" s="148"/>
      <c r="ETF292" s="148"/>
      <c r="ETG292" s="148"/>
      <c r="ETH292" s="148"/>
      <c r="ETI292" s="148"/>
      <c r="ETJ292" s="148"/>
      <c r="ETK292" s="148"/>
      <c r="ETL292" s="148"/>
      <c r="ETM292" s="148"/>
      <c r="ETN292" s="148"/>
      <c r="ETO292" s="148"/>
      <c r="ETP292" s="148"/>
      <c r="ETQ292" s="148"/>
      <c r="ETR292" s="148"/>
      <c r="ETS292" s="148"/>
      <c r="ETT292" s="148"/>
      <c r="ETU292" s="148"/>
      <c r="ETV292" s="148"/>
      <c r="ETW292" s="148"/>
      <c r="ETX292" s="148"/>
      <c r="ETY292" s="148"/>
      <c r="ETZ292" s="148"/>
      <c r="EUA292" s="148"/>
      <c r="EUB292" s="148"/>
      <c r="EUC292" s="148"/>
      <c r="EUD292" s="148"/>
      <c r="EUE292" s="148"/>
      <c r="EUF292" s="148"/>
      <c r="EUG292" s="148"/>
      <c r="EUH292" s="148"/>
      <c r="EUI292" s="148"/>
      <c r="EUJ292" s="148"/>
      <c r="EUK292" s="148"/>
      <c r="EUL292" s="148"/>
      <c r="EUM292" s="148"/>
      <c r="EUN292" s="148"/>
      <c r="EUO292" s="148"/>
      <c r="EUP292" s="148"/>
      <c r="EUQ292" s="148"/>
      <c r="EUR292" s="148"/>
      <c r="EUS292" s="148"/>
      <c r="EUT292" s="148"/>
      <c r="EUU292" s="148"/>
      <c r="EUV292" s="148"/>
      <c r="EUW292" s="148"/>
      <c r="EUX292" s="148"/>
      <c r="EUY292" s="148"/>
      <c r="EUZ292" s="148"/>
      <c r="EVA292" s="148"/>
      <c r="EVB292" s="148"/>
      <c r="EVC292" s="148"/>
      <c r="EVD292" s="148"/>
      <c r="EVE292" s="148"/>
      <c r="EVF292" s="148"/>
      <c r="EVG292" s="148"/>
      <c r="EVH292" s="148"/>
      <c r="EVI292" s="148"/>
      <c r="EVJ292" s="148"/>
      <c r="EVK292" s="148"/>
      <c r="EVL292" s="148"/>
      <c r="EVM292" s="148"/>
      <c r="EVN292" s="148"/>
      <c r="EVO292" s="148"/>
      <c r="EVP292" s="148"/>
      <c r="EVQ292" s="148"/>
      <c r="EVR292" s="148"/>
      <c r="EVS292" s="148"/>
      <c r="EVT292" s="148"/>
      <c r="EVU292" s="148"/>
      <c r="EVV292" s="148"/>
      <c r="EVW292" s="148"/>
      <c r="EVX292" s="148"/>
      <c r="EVY292" s="148"/>
      <c r="EVZ292" s="148"/>
      <c r="EWA292" s="148"/>
      <c r="EWB292" s="148"/>
      <c r="EWC292" s="148"/>
      <c r="EWD292" s="148"/>
      <c r="EWE292" s="148"/>
      <c r="EWF292" s="148"/>
      <c r="EWG292" s="148"/>
      <c r="EWH292" s="148"/>
      <c r="EWI292" s="148"/>
      <c r="EWJ292" s="148"/>
      <c r="EWK292" s="148"/>
      <c r="EWL292" s="148"/>
      <c r="EWM292" s="148"/>
      <c r="EWN292" s="148"/>
      <c r="EWO292" s="148"/>
      <c r="EWP292" s="148"/>
      <c r="EWQ292" s="148"/>
      <c r="EWR292" s="148"/>
      <c r="EWS292" s="148"/>
      <c r="EWT292" s="148"/>
      <c r="EWU292" s="148"/>
      <c r="EWV292" s="148"/>
      <c r="EWW292" s="148"/>
      <c r="EWX292" s="148"/>
      <c r="EWY292" s="148"/>
      <c r="EWZ292" s="148"/>
      <c r="EXA292" s="148"/>
      <c r="EXB292" s="148"/>
      <c r="EXC292" s="148"/>
      <c r="EXD292" s="148"/>
      <c r="EXE292" s="148"/>
      <c r="EXF292" s="148"/>
      <c r="EXG292" s="148"/>
      <c r="EXH292" s="148"/>
      <c r="EXI292" s="148"/>
      <c r="EXJ292" s="148"/>
      <c r="EXK292" s="148"/>
      <c r="EXL292" s="148"/>
      <c r="EXM292" s="148"/>
      <c r="EXN292" s="148"/>
      <c r="EXO292" s="148"/>
      <c r="EXP292" s="148"/>
      <c r="EXQ292" s="148"/>
      <c r="EXR292" s="148"/>
      <c r="EXS292" s="148"/>
      <c r="EXT292" s="148"/>
      <c r="EXU292" s="148"/>
      <c r="EXV292" s="148"/>
      <c r="EXW292" s="148"/>
      <c r="EXX292" s="148"/>
      <c r="EXY292" s="148"/>
      <c r="EXZ292" s="148"/>
      <c r="EYA292" s="148"/>
      <c r="EYB292" s="148"/>
      <c r="EYC292" s="148"/>
      <c r="EYD292" s="148"/>
      <c r="EYE292" s="148"/>
      <c r="EYF292" s="148"/>
      <c r="EYG292" s="148"/>
      <c r="EYH292" s="148"/>
      <c r="EYI292" s="148"/>
      <c r="EYJ292" s="148"/>
      <c r="EYK292" s="148"/>
      <c r="EYL292" s="148"/>
      <c r="EYM292" s="148"/>
      <c r="EYN292" s="148"/>
      <c r="EYO292" s="148"/>
      <c r="EYP292" s="148"/>
      <c r="EYQ292" s="148"/>
      <c r="EYR292" s="148"/>
      <c r="EYS292" s="148"/>
      <c r="EYT292" s="148"/>
      <c r="EYU292" s="148"/>
      <c r="EYV292" s="148"/>
      <c r="EYW292" s="148"/>
      <c r="EYX292" s="148"/>
      <c r="EYY292" s="148"/>
      <c r="EYZ292" s="148"/>
      <c r="EZA292" s="148"/>
      <c r="EZB292" s="148"/>
      <c r="EZC292" s="148"/>
      <c r="EZD292" s="148"/>
      <c r="EZE292" s="148"/>
      <c r="EZF292" s="148"/>
      <c r="EZG292" s="148"/>
      <c r="EZH292" s="148"/>
      <c r="EZI292" s="148"/>
      <c r="EZJ292" s="148"/>
      <c r="EZK292" s="148"/>
      <c r="EZL292" s="148"/>
      <c r="EZM292" s="148"/>
      <c r="EZN292" s="148"/>
      <c r="EZO292" s="148"/>
      <c r="EZP292" s="148"/>
      <c r="EZQ292" s="148"/>
      <c r="EZR292" s="148"/>
      <c r="EZS292" s="148"/>
      <c r="EZT292" s="148"/>
      <c r="EZU292" s="148"/>
      <c r="EZV292" s="148"/>
      <c r="EZW292" s="148"/>
      <c r="EZX292" s="148"/>
      <c r="EZY292" s="148"/>
      <c r="EZZ292" s="148"/>
      <c r="FAA292" s="148"/>
      <c r="FAB292" s="148"/>
      <c r="FAC292" s="148"/>
      <c r="FAD292" s="148"/>
      <c r="FAE292" s="148"/>
      <c r="FAF292" s="148"/>
      <c r="FAG292" s="148"/>
      <c r="FAH292" s="148"/>
      <c r="FAI292" s="148"/>
      <c r="FAJ292" s="148"/>
      <c r="FAK292" s="148"/>
      <c r="FAL292" s="148"/>
      <c r="FAM292" s="148"/>
      <c r="FAN292" s="148"/>
      <c r="FAO292" s="148"/>
      <c r="FAP292" s="148"/>
      <c r="FAQ292" s="148"/>
      <c r="FAR292" s="148"/>
      <c r="FAS292" s="148"/>
      <c r="FAT292" s="148"/>
      <c r="FAU292" s="148"/>
      <c r="FAV292" s="148"/>
      <c r="FAW292" s="148"/>
      <c r="FAX292" s="148"/>
      <c r="FAY292" s="148"/>
      <c r="FAZ292" s="148"/>
      <c r="FBA292" s="148"/>
      <c r="FBB292" s="148"/>
      <c r="FBC292" s="148"/>
      <c r="FBD292" s="148"/>
      <c r="FBE292" s="148"/>
      <c r="FBF292" s="148"/>
      <c r="FBG292" s="148"/>
      <c r="FBH292" s="148"/>
      <c r="FBI292" s="148"/>
      <c r="FBJ292" s="148"/>
      <c r="FBK292" s="148"/>
      <c r="FBL292" s="148"/>
      <c r="FBM292" s="148"/>
      <c r="FBN292" s="148"/>
      <c r="FBO292" s="148"/>
      <c r="FBP292" s="148"/>
      <c r="FBQ292" s="148"/>
      <c r="FBR292" s="148"/>
      <c r="FBS292" s="148"/>
      <c r="FBT292" s="148"/>
      <c r="FBU292" s="148"/>
      <c r="FBV292" s="148"/>
      <c r="FBW292" s="148"/>
      <c r="FBX292" s="148"/>
      <c r="FBY292" s="148"/>
      <c r="FBZ292" s="148"/>
      <c r="FCA292" s="148"/>
      <c r="FCB292" s="148"/>
      <c r="FCC292" s="148"/>
      <c r="FCD292" s="148"/>
      <c r="FCE292" s="148"/>
      <c r="FCF292" s="148"/>
      <c r="FCG292" s="148"/>
      <c r="FCH292" s="148"/>
      <c r="FCI292" s="148"/>
      <c r="FCJ292" s="148"/>
      <c r="FCK292" s="148"/>
      <c r="FCL292" s="148"/>
      <c r="FCM292" s="148"/>
      <c r="FCN292" s="148"/>
      <c r="FCO292" s="148"/>
      <c r="FCP292" s="148"/>
      <c r="FCQ292" s="148"/>
      <c r="FCR292" s="148"/>
      <c r="FCS292" s="148"/>
      <c r="FCT292" s="148"/>
      <c r="FCU292" s="148"/>
      <c r="FCV292" s="148"/>
      <c r="FCW292" s="148"/>
      <c r="FCX292" s="148"/>
      <c r="FCY292" s="148"/>
      <c r="FCZ292" s="148"/>
      <c r="FDA292" s="148"/>
      <c r="FDB292" s="148"/>
      <c r="FDC292" s="148"/>
      <c r="FDD292" s="148"/>
      <c r="FDE292" s="148"/>
      <c r="FDF292" s="148"/>
      <c r="FDG292" s="148"/>
      <c r="FDH292" s="148"/>
      <c r="FDI292" s="148"/>
      <c r="FDJ292" s="148"/>
      <c r="FDK292" s="148"/>
      <c r="FDL292" s="148"/>
      <c r="FDM292" s="148"/>
      <c r="FDN292" s="148"/>
      <c r="FDO292" s="148"/>
      <c r="FDP292" s="148"/>
      <c r="FDQ292" s="148"/>
      <c r="FDR292" s="148"/>
      <c r="FDS292" s="148"/>
      <c r="FDT292" s="148"/>
      <c r="FDU292" s="148"/>
      <c r="FDV292" s="148"/>
      <c r="FDW292" s="148"/>
      <c r="FDX292" s="148"/>
      <c r="FDY292" s="148"/>
      <c r="FDZ292" s="148"/>
      <c r="FEA292" s="148"/>
      <c r="FEB292" s="148"/>
      <c r="FEC292" s="148"/>
      <c r="FED292" s="148"/>
      <c r="FEE292" s="148"/>
      <c r="FEF292" s="148"/>
      <c r="FEG292" s="148"/>
      <c r="FEH292" s="148"/>
      <c r="FEI292" s="148"/>
      <c r="FEJ292" s="148"/>
      <c r="FEK292" s="148"/>
      <c r="FEL292" s="148"/>
      <c r="FEM292" s="148"/>
      <c r="FEN292" s="148"/>
      <c r="FEO292" s="148"/>
      <c r="FEP292" s="148"/>
      <c r="FEQ292" s="148"/>
      <c r="FER292" s="148"/>
      <c r="FES292" s="148"/>
      <c r="FET292" s="148"/>
      <c r="FEU292" s="148"/>
      <c r="FEV292" s="148"/>
      <c r="FEW292" s="148"/>
      <c r="FEX292" s="148"/>
      <c r="FEY292" s="148"/>
      <c r="FEZ292" s="148"/>
      <c r="FFA292" s="148"/>
      <c r="FFB292" s="148"/>
      <c r="FFC292" s="148"/>
      <c r="FFD292" s="148"/>
      <c r="FFE292" s="148"/>
      <c r="FFF292" s="148"/>
      <c r="FFG292" s="148"/>
      <c r="FFH292" s="148"/>
      <c r="FFI292" s="148"/>
      <c r="FFJ292" s="148"/>
      <c r="FFK292" s="148"/>
      <c r="FFL292" s="148"/>
      <c r="FFM292" s="148"/>
      <c r="FFN292" s="148"/>
      <c r="FFO292" s="148"/>
      <c r="FFP292" s="148"/>
      <c r="FFQ292" s="148"/>
      <c r="FFR292" s="148"/>
      <c r="FFS292" s="148"/>
      <c r="FFT292" s="148"/>
      <c r="FFU292" s="148"/>
      <c r="FFV292" s="148"/>
      <c r="FFW292" s="148"/>
      <c r="FFX292" s="148"/>
      <c r="FFY292" s="148"/>
      <c r="FFZ292" s="148"/>
      <c r="FGA292" s="148"/>
      <c r="FGB292" s="148"/>
      <c r="FGC292" s="148"/>
      <c r="FGD292" s="148"/>
      <c r="FGE292" s="148"/>
      <c r="FGF292" s="148"/>
      <c r="FGG292" s="148"/>
      <c r="FGH292" s="148"/>
      <c r="FGI292" s="148"/>
      <c r="FGJ292" s="148"/>
      <c r="FGK292" s="148"/>
      <c r="FGL292" s="148"/>
      <c r="FGM292" s="148"/>
      <c r="FGN292" s="148"/>
      <c r="FGO292" s="148"/>
      <c r="FGP292" s="148"/>
      <c r="FGQ292" s="148"/>
      <c r="FGR292" s="148"/>
      <c r="FGS292" s="148"/>
      <c r="FGT292" s="148"/>
      <c r="FGU292" s="148"/>
      <c r="FGV292" s="148"/>
      <c r="FGW292" s="148"/>
      <c r="FGX292" s="148"/>
      <c r="FGY292" s="148"/>
      <c r="FGZ292" s="148"/>
      <c r="FHA292" s="148"/>
      <c r="FHB292" s="148"/>
      <c r="FHC292" s="148"/>
      <c r="FHD292" s="148"/>
      <c r="FHE292" s="148"/>
      <c r="FHF292" s="148"/>
      <c r="FHG292" s="148"/>
      <c r="FHH292" s="148"/>
      <c r="FHI292" s="148"/>
      <c r="FHJ292" s="148"/>
      <c r="FHK292" s="148"/>
      <c r="FHL292" s="148"/>
      <c r="FHM292" s="148"/>
      <c r="FHN292" s="148"/>
      <c r="FHO292" s="148"/>
      <c r="FHP292" s="148"/>
      <c r="FHQ292" s="148"/>
      <c r="FHR292" s="148"/>
      <c r="FHS292" s="148"/>
      <c r="FHT292" s="148"/>
      <c r="FHU292" s="148"/>
      <c r="FHV292" s="148"/>
      <c r="FHW292" s="148"/>
      <c r="FHX292" s="148"/>
      <c r="FHY292" s="148"/>
      <c r="FHZ292" s="148"/>
      <c r="FIA292" s="148"/>
      <c r="FIB292" s="148"/>
      <c r="FIC292" s="148"/>
      <c r="FID292" s="148"/>
      <c r="FIE292" s="148"/>
      <c r="FIF292" s="148"/>
      <c r="FIG292" s="148"/>
      <c r="FIH292" s="148"/>
      <c r="FII292" s="148"/>
      <c r="FIJ292" s="148"/>
      <c r="FIK292" s="148"/>
      <c r="FIL292" s="148"/>
      <c r="FIM292" s="148"/>
      <c r="FIN292" s="148"/>
      <c r="FIO292" s="148"/>
      <c r="FIP292" s="148"/>
      <c r="FIQ292" s="148"/>
      <c r="FIR292" s="148"/>
      <c r="FIS292" s="148"/>
      <c r="FIT292" s="148"/>
      <c r="FIU292" s="148"/>
      <c r="FIV292" s="148"/>
      <c r="FIW292" s="148"/>
      <c r="FIX292" s="148"/>
      <c r="FIY292" s="148"/>
      <c r="FIZ292" s="148"/>
      <c r="FJA292" s="148"/>
      <c r="FJB292" s="148"/>
      <c r="FJC292" s="148"/>
      <c r="FJD292" s="148"/>
      <c r="FJE292" s="148"/>
      <c r="FJF292" s="148"/>
      <c r="FJG292" s="148"/>
      <c r="FJH292" s="148"/>
      <c r="FJI292" s="148"/>
      <c r="FJJ292" s="148"/>
      <c r="FJK292" s="148"/>
      <c r="FJL292" s="148"/>
      <c r="FJM292" s="148"/>
      <c r="FJN292" s="148"/>
      <c r="FJO292" s="148"/>
      <c r="FJP292" s="148"/>
      <c r="FJQ292" s="148"/>
      <c r="FJR292" s="148"/>
      <c r="FJS292" s="148"/>
      <c r="FJT292" s="148"/>
      <c r="FJU292" s="148"/>
      <c r="FJV292" s="148"/>
      <c r="FJW292" s="148"/>
      <c r="FJX292" s="148"/>
      <c r="FJY292" s="148"/>
      <c r="FJZ292" s="148"/>
      <c r="FKA292" s="148"/>
      <c r="FKB292" s="148"/>
      <c r="FKC292" s="148"/>
      <c r="FKD292" s="148"/>
      <c r="FKE292" s="148"/>
      <c r="FKF292" s="148"/>
      <c r="FKG292" s="148"/>
      <c r="FKH292" s="148"/>
      <c r="FKI292" s="148"/>
      <c r="FKJ292" s="148"/>
      <c r="FKK292" s="148"/>
      <c r="FKL292" s="148"/>
      <c r="FKM292" s="148"/>
      <c r="FKN292" s="148"/>
      <c r="FKO292" s="148"/>
      <c r="FKP292" s="148"/>
      <c r="FKQ292" s="148"/>
      <c r="FKR292" s="148"/>
      <c r="FKS292" s="148"/>
      <c r="FKT292" s="148"/>
      <c r="FKU292" s="148"/>
      <c r="FKV292" s="148"/>
      <c r="FKW292" s="148"/>
      <c r="FKX292" s="148"/>
      <c r="FKY292" s="148"/>
      <c r="FKZ292" s="148"/>
      <c r="FLA292" s="148"/>
      <c r="FLB292" s="148"/>
      <c r="FLC292" s="148"/>
      <c r="FLD292" s="148"/>
      <c r="FLE292" s="148"/>
      <c r="FLF292" s="148"/>
      <c r="FLG292" s="148"/>
      <c r="FLH292" s="148"/>
      <c r="FLI292" s="148"/>
      <c r="FLJ292" s="148"/>
      <c r="FLK292" s="148"/>
      <c r="FLL292" s="148"/>
      <c r="FLM292" s="148"/>
      <c r="FLN292" s="148"/>
      <c r="FLO292" s="148"/>
      <c r="FLP292" s="148"/>
      <c r="FLQ292" s="148"/>
      <c r="FLR292" s="148"/>
      <c r="FLS292" s="148"/>
      <c r="FLT292" s="148"/>
      <c r="FLU292" s="148"/>
      <c r="FLV292" s="148"/>
      <c r="FLW292" s="148"/>
      <c r="FLX292" s="148"/>
      <c r="FLY292" s="148"/>
      <c r="FLZ292" s="148"/>
      <c r="FMA292" s="148"/>
      <c r="FMB292" s="148"/>
      <c r="FMC292" s="148"/>
      <c r="FMD292" s="148"/>
      <c r="FME292" s="148"/>
      <c r="FMF292" s="148"/>
      <c r="FMG292" s="148"/>
      <c r="FMH292" s="148"/>
      <c r="FMI292" s="148"/>
      <c r="FMJ292" s="148"/>
      <c r="FMK292" s="148"/>
      <c r="FML292" s="148"/>
      <c r="FMM292" s="148"/>
      <c r="FMN292" s="148"/>
      <c r="FMO292" s="148"/>
      <c r="FMP292" s="148"/>
      <c r="FMQ292" s="148"/>
      <c r="FMR292" s="148"/>
      <c r="FMS292" s="148"/>
      <c r="FMT292" s="148"/>
      <c r="FMU292" s="148"/>
      <c r="FMV292" s="148"/>
      <c r="FMW292" s="148"/>
      <c r="FMX292" s="148"/>
      <c r="FMY292" s="148"/>
      <c r="FMZ292" s="148"/>
      <c r="FNA292" s="148"/>
      <c r="FNB292" s="148"/>
      <c r="FNC292" s="148"/>
      <c r="FND292" s="148"/>
      <c r="FNE292" s="148"/>
      <c r="FNF292" s="148"/>
      <c r="FNG292" s="148"/>
      <c r="FNH292" s="148"/>
      <c r="FNI292" s="148"/>
      <c r="FNJ292" s="148"/>
      <c r="FNK292" s="148"/>
      <c r="FNL292" s="148"/>
      <c r="FNM292" s="148"/>
      <c r="FNN292" s="148"/>
      <c r="FNO292" s="148"/>
      <c r="FNP292" s="148"/>
      <c r="FNQ292" s="148"/>
      <c r="FNR292" s="148"/>
      <c r="FNS292" s="148"/>
      <c r="FNT292" s="148"/>
      <c r="FNU292" s="148"/>
      <c r="FNV292" s="148"/>
      <c r="FNW292" s="148"/>
      <c r="FNX292" s="148"/>
      <c r="FNY292" s="148"/>
      <c r="FNZ292" s="148"/>
      <c r="FOA292" s="148"/>
      <c r="FOB292" s="148"/>
      <c r="FOC292" s="148"/>
      <c r="FOD292" s="148"/>
      <c r="FOE292" s="148"/>
      <c r="FOF292" s="148"/>
      <c r="FOG292" s="148"/>
      <c r="FOH292" s="148"/>
      <c r="FOI292" s="148"/>
      <c r="FOJ292" s="148"/>
      <c r="FOK292" s="148"/>
      <c r="FOL292" s="148"/>
      <c r="FOM292" s="148"/>
      <c r="FON292" s="148"/>
      <c r="FOO292" s="148"/>
      <c r="FOP292" s="148"/>
      <c r="FOQ292" s="148"/>
      <c r="FOR292" s="148"/>
      <c r="FOS292" s="148"/>
      <c r="FOT292" s="148"/>
      <c r="FOU292" s="148"/>
      <c r="FOV292" s="148"/>
      <c r="FOW292" s="148"/>
      <c r="FOX292" s="148"/>
      <c r="FOY292" s="148"/>
      <c r="FOZ292" s="148"/>
      <c r="FPA292" s="148"/>
      <c r="FPB292" s="148"/>
      <c r="FPC292" s="148"/>
      <c r="FPD292" s="148"/>
      <c r="FPE292" s="148"/>
      <c r="FPF292" s="148"/>
      <c r="FPG292" s="148"/>
      <c r="FPH292" s="148"/>
      <c r="FPI292" s="148"/>
      <c r="FPJ292" s="148"/>
      <c r="FPK292" s="148"/>
      <c r="FPL292" s="148"/>
      <c r="FPM292" s="148"/>
      <c r="FPN292" s="148"/>
      <c r="FPO292" s="148"/>
      <c r="FPP292" s="148"/>
      <c r="FPQ292" s="148"/>
      <c r="FPR292" s="148"/>
      <c r="FPS292" s="148"/>
      <c r="FPT292" s="148"/>
      <c r="FPU292" s="148"/>
      <c r="FPV292" s="148"/>
      <c r="FPW292" s="148"/>
      <c r="FPX292" s="148"/>
      <c r="FPY292" s="148"/>
      <c r="FPZ292" s="148"/>
      <c r="FQA292" s="148"/>
      <c r="FQB292" s="148"/>
      <c r="FQC292" s="148"/>
      <c r="FQD292" s="148"/>
      <c r="FQE292" s="148"/>
      <c r="FQF292" s="148"/>
      <c r="FQG292" s="148"/>
      <c r="FQH292" s="148"/>
      <c r="FQI292" s="148"/>
      <c r="FQJ292" s="148"/>
      <c r="FQK292" s="148"/>
      <c r="FQL292" s="148"/>
      <c r="FQM292" s="148"/>
      <c r="FQN292" s="148"/>
      <c r="FQO292" s="148"/>
      <c r="FQP292" s="148"/>
      <c r="FQQ292" s="148"/>
      <c r="FQR292" s="148"/>
      <c r="FQS292" s="148"/>
      <c r="FQT292" s="148"/>
      <c r="FQU292" s="148"/>
      <c r="FQV292" s="148"/>
      <c r="FQW292" s="148"/>
      <c r="FQX292" s="148"/>
      <c r="FQY292" s="148"/>
      <c r="FQZ292" s="148"/>
      <c r="FRA292" s="148"/>
      <c r="FRB292" s="148"/>
      <c r="FRC292" s="148"/>
      <c r="FRD292" s="148"/>
      <c r="FRE292" s="148"/>
      <c r="FRF292" s="148"/>
      <c r="FRG292" s="148"/>
      <c r="FRH292" s="148"/>
      <c r="FRI292" s="148"/>
      <c r="FRJ292" s="148"/>
      <c r="FRK292" s="148"/>
      <c r="FRL292" s="148"/>
      <c r="FRM292" s="148"/>
      <c r="FRN292" s="148"/>
      <c r="FRO292" s="148"/>
      <c r="FRP292" s="148"/>
      <c r="FRQ292" s="148"/>
      <c r="FRR292" s="148"/>
      <c r="FRS292" s="148"/>
      <c r="FRT292" s="148"/>
      <c r="FRU292" s="148"/>
      <c r="FRV292" s="148"/>
      <c r="FRW292" s="148"/>
      <c r="FRX292" s="148"/>
      <c r="FRY292" s="148"/>
      <c r="FRZ292" s="148"/>
      <c r="FSA292" s="148"/>
      <c r="FSB292" s="148"/>
      <c r="FSC292" s="148"/>
      <c r="FSD292" s="148"/>
      <c r="FSE292" s="148"/>
      <c r="FSF292" s="148"/>
      <c r="FSG292" s="148"/>
      <c r="FSH292" s="148"/>
      <c r="FSI292" s="148"/>
      <c r="FSJ292" s="148"/>
      <c r="FSK292" s="148"/>
      <c r="FSL292" s="148"/>
      <c r="FSM292" s="148"/>
      <c r="FSN292" s="148"/>
      <c r="FSO292" s="148"/>
      <c r="FSP292" s="148"/>
      <c r="FSQ292" s="148"/>
      <c r="FSR292" s="148"/>
      <c r="FSS292" s="148"/>
      <c r="FST292" s="148"/>
      <c r="FSU292" s="148"/>
      <c r="FSV292" s="148"/>
      <c r="FSW292" s="148"/>
      <c r="FSX292" s="148"/>
      <c r="FSY292" s="148"/>
      <c r="FSZ292" s="148"/>
      <c r="FTA292" s="148"/>
      <c r="FTB292" s="148"/>
      <c r="FTC292" s="148"/>
      <c r="FTD292" s="148"/>
      <c r="FTE292" s="148"/>
      <c r="FTF292" s="148"/>
      <c r="FTG292" s="148"/>
      <c r="FTH292" s="148"/>
      <c r="FTI292" s="148"/>
      <c r="FTJ292" s="148"/>
      <c r="FTK292" s="148"/>
      <c r="FTL292" s="148"/>
      <c r="FTM292" s="148"/>
      <c r="FTN292" s="148"/>
      <c r="FTO292" s="148"/>
      <c r="FTP292" s="148"/>
      <c r="FTQ292" s="148"/>
      <c r="FTR292" s="148"/>
      <c r="FTS292" s="148"/>
      <c r="FTT292" s="148"/>
      <c r="FTU292" s="148"/>
      <c r="FTV292" s="148"/>
      <c r="FTW292" s="148"/>
      <c r="FTX292" s="148"/>
      <c r="FTY292" s="148"/>
      <c r="FTZ292" s="148"/>
      <c r="FUA292" s="148"/>
      <c r="FUB292" s="148"/>
      <c r="FUC292" s="148"/>
      <c r="FUD292" s="148"/>
      <c r="FUE292" s="148"/>
      <c r="FUF292" s="148"/>
      <c r="FUG292" s="148"/>
      <c r="FUH292" s="148"/>
      <c r="FUI292" s="148"/>
      <c r="FUJ292" s="148"/>
      <c r="FUK292" s="148"/>
      <c r="FUL292" s="148"/>
      <c r="FUM292" s="148"/>
      <c r="FUN292" s="148"/>
      <c r="FUO292" s="148"/>
      <c r="FUP292" s="148"/>
      <c r="FUQ292" s="148"/>
      <c r="FUR292" s="148"/>
      <c r="FUS292" s="148"/>
      <c r="FUT292" s="148"/>
      <c r="FUU292" s="148"/>
      <c r="FUV292" s="148"/>
      <c r="FUW292" s="148"/>
      <c r="FUX292" s="148"/>
      <c r="FUY292" s="148"/>
      <c r="FUZ292" s="148"/>
      <c r="FVA292" s="148"/>
      <c r="FVB292" s="148"/>
      <c r="FVC292" s="148"/>
      <c r="FVD292" s="148"/>
      <c r="FVE292" s="148"/>
      <c r="FVF292" s="148"/>
      <c r="FVG292" s="148"/>
      <c r="FVH292" s="148"/>
      <c r="FVI292" s="148"/>
      <c r="FVJ292" s="148"/>
      <c r="FVK292" s="148"/>
      <c r="FVL292" s="148"/>
      <c r="FVM292" s="148"/>
      <c r="FVN292" s="148"/>
      <c r="FVO292" s="148"/>
      <c r="FVP292" s="148"/>
      <c r="FVQ292" s="148"/>
      <c r="FVR292" s="148"/>
      <c r="FVS292" s="148"/>
      <c r="FVT292" s="148"/>
      <c r="FVU292" s="148"/>
      <c r="FVV292" s="148"/>
      <c r="FVW292" s="148"/>
      <c r="FVX292" s="148"/>
      <c r="FVY292" s="148"/>
      <c r="FVZ292" s="148"/>
      <c r="FWA292" s="148"/>
      <c r="FWB292" s="148"/>
      <c r="FWC292" s="148"/>
      <c r="FWD292" s="148"/>
      <c r="FWE292" s="148"/>
      <c r="FWF292" s="148"/>
      <c r="FWG292" s="148"/>
      <c r="FWH292" s="148"/>
      <c r="FWI292" s="148"/>
      <c r="FWJ292" s="148"/>
      <c r="FWK292" s="148"/>
      <c r="FWL292" s="148"/>
      <c r="FWM292" s="148"/>
      <c r="FWN292" s="148"/>
      <c r="FWO292" s="148"/>
      <c r="FWP292" s="148"/>
      <c r="FWQ292" s="148"/>
      <c r="FWR292" s="148"/>
      <c r="FWS292" s="148"/>
      <c r="FWT292" s="148"/>
      <c r="FWU292" s="148"/>
      <c r="FWV292" s="148"/>
      <c r="FWW292" s="148"/>
      <c r="FWX292" s="148"/>
      <c r="FWY292" s="148"/>
      <c r="FWZ292" s="148"/>
      <c r="FXA292" s="148"/>
      <c r="FXB292" s="148"/>
      <c r="FXC292" s="148"/>
      <c r="FXD292" s="148"/>
      <c r="FXE292" s="148"/>
      <c r="FXF292" s="148"/>
      <c r="FXG292" s="148"/>
      <c r="FXH292" s="148"/>
      <c r="FXI292" s="148"/>
      <c r="FXJ292" s="148"/>
      <c r="FXK292" s="148"/>
      <c r="FXL292" s="148"/>
      <c r="FXM292" s="148"/>
      <c r="FXN292" s="148"/>
      <c r="FXO292" s="148"/>
      <c r="FXP292" s="148"/>
      <c r="FXQ292" s="148"/>
      <c r="FXR292" s="148"/>
      <c r="FXS292" s="148"/>
      <c r="FXT292" s="148"/>
      <c r="FXU292" s="148"/>
      <c r="FXV292" s="148"/>
      <c r="FXW292" s="148"/>
      <c r="FXX292" s="148"/>
      <c r="FXY292" s="148"/>
      <c r="FXZ292" s="148"/>
      <c r="FYA292" s="148"/>
      <c r="FYB292" s="148"/>
      <c r="FYC292" s="148"/>
      <c r="FYD292" s="148"/>
      <c r="FYE292" s="148"/>
      <c r="FYF292" s="148"/>
      <c r="FYG292" s="148"/>
      <c r="FYH292" s="148"/>
      <c r="FYI292" s="148"/>
      <c r="FYJ292" s="148"/>
      <c r="FYK292" s="148"/>
      <c r="FYL292" s="148"/>
      <c r="FYM292" s="148"/>
      <c r="FYN292" s="148"/>
      <c r="FYO292" s="148"/>
      <c r="FYP292" s="148"/>
      <c r="FYQ292" s="148"/>
      <c r="FYR292" s="148"/>
      <c r="FYS292" s="148"/>
      <c r="FYT292" s="148"/>
      <c r="FYU292" s="148"/>
      <c r="FYV292" s="148"/>
      <c r="FYW292" s="148"/>
      <c r="FYX292" s="148"/>
      <c r="FYY292" s="148"/>
      <c r="FYZ292" s="148"/>
      <c r="FZA292" s="148"/>
      <c r="FZB292" s="148"/>
      <c r="FZC292" s="148"/>
      <c r="FZD292" s="148"/>
      <c r="FZE292" s="148"/>
      <c r="FZF292" s="148"/>
      <c r="FZG292" s="148"/>
      <c r="FZH292" s="148"/>
      <c r="FZI292" s="148"/>
      <c r="FZJ292" s="148"/>
      <c r="FZK292" s="148"/>
      <c r="FZL292" s="148"/>
      <c r="FZM292" s="148"/>
      <c r="FZN292" s="148"/>
      <c r="FZO292" s="148"/>
      <c r="FZP292" s="148"/>
      <c r="FZQ292" s="148"/>
      <c r="FZR292" s="148"/>
      <c r="FZS292" s="148"/>
      <c r="FZT292" s="148"/>
      <c r="FZU292" s="148"/>
      <c r="FZV292" s="148"/>
      <c r="FZW292" s="148"/>
      <c r="FZX292" s="148"/>
      <c r="FZY292" s="148"/>
      <c r="FZZ292" s="148"/>
      <c r="GAA292" s="148"/>
      <c r="GAB292" s="148"/>
      <c r="GAC292" s="148"/>
      <c r="GAD292" s="148"/>
      <c r="GAE292" s="148"/>
      <c r="GAF292" s="148"/>
      <c r="GAG292" s="148"/>
      <c r="GAH292" s="148"/>
      <c r="GAI292" s="148"/>
      <c r="GAJ292" s="148"/>
      <c r="GAK292" s="148"/>
      <c r="GAL292" s="148"/>
      <c r="GAM292" s="148"/>
      <c r="GAN292" s="148"/>
      <c r="GAO292" s="148"/>
      <c r="GAP292" s="148"/>
      <c r="GAQ292" s="148"/>
      <c r="GAR292" s="148"/>
      <c r="GAS292" s="148"/>
      <c r="GAT292" s="148"/>
      <c r="GAU292" s="148"/>
      <c r="GAV292" s="148"/>
      <c r="GAW292" s="148"/>
      <c r="GAX292" s="148"/>
      <c r="GAY292" s="148"/>
      <c r="GAZ292" s="148"/>
      <c r="GBA292" s="148"/>
      <c r="GBB292" s="148"/>
      <c r="GBC292" s="148"/>
      <c r="GBD292" s="148"/>
      <c r="GBE292" s="148"/>
      <c r="GBF292" s="148"/>
      <c r="GBG292" s="148"/>
      <c r="GBH292" s="148"/>
      <c r="GBI292" s="148"/>
      <c r="GBJ292" s="148"/>
      <c r="GBK292" s="148"/>
      <c r="GBL292" s="148"/>
      <c r="GBM292" s="148"/>
      <c r="GBN292" s="148"/>
      <c r="GBO292" s="148"/>
      <c r="GBP292" s="148"/>
      <c r="GBQ292" s="148"/>
      <c r="GBR292" s="148"/>
      <c r="GBS292" s="148"/>
      <c r="GBT292" s="148"/>
      <c r="GBU292" s="148"/>
      <c r="GBV292" s="148"/>
      <c r="GBW292" s="148"/>
      <c r="GBX292" s="148"/>
      <c r="GBY292" s="148"/>
      <c r="GBZ292" s="148"/>
      <c r="GCA292" s="148"/>
      <c r="GCB292" s="148"/>
      <c r="GCC292" s="148"/>
      <c r="GCD292" s="148"/>
      <c r="GCE292" s="148"/>
      <c r="GCF292" s="148"/>
      <c r="GCG292" s="148"/>
      <c r="GCH292" s="148"/>
      <c r="GCI292" s="148"/>
      <c r="GCJ292" s="148"/>
      <c r="GCK292" s="148"/>
      <c r="GCL292" s="148"/>
      <c r="GCM292" s="148"/>
      <c r="GCN292" s="148"/>
      <c r="GCO292" s="148"/>
      <c r="GCP292" s="148"/>
      <c r="GCQ292" s="148"/>
      <c r="GCR292" s="148"/>
      <c r="GCS292" s="148"/>
      <c r="GCT292" s="148"/>
      <c r="GCU292" s="148"/>
      <c r="GCV292" s="148"/>
      <c r="GCW292" s="148"/>
      <c r="GCX292" s="148"/>
      <c r="GCY292" s="148"/>
      <c r="GCZ292" s="148"/>
      <c r="GDA292" s="148"/>
      <c r="GDB292" s="148"/>
      <c r="GDC292" s="148"/>
      <c r="GDD292" s="148"/>
      <c r="GDE292" s="148"/>
      <c r="GDF292" s="148"/>
      <c r="GDG292" s="148"/>
      <c r="GDH292" s="148"/>
      <c r="GDI292" s="148"/>
      <c r="GDJ292" s="148"/>
      <c r="GDK292" s="148"/>
      <c r="GDL292" s="148"/>
      <c r="GDM292" s="148"/>
      <c r="GDN292" s="148"/>
      <c r="GDO292" s="148"/>
      <c r="GDP292" s="148"/>
      <c r="GDQ292" s="148"/>
      <c r="GDR292" s="148"/>
      <c r="GDS292" s="148"/>
      <c r="GDT292" s="148"/>
      <c r="GDU292" s="148"/>
      <c r="GDV292" s="148"/>
      <c r="GDW292" s="148"/>
      <c r="GDX292" s="148"/>
      <c r="GDY292" s="148"/>
      <c r="GDZ292" s="148"/>
      <c r="GEA292" s="148"/>
      <c r="GEB292" s="148"/>
      <c r="GEC292" s="148"/>
      <c r="GED292" s="148"/>
      <c r="GEE292" s="148"/>
      <c r="GEF292" s="148"/>
      <c r="GEG292" s="148"/>
      <c r="GEH292" s="148"/>
      <c r="GEI292" s="148"/>
      <c r="GEJ292" s="148"/>
      <c r="GEK292" s="148"/>
      <c r="GEL292" s="148"/>
      <c r="GEM292" s="148"/>
      <c r="GEN292" s="148"/>
      <c r="GEO292" s="148"/>
      <c r="GEP292" s="148"/>
      <c r="GEQ292" s="148"/>
      <c r="GER292" s="148"/>
      <c r="GES292" s="148"/>
      <c r="GET292" s="148"/>
      <c r="GEU292" s="148"/>
      <c r="GEV292" s="148"/>
      <c r="GEW292" s="148"/>
      <c r="GEX292" s="148"/>
      <c r="GEY292" s="148"/>
      <c r="GEZ292" s="148"/>
      <c r="GFA292" s="148"/>
      <c r="GFB292" s="148"/>
      <c r="GFC292" s="148"/>
      <c r="GFD292" s="148"/>
      <c r="GFE292" s="148"/>
      <c r="GFF292" s="148"/>
      <c r="GFG292" s="148"/>
      <c r="GFH292" s="148"/>
      <c r="GFI292" s="148"/>
      <c r="GFJ292" s="148"/>
      <c r="GFK292" s="148"/>
      <c r="GFL292" s="148"/>
      <c r="GFM292" s="148"/>
      <c r="GFN292" s="148"/>
      <c r="GFO292" s="148"/>
      <c r="GFP292" s="148"/>
      <c r="GFQ292" s="148"/>
      <c r="GFR292" s="148"/>
      <c r="GFS292" s="148"/>
      <c r="GFT292" s="148"/>
      <c r="GFU292" s="148"/>
      <c r="GFV292" s="148"/>
      <c r="GFW292" s="148"/>
      <c r="GFX292" s="148"/>
      <c r="GFY292" s="148"/>
      <c r="GFZ292" s="148"/>
      <c r="GGA292" s="148"/>
      <c r="GGB292" s="148"/>
      <c r="GGC292" s="148"/>
      <c r="GGD292" s="148"/>
      <c r="GGE292" s="148"/>
      <c r="GGF292" s="148"/>
      <c r="GGG292" s="148"/>
      <c r="GGH292" s="148"/>
      <c r="GGI292" s="148"/>
      <c r="GGJ292" s="148"/>
      <c r="GGK292" s="148"/>
      <c r="GGL292" s="148"/>
      <c r="GGM292" s="148"/>
      <c r="GGN292" s="148"/>
      <c r="GGO292" s="148"/>
      <c r="GGP292" s="148"/>
      <c r="GGQ292" s="148"/>
      <c r="GGR292" s="148"/>
      <c r="GGS292" s="148"/>
      <c r="GGT292" s="148"/>
      <c r="GGU292" s="148"/>
      <c r="GGV292" s="148"/>
      <c r="GGW292" s="148"/>
      <c r="GGX292" s="148"/>
      <c r="GGY292" s="148"/>
      <c r="GGZ292" s="148"/>
      <c r="GHA292" s="148"/>
      <c r="GHB292" s="148"/>
      <c r="GHC292" s="148"/>
      <c r="GHD292" s="148"/>
      <c r="GHE292" s="148"/>
      <c r="GHF292" s="148"/>
      <c r="GHG292" s="148"/>
      <c r="GHH292" s="148"/>
      <c r="GHI292" s="148"/>
      <c r="GHJ292" s="148"/>
      <c r="GHK292" s="148"/>
      <c r="GHL292" s="148"/>
      <c r="GHM292" s="148"/>
      <c r="GHN292" s="148"/>
      <c r="GHO292" s="148"/>
      <c r="GHP292" s="148"/>
      <c r="GHQ292" s="148"/>
      <c r="GHR292" s="148"/>
      <c r="GHS292" s="148"/>
      <c r="GHT292" s="148"/>
      <c r="GHU292" s="148"/>
      <c r="GHV292" s="148"/>
      <c r="GHW292" s="148"/>
      <c r="GHX292" s="148"/>
      <c r="GHY292" s="148"/>
      <c r="GHZ292" s="148"/>
      <c r="GIA292" s="148"/>
      <c r="GIB292" s="148"/>
      <c r="GIC292" s="148"/>
      <c r="GID292" s="148"/>
      <c r="GIE292" s="148"/>
      <c r="GIF292" s="148"/>
      <c r="GIG292" s="148"/>
      <c r="GIH292" s="148"/>
      <c r="GII292" s="148"/>
      <c r="GIJ292" s="148"/>
      <c r="GIK292" s="148"/>
      <c r="GIL292" s="148"/>
      <c r="GIM292" s="148"/>
      <c r="GIN292" s="148"/>
      <c r="GIO292" s="148"/>
      <c r="GIP292" s="148"/>
      <c r="GIQ292" s="148"/>
      <c r="GIR292" s="148"/>
      <c r="GIS292" s="148"/>
      <c r="GIT292" s="148"/>
      <c r="GIU292" s="148"/>
      <c r="GIV292" s="148"/>
      <c r="GIW292" s="148"/>
      <c r="GIX292" s="148"/>
      <c r="GIY292" s="148"/>
      <c r="GIZ292" s="148"/>
      <c r="GJA292" s="148"/>
      <c r="GJB292" s="148"/>
      <c r="GJC292" s="148"/>
      <c r="GJD292" s="148"/>
      <c r="GJE292" s="148"/>
      <c r="GJF292" s="148"/>
      <c r="GJG292" s="148"/>
      <c r="GJH292" s="148"/>
      <c r="GJI292" s="148"/>
      <c r="GJJ292" s="148"/>
      <c r="GJK292" s="148"/>
      <c r="GJL292" s="148"/>
      <c r="GJM292" s="148"/>
      <c r="GJN292" s="148"/>
      <c r="GJO292" s="148"/>
      <c r="GJP292" s="148"/>
      <c r="GJQ292" s="148"/>
      <c r="GJR292" s="148"/>
      <c r="GJS292" s="148"/>
      <c r="GJT292" s="148"/>
      <c r="GJU292" s="148"/>
      <c r="GJV292" s="148"/>
      <c r="GJW292" s="148"/>
      <c r="GJX292" s="148"/>
      <c r="GJY292" s="148"/>
      <c r="GJZ292" s="148"/>
      <c r="GKA292" s="148"/>
      <c r="GKB292" s="148"/>
      <c r="GKC292" s="148"/>
      <c r="GKD292" s="148"/>
      <c r="GKE292" s="148"/>
      <c r="GKF292" s="148"/>
      <c r="GKG292" s="148"/>
      <c r="GKH292" s="148"/>
      <c r="GKI292" s="148"/>
      <c r="GKJ292" s="148"/>
      <c r="GKK292" s="148"/>
      <c r="GKL292" s="148"/>
      <c r="GKM292" s="148"/>
      <c r="GKN292" s="148"/>
      <c r="GKO292" s="148"/>
      <c r="GKP292" s="148"/>
      <c r="GKQ292" s="148"/>
      <c r="GKR292" s="148"/>
      <c r="GKS292" s="148"/>
      <c r="GKT292" s="148"/>
      <c r="GKU292" s="148"/>
      <c r="GKV292" s="148"/>
      <c r="GKW292" s="148"/>
      <c r="GKX292" s="148"/>
      <c r="GKY292" s="148"/>
      <c r="GKZ292" s="148"/>
      <c r="GLA292" s="148"/>
      <c r="GLB292" s="148"/>
      <c r="GLC292" s="148"/>
      <c r="GLD292" s="148"/>
      <c r="GLE292" s="148"/>
      <c r="GLF292" s="148"/>
      <c r="GLG292" s="148"/>
      <c r="GLH292" s="148"/>
      <c r="GLI292" s="148"/>
      <c r="GLJ292" s="148"/>
      <c r="GLK292" s="148"/>
      <c r="GLL292" s="148"/>
      <c r="GLM292" s="148"/>
      <c r="GLN292" s="148"/>
      <c r="GLO292" s="148"/>
      <c r="GLP292" s="148"/>
      <c r="GLQ292" s="148"/>
      <c r="GLR292" s="148"/>
      <c r="GLS292" s="148"/>
      <c r="GLT292" s="148"/>
      <c r="GLU292" s="148"/>
      <c r="GLV292" s="148"/>
      <c r="GLW292" s="148"/>
      <c r="GLX292" s="148"/>
      <c r="GLY292" s="148"/>
      <c r="GLZ292" s="148"/>
      <c r="GMA292" s="148"/>
      <c r="GMB292" s="148"/>
      <c r="GMC292" s="148"/>
      <c r="GMD292" s="148"/>
      <c r="GME292" s="148"/>
      <c r="GMF292" s="148"/>
      <c r="GMG292" s="148"/>
      <c r="GMH292" s="148"/>
      <c r="GMI292" s="148"/>
      <c r="GMJ292" s="148"/>
      <c r="GMK292" s="148"/>
      <c r="GML292" s="148"/>
      <c r="GMM292" s="148"/>
      <c r="GMN292" s="148"/>
      <c r="GMO292" s="148"/>
      <c r="GMP292" s="148"/>
      <c r="GMQ292" s="148"/>
      <c r="GMR292" s="148"/>
      <c r="GMS292" s="148"/>
      <c r="GMT292" s="148"/>
      <c r="GMU292" s="148"/>
      <c r="GMV292" s="148"/>
      <c r="GMW292" s="148"/>
      <c r="GMX292" s="148"/>
      <c r="GMY292" s="148"/>
      <c r="GMZ292" s="148"/>
      <c r="GNA292" s="148"/>
      <c r="GNB292" s="148"/>
      <c r="GNC292" s="148"/>
      <c r="GND292" s="148"/>
      <c r="GNE292" s="148"/>
      <c r="GNF292" s="148"/>
      <c r="GNG292" s="148"/>
      <c r="GNH292" s="148"/>
      <c r="GNI292" s="148"/>
      <c r="GNJ292" s="148"/>
      <c r="GNK292" s="148"/>
      <c r="GNL292" s="148"/>
      <c r="GNM292" s="148"/>
      <c r="GNN292" s="148"/>
      <c r="GNO292" s="148"/>
      <c r="GNP292" s="148"/>
      <c r="GNQ292" s="148"/>
      <c r="GNR292" s="148"/>
      <c r="GNS292" s="148"/>
      <c r="GNT292" s="148"/>
      <c r="GNU292" s="148"/>
      <c r="GNV292" s="148"/>
      <c r="GNW292" s="148"/>
      <c r="GNX292" s="148"/>
      <c r="GNY292" s="148"/>
      <c r="GNZ292" s="148"/>
      <c r="GOA292" s="148"/>
      <c r="GOB292" s="148"/>
      <c r="GOC292" s="148"/>
      <c r="GOD292" s="148"/>
      <c r="GOE292" s="148"/>
      <c r="GOF292" s="148"/>
      <c r="GOG292" s="148"/>
      <c r="GOH292" s="148"/>
      <c r="GOI292" s="148"/>
      <c r="GOJ292" s="148"/>
      <c r="GOK292" s="148"/>
      <c r="GOL292" s="148"/>
      <c r="GOM292" s="148"/>
      <c r="GON292" s="148"/>
      <c r="GOO292" s="148"/>
      <c r="GOP292" s="148"/>
      <c r="GOQ292" s="148"/>
      <c r="GOR292" s="148"/>
      <c r="GOS292" s="148"/>
      <c r="GOT292" s="148"/>
      <c r="GOU292" s="148"/>
      <c r="GOV292" s="148"/>
      <c r="GOW292" s="148"/>
      <c r="GOX292" s="148"/>
      <c r="GOY292" s="148"/>
      <c r="GOZ292" s="148"/>
      <c r="GPA292" s="148"/>
      <c r="GPB292" s="148"/>
      <c r="GPC292" s="148"/>
      <c r="GPD292" s="148"/>
      <c r="GPE292" s="148"/>
      <c r="GPF292" s="148"/>
      <c r="GPG292" s="148"/>
      <c r="GPH292" s="148"/>
      <c r="GPI292" s="148"/>
      <c r="GPJ292" s="148"/>
      <c r="GPK292" s="148"/>
      <c r="GPL292" s="148"/>
      <c r="GPM292" s="148"/>
      <c r="GPN292" s="148"/>
      <c r="GPO292" s="148"/>
      <c r="GPP292" s="148"/>
      <c r="GPQ292" s="148"/>
      <c r="GPR292" s="148"/>
      <c r="GPS292" s="148"/>
      <c r="GPT292" s="148"/>
      <c r="GPU292" s="148"/>
      <c r="GPV292" s="148"/>
      <c r="GPW292" s="148"/>
      <c r="GPX292" s="148"/>
      <c r="GPY292" s="148"/>
      <c r="GPZ292" s="148"/>
      <c r="GQA292" s="148"/>
      <c r="GQB292" s="148"/>
      <c r="GQC292" s="148"/>
      <c r="GQD292" s="148"/>
      <c r="GQE292" s="148"/>
      <c r="GQF292" s="148"/>
      <c r="GQG292" s="148"/>
      <c r="GQH292" s="148"/>
      <c r="GQI292" s="148"/>
      <c r="GQJ292" s="148"/>
      <c r="GQK292" s="148"/>
      <c r="GQL292" s="148"/>
      <c r="GQM292" s="148"/>
      <c r="GQN292" s="148"/>
      <c r="GQO292" s="148"/>
      <c r="GQP292" s="148"/>
      <c r="GQQ292" s="148"/>
      <c r="GQR292" s="148"/>
      <c r="GQS292" s="148"/>
      <c r="GQT292" s="148"/>
      <c r="GQU292" s="148"/>
      <c r="GQV292" s="148"/>
      <c r="GQW292" s="148"/>
      <c r="GQX292" s="148"/>
      <c r="GQY292" s="148"/>
      <c r="GQZ292" s="148"/>
      <c r="GRA292" s="148"/>
      <c r="GRB292" s="148"/>
      <c r="GRC292" s="148"/>
      <c r="GRD292" s="148"/>
      <c r="GRE292" s="148"/>
      <c r="GRF292" s="148"/>
      <c r="GRG292" s="148"/>
      <c r="GRH292" s="148"/>
      <c r="GRI292" s="148"/>
      <c r="GRJ292" s="148"/>
      <c r="GRK292" s="148"/>
      <c r="GRL292" s="148"/>
      <c r="GRM292" s="148"/>
      <c r="GRN292" s="148"/>
      <c r="GRO292" s="148"/>
      <c r="GRP292" s="148"/>
      <c r="GRQ292" s="148"/>
      <c r="GRR292" s="148"/>
      <c r="GRS292" s="148"/>
      <c r="GRT292" s="148"/>
      <c r="GRU292" s="148"/>
      <c r="GRV292" s="148"/>
      <c r="GRW292" s="148"/>
      <c r="GRX292" s="148"/>
      <c r="GRY292" s="148"/>
      <c r="GRZ292" s="148"/>
      <c r="GSA292" s="148"/>
      <c r="GSB292" s="148"/>
      <c r="GSC292" s="148"/>
      <c r="GSD292" s="148"/>
      <c r="GSE292" s="148"/>
      <c r="GSF292" s="148"/>
      <c r="GSG292" s="148"/>
      <c r="GSH292" s="148"/>
      <c r="GSI292" s="148"/>
      <c r="GSJ292" s="148"/>
      <c r="GSK292" s="148"/>
      <c r="GSL292" s="148"/>
      <c r="GSM292" s="148"/>
      <c r="GSN292" s="148"/>
      <c r="GSO292" s="148"/>
      <c r="GSP292" s="148"/>
      <c r="GSQ292" s="148"/>
      <c r="GSR292" s="148"/>
      <c r="GSS292" s="148"/>
      <c r="GST292" s="148"/>
      <c r="GSU292" s="148"/>
      <c r="GSV292" s="148"/>
      <c r="GSW292" s="148"/>
      <c r="GSX292" s="148"/>
      <c r="GSY292" s="148"/>
      <c r="GSZ292" s="148"/>
      <c r="GTA292" s="148"/>
      <c r="GTB292" s="148"/>
      <c r="GTC292" s="148"/>
      <c r="GTD292" s="148"/>
      <c r="GTE292" s="148"/>
      <c r="GTF292" s="148"/>
      <c r="GTG292" s="148"/>
      <c r="GTH292" s="148"/>
      <c r="GTI292" s="148"/>
      <c r="GTJ292" s="148"/>
      <c r="GTK292" s="148"/>
      <c r="GTL292" s="148"/>
      <c r="GTM292" s="148"/>
      <c r="GTN292" s="148"/>
      <c r="GTO292" s="148"/>
      <c r="GTP292" s="148"/>
      <c r="GTQ292" s="148"/>
      <c r="GTR292" s="148"/>
      <c r="GTS292" s="148"/>
      <c r="GTT292" s="148"/>
      <c r="GTU292" s="148"/>
      <c r="GTV292" s="148"/>
      <c r="GTW292" s="148"/>
      <c r="GTX292" s="148"/>
      <c r="GTY292" s="148"/>
      <c r="GTZ292" s="148"/>
      <c r="GUA292" s="148"/>
      <c r="GUB292" s="148"/>
      <c r="GUC292" s="148"/>
      <c r="GUD292" s="148"/>
      <c r="GUE292" s="148"/>
      <c r="GUF292" s="148"/>
      <c r="GUG292" s="148"/>
      <c r="GUH292" s="148"/>
      <c r="GUI292" s="148"/>
      <c r="GUJ292" s="148"/>
      <c r="GUK292" s="148"/>
      <c r="GUL292" s="148"/>
      <c r="GUM292" s="148"/>
      <c r="GUN292" s="148"/>
      <c r="GUO292" s="148"/>
      <c r="GUP292" s="148"/>
      <c r="GUQ292" s="148"/>
      <c r="GUR292" s="148"/>
      <c r="GUS292" s="148"/>
      <c r="GUT292" s="148"/>
      <c r="GUU292" s="148"/>
      <c r="GUV292" s="148"/>
      <c r="GUW292" s="148"/>
      <c r="GUX292" s="148"/>
      <c r="GUY292" s="148"/>
      <c r="GUZ292" s="148"/>
      <c r="GVA292" s="148"/>
      <c r="GVB292" s="148"/>
      <c r="GVC292" s="148"/>
      <c r="GVD292" s="148"/>
      <c r="GVE292" s="148"/>
      <c r="GVF292" s="148"/>
      <c r="GVG292" s="148"/>
      <c r="GVH292" s="148"/>
      <c r="GVI292" s="148"/>
      <c r="GVJ292" s="148"/>
      <c r="GVK292" s="148"/>
      <c r="GVL292" s="148"/>
      <c r="GVM292" s="148"/>
      <c r="GVN292" s="148"/>
      <c r="GVO292" s="148"/>
      <c r="GVP292" s="148"/>
      <c r="GVQ292" s="148"/>
      <c r="GVR292" s="148"/>
      <c r="GVS292" s="148"/>
      <c r="GVT292" s="148"/>
      <c r="GVU292" s="148"/>
      <c r="GVV292" s="148"/>
      <c r="GVW292" s="148"/>
      <c r="GVX292" s="148"/>
      <c r="GVY292" s="148"/>
      <c r="GVZ292" s="148"/>
      <c r="GWA292" s="148"/>
      <c r="GWB292" s="148"/>
      <c r="GWC292" s="148"/>
      <c r="GWD292" s="148"/>
      <c r="GWE292" s="148"/>
      <c r="GWF292" s="148"/>
      <c r="GWG292" s="148"/>
      <c r="GWH292" s="148"/>
      <c r="GWI292" s="148"/>
      <c r="GWJ292" s="148"/>
      <c r="GWK292" s="148"/>
      <c r="GWL292" s="148"/>
      <c r="GWM292" s="148"/>
      <c r="GWN292" s="148"/>
      <c r="GWO292" s="148"/>
      <c r="GWP292" s="148"/>
      <c r="GWQ292" s="148"/>
      <c r="GWR292" s="148"/>
      <c r="GWS292" s="148"/>
      <c r="GWT292" s="148"/>
      <c r="GWU292" s="148"/>
      <c r="GWV292" s="148"/>
      <c r="GWW292" s="148"/>
      <c r="GWX292" s="148"/>
      <c r="GWY292" s="148"/>
      <c r="GWZ292" s="148"/>
      <c r="GXA292" s="148"/>
      <c r="GXB292" s="148"/>
      <c r="GXC292" s="148"/>
      <c r="GXD292" s="148"/>
      <c r="GXE292" s="148"/>
      <c r="GXF292" s="148"/>
      <c r="GXG292" s="148"/>
      <c r="GXH292" s="148"/>
      <c r="GXI292" s="148"/>
      <c r="GXJ292" s="148"/>
      <c r="GXK292" s="148"/>
      <c r="GXL292" s="148"/>
      <c r="GXM292" s="148"/>
      <c r="GXN292" s="148"/>
      <c r="GXO292" s="148"/>
      <c r="GXP292" s="148"/>
      <c r="GXQ292" s="148"/>
      <c r="GXR292" s="148"/>
      <c r="GXS292" s="148"/>
      <c r="GXT292" s="148"/>
      <c r="GXU292" s="148"/>
      <c r="GXV292" s="148"/>
      <c r="GXW292" s="148"/>
      <c r="GXX292" s="148"/>
      <c r="GXY292" s="148"/>
      <c r="GXZ292" s="148"/>
      <c r="GYA292" s="148"/>
      <c r="GYB292" s="148"/>
      <c r="GYC292" s="148"/>
      <c r="GYD292" s="148"/>
      <c r="GYE292" s="148"/>
      <c r="GYF292" s="148"/>
      <c r="GYG292" s="148"/>
      <c r="GYH292" s="148"/>
      <c r="GYI292" s="148"/>
      <c r="GYJ292" s="148"/>
      <c r="GYK292" s="148"/>
      <c r="GYL292" s="148"/>
      <c r="GYM292" s="148"/>
      <c r="GYN292" s="148"/>
      <c r="GYO292" s="148"/>
      <c r="GYP292" s="148"/>
      <c r="GYQ292" s="148"/>
      <c r="GYR292" s="148"/>
      <c r="GYS292" s="148"/>
      <c r="GYT292" s="148"/>
      <c r="GYU292" s="148"/>
      <c r="GYV292" s="148"/>
      <c r="GYW292" s="148"/>
      <c r="GYX292" s="148"/>
      <c r="GYY292" s="148"/>
      <c r="GYZ292" s="148"/>
      <c r="GZA292" s="148"/>
      <c r="GZB292" s="148"/>
      <c r="GZC292" s="148"/>
      <c r="GZD292" s="148"/>
      <c r="GZE292" s="148"/>
      <c r="GZF292" s="148"/>
      <c r="GZG292" s="148"/>
      <c r="GZH292" s="148"/>
      <c r="GZI292" s="148"/>
      <c r="GZJ292" s="148"/>
      <c r="GZK292" s="148"/>
      <c r="GZL292" s="148"/>
      <c r="GZM292" s="148"/>
      <c r="GZN292" s="148"/>
      <c r="GZO292" s="148"/>
      <c r="GZP292" s="148"/>
      <c r="GZQ292" s="148"/>
      <c r="GZR292" s="148"/>
      <c r="GZS292" s="148"/>
      <c r="GZT292" s="148"/>
      <c r="GZU292" s="148"/>
      <c r="GZV292" s="148"/>
      <c r="GZW292" s="148"/>
      <c r="GZX292" s="148"/>
      <c r="GZY292" s="148"/>
      <c r="GZZ292" s="148"/>
      <c r="HAA292" s="148"/>
      <c r="HAB292" s="148"/>
      <c r="HAC292" s="148"/>
      <c r="HAD292" s="148"/>
      <c r="HAE292" s="148"/>
      <c r="HAF292" s="148"/>
      <c r="HAG292" s="148"/>
      <c r="HAH292" s="148"/>
      <c r="HAI292" s="148"/>
      <c r="HAJ292" s="148"/>
      <c r="HAK292" s="148"/>
      <c r="HAL292" s="148"/>
      <c r="HAM292" s="148"/>
      <c r="HAN292" s="148"/>
      <c r="HAO292" s="148"/>
      <c r="HAP292" s="148"/>
      <c r="HAQ292" s="148"/>
      <c r="HAR292" s="148"/>
      <c r="HAS292" s="148"/>
      <c r="HAT292" s="148"/>
      <c r="HAU292" s="148"/>
      <c r="HAV292" s="148"/>
      <c r="HAW292" s="148"/>
      <c r="HAX292" s="148"/>
      <c r="HAY292" s="148"/>
      <c r="HAZ292" s="148"/>
      <c r="HBA292" s="148"/>
      <c r="HBB292" s="148"/>
      <c r="HBC292" s="148"/>
      <c r="HBD292" s="148"/>
      <c r="HBE292" s="148"/>
      <c r="HBF292" s="148"/>
      <c r="HBG292" s="148"/>
      <c r="HBH292" s="148"/>
      <c r="HBI292" s="148"/>
      <c r="HBJ292" s="148"/>
      <c r="HBK292" s="148"/>
      <c r="HBL292" s="148"/>
      <c r="HBM292" s="148"/>
      <c r="HBN292" s="148"/>
      <c r="HBO292" s="148"/>
      <c r="HBP292" s="148"/>
      <c r="HBQ292" s="148"/>
      <c r="HBR292" s="148"/>
      <c r="HBS292" s="148"/>
      <c r="HBT292" s="148"/>
      <c r="HBU292" s="148"/>
      <c r="HBV292" s="148"/>
      <c r="HBW292" s="148"/>
      <c r="HBX292" s="148"/>
      <c r="HBY292" s="148"/>
      <c r="HBZ292" s="148"/>
      <c r="HCA292" s="148"/>
      <c r="HCB292" s="148"/>
      <c r="HCC292" s="148"/>
      <c r="HCD292" s="148"/>
      <c r="HCE292" s="148"/>
      <c r="HCF292" s="148"/>
      <c r="HCG292" s="148"/>
      <c r="HCH292" s="148"/>
      <c r="HCI292" s="148"/>
      <c r="HCJ292" s="148"/>
      <c r="HCK292" s="148"/>
      <c r="HCL292" s="148"/>
      <c r="HCM292" s="148"/>
      <c r="HCN292" s="148"/>
      <c r="HCO292" s="148"/>
      <c r="HCP292" s="148"/>
      <c r="HCQ292" s="148"/>
      <c r="HCR292" s="148"/>
      <c r="HCS292" s="148"/>
      <c r="HCT292" s="148"/>
      <c r="HCU292" s="148"/>
      <c r="HCV292" s="148"/>
      <c r="HCW292" s="148"/>
      <c r="HCX292" s="148"/>
      <c r="HCY292" s="148"/>
      <c r="HCZ292" s="148"/>
      <c r="HDA292" s="148"/>
      <c r="HDB292" s="148"/>
      <c r="HDC292" s="148"/>
      <c r="HDD292" s="148"/>
      <c r="HDE292" s="148"/>
      <c r="HDF292" s="148"/>
      <c r="HDG292" s="148"/>
      <c r="HDH292" s="148"/>
      <c r="HDI292" s="148"/>
      <c r="HDJ292" s="148"/>
      <c r="HDK292" s="148"/>
      <c r="HDL292" s="148"/>
      <c r="HDM292" s="148"/>
      <c r="HDN292" s="148"/>
      <c r="HDO292" s="148"/>
      <c r="HDP292" s="148"/>
      <c r="HDQ292" s="148"/>
      <c r="HDR292" s="148"/>
      <c r="HDS292" s="148"/>
      <c r="HDT292" s="148"/>
      <c r="HDU292" s="148"/>
      <c r="HDV292" s="148"/>
      <c r="HDW292" s="148"/>
      <c r="HDX292" s="148"/>
      <c r="HDY292" s="148"/>
      <c r="HDZ292" s="148"/>
      <c r="HEA292" s="148"/>
      <c r="HEB292" s="148"/>
      <c r="HEC292" s="148"/>
      <c r="HED292" s="148"/>
      <c r="HEE292" s="148"/>
      <c r="HEF292" s="148"/>
      <c r="HEG292" s="148"/>
      <c r="HEH292" s="148"/>
      <c r="HEI292" s="148"/>
      <c r="HEJ292" s="148"/>
      <c r="HEK292" s="148"/>
      <c r="HEL292" s="148"/>
      <c r="HEM292" s="148"/>
      <c r="HEN292" s="148"/>
      <c r="HEO292" s="148"/>
      <c r="HEP292" s="148"/>
      <c r="HEQ292" s="148"/>
      <c r="HER292" s="148"/>
      <c r="HES292" s="148"/>
      <c r="HET292" s="148"/>
      <c r="HEU292" s="148"/>
      <c r="HEV292" s="148"/>
      <c r="HEW292" s="148"/>
      <c r="HEX292" s="148"/>
      <c r="HEY292" s="148"/>
      <c r="HEZ292" s="148"/>
      <c r="HFA292" s="148"/>
      <c r="HFB292" s="148"/>
      <c r="HFC292" s="148"/>
      <c r="HFD292" s="148"/>
      <c r="HFE292" s="148"/>
      <c r="HFF292" s="148"/>
      <c r="HFG292" s="148"/>
      <c r="HFH292" s="148"/>
      <c r="HFI292" s="148"/>
      <c r="HFJ292" s="148"/>
      <c r="HFK292" s="148"/>
      <c r="HFL292" s="148"/>
      <c r="HFM292" s="148"/>
      <c r="HFN292" s="148"/>
      <c r="HFO292" s="148"/>
      <c r="HFP292" s="148"/>
      <c r="HFQ292" s="148"/>
      <c r="HFR292" s="148"/>
      <c r="HFS292" s="148"/>
      <c r="HFT292" s="148"/>
      <c r="HFU292" s="148"/>
      <c r="HFV292" s="148"/>
      <c r="HFW292" s="148"/>
      <c r="HFX292" s="148"/>
      <c r="HFY292" s="148"/>
      <c r="HFZ292" s="148"/>
      <c r="HGA292" s="148"/>
      <c r="HGB292" s="148"/>
      <c r="HGC292" s="148"/>
      <c r="HGD292" s="148"/>
      <c r="HGE292" s="148"/>
      <c r="HGF292" s="148"/>
      <c r="HGG292" s="148"/>
      <c r="HGH292" s="148"/>
      <c r="HGI292" s="148"/>
      <c r="HGJ292" s="148"/>
      <c r="HGK292" s="148"/>
      <c r="HGL292" s="148"/>
      <c r="HGM292" s="148"/>
      <c r="HGN292" s="148"/>
      <c r="HGO292" s="148"/>
      <c r="HGP292" s="148"/>
      <c r="HGQ292" s="148"/>
      <c r="HGR292" s="148"/>
      <c r="HGS292" s="148"/>
      <c r="HGT292" s="148"/>
      <c r="HGU292" s="148"/>
      <c r="HGV292" s="148"/>
      <c r="HGW292" s="148"/>
      <c r="HGX292" s="148"/>
      <c r="HGY292" s="148"/>
      <c r="HGZ292" s="148"/>
      <c r="HHA292" s="148"/>
      <c r="HHB292" s="148"/>
      <c r="HHC292" s="148"/>
      <c r="HHD292" s="148"/>
      <c r="HHE292" s="148"/>
      <c r="HHF292" s="148"/>
      <c r="HHG292" s="148"/>
      <c r="HHH292" s="148"/>
      <c r="HHI292" s="148"/>
      <c r="HHJ292" s="148"/>
      <c r="HHK292" s="148"/>
      <c r="HHL292" s="148"/>
      <c r="HHM292" s="148"/>
      <c r="HHN292" s="148"/>
      <c r="HHO292" s="148"/>
      <c r="HHP292" s="148"/>
      <c r="HHQ292" s="148"/>
      <c r="HHR292" s="148"/>
      <c r="HHS292" s="148"/>
      <c r="HHT292" s="148"/>
      <c r="HHU292" s="148"/>
      <c r="HHV292" s="148"/>
      <c r="HHW292" s="148"/>
      <c r="HHX292" s="148"/>
      <c r="HHY292" s="148"/>
      <c r="HHZ292" s="148"/>
      <c r="HIA292" s="148"/>
      <c r="HIB292" s="148"/>
      <c r="HIC292" s="148"/>
      <c r="HID292" s="148"/>
      <c r="HIE292" s="148"/>
      <c r="HIF292" s="148"/>
      <c r="HIG292" s="148"/>
      <c r="HIH292" s="148"/>
      <c r="HII292" s="148"/>
      <c r="HIJ292" s="148"/>
      <c r="HIK292" s="148"/>
      <c r="HIL292" s="148"/>
      <c r="HIM292" s="148"/>
      <c r="HIN292" s="148"/>
      <c r="HIO292" s="148"/>
      <c r="HIP292" s="148"/>
      <c r="HIQ292" s="148"/>
      <c r="HIR292" s="148"/>
      <c r="HIS292" s="148"/>
      <c r="HIT292" s="148"/>
      <c r="HIU292" s="148"/>
      <c r="HIV292" s="148"/>
      <c r="HIW292" s="148"/>
      <c r="HIX292" s="148"/>
      <c r="HIY292" s="148"/>
      <c r="HIZ292" s="148"/>
      <c r="HJA292" s="148"/>
      <c r="HJB292" s="148"/>
      <c r="HJC292" s="148"/>
      <c r="HJD292" s="148"/>
      <c r="HJE292" s="148"/>
      <c r="HJF292" s="148"/>
      <c r="HJG292" s="148"/>
      <c r="HJH292" s="148"/>
      <c r="HJI292" s="148"/>
      <c r="HJJ292" s="148"/>
      <c r="HJK292" s="148"/>
      <c r="HJL292" s="148"/>
      <c r="HJM292" s="148"/>
      <c r="HJN292" s="148"/>
      <c r="HJO292" s="148"/>
      <c r="HJP292" s="148"/>
      <c r="HJQ292" s="148"/>
      <c r="HJR292" s="148"/>
      <c r="HJS292" s="148"/>
      <c r="HJT292" s="148"/>
      <c r="HJU292" s="148"/>
      <c r="HJV292" s="148"/>
      <c r="HJW292" s="148"/>
      <c r="HJX292" s="148"/>
      <c r="HJY292" s="148"/>
      <c r="HJZ292" s="148"/>
      <c r="HKA292" s="148"/>
      <c r="HKB292" s="148"/>
      <c r="HKC292" s="148"/>
      <c r="HKD292" s="148"/>
      <c r="HKE292" s="148"/>
      <c r="HKF292" s="148"/>
      <c r="HKG292" s="148"/>
      <c r="HKH292" s="148"/>
      <c r="HKI292" s="148"/>
      <c r="HKJ292" s="148"/>
      <c r="HKK292" s="148"/>
      <c r="HKL292" s="148"/>
      <c r="HKM292" s="148"/>
      <c r="HKN292" s="148"/>
      <c r="HKO292" s="148"/>
      <c r="HKP292" s="148"/>
      <c r="HKQ292" s="148"/>
      <c r="HKR292" s="148"/>
      <c r="HKS292" s="148"/>
      <c r="HKT292" s="148"/>
      <c r="HKU292" s="148"/>
      <c r="HKV292" s="148"/>
      <c r="HKW292" s="148"/>
      <c r="HKX292" s="148"/>
      <c r="HKY292" s="148"/>
      <c r="HKZ292" s="148"/>
      <c r="HLA292" s="148"/>
      <c r="HLB292" s="148"/>
      <c r="HLC292" s="148"/>
      <c r="HLD292" s="148"/>
      <c r="HLE292" s="148"/>
      <c r="HLF292" s="148"/>
      <c r="HLG292" s="148"/>
      <c r="HLH292" s="148"/>
      <c r="HLI292" s="148"/>
      <c r="HLJ292" s="148"/>
      <c r="HLK292" s="148"/>
      <c r="HLL292" s="148"/>
      <c r="HLM292" s="148"/>
      <c r="HLN292" s="148"/>
      <c r="HLO292" s="148"/>
      <c r="HLP292" s="148"/>
      <c r="HLQ292" s="148"/>
      <c r="HLR292" s="148"/>
      <c r="HLS292" s="148"/>
      <c r="HLT292" s="148"/>
      <c r="HLU292" s="148"/>
      <c r="HLV292" s="148"/>
      <c r="HLW292" s="148"/>
      <c r="HLX292" s="148"/>
      <c r="HLY292" s="148"/>
      <c r="HLZ292" s="148"/>
      <c r="HMA292" s="148"/>
      <c r="HMB292" s="148"/>
      <c r="HMC292" s="148"/>
      <c r="HMD292" s="148"/>
      <c r="HME292" s="148"/>
      <c r="HMF292" s="148"/>
      <c r="HMG292" s="148"/>
      <c r="HMH292" s="148"/>
      <c r="HMI292" s="148"/>
      <c r="HMJ292" s="148"/>
      <c r="HMK292" s="148"/>
      <c r="HML292" s="148"/>
      <c r="HMM292" s="148"/>
      <c r="HMN292" s="148"/>
      <c r="HMO292" s="148"/>
      <c r="HMP292" s="148"/>
      <c r="HMQ292" s="148"/>
      <c r="HMR292" s="148"/>
      <c r="HMS292" s="148"/>
      <c r="HMT292" s="148"/>
      <c r="HMU292" s="148"/>
      <c r="HMV292" s="148"/>
      <c r="HMW292" s="148"/>
      <c r="HMX292" s="148"/>
      <c r="HMY292" s="148"/>
      <c r="HMZ292" s="148"/>
      <c r="HNA292" s="148"/>
      <c r="HNB292" s="148"/>
      <c r="HNC292" s="148"/>
      <c r="HND292" s="148"/>
      <c r="HNE292" s="148"/>
      <c r="HNF292" s="148"/>
      <c r="HNG292" s="148"/>
      <c r="HNH292" s="148"/>
      <c r="HNI292" s="148"/>
      <c r="HNJ292" s="148"/>
      <c r="HNK292" s="148"/>
      <c r="HNL292" s="148"/>
      <c r="HNM292" s="148"/>
      <c r="HNN292" s="148"/>
      <c r="HNO292" s="148"/>
      <c r="HNP292" s="148"/>
      <c r="HNQ292" s="148"/>
      <c r="HNR292" s="148"/>
      <c r="HNS292" s="148"/>
      <c r="HNT292" s="148"/>
      <c r="HNU292" s="148"/>
      <c r="HNV292" s="148"/>
      <c r="HNW292" s="148"/>
      <c r="HNX292" s="148"/>
      <c r="HNY292" s="148"/>
      <c r="HNZ292" s="148"/>
      <c r="HOA292" s="148"/>
      <c r="HOB292" s="148"/>
      <c r="HOC292" s="148"/>
      <c r="HOD292" s="148"/>
      <c r="HOE292" s="148"/>
      <c r="HOF292" s="148"/>
      <c r="HOG292" s="148"/>
      <c r="HOH292" s="148"/>
      <c r="HOI292" s="148"/>
      <c r="HOJ292" s="148"/>
      <c r="HOK292" s="148"/>
      <c r="HOL292" s="148"/>
      <c r="HOM292" s="148"/>
      <c r="HON292" s="148"/>
      <c r="HOO292" s="148"/>
      <c r="HOP292" s="148"/>
      <c r="HOQ292" s="148"/>
      <c r="HOR292" s="148"/>
      <c r="HOS292" s="148"/>
      <c r="HOT292" s="148"/>
      <c r="HOU292" s="148"/>
      <c r="HOV292" s="148"/>
      <c r="HOW292" s="148"/>
      <c r="HOX292" s="148"/>
      <c r="HOY292" s="148"/>
      <c r="HOZ292" s="148"/>
      <c r="HPA292" s="148"/>
      <c r="HPB292" s="148"/>
      <c r="HPC292" s="148"/>
      <c r="HPD292" s="148"/>
      <c r="HPE292" s="148"/>
      <c r="HPF292" s="148"/>
      <c r="HPG292" s="148"/>
      <c r="HPH292" s="148"/>
      <c r="HPI292" s="148"/>
      <c r="HPJ292" s="148"/>
      <c r="HPK292" s="148"/>
      <c r="HPL292" s="148"/>
      <c r="HPM292" s="148"/>
      <c r="HPN292" s="148"/>
      <c r="HPO292" s="148"/>
      <c r="HPP292" s="148"/>
      <c r="HPQ292" s="148"/>
      <c r="HPR292" s="148"/>
      <c r="HPS292" s="148"/>
      <c r="HPT292" s="148"/>
      <c r="HPU292" s="148"/>
      <c r="HPV292" s="148"/>
      <c r="HPW292" s="148"/>
      <c r="HPX292" s="148"/>
      <c r="HPY292" s="148"/>
      <c r="HPZ292" s="148"/>
      <c r="HQA292" s="148"/>
      <c r="HQB292" s="148"/>
      <c r="HQC292" s="148"/>
      <c r="HQD292" s="148"/>
      <c r="HQE292" s="148"/>
      <c r="HQF292" s="148"/>
      <c r="HQG292" s="148"/>
      <c r="HQH292" s="148"/>
      <c r="HQI292" s="148"/>
      <c r="HQJ292" s="148"/>
      <c r="HQK292" s="148"/>
      <c r="HQL292" s="148"/>
      <c r="HQM292" s="148"/>
      <c r="HQN292" s="148"/>
      <c r="HQO292" s="148"/>
      <c r="HQP292" s="148"/>
      <c r="HQQ292" s="148"/>
      <c r="HQR292" s="148"/>
      <c r="HQS292" s="148"/>
      <c r="HQT292" s="148"/>
      <c r="HQU292" s="148"/>
      <c r="HQV292" s="148"/>
      <c r="HQW292" s="148"/>
      <c r="HQX292" s="148"/>
      <c r="HQY292" s="148"/>
      <c r="HQZ292" s="148"/>
      <c r="HRA292" s="148"/>
      <c r="HRB292" s="148"/>
      <c r="HRC292" s="148"/>
      <c r="HRD292" s="148"/>
      <c r="HRE292" s="148"/>
      <c r="HRF292" s="148"/>
      <c r="HRG292" s="148"/>
      <c r="HRH292" s="148"/>
      <c r="HRI292" s="148"/>
      <c r="HRJ292" s="148"/>
      <c r="HRK292" s="148"/>
      <c r="HRL292" s="148"/>
      <c r="HRM292" s="148"/>
      <c r="HRN292" s="148"/>
      <c r="HRO292" s="148"/>
      <c r="HRP292" s="148"/>
      <c r="HRQ292" s="148"/>
      <c r="HRR292" s="148"/>
      <c r="HRS292" s="148"/>
      <c r="HRT292" s="148"/>
      <c r="HRU292" s="148"/>
      <c r="HRV292" s="148"/>
      <c r="HRW292" s="148"/>
      <c r="HRX292" s="148"/>
      <c r="HRY292" s="148"/>
      <c r="HRZ292" s="148"/>
      <c r="HSA292" s="148"/>
      <c r="HSB292" s="148"/>
      <c r="HSC292" s="148"/>
      <c r="HSD292" s="148"/>
      <c r="HSE292" s="148"/>
      <c r="HSF292" s="148"/>
      <c r="HSG292" s="148"/>
      <c r="HSH292" s="148"/>
      <c r="HSI292" s="148"/>
      <c r="HSJ292" s="148"/>
      <c r="HSK292" s="148"/>
      <c r="HSL292" s="148"/>
      <c r="HSM292" s="148"/>
      <c r="HSN292" s="148"/>
      <c r="HSO292" s="148"/>
      <c r="HSP292" s="148"/>
      <c r="HSQ292" s="148"/>
      <c r="HSR292" s="148"/>
      <c r="HSS292" s="148"/>
      <c r="HST292" s="148"/>
      <c r="HSU292" s="148"/>
      <c r="HSV292" s="148"/>
      <c r="HSW292" s="148"/>
      <c r="HSX292" s="148"/>
      <c r="HSY292" s="148"/>
      <c r="HSZ292" s="148"/>
      <c r="HTA292" s="148"/>
      <c r="HTB292" s="148"/>
      <c r="HTC292" s="148"/>
      <c r="HTD292" s="148"/>
      <c r="HTE292" s="148"/>
      <c r="HTF292" s="148"/>
      <c r="HTG292" s="148"/>
      <c r="HTH292" s="148"/>
      <c r="HTI292" s="148"/>
      <c r="HTJ292" s="148"/>
      <c r="HTK292" s="148"/>
      <c r="HTL292" s="148"/>
      <c r="HTM292" s="148"/>
      <c r="HTN292" s="148"/>
      <c r="HTO292" s="148"/>
      <c r="HTP292" s="148"/>
      <c r="HTQ292" s="148"/>
      <c r="HTR292" s="148"/>
      <c r="HTS292" s="148"/>
      <c r="HTT292" s="148"/>
      <c r="HTU292" s="148"/>
      <c r="HTV292" s="148"/>
      <c r="HTW292" s="148"/>
      <c r="HTX292" s="148"/>
      <c r="HTY292" s="148"/>
      <c r="HTZ292" s="148"/>
      <c r="HUA292" s="148"/>
      <c r="HUB292" s="148"/>
      <c r="HUC292" s="148"/>
      <c r="HUD292" s="148"/>
      <c r="HUE292" s="148"/>
      <c r="HUF292" s="148"/>
      <c r="HUG292" s="148"/>
      <c r="HUH292" s="148"/>
      <c r="HUI292" s="148"/>
      <c r="HUJ292" s="148"/>
      <c r="HUK292" s="148"/>
      <c r="HUL292" s="148"/>
      <c r="HUM292" s="148"/>
      <c r="HUN292" s="148"/>
      <c r="HUO292" s="148"/>
      <c r="HUP292" s="148"/>
      <c r="HUQ292" s="148"/>
      <c r="HUR292" s="148"/>
      <c r="HUS292" s="148"/>
      <c r="HUT292" s="148"/>
      <c r="HUU292" s="148"/>
      <c r="HUV292" s="148"/>
      <c r="HUW292" s="148"/>
      <c r="HUX292" s="148"/>
      <c r="HUY292" s="148"/>
      <c r="HUZ292" s="148"/>
      <c r="HVA292" s="148"/>
      <c r="HVB292" s="148"/>
      <c r="HVC292" s="148"/>
      <c r="HVD292" s="148"/>
      <c r="HVE292" s="148"/>
      <c r="HVF292" s="148"/>
      <c r="HVG292" s="148"/>
      <c r="HVH292" s="148"/>
      <c r="HVI292" s="148"/>
      <c r="HVJ292" s="148"/>
      <c r="HVK292" s="148"/>
      <c r="HVL292" s="148"/>
      <c r="HVM292" s="148"/>
      <c r="HVN292" s="148"/>
      <c r="HVO292" s="148"/>
      <c r="HVP292" s="148"/>
      <c r="HVQ292" s="148"/>
      <c r="HVR292" s="148"/>
      <c r="HVS292" s="148"/>
      <c r="HVT292" s="148"/>
      <c r="HVU292" s="148"/>
      <c r="HVV292" s="148"/>
      <c r="HVW292" s="148"/>
      <c r="HVX292" s="148"/>
      <c r="HVY292" s="148"/>
      <c r="HVZ292" s="148"/>
      <c r="HWA292" s="148"/>
      <c r="HWB292" s="148"/>
      <c r="HWC292" s="148"/>
      <c r="HWD292" s="148"/>
      <c r="HWE292" s="148"/>
      <c r="HWF292" s="148"/>
      <c r="HWG292" s="148"/>
      <c r="HWH292" s="148"/>
      <c r="HWI292" s="148"/>
      <c r="HWJ292" s="148"/>
      <c r="HWK292" s="148"/>
      <c r="HWL292" s="148"/>
      <c r="HWM292" s="148"/>
      <c r="HWN292" s="148"/>
      <c r="HWO292" s="148"/>
      <c r="HWP292" s="148"/>
      <c r="HWQ292" s="148"/>
      <c r="HWR292" s="148"/>
      <c r="HWS292" s="148"/>
      <c r="HWT292" s="148"/>
      <c r="HWU292" s="148"/>
      <c r="HWV292" s="148"/>
      <c r="HWW292" s="148"/>
      <c r="HWX292" s="148"/>
      <c r="HWY292" s="148"/>
      <c r="HWZ292" s="148"/>
      <c r="HXA292" s="148"/>
      <c r="HXB292" s="148"/>
      <c r="HXC292" s="148"/>
      <c r="HXD292" s="148"/>
      <c r="HXE292" s="148"/>
      <c r="HXF292" s="148"/>
      <c r="HXG292" s="148"/>
      <c r="HXH292" s="148"/>
      <c r="HXI292" s="148"/>
      <c r="HXJ292" s="148"/>
      <c r="HXK292" s="148"/>
      <c r="HXL292" s="148"/>
      <c r="HXM292" s="148"/>
      <c r="HXN292" s="148"/>
      <c r="HXO292" s="148"/>
      <c r="HXP292" s="148"/>
      <c r="HXQ292" s="148"/>
      <c r="HXR292" s="148"/>
      <c r="HXS292" s="148"/>
      <c r="HXT292" s="148"/>
      <c r="HXU292" s="148"/>
      <c r="HXV292" s="148"/>
      <c r="HXW292" s="148"/>
      <c r="HXX292" s="148"/>
      <c r="HXY292" s="148"/>
      <c r="HXZ292" s="148"/>
      <c r="HYA292" s="148"/>
      <c r="HYB292" s="148"/>
      <c r="HYC292" s="148"/>
      <c r="HYD292" s="148"/>
      <c r="HYE292" s="148"/>
      <c r="HYF292" s="148"/>
      <c r="HYG292" s="148"/>
      <c r="HYH292" s="148"/>
      <c r="HYI292" s="148"/>
      <c r="HYJ292" s="148"/>
      <c r="HYK292" s="148"/>
      <c r="HYL292" s="148"/>
      <c r="HYM292" s="148"/>
      <c r="HYN292" s="148"/>
      <c r="HYO292" s="148"/>
      <c r="HYP292" s="148"/>
      <c r="HYQ292" s="148"/>
      <c r="HYR292" s="148"/>
      <c r="HYS292" s="148"/>
      <c r="HYT292" s="148"/>
      <c r="HYU292" s="148"/>
      <c r="HYV292" s="148"/>
      <c r="HYW292" s="148"/>
      <c r="HYX292" s="148"/>
      <c r="HYY292" s="148"/>
      <c r="HYZ292" s="148"/>
      <c r="HZA292" s="148"/>
      <c r="HZB292" s="148"/>
      <c r="HZC292" s="148"/>
      <c r="HZD292" s="148"/>
      <c r="HZE292" s="148"/>
      <c r="HZF292" s="148"/>
      <c r="HZG292" s="148"/>
      <c r="HZH292" s="148"/>
      <c r="HZI292" s="148"/>
      <c r="HZJ292" s="148"/>
      <c r="HZK292" s="148"/>
      <c r="HZL292" s="148"/>
      <c r="HZM292" s="148"/>
      <c r="HZN292" s="148"/>
      <c r="HZO292" s="148"/>
      <c r="HZP292" s="148"/>
      <c r="HZQ292" s="148"/>
      <c r="HZR292" s="148"/>
      <c r="HZS292" s="148"/>
      <c r="HZT292" s="148"/>
      <c r="HZU292" s="148"/>
      <c r="HZV292" s="148"/>
      <c r="HZW292" s="148"/>
      <c r="HZX292" s="148"/>
      <c r="HZY292" s="148"/>
      <c r="HZZ292" s="148"/>
      <c r="IAA292" s="148"/>
      <c r="IAB292" s="148"/>
      <c r="IAC292" s="148"/>
      <c r="IAD292" s="148"/>
      <c r="IAE292" s="148"/>
      <c r="IAF292" s="148"/>
      <c r="IAG292" s="148"/>
      <c r="IAH292" s="148"/>
      <c r="IAI292" s="148"/>
      <c r="IAJ292" s="148"/>
      <c r="IAK292" s="148"/>
      <c r="IAL292" s="148"/>
      <c r="IAM292" s="148"/>
      <c r="IAN292" s="148"/>
      <c r="IAO292" s="148"/>
      <c r="IAP292" s="148"/>
      <c r="IAQ292" s="148"/>
      <c r="IAR292" s="148"/>
      <c r="IAS292" s="148"/>
      <c r="IAT292" s="148"/>
      <c r="IAU292" s="148"/>
      <c r="IAV292" s="148"/>
      <c r="IAW292" s="148"/>
      <c r="IAX292" s="148"/>
      <c r="IAY292" s="148"/>
      <c r="IAZ292" s="148"/>
      <c r="IBA292" s="148"/>
      <c r="IBB292" s="148"/>
      <c r="IBC292" s="148"/>
      <c r="IBD292" s="148"/>
      <c r="IBE292" s="148"/>
      <c r="IBF292" s="148"/>
      <c r="IBG292" s="148"/>
      <c r="IBH292" s="148"/>
      <c r="IBI292" s="148"/>
      <c r="IBJ292" s="148"/>
      <c r="IBK292" s="148"/>
      <c r="IBL292" s="148"/>
      <c r="IBM292" s="148"/>
      <c r="IBN292" s="148"/>
      <c r="IBO292" s="148"/>
      <c r="IBP292" s="148"/>
      <c r="IBQ292" s="148"/>
      <c r="IBR292" s="148"/>
      <c r="IBS292" s="148"/>
      <c r="IBT292" s="148"/>
      <c r="IBU292" s="148"/>
      <c r="IBV292" s="148"/>
      <c r="IBW292" s="148"/>
      <c r="IBX292" s="148"/>
      <c r="IBY292" s="148"/>
      <c r="IBZ292" s="148"/>
      <c r="ICA292" s="148"/>
      <c r="ICB292" s="148"/>
      <c r="ICC292" s="148"/>
      <c r="ICD292" s="148"/>
      <c r="ICE292" s="148"/>
      <c r="ICF292" s="148"/>
      <c r="ICG292" s="148"/>
      <c r="ICH292" s="148"/>
      <c r="ICI292" s="148"/>
      <c r="ICJ292" s="148"/>
      <c r="ICK292" s="148"/>
      <c r="ICL292" s="148"/>
      <c r="ICM292" s="148"/>
      <c r="ICN292" s="148"/>
      <c r="ICO292" s="148"/>
      <c r="ICP292" s="148"/>
      <c r="ICQ292" s="148"/>
      <c r="ICR292" s="148"/>
      <c r="ICS292" s="148"/>
      <c r="ICT292" s="148"/>
      <c r="ICU292" s="148"/>
      <c r="ICV292" s="148"/>
      <c r="ICW292" s="148"/>
      <c r="ICX292" s="148"/>
      <c r="ICY292" s="148"/>
      <c r="ICZ292" s="148"/>
      <c r="IDA292" s="148"/>
      <c r="IDB292" s="148"/>
      <c r="IDC292" s="148"/>
      <c r="IDD292" s="148"/>
      <c r="IDE292" s="148"/>
      <c r="IDF292" s="148"/>
      <c r="IDG292" s="148"/>
      <c r="IDH292" s="148"/>
      <c r="IDI292" s="148"/>
      <c r="IDJ292" s="148"/>
      <c r="IDK292" s="148"/>
      <c r="IDL292" s="148"/>
      <c r="IDM292" s="148"/>
      <c r="IDN292" s="148"/>
      <c r="IDO292" s="148"/>
      <c r="IDP292" s="148"/>
      <c r="IDQ292" s="148"/>
      <c r="IDR292" s="148"/>
      <c r="IDS292" s="148"/>
      <c r="IDT292" s="148"/>
      <c r="IDU292" s="148"/>
      <c r="IDV292" s="148"/>
      <c r="IDW292" s="148"/>
      <c r="IDX292" s="148"/>
      <c r="IDY292" s="148"/>
      <c r="IDZ292" s="148"/>
      <c r="IEA292" s="148"/>
      <c r="IEB292" s="148"/>
      <c r="IEC292" s="148"/>
      <c r="IED292" s="148"/>
      <c r="IEE292" s="148"/>
      <c r="IEF292" s="148"/>
      <c r="IEG292" s="148"/>
      <c r="IEH292" s="148"/>
      <c r="IEI292" s="148"/>
      <c r="IEJ292" s="148"/>
      <c r="IEK292" s="148"/>
      <c r="IEL292" s="148"/>
      <c r="IEM292" s="148"/>
      <c r="IEN292" s="148"/>
      <c r="IEO292" s="148"/>
      <c r="IEP292" s="148"/>
      <c r="IEQ292" s="148"/>
      <c r="IER292" s="148"/>
      <c r="IES292" s="148"/>
      <c r="IET292" s="148"/>
      <c r="IEU292" s="148"/>
      <c r="IEV292" s="148"/>
      <c r="IEW292" s="148"/>
      <c r="IEX292" s="148"/>
      <c r="IEY292" s="148"/>
      <c r="IEZ292" s="148"/>
      <c r="IFA292" s="148"/>
      <c r="IFB292" s="148"/>
      <c r="IFC292" s="148"/>
      <c r="IFD292" s="148"/>
      <c r="IFE292" s="148"/>
      <c r="IFF292" s="148"/>
      <c r="IFG292" s="148"/>
      <c r="IFH292" s="148"/>
      <c r="IFI292" s="148"/>
      <c r="IFJ292" s="148"/>
      <c r="IFK292" s="148"/>
      <c r="IFL292" s="148"/>
      <c r="IFM292" s="148"/>
      <c r="IFN292" s="148"/>
      <c r="IFO292" s="148"/>
      <c r="IFP292" s="148"/>
      <c r="IFQ292" s="148"/>
      <c r="IFR292" s="148"/>
      <c r="IFS292" s="148"/>
      <c r="IFT292" s="148"/>
      <c r="IFU292" s="148"/>
      <c r="IFV292" s="148"/>
      <c r="IFW292" s="148"/>
      <c r="IFX292" s="148"/>
      <c r="IFY292" s="148"/>
      <c r="IFZ292" s="148"/>
      <c r="IGA292" s="148"/>
      <c r="IGB292" s="148"/>
      <c r="IGC292" s="148"/>
      <c r="IGD292" s="148"/>
      <c r="IGE292" s="148"/>
      <c r="IGF292" s="148"/>
      <c r="IGG292" s="148"/>
      <c r="IGH292" s="148"/>
      <c r="IGI292" s="148"/>
      <c r="IGJ292" s="148"/>
      <c r="IGK292" s="148"/>
      <c r="IGL292" s="148"/>
      <c r="IGM292" s="148"/>
      <c r="IGN292" s="148"/>
      <c r="IGO292" s="148"/>
      <c r="IGP292" s="148"/>
      <c r="IGQ292" s="148"/>
      <c r="IGR292" s="148"/>
      <c r="IGS292" s="148"/>
      <c r="IGT292" s="148"/>
      <c r="IGU292" s="148"/>
      <c r="IGV292" s="148"/>
      <c r="IGW292" s="148"/>
      <c r="IGX292" s="148"/>
      <c r="IGY292" s="148"/>
      <c r="IGZ292" s="148"/>
      <c r="IHA292" s="148"/>
      <c r="IHB292" s="148"/>
      <c r="IHC292" s="148"/>
      <c r="IHD292" s="148"/>
      <c r="IHE292" s="148"/>
      <c r="IHF292" s="148"/>
      <c r="IHG292" s="148"/>
      <c r="IHH292" s="148"/>
      <c r="IHI292" s="148"/>
      <c r="IHJ292" s="148"/>
      <c r="IHK292" s="148"/>
      <c r="IHL292" s="148"/>
      <c r="IHM292" s="148"/>
      <c r="IHN292" s="148"/>
      <c r="IHO292" s="148"/>
      <c r="IHP292" s="148"/>
      <c r="IHQ292" s="148"/>
      <c r="IHR292" s="148"/>
      <c r="IHS292" s="148"/>
      <c r="IHT292" s="148"/>
      <c r="IHU292" s="148"/>
      <c r="IHV292" s="148"/>
      <c r="IHW292" s="148"/>
      <c r="IHX292" s="148"/>
      <c r="IHY292" s="148"/>
      <c r="IHZ292" s="148"/>
      <c r="IIA292" s="148"/>
      <c r="IIB292" s="148"/>
      <c r="IIC292" s="148"/>
      <c r="IID292" s="148"/>
      <c r="IIE292" s="148"/>
      <c r="IIF292" s="148"/>
      <c r="IIG292" s="148"/>
      <c r="IIH292" s="148"/>
      <c r="III292" s="148"/>
      <c r="IIJ292" s="148"/>
      <c r="IIK292" s="148"/>
      <c r="IIL292" s="148"/>
      <c r="IIM292" s="148"/>
      <c r="IIN292" s="148"/>
      <c r="IIO292" s="148"/>
      <c r="IIP292" s="148"/>
      <c r="IIQ292" s="148"/>
      <c r="IIR292" s="148"/>
      <c r="IIS292" s="148"/>
      <c r="IIT292" s="148"/>
      <c r="IIU292" s="148"/>
      <c r="IIV292" s="148"/>
      <c r="IIW292" s="148"/>
      <c r="IIX292" s="148"/>
      <c r="IIY292" s="148"/>
      <c r="IIZ292" s="148"/>
      <c r="IJA292" s="148"/>
      <c r="IJB292" s="148"/>
      <c r="IJC292" s="148"/>
      <c r="IJD292" s="148"/>
      <c r="IJE292" s="148"/>
      <c r="IJF292" s="148"/>
      <c r="IJG292" s="148"/>
      <c r="IJH292" s="148"/>
      <c r="IJI292" s="148"/>
      <c r="IJJ292" s="148"/>
      <c r="IJK292" s="148"/>
      <c r="IJL292" s="148"/>
      <c r="IJM292" s="148"/>
      <c r="IJN292" s="148"/>
      <c r="IJO292" s="148"/>
      <c r="IJP292" s="148"/>
      <c r="IJQ292" s="148"/>
      <c r="IJR292" s="148"/>
      <c r="IJS292" s="148"/>
      <c r="IJT292" s="148"/>
      <c r="IJU292" s="148"/>
      <c r="IJV292" s="148"/>
      <c r="IJW292" s="148"/>
      <c r="IJX292" s="148"/>
      <c r="IJY292" s="148"/>
      <c r="IJZ292" s="148"/>
      <c r="IKA292" s="148"/>
      <c r="IKB292" s="148"/>
      <c r="IKC292" s="148"/>
      <c r="IKD292" s="148"/>
      <c r="IKE292" s="148"/>
      <c r="IKF292" s="148"/>
      <c r="IKG292" s="148"/>
      <c r="IKH292" s="148"/>
      <c r="IKI292" s="148"/>
      <c r="IKJ292" s="148"/>
      <c r="IKK292" s="148"/>
      <c r="IKL292" s="148"/>
      <c r="IKM292" s="148"/>
      <c r="IKN292" s="148"/>
      <c r="IKO292" s="148"/>
      <c r="IKP292" s="148"/>
      <c r="IKQ292" s="148"/>
      <c r="IKR292" s="148"/>
      <c r="IKS292" s="148"/>
      <c r="IKT292" s="148"/>
      <c r="IKU292" s="148"/>
      <c r="IKV292" s="148"/>
      <c r="IKW292" s="148"/>
      <c r="IKX292" s="148"/>
      <c r="IKY292" s="148"/>
      <c r="IKZ292" s="148"/>
      <c r="ILA292" s="148"/>
      <c r="ILB292" s="148"/>
      <c r="ILC292" s="148"/>
      <c r="ILD292" s="148"/>
      <c r="ILE292" s="148"/>
      <c r="ILF292" s="148"/>
      <c r="ILG292" s="148"/>
      <c r="ILH292" s="148"/>
      <c r="ILI292" s="148"/>
      <c r="ILJ292" s="148"/>
      <c r="ILK292" s="148"/>
      <c r="ILL292" s="148"/>
      <c r="ILM292" s="148"/>
      <c r="ILN292" s="148"/>
      <c r="ILO292" s="148"/>
      <c r="ILP292" s="148"/>
      <c r="ILQ292" s="148"/>
      <c r="ILR292" s="148"/>
      <c r="ILS292" s="148"/>
      <c r="ILT292" s="148"/>
      <c r="ILU292" s="148"/>
      <c r="ILV292" s="148"/>
      <c r="ILW292" s="148"/>
      <c r="ILX292" s="148"/>
      <c r="ILY292" s="148"/>
      <c r="ILZ292" s="148"/>
      <c r="IMA292" s="148"/>
      <c r="IMB292" s="148"/>
      <c r="IMC292" s="148"/>
      <c r="IMD292" s="148"/>
      <c r="IME292" s="148"/>
      <c r="IMF292" s="148"/>
      <c r="IMG292" s="148"/>
      <c r="IMH292" s="148"/>
      <c r="IMI292" s="148"/>
      <c r="IMJ292" s="148"/>
      <c r="IMK292" s="148"/>
      <c r="IML292" s="148"/>
      <c r="IMM292" s="148"/>
      <c r="IMN292" s="148"/>
      <c r="IMO292" s="148"/>
      <c r="IMP292" s="148"/>
      <c r="IMQ292" s="148"/>
      <c r="IMR292" s="148"/>
      <c r="IMS292" s="148"/>
      <c r="IMT292" s="148"/>
      <c r="IMU292" s="148"/>
      <c r="IMV292" s="148"/>
      <c r="IMW292" s="148"/>
      <c r="IMX292" s="148"/>
      <c r="IMY292" s="148"/>
      <c r="IMZ292" s="148"/>
      <c r="INA292" s="148"/>
      <c r="INB292" s="148"/>
      <c r="INC292" s="148"/>
      <c r="IND292" s="148"/>
      <c r="INE292" s="148"/>
      <c r="INF292" s="148"/>
      <c r="ING292" s="148"/>
      <c r="INH292" s="148"/>
      <c r="INI292" s="148"/>
      <c r="INJ292" s="148"/>
      <c r="INK292" s="148"/>
      <c r="INL292" s="148"/>
      <c r="INM292" s="148"/>
      <c r="INN292" s="148"/>
      <c r="INO292" s="148"/>
      <c r="INP292" s="148"/>
      <c r="INQ292" s="148"/>
      <c r="INR292" s="148"/>
      <c r="INS292" s="148"/>
      <c r="INT292" s="148"/>
      <c r="INU292" s="148"/>
      <c r="INV292" s="148"/>
      <c r="INW292" s="148"/>
      <c r="INX292" s="148"/>
      <c r="INY292" s="148"/>
      <c r="INZ292" s="148"/>
      <c r="IOA292" s="148"/>
      <c r="IOB292" s="148"/>
      <c r="IOC292" s="148"/>
      <c r="IOD292" s="148"/>
      <c r="IOE292" s="148"/>
      <c r="IOF292" s="148"/>
      <c r="IOG292" s="148"/>
      <c r="IOH292" s="148"/>
      <c r="IOI292" s="148"/>
      <c r="IOJ292" s="148"/>
      <c r="IOK292" s="148"/>
      <c r="IOL292" s="148"/>
      <c r="IOM292" s="148"/>
      <c r="ION292" s="148"/>
      <c r="IOO292" s="148"/>
      <c r="IOP292" s="148"/>
      <c r="IOQ292" s="148"/>
      <c r="IOR292" s="148"/>
      <c r="IOS292" s="148"/>
      <c r="IOT292" s="148"/>
      <c r="IOU292" s="148"/>
      <c r="IOV292" s="148"/>
      <c r="IOW292" s="148"/>
      <c r="IOX292" s="148"/>
      <c r="IOY292" s="148"/>
      <c r="IOZ292" s="148"/>
      <c r="IPA292" s="148"/>
      <c r="IPB292" s="148"/>
      <c r="IPC292" s="148"/>
      <c r="IPD292" s="148"/>
      <c r="IPE292" s="148"/>
      <c r="IPF292" s="148"/>
      <c r="IPG292" s="148"/>
      <c r="IPH292" s="148"/>
      <c r="IPI292" s="148"/>
      <c r="IPJ292" s="148"/>
      <c r="IPK292" s="148"/>
      <c r="IPL292" s="148"/>
      <c r="IPM292" s="148"/>
      <c r="IPN292" s="148"/>
      <c r="IPO292" s="148"/>
      <c r="IPP292" s="148"/>
      <c r="IPQ292" s="148"/>
      <c r="IPR292" s="148"/>
      <c r="IPS292" s="148"/>
      <c r="IPT292" s="148"/>
      <c r="IPU292" s="148"/>
      <c r="IPV292" s="148"/>
      <c r="IPW292" s="148"/>
      <c r="IPX292" s="148"/>
      <c r="IPY292" s="148"/>
      <c r="IPZ292" s="148"/>
      <c r="IQA292" s="148"/>
      <c r="IQB292" s="148"/>
      <c r="IQC292" s="148"/>
      <c r="IQD292" s="148"/>
      <c r="IQE292" s="148"/>
      <c r="IQF292" s="148"/>
      <c r="IQG292" s="148"/>
      <c r="IQH292" s="148"/>
      <c r="IQI292" s="148"/>
      <c r="IQJ292" s="148"/>
      <c r="IQK292" s="148"/>
      <c r="IQL292" s="148"/>
      <c r="IQM292" s="148"/>
      <c r="IQN292" s="148"/>
      <c r="IQO292" s="148"/>
      <c r="IQP292" s="148"/>
      <c r="IQQ292" s="148"/>
      <c r="IQR292" s="148"/>
      <c r="IQS292" s="148"/>
      <c r="IQT292" s="148"/>
      <c r="IQU292" s="148"/>
      <c r="IQV292" s="148"/>
      <c r="IQW292" s="148"/>
      <c r="IQX292" s="148"/>
      <c r="IQY292" s="148"/>
      <c r="IQZ292" s="148"/>
      <c r="IRA292" s="148"/>
      <c r="IRB292" s="148"/>
      <c r="IRC292" s="148"/>
      <c r="IRD292" s="148"/>
      <c r="IRE292" s="148"/>
      <c r="IRF292" s="148"/>
      <c r="IRG292" s="148"/>
      <c r="IRH292" s="148"/>
      <c r="IRI292" s="148"/>
      <c r="IRJ292" s="148"/>
      <c r="IRK292" s="148"/>
      <c r="IRL292" s="148"/>
      <c r="IRM292" s="148"/>
      <c r="IRN292" s="148"/>
      <c r="IRO292" s="148"/>
      <c r="IRP292" s="148"/>
      <c r="IRQ292" s="148"/>
      <c r="IRR292" s="148"/>
      <c r="IRS292" s="148"/>
      <c r="IRT292" s="148"/>
      <c r="IRU292" s="148"/>
      <c r="IRV292" s="148"/>
      <c r="IRW292" s="148"/>
      <c r="IRX292" s="148"/>
      <c r="IRY292" s="148"/>
      <c r="IRZ292" s="148"/>
      <c r="ISA292" s="148"/>
      <c r="ISB292" s="148"/>
      <c r="ISC292" s="148"/>
      <c r="ISD292" s="148"/>
      <c r="ISE292" s="148"/>
      <c r="ISF292" s="148"/>
      <c r="ISG292" s="148"/>
      <c r="ISH292" s="148"/>
      <c r="ISI292" s="148"/>
      <c r="ISJ292" s="148"/>
      <c r="ISK292" s="148"/>
      <c r="ISL292" s="148"/>
      <c r="ISM292" s="148"/>
      <c r="ISN292" s="148"/>
      <c r="ISO292" s="148"/>
      <c r="ISP292" s="148"/>
      <c r="ISQ292" s="148"/>
      <c r="ISR292" s="148"/>
      <c r="ISS292" s="148"/>
      <c r="IST292" s="148"/>
      <c r="ISU292" s="148"/>
      <c r="ISV292" s="148"/>
      <c r="ISW292" s="148"/>
      <c r="ISX292" s="148"/>
      <c r="ISY292" s="148"/>
      <c r="ISZ292" s="148"/>
      <c r="ITA292" s="148"/>
      <c r="ITB292" s="148"/>
      <c r="ITC292" s="148"/>
      <c r="ITD292" s="148"/>
      <c r="ITE292" s="148"/>
      <c r="ITF292" s="148"/>
      <c r="ITG292" s="148"/>
      <c r="ITH292" s="148"/>
      <c r="ITI292" s="148"/>
      <c r="ITJ292" s="148"/>
      <c r="ITK292" s="148"/>
      <c r="ITL292" s="148"/>
      <c r="ITM292" s="148"/>
      <c r="ITN292" s="148"/>
      <c r="ITO292" s="148"/>
      <c r="ITP292" s="148"/>
      <c r="ITQ292" s="148"/>
      <c r="ITR292" s="148"/>
      <c r="ITS292" s="148"/>
      <c r="ITT292" s="148"/>
      <c r="ITU292" s="148"/>
      <c r="ITV292" s="148"/>
      <c r="ITW292" s="148"/>
      <c r="ITX292" s="148"/>
      <c r="ITY292" s="148"/>
      <c r="ITZ292" s="148"/>
      <c r="IUA292" s="148"/>
      <c r="IUB292" s="148"/>
      <c r="IUC292" s="148"/>
      <c r="IUD292" s="148"/>
      <c r="IUE292" s="148"/>
      <c r="IUF292" s="148"/>
      <c r="IUG292" s="148"/>
      <c r="IUH292" s="148"/>
      <c r="IUI292" s="148"/>
      <c r="IUJ292" s="148"/>
      <c r="IUK292" s="148"/>
      <c r="IUL292" s="148"/>
      <c r="IUM292" s="148"/>
      <c r="IUN292" s="148"/>
      <c r="IUO292" s="148"/>
      <c r="IUP292" s="148"/>
      <c r="IUQ292" s="148"/>
      <c r="IUR292" s="148"/>
      <c r="IUS292" s="148"/>
      <c r="IUT292" s="148"/>
      <c r="IUU292" s="148"/>
      <c r="IUV292" s="148"/>
      <c r="IUW292" s="148"/>
      <c r="IUX292" s="148"/>
      <c r="IUY292" s="148"/>
      <c r="IUZ292" s="148"/>
      <c r="IVA292" s="148"/>
      <c r="IVB292" s="148"/>
      <c r="IVC292" s="148"/>
      <c r="IVD292" s="148"/>
      <c r="IVE292" s="148"/>
      <c r="IVF292" s="148"/>
      <c r="IVG292" s="148"/>
      <c r="IVH292" s="148"/>
      <c r="IVI292" s="148"/>
      <c r="IVJ292" s="148"/>
      <c r="IVK292" s="148"/>
      <c r="IVL292" s="148"/>
      <c r="IVM292" s="148"/>
      <c r="IVN292" s="148"/>
      <c r="IVO292" s="148"/>
      <c r="IVP292" s="148"/>
      <c r="IVQ292" s="148"/>
      <c r="IVR292" s="148"/>
      <c r="IVS292" s="148"/>
      <c r="IVT292" s="148"/>
      <c r="IVU292" s="148"/>
      <c r="IVV292" s="148"/>
      <c r="IVW292" s="148"/>
      <c r="IVX292" s="148"/>
      <c r="IVY292" s="148"/>
      <c r="IVZ292" s="148"/>
      <c r="IWA292" s="148"/>
      <c r="IWB292" s="148"/>
      <c r="IWC292" s="148"/>
      <c r="IWD292" s="148"/>
      <c r="IWE292" s="148"/>
      <c r="IWF292" s="148"/>
      <c r="IWG292" s="148"/>
      <c r="IWH292" s="148"/>
      <c r="IWI292" s="148"/>
      <c r="IWJ292" s="148"/>
      <c r="IWK292" s="148"/>
      <c r="IWL292" s="148"/>
      <c r="IWM292" s="148"/>
      <c r="IWN292" s="148"/>
      <c r="IWO292" s="148"/>
      <c r="IWP292" s="148"/>
      <c r="IWQ292" s="148"/>
      <c r="IWR292" s="148"/>
      <c r="IWS292" s="148"/>
      <c r="IWT292" s="148"/>
      <c r="IWU292" s="148"/>
      <c r="IWV292" s="148"/>
      <c r="IWW292" s="148"/>
      <c r="IWX292" s="148"/>
      <c r="IWY292" s="148"/>
      <c r="IWZ292" s="148"/>
      <c r="IXA292" s="148"/>
      <c r="IXB292" s="148"/>
      <c r="IXC292" s="148"/>
      <c r="IXD292" s="148"/>
      <c r="IXE292" s="148"/>
      <c r="IXF292" s="148"/>
      <c r="IXG292" s="148"/>
      <c r="IXH292" s="148"/>
      <c r="IXI292" s="148"/>
      <c r="IXJ292" s="148"/>
      <c r="IXK292" s="148"/>
      <c r="IXL292" s="148"/>
      <c r="IXM292" s="148"/>
      <c r="IXN292" s="148"/>
      <c r="IXO292" s="148"/>
      <c r="IXP292" s="148"/>
      <c r="IXQ292" s="148"/>
      <c r="IXR292" s="148"/>
      <c r="IXS292" s="148"/>
      <c r="IXT292" s="148"/>
      <c r="IXU292" s="148"/>
      <c r="IXV292" s="148"/>
      <c r="IXW292" s="148"/>
      <c r="IXX292" s="148"/>
      <c r="IXY292" s="148"/>
      <c r="IXZ292" s="148"/>
      <c r="IYA292" s="148"/>
      <c r="IYB292" s="148"/>
      <c r="IYC292" s="148"/>
      <c r="IYD292" s="148"/>
      <c r="IYE292" s="148"/>
      <c r="IYF292" s="148"/>
      <c r="IYG292" s="148"/>
      <c r="IYH292" s="148"/>
      <c r="IYI292" s="148"/>
      <c r="IYJ292" s="148"/>
      <c r="IYK292" s="148"/>
      <c r="IYL292" s="148"/>
      <c r="IYM292" s="148"/>
      <c r="IYN292" s="148"/>
      <c r="IYO292" s="148"/>
      <c r="IYP292" s="148"/>
      <c r="IYQ292" s="148"/>
      <c r="IYR292" s="148"/>
      <c r="IYS292" s="148"/>
      <c r="IYT292" s="148"/>
      <c r="IYU292" s="148"/>
      <c r="IYV292" s="148"/>
      <c r="IYW292" s="148"/>
      <c r="IYX292" s="148"/>
      <c r="IYY292" s="148"/>
      <c r="IYZ292" s="148"/>
      <c r="IZA292" s="148"/>
      <c r="IZB292" s="148"/>
      <c r="IZC292" s="148"/>
      <c r="IZD292" s="148"/>
      <c r="IZE292" s="148"/>
      <c r="IZF292" s="148"/>
      <c r="IZG292" s="148"/>
      <c r="IZH292" s="148"/>
      <c r="IZI292" s="148"/>
      <c r="IZJ292" s="148"/>
      <c r="IZK292" s="148"/>
      <c r="IZL292" s="148"/>
      <c r="IZM292" s="148"/>
      <c r="IZN292" s="148"/>
      <c r="IZO292" s="148"/>
      <c r="IZP292" s="148"/>
      <c r="IZQ292" s="148"/>
      <c r="IZR292" s="148"/>
      <c r="IZS292" s="148"/>
      <c r="IZT292" s="148"/>
      <c r="IZU292" s="148"/>
      <c r="IZV292" s="148"/>
      <c r="IZW292" s="148"/>
      <c r="IZX292" s="148"/>
      <c r="IZY292" s="148"/>
      <c r="IZZ292" s="148"/>
      <c r="JAA292" s="148"/>
      <c r="JAB292" s="148"/>
      <c r="JAC292" s="148"/>
      <c r="JAD292" s="148"/>
      <c r="JAE292" s="148"/>
      <c r="JAF292" s="148"/>
      <c r="JAG292" s="148"/>
      <c r="JAH292" s="148"/>
      <c r="JAI292" s="148"/>
      <c r="JAJ292" s="148"/>
      <c r="JAK292" s="148"/>
      <c r="JAL292" s="148"/>
      <c r="JAM292" s="148"/>
      <c r="JAN292" s="148"/>
      <c r="JAO292" s="148"/>
      <c r="JAP292" s="148"/>
      <c r="JAQ292" s="148"/>
      <c r="JAR292" s="148"/>
      <c r="JAS292" s="148"/>
      <c r="JAT292" s="148"/>
      <c r="JAU292" s="148"/>
      <c r="JAV292" s="148"/>
      <c r="JAW292" s="148"/>
      <c r="JAX292" s="148"/>
      <c r="JAY292" s="148"/>
      <c r="JAZ292" s="148"/>
      <c r="JBA292" s="148"/>
      <c r="JBB292" s="148"/>
      <c r="JBC292" s="148"/>
      <c r="JBD292" s="148"/>
      <c r="JBE292" s="148"/>
      <c r="JBF292" s="148"/>
      <c r="JBG292" s="148"/>
      <c r="JBH292" s="148"/>
      <c r="JBI292" s="148"/>
      <c r="JBJ292" s="148"/>
      <c r="JBK292" s="148"/>
      <c r="JBL292" s="148"/>
      <c r="JBM292" s="148"/>
      <c r="JBN292" s="148"/>
      <c r="JBO292" s="148"/>
      <c r="JBP292" s="148"/>
      <c r="JBQ292" s="148"/>
      <c r="JBR292" s="148"/>
      <c r="JBS292" s="148"/>
      <c r="JBT292" s="148"/>
      <c r="JBU292" s="148"/>
      <c r="JBV292" s="148"/>
      <c r="JBW292" s="148"/>
      <c r="JBX292" s="148"/>
      <c r="JBY292" s="148"/>
      <c r="JBZ292" s="148"/>
      <c r="JCA292" s="148"/>
      <c r="JCB292" s="148"/>
      <c r="JCC292" s="148"/>
      <c r="JCD292" s="148"/>
      <c r="JCE292" s="148"/>
      <c r="JCF292" s="148"/>
      <c r="JCG292" s="148"/>
      <c r="JCH292" s="148"/>
      <c r="JCI292" s="148"/>
      <c r="JCJ292" s="148"/>
      <c r="JCK292" s="148"/>
      <c r="JCL292" s="148"/>
      <c r="JCM292" s="148"/>
      <c r="JCN292" s="148"/>
      <c r="JCO292" s="148"/>
      <c r="JCP292" s="148"/>
      <c r="JCQ292" s="148"/>
      <c r="JCR292" s="148"/>
      <c r="JCS292" s="148"/>
      <c r="JCT292" s="148"/>
      <c r="JCU292" s="148"/>
      <c r="JCV292" s="148"/>
      <c r="JCW292" s="148"/>
      <c r="JCX292" s="148"/>
      <c r="JCY292" s="148"/>
      <c r="JCZ292" s="148"/>
      <c r="JDA292" s="148"/>
      <c r="JDB292" s="148"/>
      <c r="JDC292" s="148"/>
      <c r="JDD292" s="148"/>
      <c r="JDE292" s="148"/>
      <c r="JDF292" s="148"/>
      <c r="JDG292" s="148"/>
      <c r="JDH292" s="148"/>
      <c r="JDI292" s="148"/>
      <c r="JDJ292" s="148"/>
      <c r="JDK292" s="148"/>
      <c r="JDL292" s="148"/>
      <c r="JDM292" s="148"/>
      <c r="JDN292" s="148"/>
      <c r="JDO292" s="148"/>
      <c r="JDP292" s="148"/>
      <c r="JDQ292" s="148"/>
      <c r="JDR292" s="148"/>
      <c r="JDS292" s="148"/>
      <c r="JDT292" s="148"/>
      <c r="JDU292" s="148"/>
      <c r="JDV292" s="148"/>
      <c r="JDW292" s="148"/>
      <c r="JDX292" s="148"/>
      <c r="JDY292" s="148"/>
      <c r="JDZ292" s="148"/>
      <c r="JEA292" s="148"/>
      <c r="JEB292" s="148"/>
      <c r="JEC292" s="148"/>
      <c r="JED292" s="148"/>
      <c r="JEE292" s="148"/>
      <c r="JEF292" s="148"/>
      <c r="JEG292" s="148"/>
      <c r="JEH292" s="148"/>
      <c r="JEI292" s="148"/>
      <c r="JEJ292" s="148"/>
      <c r="JEK292" s="148"/>
      <c r="JEL292" s="148"/>
      <c r="JEM292" s="148"/>
      <c r="JEN292" s="148"/>
      <c r="JEO292" s="148"/>
      <c r="JEP292" s="148"/>
      <c r="JEQ292" s="148"/>
      <c r="JER292" s="148"/>
      <c r="JES292" s="148"/>
      <c r="JET292" s="148"/>
      <c r="JEU292" s="148"/>
      <c r="JEV292" s="148"/>
      <c r="JEW292" s="148"/>
      <c r="JEX292" s="148"/>
      <c r="JEY292" s="148"/>
      <c r="JEZ292" s="148"/>
      <c r="JFA292" s="148"/>
      <c r="JFB292" s="148"/>
      <c r="JFC292" s="148"/>
      <c r="JFD292" s="148"/>
      <c r="JFE292" s="148"/>
      <c r="JFF292" s="148"/>
      <c r="JFG292" s="148"/>
      <c r="JFH292" s="148"/>
      <c r="JFI292" s="148"/>
      <c r="JFJ292" s="148"/>
      <c r="JFK292" s="148"/>
      <c r="JFL292" s="148"/>
      <c r="JFM292" s="148"/>
      <c r="JFN292" s="148"/>
      <c r="JFO292" s="148"/>
      <c r="JFP292" s="148"/>
      <c r="JFQ292" s="148"/>
      <c r="JFR292" s="148"/>
      <c r="JFS292" s="148"/>
      <c r="JFT292" s="148"/>
      <c r="JFU292" s="148"/>
      <c r="JFV292" s="148"/>
      <c r="JFW292" s="148"/>
      <c r="JFX292" s="148"/>
      <c r="JFY292" s="148"/>
      <c r="JFZ292" s="148"/>
      <c r="JGA292" s="148"/>
      <c r="JGB292" s="148"/>
      <c r="JGC292" s="148"/>
      <c r="JGD292" s="148"/>
      <c r="JGE292" s="148"/>
      <c r="JGF292" s="148"/>
      <c r="JGG292" s="148"/>
      <c r="JGH292" s="148"/>
      <c r="JGI292" s="148"/>
      <c r="JGJ292" s="148"/>
      <c r="JGK292" s="148"/>
      <c r="JGL292" s="148"/>
      <c r="JGM292" s="148"/>
      <c r="JGN292" s="148"/>
      <c r="JGO292" s="148"/>
      <c r="JGP292" s="148"/>
      <c r="JGQ292" s="148"/>
      <c r="JGR292" s="148"/>
      <c r="JGS292" s="148"/>
      <c r="JGT292" s="148"/>
      <c r="JGU292" s="148"/>
      <c r="JGV292" s="148"/>
      <c r="JGW292" s="148"/>
      <c r="JGX292" s="148"/>
      <c r="JGY292" s="148"/>
      <c r="JGZ292" s="148"/>
      <c r="JHA292" s="148"/>
      <c r="JHB292" s="148"/>
      <c r="JHC292" s="148"/>
      <c r="JHD292" s="148"/>
      <c r="JHE292" s="148"/>
      <c r="JHF292" s="148"/>
      <c r="JHG292" s="148"/>
      <c r="JHH292" s="148"/>
      <c r="JHI292" s="148"/>
      <c r="JHJ292" s="148"/>
      <c r="JHK292" s="148"/>
      <c r="JHL292" s="148"/>
      <c r="JHM292" s="148"/>
      <c r="JHN292" s="148"/>
      <c r="JHO292" s="148"/>
      <c r="JHP292" s="148"/>
      <c r="JHQ292" s="148"/>
      <c r="JHR292" s="148"/>
      <c r="JHS292" s="148"/>
      <c r="JHT292" s="148"/>
      <c r="JHU292" s="148"/>
      <c r="JHV292" s="148"/>
      <c r="JHW292" s="148"/>
      <c r="JHX292" s="148"/>
      <c r="JHY292" s="148"/>
      <c r="JHZ292" s="148"/>
      <c r="JIA292" s="148"/>
      <c r="JIB292" s="148"/>
      <c r="JIC292" s="148"/>
      <c r="JID292" s="148"/>
      <c r="JIE292" s="148"/>
      <c r="JIF292" s="148"/>
      <c r="JIG292" s="148"/>
      <c r="JIH292" s="148"/>
      <c r="JII292" s="148"/>
      <c r="JIJ292" s="148"/>
      <c r="JIK292" s="148"/>
      <c r="JIL292" s="148"/>
      <c r="JIM292" s="148"/>
      <c r="JIN292" s="148"/>
      <c r="JIO292" s="148"/>
      <c r="JIP292" s="148"/>
      <c r="JIQ292" s="148"/>
      <c r="JIR292" s="148"/>
      <c r="JIS292" s="148"/>
      <c r="JIT292" s="148"/>
      <c r="JIU292" s="148"/>
      <c r="JIV292" s="148"/>
      <c r="JIW292" s="148"/>
      <c r="JIX292" s="148"/>
      <c r="JIY292" s="148"/>
      <c r="JIZ292" s="148"/>
      <c r="JJA292" s="148"/>
      <c r="JJB292" s="148"/>
      <c r="JJC292" s="148"/>
      <c r="JJD292" s="148"/>
      <c r="JJE292" s="148"/>
      <c r="JJF292" s="148"/>
      <c r="JJG292" s="148"/>
      <c r="JJH292" s="148"/>
      <c r="JJI292" s="148"/>
      <c r="JJJ292" s="148"/>
      <c r="JJK292" s="148"/>
      <c r="JJL292" s="148"/>
      <c r="JJM292" s="148"/>
      <c r="JJN292" s="148"/>
      <c r="JJO292" s="148"/>
      <c r="JJP292" s="148"/>
      <c r="JJQ292" s="148"/>
      <c r="JJR292" s="148"/>
      <c r="JJS292" s="148"/>
      <c r="JJT292" s="148"/>
      <c r="JJU292" s="148"/>
      <c r="JJV292" s="148"/>
      <c r="JJW292" s="148"/>
      <c r="JJX292" s="148"/>
      <c r="JJY292" s="148"/>
      <c r="JJZ292" s="148"/>
      <c r="JKA292" s="148"/>
      <c r="JKB292" s="148"/>
      <c r="JKC292" s="148"/>
      <c r="JKD292" s="148"/>
      <c r="JKE292" s="148"/>
      <c r="JKF292" s="148"/>
      <c r="JKG292" s="148"/>
      <c r="JKH292" s="148"/>
      <c r="JKI292" s="148"/>
      <c r="JKJ292" s="148"/>
      <c r="JKK292" s="148"/>
      <c r="JKL292" s="148"/>
      <c r="JKM292" s="148"/>
      <c r="JKN292" s="148"/>
      <c r="JKO292" s="148"/>
      <c r="JKP292" s="148"/>
      <c r="JKQ292" s="148"/>
      <c r="JKR292" s="148"/>
      <c r="JKS292" s="148"/>
      <c r="JKT292" s="148"/>
      <c r="JKU292" s="148"/>
      <c r="JKV292" s="148"/>
      <c r="JKW292" s="148"/>
      <c r="JKX292" s="148"/>
      <c r="JKY292" s="148"/>
      <c r="JKZ292" s="148"/>
      <c r="JLA292" s="148"/>
      <c r="JLB292" s="148"/>
      <c r="JLC292" s="148"/>
      <c r="JLD292" s="148"/>
      <c r="JLE292" s="148"/>
      <c r="JLF292" s="148"/>
      <c r="JLG292" s="148"/>
      <c r="JLH292" s="148"/>
      <c r="JLI292" s="148"/>
      <c r="JLJ292" s="148"/>
      <c r="JLK292" s="148"/>
      <c r="JLL292" s="148"/>
      <c r="JLM292" s="148"/>
      <c r="JLN292" s="148"/>
      <c r="JLO292" s="148"/>
      <c r="JLP292" s="148"/>
      <c r="JLQ292" s="148"/>
      <c r="JLR292" s="148"/>
      <c r="JLS292" s="148"/>
      <c r="JLT292" s="148"/>
      <c r="JLU292" s="148"/>
      <c r="JLV292" s="148"/>
      <c r="JLW292" s="148"/>
      <c r="JLX292" s="148"/>
      <c r="JLY292" s="148"/>
      <c r="JLZ292" s="148"/>
      <c r="JMA292" s="148"/>
      <c r="JMB292" s="148"/>
      <c r="JMC292" s="148"/>
      <c r="JMD292" s="148"/>
      <c r="JME292" s="148"/>
      <c r="JMF292" s="148"/>
      <c r="JMG292" s="148"/>
      <c r="JMH292" s="148"/>
      <c r="JMI292" s="148"/>
      <c r="JMJ292" s="148"/>
      <c r="JMK292" s="148"/>
      <c r="JML292" s="148"/>
      <c r="JMM292" s="148"/>
      <c r="JMN292" s="148"/>
      <c r="JMO292" s="148"/>
      <c r="JMP292" s="148"/>
      <c r="JMQ292" s="148"/>
      <c r="JMR292" s="148"/>
      <c r="JMS292" s="148"/>
      <c r="JMT292" s="148"/>
      <c r="JMU292" s="148"/>
      <c r="JMV292" s="148"/>
      <c r="JMW292" s="148"/>
      <c r="JMX292" s="148"/>
      <c r="JMY292" s="148"/>
      <c r="JMZ292" s="148"/>
      <c r="JNA292" s="148"/>
      <c r="JNB292" s="148"/>
      <c r="JNC292" s="148"/>
      <c r="JND292" s="148"/>
      <c r="JNE292" s="148"/>
      <c r="JNF292" s="148"/>
      <c r="JNG292" s="148"/>
      <c r="JNH292" s="148"/>
      <c r="JNI292" s="148"/>
      <c r="JNJ292" s="148"/>
      <c r="JNK292" s="148"/>
      <c r="JNL292" s="148"/>
      <c r="JNM292" s="148"/>
      <c r="JNN292" s="148"/>
      <c r="JNO292" s="148"/>
      <c r="JNP292" s="148"/>
      <c r="JNQ292" s="148"/>
      <c r="JNR292" s="148"/>
      <c r="JNS292" s="148"/>
      <c r="JNT292" s="148"/>
      <c r="JNU292" s="148"/>
      <c r="JNV292" s="148"/>
      <c r="JNW292" s="148"/>
      <c r="JNX292" s="148"/>
      <c r="JNY292" s="148"/>
      <c r="JNZ292" s="148"/>
      <c r="JOA292" s="148"/>
      <c r="JOB292" s="148"/>
      <c r="JOC292" s="148"/>
      <c r="JOD292" s="148"/>
      <c r="JOE292" s="148"/>
      <c r="JOF292" s="148"/>
      <c r="JOG292" s="148"/>
      <c r="JOH292" s="148"/>
      <c r="JOI292" s="148"/>
      <c r="JOJ292" s="148"/>
      <c r="JOK292" s="148"/>
      <c r="JOL292" s="148"/>
      <c r="JOM292" s="148"/>
      <c r="JON292" s="148"/>
      <c r="JOO292" s="148"/>
      <c r="JOP292" s="148"/>
      <c r="JOQ292" s="148"/>
      <c r="JOR292" s="148"/>
      <c r="JOS292" s="148"/>
      <c r="JOT292" s="148"/>
      <c r="JOU292" s="148"/>
      <c r="JOV292" s="148"/>
      <c r="JOW292" s="148"/>
      <c r="JOX292" s="148"/>
      <c r="JOY292" s="148"/>
      <c r="JOZ292" s="148"/>
      <c r="JPA292" s="148"/>
      <c r="JPB292" s="148"/>
      <c r="JPC292" s="148"/>
      <c r="JPD292" s="148"/>
      <c r="JPE292" s="148"/>
      <c r="JPF292" s="148"/>
      <c r="JPG292" s="148"/>
      <c r="JPH292" s="148"/>
      <c r="JPI292" s="148"/>
      <c r="JPJ292" s="148"/>
      <c r="JPK292" s="148"/>
      <c r="JPL292" s="148"/>
      <c r="JPM292" s="148"/>
      <c r="JPN292" s="148"/>
      <c r="JPO292" s="148"/>
      <c r="JPP292" s="148"/>
      <c r="JPQ292" s="148"/>
      <c r="JPR292" s="148"/>
      <c r="JPS292" s="148"/>
      <c r="JPT292" s="148"/>
      <c r="JPU292" s="148"/>
      <c r="JPV292" s="148"/>
      <c r="JPW292" s="148"/>
      <c r="JPX292" s="148"/>
      <c r="JPY292" s="148"/>
      <c r="JPZ292" s="148"/>
      <c r="JQA292" s="148"/>
      <c r="JQB292" s="148"/>
      <c r="JQC292" s="148"/>
      <c r="JQD292" s="148"/>
      <c r="JQE292" s="148"/>
      <c r="JQF292" s="148"/>
      <c r="JQG292" s="148"/>
      <c r="JQH292" s="148"/>
      <c r="JQI292" s="148"/>
      <c r="JQJ292" s="148"/>
      <c r="JQK292" s="148"/>
      <c r="JQL292" s="148"/>
      <c r="JQM292" s="148"/>
      <c r="JQN292" s="148"/>
      <c r="JQO292" s="148"/>
      <c r="JQP292" s="148"/>
      <c r="JQQ292" s="148"/>
      <c r="JQR292" s="148"/>
      <c r="JQS292" s="148"/>
      <c r="JQT292" s="148"/>
      <c r="JQU292" s="148"/>
      <c r="JQV292" s="148"/>
      <c r="JQW292" s="148"/>
      <c r="JQX292" s="148"/>
      <c r="JQY292" s="148"/>
      <c r="JQZ292" s="148"/>
      <c r="JRA292" s="148"/>
      <c r="JRB292" s="148"/>
      <c r="JRC292" s="148"/>
      <c r="JRD292" s="148"/>
      <c r="JRE292" s="148"/>
      <c r="JRF292" s="148"/>
      <c r="JRG292" s="148"/>
      <c r="JRH292" s="148"/>
      <c r="JRI292" s="148"/>
      <c r="JRJ292" s="148"/>
      <c r="JRK292" s="148"/>
      <c r="JRL292" s="148"/>
      <c r="JRM292" s="148"/>
      <c r="JRN292" s="148"/>
      <c r="JRO292" s="148"/>
      <c r="JRP292" s="148"/>
      <c r="JRQ292" s="148"/>
      <c r="JRR292" s="148"/>
      <c r="JRS292" s="148"/>
      <c r="JRT292" s="148"/>
      <c r="JRU292" s="148"/>
      <c r="JRV292" s="148"/>
      <c r="JRW292" s="148"/>
      <c r="JRX292" s="148"/>
      <c r="JRY292" s="148"/>
      <c r="JRZ292" s="148"/>
      <c r="JSA292" s="148"/>
      <c r="JSB292" s="148"/>
      <c r="JSC292" s="148"/>
      <c r="JSD292" s="148"/>
      <c r="JSE292" s="148"/>
      <c r="JSF292" s="148"/>
      <c r="JSG292" s="148"/>
      <c r="JSH292" s="148"/>
      <c r="JSI292" s="148"/>
      <c r="JSJ292" s="148"/>
      <c r="JSK292" s="148"/>
      <c r="JSL292" s="148"/>
      <c r="JSM292" s="148"/>
      <c r="JSN292" s="148"/>
      <c r="JSO292" s="148"/>
      <c r="JSP292" s="148"/>
      <c r="JSQ292" s="148"/>
      <c r="JSR292" s="148"/>
      <c r="JSS292" s="148"/>
      <c r="JST292" s="148"/>
      <c r="JSU292" s="148"/>
      <c r="JSV292" s="148"/>
      <c r="JSW292" s="148"/>
      <c r="JSX292" s="148"/>
      <c r="JSY292" s="148"/>
      <c r="JSZ292" s="148"/>
      <c r="JTA292" s="148"/>
      <c r="JTB292" s="148"/>
      <c r="JTC292" s="148"/>
      <c r="JTD292" s="148"/>
      <c r="JTE292" s="148"/>
      <c r="JTF292" s="148"/>
      <c r="JTG292" s="148"/>
      <c r="JTH292" s="148"/>
      <c r="JTI292" s="148"/>
      <c r="JTJ292" s="148"/>
      <c r="JTK292" s="148"/>
      <c r="JTL292" s="148"/>
      <c r="JTM292" s="148"/>
      <c r="JTN292" s="148"/>
      <c r="JTO292" s="148"/>
      <c r="JTP292" s="148"/>
      <c r="JTQ292" s="148"/>
      <c r="JTR292" s="148"/>
      <c r="JTS292" s="148"/>
      <c r="JTT292" s="148"/>
      <c r="JTU292" s="148"/>
      <c r="JTV292" s="148"/>
      <c r="JTW292" s="148"/>
      <c r="JTX292" s="148"/>
      <c r="JTY292" s="148"/>
      <c r="JTZ292" s="148"/>
      <c r="JUA292" s="148"/>
      <c r="JUB292" s="148"/>
      <c r="JUC292" s="148"/>
      <c r="JUD292" s="148"/>
      <c r="JUE292" s="148"/>
      <c r="JUF292" s="148"/>
      <c r="JUG292" s="148"/>
      <c r="JUH292" s="148"/>
      <c r="JUI292" s="148"/>
      <c r="JUJ292" s="148"/>
      <c r="JUK292" s="148"/>
      <c r="JUL292" s="148"/>
      <c r="JUM292" s="148"/>
      <c r="JUN292" s="148"/>
      <c r="JUO292" s="148"/>
      <c r="JUP292" s="148"/>
      <c r="JUQ292" s="148"/>
      <c r="JUR292" s="148"/>
      <c r="JUS292" s="148"/>
      <c r="JUT292" s="148"/>
      <c r="JUU292" s="148"/>
      <c r="JUV292" s="148"/>
      <c r="JUW292" s="148"/>
      <c r="JUX292" s="148"/>
      <c r="JUY292" s="148"/>
      <c r="JUZ292" s="148"/>
      <c r="JVA292" s="148"/>
      <c r="JVB292" s="148"/>
      <c r="JVC292" s="148"/>
      <c r="JVD292" s="148"/>
      <c r="JVE292" s="148"/>
      <c r="JVF292" s="148"/>
      <c r="JVG292" s="148"/>
      <c r="JVH292" s="148"/>
      <c r="JVI292" s="148"/>
      <c r="JVJ292" s="148"/>
      <c r="JVK292" s="148"/>
      <c r="JVL292" s="148"/>
      <c r="JVM292" s="148"/>
      <c r="JVN292" s="148"/>
      <c r="JVO292" s="148"/>
      <c r="JVP292" s="148"/>
      <c r="JVQ292" s="148"/>
      <c r="JVR292" s="148"/>
      <c r="JVS292" s="148"/>
      <c r="JVT292" s="148"/>
      <c r="JVU292" s="148"/>
      <c r="JVV292" s="148"/>
      <c r="JVW292" s="148"/>
      <c r="JVX292" s="148"/>
      <c r="JVY292" s="148"/>
      <c r="JVZ292" s="148"/>
      <c r="JWA292" s="148"/>
      <c r="JWB292" s="148"/>
      <c r="JWC292" s="148"/>
      <c r="JWD292" s="148"/>
      <c r="JWE292" s="148"/>
      <c r="JWF292" s="148"/>
      <c r="JWG292" s="148"/>
      <c r="JWH292" s="148"/>
      <c r="JWI292" s="148"/>
      <c r="JWJ292" s="148"/>
      <c r="JWK292" s="148"/>
      <c r="JWL292" s="148"/>
      <c r="JWM292" s="148"/>
      <c r="JWN292" s="148"/>
      <c r="JWO292" s="148"/>
      <c r="JWP292" s="148"/>
      <c r="JWQ292" s="148"/>
      <c r="JWR292" s="148"/>
      <c r="JWS292" s="148"/>
      <c r="JWT292" s="148"/>
      <c r="JWU292" s="148"/>
      <c r="JWV292" s="148"/>
      <c r="JWW292" s="148"/>
      <c r="JWX292" s="148"/>
      <c r="JWY292" s="148"/>
      <c r="JWZ292" s="148"/>
      <c r="JXA292" s="148"/>
      <c r="JXB292" s="148"/>
      <c r="JXC292" s="148"/>
      <c r="JXD292" s="148"/>
      <c r="JXE292" s="148"/>
      <c r="JXF292" s="148"/>
      <c r="JXG292" s="148"/>
      <c r="JXH292" s="148"/>
      <c r="JXI292" s="148"/>
      <c r="JXJ292" s="148"/>
      <c r="JXK292" s="148"/>
      <c r="JXL292" s="148"/>
      <c r="JXM292" s="148"/>
      <c r="JXN292" s="148"/>
      <c r="JXO292" s="148"/>
      <c r="JXP292" s="148"/>
      <c r="JXQ292" s="148"/>
      <c r="JXR292" s="148"/>
      <c r="JXS292" s="148"/>
      <c r="JXT292" s="148"/>
      <c r="JXU292" s="148"/>
      <c r="JXV292" s="148"/>
      <c r="JXW292" s="148"/>
      <c r="JXX292" s="148"/>
      <c r="JXY292" s="148"/>
      <c r="JXZ292" s="148"/>
      <c r="JYA292" s="148"/>
      <c r="JYB292" s="148"/>
      <c r="JYC292" s="148"/>
      <c r="JYD292" s="148"/>
      <c r="JYE292" s="148"/>
      <c r="JYF292" s="148"/>
      <c r="JYG292" s="148"/>
      <c r="JYH292" s="148"/>
      <c r="JYI292" s="148"/>
      <c r="JYJ292" s="148"/>
      <c r="JYK292" s="148"/>
      <c r="JYL292" s="148"/>
      <c r="JYM292" s="148"/>
      <c r="JYN292" s="148"/>
      <c r="JYO292" s="148"/>
      <c r="JYP292" s="148"/>
      <c r="JYQ292" s="148"/>
      <c r="JYR292" s="148"/>
      <c r="JYS292" s="148"/>
      <c r="JYT292" s="148"/>
      <c r="JYU292" s="148"/>
      <c r="JYV292" s="148"/>
      <c r="JYW292" s="148"/>
      <c r="JYX292" s="148"/>
      <c r="JYY292" s="148"/>
      <c r="JYZ292" s="148"/>
      <c r="JZA292" s="148"/>
      <c r="JZB292" s="148"/>
      <c r="JZC292" s="148"/>
      <c r="JZD292" s="148"/>
      <c r="JZE292" s="148"/>
      <c r="JZF292" s="148"/>
      <c r="JZG292" s="148"/>
      <c r="JZH292" s="148"/>
      <c r="JZI292" s="148"/>
      <c r="JZJ292" s="148"/>
      <c r="JZK292" s="148"/>
      <c r="JZL292" s="148"/>
      <c r="JZM292" s="148"/>
      <c r="JZN292" s="148"/>
      <c r="JZO292" s="148"/>
      <c r="JZP292" s="148"/>
      <c r="JZQ292" s="148"/>
      <c r="JZR292" s="148"/>
      <c r="JZS292" s="148"/>
      <c r="JZT292" s="148"/>
      <c r="JZU292" s="148"/>
      <c r="JZV292" s="148"/>
      <c r="JZW292" s="148"/>
      <c r="JZX292" s="148"/>
      <c r="JZY292" s="148"/>
      <c r="JZZ292" s="148"/>
      <c r="KAA292" s="148"/>
      <c r="KAB292" s="148"/>
      <c r="KAC292" s="148"/>
      <c r="KAD292" s="148"/>
      <c r="KAE292" s="148"/>
      <c r="KAF292" s="148"/>
      <c r="KAG292" s="148"/>
      <c r="KAH292" s="148"/>
      <c r="KAI292" s="148"/>
      <c r="KAJ292" s="148"/>
      <c r="KAK292" s="148"/>
      <c r="KAL292" s="148"/>
      <c r="KAM292" s="148"/>
      <c r="KAN292" s="148"/>
      <c r="KAO292" s="148"/>
      <c r="KAP292" s="148"/>
      <c r="KAQ292" s="148"/>
      <c r="KAR292" s="148"/>
      <c r="KAS292" s="148"/>
      <c r="KAT292" s="148"/>
      <c r="KAU292" s="148"/>
      <c r="KAV292" s="148"/>
      <c r="KAW292" s="148"/>
      <c r="KAX292" s="148"/>
      <c r="KAY292" s="148"/>
      <c r="KAZ292" s="148"/>
      <c r="KBA292" s="148"/>
      <c r="KBB292" s="148"/>
      <c r="KBC292" s="148"/>
      <c r="KBD292" s="148"/>
      <c r="KBE292" s="148"/>
      <c r="KBF292" s="148"/>
      <c r="KBG292" s="148"/>
      <c r="KBH292" s="148"/>
      <c r="KBI292" s="148"/>
      <c r="KBJ292" s="148"/>
      <c r="KBK292" s="148"/>
      <c r="KBL292" s="148"/>
      <c r="KBM292" s="148"/>
      <c r="KBN292" s="148"/>
      <c r="KBO292" s="148"/>
      <c r="KBP292" s="148"/>
      <c r="KBQ292" s="148"/>
      <c r="KBR292" s="148"/>
      <c r="KBS292" s="148"/>
      <c r="KBT292" s="148"/>
      <c r="KBU292" s="148"/>
      <c r="KBV292" s="148"/>
      <c r="KBW292" s="148"/>
      <c r="KBX292" s="148"/>
      <c r="KBY292" s="148"/>
      <c r="KBZ292" s="148"/>
      <c r="KCA292" s="148"/>
      <c r="KCB292" s="148"/>
      <c r="KCC292" s="148"/>
      <c r="KCD292" s="148"/>
      <c r="KCE292" s="148"/>
      <c r="KCF292" s="148"/>
      <c r="KCG292" s="148"/>
      <c r="KCH292" s="148"/>
      <c r="KCI292" s="148"/>
      <c r="KCJ292" s="148"/>
      <c r="KCK292" s="148"/>
      <c r="KCL292" s="148"/>
      <c r="KCM292" s="148"/>
      <c r="KCN292" s="148"/>
      <c r="KCO292" s="148"/>
      <c r="KCP292" s="148"/>
      <c r="KCQ292" s="148"/>
      <c r="KCR292" s="148"/>
      <c r="KCS292" s="148"/>
      <c r="KCT292" s="148"/>
      <c r="KCU292" s="148"/>
      <c r="KCV292" s="148"/>
      <c r="KCW292" s="148"/>
      <c r="KCX292" s="148"/>
      <c r="KCY292" s="148"/>
      <c r="KCZ292" s="148"/>
      <c r="KDA292" s="148"/>
      <c r="KDB292" s="148"/>
      <c r="KDC292" s="148"/>
      <c r="KDD292" s="148"/>
      <c r="KDE292" s="148"/>
      <c r="KDF292" s="148"/>
      <c r="KDG292" s="148"/>
      <c r="KDH292" s="148"/>
      <c r="KDI292" s="148"/>
      <c r="KDJ292" s="148"/>
      <c r="KDK292" s="148"/>
      <c r="KDL292" s="148"/>
      <c r="KDM292" s="148"/>
      <c r="KDN292" s="148"/>
      <c r="KDO292" s="148"/>
      <c r="KDP292" s="148"/>
      <c r="KDQ292" s="148"/>
      <c r="KDR292" s="148"/>
      <c r="KDS292" s="148"/>
      <c r="KDT292" s="148"/>
      <c r="KDU292" s="148"/>
      <c r="KDV292" s="148"/>
      <c r="KDW292" s="148"/>
      <c r="KDX292" s="148"/>
      <c r="KDY292" s="148"/>
      <c r="KDZ292" s="148"/>
      <c r="KEA292" s="148"/>
      <c r="KEB292" s="148"/>
      <c r="KEC292" s="148"/>
      <c r="KED292" s="148"/>
      <c r="KEE292" s="148"/>
      <c r="KEF292" s="148"/>
      <c r="KEG292" s="148"/>
      <c r="KEH292" s="148"/>
      <c r="KEI292" s="148"/>
      <c r="KEJ292" s="148"/>
      <c r="KEK292" s="148"/>
      <c r="KEL292" s="148"/>
      <c r="KEM292" s="148"/>
      <c r="KEN292" s="148"/>
      <c r="KEO292" s="148"/>
      <c r="KEP292" s="148"/>
      <c r="KEQ292" s="148"/>
      <c r="KER292" s="148"/>
      <c r="KES292" s="148"/>
      <c r="KET292" s="148"/>
      <c r="KEU292" s="148"/>
      <c r="KEV292" s="148"/>
      <c r="KEW292" s="148"/>
      <c r="KEX292" s="148"/>
      <c r="KEY292" s="148"/>
      <c r="KEZ292" s="148"/>
      <c r="KFA292" s="148"/>
      <c r="KFB292" s="148"/>
      <c r="KFC292" s="148"/>
      <c r="KFD292" s="148"/>
      <c r="KFE292" s="148"/>
      <c r="KFF292" s="148"/>
      <c r="KFG292" s="148"/>
      <c r="KFH292" s="148"/>
      <c r="KFI292" s="148"/>
      <c r="KFJ292" s="148"/>
      <c r="KFK292" s="148"/>
      <c r="KFL292" s="148"/>
      <c r="KFM292" s="148"/>
      <c r="KFN292" s="148"/>
      <c r="KFO292" s="148"/>
      <c r="KFP292" s="148"/>
      <c r="KFQ292" s="148"/>
      <c r="KFR292" s="148"/>
      <c r="KFS292" s="148"/>
      <c r="KFT292" s="148"/>
      <c r="KFU292" s="148"/>
      <c r="KFV292" s="148"/>
      <c r="KFW292" s="148"/>
      <c r="KFX292" s="148"/>
      <c r="KFY292" s="148"/>
      <c r="KFZ292" s="148"/>
      <c r="KGA292" s="148"/>
      <c r="KGB292" s="148"/>
      <c r="KGC292" s="148"/>
      <c r="KGD292" s="148"/>
      <c r="KGE292" s="148"/>
      <c r="KGF292" s="148"/>
      <c r="KGG292" s="148"/>
      <c r="KGH292" s="148"/>
      <c r="KGI292" s="148"/>
      <c r="KGJ292" s="148"/>
      <c r="KGK292" s="148"/>
      <c r="KGL292" s="148"/>
      <c r="KGM292" s="148"/>
      <c r="KGN292" s="148"/>
      <c r="KGO292" s="148"/>
      <c r="KGP292" s="148"/>
      <c r="KGQ292" s="148"/>
      <c r="KGR292" s="148"/>
      <c r="KGS292" s="148"/>
      <c r="KGT292" s="148"/>
      <c r="KGU292" s="148"/>
      <c r="KGV292" s="148"/>
      <c r="KGW292" s="148"/>
      <c r="KGX292" s="148"/>
      <c r="KGY292" s="148"/>
      <c r="KGZ292" s="148"/>
      <c r="KHA292" s="148"/>
      <c r="KHB292" s="148"/>
      <c r="KHC292" s="148"/>
      <c r="KHD292" s="148"/>
      <c r="KHE292" s="148"/>
      <c r="KHF292" s="148"/>
      <c r="KHG292" s="148"/>
      <c r="KHH292" s="148"/>
      <c r="KHI292" s="148"/>
      <c r="KHJ292" s="148"/>
      <c r="KHK292" s="148"/>
      <c r="KHL292" s="148"/>
      <c r="KHM292" s="148"/>
      <c r="KHN292" s="148"/>
      <c r="KHO292" s="148"/>
      <c r="KHP292" s="148"/>
      <c r="KHQ292" s="148"/>
      <c r="KHR292" s="148"/>
      <c r="KHS292" s="148"/>
      <c r="KHT292" s="148"/>
      <c r="KHU292" s="148"/>
      <c r="KHV292" s="148"/>
      <c r="KHW292" s="148"/>
      <c r="KHX292" s="148"/>
      <c r="KHY292" s="148"/>
      <c r="KHZ292" s="148"/>
      <c r="KIA292" s="148"/>
      <c r="KIB292" s="148"/>
      <c r="KIC292" s="148"/>
      <c r="KID292" s="148"/>
      <c r="KIE292" s="148"/>
      <c r="KIF292" s="148"/>
      <c r="KIG292" s="148"/>
      <c r="KIH292" s="148"/>
      <c r="KII292" s="148"/>
      <c r="KIJ292" s="148"/>
      <c r="KIK292" s="148"/>
      <c r="KIL292" s="148"/>
      <c r="KIM292" s="148"/>
      <c r="KIN292" s="148"/>
      <c r="KIO292" s="148"/>
      <c r="KIP292" s="148"/>
      <c r="KIQ292" s="148"/>
      <c r="KIR292" s="148"/>
      <c r="KIS292" s="148"/>
      <c r="KIT292" s="148"/>
      <c r="KIU292" s="148"/>
      <c r="KIV292" s="148"/>
      <c r="KIW292" s="148"/>
      <c r="KIX292" s="148"/>
      <c r="KIY292" s="148"/>
      <c r="KIZ292" s="148"/>
      <c r="KJA292" s="148"/>
      <c r="KJB292" s="148"/>
      <c r="KJC292" s="148"/>
      <c r="KJD292" s="148"/>
      <c r="KJE292" s="148"/>
      <c r="KJF292" s="148"/>
      <c r="KJG292" s="148"/>
      <c r="KJH292" s="148"/>
      <c r="KJI292" s="148"/>
      <c r="KJJ292" s="148"/>
      <c r="KJK292" s="148"/>
      <c r="KJL292" s="148"/>
      <c r="KJM292" s="148"/>
      <c r="KJN292" s="148"/>
      <c r="KJO292" s="148"/>
      <c r="KJP292" s="148"/>
      <c r="KJQ292" s="148"/>
      <c r="KJR292" s="148"/>
      <c r="KJS292" s="148"/>
      <c r="KJT292" s="148"/>
      <c r="KJU292" s="148"/>
      <c r="KJV292" s="148"/>
      <c r="KJW292" s="148"/>
      <c r="KJX292" s="148"/>
      <c r="KJY292" s="148"/>
      <c r="KJZ292" s="148"/>
      <c r="KKA292" s="148"/>
      <c r="KKB292" s="148"/>
      <c r="KKC292" s="148"/>
      <c r="KKD292" s="148"/>
      <c r="KKE292" s="148"/>
      <c r="KKF292" s="148"/>
      <c r="KKG292" s="148"/>
      <c r="KKH292" s="148"/>
      <c r="KKI292" s="148"/>
      <c r="KKJ292" s="148"/>
      <c r="KKK292" s="148"/>
      <c r="KKL292" s="148"/>
      <c r="KKM292" s="148"/>
      <c r="KKN292" s="148"/>
      <c r="KKO292" s="148"/>
      <c r="KKP292" s="148"/>
      <c r="KKQ292" s="148"/>
      <c r="KKR292" s="148"/>
      <c r="KKS292" s="148"/>
      <c r="KKT292" s="148"/>
      <c r="KKU292" s="148"/>
      <c r="KKV292" s="148"/>
      <c r="KKW292" s="148"/>
      <c r="KKX292" s="148"/>
      <c r="KKY292" s="148"/>
      <c r="KKZ292" s="148"/>
      <c r="KLA292" s="148"/>
      <c r="KLB292" s="148"/>
      <c r="KLC292" s="148"/>
      <c r="KLD292" s="148"/>
      <c r="KLE292" s="148"/>
      <c r="KLF292" s="148"/>
      <c r="KLG292" s="148"/>
      <c r="KLH292" s="148"/>
      <c r="KLI292" s="148"/>
      <c r="KLJ292" s="148"/>
      <c r="KLK292" s="148"/>
      <c r="KLL292" s="148"/>
      <c r="KLM292" s="148"/>
      <c r="KLN292" s="148"/>
      <c r="KLO292" s="148"/>
      <c r="KLP292" s="148"/>
      <c r="KLQ292" s="148"/>
      <c r="KLR292" s="148"/>
      <c r="KLS292" s="148"/>
      <c r="KLT292" s="148"/>
      <c r="KLU292" s="148"/>
      <c r="KLV292" s="148"/>
      <c r="KLW292" s="148"/>
      <c r="KLX292" s="148"/>
      <c r="KLY292" s="148"/>
      <c r="KLZ292" s="148"/>
      <c r="KMA292" s="148"/>
      <c r="KMB292" s="148"/>
      <c r="KMC292" s="148"/>
      <c r="KMD292" s="148"/>
      <c r="KME292" s="148"/>
      <c r="KMF292" s="148"/>
      <c r="KMG292" s="148"/>
      <c r="KMH292" s="148"/>
      <c r="KMI292" s="148"/>
      <c r="KMJ292" s="148"/>
      <c r="KMK292" s="148"/>
      <c r="KML292" s="148"/>
      <c r="KMM292" s="148"/>
      <c r="KMN292" s="148"/>
      <c r="KMO292" s="148"/>
      <c r="KMP292" s="148"/>
      <c r="KMQ292" s="148"/>
      <c r="KMR292" s="148"/>
      <c r="KMS292" s="148"/>
      <c r="KMT292" s="148"/>
      <c r="KMU292" s="148"/>
      <c r="KMV292" s="148"/>
      <c r="KMW292" s="148"/>
      <c r="KMX292" s="148"/>
      <c r="KMY292" s="148"/>
      <c r="KMZ292" s="148"/>
      <c r="KNA292" s="148"/>
      <c r="KNB292" s="148"/>
      <c r="KNC292" s="148"/>
      <c r="KND292" s="148"/>
      <c r="KNE292" s="148"/>
      <c r="KNF292" s="148"/>
      <c r="KNG292" s="148"/>
      <c r="KNH292" s="148"/>
      <c r="KNI292" s="148"/>
      <c r="KNJ292" s="148"/>
      <c r="KNK292" s="148"/>
      <c r="KNL292" s="148"/>
      <c r="KNM292" s="148"/>
      <c r="KNN292" s="148"/>
      <c r="KNO292" s="148"/>
      <c r="KNP292" s="148"/>
      <c r="KNQ292" s="148"/>
      <c r="KNR292" s="148"/>
      <c r="KNS292" s="148"/>
      <c r="KNT292" s="148"/>
      <c r="KNU292" s="148"/>
      <c r="KNV292" s="148"/>
      <c r="KNW292" s="148"/>
      <c r="KNX292" s="148"/>
      <c r="KNY292" s="148"/>
      <c r="KNZ292" s="148"/>
      <c r="KOA292" s="148"/>
      <c r="KOB292" s="148"/>
      <c r="KOC292" s="148"/>
      <c r="KOD292" s="148"/>
      <c r="KOE292" s="148"/>
      <c r="KOF292" s="148"/>
      <c r="KOG292" s="148"/>
      <c r="KOH292" s="148"/>
      <c r="KOI292" s="148"/>
      <c r="KOJ292" s="148"/>
      <c r="KOK292" s="148"/>
      <c r="KOL292" s="148"/>
      <c r="KOM292" s="148"/>
      <c r="KON292" s="148"/>
      <c r="KOO292" s="148"/>
      <c r="KOP292" s="148"/>
      <c r="KOQ292" s="148"/>
      <c r="KOR292" s="148"/>
      <c r="KOS292" s="148"/>
      <c r="KOT292" s="148"/>
      <c r="KOU292" s="148"/>
      <c r="KOV292" s="148"/>
      <c r="KOW292" s="148"/>
      <c r="KOX292" s="148"/>
      <c r="KOY292" s="148"/>
      <c r="KOZ292" s="148"/>
      <c r="KPA292" s="148"/>
      <c r="KPB292" s="148"/>
      <c r="KPC292" s="148"/>
      <c r="KPD292" s="148"/>
      <c r="KPE292" s="148"/>
      <c r="KPF292" s="148"/>
      <c r="KPG292" s="148"/>
      <c r="KPH292" s="148"/>
      <c r="KPI292" s="148"/>
      <c r="KPJ292" s="148"/>
      <c r="KPK292" s="148"/>
      <c r="KPL292" s="148"/>
      <c r="KPM292" s="148"/>
      <c r="KPN292" s="148"/>
      <c r="KPO292" s="148"/>
      <c r="KPP292" s="148"/>
      <c r="KPQ292" s="148"/>
      <c r="KPR292" s="148"/>
      <c r="KPS292" s="148"/>
      <c r="KPT292" s="148"/>
      <c r="KPU292" s="148"/>
      <c r="KPV292" s="148"/>
      <c r="KPW292" s="148"/>
      <c r="KPX292" s="148"/>
      <c r="KPY292" s="148"/>
      <c r="KPZ292" s="148"/>
      <c r="KQA292" s="148"/>
      <c r="KQB292" s="148"/>
      <c r="KQC292" s="148"/>
      <c r="KQD292" s="148"/>
      <c r="KQE292" s="148"/>
      <c r="KQF292" s="148"/>
      <c r="KQG292" s="148"/>
      <c r="KQH292" s="148"/>
      <c r="KQI292" s="148"/>
      <c r="KQJ292" s="148"/>
      <c r="KQK292" s="148"/>
      <c r="KQL292" s="148"/>
      <c r="KQM292" s="148"/>
      <c r="KQN292" s="148"/>
      <c r="KQO292" s="148"/>
      <c r="KQP292" s="148"/>
      <c r="KQQ292" s="148"/>
      <c r="KQR292" s="148"/>
      <c r="KQS292" s="148"/>
      <c r="KQT292" s="148"/>
      <c r="KQU292" s="148"/>
      <c r="KQV292" s="148"/>
      <c r="KQW292" s="148"/>
      <c r="KQX292" s="148"/>
      <c r="KQY292" s="148"/>
      <c r="KQZ292" s="148"/>
      <c r="KRA292" s="148"/>
      <c r="KRB292" s="148"/>
      <c r="KRC292" s="148"/>
      <c r="KRD292" s="148"/>
      <c r="KRE292" s="148"/>
      <c r="KRF292" s="148"/>
      <c r="KRG292" s="148"/>
      <c r="KRH292" s="148"/>
      <c r="KRI292" s="148"/>
      <c r="KRJ292" s="148"/>
      <c r="KRK292" s="148"/>
      <c r="KRL292" s="148"/>
      <c r="KRM292" s="148"/>
      <c r="KRN292" s="148"/>
      <c r="KRO292" s="148"/>
      <c r="KRP292" s="148"/>
      <c r="KRQ292" s="148"/>
      <c r="KRR292" s="148"/>
      <c r="KRS292" s="148"/>
      <c r="KRT292" s="148"/>
      <c r="KRU292" s="148"/>
      <c r="KRV292" s="148"/>
      <c r="KRW292" s="148"/>
      <c r="KRX292" s="148"/>
      <c r="KRY292" s="148"/>
      <c r="KRZ292" s="148"/>
      <c r="KSA292" s="148"/>
      <c r="KSB292" s="148"/>
      <c r="KSC292" s="148"/>
      <c r="KSD292" s="148"/>
      <c r="KSE292" s="148"/>
      <c r="KSF292" s="148"/>
      <c r="KSG292" s="148"/>
      <c r="KSH292" s="148"/>
      <c r="KSI292" s="148"/>
      <c r="KSJ292" s="148"/>
      <c r="KSK292" s="148"/>
      <c r="KSL292" s="148"/>
      <c r="KSM292" s="148"/>
      <c r="KSN292" s="148"/>
      <c r="KSO292" s="148"/>
      <c r="KSP292" s="148"/>
      <c r="KSQ292" s="148"/>
      <c r="KSR292" s="148"/>
      <c r="KSS292" s="148"/>
      <c r="KST292" s="148"/>
      <c r="KSU292" s="148"/>
      <c r="KSV292" s="148"/>
      <c r="KSW292" s="148"/>
      <c r="KSX292" s="148"/>
      <c r="KSY292" s="148"/>
      <c r="KSZ292" s="148"/>
      <c r="KTA292" s="148"/>
      <c r="KTB292" s="148"/>
      <c r="KTC292" s="148"/>
      <c r="KTD292" s="148"/>
      <c r="KTE292" s="148"/>
      <c r="KTF292" s="148"/>
      <c r="KTG292" s="148"/>
      <c r="KTH292" s="148"/>
      <c r="KTI292" s="148"/>
      <c r="KTJ292" s="148"/>
      <c r="KTK292" s="148"/>
      <c r="KTL292" s="148"/>
      <c r="KTM292" s="148"/>
      <c r="KTN292" s="148"/>
      <c r="KTO292" s="148"/>
      <c r="KTP292" s="148"/>
      <c r="KTQ292" s="148"/>
      <c r="KTR292" s="148"/>
      <c r="KTS292" s="148"/>
      <c r="KTT292" s="148"/>
      <c r="KTU292" s="148"/>
      <c r="KTV292" s="148"/>
      <c r="KTW292" s="148"/>
      <c r="KTX292" s="148"/>
      <c r="KTY292" s="148"/>
      <c r="KTZ292" s="148"/>
      <c r="KUA292" s="148"/>
      <c r="KUB292" s="148"/>
      <c r="KUC292" s="148"/>
      <c r="KUD292" s="148"/>
      <c r="KUE292" s="148"/>
      <c r="KUF292" s="148"/>
      <c r="KUG292" s="148"/>
      <c r="KUH292" s="148"/>
      <c r="KUI292" s="148"/>
      <c r="KUJ292" s="148"/>
      <c r="KUK292" s="148"/>
      <c r="KUL292" s="148"/>
      <c r="KUM292" s="148"/>
      <c r="KUN292" s="148"/>
      <c r="KUO292" s="148"/>
      <c r="KUP292" s="148"/>
      <c r="KUQ292" s="148"/>
      <c r="KUR292" s="148"/>
      <c r="KUS292" s="148"/>
      <c r="KUT292" s="148"/>
      <c r="KUU292" s="148"/>
      <c r="KUV292" s="148"/>
      <c r="KUW292" s="148"/>
      <c r="KUX292" s="148"/>
      <c r="KUY292" s="148"/>
      <c r="KUZ292" s="148"/>
      <c r="KVA292" s="148"/>
      <c r="KVB292" s="148"/>
      <c r="KVC292" s="148"/>
      <c r="KVD292" s="148"/>
      <c r="KVE292" s="148"/>
      <c r="KVF292" s="148"/>
      <c r="KVG292" s="148"/>
      <c r="KVH292" s="148"/>
      <c r="KVI292" s="148"/>
      <c r="KVJ292" s="148"/>
      <c r="KVK292" s="148"/>
      <c r="KVL292" s="148"/>
      <c r="KVM292" s="148"/>
      <c r="KVN292" s="148"/>
      <c r="KVO292" s="148"/>
      <c r="KVP292" s="148"/>
      <c r="KVQ292" s="148"/>
      <c r="KVR292" s="148"/>
      <c r="KVS292" s="148"/>
      <c r="KVT292" s="148"/>
      <c r="KVU292" s="148"/>
      <c r="KVV292" s="148"/>
      <c r="KVW292" s="148"/>
      <c r="KVX292" s="148"/>
      <c r="KVY292" s="148"/>
      <c r="KVZ292" s="148"/>
      <c r="KWA292" s="148"/>
      <c r="KWB292" s="148"/>
      <c r="KWC292" s="148"/>
      <c r="KWD292" s="148"/>
      <c r="KWE292" s="148"/>
      <c r="KWF292" s="148"/>
      <c r="KWG292" s="148"/>
      <c r="KWH292" s="148"/>
      <c r="KWI292" s="148"/>
      <c r="KWJ292" s="148"/>
      <c r="KWK292" s="148"/>
      <c r="KWL292" s="148"/>
      <c r="KWM292" s="148"/>
      <c r="KWN292" s="148"/>
      <c r="KWO292" s="148"/>
      <c r="KWP292" s="148"/>
      <c r="KWQ292" s="148"/>
      <c r="KWR292" s="148"/>
      <c r="KWS292" s="148"/>
      <c r="KWT292" s="148"/>
      <c r="KWU292" s="148"/>
      <c r="KWV292" s="148"/>
      <c r="KWW292" s="148"/>
      <c r="KWX292" s="148"/>
      <c r="KWY292" s="148"/>
      <c r="KWZ292" s="148"/>
      <c r="KXA292" s="148"/>
      <c r="KXB292" s="148"/>
      <c r="KXC292" s="148"/>
      <c r="KXD292" s="148"/>
      <c r="KXE292" s="148"/>
      <c r="KXF292" s="148"/>
      <c r="KXG292" s="148"/>
      <c r="KXH292" s="148"/>
      <c r="KXI292" s="148"/>
      <c r="KXJ292" s="148"/>
      <c r="KXK292" s="148"/>
      <c r="KXL292" s="148"/>
      <c r="KXM292" s="148"/>
      <c r="KXN292" s="148"/>
      <c r="KXO292" s="148"/>
      <c r="KXP292" s="148"/>
      <c r="KXQ292" s="148"/>
      <c r="KXR292" s="148"/>
      <c r="KXS292" s="148"/>
      <c r="KXT292" s="148"/>
      <c r="KXU292" s="148"/>
      <c r="KXV292" s="148"/>
      <c r="KXW292" s="148"/>
      <c r="KXX292" s="148"/>
      <c r="KXY292" s="148"/>
      <c r="KXZ292" s="148"/>
      <c r="KYA292" s="148"/>
      <c r="KYB292" s="148"/>
      <c r="KYC292" s="148"/>
      <c r="KYD292" s="148"/>
      <c r="KYE292" s="148"/>
      <c r="KYF292" s="148"/>
      <c r="KYG292" s="148"/>
      <c r="KYH292" s="148"/>
      <c r="KYI292" s="148"/>
      <c r="KYJ292" s="148"/>
      <c r="KYK292" s="148"/>
      <c r="KYL292" s="148"/>
      <c r="KYM292" s="148"/>
      <c r="KYN292" s="148"/>
      <c r="KYO292" s="148"/>
      <c r="KYP292" s="148"/>
      <c r="KYQ292" s="148"/>
      <c r="KYR292" s="148"/>
      <c r="KYS292" s="148"/>
      <c r="KYT292" s="148"/>
      <c r="KYU292" s="148"/>
      <c r="KYV292" s="148"/>
      <c r="KYW292" s="148"/>
      <c r="KYX292" s="148"/>
      <c r="KYY292" s="148"/>
      <c r="KYZ292" s="148"/>
      <c r="KZA292" s="148"/>
      <c r="KZB292" s="148"/>
      <c r="KZC292" s="148"/>
      <c r="KZD292" s="148"/>
      <c r="KZE292" s="148"/>
      <c r="KZF292" s="148"/>
      <c r="KZG292" s="148"/>
      <c r="KZH292" s="148"/>
      <c r="KZI292" s="148"/>
      <c r="KZJ292" s="148"/>
      <c r="KZK292" s="148"/>
      <c r="KZL292" s="148"/>
      <c r="KZM292" s="148"/>
      <c r="KZN292" s="148"/>
      <c r="KZO292" s="148"/>
      <c r="KZP292" s="148"/>
      <c r="KZQ292" s="148"/>
      <c r="KZR292" s="148"/>
      <c r="KZS292" s="148"/>
      <c r="KZT292" s="148"/>
      <c r="KZU292" s="148"/>
      <c r="KZV292" s="148"/>
      <c r="KZW292" s="148"/>
      <c r="KZX292" s="148"/>
      <c r="KZY292" s="148"/>
      <c r="KZZ292" s="148"/>
      <c r="LAA292" s="148"/>
      <c r="LAB292" s="148"/>
      <c r="LAC292" s="148"/>
      <c r="LAD292" s="148"/>
      <c r="LAE292" s="148"/>
      <c r="LAF292" s="148"/>
      <c r="LAG292" s="148"/>
      <c r="LAH292" s="148"/>
      <c r="LAI292" s="148"/>
      <c r="LAJ292" s="148"/>
      <c r="LAK292" s="148"/>
      <c r="LAL292" s="148"/>
      <c r="LAM292" s="148"/>
      <c r="LAN292" s="148"/>
      <c r="LAO292" s="148"/>
      <c r="LAP292" s="148"/>
      <c r="LAQ292" s="148"/>
      <c r="LAR292" s="148"/>
      <c r="LAS292" s="148"/>
      <c r="LAT292" s="148"/>
      <c r="LAU292" s="148"/>
      <c r="LAV292" s="148"/>
      <c r="LAW292" s="148"/>
      <c r="LAX292" s="148"/>
      <c r="LAY292" s="148"/>
      <c r="LAZ292" s="148"/>
      <c r="LBA292" s="148"/>
      <c r="LBB292" s="148"/>
      <c r="LBC292" s="148"/>
      <c r="LBD292" s="148"/>
      <c r="LBE292" s="148"/>
      <c r="LBF292" s="148"/>
      <c r="LBG292" s="148"/>
      <c r="LBH292" s="148"/>
      <c r="LBI292" s="148"/>
      <c r="LBJ292" s="148"/>
      <c r="LBK292" s="148"/>
      <c r="LBL292" s="148"/>
      <c r="LBM292" s="148"/>
      <c r="LBN292" s="148"/>
      <c r="LBO292" s="148"/>
      <c r="LBP292" s="148"/>
      <c r="LBQ292" s="148"/>
      <c r="LBR292" s="148"/>
      <c r="LBS292" s="148"/>
      <c r="LBT292" s="148"/>
      <c r="LBU292" s="148"/>
      <c r="LBV292" s="148"/>
      <c r="LBW292" s="148"/>
      <c r="LBX292" s="148"/>
      <c r="LBY292" s="148"/>
      <c r="LBZ292" s="148"/>
      <c r="LCA292" s="148"/>
      <c r="LCB292" s="148"/>
      <c r="LCC292" s="148"/>
      <c r="LCD292" s="148"/>
      <c r="LCE292" s="148"/>
      <c r="LCF292" s="148"/>
      <c r="LCG292" s="148"/>
      <c r="LCH292" s="148"/>
      <c r="LCI292" s="148"/>
      <c r="LCJ292" s="148"/>
      <c r="LCK292" s="148"/>
      <c r="LCL292" s="148"/>
      <c r="LCM292" s="148"/>
      <c r="LCN292" s="148"/>
      <c r="LCO292" s="148"/>
      <c r="LCP292" s="148"/>
      <c r="LCQ292" s="148"/>
      <c r="LCR292" s="148"/>
      <c r="LCS292" s="148"/>
      <c r="LCT292" s="148"/>
      <c r="LCU292" s="148"/>
      <c r="LCV292" s="148"/>
      <c r="LCW292" s="148"/>
      <c r="LCX292" s="148"/>
      <c r="LCY292" s="148"/>
      <c r="LCZ292" s="148"/>
      <c r="LDA292" s="148"/>
      <c r="LDB292" s="148"/>
      <c r="LDC292" s="148"/>
      <c r="LDD292" s="148"/>
      <c r="LDE292" s="148"/>
      <c r="LDF292" s="148"/>
      <c r="LDG292" s="148"/>
      <c r="LDH292" s="148"/>
      <c r="LDI292" s="148"/>
      <c r="LDJ292" s="148"/>
      <c r="LDK292" s="148"/>
      <c r="LDL292" s="148"/>
      <c r="LDM292" s="148"/>
      <c r="LDN292" s="148"/>
      <c r="LDO292" s="148"/>
      <c r="LDP292" s="148"/>
      <c r="LDQ292" s="148"/>
      <c r="LDR292" s="148"/>
      <c r="LDS292" s="148"/>
      <c r="LDT292" s="148"/>
      <c r="LDU292" s="148"/>
      <c r="LDV292" s="148"/>
      <c r="LDW292" s="148"/>
      <c r="LDX292" s="148"/>
      <c r="LDY292" s="148"/>
      <c r="LDZ292" s="148"/>
      <c r="LEA292" s="148"/>
      <c r="LEB292" s="148"/>
      <c r="LEC292" s="148"/>
      <c r="LED292" s="148"/>
      <c r="LEE292" s="148"/>
      <c r="LEF292" s="148"/>
      <c r="LEG292" s="148"/>
      <c r="LEH292" s="148"/>
      <c r="LEI292" s="148"/>
      <c r="LEJ292" s="148"/>
      <c r="LEK292" s="148"/>
      <c r="LEL292" s="148"/>
      <c r="LEM292" s="148"/>
      <c r="LEN292" s="148"/>
      <c r="LEO292" s="148"/>
      <c r="LEP292" s="148"/>
      <c r="LEQ292" s="148"/>
      <c r="LER292" s="148"/>
      <c r="LES292" s="148"/>
      <c r="LET292" s="148"/>
      <c r="LEU292" s="148"/>
      <c r="LEV292" s="148"/>
      <c r="LEW292" s="148"/>
      <c r="LEX292" s="148"/>
      <c r="LEY292" s="148"/>
      <c r="LEZ292" s="148"/>
      <c r="LFA292" s="148"/>
      <c r="LFB292" s="148"/>
      <c r="LFC292" s="148"/>
      <c r="LFD292" s="148"/>
      <c r="LFE292" s="148"/>
      <c r="LFF292" s="148"/>
      <c r="LFG292" s="148"/>
      <c r="LFH292" s="148"/>
      <c r="LFI292" s="148"/>
      <c r="LFJ292" s="148"/>
      <c r="LFK292" s="148"/>
      <c r="LFL292" s="148"/>
      <c r="LFM292" s="148"/>
      <c r="LFN292" s="148"/>
      <c r="LFO292" s="148"/>
      <c r="LFP292" s="148"/>
      <c r="LFQ292" s="148"/>
      <c r="LFR292" s="148"/>
      <c r="LFS292" s="148"/>
      <c r="LFT292" s="148"/>
      <c r="LFU292" s="148"/>
      <c r="LFV292" s="148"/>
      <c r="LFW292" s="148"/>
      <c r="LFX292" s="148"/>
      <c r="LFY292" s="148"/>
      <c r="LFZ292" s="148"/>
      <c r="LGA292" s="148"/>
      <c r="LGB292" s="148"/>
      <c r="LGC292" s="148"/>
      <c r="LGD292" s="148"/>
      <c r="LGE292" s="148"/>
      <c r="LGF292" s="148"/>
      <c r="LGG292" s="148"/>
      <c r="LGH292" s="148"/>
      <c r="LGI292" s="148"/>
      <c r="LGJ292" s="148"/>
      <c r="LGK292" s="148"/>
      <c r="LGL292" s="148"/>
      <c r="LGM292" s="148"/>
      <c r="LGN292" s="148"/>
      <c r="LGO292" s="148"/>
      <c r="LGP292" s="148"/>
      <c r="LGQ292" s="148"/>
      <c r="LGR292" s="148"/>
      <c r="LGS292" s="148"/>
      <c r="LGT292" s="148"/>
      <c r="LGU292" s="148"/>
      <c r="LGV292" s="148"/>
      <c r="LGW292" s="148"/>
      <c r="LGX292" s="148"/>
      <c r="LGY292" s="148"/>
      <c r="LGZ292" s="148"/>
      <c r="LHA292" s="148"/>
      <c r="LHB292" s="148"/>
      <c r="LHC292" s="148"/>
      <c r="LHD292" s="148"/>
      <c r="LHE292" s="148"/>
      <c r="LHF292" s="148"/>
      <c r="LHG292" s="148"/>
      <c r="LHH292" s="148"/>
      <c r="LHI292" s="148"/>
      <c r="LHJ292" s="148"/>
      <c r="LHK292" s="148"/>
      <c r="LHL292" s="148"/>
      <c r="LHM292" s="148"/>
      <c r="LHN292" s="148"/>
      <c r="LHO292" s="148"/>
      <c r="LHP292" s="148"/>
      <c r="LHQ292" s="148"/>
      <c r="LHR292" s="148"/>
      <c r="LHS292" s="148"/>
      <c r="LHT292" s="148"/>
      <c r="LHU292" s="148"/>
      <c r="LHV292" s="148"/>
      <c r="LHW292" s="148"/>
      <c r="LHX292" s="148"/>
      <c r="LHY292" s="148"/>
      <c r="LHZ292" s="148"/>
      <c r="LIA292" s="148"/>
      <c r="LIB292" s="148"/>
      <c r="LIC292" s="148"/>
      <c r="LID292" s="148"/>
      <c r="LIE292" s="148"/>
      <c r="LIF292" s="148"/>
      <c r="LIG292" s="148"/>
      <c r="LIH292" s="148"/>
      <c r="LII292" s="148"/>
      <c r="LIJ292" s="148"/>
      <c r="LIK292" s="148"/>
      <c r="LIL292" s="148"/>
      <c r="LIM292" s="148"/>
      <c r="LIN292" s="148"/>
      <c r="LIO292" s="148"/>
      <c r="LIP292" s="148"/>
      <c r="LIQ292" s="148"/>
      <c r="LIR292" s="148"/>
      <c r="LIS292" s="148"/>
      <c r="LIT292" s="148"/>
      <c r="LIU292" s="148"/>
      <c r="LIV292" s="148"/>
      <c r="LIW292" s="148"/>
      <c r="LIX292" s="148"/>
      <c r="LIY292" s="148"/>
      <c r="LIZ292" s="148"/>
      <c r="LJA292" s="148"/>
      <c r="LJB292" s="148"/>
      <c r="LJC292" s="148"/>
      <c r="LJD292" s="148"/>
      <c r="LJE292" s="148"/>
      <c r="LJF292" s="148"/>
      <c r="LJG292" s="148"/>
      <c r="LJH292" s="148"/>
      <c r="LJI292" s="148"/>
      <c r="LJJ292" s="148"/>
      <c r="LJK292" s="148"/>
      <c r="LJL292" s="148"/>
      <c r="LJM292" s="148"/>
      <c r="LJN292" s="148"/>
      <c r="LJO292" s="148"/>
      <c r="LJP292" s="148"/>
      <c r="LJQ292" s="148"/>
      <c r="LJR292" s="148"/>
      <c r="LJS292" s="148"/>
      <c r="LJT292" s="148"/>
      <c r="LJU292" s="148"/>
      <c r="LJV292" s="148"/>
      <c r="LJW292" s="148"/>
      <c r="LJX292" s="148"/>
      <c r="LJY292" s="148"/>
      <c r="LJZ292" s="148"/>
      <c r="LKA292" s="148"/>
      <c r="LKB292" s="148"/>
      <c r="LKC292" s="148"/>
      <c r="LKD292" s="148"/>
      <c r="LKE292" s="148"/>
      <c r="LKF292" s="148"/>
      <c r="LKG292" s="148"/>
      <c r="LKH292" s="148"/>
      <c r="LKI292" s="148"/>
      <c r="LKJ292" s="148"/>
      <c r="LKK292" s="148"/>
      <c r="LKL292" s="148"/>
      <c r="LKM292" s="148"/>
      <c r="LKN292" s="148"/>
      <c r="LKO292" s="148"/>
      <c r="LKP292" s="148"/>
      <c r="LKQ292" s="148"/>
      <c r="LKR292" s="148"/>
      <c r="LKS292" s="148"/>
      <c r="LKT292" s="148"/>
      <c r="LKU292" s="148"/>
      <c r="LKV292" s="148"/>
      <c r="LKW292" s="148"/>
      <c r="LKX292" s="148"/>
      <c r="LKY292" s="148"/>
      <c r="LKZ292" s="148"/>
      <c r="LLA292" s="148"/>
      <c r="LLB292" s="148"/>
      <c r="LLC292" s="148"/>
      <c r="LLD292" s="148"/>
      <c r="LLE292" s="148"/>
      <c r="LLF292" s="148"/>
      <c r="LLG292" s="148"/>
      <c r="LLH292" s="148"/>
      <c r="LLI292" s="148"/>
      <c r="LLJ292" s="148"/>
      <c r="LLK292" s="148"/>
      <c r="LLL292" s="148"/>
      <c r="LLM292" s="148"/>
      <c r="LLN292" s="148"/>
      <c r="LLO292" s="148"/>
      <c r="LLP292" s="148"/>
      <c r="LLQ292" s="148"/>
      <c r="LLR292" s="148"/>
      <c r="LLS292" s="148"/>
      <c r="LLT292" s="148"/>
      <c r="LLU292" s="148"/>
      <c r="LLV292" s="148"/>
      <c r="LLW292" s="148"/>
      <c r="LLX292" s="148"/>
      <c r="LLY292" s="148"/>
      <c r="LLZ292" s="148"/>
      <c r="LMA292" s="148"/>
      <c r="LMB292" s="148"/>
      <c r="LMC292" s="148"/>
      <c r="LMD292" s="148"/>
      <c r="LME292" s="148"/>
      <c r="LMF292" s="148"/>
      <c r="LMG292" s="148"/>
      <c r="LMH292" s="148"/>
      <c r="LMI292" s="148"/>
      <c r="LMJ292" s="148"/>
      <c r="LMK292" s="148"/>
      <c r="LML292" s="148"/>
      <c r="LMM292" s="148"/>
      <c r="LMN292" s="148"/>
      <c r="LMO292" s="148"/>
      <c r="LMP292" s="148"/>
      <c r="LMQ292" s="148"/>
      <c r="LMR292" s="148"/>
      <c r="LMS292" s="148"/>
      <c r="LMT292" s="148"/>
      <c r="LMU292" s="148"/>
      <c r="LMV292" s="148"/>
      <c r="LMW292" s="148"/>
      <c r="LMX292" s="148"/>
      <c r="LMY292" s="148"/>
      <c r="LMZ292" s="148"/>
      <c r="LNA292" s="148"/>
      <c r="LNB292" s="148"/>
      <c r="LNC292" s="148"/>
      <c r="LND292" s="148"/>
      <c r="LNE292" s="148"/>
      <c r="LNF292" s="148"/>
      <c r="LNG292" s="148"/>
      <c r="LNH292" s="148"/>
      <c r="LNI292" s="148"/>
      <c r="LNJ292" s="148"/>
      <c r="LNK292" s="148"/>
      <c r="LNL292" s="148"/>
      <c r="LNM292" s="148"/>
      <c r="LNN292" s="148"/>
      <c r="LNO292" s="148"/>
      <c r="LNP292" s="148"/>
      <c r="LNQ292" s="148"/>
      <c r="LNR292" s="148"/>
      <c r="LNS292" s="148"/>
      <c r="LNT292" s="148"/>
      <c r="LNU292" s="148"/>
      <c r="LNV292" s="148"/>
      <c r="LNW292" s="148"/>
      <c r="LNX292" s="148"/>
      <c r="LNY292" s="148"/>
      <c r="LNZ292" s="148"/>
      <c r="LOA292" s="148"/>
      <c r="LOB292" s="148"/>
      <c r="LOC292" s="148"/>
      <c r="LOD292" s="148"/>
      <c r="LOE292" s="148"/>
      <c r="LOF292" s="148"/>
      <c r="LOG292" s="148"/>
      <c r="LOH292" s="148"/>
      <c r="LOI292" s="148"/>
      <c r="LOJ292" s="148"/>
      <c r="LOK292" s="148"/>
      <c r="LOL292" s="148"/>
      <c r="LOM292" s="148"/>
      <c r="LON292" s="148"/>
      <c r="LOO292" s="148"/>
      <c r="LOP292" s="148"/>
      <c r="LOQ292" s="148"/>
      <c r="LOR292" s="148"/>
      <c r="LOS292" s="148"/>
      <c r="LOT292" s="148"/>
      <c r="LOU292" s="148"/>
      <c r="LOV292" s="148"/>
      <c r="LOW292" s="148"/>
      <c r="LOX292" s="148"/>
      <c r="LOY292" s="148"/>
      <c r="LOZ292" s="148"/>
      <c r="LPA292" s="148"/>
      <c r="LPB292" s="148"/>
      <c r="LPC292" s="148"/>
      <c r="LPD292" s="148"/>
      <c r="LPE292" s="148"/>
      <c r="LPF292" s="148"/>
      <c r="LPG292" s="148"/>
      <c r="LPH292" s="148"/>
      <c r="LPI292" s="148"/>
      <c r="LPJ292" s="148"/>
      <c r="LPK292" s="148"/>
      <c r="LPL292" s="148"/>
      <c r="LPM292" s="148"/>
      <c r="LPN292" s="148"/>
      <c r="LPO292" s="148"/>
      <c r="LPP292" s="148"/>
      <c r="LPQ292" s="148"/>
      <c r="LPR292" s="148"/>
      <c r="LPS292" s="148"/>
      <c r="LPT292" s="148"/>
      <c r="LPU292" s="148"/>
      <c r="LPV292" s="148"/>
      <c r="LPW292" s="148"/>
      <c r="LPX292" s="148"/>
      <c r="LPY292" s="148"/>
      <c r="LPZ292" s="148"/>
      <c r="LQA292" s="148"/>
      <c r="LQB292" s="148"/>
      <c r="LQC292" s="148"/>
      <c r="LQD292" s="148"/>
      <c r="LQE292" s="148"/>
      <c r="LQF292" s="148"/>
      <c r="LQG292" s="148"/>
      <c r="LQH292" s="148"/>
      <c r="LQI292" s="148"/>
      <c r="LQJ292" s="148"/>
      <c r="LQK292" s="148"/>
      <c r="LQL292" s="148"/>
      <c r="LQM292" s="148"/>
      <c r="LQN292" s="148"/>
      <c r="LQO292" s="148"/>
      <c r="LQP292" s="148"/>
      <c r="LQQ292" s="148"/>
      <c r="LQR292" s="148"/>
      <c r="LQS292" s="148"/>
      <c r="LQT292" s="148"/>
      <c r="LQU292" s="148"/>
      <c r="LQV292" s="148"/>
      <c r="LQW292" s="148"/>
      <c r="LQX292" s="148"/>
      <c r="LQY292" s="148"/>
      <c r="LQZ292" s="148"/>
      <c r="LRA292" s="148"/>
      <c r="LRB292" s="148"/>
      <c r="LRC292" s="148"/>
      <c r="LRD292" s="148"/>
      <c r="LRE292" s="148"/>
      <c r="LRF292" s="148"/>
      <c r="LRG292" s="148"/>
      <c r="LRH292" s="148"/>
      <c r="LRI292" s="148"/>
      <c r="LRJ292" s="148"/>
      <c r="LRK292" s="148"/>
      <c r="LRL292" s="148"/>
      <c r="LRM292" s="148"/>
      <c r="LRN292" s="148"/>
      <c r="LRO292" s="148"/>
      <c r="LRP292" s="148"/>
      <c r="LRQ292" s="148"/>
      <c r="LRR292" s="148"/>
      <c r="LRS292" s="148"/>
      <c r="LRT292" s="148"/>
      <c r="LRU292" s="148"/>
      <c r="LRV292" s="148"/>
      <c r="LRW292" s="148"/>
      <c r="LRX292" s="148"/>
      <c r="LRY292" s="148"/>
      <c r="LRZ292" s="148"/>
      <c r="LSA292" s="148"/>
      <c r="LSB292" s="148"/>
      <c r="LSC292" s="148"/>
      <c r="LSD292" s="148"/>
      <c r="LSE292" s="148"/>
      <c r="LSF292" s="148"/>
      <c r="LSG292" s="148"/>
      <c r="LSH292" s="148"/>
      <c r="LSI292" s="148"/>
      <c r="LSJ292" s="148"/>
      <c r="LSK292" s="148"/>
      <c r="LSL292" s="148"/>
      <c r="LSM292" s="148"/>
      <c r="LSN292" s="148"/>
      <c r="LSO292" s="148"/>
      <c r="LSP292" s="148"/>
      <c r="LSQ292" s="148"/>
      <c r="LSR292" s="148"/>
      <c r="LSS292" s="148"/>
      <c r="LST292" s="148"/>
      <c r="LSU292" s="148"/>
      <c r="LSV292" s="148"/>
      <c r="LSW292" s="148"/>
      <c r="LSX292" s="148"/>
      <c r="LSY292" s="148"/>
      <c r="LSZ292" s="148"/>
      <c r="LTA292" s="148"/>
      <c r="LTB292" s="148"/>
      <c r="LTC292" s="148"/>
      <c r="LTD292" s="148"/>
      <c r="LTE292" s="148"/>
      <c r="LTF292" s="148"/>
      <c r="LTG292" s="148"/>
      <c r="LTH292" s="148"/>
      <c r="LTI292" s="148"/>
      <c r="LTJ292" s="148"/>
      <c r="LTK292" s="148"/>
      <c r="LTL292" s="148"/>
      <c r="LTM292" s="148"/>
      <c r="LTN292" s="148"/>
      <c r="LTO292" s="148"/>
      <c r="LTP292" s="148"/>
      <c r="LTQ292" s="148"/>
      <c r="LTR292" s="148"/>
      <c r="LTS292" s="148"/>
      <c r="LTT292" s="148"/>
      <c r="LTU292" s="148"/>
      <c r="LTV292" s="148"/>
      <c r="LTW292" s="148"/>
      <c r="LTX292" s="148"/>
      <c r="LTY292" s="148"/>
      <c r="LTZ292" s="148"/>
      <c r="LUA292" s="148"/>
      <c r="LUB292" s="148"/>
      <c r="LUC292" s="148"/>
      <c r="LUD292" s="148"/>
      <c r="LUE292" s="148"/>
      <c r="LUF292" s="148"/>
      <c r="LUG292" s="148"/>
      <c r="LUH292" s="148"/>
      <c r="LUI292" s="148"/>
      <c r="LUJ292" s="148"/>
      <c r="LUK292" s="148"/>
      <c r="LUL292" s="148"/>
      <c r="LUM292" s="148"/>
      <c r="LUN292" s="148"/>
      <c r="LUO292" s="148"/>
      <c r="LUP292" s="148"/>
      <c r="LUQ292" s="148"/>
      <c r="LUR292" s="148"/>
      <c r="LUS292" s="148"/>
      <c r="LUT292" s="148"/>
      <c r="LUU292" s="148"/>
      <c r="LUV292" s="148"/>
      <c r="LUW292" s="148"/>
      <c r="LUX292" s="148"/>
      <c r="LUY292" s="148"/>
      <c r="LUZ292" s="148"/>
      <c r="LVA292" s="148"/>
      <c r="LVB292" s="148"/>
      <c r="LVC292" s="148"/>
      <c r="LVD292" s="148"/>
      <c r="LVE292" s="148"/>
      <c r="LVF292" s="148"/>
      <c r="LVG292" s="148"/>
      <c r="LVH292" s="148"/>
      <c r="LVI292" s="148"/>
      <c r="LVJ292" s="148"/>
      <c r="LVK292" s="148"/>
      <c r="LVL292" s="148"/>
      <c r="LVM292" s="148"/>
      <c r="LVN292" s="148"/>
      <c r="LVO292" s="148"/>
      <c r="LVP292" s="148"/>
      <c r="LVQ292" s="148"/>
      <c r="LVR292" s="148"/>
      <c r="LVS292" s="148"/>
      <c r="LVT292" s="148"/>
      <c r="LVU292" s="148"/>
      <c r="LVV292" s="148"/>
      <c r="LVW292" s="148"/>
      <c r="LVX292" s="148"/>
      <c r="LVY292" s="148"/>
      <c r="LVZ292" s="148"/>
      <c r="LWA292" s="148"/>
      <c r="LWB292" s="148"/>
      <c r="LWC292" s="148"/>
      <c r="LWD292" s="148"/>
      <c r="LWE292" s="148"/>
      <c r="LWF292" s="148"/>
      <c r="LWG292" s="148"/>
      <c r="LWH292" s="148"/>
      <c r="LWI292" s="148"/>
      <c r="LWJ292" s="148"/>
      <c r="LWK292" s="148"/>
      <c r="LWL292" s="148"/>
      <c r="LWM292" s="148"/>
      <c r="LWN292" s="148"/>
      <c r="LWO292" s="148"/>
      <c r="LWP292" s="148"/>
      <c r="LWQ292" s="148"/>
      <c r="LWR292" s="148"/>
      <c r="LWS292" s="148"/>
      <c r="LWT292" s="148"/>
      <c r="LWU292" s="148"/>
      <c r="LWV292" s="148"/>
      <c r="LWW292" s="148"/>
      <c r="LWX292" s="148"/>
      <c r="LWY292" s="148"/>
      <c r="LWZ292" s="148"/>
      <c r="LXA292" s="148"/>
      <c r="LXB292" s="148"/>
      <c r="LXC292" s="148"/>
      <c r="LXD292" s="148"/>
      <c r="LXE292" s="148"/>
      <c r="LXF292" s="148"/>
      <c r="LXG292" s="148"/>
      <c r="LXH292" s="148"/>
      <c r="LXI292" s="148"/>
      <c r="LXJ292" s="148"/>
      <c r="LXK292" s="148"/>
      <c r="LXL292" s="148"/>
      <c r="LXM292" s="148"/>
      <c r="LXN292" s="148"/>
      <c r="LXO292" s="148"/>
      <c r="LXP292" s="148"/>
      <c r="LXQ292" s="148"/>
      <c r="LXR292" s="148"/>
      <c r="LXS292" s="148"/>
      <c r="LXT292" s="148"/>
      <c r="LXU292" s="148"/>
      <c r="LXV292" s="148"/>
      <c r="LXW292" s="148"/>
      <c r="LXX292" s="148"/>
      <c r="LXY292" s="148"/>
      <c r="LXZ292" s="148"/>
      <c r="LYA292" s="148"/>
      <c r="LYB292" s="148"/>
      <c r="LYC292" s="148"/>
      <c r="LYD292" s="148"/>
      <c r="LYE292" s="148"/>
      <c r="LYF292" s="148"/>
      <c r="LYG292" s="148"/>
      <c r="LYH292" s="148"/>
      <c r="LYI292" s="148"/>
      <c r="LYJ292" s="148"/>
      <c r="LYK292" s="148"/>
      <c r="LYL292" s="148"/>
      <c r="LYM292" s="148"/>
      <c r="LYN292" s="148"/>
      <c r="LYO292" s="148"/>
      <c r="LYP292" s="148"/>
      <c r="LYQ292" s="148"/>
      <c r="LYR292" s="148"/>
      <c r="LYS292" s="148"/>
      <c r="LYT292" s="148"/>
      <c r="LYU292" s="148"/>
      <c r="LYV292" s="148"/>
      <c r="LYW292" s="148"/>
      <c r="LYX292" s="148"/>
      <c r="LYY292" s="148"/>
      <c r="LYZ292" s="148"/>
      <c r="LZA292" s="148"/>
      <c r="LZB292" s="148"/>
      <c r="LZC292" s="148"/>
      <c r="LZD292" s="148"/>
      <c r="LZE292" s="148"/>
      <c r="LZF292" s="148"/>
      <c r="LZG292" s="148"/>
      <c r="LZH292" s="148"/>
      <c r="LZI292" s="148"/>
      <c r="LZJ292" s="148"/>
      <c r="LZK292" s="148"/>
      <c r="LZL292" s="148"/>
      <c r="LZM292" s="148"/>
      <c r="LZN292" s="148"/>
      <c r="LZO292" s="148"/>
      <c r="LZP292" s="148"/>
      <c r="LZQ292" s="148"/>
      <c r="LZR292" s="148"/>
      <c r="LZS292" s="148"/>
      <c r="LZT292" s="148"/>
      <c r="LZU292" s="148"/>
      <c r="LZV292" s="148"/>
      <c r="LZW292" s="148"/>
      <c r="LZX292" s="148"/>
      <c r="LZY292" s="148"/>
      <c r="LZZ292" s="148"/>
      <c r="MAA292" s="148"/>
      <c r="MAB292" s="148"/>
      <c r="MAC292" s="148"/>
      <c r="MAD292" s="148"/>
      <c r="MAE292" s="148"/>
      <c r="MAF292" s="148"/>
      <c r="MAG292" s="148"/>
      <c r="MAH292" s="148"/>
      <c r="MAI292" s="148"/>
      <c r="MAJ292" s="148"/>
      <c r="MAK292" s="148"/>
      <c r="MAL292" s="148"/>
      <c r="MAM292" s="148"/>
      <c r="MAN292" s="148"/>
      <c r="MAO292" s="148"/>
      <c r="MAP292" s="148"/>
      <c r="MAQ292" s="148"/>
      <c r="MAR292" s="148"/>
      <c r="MAS292" s="148"/>
      <c r="MAT292" s="148"/>
      <c r="MAU292" s="148"/>
      <c r="MAV292" s="148"/>
      <c r="MAW292" s="148"/>
      <c r="MAX292" s="148"/>
      <c r="MAY292" s="148"/>
      <c r="MAZ292" s="148"/>
      <c r="MBA292" s="148"/>
      <c r="MBB292" s="148"/>
      <c r="MBC292" s="148"/>
      <c r="MBD292" s="148"/>
      <c r="MBE292" s="148"/>
      <c r="MBF292" s="148"/>
      <c r="MBG292" s="148"/>
      <c r="MBH292" s="148"/>
      <c r="MBI292" s="148"/>
      <c r="MBJ292" s="148"/>
      <c r="MBK292" s="148"/>
      <c r="MBL292" s="148"/>
      <c r="MBM292" s="148"/>
      <c r="MBN292" s="148"/>
      <c r="MBO292" s="148"/>
      <c r="MBP292" s="148"/>
      <c r="MBQ292" s="148"/>
      <c r="MBR292" s="148"/>
      <c r="MBS292" s="148"/>
      <c r="MBT292" s="148"/>
      <c r="MBU292" s="148"/>
      <c r="MBV292" s="148"/>
      <c r="MBW292" s="148"/>
      <c r="MBX292" s="148"/>
      <c r="MBY292" s="148"/>
      <c r="MBZ292" s="148"/>
      <c r="MCA292" s="148"/>
      <c r="MCB292" s="148"/>
      <c r="MCC292" s="148"/>
      <c r="MCD292" s="148"/>
      <c r="MCE292" s="148"/>
      <c r="MCF292" s="148"/>
      <c r="MCG292" s="148"/>
      <c r="MCH292" s="148"/>
      <c r="MCI292" s="148"/>
      <c r="MCJ292" s="148"/>
      <c r="MCK292" s="148"/>
      <c r="MCL292" s="148"/>
      <c r="MCM292" s="148"/>
      <c r="MCN292" s="148"/>
      <c r="MCO292" s="148"/>
      <c r="MCP292" s="148"/>
      <c r="MCQ292" s="148"/>
      <c r="MCR292" s="148"/>
      <c r="MCS292" s="148"/>
      <c r="MCT292" s="148"/>
      <c r="MCU292" s="148"/>
      <c r="MCV292" s="148"/>
      <c r="MCW292" s="148"/>
      <c r="MCX292" s="148"/>
      <c r="MCY292" s="148"/>
      <c r="MCZ292" s="148"/>
      <c r="MDA292" s="148"/>
      <c r="MDB292" s="148"/>
      <c r="MDC292" s="148"/>
      <c r="MDD292" s="148"/>
      <c r="MDE292" s="148"/>
      <c r="MDF292" s="148"/>
      <c r="MDG292" s="148"/>
      <c r="MDH292" s="148"/>
      <c r="MDI292" s="148"/>
      <c r="MDJ292" s="148"/>
      <c r="MDK292" s="148"/>
      <c r="MDL292" s="148"/>
      <c r="MDM292" s="148"/>
      <c r="MDN292" s="148"/>
      <c r="MDO292" s="148"/>
      <c r="MDP292" s="148"/>
      <c r="MDQ292" s="148"/>
      <c r="MDR292" s="148"/>
      <c r="MDS292" s="148"/>
      <c r="MDT292" s="148"/>
      <c r="MDU292" s="148"/>
      <c r="MDV292" s="148"/>
      <c r="MDW292" s="148"/>
      <c r="MDX292" s="148"/>
      <c r="MDY292" s="148"/>
      <c r="MDZ292" s="148"/>
      <c r="MEA292" s="148"/>
      <c r="MEB292" s="148"/>
      <c r="MEC292" s="148"/>
      <c r="MED292" s="148"/>
      <c r="MEE292" s="148"/>
      <c r="MEF292" s="148"/>
      <c r="MEG292" s="148"/>
      <c r="MEH292" s="148"/>
      <c r="MEI292" s="148"/>
      <c r="MEJ292" s="148"/>
      <c r="MEK292" s="148"/>
      <c r="MEL292" s="148"/>
      <c r="MEM292" s="148"/>
      <c r="MEN292" s="148"/>
      <c r="MEO292" s="148"/>
      <c r="MEP292" s="148"/>
      <c r="MEQ292" s="148"/>
      <c r="MER292" s="148"/>
      <c r="MES292" s="148"/>
      <c r="MET292" s="148"/>
      <c r="MEU292" s="148"/>
      <c r="MEV292" s="148"/>
      <c r="MEW292" s="148"/>
      <c r="MEX292" s="148"/>
      <c r="MEY292" s="148"/>
      <c r="MEZ292" s="148"/>
      <c r="MFA292" s="148"/>
      <c r="MFB292" s="148"/>
      <c r="MFC292" s="148"/>
      <c r="MFD292" s="148"/>
      <c r="MFE292" s="148"/>
      <c r="MFF292" s="148"/>
      <c r="MFG292" s="148"/>
      <c r="MFH292" s="148"/>
      <c r="MFI292" s="148"/>
      <c r="MFJ292" s="148"/>
      <c r="MFK292" s="148"/>
      <c r="MFL292" s="148"/>
      <c r="MFM292" s="148"/>
      <c r="MFN292" s="148"/>
      <c r="MFO292" s="148"/>
      <c r="MFP292" s="148"/>
      <c r="MFQ292" s="148"/>
      <c r="MFR292" s="148"/>
      <c r="MFS292" s="148"/>
      <c r="MFT292" s="148"/>
      <c r="MFU292" s="148"/>
      <c r="MFV292" s="148"/>
      <c r="MFW292" s="148"/>
      <c r="MFX292" s="148"/>
      <c r="MFY292" s="148"/>
      <c r="MFZ292" s="148"/>
      <c r="MGA292" s="148"/>
      <c r="MGB292" s="148"/>
      <c r="MGC292" s="148"/>
      <c r="MGD292" s="148"/>
      <c r="MGE292" s="148"/>
      <c r="MGF292" s="148"/>
      <c r="MGG292" s="148"/>
      <c r="MGH292" s="148"/>
      <c r="MGI292" s="148"/>
      <c r="MGJ292" s="148"/>
      <c r="MGK292" s="148"/>
      <c r="MGL292" s="148"/>
      <c r="MGM292" s="148"/>
      <c r="MGN292" s="148"/>
      <c r="MGO292" s="148"/>
      <c r="MGP292" s="148"/>
      <c r="MGQ292" s="148"/>
      <c r="MGR292" s="148"/>
      <c r="MGS292" s="148"/>
      <c r="MGT292" s="148"/>
      <c r="MGU292" s="148"/>
      <c r="MGV292" s="148"/>
      <c r="MGW292" s="148"/>
      <c r="MGX292" s="148"/>
      <c r="MGY292" s="148"/>
      <c r="MGZ292" s="148"/>
      <c r="MHA292" s="148"/>
      <c r="MHB292" s="148"/>
      <c r="MHC292" s="148"/>
      <c r="MHD292" s="148"/>
      <c r="MHE292" s="148"/>
      <c r="MHF292" s="148"/>
      <c r="MHG292" s="148"/>
      <c r="MHH292" s="148"/>
      <c r="MHI292" s="148"/>
      <c r="MHJ292" s="148"/>
      <c r="MHK292" s="148"/>
      <c r="MHL292" s="148"/>
      <c r="MHM292" s="148"/>
      <c r="MHN292" s="148"/>
      <c r="MHO292" s="148"/>
      <c r="MHP292" s="148"/>
      <c r="MHQ292" s="148"/>
      <c r="MHR292" s="148"/>
      <c r="MHS292" s="148"/>
      <c r="MHT292" s="148"/>
      <c r="MHU292" s="148"/>
      <c r="MHV292" s="148"/>
      <c r="MHW292" s="148"/>
      <c r="MHX292" s="148"/>
      <c r="MHY292" s="148"/>
      <c r="MHZ292" s="148"/>
      <c r="MIA292" s="148"/>
      <c r="MIB292" s="148"/>
      <c r="MIC292" s="148"/>
      <c r="MID292" s="148"/>
      <c r="MIE292" s="148"/>
      <c r="MIF292" s="148"/>
      <c r="MIG292" s="148"/>
      <c r="MIH292" s="148"/>
      <c r="MII292" s="148"/>
      <c r="MIJ292" s="148"/>
      <c r="MIK292" s="148"/>
      <c r="MIL292" s="148"/>
      <c r="MIM292" s="148"/>
      <c r="MIN292" s="148"/>
      <c r="MIO292" s="148"/>
      <c r="MIP292" s="148"/>
      <c r="MIQ292" s="148"/>
      <c r="MIR292" s="148"/>
      <c r="MIS292" s="148"/>
      <c r="MIT292" s="148"/>
      <c r="MIU292" s="148"/>
      <c r="MIV292" s="148"/>
      <c r="MIW292" s="148"/>
      <c r="MIX292" s="148"/>
      <c r="MIY292" s="148"/>
      <c r="MIZ292" s="148"/>
      <c r="MJA292" s="148"/>
      <c r="MJB292" s="148"/>
      <c r="MJC292" s="148"/>
      <c r="MJD292" s="148"/>
      <c r="MJE292" s="148"/>
      <c r="MJF292" s="148"/>
      <c r="MJG292" s="148"/>
      <c r="MJH292" s="148"/>
      <c r="MJI292" s="148"/>
      <c r="MJJ292" s="148"/>
      <c r="MJK292" s="148"/>
      <c r="MJL292" s="148"/>
      <c r="MJM292" s="148"/>
      <c r="MJN292" s="148"/>
      <c r="MJO292" s="148"/>
      <c r="MJP292" s="148"/>
      <c r="MJQ292" s="148"/>
      <c r="MJR292" s="148"/>
      <c r="MJS292" s="148"/>
      <c r="MJT292" s="148"/>
      <c r="MJU292" s="148"/>
      <c r="MJV292" s="148"/>
      <c r="MJW292" s="148"/>
      <c r="MJX292" s="148"/>
      <c r="MJY292" s="148"/>
      <c r="MJZ292" s="148"/>
      <c r="MKA292" s="148"/>
      <c r="MKB292" s="148"/>
      <c r="MKC292" s="148"/>
      <c r="MKD292" s="148"/>
      <c r="MKE292" s="148"/>
      <c r="MKF292" s="148"/>
      <c r="MKG292" s="148"/>
      <c r="MKH292" s="148"/>
      <c r="MKI292" s="148"/>
      <c r="MKJ292" s="148"/>
      <c r="MKK292" s="148"/>
      <c r="MKL292" s="148"/>
      <c r="MKM292" s="148"/>
      <c r="MKN292" s="148"/>
      <c r="MKO292" s="148"/>
      <c r="MKP292" s="148"/>
      <c r="MKQ292" s="148"/>
      <c r="MKR292" s="148"/>
      <c r="MKS292" s="148"/>
      <c r="MKT292" s="148"/>
      <c r="MKU292" s="148"/>
      <c r="MKV292" s="148"/>
      <c r="MKW292" s="148"/>
      <c r="MKX292" s="148"/>
      <c r="MKY292" s="148"/>
      <c r="MKZ292" s="148"/>
      <c r="MLA292" s="148"/>
      <c r="MLB292" s="148"/>
      <c r="MLC292" s="148"/>
      <c r="MLD292" s="148"/>
      <c r="MLE292" s="148"/>
      <c r="MLF292" s="148"/>
      <c r="MLG292" s="148"/>
      <c r="MLH292" s="148"/>
      <c r="MLI292" s="148"/>
      <c r="MLJ292" s="148"/>
      <c r="MLK292" s="148"/>
      <c r="MLL292" s="148"/>
      <c r="MLM292" s="148"/>
      <c r="MLN292" s="148"/>
      <c r="MLO292" s="148"/>
      <c r="MLP292" s="148"/>
      <c r="MLQ292" s="148"/>
      <c r="MLR292" s="148"/>
      <c r="MLS292" s="148"/>
      <c r="MLT292" s="148"/>
      <c r="MLU292" s="148"/>
      <c r="MLV292" s="148"/>
      <c r="MLW292" s="148"/>
      <c r="MLX292" s="148"/>
      <c r="MLY292" s="148"/>
      <c r="MLZ292" s="148"/>
      <c r="MMA292" s="148"/>
      <c r="MMB292" s="148"/>
      <c r="MMC292" s="148"/>
      <c r="MMD292" s="148"/>
      <c r="MME292" s="148"/>
      <c r="MMF292" s="148"/>
      <c r="MMG292" s="148"/>
      <c r="MMH292" s="148"/>
      <c r="MMI292" s="148"/>
      <c r="MMJ292" s="148"/>
      <c r="MMK292" s="148"/>
      <c r="MML292" s="148"/>
      <c r="MMM292" s="148"/>
      <c r="MMN292" s="148"/>
      <c r="MMO292" s="148"/>
      <c r="MMP292" s="148"/>
      <c r="MMQ292" s="148"/>
      <c r="MMR292" s="148"/>
      <c r="MMS292" s="148"/>
      <c r="MMT292" s="148"/>
      <c r="MMU292" s="148"/>
      <c r="MMV292" s="148"/>
      <c r="MMW292" s="148"/>
      <c r="MMX292" s="148"/>
      <c r="MMY292" s="148"/>
      <c r="MMZ292" s="148"/>
      <c r="MNA292" s="148"/>
      <c r="MNB292" s="148"/>
      <c r="MNC292" s="148"/>
      <c r="MND292" s="148"/>
      <c r="MNE292" s="148"/>
      <c r="MNF292" s="148"/>
      <c r="MNG292" s="148"/>
      <c r="MNH292" s="148"/>
      <c r="MNI292" s="148"/>
      <c r="MNJ292" s="148"/>
      <c r="MNK292" s="148"/>
      <c r="MNL292" s="148"/>
      <c r="MNM292" s="148"/>
      <c r="MNN292" s="148"/>
      <c r="MNO292" s="148"/>
      <c r="MNP292" s="148"/>
      <c r="MNQ292" s="148"/>
      <c r="MNR292" s="148"/>
      <c r="MNS292" s="148"/>
      <c r="MNT292" s="148"/>
      <c r="MNU292" s="148"/>
      <c r="MNV292" s="148"/>
      <c r="MNW292" s="148"/>
      <c r="MNX292" s="148"/>
      <c r="MNY292" s="148"/>
      <c r="MNZ292" s="148"/>
      <c r="MOA292" s="148"/>
      <c r="MOB292" s="148"/>
      <c r="MOC292" s="148"/>
      <c r="MOD292" s="148"/>
      <c r="MOE292" s="148"/>
      <c r="MOF292" s="148"/>
      <c r="MOG292" s="148"/>
      <c r="MOH292" s="148"/>
      <c r="MOI292" s="148"/>
      <c r="MOJ292" s="148"/>
      <c r="MOK292" s="148"/>
      <c r="MOL292" s="148"/>
      <c r="MOM292" s="148"/>
      <c r="MON292" s="148"/>
      <c r="MOO292" s="148"/>
      <c r="MOP292" s="148"/>
      <c r="MOQ292" s="148"/>
      <c r="MOR292" s="148"/>
      <c r="MOS292" s="148"/>
      <c r="MOT292" s="148"/>
      <c r="MOU292" s="148"/>
      <c r="MOV292" s="148"/>
      <c r="MOW292" s="148"/>
      <c r="MOX292" s="148"/>
      <c r="MOY292" s="148"/>
      <c r="MOZ292" s="148"/>
      <c r="MPA292" s="148"/>
      <c r="MPB292" s="148"/>
      <c r="MPC292" s="148"/>
      <c r="MPD292" s="148"/>
      <c r="MPE292" s="148"/>
      <c r="MPF292" s="148"/>
      <c r="MPG292" s="148"/>
      <c r="MPH292" s="148"/>
      <c r="MPI292" s="148"/>
      <c r="MPJ292" s="148"/>
      <c r="MPK292" s="148"/>
      <c r="MPL292" s="148"/>
      <c r="MPM292" s="148"/>
      <c r="MPN292" s="148"/>
      <c r="MPO292" s="148"/>
      <c r="MPP292" s="148"/>
      <c r="MPQ292" s="148"/>
      <c r="MPR292" s="148"/>
      <c r="MPS292" s="148"/>
      <c r="MPT292" s="148"/>
      <c r="MPU292" s="148"/>
      <c r="MPV292" s="148"/>
      <c r="MPW292" s="148"/>
      <c r="MPX292" s="148"/>
      <c r="MPY292" s="148"/>
      <c r="MPZ292" s="148"/>
      <c r="MQA292" s="148"/>
      <c r="MQB292" s="148"/>
      <c r="MQC292" s="148"/>
      <c r="MQD292" s="148"/>
      <c r="MQE292" s="148"/>
      <c r="MQF292" s="148"/>
      <c r="MQG292" s="148"/>
      <c r="MQH292" s="148"/>
      <c r="MQI292" s="148"/>
      <c r="MQJ292" s="148"/>
      <c r="MQK292" s="148"/>
      <c r="MQL292" s="148"/>
      <c r="MQM292" s="148"/>
      <c r="MQN292" s="148"/>
      <c r="MQO292" s="148"/>
      <c r="MQP292" s="148"/>
      <c r="MQQ292" s="148"/>
      <c r="MQR292" s="148"/>
      <c r="MQS292" s="148"/>
      <c r="MQT292" s="148"/>
      <c r="MQU292" s="148"/>
      <c r="MQV292" s="148"/>
      <c r="MQW292" s="148"/>
      <c r="MQX292" s="148"/>
      <c r="MQY292" s="148"/>
      <c r="MQZ292" s="148"/>
      <c r="MRA292" s="148"/>
      <c r="MRB292" s="148"/>
      <c r="MRC292" s="148"/>
      <c r="MRD292" s="148"/>
      <c r="MRE292" s="148"/>
      <c r="MRF292" s="148"/>
      <c r="MRG292" s="148"/>
      <c r="MRH292" s="148"/>
      <c r="MRI292" s="148"/>
      <c r="MRJ292" s="148"/>
      <c r="MRK292" s="148"/>
      <c r="MRL292" s="148"/>
      <c r="MRM292" s="148"/>
      <c r="MRN292" s="148"/>
      <c r="MRO292" s="148"/>
      <c r="MRP292" s="148"/>
      <c r="MRQ292" s="148"/>
      <c r="MRR292" s="148"/>
      <c r="MRS292" s="148"/>
      <c r="MRT292" s="148"/>
      <c r="MRU292" s="148"/>
      <c r="MRV292" s="148"/>
      <c r="MRW292" s="148"/>
      <c r="MRX292" s="148"/>
      <c r="MRY292" s="148"/>
      <c r="MRZ292" s="148"/>
      <c r="MSA292" s="148"/>
      <c r="MSB292" s="148"/>
      <c r="MSC292" s="148"/>
      <c r="MSD292" s="148"/>
      <c r="MSE292" s="148"/>
      <c r="MSF292" s="148"/>
      <c r="MSG292" s="148"/>
      <c r="MSH292" s="148"/>
      <c r="MSI292" s="148"/>
      <c r="MSJ292" s="148"/>
      <c r="MSK292" s="148"/>
      <c r="MSL292" s="148"/>
      <c r="MSM292" s="148"/>
      <c r="MSN292" s="148"/>
      <c r="MSO292" s="148"/>
      <c r="MSP292" s="148"/>
      <c r="MSQ292" s="148"/>
      <c r="MSR292" s="148"/>
      <c r="MSS292" s="148"/>
      <c r="MST292" s="148"/>
      <c r="MSU292" s="148"/>
      <c r="MSV292" s="148"/>
      <c r="MSW292" s="148"/>
      <c r="MSX292" s="148"/>
      <c r="MSY292" s="148"/>
      <c r="MSZ292" s="148"/>
      <c r="MTA292" s="148"/>
      <c r="MTB292" s="148"/>
      <c r="MTC292" s="148"/>
      <c r="MTD292" s="148"/>
      <c r="MTE292" s="148"/>
      <c r="MTF292" s="148"/>
      <c r="MTG292" s="148"/>
      <c r="MTH292" s="148"/>
      <c r="MTI292" s="148"/>
      <c r="MTJ292" s="148"/>
      <c r="MTK292" s="148"/>
      <c r="MTL292" s="148"/>
      <c r="MTM292" s="148"/>
      <c r="MTN292" s="148"/>
      <c r="MTO292" s="148"/>
      <c r="MTP292" s="148"/>
      <c r="MTQ292" s="148"/>
      <c r="MTR292" s="148"/>
      <c r="MTS292" s="148"/>
      <c r="MTT292" s="148"/>
      <c r="MTU292" s="148"/>
      <c r="MTV292" s="148"/>
      <c r="MTW292" s="148"/>
      <c r="MTX292" s="148"/>
      <c r="MTY292" s="148"/>
      <c r="MTZ292" s="148"/>
      <c r="MUA292" s="148"/>
      <c r="MUB292" s="148"/>
      <c r="MUC292" s="148"/>
      <c r="MUD292" s="148"/>
      <c r="MUE292" s="148"/>
      <c r="MUF292" s="148"/>
      <c r="MUG292" s="148"/>
      <c r="MUH292" s="148"/>
      <c r="MUI292" s="148"/>
      <c r="MUJ292" s="148"/>
      <c r="MUK292" s="148"/>
      <c r="MUL292" s="148"/>
      <c r="MUM292" s="148"/>
      <c r="MUN292" s="148"/>
      <c r="MUO292" s="148"/>
      <c r="MUP292" s="148"/>
      <c r="MUQ292" s="148"/>
      <c r="MUR292" s="148"/>
      <c r="MUS292" s="148"/>
      <c r="MUT292" s="148"/>
      <c r="MUU292" s="148"/>
      <c r="MUV292" s="148"/>
      <c r="MUW292" s="148"/>
      <c r="MUX292" s="148"/>
      <c r="MUY292" s="148"/>
      <c r="MUZ292" s="148"/>
      <c r="MVA292" s="148"/>
      <c r="MVB292" s="148"/>
      <c r="MVC292" s="148"/>
      <c r="MVD292" s="148"/>
      <c r="MVE292" s="148"/>
      <c r="MVF292" s="148"/>
      <c r="MVG292" s="148"/>
      <c r="MVH292" s="148"/>
      <c r="MVI292" s="148"/>
      <c r="MVJ292" s="148"/>
      <c r="MVK292" s="148"/>
      <c r="MVL292" s="148"/>
      <c r="MVM292" s="148"/>
      <c r="MVN292" s="148"/>
      <c r="MVO292" s="148"/>
      <c r="MVP292" s="148"/>
      <c r="MVQ292" s="148"/>
      <c r="MVR292" s="148"/>
      <c r="MVS292" s="148"/>
      <c r="MVT292" s="148"/>
      <c r="MVU292" s="148"/>
      <c r="MVV292" s="148"/>
      <c r="MVW292" s="148"/>
      <c r="MVX292" s="148"/>
      <c r="MVY292" s="148"/>
      <c r="MVZ292" s="148"/>
      <c r="MWA292" s="148"/>
      <c r="MWB292" s="148"/>
      <c r="MWC292" s="148"/>
      <c r="MWD292" s="148"/>
      <c r="MWE292" s="148"/>
      <c r="MWF292" s="148"/>
      <c r="MWG292" s="148"/>
      <c r="MWH292" s="148"/>
      <c r="MWI292" s="148"/>
      <c r="MWJ292" s="148"/>
      <c r="MWK292" s="148"/>
      <c r="MWL292" s="148"/>
      <c r="MWM292" s="148"/>
      <c r="MWN292" s="148"/>
      <c r="MWO292" s="148"/>
      <c r="MWP292" s="148"/>
      <c r="MWQ292" s="148"/>
      <c r="MWR292" s="148"/>
      <c r="MWS292" s="148"/>
      <c r="MWT292" s="148"/>
      <c r="MWU292" s="148"/>
      <c r="MWV292" s="148"/>
      <c r="MWW292" s="148"/>
      <c r="MWX292" s="148"/>
      <c r="MWY292" s="148"/>
      <c r="MWZ292" s="148"/>
      <c r="MXA292" s="148"/>
      <c r="MXB292" s="148"/>
      <c r="MXC292" s="148"/>
      <c r="MXD292" s="148"/>
      <c r="MXE292" s="148"/>
      <c r="MXF292" s="148"/>
      <c r="MXG292" s="148"/>
      <c r="MXH292" s="148"/>
      <c r="MXI292" s="148"/>
      <c r="MXJ292" s="148"/>
      <c r="MXK292" s="148"/>
      <c r="MXL292" s="148"/>
      <c r="MXM292" s="148"/>
      <c r="MXN292" s="148"/>
      <c r="MXO292" s="148"/>
      <c r="MXP292" s="148"/>
      <c r="MXQ292" s="148"/>
      <c r="MXR292" s="148"/>
      <c r="MXS292" s="148"/>
      <c r="MXT292" s="148"/>
      <c r="MXU292" s="148"/>
      <c r="MXV292" s="148"/>
      <c r="MXW292" s="148"/>
      <c r="MXX292" s="148"/>
      <c r="MXY292" s="148"/>
      <c r="MXZ292" s="148"/>
      <c r="MYA292" s="148"/>
      <c r="MYB292" s="148"/>
      <c r="MYC292" s="148"/>
      <c r="MYD292" s="148"/>
      <c r="MYE292" s="148"/>
      <c r="MYF292" s="148"/>
      <c r="MYG292" s="148"/>
      <c r="MYH292" s="148"/>
      <c r="MYI292" s="148"/>
      <c r="MYJ292" s="148"/>
      <c r="MYK292" s="148"/>
      <c r="MYL292" s="148"/>
      <c r="MYM292" s="148"/>
      <c r="MYN292" s="148"/>
      <c r="MYO292" s="148"/>
      <c r="MYP292" s="148"/>
      <c r="MYQ292" s="148"/>
      <c r="MYR292" s="148"/>
      <c r="MYS292" s="148"/>
      <c r="MYT292" s="148"/>
      <c r="MYU292" s="148"/>
      <c r="MYV292" s="148"/>
      <c r="MYW292" s="148"/>
      <c r="MYX292" s="148"/>
      <c r="MYY292" s="148"/>
      <c r="MYZ292" s="148"/>
      <c r="MZA292" s="148"/>
      <c r="MZB292" s="148"/>
      <c r="MZC292" s="148"/>
      <c r="MZD292" s="148"/>
      <c r="MZE292" s="148"/>
      <c r="MZF292" s="148"/>
      <c r="MZG292" s="148"/>
      <c r="MZH292" s="148"/>
      <c r="MZI292" s="148"/>
      <c r="MZJ292" s="148"/>
      <c r="MZK292" s="148"/>
      <c r="MZL292" s="148"/>
      <c r="MZM292" s="148"/>
      <c r="MZN292" s="148"/>
      <c r="MZO292" s="148"/>
      <c r="MZP292" s="148"/>
      <c r="MZQ292" s="148"/>
      <c r="MZR292" s="148"/>
      <c r="MZS292" s="148"/>
      <c r="MZT292" s="148"/>
      <c r="MZU292" s="148"/>
      <c r="MZV292" s="148"/>
      <c r="MZW292" s="148"/>
      <c r="MZX292" s="148"/>
      <c r="MZY292" s="148"/>
      <c r="MZZ292" s="148"/>
      <c r="NAA292" s="148"/>
      <c r="NAB292" s="148"/>
      <c r="NAC292" s="148"/>
      <c r="NAD292" s="148"/>
      <c r="NAE292" s="148"/>
      <c r="NAF292" s="148"/>
      <c r="NAG292" s="148"/>
      <c r="NAH292" s="148"/>
      <c r="NAI292" s="148"/>
      <c r="NAJ292" s="148"/>
      <c r="NAK292" s="148"/>
      <c r="NAL292" s="148"/>
      <c r="NAM292" s="148"/>
      <c r="NAN292" s="148"/>
      <c r="NAO292" s="148"/>
      <c r="NAP292" s="148"/>
      <c r="NAQ292" s="148"/>
      <c r="NAR292" s="148"/>
      <c r="NAS292" s="148"/>
      <c r="NAT292" s="148"/>
      <c r="NAU292" s="148"/>
      <c r="NAV292" s="148"/>
      <c r="NAW292" s="148"/>
      <c r="NAX292" s="148"/>
      <c r="NAY292" s="148"/>
      <c r="NAZ292" s="148"/>
      <c r="NBA292" s="148"/>
      <c r="NBB292" s="148"/>
      <c r="NBC292" s="148"/>
      <c r="NBD292" s="148"/>
      <c r="NBE292" s="148"/>
      <c r="NBF292" s="148"/>
      <c r="NBG292" s="148"/>
      <c r="NBH292" s="148"/>
      <c r="NBI292" s="148"/>
      <c r="NBJ292" s="148"/>
      <c r="NBK292" s="148"/>
      <c r="NBL292" s="148"/>
      <c r="NBM292" s="148"/>
      <c r="NBN292" s="148"/>
      <c r="NBO292" s="148"/>
      <c r="NBP292" s="148"/>
      <c r="NBQ292" s="148"/>
      <c r="NBR292" s="148"/>
      <c r="NBS292" s="148"/>
      <c r="NBT292" s="148"/>
      <c r="NBU292" s="148"/>
      <c r="NBV292" s="148"/>
      <c r="NBW292" s="148"/>
      <c r="NBX292" s="148"/>
      <c r="NBY292" s="148"/>
      <c r="NBZ292" s="148"/>
      <c r="NCA292" s="148"/>
      <c r="NCB292" s="148"/>
      <c r="NCC292" s="148"/>
      <c r="NCD292" s="148"/>
      <c r="NCE292" s="148"/>
      <c r="NCF292" s="148"/>
      <c r="NCG292" s="148"/>
      <c r="NCH292" s="148"/>
      <c r="NCI292" s="148"/>
      <c r="NCJ292" s="148"/>
      <c r="NCK292" s="148"/>
      <c r="NCL292" s="148"/>
      <c r="NCM292" s="148"/>
      <c r="NCN292" s="148"/>
      <c r="NCO292" s="148"/>
      <c r="NCP292" s="148"/>
      <c r="NCQ292" s="148"/>
      <c r="NCR292" s="148"/>
      <c r="NCS292" s="148"/>
      <c r="NCT292" s="148"/>
      <c r="NCU292" s="148"/>
      <c r="NCV292" s="148"/>
      <c r="NCW292" s="148"/>
      <c r="NCX292" s="148"/>
      <c r="NCY292" s="148"/>
      <c r="NCZ292" s="148"/>
      <c r="NDA292" s="148"/>
      <c r="NDB292" s="148"/>
      <c r="NDC292" s="148"/>
      <c r="NDD292" s="148"/>
      <c r="NDE292" s="148"/>
      <c r="NDF292" s="148"/>
      <c r="NDG292" s="148"/>
      <c r="NDH292" s="148"/>
      <c r="NDI292" s="148"/>
      <c r="NDJ292" s="148"/>
      <c r="NDK292" s="148"/>
      <c r="NDL292" s="148"/>
      <c r="NDM292" s="148"/>
      <c r="NDN292" s="148"/>
      <c r="NDO292" s="148"/>
      <c r="NDP292" s="148"/>
      <c r="NDQ292" s="148"/>
      <c r="NDR292" s="148"/>
      <c r="NDS292" s="148"/>
      <c r="NDT292" s="148"/>
      <c r="NDU292" s="148"/>
      <c r="NDV292" s="148"/>
      <c r="NDW292" s="148"/>
      <c r="NDX292" s="148"/>
      <c r="NDY292" s="148"/>
      <c r="NDZ292" s="148"/>
      <c r="NEA292" s="148"/>
      <c r="NEB292" s="148"/>
      <c r="NEC292" s="148"/>
      <c r="NED292" s="148"/>
      <c r="NEE292" s="148"/>
      <c r="NEF292" s="148"/>
      <c r="NEG292" s="148"/>
      <c r="NEH292" s="148"/>
      <c r="NEI292" s="148"/>
      <c r="NEJ292" s="148"/>
      <c r="NEK292" s="148"/>
      <c r="NEL292" s="148"/>
      <c r="NEM292" s="148"/>
      <c r="NEN292" s="148"/>
      <c r="NEO292" s="148"/>
      <c r="NEP292" s="148"/>
      <c r="NEQ292" s="148"/>
      <c r="NER292" s="148"/>
      <c r="NES292" s="148"/>
      <c r="NET292" s="148"/>
      <c r="NEU292" s="148"/>
      <c r="NEV292" s="148"/>
      <c r="NEW292" s="148"/>
      <c r="NEX292" s="148"/>
      <c r="NEY292" s="148"/>
      <c r="NEZ292" s="148"/>
      <c r="NFA292" s="148"/>
      <c r="NFB292" s="148"/>
      <c r="NFC292" s="148"/>
      <c r="NFD292" s="148"/>
      <c r="NFE292" s="148"/>
      <c r="NFF292" s="148"/>
      <c r="NFG292" s="148"/>
      <c r="NFH292" s="148"/>
      <c r="NFI292" s="148"/>
      <c r="NFJ292" s="148"/>
      <c r="NFK292" s="148"/>
      <c r="NFL292" s="148"/>
      <c r="NFM292" s="148"/>
      <c r="NFN292" s="148"/>
      <c r="NFO292" s="148"/>
      <c r="NFP292" s="148"/>
      <c r="NFQ292" s="148"/>
      <c r="NFR292" s="148"/>
      <c r="NFS292" s="148"/>
      <c r="NFT292" s="148"/>
      <c r="NFU292" s="148"/>
      <c r="NFV292" s="148"/>
      <c r="NFW292" s="148"/>
      <c r="NFX292" s="148"/>
      <c r="NFY292" s="148"/>
      <c r="NFZ292" s="148"/>
      <c r="NGA292" s="148"/>
      <c r="NGB292" s="148"/>
      <c r="NGC292" s="148"/>
      <c r="NGD292" s="148"/>
      <c r="NGE292" s="148"/>
      <c r="NGF292" s="148"/>
      <c r="NGG292" s="148"/>
      <c r="NGH292" s="148"/>
      <c r="NGI292" s="148"/>
      <c r="NGJ292" s="148"/>
      <c r="NGK292" s="148"/>
      <c r="NGL292" s="148"/>
      <c r="NGM292" s="148"/>
      <c r="NGN292" s="148"/>
      <c r="NGO292" s="148"/>
      <c r="NGP292" s="148"/>
      <c r="NGQ292" s="148"/>
      <c r="NGR292" s="148"/>
      <c r="NGS292" s="148"/>
      <c r="NGT292" s="148"/>
      <c r="NGU292" s="148"/>
      <c r="NGV292" s="148"/>
      <c r="NGW292" s="148"/>
      <c r="NGX292" s="148"/>
      <c r="NGY292" s="148"/>
      <c r="NGZ292" s="148"/>
      <c r="NHA292" s="148"/>
      <c r="NHB292" s="148"/>
      <c r="NHC292" s="148"/>
      <c r="NHD292" s="148"/>
      <c r="NHE292" s="148"/>
      <c r="NHF292" s="148"/>
      <c r="NHG292" s="148"/>
      <c r="NHH292" s="148"/>
      <c r="NHI292" s="148"/>
      <c r="NHJ292" s="148"/>
      <c r="NHK292" s="148"/>
      <c r="NHL292" s="148"/>
      <c r="NHM292" s="148"/>
      <c r="NHN292" s="148"/>
      <c r="NHO292" s="148"/>
      <c r="NHP292" s="148"/>
      <c r="NHQ292" s="148"/>
      <c r="NHR292" s="148"/>
      <c r="NHS292" s="148"/>
      <c r="NHT292" s="148"/>
      <c r="NHU292" s="148"/>
      <c r="NHV292" s="148"/>
      <c r="NHW292" s="148"/>
      <c r="NHX292" s="148"/>
      <c r="NHY292" s="148"/>
      <c r="NHZ292" s="148"/>
      <c r="NIA292" s="148"/>
      <c r="NIB292" s="148"/>
      <c r="NIC292" s="148"/>
      <c r="NID292" s="148"/>
      <c r="NIE292" s="148"/>
      <c r="NIF292" s="148"/>
      <c r="NIG292" s="148"/>
      <c r="NIH292" s="148"/>
      <c r="NII292" s="148"/>
      <c r="NIJ292" s="148"/>
      <c r="NIK292" s="148"/>
      <c r="NIL292" s="148"/>
      <c r="NIM292" s="148"/>
      <c r="NIN292" s="148"/>
      <c r="NIO292" s="148"/>
      <c r="NIP292" s="148"/>
      <c r="NIQ292" s="148"/>
      <c r="NIR292" s="148"/>
      <c r="NIS292" s="148"/>
      <c r="NIT292" s="148"/>
      <c r="NIU292" s="148"/>
      <c r="NIV292" s="148"/>
      <c r="NIW292" s="148"/>
      <c r="NIX292" s="148"/>
      <c r="NIY292" s="148"/>
      <c r="NIZ292" s="148"/>
      <c r="NJA292" s="148"/>
      <c r="NJB292" s="148"/>
      <c r="NJC292" s="148"/>
      <c r="NJD292" s="148"/>
      <c r="NJE292" s="148"/>
      <c r="NJF292" s="148"/>
      <c r="NJG292" s="148"/>
      <c r="NJH292" s="148"/>
      <c r="NJI292" s="148"/>
      <c r="NJJ292" s="148"/>
      <c r="NJK292" s="148"/>
      <c r="NJL292" s="148"/>
      <c r="NJM292" s="148"/>
      <c r="NJN292" s="148"/>
      <c r="NJO292" s="148"/>
      <c r="NJP292" s="148"/>
      <c r="NJQ292" s="148"/>
      <c r="NJR292" s="148"/>
      <c r="NJS292" s="148"/>
      <c r="NJT292" s="148"/>
      <c r="NJU292" s="148"/>
      <c r="NJV292" s="148"/>
      <c r="NJW292" s="148"/>
      <c r="NJX292" s="148"/>
      <c r="NJY292" s="148"/>
      <c r="NJZ292" s="148"/>
      <c r="NKA292" s="148"/>
      <c r="NKB292" s="148"/>
      <c r="NKC292" s="148"/>
      <c r="NKD292" s="148"/>
      <c r="NKE292" s="148"/>
      <c r="NKF292" s="148"/>
      <c r="NKG292" s="148"/>
      <c r="NKH292" s="148"/>
      <c r="NKI292" s="148"/>
      <c r="NKJ292" s="148"/>
      <c r="NKK292" s="148"/>
      <c r="NKL292" s="148"/>
      <c r="NKM292" s="148"/>
      <c r="NKN292" s="148"/>
      <c r="NKO292" s="148"/>
      <c r="NKP292" s="148"/>
      <c r="NKQ292" s="148"/>
      <c r="NKR292" s="148"/>
      <c r="NKS292" s="148"/>
      <c r="NKT292" s="148"/>
      <c r="NKU292" s="148"/>
      <c r="NKV292" s="148"/>
      <c r="NKW292" s="148"/>
      <c r="NKX292" s="148"/>
      <c r="NKY292" s="148"/>
      <c r="NKZ292" s="148"/>
      <c r="NLA292" s="148"/>
      <c r="NLB292" s="148"/>
      <c r="NLC292" s="148"/>
      <c r="NLD292" s="148"/>
      <c r="NLE292" s="148"/>
      <c r="NLF292" s="148"/>
      <c r="NLG292" s="148"/>
      <c r="NLH292" s="148"/>
      <c r="NLI292" s="148"/>
      <c r="NLJ292" s="148"/>
      <c r="NLK292" s="148"/>
      <c r="NLL292" s="148"/>
      <c r="NLM292" s="148"/>
      <c r="NLN292" s="148"/>
      <c r="NLO292" s="148"/>
      <c r="NLP292" s="148"/>
      <c r="NLQ292" s="148"/>
      <c r="NLR292" s="148"/>
      <c r="NLS292" s="148"/>
      <c r="NLT292" s="148"/>
      <c r="NLU292" s="148"/>
      <c r="NLV292" s="148"/>
      <c r="NLW292" s="148"/>
      <c r="NLX292" s="148"/>
      <c r="NLY292" s="148"/>
      <c r="NLZ292" s="148"/>
      <c r="NMA292" s="148"/>
      <c r="NMB292" s="148"/>
      <c r="NMC292" s="148"/>
      <c r="NMD292" s="148"/>
      <c r="NME292" s="148"/>
      <c r="NMF292" s="148"/>
      <c r="NMG292" s="148"/>
      <c r="NMH292" s="148"/>
      <c r="NMI292" s="148"/>
      <c r="NMJ292" s="148"/>
      <c r="NMK292" s="148"/>
      <c r="NML292" s="148"/>
      <c r="NMM292" s="148"/>
      <c r="NMN292" s="148"/>
      <c r="NMO292" s="148"/>
      <c r="NMP292" s="148"/>
      <c r="NMQ292" s="148"/>
      <c r="NMR292" s="148"/>
      <c r="NMS292" s="148"/>
      <c r="NMT292" s="148"/>
      <c r="NMU292" s="148"/>
      <c r="NMV292" s="148"/>
      <c r="NMW292" s="148"/>
      <c r="NMX292" s="148"/>
      <c r="NMY292" s="148"/>
      <c r="NMZ292" s="148"/>
      <c r="NNA292" s="148"/>
      <c r="NNB292" s="148"/>
      <c r="NNC292" s="148"/>
      <c r="NND292" s="148"/>
      <c r="NNE292" s="148"/>
      <c r="NNF292" s="148"/>
      <c r="NNG292" s="148"/>
      <c r="NNH292" s="148"/>
      <c r="NNI292" s="148"/>
      <c r="NNJ292" s="148"/>
      <c r="NNK292" s="148"/>
      <c r="NNL292" s="148"/>
      <c r="NNM292" s="148"/>
      <c r="NNN292" s="148"/>
      <c r="NNO292" s="148"/>
      <c r="NNP292" s="148"/>
      <c r="NNQ292" s="148"/>
      <c r="NNR292" s="148"/>
      <c r="NNS292" s="148"/>
      <c r="NNT292" s="148"/>
      <c r="NNU292" s="148"/>
      <c r="NNV292" s="148"/>
      <c r="NNW292" s="148"/>
      <c r="NNX292" s="148"/>
      <c r="NNY292" s="148"/>
      <c r="NNZ292" s="148"/>
      <c r="NOA292" s="148"/>
      <c r="NOB292" s="148"/>
      <c r="NOC292" s="148"/>
      <c r="NOD292" s="148"/>
      <c r="NOE292" s="148"/>
      <c r="NOF292" s="148"/>
      <c r="NOG292" s="148"/>
      <c r="NOH292" s="148"/>
      <c r="NOI292" s="148"/>
      <c r="NOJ292" s="148"/>
      <c r="NOK292" s="148"/>
      <c r="NOL292" s="148"/>
      <c r="NOM292" s="148"/>
      <c r="NON292" s="148"/>
      <c r="NOO292" s="148"/>
      <c r="NOP292" s="148"/>
      <c r="NOQ292" s="148"/>
      <c r="NOR292" s="148"/>
      <c r="NOS292" s="148"/>
      <c r="NOT292" s="148"/>
      <c r="NOU292" s="148"/>
      <c r="NOV292" s="148"/>
      <c r="NOW292" s="148"/>
      <c r="NOX292" s="148"/>
      <c r="NOY292" s="148"/>
      <c r="NOZ292" s="148"/>
      <c r="NPA292" s="148"/>
      <c r="NPB292" s="148"/>
      <c r="NPC292" s="148"/>
      <c r="NPD292" s="148"/>
      <c r="NPE292" s="148"/>
      <c r="NPF292" s="148"/>
      <c r="NPG292" s="148"/>
      <c r="NPH292" s="148"/>
      <c r="NPI292" s="148"/>
      <c r="NPJ292" s="148"/>
      <c r="NPK292" s="148"/>
      <c r="NPL292" s="148"/>
      <c r="NPM292" s="148"/>
      <c r="NPN292" s="148"/>
      <c r="NPO292" s="148"/>
      <c r="NPP292" s="148"/>
      <c r="NPQ292" s="148"/>
      <c r="NPR292" s="148"/>
      <c r="NPS292" s="148"/>
      <c r="NPT292" s="148"/>
      <c r="NPU292" s="148"/>
      <c r="NPV292" s="148"/>
      <c r="NPW292" s="148"/>
      <c r="NPX292" s="148"/>
      <c r="NPY292" s="148"/>
      <c r="NPZ292" s="148"/>
      <c r="NQA292" s="148"/>
      <c r="NQB292" s="148"/>
      <c r="NQC292" s="148"/>
      <c r="NQD292" s="148"/>
      <c r="NQE292" s="148"/>
      <c r="NQF292" s="148"/>
      <c r="NQG292" s="148"/>
      <c r="NQH292" s="148"/>
      <c r="NQI292" s="148"/>
      <c r="NQJ292" s="148"/>
      <c r="NQK292" s="148"/>
      <c r="NQL292" s="148"/>
      <c r="NQM292" s="148"/>
      <c r="NQN292" s="148"/>
      <c r="NQO292" s="148"/>
      <c r="NQP292" s="148"/>
      <c r="NQQ292" s="148"/>
      <c r="NQR292" s="148"/>
      <c r="NQS292" s="148"/>
      <c r="NQT292" s="148"/>
      <c r="NQU292" s="148"/>
      <c r="NQV292" s="148"/>
      <c r="NQW292" s="148"/>
      <c r="NQX292" s="148"/>
      <c r="NQY292" s="148"/>
      <c r="NQZ292" s="148"/>
      <c r="NRA292" s="148"/>
      <c r="NRB292" s="148"/>
      <c r="NRC292" s="148"/>
      <c r="NRD292" s="148"/>
      <c r="NRE292" s="148"/>
      <c r="NRF292" s="148"/>
      <c r="NRG292" s="148"/>
      <c r="NRH292" s="148"/>
      <c r="NRI292" s="148"/>
      <c r="NRJ292" s="148"/>
      <c r="NRK292" s="148"/>
      <c r="NRL292" s="148"/>
      <c r="NRM292" s="148"/>
      <c r="NRN292" s="148"/>
      <c r="NRO292" s="148"/>
      <c r="NRP292" s="148"/>
      <c r="NRQ292" s="148"/>
      <c r="NRR292" s="148"/>
      <c r="NRS292" s="148"/>
      <c r="NRT292" s="148"/>
      <c r="NRU292" s="148"/>
      <c r="NRV292" s="148"/>
      <c r="NRW292" s="148"/>
      <c r="NRX292" s="148"/>
      <c r="NRY292" s="148"/>
      <c r="NRZ292" s="148"/>
      <c r="NSA292" s="148"/>
      <c r="NSB292" s="148"/>
      <c r="NSC292" s="148"/>
      <c r="NSD292" s="148"/>
      <c r="NSE292" s="148"/>
      <c r="NSF292" s="148"/>
      <c r="NSG292" s="148"/>
      <c r="NSH292" s="148"/>
      <c r="NSI292" s="148"/>
      <c r="NSJ292" s="148"/>
      <c r="NSK292" s="148"/>
      <c r="NSL292" s="148"/>
      <c r="NSM292" s="148"/>
      <c r="NSN292" s="148"/>
      <c r="NSO292" s="148"/>
      <c r="NSP292" s="148"/>
      <c r="NSQ292" s="148"/>
      <c r="NSR292" s="148"/>
      <c r="NSS292" s="148"/>
      <c r="NST292" s="148"/>
      <c r="NSU292" s="148"/>
      <c r="NSV292" s="148"/>
      <c r="NSW292" s="148"/>
      <c r="NSX292" s="148"/>
      <c r="NSY292" s="148"/>
      <c r="NSZ292" s="148"/>
      <c r="NTA292" s="148"/>
      <c r="NTB292" s="148"/>
      <c r="NTC292" s="148"/>
      <c r="NTD292" s="148"/>
      <c r="NTE292" s="148"/>
      <c r="NTF292" s="148"/>
      <c r="NTG292" s="148"/>
      <c r="NTH292" s="148"/>
      <c r="NTI292" s="148"/>
      <c r="NTJ292" s="148"/>
      <c r="NTK292" s="148"/>
      <c r="NTL292" s="148"/>
      <c r="NTM292" s="148"/>
      <c r="NTN292" s="148"/>
      <c r="NTO292" s="148"/>
      <c r="NTP292" s="148"/>
      <c r="NTQ292" s="148"/>
      <c r="NTR292" s="148"/>
      <c r="NTS292" s="148"/>
      <c r="NTT292" s="148"/>
      <c r="NTU292" s="148"/>
      <c r="NTV292" s="148"/>
      <c r="NTW292" s="148"/>
      <c r="NTX292" s="148"/>
      <c r="NTY292" s="148"/>
      <c r="NTZ292" s="148"/>
      <c r="NUA292" s="148"/>
      <c r="NUB292" s="148"/>
      <c r="NUC292" s="148"/>
      <c r="NUD292" s="148"/>
      <c r="NUE292" s="148"/>
      <c r="NUF292" s="148"/>
      <c r="NUG292" s="148"/>
      <c r="NUH292" s="148"/>
      <c r="NUI292" s="148"/>
      <c r="NUJ292" s="148"/>
      <c r="NUK292" s="148"/>
      <c r="NUL292" s="148"/>
      <c r="NUM292" s="148"/>
      <c r="NUN292" s="148"/>
      <c r="NUO292" s="148"/>
      <c r="NUP292" s="148"/>
      <c r="NUQ292" s="148"/>
      <c r="NUR292" s="148"/>
      <c r="NUS292" s="148"/>
      <c r="NUT292" s="148"/>
      <c r="NUU292" s="148"/>
      <c r="NUV292" s="148"/>
      <c r="NUW292" s="148"/>
      <c r="NUX292" s="148"/>
      <c r="NUY292" s="148"/>
      <c r="NUZ292" s="148"/>
      <c r="NVA292" s="148"/>
      <c r="NVB292" s="148"/>
      <c r="NVC292" s="148"/>
      <c r="NVD292" s="148"/>
      <c r="NVE292" s="148"/>
      <c r="NVF292" s="148"/>
      <c r="NVG292" s="148"/>
      <c r="NVH292" s="148"/>
      <c r="NVI292" s="148"/>
      <c r="NVJ292" s="148"/>
      <c r="NVK292" s="148"/>
      <c r="NVL292" s="148"/>
      <c r="NVM292" s="148"/>
      <c r="NVN292" s="148"/>
      <c r="NVO292" s="148"/>
      <c r="NVP292" s="148"/>
      <c r="NVQ292" s="148"/>
      <c r="NVR292" s="148"/>
      <c r="NVS292" s="148"/>
      <c r="NVT292" s="148"/>
      <c r="NVU292" s="148"/>
      <c r="NVV292" s="148"/>
      <c r="NVW292" s="148"/>
      <c r="NVX292" s="148"/>
      <c r="NVY292" s="148"/>
      <c r="NVZ292" s="148"/>
      <c r="NWA292" s="148"/>
      <c r="NWB292" s="148"/>
      <c r="NWC292" s="148"/>
      <c r="NWD292" s="148"/>
      <c r="NWE292" s="148"/>
      <c r="NWF292" s="148"/>
      <c r="NWG292" s="148"/>
      <c r="NWH292" s="148"/>
      <c r="NWI292" s="148"/>
      <c r="NWJ292" s="148"/>
      <c r="NWK292" s="148"/>
      <c r="NWL292" s="148"/>
      <c r="NWM292" s="148"/>
      <c r="NWN292" s="148"/>
      <c r="NWO292" s="148"/>
      <c r="NWP292" s="148"/>
      <c r="NWQ292" s="148"/>
      <c r="NWR292" s="148"/>
      <c r="NWS292" s="148"/>
      <c r="NWT292" s="148"/>
      <c r="NWU292" s="148"/>
      <c r="NWV292" s="148"/>
      <c r="NWW292" s="148"/>
      <c r="NWX292" s="148"/>
      <c r="NWY292" s="148"/>
      <c r="NWZ292" s="148"/>
      <c r="NXA292" s="148"/>
      <c r="NXB292" s="148"/>
      <c r="NXC292" s="148"/>
      <c r="NXD292" s="148"/>
      <c r="NXE292" s="148"/>
      <c r="NXF292" s="148"/>
      <c r="NXG292" s="148"/>
      <c r="NXH292" s="148"/>
      <c r="NXI292" s="148"/>
      <c r="NXJ292" s="148"/>
      <c r="NXK292" s="148"/>
      <c r="NXL292" s="148"/>
      <c r="NXM292" s="148"/>
      <c r="NXN292" s="148"/>
      <c r="NXO292" s="148"/>
      <c r="NXP292" s="148"/>
      <c r="NXQ292" s="148"/>
      <c r="NXR292" s="148"/>
      <c r="NXS292" s="148"/>
      <c r="NXT292" s="148"/>
      <c r="NXU292" s="148"/>
      <c r="NXV292" s="148"/>
      <c r="NXW292" s="148"/>
      <c r="NXX292" s="148"/>
      <c r="NXY292" s="148"/>
      <c r="NXZ292" s="148"/>
      <c r="NYA292" s="148"/>
      <c r="NYB292" s="148"/>
      <c r="NYC292" s="148"/>
      <c r="NYD292" s="148"/>
      <c r="NYE292" s="148"/>
      <c r="NYF292" s="148"/>
      <c r="NYG292" s="148"/>
      <c r="NYH292" s="148"/>
      <c r="NYI292" s="148"/>
      <c r="NYJ292" s="148"/>
      <c r="NYK292" s="148"/>
      <c r="NYL292" s="148"/>
      <c r="NYM292" s="148"/>
      <c r="NYN292" s="148"/>
      <c r="NYO292" s="148"/>
      <c r="NYP292" s="148"/>
      <c r="NYQ292" s="148"/>
      <c r="NYR292" s="148"/>
      <c r="NYS292" s="148"/>
      <c r="NYT292" s="148"/>
      <c r="NYU292" s="148"/>
      <c r="NYV292" s="148"/>
      <c r="NYW292" s="148"/>
      <c r="NYX292" s="148"/>
      <c r="NYY292" s="148"/>
      <c r="NYZ292" s="148"/>
      <c r="NZA292" s="148"/>
      <c r="NZB292" s="148"/>
      <c r="NZC292" s="148"/>
      <c r="NZD292" s="148"/>
      <c r="NZE292" s="148"/>
      <c r="NZF292" s="148"/>
      <c r="NZG292" s="148"/>
      <c r="NZH292" s="148"/>
      <c r="NZI292" s="148"/>
      <c r="NZJ292" s="148"/>
      <c r="NZK292" s="148"/>
      <c r="NZL292" s="148"/>
      <c r="NZM292" s="148"/>
      <c r="NZN292" s="148"/>
      <c r="NZO292" s="148"/>
      <c r="NZP292" s="148"/>
      <c r="NZQ292" s="148"/>
      <c r="NZR292" s="148"/>
      <c r="NZS292" s="148"/>
      <c r="NZT292" s="148"/>
      <c r="NZU292" s="148"/>
      <c r="NZV292" s="148"/>
      <c r="NZW292" s="148"/>
      <c r="NZX292" s="148"/>
      <c r="NZY292" s="148"/>
      <c r="NZZ292" s="148"/>
      <c r="OAA292" s="148"/>
      <c r="OAB292" s="148"/>
      <c r="OAC292" s="148"/>
      <c r="OAD292" s="148"/>
      <c r="OAE292" s="148"/>
      <c r="OAF292" s="148"/>
      <c r="OAG292" s="148"/>
      <c r="OAH292" s="148"/>
      <c r="OAI292" s="148"/>
      <c r="OAJ292" s="148"/>
      <c r="OAK292" s="148"/>
      <c r="OAL292" s="148"/>
      <c r="OAM292" s="148"/>
      <c r="OAN292" s="148"/>
      <c r="OAO292" s="148"/>
      <c r="OAP292" s="148"/>
      <c r="OAQ292" s="148"/>
      <c r="OAR292" s="148"/>
      <c r="OAS292" s="148"/>
      <c r="OAT292" s="148"/>
      <c r="OAU292" s="148"/>
      <c r="OAV292" s="148"/>
      <c r="OAW292" s="148"/>
      <c r="OAX292" s="148"/>
      <c r="OAY292" s="148"/>
      <c r="OAZ292" s="148"/>
      <c r="OBA292" s="148"/>
      <c r="OBB292" s="148"/>
      <c r="OBC292" s="148"/>
      <c r="OBD292" s="148"/>
      <c r="OBE292" s="148"/>
      <c r="OBF292" s="148"/>
      <c r="OBG292" s="148"/>
      <c r="OBH292" s="148"/>
      <c r="OBI292" s="148"/>
      <c r="OBJ292" s="148"/>
      <c r="OBK292" s="148"/>
      <c r="OBL292" s="148"/>
      <c r="OBM292" s="148"/>
      <c r="OBN292" s="148"/>
      <c r="OBO292" s="148"/>
      <c r="OBP292" s="148"/>
      <c r="OBQ292" s="148"/>
      <c r="OBR292" s="148"/>
      <c r="OBS292" s="148"/>
      <c r="OBT292" s="148"/>
      <c r="OBU292" s="148"/>
      <c r="OBV292" s="148"/>
      <c r="OBW292" s="148"/>
      <c r="OBX292" s="148"/>
      <c r="OBY292" s="148"/>
      <c r="OBZ292" s="148"/>
      <c r="OCA292" s="148"/>
      <c r="OCB292" s="148"/>
      <c r="OCC292" s="148"/>
      <c r="OCD292" s="148"/>
      <c r="OCE292" s="148"/>
      <c r="OCF292" s="148"/>
      <c r="OCG292" s="148"/>
      <c r="OCH292" s="148"/>
      <c r="OCI292" s="148"/>
      <c r="OCJ292" s="148"/>
      <c r="OCK292" s="148"/>
      <c r="OCL292" s="148"/>
      <c r="OCM292" s="148"/>
      <c r="OCN292" s="148"/>
      <c r="OCO292" s="148"/>
      <c r="OCP292" s="148"/>
      <c r="OCQ292" s="148"/>
      <c r="OCR292" s="148"/>
      <c r="OCS292" s="148"/>
      <c r="OCT292" s="148"/>
      <c r="OCU292" s="148"/>
      <c r="OCV292" s="148"/>
      <c r="OCW292" s="148"/>
      <c r="OCX292" s="148"/>
      <c r="OCY292" s="148"/>
      <c r="OCZ292" s="148"/>
      <c r="ODA292" s="148"/>
      <c r="ODB292" s="148"/>
      <c r="ODC292" s="148"/>
      <c r="ODD292" s="148"/>
      <c r="ODE292" s="148"/>
      <c r="ODF292" s="148"/>
      <c r="ODG292" s="148"/>
      <c r="ODH292" s="148"/>
      <c r="ODI292" s="148"/>
      <c r="ODJ292" s="148"/>
      <c r="ODK292" s="148"/>
      <c r="ODL292" s="148"/>
      <c r="ODM292" s="148"/>
      <c r="ODN292" s="148"/>
      <c r="ODO292" s="148"/>
      <c r="ODP292" s="148"/>
      <c r="ODQ292" s="148"/>
      <c r="ODR292" s="148"/>
      <c r="ODS292" s="148"/>
      <c r="ODT292" s="148"/>
      <c r="ODU292" s="148"/>
      <c r="ODV292" s="148"/>
      <c r="ODW292" s="148"/>
      <c r="ODX292" s="148"/>
      <c r="ODY292" s="148"/>
      <c r="ODZ292" s="148"/>
      <c r="OEA292" s="148"/>
      <c r="OEB292" s="148"/>
      <c r="OEC292" s="148"/>
      <c r="OED292" s="148"/>
      <c r="OEE292" s="148"/>
      <c r="OEF292" s="148"/>
      <c r="OEG292" s="148"/>
      <c r="OEH292" s="148"/>
      <c r="OEI292" s="148"/>
      <c r="OEJ292" s="148"/>
      <c r="OEK292" s="148"/>
      <c r="OEL292" s="148"/>
      <c r="OEM292" s="148"/>
      <c r="OEN292" s="148"/>
      <c r="OEO292" s="148"/>
      <c r="OEP292" s="148"/>
      <c r="OEQ292" s="148"/>
      <c r="OER292" s="148"/>
      <c r="OES292" s="148"/>
      <c r="OET292" s="148"/>
      <c r="OEU292" s="148"/>
      <c r="OEV292" s="148"/>
      <c r="OEW292" s="148"/>
      <c r="OEX292" s="148"/>
      <c r="OEY292" s="148"/>
      <c r="OEZ292" s="148"/>
      <c r="OFA292" s="148"/>
      <c r="OFB292" s="148"/>
      <c r="OFC292" s="148"/>
      <c r="OFD292" s="148"/>
      <c r="OFE292" s="148"/>
      <c r="OFF292" s="148"/>
      <c r="OFG292" s="148"/>
      <c r="OFH292" s="148"/>
      <c r="OFI292" s="148"/>
      <c r="OFJ292" s="148"/>
      <c r="OFK292" s="148"/>
      <c r="OFL292" s="148"/>
      <c r="OFM292" s="148"/>
      <c r="OFN292" s="148"/>
      <c r="OFO292" s="148"/>
      <c r="OFP292" s="148"/>
      <c r="OFQ292" s="148"/>
      <c r="OFR292" s="148"/>
      <c r="OFS292" s="148"/>
      <c r="OFT292" s="148"/>
      <c r="OFU292" s="148"/>
      <c r="OFV292" s="148"/>
      <c r="OFW292" s="148"/>
      <c r="OFX292" s="148"/>
      <c r="OFY292" s="148"/>
      <c r="OFZ292" s="148"/>
      <c r="OGA292" s="148"/>
      <c r="OGB292" s="148"/>
      <c r="OGC292" s="148"/>
      <c r="OGD292" s="148"/>
      <c r="OGE292" s="148"/>
      <c r="OGF292" s="148"/>
      <c r="OGG292" s="148"/>
      <c r="OGH292" s="148"/>
      <c r="OGI292" s="148"/>
      <c r="OGJ292" s="148"/>
      <c r="OGK292" s="148"/>
      <c r="OGL292" s="148"/>
      <c r="OGM292" s="148"/>
      <c r="OGN292" s="148"/>
      <c r="OGO292" s="148"/>
      <c r="OGP292" s="148"/>
      <c r="OGQ292" s="148"/>
      <c r="OGR292" s="148"/>
      <c r="OGS292" s="148"/>
      <c r="OGT292" s="148"/>
      <c r="OGU292" s="148"/>
      <c r="OGV292" s="148"/>
      <c r="OGW292" s="148"/>
      <c r="OGX292" s="148"/>
      <c r="OGY292" s="148"/>
      <c r="OGZ292" s="148"/>
      <c r="OHA292" s="148"/>
      <c r="OHB292" s="148"/>
      <c r="OHC292" s="148"/>
      <c r="OHD292" s="148"/>
      <c r="OHE292" s="148"/>
      <c r="OHF292" s="148"/>
      <c r="OHG292" s="148"/>
      <c r="OHH292" s="148"/>
      <c r="OHI292" s="148"/>
      <c r="OHJ292" s="148"/>
      <c r="OHK292" s="148"/>
      <c r="OHL292" s="148"/>
      <c r="OHM292" s="148"/>
      <c r="OHN292" s="148"/>
      <c r="OHO292" s="148"/>
      <c r="OHP292" s="148"/>
      <c r="OHQ292" s="148"/>
      <c r="OHR292" s="148"/>
      <c r="OHS292" s="148"/>
      <c r="OHT292" s="148"/>
      <c r="OHU292" s="148"/>
      <c r="OHV292" s="148"/>
      <c r="OHW292" s="148"/>
      <c r="OHX292" s="148"/>
      <c r="OHY292" s="148"/>
      <c r="OHZ292" s="148"/>
      <c r="OIA292" s="148"/>
      <c r="OIB292" s="148"/>
      <c r="OIC292" s="148"/>
      <c r="OID292" s="148"/>
      <c r="OIE292" s="148"/>
      <c r="OIF292" s="148"/>
      <c r="OIG292" s="148"/>
      <c r="OIH292" s="148"/>
      <c r="OII292" s="148"/>
      <c r="OIJ292" s="148"/>
      <c r="OIK292" s="148"/>
      <c r="OIL292" s="148"/>
      <c r="OIM292" s="148"/>
      <c r="OIN292" s="148"/>
      <c r="OIO292" s="148"/>
      <c r="OIP292" s="148"/>
      <c r="OIQ292" s="148"/>
      <c r="OIR292" s="148"/>
      <c r="OIS292" s="148"/>
      <c r="OIT292" s="148"/>
      <c r="OIU292" s="148"/>
      <c r="OIV292" s="148"/>
      <c r="OIW292" s="148"/>
      <c r="OIX292" s="148"/>
      <c r="OIY292" s="148"/>
      <c r="OIZ292" s="148"/>
      <c r="OJA292" s="148"/>
      <c r="OJB292" s="148"/>
      <c r="OJC292" s="148"/>
      <c r="OJD292" s="148"/>
      <c r="OJE292" s="148"/>
      <c r="OJF292" s="148"/>
      <c r="OJG292" s="148"/>
      <c r="OJH292" s="148"/>
      <c r="OJI292" s="148"/>
      <c r="OJJ292" s="148"/>
      <c r="OJK292" s="148"/>
      <c r="OJL292" s="148"/>
      <c r="OJM292" s="148"/>
      <c r="OJN292" s="148"/>
      <c r="OJO292" s="148"/>
      <c r="OJP292" s="148"/>
      <c r="OJQ292" s="148"/>
      <c r="OJR292" s="148"/>
      <c r="OJS292" s="148"/>
      <c r="OJT292" s="148"/>
      <c r="OJU292" s="148"/>
      <c r="OJV292" s="148"/>
      <c r="OJW292" s="148"/>
      <c r="OJX292" s="148"/>
      <c r="OJY292" s="148"/>
      <c r="OJZ292" s="148"/>
      <c r="OKA292" s="148"/>
      <c r="OKB292" s="148"/>
      <c r="OKC292" s="148"/>
      <c r="OKD292" s="148"/>
      <c r="OKE292" s="148"/>
      <c r="OKF292" s="148"/>
      <c r="OKG292" s="148"/>
      <c r="OKH292" s="148"/>
      <c r="OKI292" s="148"/>
      <c r="OKJ292" s="148"/>
      <c r="OKK292" s="148"/>
      <c r="OKL292" s="148"/>
      <c r="OKM292" s="148"/>
      <c r="OKN292" s="148"/>
      <c r="OKO292" s="148"/>
      <c r="OKP292" s="148"/>
      <c r="OKQ292" s="148"/>
      <c r="OKR292" s="148"/>
      <c r="OKS292" s="148"/>
      <c r="OKT292" s="148"/>
      <c r="OKU292" s="148"/>
      <c r="OKV292" s="148"/>
      <c r="OKW292" s="148"/>
      <c r="OKX292" s="148"/>
      <c r="OKY292" s="148"/>
      <c r="OKZ292" s="148"/>
      <c r="OLA292" s="148"/>
      <c r="OLB292" s="148"/>
      <c r="OLC292" s="148"/>
      <c r="OLD292" s="148"/>
      <c r="OLE292" s="148"/>
      <c r="OLF292" s="148"/>
      <c r="OLG292" s="148"/>
      <c r="OLH292" s="148"/>
      <c r="OLI292" s="148"/>
      <c r="OLJ292" s="148"/>
      <c r="OLK292" s="148"/>
      <c r="OLL292" s="148"/>
      <c r="OLM292" s="148"/>
      <c r="OLN292" s="148"/>
      <c r="OLO292" s="148"/>
      <c r="OLP292" s="148"/>
      <c r="OLQ292" s="148"/>
      <c r="OLR292" s="148"/>
      <c r="OLS292" s="148"/>
      <c r="OLT292" s="148"/>
      <c r="OLU292" s="148"/>
      <c r="OLV292" s="148"/>
      <c r="OLW292" s="148"/>
      <c r="OLX292" s="148"/>
      <c r="OLY292" s="148"/>
      <c r="OLZ292" s="148"/>
      <c r="OMA292" s="148"/>
      <c r="OMB292" s="148"/>
      <c r="OMC292" s="148"/>
      <c r="OMD292" s="148"/>
      <c r="OME292" s="148"/>
      <c r="OMF292" s="148"/>
      <c r="OMG292" s="148"/>
      <c r="OMH292" s="148"/>
      <c r="OMI292" s="148"/>
      <c r="OMJ292" s="148"/>
      <c r="OMK292" s="148"/>
      <c r="OML292" s="148"/>
      <c r="OMM292" s="148"/>
      <c r="OMN292" s="148"/>
      <c r="OMO292" s="148"/>
      <c r="OMP292" s="148"/>
      <c r="OMQ292" s="148"/>
      <c r="OMR292" s="148"/>
      <c r="OMS292" s="148"/>
      <c r="OMT292" s="148"/>
      <c r="OMU292" s="148"/>
      <c r="OMV292" s="148"/>
      <c r="OMW292" s="148"/>
      <c r="OMX292" s="148"/>
      <c r="OMY292" s="148"/>
      <c r="OMZ292" s="148"/>
      <c r="ONA292" s="148"/>
      <c r="ONB292" s="148"/>
      <c r="ONC292" s="148"/>
      <c r="OND292" s="148"/>
      <c r="ONE292" s="148"/>
      <c r="ONF292" s="148"/>
      <c r="ONG292" s="148"/>
      <c r="ONH292" s="148"/>
      <c r="ONI292" s="148"/>
      <c r="ONJ292" s="148"/>
      <c r="ONK292" s="148"/>
      <c r="ONL292" s="148"/>
      <c r="ONM292" s="148"/>
      <c r="ONN292" s="148"/>
      <c r="ONO292" s="148"/>
      <c r="ONP292" s="148"/>
      <c r="ONQ292" s="148"/>
      <c r="ONR292" s="148"/>
      <c r="ONS292" s="148"/>
      <c r="ONT292" s="148"/>
      <c r="ONU292" s="148"/>
      <c r="ONV292" s="148"/>
      <c r="ONW292" s="148"/>
      <c r="ONX292" s="148"/>
      <c r="ONY292" s="148"/>
      <c r="ONZ292" s="148"/>
      <c r="OOA292" s="148"/>
      <c r="OOB292" s="148"/>
      <c r="OOC292" s="148"/>
      <c r="OOD292" s="148"/>
      <c r="OOE292" s="148"/>
      <c r="OOF292" s="148"/>
      <c r="OOG292" s="148"/>
      <c r="OOH292" s="148"/>
      <c r="OOI292" s="148"/>
      <c r="OOJ292" s="148"/>
      <c r="OOK292" s="148"/>
      <c r="OOL292" s="148"/>
      <c r="OOM292" s="148"/>
      <c r="OON292" s="148"/>
      <c r="OOO292" s="148"/>
      <c r="OOP292" s="148"/>
      <c r="OOQ292" s="148"/>
      <c r="OOR292" s="148"/>
      <c r="OOS292" s="148"/>
      <c r="OOT292" s="148"/>
      <c r="OOU292" s="148"/>
      <c r="OOV292" s="148"/>
      <c r="OOW292" s="148"/>
      <c r="OOX292" s="148"/>
      <c r="OOY292" s="148"/>
      <c r="OOZ292" s="148"/>
      <c r="OPA292" s="148"/>
      <c r="OPB292" s="148"/>
      <c r="OPC292" s="148"/>
      <c r="OPD292" s="148"/>
      <c r="OPE292" s="148"/>
      <c r="OPF292" s="148"/>
      <c r="OPG292" s="148"/>
      <c r="OPH292" s="148"/>
      <c r="OPI292" s="148"/>
      <c r="OPJ292" s="148"/>
      <c r="OPK292" s="148"/>
      <c r="OPL292" s="148"/>
      <c r="OPM292" s="148"/>
      <c r="OPN292" s="148"/>
      <c r="OPO292" s="148"/>
      <c r="OPP292" s="148"/>
      <c r="OPQ292" s="148"/>
      <c r="OPR292" s="148"/>
      <c r="OPS292" s="148"/>
      <c r="OPT292" s="148"/>
      <c r="OPU292" s="148"/>
      <c r="OPV292" s="148"/>
      <c r="OPW292" s="148"/>
      <c r="OPX292" s="148"/>
      <c r="OPY292" s="148"/>
      <c r="OPZ292" s="148"/>
      <c r="OQA292" s="148"/>
      <c r="OQB292" s="148"/>
      <c r="OQC292" s="148"/>
      <c r="OQD292" s="148"/>
      <c r="OQE292" s="148"/>
      <c r="OQF292" s="148"/>
      <c r="OQG292" s="148"/>
      <c r="OQH292" s="148"/>
      <c r="OQI292" s="148"/>
      <c r="OQJ292" s="148"/>
      <c r="OQK292" s="148"/>
      <c r="OQL292" s="148"/>
      <c r="OQM292" s="148"/>
      <c r="OQN292" s="148"/>
      <c r="OQO292" s="148"/>
      <c r="OQP292" s="148"/>
      <c r="OQQ292" s="148"/>
      <c r="OQR292" s="148"/>
      <c r="OQS292" s="148"/>
      <c r="OQT292" s="148"/>
      <c r="OQU292" s="148"/>
      <c r="OQV292" s="148"/>
      <c r="OQW292" s="148"/>
      <c r="OQX292" s="148"/>
      <c r="OQY292" s="148"/>
      <c r="OQZ292" s="148"/>
      <c r="ORA292" s="148"/>
      <c r="ORB292" s="148"/>
      <c r="ORC292" s="148"/>
      <c r="ORD292" s="148"/>
      <c r="ORE292" s="148"/>
      <c r="ORF292" s="148"/>
      <c r="ORG292" s="148"/>
      <c r="ORH292" s="148"/>
      <c r="ORI292" s="148"/>
      <c r="ORJ292" s="148"/>
      <c r="ORK292" s="148"/>
      <c r="ORL292" s="148"/>
      <c r="ORM292" s="148"/>
      <c r="ORN292" s="148"/>
      <c r="ORO292" s="148"/>
      <c r="ORP292" s="148"/>
      <c r="ORQ292" s="148"/>
      <c r="ORR292" s="148"/>
      <c r="ORS292" s="148"/>
      <c r="ORT292" s="148"/>
      <c r="ORU292" s="148"/>
      <c r="ORV292" s="148"/>
      <c r="ORW292" s="148"/>
      <c r="ORX292" s="148"/>
      <c r="ORY292" s="148"/>
      <c r="ORZ292" s="148"/>
      <c r="OSA292" s="148"/>
      <c r="OSB292" s="148"/>
      <c r="OSC292" s="148"/>
      <c r="OSD292" s="148"/>
      <c r="OSE292" s="148"/>
      <c r="OSF292" s="148"/>
      <c r="OSG292" s="148"/>
      <c r="OSH292" s="148"/>
      <c r="OSI292" s="148"/>
      <c r="OSJ292" s="148"/>
      <c r="OSK292" s="148"/>
      <c r="OSL292" s="148"/>
      <c r="OSM292" s="148"/>
      <c r="OSN292" s="148"/>
      <c r="OSO292" s="148"/>
      <c r="OSP292" s="148"/>
      <c r="OSQ292" s="148"/>
      <c r="OSR292" s="148"/>
      <c r="OSS292" s="148"/>
      <c r="OST292" s="148"/>
      <c r="OSU292" s="148"/>
      <c r="OSV292" s="148"/>
      <c r="OSW292" s="148"/>
      <c r="OSX292" s="148"/>
      <c r="OSY292" s="148"/>
      <c r="OSZ292" s="148"/>
      <c r="OTA292" s="148"/>
      <c r="OTB292" s="148"/>
      <c r="OTC292" s="148"/>
      <c r="OTD292" s="148"/>
      <c r="OTE292" s="148"/>
      <c r="OTF292" s="148"/>
      <c r="OTG292" s="148"/>
      <c r="OTH292" s="148"/>
      <c r="OTI292" s="148"/>
      <c r="OTJ292" s="148"/>
      <c r="OTK292" s="148"/>
      <c r="OTL292" s="148"/>
      <c r="OTM292" s="148"/>
      <c r="OTN292" s="148"/>
      <c r="OTO292" s="148"/>
      <c r="OTP292" s="148"/>
      <c r="OTQ292" s="148"/>
      <c r="OTR292" s="148"/>
      <c r="OTS292" s="148"/>
      <c r="OTT292" s="148"/>
      <c r="OTU292" s="148"/>
      <c r="OTV292" s="148"/>
      <c r="OTW292" s="148"/>
      <c r="OTX292" s="148"/>
      <c r="OTY292" s="148"/>
      <c r="OTZ292" s="148"/>
      <c r="OUA292" s="148"/>
      <c r="OUB292" s="148"/>
      <c r="OUC292" s="148"/>
      <c r="OUD292" s="148"/>
      <c r="OUE292" s="148"/>
      <c r="OUF292" s="148"/>
      <c r="OUG292" s="148"/>
      <c r="OUH292" s="148"/>
      <c r="OUI292" s="148"/>
      <c r="OUJ292" s="148"/>
      <c r="OUK292" s="148"/>
      <c r="OUL292" s="148"/>
      <c r="OUM292" s="148"/>
      <c r="OUN292" s="148"/>
      <c r="OUO292" s="148"/>
      <c r="OUP292" s="148"/>
      <c r="OUQ292" s="148"/>
      <c r="OUR292" s="148"/>
      <c r="OUS292" s="148"/>
      <c r="OUT292" s="148"/>
      <c r="OUU292" s="148"/>
      <c r="OUV292" s="148"/>
      <c r="OUW292" s="148"/>
      <c r="OUX292" s="148"/>
      <c r="OUY292" s="148"/>
      <c r="OUZ292" s="148"/>
      <c r="OVA292" s="148"/>
      <c r="OVB292" s="148"/>
      <c r="OVC292" s="148"/>
      <c r="OVD292" s="148"/>
      <c r="OVE292" s="148"/>
      <c r="OVF292" s="148"/>
      <c r="OVG292" s="148"/>
      <c r="OVH292" s="148"/>
      <c r="OVI292" s="148"/>
      <c r="OVJ292" s="148"/>
      <c r="OVK292" s="148"/>
      <c r="OVL292" s="148"/>
      <c r="OVM292" s="148"/>
      <c r="OVN292" s="148"/>
      <c r="OVO292" s="148"/>
      <c r="OVP292" s="148"/>
      <c r="OVQ292" s="148"/>
      <c r="OVR292" s="148"/>
      <c r="OVS292" s="148"/>
      <c r="OVT292" s="148"/>
      <c r="OVU292" s="148"/>
      <c r="OVV292" s="148"/>
      <c r="OVW292" s="148"/>
      <c r="OVX292" s="148"/>
      <c r="OVY292" s="148"/>
      <c r="OVZ292" s="148"/>
      <c r="OWA292" s="148"/>
      <c r="OWB292" s="148"/>
      <c r="OWC292" s="148"/>
      <c r="OWD292" s="148"/>
      <c r="OWE292" s="148"/>
      <c r="OWF292" s="148"/>
      <c r="OWG292" s="148"/>
      <c r="OWH292" s="148"/>
      <c r="OWI292" s="148"/>
      <c r="OWJ292" s="148"/>
      <c r="OWK292" s="148"/>
      <c r="OWL292" s="148"/>
      <c r="OWM292" s="148"/>
      <c r="OWN292" s="148"/>
      <c r="OWO292" s="148"/>
      <c r="OWP292" s="148"/>
      <c r="OWQ292" s="148"/>
      <c r="OWR292" s="148"/>
      <c r="OWS292" s="148"/>
      <c r="OWT292" s="148"/>
      <c r="OWU292" s="148"/>
      <c r="OWV292" s="148"/>
      <c r="OWW292" s="148"/>
      <c r="OWX292" s="148"/>
      <c r="OWY292" s="148"/>
      <c r="OWZ292" s="148"/>
      <c r="OXA292" s="148"/>
      <c r="OXB292" s="148"/>
      <c r="OXC292" s="148"/>
      <c r="OXD292" s="148"/>
      <c r="OXE292" s="148"/>
      <c r="OXF292" s="148"/>
      <c r="OXG292" s="148"/>
      <c r="OXH292" s="148"/>
      <c r="OXI292" s="148"/>
      <c r="OXJ292" s="148"/>
      <c r="OXK292" s="148"/>
      <c r="OXL292" s="148"/>
      <c r="OXM292" s="148"/>
      <c r="OXN292" s="148"/>
      <c r="OXO292" s="148"/>
      <c r="OXP292" s="148"/>
      <c r="OXQ292" s="148"/>
      <c r="OXR292" s="148"/>
      <c r="OXS292" s="148"/>
      <c r="OXT292" s="148"/>
      <c r="OXU292" s="148"/>
      <c r="OXV292" s="148"/>
      <c r="OXW292" s="148"/>
      <c r="OXX292" s="148"/>
      <c r="OXY292" s="148"/>
      <c r="OXZ292" s="148"/>
      <c r="OYA292" s="148"/>
      <c r="OYB292" s="148"/>
      <c r="OYC292" s="148"/>
      <c r="OYD292" s="148"/>
      <c r="OYE292" s="148"/>
      <c r="OYF292" s="148"/>
      <c r="OYG292" s="148"/>
      <c r="OYH292" s="148"/>
      <c r="OYI292" s="148"/>
      <c r="OYJ292" s="148"/>
      <c r="OYK292" s="148"/>
      <c r="OYL292" s="148"/>
      <c r="OYM292" s="148"/>
      <c r="OYN292" s="148"/>
      <c r="OYO292" s="148"/>
      <c r="OYP292" s="148"/>
      <c r="OYQ292" s="148"/>
      <c r="OYR292" s="148"/>
      <c r="OYS292" s="148"/>
      <c r="OYT292" s="148"/>
      <c r="OYU292" s="148"/>
      <c r="OYV292" s="148"/>
      <c r="OYW292" s="148"/>
      <c r="OYX292" s="148"/>
      <c r="OYY292" s="148"/>
      <c r="OYZ292" s="148"/>
      <c r="OZA292" s="148"/>
      <c r="OZB292" s="148"/>
      <c r="OZC292" s="148"/>
      <c r="OZD292" s="148"/>
      <c r="OZE292" s="148"/>
      <c r="OZF292" s="148"/>
      <c r="OZG292" s="148"/>
      <c r="OZH292" s="148"/>
      <c r="OZI292" s="148"/>
      <c r="OZJ292" s="148"/>
      <c r="OZK292" s="148"/>
      <c r="OZL292" s="148"/>
      <c r="OZM292" s="148"/>
      <c r="OZN292" s="148"/>
      <c r="OZO292" s="148"/>
      <c r="OZP292" s="148"/>
      <c r="OZQ292" s="148"/>
      <c r="OZR292" s="148"/>
      <c r="OZS292" s="148"/>
      <c r="OZT292" s="148"/>
      <c r="OZU292" s="148"/>
      <c r="OZV292" s="148"/>
      <c r="OZW292" s="148"/>
      <c r="OZX292" s="148"/>
      <c r="OZY292" s="148"/>
      <c r="OZZ292" s="148"/>
      <c r="PAA292" s="148"/>
      <c r="PAB292" s="148"/>
      <c r="PAC292" s="148"/>
      <c r="PAD292" s="148"/>
      <c r="PAE292" s="148"/>
      <c r="PAF292" s="148"/>
      <c r="PAG292" s="148"/>
      <c r="PAH292" s="148"/>
      <c r="PAI292" s="148"/>
      <c r="PAJ292" s="148"/>
      <c r="PAK292" s="148"/>
      <c r="PAL292" s="148"/>
      <c r="PAM292" s="148"/>
      <c r="PAN292" s="148"/>
      <c r="PAO292" s="148"/>
      <c r="PAP292" s="148"/>
      <c r="PAQ292" s="148"/>
      <c r="PAR292" s="148"/>
      <c r="PAS292" s="148"/>
      <c r="PAT292" s="148"/>
      <c r="PAU292" s="148"/>
      <c r="PAV292" s="148"/>
      <c r="PAW292" s="148"/>
      <c r="PAX292" s="148"/>
      <c r="PAY292" s="148"/>
      <c r="PAZ292" s="148"/>
      <c r="PBA292" s="148"/>
      <c r="PBB292" s="148"/>
      <c r="PBC292" s="148"/>
      <c r="PBD292" s="148"/>
      <c r="PBE292" s="148"/>
      <c r="PBF292" s="148"/>
      <c r="PBG292" s="148"/>
      <c r="PBH292" s="148"/>
      <c r="PBI292" s="148"/>
      <c r="PBJ292" s="148"/>
      <c r="PBK292" s="148"/>
      <c r="PBL292" s="148"/>
      <c r="PBM292" s="148"/>
      <c r="PBN292" s="148"/>
      <c r="PBO292" s="148"/>
      <c r="PBP292" s="148"/>
      <c r="PBQ292" s="148"/>
      <c r="PBR292" s="148"/>
      <c r="PBS292" s="148"/>
      <c r="PBT292" s="148"/>
      <c r="PBU292" s="148"/>
      <c r="PBV292" s="148"/>
      <c r="PBW292" s="148"/>
      <c r="PBX292" s="148"/>
      <c r="PBY292" s="148"/>
      <c r="PBZ292" s="148"/>
      <c r="PCA292" s="148"/>
      <c r="PCB292" s="148"/>
      <c r="PCC292" s="148"/>
      <c r="PCD292" s="148"/>
      <c r="PCE292" s="148"/>
      <c r="PCF292" s="148"/>
      <c r="PCG292" s="148"/>
      <c r="PCH292" s="148"/>
      <c r="PCI292" s="148"/>
      <c r="PCJ292" s="148"/>
      <c r="PCK292" s="148"/>
      <c r="PCL292" s="148"/>
      <c r="PCM292" s="148"/>
      <c r="PCN292" s="148"/>
      <c r="PCO292" s="148"/>
      <c r="PCP292" s="148"/>
      <c r="PCQ292" s="148"/>
      <c r="PCR292" s="148"/>
      <c r="PCS292" s="148"/>
      <c r="PCT292" s="148"/>
      <c r="PCU292" s="148"/>
      <c r="PCV292" s="148"/>
      <c r="PCW292" s="148"/>
      <c r="PCX292" s="148"/>
      <c r="PCY292" s="148"/>
      <c r="PCZ292" s="148"/>
      <c r="PDA292" s="148"/>
      <c r="PDB292" s="148"/>
      <c r="PDC292" s="148"/>
      <c r="PDD292" s="148"/>
      <c r="PDE292" s="148"/>
      <c r="PDF292" s="148"/>
      <c r="PDG292" s="148"/>
      <c r="PDH292" s="148"/>
      <c r="PDI292" s="148"/>
      <c r="PDJ292" s="148"/>
      <c r="PDK292" s="148"/>
      <c r="PDL292" s="148"/>
      <c r="PDM292" s="148"/>
      <c r="PDN292" s="148"/>
      <c r="PDO292" s="148"/>
      <c r="PDP292" s="148"/>
      <c r="PDQ292" s="148"/>
      <c r="PDR292" s="148"/>
      <c r="PDS292" s="148"/>
      <c r="PDT292" s="148"/>
      <c r="PDU292" s="148"/>
      <c r="PDV292" s="148"/>
      <c r="PDW292" s="148"/>
      <c r="PDX292" s="148"/>
      <c r="PDY292" s="148"/>
      <c r="PDZ292" s="148"/>
      <c r="PEA292" s="148"/>
      <c r="PEB292" s="148"/>
      <c r="PEC292" s="148"/>
      <c r="PED292" s="148"/>
      <c r="PEE292" s="148"/>
      <c r="PEF292" s="148"/>
      <c r="PEG292" s="148"/>
      <c r="PEH292" s="148"/>
      <c r="PEI292" s="148"/>
      <c r="PEJ292" s="148"/>
      <c r="PEK292" s="148"/>
      <c r="PEL292" s="148"/>
      <c r="PEM292" s="148"/>
      <c r="PEN292" s="148"/>
      <c r="PEO292" s="148"/>
      <c r="PEP292" s="148"/>
      <c r="PEQ292" s="148"/>
      <c r="PER292" s="148"/>
      <c r="PES292" s="148"/>
      <c r="PET292" s="148"/>
      <c r="PEU292" s="148"/>
      <c r="PEV292" s="148"/>
      <c r="PEW292" s="148"/>
      <c r="PEX292" s="148"/>
      <c r="PEY292" s="148"/>
      <c r="PEZ292" s="148"/>
      <c r="PFA292" s="148"/>
      <c r="PFB292" s="148"/>
      <c r="PFC292" s="148"/>
      <c r="PFD292" s="148"/>
      <c r="PFE292" s="148"/>
      <c r="PFF292" s="148"/>
      <c r="PFG292" s="148"/>
      <c r="PFH292" s="148"/>
      <c r="PFI292" s="148"/>
      <c r="PFJ292" s="148"/>
      <c r="PFK292" s="148"/>
      <c r="PFL292" s="148"/>
      <c r="PFM292" s="148"/>
      <c r="PFN292" s="148"/>
      <c r="PFO292" s="148"/>
      <c r="PFP292" s="148"/>
      <c r="PFQ292" s="148"/>
      <c r="PFR292" s="148"/>
      <c r="PFS292" s="148"/>
      <c r="PFT292" s="148"/>
      <c r="PFU292" s="148"/>
      <c r="PFV292" s="148"/>
      <c r="PFW292" s="148"/>
      <c r="PFX292" s="148"/>
      <c r="PFY292" s="148"/>
      <c r="PFZ292" s="148"/>
      <c r="PGA292" s="148"/>
      <c r="PGB292" s="148"/>
      <c r="PGC292" s="148"/>
      <c r="PGD292" s="148"/>
      <c r="PGE292" s="148"/>
      <c r="PGF292" s="148"/>
      <c r="PGG292" s="148"/>
      <c r="PGH292" s="148"/>
      <c r="PGI292" s="148"/>
      <c r="PGJ292" s="148"/>
      <c r="PGK292" s="148"/>
      <c r="PGL292" s="148"/>
      <c r="PGM292" s="148"/>
      <c r="PGN292" s="148"/>
      <c r="PGO292" s="148"/>
      <c r="PGP292" s="148"/>
      <c r="PGQ292" s="148"/>
      <c r="PGR292" s="148"/>
      <c r="PGS292" s="148"/>
      <c r="PGT292" s="148"/>
      <c r="PGU292" s="148"/>
      <c r="PGV292" s="148"/>
      <c r="PGW292" s="148"/>
      <c r="PGX292" s="148"/>
      <c r="PGY292" s="148"/>
      <c r="PGZ292" s="148"/>
      <c r="PHA292" s="148"/>
      <c r="PHB292" s="148"/>
      <c r="PHC292" s="148"/>
      <c r="PHD292" s="148"/>
      <c r="PHE292" s="148"/>
      <c r="PHF292" s="148"/>
      <c r="PHG292" s="148"/>
      <c r="PHH292" s="148"/>
      <c r="PHI292" s="148"/>
      <c r="PHJ292" s="148"/>
      <c r="PHK292" s="148"/>
      <c r="PHL292" s="148"/>
      <c r="PHM292" s="148"/>
      <c r="PHN292" s="148"/>
      <c r="PHO292" s="148"/>
      <c r="PHP292" s="148"/>
      <c r="PHQ292" s="148"/>
      <c r="PHR292" s="148"/>
      <c r="PHS292" s="148"/>
      <c r="PHT292" s="148"/>
      <c r="PHU292" s="148"/>
      <c r="PHV292" s="148"/>
      <c r="PHW292" s="148"/>
      <c r="PHX292" s="148"/>
      <c r="PHY292" s="148"/>
      <c r="PHZ292" s="148"/>
      <c r="PIA292" s="148"/>
      <c r="PIB292" s="148"/>
      <c r="PIC292" s="148"/>
      <c r="PID292" s="148"/>
      <c r="PIE292" s="148"/>
      <c r="PIF292" s="148"/>
      <c r="PIG292" s="148"/>
      <c r="PIH292" s="148"/>
      <c r="PII292" s="148"/>
      <c r="PIJ292" s="148"/>
      <c r="PIK292" s="148"/>
      <c r="PIL292" s="148"/>
      <c r="PIM292" s="148"/>
      <c r="PIN292" s="148"/>
      <c r="PIO292" s="148"/>
      <c r="PIP292" s="148"/>
      <c r="PIQ292" s="148"/>
      <c r="PIR292" s="148"/>
      <c r="PIS292" s="148"/>
      <c r="PIT292" s="148"/>
      <c r="PIU292" s="148"/>
      <c r="PIV292" s="148"/>
      <c r="PIW292" s="148"/>
      <c r="PIX292" s="148"/>
      <c r="PIY292" s="148"/>
      <c r="PIZ292" s="148"/>
      <c r="PJA292" s="148"/>
      <c r="PJB292" s="148"/>
      <c r="PJC292" s="148"/>
      <c r="PJD292" s="148"/>
      <c r="PJE292" s="148"/>
      <c r="PJF292" s="148"/>
      <c r="PJG292" s="148"/>
      <c r="PJH292" s="148"/>
      <c r="PJI292" s="148"/>
      <c r="PJJ292" s="148"/>
      <c r="PJK292" s="148"/>
      <c r="PJL292" s="148"/>
      <c r="PJM292" s="148"/>
      <c r="PJN292" s="148"/>
      <c r="PJO292" s="148"/>
      <c r="PJP292" s="148"/>
      <c r="PJQ292" s="148"/>
      <c r="PJR292" s="148"/>
      <c r="PJS292" s="148"/>
      <c r="PJT292" s="148"/>
      <c r="PJU292" s="148"/>
      <c r="PJV292" s="148"/>
      <c r="PJW292" s="148"/>
      <c r="PJX292" s="148"/>
      <c r="PJY292" s="148"/>
      <c r="PJZ292" s="148"/>
      <c r="PKA292" s="148"/>
      <c r="PKB292" s="148"/>
      <c r="PKC292" s="148"/>
      <c r="PKD292" s="148"/>
      <c r="PKE292" s="148"/>
      <c r="PKF292" s="148"/>
      <c r="PKG292" s="148"/>
      <c r="PKH292" s="148"/>
      <c r="PKI292" s="148"/>
      <c r="PKJ292" s="148"/>
      <c r="PKK292" s="148"/>
      <c r="PKL292" s="148"/>
      <c r="PKM292" s="148"/>
      <c r="PKN292" s="148"/>
      <c r="PKO292" s="148"/>
      <c r="PKP292" s="148"/>
      <c r="PKQ292" s="148"/>
      <c r="PKR292" s="148"/>
      <c r="PKS292" s="148"/>
      <c r="PKT292" s="148"/>
      <c r="PKU292" s="148"/>
      <c r="PKV292" s="148"/>
      <c r="PKW292" s="148"/>
      <c r="PKX292" s="148"/>
      <c r="PKY292" s="148"/>
      <c r="PKZ292" s="148"/>
      <c r="PLA292" s="148"/>
      <c r="PLB292" s="148"/>
      <c r="PLC292" s="148"/>
      <c r="PLD292" s="148"/>
      <c r="PLE292" s="148"/>
      <c r="PLF292" s="148"/>
      <c r="PLG292" s="148"/>
      <c r="PLH292" s="148"/>
      <c r="PLI292" s="148"/>
      <c r="PLJ292" s="148"/>
      <c r="PLK292" s="148"/>
      <c r="PLL292" s="148"/>
      <c r="PLM292" s="148"/>
      <c r="PLN292" s="148"/>
      <c r="PLO292" s="148"/>
      <c r="PLP292" s="148"/>
      <c r="PLQ292" s="148"/>
      <c r="PLR292" s="148"/>
      <c r="PLS292" s="148"/>
      <c r="PLT292" s="148"/>
      <c r="PLU292" s="148"/>
      <c r="PLV292" s="148"/>
      <c r="PLW292" s="148"/>
      <c r="PLX292" s="148"/>
      <c r="PLY292" s="148"/>
      <c r="PLZ292" s="148"/>
      <c r="PMA292" s="148"/>
      <c r="PMB292" s="148"/>
      <c r="PMC292" s="148"/>
      <c r="PMD292" s="148"/>
      <c r="PME292" s="148"/>
      <c r="PMF292" s="148"/>
      <c r="PMG292" s="148"/>
      <c r="PMH292" s="148"/>
      <c r="PMI292" s="148"/>
      <c r="PMJ292" s="148"/>
      <c r="PMK292" s="148"/>
      <c r="PML292" s="148"/>
      <c r="PMM292" s="148"/>
      <c r="PMN292" s="148"/>
      <c r="PMO292" s="148"/>
      <c r="PMP292" s="148"/>
      <c r="PMQ292" s="148"/>
      <c r="PMR292" s="148"/>
      <c r="PMS292" s="148"/>
      <c r="PMT292" s="148"/>
      <c r="PMU292" s="148"/>
      <c r="PMV292" s="148"/>
      <c r="PMW292" s="148"/>
      <c r="PMX292" s="148"/>
      <c r="PMY292" s="148"/>
      <c r="PMZ292" s="148"/>
      <c r="PNA292" s="148"/>
      <c r="PNB292" s="148"/>
      <c r="PNC292" s="148"/>
      <c r="PND292" s="148"/>
      <c r="PNE292" s="148"/>
      <c r="PNF292" s="148"/>
      <c r="PNG292" s="148"/>
      <c r="PNH292" s="148"/>
      <c r="PNI292" s="148"/>
      <c r="PNJ292" s="148"/>
      <c r="PNK292" s="148"/>
      <c r="PNL292" s="148"/>
      <c r="PNM292" s="148"/>
      <c r="PNN292" s="148"/>
      <c r="PNO292" s="148"/>
      <c r="PNP292" s="148"/>
      <c r="PNQ292" s="148"/>
      <c r="PNR292" s="148"/>
      <c r="PNS292" s="148"/>
      <c r="PNT292" s="148"/>
      <c r="PNU292" s="148"/>
      <c r="PNV292" s="148"/>
      <c r="PNW292" s="148"/>
      <c r="PNX292" s="148"/>
      <c r="PNY292" s="148"/>
      <c r="PNZ292" s="148"/>
      <c r="POA292" s="148"/>
      <c r="POB292" s="148"/>
      <c r="POC292" s="148"/>
      <c r="POD292" s="148"/>
      <c r="POE292" s="148"/>
      <c r="POF292" s="148"/>
      <c r="POG292" s="148"/>
      <c r="POH292" s="148"/>
      <c r="POI292" s="148"/>
      <c r="POJ292" s="148"/>
      <c r="POK292" s="148"/>
      <c r="POL292" s="148"/>
      <c r="POM292" s="148"/>
      <c r="PON292" s="148"/>
      <c r="POO292" s="148"/>
      <c r="POP292" s="148"/>
      <c r="POQ292" s="148"/>
      <c r="POR292" s="148"/>
      <c r="POS292" s="148"/>
      <c r="POT292" s="148"/>
      <c r="POU292" s="148"/>
      <c r="POV292" s="148"/>
      <c r="POW292" s="148"/>
      <c r="POX292" s="148"/>
      <c r="POY292" s="148"/>
      <c r="POZ292" s="148"/>
      <c r="PPA292" s="148"/>
      <c r="PPB292" s="148"/>
      <c r="PPC292" s="148"/>
      <c r="PPD292" s="148"/>
      <c r="PPE292" s="148"/>
      <c r="PPF292" s="148"/>
      <c r="PPG292" s="148"/>
      <c r="PPH292" s="148"/>
      <c r="PPI292" s="148"/>
      <c r="PPJ292" s="148"/>
      <c r="PPK292" s="148"/>
      <c r="PPL292" s="148"/>
      <c r="PPM292" s="148"/>
      <c r="PPN292" s="148"/>
      <c r="PPO292" s="148"/>
      <c r="PPP292" s="148"/>
      <c r="PPQ292" s="148"/>
      <c r="PPR292" s="148"/>
      <c r="PPS292" s="148"/>
      <c r="PPT292" s="148"/>
      <c r="PPU292" s="148"/>
      <c r="PPV292" s="148"/>
      <c r="PPW292" s="148"/>
      <c r="PPX292" s="148"/>
      <c r="PPY292" s="148"/>
      <c r="PPZ292" s="148"/>
      <c r="PQA292" s="148"/>
      <c r="PQB292" s="148"/>
      <c r="PQC292" s="148"/>
      <c r="PQD292" s="148"/>
      <c r="PQE292" s="148"/>
      <c r="PQF292" s="148"/>
      <c r="PQG292" s="148"/>
      <c r="PQH292" s="148"/>
      <c r="PQI292" s="148"/>
      <c r="PQJ292" s="148"/>
      <c r="PQK292" s="148"/>
      <c r="PQL292" s="148"/>
      <c r="PQM292" s="148"/>
      <c r="PQN292" s="148"/>
      <c r="PQO292" s="148"/>
      <c r="PQP292" s="148"/>
      <c r="PQQ292" s="148"/>
      <c r="PQR292" s="148"/>
      <c r="PQS292" s="148"/>
      <c r="PQT292" s="148"/>
      <c r="PQU292" s="148"/>
      <c r="PQV292" s="148"/>
      <c r="PQW292" s="148"/>
      <c r="PQX292" s="148"/>
      <c r="PQY292" s="148"/>
      <c r="PQZ292" s="148"/>
      <c r="PRA292" s="148"/>
      <c r="PRB292" s="148"/>
      <c r="PRC292" s="148"/>
      <c r="PRD292" s="148"/>
      <c r="PRE292" s="148"/>
      <c r="PRF292" s="148"/>
      <c r="PRG292" s="148"/>
      <c r="PRH292" s="148"/>
      <c r="PRI292" s="148"/>
      <c r="PRJ292" s="148"/>
      <c r="PRK292" s="148"/>
      <c r="PRL292" s="148"/>
      <c r="PRM292" s="148"/>
      <c r="PRN292" s="148"/>
      <c r="PRO292" s="148"/>
      <c r="PRP292" s="148"/>
      <c r="PRQ292" s="148"/>
      <c r="PRR292" s="148"/>
      <c r="PRS292" s="148"/>
      <c r="PRT292" s="148"/>
      <c r="PRU292" s="148"/>
      <c r="PRV292" s="148"/>
      <c r="PRW292" s="148"/>
      <c r="PRX292" s="148"/>
      <c r="PRY292" s="148"/>
      <c r="PRZ292" s="148"/>
      <c r="PSA292" s="148"/>
      <c r="PSB292" s="148"/>
      <c r="PSC292" s="148"/>
      <c r="PSD292" s="148"/>
      <c r="PSE292" s="148"/>
      <c r="PSF292" s="148"/>
      <c r="PSG292" s="148"/>
      <c r="PSH292" s="148"/>
      <c r="PSI292" s="148"/>
      <c r="PSJ292" s="148"/>
      <c r="PSK292" s="148"/>
      <c r="PSL292" s="148"/>
      <c r="PSM292" s="148"/>
      <c r="PSN292" s="148"/>
      <c r="PSO292" s="148"/>
      <c r="PSP292" s="148"/>
      <c r="PSQ292" s="148"/>
      <c r="PSR292" s="148"/>
      <c r="PSS292" s="148"/>
      <c r="PST292" s="148"/>
      <c r="PSU292" s="148"/>
      <c r="PSV292" s="148"/>
      <c r="PSW292" s="148"/>
      <c r="PSX292" s="148"/>
      <c r="PSY292" s="148"/>
      <c r="PSZ292" s="148"/>
      <c r="PTA292" s="148"/>
      <c r="PTB292" s="148"/>
      <c r="PTC292" s="148"/>
      <c r="PTD292" s="148"/>
      <c r="PTE292" s="148"/>
      <c r="PTF292" s="148"/>
      <c r="PTG292" s="148"/>
      <c r="PTH292" s="148"/>
      <c r="PTI292" s="148"/>
      <c r="PTJ292" s="148"/>
      <c r="PTK292" s="148"/>
      <c r="PTL292" s="148"/>
      <c r="PTM292" s="148"/>
      <c r="PTN292" s="148"/>
      <c r="PTO292" s="148"/>
      <c r="PTP292" s="148"/>
      <c r="PTQ292" s="148"/>
      <c r="PTR292" s="148"/>
      <c r="PTS292" s="148"/>
      <c r="PTT292" s="148"/>
      <c r="PTU292" s="148"/>
      <c r="PTV292" s="148"/>
      <c r="PTW292" s="148"/>
      <c r="PTX292" s="148"/>
      <c r="PTY292" s="148"/>
      <c r="PTZ292" s="148"/>
      <c r="PUA292" s="148"/>
      <c r="PUB292" s="148"/>
      <c r="PUC292" s="148"/>
      <c r="PUD292" s="148"/>
      <c r="PUE292" s="148"/>
      <c r="PUF292" s="148"/>
      <c r="PUG292" s="148"/>
      <c r="PUH292" s="148"/>
      <c r="PUI292" s="148"/>
      <c r="PUJ292" s="148"/>
      <c r="PUK292" s="148"/>
      <c r="PUL292" s="148"/>
      <c r="PUM292" s="148"/>
      <c r="PUN292" s="148"/>
      <c r="PUO292" s="148"/>
      <c r="PUP292" s="148"/>
      <c r="PUQ292" s="148"/>
      <c r="PUR292" s="148"/>
      <c r="PUS292" s="148"/>
      <c r="PUT292" s="148"/>
      <c r="PUU292" s="148"/>
      <c r="PUV292" s="148"/>
      <c r="PUW292" s="148"/>
      <c r="PUX292" s="148"/>
      <c r="PUY292" s="148"/>
      <c r="PUZ292" s="148"/>
      <c r="PVA292" s="148"/>
      <c r="PVB292" s="148"/>
      <c r="PVC292" s="148"/>
      <c r="PVD292" s="148"/>
      <c r="PVE292" s="148"/>
      <c r="PVF292" s="148"/>
      <c r="PVG292" s="148"/>
      <c r="PVH292" s="148"/>
      <c r="PVI292" s="148"/>
      <c r="PVJ292" s="148"/>
      <c r="PVK292" s="148"/>
      <c r="PVL292" s="148"/>
      <c r="PVM292" s="148"/>
      <c r="PVN292" s="148"/>
      <c r="PVO292" s="148"/>
      <c r="PVP292" s="148"/>
      <c r="PVQ292" s="148"/>
      <c r="PVR292" s="148"/>
      <c r="PVS292" s="148"/>
      <c r="PVT292" s="148"/>
      <c r="PVU292" s="148"/>
      <c r="PVV292" s="148"/>
      <c r="PVW292" s="148"/>
      <c r="PVX292" s="148"/>
      <c r="PVY292" s="148"/>
      <c r="PVZ292" s="148"/>
      <c r="PWA292" s="148"/>
      <c r="PWB292" s="148"/>
      <c r="PWC292" s="148"/>
      <c r="PWD292" s="148"/>
      <c r="PWE292" s="148"/>
      <c r="PWF292" s="148"/>
      <c r="PWG292" s="148"/>
      <c r="PWH292" s="148"/>
      <c r="PWI292" s="148"/>
      <c r="PWJ292" s="148"/>
      <c r="PWK292" s="148"/>
      <c r="PWL292" s="148"/>
      <c r="PWM292" s="148"/>
      <c r="PWN292" s="148"/>
      <c r="PWO292" s="148"/>
      <c r="PWP292" s="148"/>
      <c r="PWQ292" s="148"/>
      <c r="PWR292" s="148"/>
      <c r="PWS292" s="148"/>
      <c r="PWT292" s="148"/>
      <c r="PWU292" s="148"/>
      <c r="PWV292" s="148"/>
      <c r="PWW292" s="148"/>
      <c r="PWX292" s="148"/>
      <c r="PWY292" s="148"/>
      <c r="PWZ292" s="148"/>
      <c r="PXA292" s="148"/>
      <c r="PXB292" s="148"/>
      <c r="PXC292" s="148"/>
      <c r="PXD292" s="148"/>
      <c r="PXE292" s="148"/>
      <c r="PXF292" s="148"/>
      <c r="PXG292" s="148"/>
      <c r="PXH292" s="148"/>
      <c r="PXI292" s="148"/>
      <c r="PXJ292" s="148"/>
      <c r="PXK292" s="148"/>
      <c r="PXL292" s="148"/>
      <c r="PXM292" s="148"/>
      <c r="PXN292" s="148"/>
      <c r="PXO292" s="148"/>
      <c r="PXP292" s="148"/>
      <c r="PXQ292" s="148"/>
      <c r="PXR292" s="148"/>
      <c r="PXS292" s="148"/>
      <c r="PXT292" s="148"/>
      <c r="PXU292" s="148"/>
      <c r="PXV292" s="148"/>
      <c r="PXW292" s="148"/>
      <c r="PXX292" s="148"/>
      <c r="PXY292" s="148"/>
      <c r="PXZ292" s="148"/>
      <c r="PYA292" s="148"/>
      <c r="PYB292" s="148"/>
      <c r="PYC292" s="148"/>
      <c r="PYD292" s="148"/>
      <c r="PYE292" s="148"/>
      <c r="PYF292" s="148"/>
      <c r="PYG292" s="148"/>
      <c r="PYH292" s="148"/>
      <c r="PYI292" s="148"/>
      <c r="PYJ292" s="148"/>
      <c r="PYK292" s="148"/>
      <c r="PYL292" s="148"/>
      <c r="PYM292" s="148"/>
      <c r="PYN292" s="148"/>
      <c r="PYO292" s="148"/>
      <c r="PYP292" s="148"/>
      <c r="PYQ292" s="148"/>
      <c r="PYR292" s="148"/>
      <c r="PYS292" s="148"/>
      <c r="PYT292" s="148"/>
      <c r="PYU292" s="148"/>
      <c r="PYV292" s="148"/>
      <c r="PYW292" s="148"/>
      <c r="PYX292" s="148"/>
      <c r="PYY292" s="148"/>
      <c r="PYZ292" s="148"/>
      <c r="PZA292" s="148"/>
      <c r="PZB292" s="148"/>
      <c r="PZC292" s="148"/>
      <c r="PZD292" s="148"/>
      <c r="PZE292" s="148"/>
      <c r="PZF292" s="148"/>
      <c r="PZG292" s="148"/>
      <c r="PZH292" s="148"/>
      <c r="PZI292" s="148"/>
      <c r="PZJ292" s="148"/>
      <c r="PZK292" s="148"/>
      <c r="PZL292" s="148"/>
      <c r="PZM292" s="148"/>
      <c r="PZN292" s="148"/>
      <c r="PZO292" s="148"/>
      <c r="PZP292" s="148"/>
      <c r="PZQ292" s="148"/>
      <c r="PZR292" s="148"/>
      <c r="PZS292" s="148"/>
      <c r="PZT292" s="148"/>
      <c r="PZU292" s="148"/>
      <c r="PZV292" s="148"/>
      <c r="PZW292" s="148"/>
      <c r="PZX292" s="148"/>
      <c r="PZY292" s="148"/>
      <c r="PZZ292" s="148"/>
      <c r="QAA292" s="148"/>
      <c r="QAB292" s="148"/>
      <c r="QAC292" s="148"/>
      <c r="QAD292" s="148"/>
      <c r="QAE292" s="148"/>
      <c r="QAF292" s="148"/>
      <c r="QAG292" s="148"/>
      <c r="QAH292" s="148"/>
      <c r="QAI292" s="148"/>
      <c r="QAJ292" s="148"/>
      <c r="QAK292" s="148"/>
      <c r="QAL292" s="148"/>
      <c r="QAM292" s="148"/>
      <c r="QAN292" s="148"/>
      <c r="QAO292" s="148"/>
      <c r="QAP292" s="148"/>
      <c r="QAQ292" s="148"/>
      <c r="QAR292" s="148"/>
      <c r="QAS292" s="148"/>
      <c r="QAT292" s="148"/>
      <c r="QAU292" s="148"/>
      <c r="QAV292" s="148"/>
      <c r="QAW292" s="148"/>
      <c r="QAX292" s="148"/>
      <c r="QAY292" s="148"/>
      <c r="QAZ292" s="148"/>
      <c r="QBA292" s="148"/>
      <c r="QBB292" s="148"/>
      <c r="QBC292" s="148"/>
      <c r="QBD292" s="148"/>
      <c r="QBE292" s="148"/>
      <c r="QBF292" s="148"/>
      <c r="QBG292" s="148"/>
      <c r="QBH292" s="148"/>
      <c r="QBI292" s="148"/>
      <c r="QBJ292" s="148"/>
      <c r="QBK292" s="148"/>
      <c r="QBL292" s="148"/>
      <c r="QBM292" s="148"/>
      <c r="QBN292" s="148"/>
      <c r="QBO292" s="148"/>
      <c r="QBP292" s="148"/>
      <c r="QBQ292" s="148"/>
      <c r="QBR292" s="148"/>
      <c r="QBS292" s="148"/>
      <c r="QBT292" s="148"/>
      <c r="QBU292" s="148"/>
      <c r="QBV292" s="148"/>
      <c r="QBW292" s="148"/>
      <c r="QBX292" s="148"/>
      <c r="QBY292" s="148"/>
      <c r="QBZ292" s="148"/>
      <c r="QCA292" s="148"/>
      <c r="QCB292" s="148"/>
      <c r="QCC292" s="148"/>
      <c r="QCD292" s="148"/>
      <c r="QCE292" s="148"/>
      <c r="QCF292" s="148"/>
      <c r="QCG292" s="148"/>
      <c r="QCH292" s="148"/>
      <c r="QCI292" s="148"/>
      <c r="QCJ292" s="148"/>
      <c r="QCK292" s="148"/>
      <c r="QCL292" s="148"/>
      <c r="QCM292" s="148"/>
      <c r="QCN292" s="148"/>
      <c r="QCO292" s="148"/>
      <c r="QCP292" s="148"/>
      <c r="QCQ292" s="148"/>
      <c r="QCR292" s="148"/>
      <c r="QCS292" s="148"/>
      <c r="QCT292" s="148"/>
      <c r="QCU292" s="148"/>
      <c r="QCV292" s="148"/>
      <c r="QCW292" s="148"/>
      <c r="QCX292" s="148"/>
      <c r="QCY292" s="148"/>
      <c r="QCZ292" s="148"/>
      <c r="QDA292" s="148"/>
      <c r="QDB292" s="148"/>
      <c r="QDC292" s="148"/>
      <c r="QDD292" s="148"/>
      <c r="QDE292" s="148"/>
      <c r="QDF292" s="148"/>
      <c r="QDG292" s="148"/>
      <c r="QDH292" s="148"/>
      <c r="QDI292" s="148"/>
      <c r="QDJ292" s="148"/>
      <c r="QDK292" s="148"/>
      <c r="QDL292" s="148"/>
      <c r="QDM292" s="148"/>
      <c r="QDN292" s="148"/>
      <c r="QDO292" s="148"/>
      <c r="QDP292" s="148"/>
      <c r="QDQ292" s="148"/>
      <c r="QDR292" s="148"/>
      <c r="QDS292" s="148"/>
      <c r="QDT292" s="148"/>
      <c r="QDU292" s="148"/>
      <c r="QDV292" s="148"/>
      <c r="QDW292" s="148"/>
      <c r="QDX292" s="148"/>
      <c r="QDY292" s="148"/>
      <c r="QDZ292" s="148"/>
      <c r="QEA292" s="148"/>
      <c r="QEB292" s="148"/>
      <c r="QEC292" s="148"/>
      <c r="QED292" s="148"/>
      <c r="QEE292" s="148"/>
      <c r="QEF292" s="148"/>
      <c r="QEG292" s="148"/>
      <c r="QEH292" s="148"/>
      <c r="QEI292" s="148"/>
      <c r="QEJ292" s="148"/>
      <c r="QEK292" s="148"/>
      <c r="QEL292" s="148"/>
      <c r="QEM292" s="148"/>
      <c r="QEN292" s="148"/>
      <c r="QEO292" s="148"/>
      <c r="QEP292" s="148"/>
      <c r="QEQ292" s="148"/>
      <c r="QER292" s="148"/>
      <c r="QES292" s="148"/>
      <c r="QET292" s="148"/>
      <c r="QEU292" s="148"/>
      <c r="QEV292" s="148"/>
      <c r="QEW292" s="148"/>
      <c r="QEX292" s="148"/>
      <c r="QEY292" s="148"/>
      <c r="QEZ292" s="148"/>
      <c r="QFA292" s="148"/>
      <c r="QFB292" s="148"/>
      <c r="QFC292" s="148"/>
      <c r="QFD292" s="148"/>
      <c r="QFE292" s="148"/>
      <c r="QFF292" s="148"/>
      <c r="QFG292" s="148"/>
      <c r="QFH292" s="148"/>
      <c r="QFI292" s="148"/>
      <c r="QFJ292" s="148"/>
      <c r="QFK292" s="148"/>
      <c r="QFL292" s="148"/>
      <c r="QFM292" s="148"/>
      <c r="QFN292" s="148"/>
      <c r="QFO292" s="148"/>
      <c r="QFP292" s="148"/>
      <c r="QFQ292" s="148"/>
      <c r="QFR292" s="148"/>
      <c r="QFS292" s="148"/>
      <c r="QFT292" s="148"/>
      <c r="QFU292" s="148"/>
      <c r="QFV292" s="148"/>
      <c r="QFW292" s="148"/>
      <c r="QFX292" s="148"/>
      <c r="QFY292" s="148"/>
      <c r="QFZ292" s="148"/>
      <c r="QGA292" s="148"/>
      <c r="QGB292" s="148"/>
      <c r="QGC292" s="148"/>
      <c r="QGD292" s="148"/>
      <c r="QGE292" s="148"/>
      <c r="QGF292" s="148"/>
      <c r="QGG292" s="148"/>
      <c r="QGH292" s="148"/>
      <c r="QGI292" s="148"/>
      <c r="QGJ292" s="148"/>
      <c r="QGK292" s="148"/>
      <c r="QGL292" s="148"/>
      <c r="QGM292" s="148"/>
      <c r="QGN292" s="148"/>
      <c r="QGO292" s="148"/>
      <c r="QGP292" s="148"/>
      <c r="QGQ292" s="148"/>
      <c r="QGR292" s="148"/>
      <c r="QGS292" s="148"/>
      <c r="QGT292" s="148"/>
      <c r="QGU292" s="148"/>
      <c r="QGV292" s="148"/>
      <c r="QGW292" s="148"/>
      <c r="QGX292" s="148"/>
      <c r="QGY292" s="148"/>
      <c r="QGZ292" s="148"/>
      <c r="QHA292" s="148"/>
      <c r="QHB292" s="148"/>
      <c r="QHC292" s="148"/>
      <c r="QHD292" s="148"/>
      <c r="QHE292" s="148"/>
      <c r="QHF292" s="148"/>
      <c r="QHG292" s="148"/>
      <c r="QHH292" s="148"/>
      <c r="QHI292" s="148"/>
      <c r="QHJ292" s="148"/>
      <c r="QHK292" s="148"/>
      <c r="QHL292" s="148"/>
      <c r="QHM292" s="148"/>
      <c r="QHN292" s="148"/>
      <c r="QHO292" s="148"/>
      <c r="QHP292" s="148"/>
      <c r="QHQ292" s="148"/>
      <c r="QHR292" s="148"/>
      <c r="QHS292" s="148"/>
      <c r="QHT292" s="148"/>
      <c r="QHU292" s="148"/>
      <c r="QHV292" s="148"/>
      <c r="QHW292" s="148"/>
      <c r="QHX292" s="148"/>
      <c r="QHY292" s="148"/>
      <c r="QHZ292" s="148"/>
      <c r="QIA292" s="148"/>
      <c r="QIB292" s="148"/>
      <c r="QIC292" s="148"/>
      <c r="QID292" s="148"/>
      <c r="QIE292" s="148"/>
      <c r="QIF292" s="148"/>
      <c r="QIG292" s="148"/>
      <c r="QIH292" s="148"/>
      <c r="QII292" s="148"/>
      <c r="QIJ292" s="148"/>
      <c r="QIK292" s="148"/>
      <c r="QIL292" s="148"/>
      <c r="QIM292" s="148"/>
      <c r="QIN292" s="148"/>
      <c r="QIO292" s="148"/>
      <c r="QIP292" s="148"/>
      <c r="QIQ292" s="148"/>
      <c r="QIR292" s="148"/>
      <c r="QIS292" s="148"/>
      <c r="QIT292" s="148"/>
      <c r="QIU292" s="148"/>
      <c r="QIV292" s="148"/>
      <c r="QIW292" s="148"/>
      <c r="QIX292" s="148"/>
      <c r="QIY292" s="148"/>
      <c r="QIZ292" s="148"/>
      <c r="QJA292" s="148"/>
      <c r="QJB292" s="148"/>
      <c r="QJC292" s="148"/>
      <c r="QJD292" s="148"/>
      <c r="QJE292" s="148"/>
      <c r="QJF292" s="148"/>
      <c r="QJG292" s="148"/>
      <c r="QJH292" s="148"/>
      <c r="QJI292" s="148"/>
      <c r="QJJ292" s="148"/>
      <c r="QJK292" s="148"/>
      <c r="QJL292" s="148"/>
      <c r="QJM292" s="148"/>
      <c r="QJN292" s="148"/>
      <c r="QJO292" s="148"/>
      <c r="QJP292" s="148"/>
      <c r="QJQ292" s="148"/>
      <c r="QJR292" s="148"/>
      <c r="QJS292" s="148"/>
      <c r="QJT292" s="148"/>
      <c r="QJU292" s="148"/>
      <c r="QJV292" s="148"/>
      <c r="QJW292" s="148"/>
      <c r="QJX292" s="148"/>
      <c r="QJY292" s="148"/>
      <c r="QJZ292" s="148"/>
      <c r="QKA292" s="148"/>
      <c r="QKB292" s="148"/>
      <c r="QKC292" s="148"/>
      <c r="QKD292" s="148"/>
      <c r="QKE292" s="148"/>
      <c r="QKF292" s="148"/>
      <c r="QKG292" s="148"/>
      <c r="QKH292" s="148"/>
      <c r="QKI292" s="148"/>
      <c r="QKJ292" s="148"/>
      <c r="QKK292" s="148"/>
      <c r="QKL292" s="148"/>
      <c r="QKM292" s="148"/>
      <c r="QKN292" s="148"/>
      <c r="QKO292" s="148"/>
      <c r="QKP292" s="148"/>
      <c r="QKQ292" s="148"/>
      <c r="QKR292" s="148"/>
      <c r="QKS292" s="148"/>
      <c r="QKT292" s="148"/>
      <c r="QKU292" s="148"/>
      <c r="QKV292" s="148"/>
      <c r="QKW292" s="148"/>
      <c r="QKX292" s="148"/>
      <c r="QKY292" s="148"/>
      <c r="QKZ292" s="148"/>
      <c r="QLA292" s="148"/>
      <c r="QLB292" s="148"/>
      <c r="QLC292" s="148"/>
      <c r="QLD292" s="148"/>
      <c r="QLE292" s="148"/>
      <c r="QLF292" s="148"/>
      <c r="QLG292" s="148"/>
      <c r="QLH292" s="148"/>
      <c r="QLI292" s="148"/>
      <c r="QLJ292" s="148"/>
      <c r="QLK292" s="148"/>
      <c r="QLL292" s="148"/>
      <c r="QLM292" s="148"/>
      <c r="QLN292" s="148"/>
      <c r="QLO292" s="148"/>
      <c r="QLP292" s="148"/>
      <c r="QLQ292" s="148"/>
      <c r="QLR292" s="148"/>
      <c r="QLS292" s="148"/>
      <c r="QLT292" s="148"/>
      <c r="QLU292" s="148"/>
      <c r="QLV292" s="148"/>
      <c r="QLW292" s="148"/>
      <c r="QLX292" s="148"/>
      <c r="QLY292" s="148"/>
      <c r="QLZ292" s="148"/>
      <c r="QMA292" s="148"/>
      <c r="QMB292" s="148"/>
      <c r="QMC292" s="148"/>
      <c r="QMD292" s="148"/>
      <c r="QME292" s="148"/>
      <c r="QMF292" s="148"/>
      <c r="QMG292" s="148"/>
      <c r="QMH292" s="148"/>
      <c r="QMI292" s="148"/>
      <c r="QMJ292" s="148"/>
      <c r="QMK292" s="148"/>
      <c r="QML292" s="148"/>
      <c r="QMM292" s="148"/>
      <c r="QMN292" s="148"/>
      <c r="QMO292" s="148"/>
      <c r="QMP292" s="148"/>
      <c r="QMQ292" s="148"/>
      <c r="QMR292" s="148"/>
      <c r="QMS292" s="148"/>
      <c r="QMT292" s="148"/>
      <c r="QMU292" s="148"/>
      <c r="QMV292" s="148"/>
      <c r="QMW292" s="148"/>
      <c r="QMX292" s="148"/>
      <c r="QMY292" s="148"/>
      <c r="QMZ292" s="148"/>
      <c r="QNA292" s="148"/>
      <c r="QNB292" s="148"/>
      <c r="QNC292" s="148"/>
      <c r="QND292" s="148"/>
      <c r="QNE292" s="148"/>
      <c r="QNF292" s="148"/>
      <c r="QNG292" s="148"/>
      <c r="QNH292" s="148"/>
      <c r="QNI292" s="148"/>
      <c r="QNJ292" s="148"/>
      <c r="QNK292" s="148"/>
      <c r="QNL292" s="148"/>
      <c r="QNM292" s="148"/>
      <c r="QNN292" s="148"/>
      <c r="QNO292" s="148"/>
      <c r="QNP292" s="148"/>
      <c r="QNQ292" s="148"/>
      <c r="QNR292" s="148"/>
      <c r="QNS292" s="148"/>
      <c r="QNT292" s="148"/>
      <c r="QNU292" s="148"/>
      <c r="QNV292" s="148"/>
      <c r="QNW292" s="148"/>
      <c r="QNX292" s="148"/>
      <c r="QNY292" s="148"/>
      <c r="QNZ292" s="148"/>
      <c r="QOA292" s="148"/>
      <c r="QOB292" s="148"/>
      <c r="QOC292" s="148"/>
      <c r="QOD292" s="148"/>
      <c r="QOE292" s="148"/>
      <c r="QOF292" s="148"/>
      <c r="QOG292" s="148"/>
      <c r="QOH292" s="148"/>
      <c r="QOI292" s="148"/>
      <c r="QOJ292" s="148"/>
      <c r="QOK292" s="148"/>
      <c r="QOL292" s="148"/>
      <c r="QOM292" s="148"/>
      <c r="QON292" s="148"/>
      <c r="QOO292" s="148"/>
      <c r="QOP292" s="148"/>
      <c r="QOQ292" s="148"/>
      <c r="QOR292" s="148"/>
      <c r="QOS292" s="148"/>
      <c r="QOT292" s="148"/>
      <c r="QOU292" s="148"/>
      <c r="QOV292" s="148"/>
      <c r="QOW292" s="148"/>
      <c r="QOX292" s="148"/>
      <c r="QOY292" s="148"/>
      <c r="QOZ292" s="148"/>
      <c r="QPA292" s="148"/>
      <c r="QPB292" s="148"/>
      <c r="QPC292" s="148"/>
      <c r="QPD292" s="148"/>
      <c r="QPE292" s="148"/>
      <c r="QPF292" s="148"/>
      <c r="QPG292" s="148"/>
      <c r="QPH292" s="148"/>
      <c r="QPI292" s="148"/>
      <c r="QPJ292" s="148"/>
      <c r="QPK292" s="148"/>
      <c r="QPL292" s="148"/>
      <c r="QPM292" s="148"/>
      <c r="QPN292" s="148"/>
      <c r="QPO292" s="148"/>
      <c r="QPP292" s="148"/>
      <c r="QPQ292" s="148"/>
      <c r="QPR292" s="148"/>
      <c r="QPS292" s="148"/>
      <c r="QPT292" s="148"/>
      <c r="QPU292" s="148"/>
      <c r="QPV292" s="148"/>
      <c r="QPW292" s="148"/>
      <c r="QPX292" s="148"/>
      <c r="QPY292" s="148"/>
      <c r="QPZ292" s="148"/>
      <c r="QQA292" s="148"/>
      <c r="QQB292" s="148"/>
      <c r="QQC292" s="148"/>
      <c r="QQD292" s="148"/>
      <c r="QQE292" s="148"/>
      <c r="QQF292" s="148"/>
      <c r="QQG292" s="148"/>
      <c r="QQH292" s="148"/>
      <c r="QQI292" s="148"/>
      <c r="QQJ292" s="148"/>
      <c r="QQK292" s="148"/>
      <c r="QQL292" s="148"/>
      <c r="QQM292" s="148"/>
      <c r="QQN292" s="148"/>
      <c r="QQO292" s="148"/>
      <c r="QQP292" s="148"/>
      <c r="QQQ292" s="148"/>
      <c r="QQR292" s="148"/>
      <c r="QQS292" s="148"/>
      <c r="QQT292" s="148"/>
      <c r="QQU292" s="148"/>
      <c r="QQV292" s="148"/>
      <c r="QQW292" s="148"/>
      <c r="QQX292" s="148"/>
      <c r="QQY292" s="148"/>
      <c r="QQZ292" s="148"/>
      <c r="QRA292" s="148"/>
      <c r="QRB292" s="148"/>
      <c r="QRC292" s="148"/>
      <c r="QRD292" s="148"/>
      <c r="QRE292" s="148"/>
      <c r="QRF292" s="148"/>
      <c r="QRG292" s="148"/>
      <c r="QRH292" s="148"/>
      <c r="QRI292" s="148"/>
      <c r="QRJ292" s="148"/>
      <c r="QRK292" s="148"/>
      <c r="QRL292" s="148"/>
      <c r="QRM292" s="148"/>
      <c r="QRN292" s="148"/>
      <c r="QRO292" s="148"/>
      <c r="QRP292" s="148"/>
      <c r="QRQ292" s="148"/>
      <c r="QRR292" s="148"/>
      <c r="QRS292" s="148"/>
      <c r="QRT292" s="148"/>
      <c r="QRU292" s="148"/>
      <c r="QRV292" s="148"/>
      <c r="QRW292" s="148"/>
      <c r="QRX292" s="148"/>
      <c r="QRY292" s="148"/>
      <c r="QRZ292" s="148"/>
      <c r="QSA292" s="148"/>
      <c r="QSB292" s="148"/>
      <c r="QSC292" s="148"/>
      <c r="QSD292" s="148"/>
      <c r="QSE292" s="148"/>
      <c r="QSF292" s="148"/>
      <c r="QSG292" s="148"/>
      <c r="QSH292" s="148"/>
      <c r="QSI292" s="148"/>
      <c r="QSJ292" s="148"/>
      <c r="QSK292" s="148"/>
      <c r="QSL292" s="148"/>
      <c r="QSM292" s="148"/>
      <c r="QSN292" s="148"/>
      <c r="QSO292" s="148"/>
      <c r="QSP292" s="148"/>
      <c r="QSQ292" s="148"/>
      <c r="QSR292" s="148"/>
      <c r="QSS292" s="148"/>
      <c r="QST292" s="148"/>
      <c r="QSU292" s="148"/>
      <c r="QSV292" s="148"/>
      <c r="QSW292" s="148"/>
      <c r="QSX292" s="148"/>
      <c r="QSY292" s="148"/>
      <c r="QSZ292" s="148"/>
      <c r="QTA292" s="148"/>
      <c r="QTB292" s="148"/>
      <c r="QTC292" s="148"/>
      <c r="QTD292" s="148"/>
      <c r="QTE292" s="148"/>
      <c r="QTF292" s="148"/>
      <c r="QTG292" s="148"/>
      <c r="QTH292" s="148"/>
      <c r="QTI292" s="148"/>
      <c r="QTJ292" s="148"/>
      <c r="QTK292" s="148"/>
      <c r="QTL292" s="148"/>
      <c r="QTM292" s="148"/>
      <c r="QTN292" s="148"/>
      <c r="QTO292" s="148"/>
      <c r="QTP292" s="148"/>
      <c r="QTQ292" s="148"/>
      <c r="QTR292" s="148"/>
      <c r="QTS292" s="148"/>
      <c r="QTT292" s="148"/>
      <c r="QTU292" s="148"/>
      <c r="QTV292" s="148"/>
      <c r="QTW292" s="148"/>
      <c r="QTX292" s="148"/>
      <c r="QTY292" s="148"/>
      <c r="QTZ292" s="148"/>
      <c r="QUA292" s="148"/>
      <c r="QUB292" s="148"/>
      <c r="QUC292" s="148"/>
      <c r="QUD292" s="148"/>
      <c r="QUE292" s="148"/>
      <c r="QUF292" s="148"/>
      <c r="QUG292" s="148"/>
      <c r="QUH292" s="148"/>
      <c r="QUI292" s="148"/>
      <c r="QUJ292" s="148"/>
      <c r="QUK292" s="148"/>
      <c r="QUL292" s="148"/>
      <c r="QUM292" s="148"/>
      <c r="QUN292" s="148"/>
      <c r="QUO292" s="148"/>
      <c r="QUP292" s="148"/>
      <c r="QUQ292" s="148"/>
      <c r="QUR292" s="148"/>
      <c r="QUS292" s="148"/>
      <c r="QUT292" s="148"/>
      <c r="QUU292" s="148"/>
      <c r="QUV292" s="148"/>
      <c r="QUW292" s="148"/>
      <c r="QUX292" s="148"/>
      <c r="QUY292" s="148"/>
      <c r="QUZ292" s="148"/>
      <c r="QVA292" s="148"/>
      <c r="QVB292" s="148"/>
      <c r="QVC292" s="148"/>
      <c r="QVD292" s="148"/>
      <c r="QVE292" s="148"/>
      <c r="QVF292" s="148"/>
      <c r="QVG292" s="148"/>
      <c r="QVH292" s="148"/>
      <c r="QVI292" s="148"/>
      <c r="QVJ292" s="148"/>
      <c r="QVK292" s="148"/>
      <c r="QVL292" s="148"/>
      <c r="QVM292" s="148"/>
      <c r="QVN292" s="148"/>
      <c r="QVO292" s="148"/>
      <c r="QVP292" s="148"/>
      <c r="QVQ292" s="148"/>
      <c r="QVR292" s="148"/>
      <c r="QVS292" s="148"/>
      <c r="QVT292" s="148"/>
      <c r="QVU292" s="148"/>
      <c r="QVV292" s="148"/>
      <c r="QVW292" s="148"/>
      <c r="QVX292" s="148"/>
      <c r="QVY292" s="148"/>
      <c r="QVZ292" s="148"/>
      <c r="QWA292" s="148"/>
      <c r="QWB292" s="148"/>
      <c r="QWC292" s="148"/>
      <c r="QWD292" s="148"/>
      <c r="QWE292" s="148"/>
      <c r="QWF292" s="148"/>
      <c r="QWG292" s="148"/>
      <c r="QWH292" s="148"/>
      <c r="QWI292" s="148"/>
      <c r="QWJ292" s="148"/>
      <c r="QWK292" s="148"/>
      <c r="QWL292" s="148"/>
      <c r="QWM292" s="148"/>
      <c r="QWN292" s="148"/>
      <c r="QWO292" s="148"/>
      <c r="QWP292" s="148"/>
      <c r="QWQ292" s="148"/>
      <c r="QWR292" s="148"/>
      <c r="QWS292" s="148"/>
      <c r="QWT292" s="148"/>
      <c r="QWU292" s="148"/>
      <c r="QWV292" s="148"/>
      <c r="QWW292" s="148"/>
      <c r="QWX292" s="148"/>
      <c r="QWY292" s="148"/>
      <c r="QWZ292" s="148"/>
      <c r="QXA292" s="148"/>
      <c r="QXB292" s="148"/>
      <c r="QXC292" s="148"/>
      <c r="QXD292" s="148"/>
      <c r="QXE292" s="148"/>
      <c r="QXF292" s="148"/>
      <c r="QXG292" s="148"/>
      <c r="QXH292" s="148"/>
      <c r="QXI292" s="148"/>
      <c r="QXJ292" s="148"/>
      <c r="QXK292" s="148"/>
      <c r="QXL292" s="148"/>
      <c r="QXM292" s="148"/>
      <c r="QXN292" s="148"/>
      <c r="QXO292" s="148"/>
      <c r="QXP292" s="148"/>
      <c r="QXQ292" s="148"/>
      <c r="QXR292" s="148"/>
      <c r="QXS292" s="148"/>
      <c r="QXT292" s="148"/>
      <c r="QXU292" s="148"/>
      <c r="QXV292" s="148"/>
      <c r="QXW292" s="148"/>
      <c r="QXX292" s="148"/>
      <c r="QXY292" s="148"/>
      <c r="QXZ292" s="148"/>
      <c r="QYA292" s="148"/>
      <c r="QYB292" s="148"/>
      <c r="QYC292" s="148"/>
      <c r="QYD292" s="148"/>
      <c r="QYE292" s="148"/>
      <c r="QYF292" s="148"/>
      <c r="QYG292" s="148"/>
      <c r="QYH292" s="148"/>
      <c r="QYI292" s="148"/>
      <c r="QYJ292" s="148"/>
      <c r="QYK292" s="148"/>
      <c r="QYL292" s="148"/>
      <c r="QYM292" s="148"/>
      <c r="QYN292" s="148"/>
      <c r="QYO292" s="148"/>
      <c r="QYP292" s="148"/>
      <c r="QYQ292" s="148"/>
      <c r="QYR292" s="148"/>
      <c r="QYS292" s="148"/>
      <c r="QYT292" s="148"/>
      <c r="QYU292" s="148"/>
      <c r="QYV292" s="148"/>
      <c r="QYW292" s="148"/>
      <c r="QYX292" s="148"/>
      <c r="QYY292" s="148"/>
      <c r="QYZ292" s="148"/>
      <c r="QZA292" s="148"/>
      <c r="QZB292" s="148"/>
      <c r="QZC292" s="148"/>
      <c r="QZD292" s="148"/>
      <c r="QZE292" s="148"/>
      <c r="QZF292" s="148"/>
      <c r="QZG292" s="148"/>
      <c r="QZH292" s="148"/>
      <c r="QZI292" s="148"/>
      <c r="QZJ292" s="148"/>
      <c r="QZK292" s="148"/>
      <c r="QZL292" s="148"/>
      <c r="QZM292" s="148"/>
      <c r="QZN292" s="148"/>
      <c r="QZO292" s="148"/>
      <c r="QZP292" s="148"/>
      <c r="QZQ292" s="148"/>
      <c r="QZR292" s="148"/>
      <c r="QZS292" s="148"/>
      <c r="QZT292" s="148"/>
      <c r="QZU292" s="148"/>
      <c r="QZV292" s="148"/>
      <c r="QZW292" s="148"/>
      <c r="QZX292" s="148"/>
      <c r="QZY292" s="148"/>
      <c r="QZZ292" s="148"/>
      <c r="RAA292" s="148"/>
      <c r="RAB292" s="148"/>
      <c r="RAC292" s="148"/>
      <c r="RAD292" s="148"/>
      <c r="RAE292" s="148"/>
      <c r="RAF292" s="148"/>
      <c r="RAG292" s="148"/>
      <c r="RAH292" s="148"/>
      <c r="RAI292" s="148"/>
      <c r="RAJ292" s="148"/>
      <c r="RAK292" s="148"/>
      <c r="RAL292" s="148"/>
      <c r="RAM292" s="148"/>
      <c r="RAN292" s="148"/>
      <c r="RAO292" s="148"/>
      <c r="RAP292" s="148"/>
      <c r="RAQ292" s="148"/>
      <c r="RAR292" s="148"/>
      <c r="RAS292" s="148"/>
      <c r="RAT292" s="148"/>
      <c r="RAU292" s="148"/>
      <c r="RAV292" s="148"/>
      <c r="RAW292" s="148"/>
      <c r="RAX292" s="148"/>
      <c r="RAY292" s="148"/>
      <c r="RAZ292" s="148"/>
      <c r="RBA292" s="148"/>
      <c r="RBB292" s="148"/>
      <c r="RBC292" s="148"/>
      <c r="RBD292" s="148"/>
      <c r="RBE292" s="148"/>
      <c r="RBF292" s="148"/>
      <c r="RBG292" s="148"/>
      <c r="RBH292" s="148"/>
      <c r="RBI292" s="148"/>
      <c r="RBJ292" s="148"/>
      <c r="RBK292" s="148"/>
      <c r="RBL292" s="148"/>
      <c r="RBM292" s="148"/>
      <c r="RBN292" s="148"/>
      <c r="RBO292" s="148"/>
      <c r="RBP292" s="148"/>
      <c r="RBQ292" s="148"/>
      <c r="RBR292" s="148"/>
      <c r="RBS292" s="148"/>
      <c r="RBT292" s="148"/>
      <c r="RBU292" s="148"/>
      <c r="RBV292" s="148"/>
      <c r="RBW292" s="148"/>
      <c r="RBX292" s="148"/>
      <c r="RBY292" s="148"/>
      <c r="RBZ292" s="148"/>
      <c r="RCA292" s="148"/>
      <c r="RCB292" s="148"/>
      <c r="RCC292" s="148"/>
      <c r="RCD292" s="148"/>
      <c r="RCE292" s="148"/>
      <c r="RCF292" s="148"/>
      <c r="RCG292" s="148"/>
      <c r="RCH292" s="148"/>
      <c r="RCI292" s="148"/>
      <c r="RCJ292" s="148"/>
      <c r="RCK292" s="148"/>
      <c r="RCL292" s="148"/>
      <c r="RCM292" s="148"/>
      <c r="RCN292" s="148"/>
      <c r="RCO292" s="148"/>
      <c r="RCP292" s="148"/>
      <c r="RCQ292" s="148"/>
      <c r="RCR292" s="148"/>
      <c r="RCS292" s="148"/>
      <c r="RCT292" s="148"/>
      <c r="RCU292" s="148"/>
      <c r="RCV292" s="148"/>
      <c r="RCW292" s="148"/>
      <c r="RCX292" s="148"/>
      <c r="RCY292" s="148"/>
      <c r="RCZ292" s="148"/>
      <c r="RDA292" s="148"/>
      <c r="RDB292" s="148"/>
      <c r="RDC292" s="148"/>
      <c r="RDD292" s="148"/>
      <c r="RDE292" s="148"/>
      <c r="RDF292" s="148"/>
      <c r="RDG292" s="148"/>
      <c r="RDH292" s="148"/>
      <c r="RDI292" s="148"/>
      <c r="RDJ292" s="148"/>
      <c r="RDK292" s="148"/>
      <c r="RDL292" s="148"/>
      <c r="RDM292" s="148"/>
      <c r="RDN292" s="148"/>
      <c r="RDO292" s="148"/>
      <c r="RDP292" s="148"/>
      <c r="RDQ292" s="148"/>
      <c r="RDR292" s="148"/>
      <c r="RDS292" s="148"/>
      <c r="RDT292" s="148"/>
      <c r="RDU292" s="148"/>
      <c r="RDV292" s="148"/>
      <c r="RDW292" s="148"/>
      <c r="RDX292" s="148"/>
      <c r="RDY292" s="148"/>
      <c r="RDZ292" s="148"/>
      <c r="REA292" s="148"/>
      <c r="REB292" s="148"/>
      <c r="REC292" s="148"/>
      <c r="RED292" s="148"/>
      <c r="REE292" s="148"/>
      <c r="REF292" s="148"/>
      <c r="REG292" s="148"/>
      <c r="REH292" s="148"/>
      <c r="REI292" s="148"/>
      <c r="REJ292" s="148"/>
      <c r="REK292" s="148"/>
      <c r="REL292" s="148"/>
      <c r="REM292" s="148"/>
      <c r="REN292" s="148"/>
      <c r="REO292" s="148"/>
      <c r="REP292" s="148"/>
      <c r="REQ292" s="148"/>
      <c r="RER292" s="148"/>
      <c r="RES292" s="148"/>
      <c r="RET292" s="148"/>
      <c r="REU292" s="148"/>
      <c r="REV292" s="148"/>
      <c r="REW292" s="148"/>
      <c r="REX292" s="148"/>
      <c r="REY292" s="148"/>
      <c r="REZ292" s="148"/>
      <c r="RFA292" s="148"/>
      <c r="RFB292" s="148"/>
      <c r="RFC292" s="148"/>
      <c r="RFD292" s="148"/>
      <c r="RFE292" s="148"/>
      <c r="RFF292" s="148"/>
      <c r="RFG292" s="148"/>
      <c r="RFH292" s="148"/>
      <c r="RFI292" s="148"/>
      <c r="RFJ292" s="148"/>
      <c r="RFK292" s="148"/>
      <c r="RFL292" s="148"/>
      <c r="RFM292" s="148"/>
      <c r="RFN292" s="148"/>
      <c r="RFO292" s="148"/>
      <c r="RFP292" s="148"/>
      <c r="RFQ292" s="148"/>
      <c r="RFR292" s="148"/>
      <c r="RFS292" s="148"/>
      <c r="RFT292" s="148"/>
      <c r="RFU292" s="148"/>
      <c r="RFV292" s="148"/>
      <c r="RFW292" s="148"/>
      <c r="RFX292" s="148"/>
      <c r="RFY292" s="148"/>
      <c r="RFZ292" s="148"/>
      <c r="RGA292" s="148"/>
      <c r="RGB292" s="148"/>
      <c r="RGC292" s="148"/>
      <c r="RGD292" s="148"/>
      <c r="RGE292" s="148"/>
      <c r="RGF292" s="148"/>
      <c r="RGG292" s="148"/>
      <c r="RGH292" s="148"/>
      <c r="RGI292" s="148"/>
      <c r="RGJ292" s="148"/>
      <c r="RGK292" s="148"/>
      <c r="RGL292" s="148"/>
      <c r="RGM292" s="148"/>
      <c r="RGN292" s="148"/>
      <c r="RGO292" s="148"/>
      <c r="RGP292" s="148"/>
      <c r="RGQ292" s="148"/>
      <c r="RGR292" s="148"/>
      <c r="RGS292" s="148"/>
      <c r="RGT292" s="148"/>
      <c r="RGU292" s="148"/>
      <c r="RGV292" s="148"/>
      <c r="RGW292" s="148"/>
      <c r="RGX292" s="148"/>
      <c r="RGY292" s="148"/>
      <c r="RGZ292" s="148"/>
      <c r="RHA292" s="148"/>
      <c r="RHB292" s="148"/>
      <c r="RHC292" s="148"/>
      <c r="RHD292" s="148"/>
      <c r="RHE292" s="148"/>
      <c r="RHF292" s="148"/>
      <c r="RHG292" s="148"/>
      <c r="RHH292" s="148"/>
      <c r="RHI292" s="148"/>
      <c r="RHJ292" s="148"/>
      <c r="RHK292" s="148"/>
      <c r="RHL292" s="148"/>
      <c r="RHM292" s="148"/>
      <c r="RHN292" s="148"/>
      <c r="RHO292" s="148"/>
      <c r="RHP292" s="148"/>
      <c r="RHQ292" s="148"/>
      <c r="RHR292" s="148"/>
      <c r="RHS292" s="148"/>
      <c r="RHT292" s="148"/>
      <c r="RHU292" s="148"/>
      <c r="RHV292" s="148"/>
      <c r="RHW292" s="148"/>
      <c r="RHX292" s="148"/>
      <c r="RHY292" s="148"/>
      <c r="RHZ292" s="148"/>
      <c r="RIA292" s="148"/>
      <c r="RIB292" s="148"/>
      <c r="RIC292" s="148"/>
      <c r="RID292" s="148"/>
      <c r="RIE292" s="148"/>
      <c r="RIF292" s="148"/>
      <c r="RIG292" s="148"/>
      <c r="RIH292" s="148"/>
      <c r="RII292" s="148"/>
      <c r="RIJ292" s="148"/>
      <c r="RIK292" s="148"/>
      <c r="RIL292" s="148"/>
      <c r="RIM292" s="148"/>
      <c r="RIN292" s="148"/>
      <c r="RIO292" s="148"/>
      <c r="RIP292" s="148"/>
      <c r="RIQ292" s="148"/>
      <c r="RIR292" s="148"/>
      <c r="RIS292" s="148"/>
      <c r="RIT292" s="148"/>
      <c r="RIU292" s="148"/>
      <c r="RIV292" s="148"/>
      <c r="RIW292" s="148"/>
      <c r="RIX292" s="148"/>
      <c r="RIY292" s="148"/>
      <c r="RIZ292" s="148"/>
      <c r="RJA292" s="148"/>
      <c r="RJB292" s="148"/>
      <c r="RJC292" s="148"/>
      <c r="RJD292" s="148"/>
      <c r="RJE292" s="148"/>
      <c r="RJF292" s="148"/>
      <c r="RJG292" s="148"/>
      <c r="RJH292" s="148"/>
      <c r="RJI292" s="148"/>
      <c r="RJJ292" s="148"/>
      <c r="RJK292" s="148"/>
      <c r="RJL292" s="148"/>
      <c r="RJM292" s="148"/>
      <c r="RJN292" s="148"/>
      <c r="RJO292" s="148"/>
      <c r="RJP292" s="148"/>
      <c r="RJQ292" s="148"/>
      <c r="RJR292" s="148"/>
      <c r="RJS292" s="148"/>
      <c r="RJT292" s="148"/>
      <c r="RJU292" s="148"/>
      <c r="RJV292" s="148"/>
      <c r="RJW292" s="148"/>
      <c r="RJX292" s="148"/>
      <c r="RJY292" s="148"/>
      <c r="RJZ292" s="148"/>
      <c r="RKA292" s="148"/>
      <c r="RKB292" s="148"/>
      <c r="RKC292" s="148"/>
      <c r="RKD292" s="148"/>
      <c r="RKE292" s="148"/>
      <c r="RKF292" s="148"/>
      <c r="RKG292" s="148"/>
      <c r="RKH292" s="148"/>
      <c r="RKI292" s="148"/>
      <c r="RKJ292" s="148"/>
      <c r="RKK292" s="148"/>
      <c r="RKL292" s="148"/>
      <c r="RKM292" s="148"/>
      <c r="RKN292" s="148"/>
      <c r="RKO292" s="148"/>
      <c r="RKP292" s="148"/>
      <c r="RKQ292" s="148"/>
      <c r="RKR292" s="148"/>
      <c r="RKS292" s="148"/>
      <c r="RKT292" s="148"/>
      <c r="RKU292" s="148"/>
      <c r="RKV292" s="148"/>
      <c r="RKW292" s="148"/>
      <c r="RKX292" s="148"/>
      <c r="RKY292" s="148"/>
      <c r="RKZ292" s="148"/>
      <c r="RLA292" s="148"/>
      <c r="RLB292" s="148"/>
      <c r="RLC292" s="148"/>
      <c r="RLD292" s="148"/>
      <c r="RLE292" s="148"/>
      <c r="RLF292" s="148"/>
      <c r="RLG292" s="148"/>
      <c r="RLH292" s="148"/>
      <c r="RLI292" s="148"/>
      <c r="RLJ292" s="148"/>
      <c r="RLK292" s="148"/>
      <c r="RLL292" s="148"/>
      <c r="RLM292" s="148"/>
      <c r="RLN292" s="148"/>
      <c r="RLO292" s="148"/>
      <c r="RLP292" s="148"/>
      <c r="RLQ292" s="148"/>
      <c r="RLR292" s="148"/>
      <c r="RLS292" s="148"/>
      <c r="RLT292" s="148"/>
      <c r="RLU292" s="148"/>
      <c r="RLV292" s="148"/>
      <c r="RLW292" s="148"/>
      <c r="RLX292" s="148"/>
      <c r="RLY292" s="148"/>
      <c r="RLZ292" s="148"/>
      <c r="RMA292" s="148"/>
      <c r="RMB292" s="148"/>
      <c r="RMC292" s="148"/>
      <c r="RMD292" s="148"/>
      <c r="RME292" s="148"/>
      <c r="RMF292" s="148"/>
      <c r="RMG292" s="148"/>
      <c r="RMH292" s="148"/>
      <c r="RMI292" s="148"/>
      <c r="RMJ292" s="148"/>
      <c r="RMK292" s="148"/>
      <c r="RML292" s="148"/>
      <c r="RMM292" s="148"/>
      <c r="RMN292" s="148"/>
      <c r="RMO292" s="148"/>
      <c r="RMP292" s="148"/>
      <c r="RMQ292" s="148"/>
      <c r="RMR292" s="148"/>
      <c r="RMS292" s="148"/>
      <c r="RMT292" s="148"/>
      <c r="RMU292" s="148"/>
      <c r="RMV292" s="148"/>
      <c r="RMW292" s="148"/>
      <c r="RMX292" s="148"/>
      <c r="RMY292" s="148"/>
      <c r="RMZ292" s="148"/>
      <c r="RNA292" s="148"/>
      <c r="RNB292" s="148"/>
      <c r="RNC292" s="148"/>
      <c r="RND292" s="148"/>
      <c r="RNE292" s="148"/>
      <c r="RNF292" s="148"/>
      <c r="RNG292" s="148"/>
      <c r="RNH292" s="148"/>
      <c r="RNI292" s="148"/>
      <c r="RNJ292" s="148"/>
      <c r="RNK292" s="148"/>
      <c r="RNL292" s="148"/>
      <c r="RNM292" s="148"/>
      <c r="RNN292" s="148"/>
      <c r="RNO292" s="148"/>
      <c r="RNP292" s="148"/>
      <c r="RNQ292" s="148"/>
      <c r="RNR292" s="148"/>
      <c r="RNS292" s="148"/>
      <c r="RNT292" s="148"/>
      <c r="RNU292" s="148"/>
      <c r="RNV292" s="148"/>
      <c r="RNW292" s="148"/>
      <c r="RNX292" s="148"/>
      <c r="RNY292" s="148"/>
      <c r="RNZ292" s="148"/>
      <c r="ROA292" s="148"/>
      <c r="ROB292" s="148"/>
      <c r="ROC292" s="148"/>
      <c r="ROD292" s="148"/>
      <c r="ROE292" s="148"/>
      <c r="ROF292" s="148"/>
      <c r="ROG292" s="148"/>
      <c r="ROH292" s="148"/>
      <c r="ROI292" s="148"/>
      <c r="ROJ292" s="148"/>
      <c r="ROK292" s="148"/>
      <c r="ROL292" s="148"/>
      <c r="ROM292" s="148"/>
      <c r="RON292" s="148"/>
      <c r="ROO292" s="148"/>
      <c r="ROP292" s="148"/>
      <c r="ROQ292" s="148"/>
      <c r="ROR292" s="148"/>
      <c r="ROS292" s="148"/>
      <c r="ROT292" s="148"/>
      <c r="ROU292" s="148"/>
      <c r="ROV292" s="148"/>
      <c r="ROW292" s="148"/>
      <c r="ROX292" s="148"/>
      <c r="ROY292" s="148"/>
      <c r="ROZ292" s="148"/>
      <c r="RPA292" s="148"/>
      <c r="RPB292" s="148"/>
      <c r="RPC292" s="148"/>
      <c r="RPD292" s="148"/>
      <c r="RPE292" s="148"/>
      <c r="RPF292" s="148"/>
      <c r="RPG292" s="148"/>
      <c r="RPH292" s="148"/>
      <c r="RPI292" s="148"/>
      <c r="RPJ292" s="148"/>
      <c r="RPK292" s="148"/>
      <c r="RPL292" s="148"/>
      <c r="RPM292" s="148"/>
      <c r="RPN292" s="148"/>
      <c r="RPO292" s="148"/>
      <c r="RPP292" s="148"/>
      <c r="RPQ292" s="148"/>
      <c r="RPR292" s="148"/>
      <c r="RPS292" s="148"/>
      <c r="RPT292" s="148"/>
      <c r="RPU292" s="148"/>
      <c r="RPV292" s="148"/>
      <c r="RPW292" s="148"/>
      <c r="RPX292" s="148"/>
      <c r="RPY292" s="148"/>
      <c r="RPZ292" s="148"/>
      <c r="RQA292" s="148"/>
      <c r="RQB292" s="148"/>
      <c r="RQC292" s="148"/>
      <c r="RQD292" s="148"/>
      <c r="RQE292" s="148"/>
      <c r="RQF292" s="148"/>
      <c r="RQG292" s="148"/>
      <c r="RQH292" s="148"/>
      <c r="RQI292" s="148"/>
      <c r="RQJ292" s="148"/>
      <c r="RQK292" s="148"/>
      <c r="RQL292" s="148"/>
      <c r="RQM292" s="148"/>
      <c r="RQN292" s="148"/>
      <c r="RQO292" s="148"/>
      <c r="RQP292" s="148"/>
      <c r="RQQ292" s="148"/>
      <c r="RQR292" s="148"/>
      <c r="RQS292" s="148"/>
      <c r="RQT292" s="148"/>
      <c r="RQU292" s="148"/>
      <c r="RQV292" s="148"/>
      <c r="RQW292" s="148"/>
      <c r="RQX292" s="148"/>
      <c r="RQY292" s="148"/>
      <c r="RQZ292" s="148"/>
      <c r="RRA292" s="148"/>
      <c r="RRB292" s="148"/>
      <c r="RRC292" s="148"/>
      <c r="RRD292" s="148"/>
      <c r="RRE292" s="148"/>
      <c r="RRF292" s="148"/>
      <c r="RRG292" s="148"/>
      <c r="RRH292" s="148"/>
      <c r="RRI292" s="148"/>
      <c r="RRJ292" s="148"/>
      <c r="RRK292" s="148"/>
      <c r="RRL292" s="148"/>
      <c r="RRM292" s="148"/>
      <c r="RRN292" s="148"/>
      <c r="RRO292" s="148"/>
      <c r="RRP292" s="148"/>
      <c r="RRQ292" s="148"/>
      <c r="RRR292" s="148"/>
      <c r="RRS292" s="148"/>
      <c r="RRT292" s="148"/>
      <c r="RRU292" s="148"/>
      <c r="RRV292" s="148"/>
      <c r="RRW292" s="148"/>
      <c r="RRX292" s="148"/>
      <c r="RRY292" s="148"/>
      <c r="RRZ292" s="148"/>
      <c r="RSA292" s="148"/>
      <c r="RSB292" s="148"/>
      <c r="RSC292" s="148"/>
      <c r="RSD292" s="148"/>
      <c r="RSE292" s="148"/>
      <c r="RSF292" s="148"/>
      <c r="RSG292" s="148"/>
      <c r="RSH292" s="148"/>
      <c r="RSI292" s="148"/>
      <c r="RSJ292" s="148"/>
      <c r="RSK292" s="148"/>
      <c r="RSL292" s="148"/>
      <c r="RSM292" s="148"/>
      <c r="RSN292" s="148"/>
      <c r="RSO292" s="148"/>
      <c r="RSP292" s="148"/>
      <c r="RSQ292" s="148"/>
      <c r="RSR292" s="148"/>
      <c r="RSS292" s="148"/>
      <c r="RST292" s="148"/>
      <c r="RSU292" s="148"/>
      <c r="RSV292" s="148"/>
      <c r="RSW292" s="148"/>
      <c r="RSX292" s="148"/>
      <c r="RSY292" s="148"/>
      <c r="RSZ292" s="148"/>
      <c r="RTA292" s="148"/>
      <c r="RTB292" s="148"/>
      <c r="RTC292" s="148"/>
      <c r="RTD292" s="148"/>
      <c r="RTE292" s="148"/>
      <c r="RTF292" s="148"/>
      <c r="RTG292" s="148"/>
      <c r="RTH292" s="148"/>
      <c r="RTI292" s="148"/>
      <c r="RTJ292" s="148"/>
      <c r="RTK292" s="148"/>
      <c r="RTL292" s="148"/>
      <c r="RTM292" s="148"/>
      <c r="RTN292" s="148"/>
      <c r="RTO292" s="148"/>
      <c r="RTP292" s="148"/>
      <c r="RTQ292" s="148"/>
      <c r="RTR292" s="148"/>
      <c r="RTS292" s="148"/>
      <c r="RTT292" s="148"/>
      <c r="RTU292" s="148"/>
      <c r="RTV292" s="148"/>
      <c r="RTW292" s="148"/>
      <c r="RTX292" s="148"/>
      <c r="RTY292" s="148"/>
      <c r="RTZ292" s="148"/>
      <c r="RUA292" s="148"/>
      <c r="RUB292" s="148"/>
      <c r="RUC292" s="148"/>
      <c r="RUD292" s="148"/>
      <c r="RUE292" s="148"/>
      <c r="RUF292" s="148"/>
      <c r="RUG292" s="148"/>
      <c r="RUH292" s="148"/>
      <c r="RUI292" s="148"/>
      <c r="RUJ292" s="148"/>
      <c r="RUK292" s="148"/>
      <c r="RUL292" s="148"/>
      <c r="RUM292" s="148"/>
      <c r="RUN292" s="148"/>
      <c r="RUO292" s="148"/>
      <c r="RUP292" s="148"/>
      <c r="RUQ292" s="148"/>
      <c r="RUR292" s="148"/>
      <c r="RUS292" s="148"/>
      <c r="RUT292" s="148"/>
      <c r="RUU292" s="148"/>
      <c r="RUV292" s="148"/>
      <c r="RUW292" s="148"/>
      <c r="RUX292" s="148"/>
      <c r="RUY292" s="148"/>
      <c r="RUZ292" s="148"/>
      <c r="RVA292" s="148"/>
      <c r="RVB292" s="148"/>
      <c r="RVC292" s="148"/>
      <c r="RVD292" s="148"/>
      <c r="RVE292" s="148"/>
      <c r="RVF292" s="148"/>
      <c r="RVG292" s="148"/>
      <c r="RVH292" s="148"/>
      <c r="RVI292" s="148"/>
      <c r="RVJ292" s="148"/>
      <c r="RVK292" s="148"/>
      <c r="RVL292" s="148"/>
      <c r="RVM292" s="148"/>
      <c r="RVN292" s="148"/>
      <c r="RVO292" s="148"/>
      <c r="RVP292" s="148"/>
      <c r="RVQ292" s="148"/>
      <c r="RVR292" s="148"/>
      <c r="RVS292" s="148"/>
      <c r="RVT292" s="148"/>
      <c r="RVU292" s="148"/>
      <c r="RVV292" s="148"/>
      <c r="RVW292" s="148"/>
      <c r="RVX292" s="148"/>
      <c r="RVY292" s="148"/>
      <c r="RVZ292" s="148"/>
      <c r="RWA292" s="148"/>
      <c r="RWB292" s="148"/>
      <c r="RWC292" s="148"/>
      <c r="RWD292" s="148"/>
      <c r="RWE292" s="148"/>
      <c r="RWF292" s="148"/>
      <c r="RWG292" s="148"/>
      <c r="RWH292" s="148"/>
      <c r="RWI292" s="148"/>
      <c r="RWJ292" s="148"/>
      <c r="RWK292" s="148"/>
      <c r="RWL292" s="148"/>
      <c r="RWM292" s="148"/>
      <c r="RWN292" s="148"/>
      <c r="RWO292" s="148"/>
      <c r="RWP292" s="148"/>
      <c r="RWQ292" s="148"/>
      <c r="RWR292" s="148"/>
      <c r="RWS292" s="148"/>
      <c r="RWT292" s="148"/>
      <c r="RWU292" s="148"/>
      <c r="RWV292" s="148"/>
      <c r="RWW292" s="148"/>
      <c r="RWX292" s="148"/>
      <c r="RWY292" s="148"/>
      <c r="RWZ292" s="148"/>
      <c r="RXA292" s="148"/>
      <c r="RXB292" s="148"/>
      <c r="RXC292" s="148"/>
      <c r="RXD292" s="148"/>
      <c r="RXE292" s="148"/>
      <c r="RXF292" s="148"/>
      <c r="RXG292" s="148"/>
      <c r="RXH292" s="148"/>
      <c r="RXI292" s="148"/>
      <c r="RXJ292" s="148"/>
      <c r="RXK292" s="148"/>
      <c r="RXL292" s="148"/>
      <c r="RXM292" s="148"/>
      <c r="RXN292" s="148"/>
      <c r="RXO292" s="148"/>
      <c r="RXP292" s="148"/>
      <c r="RXQ292" s="148"/>
      <c r="RXR292" s="148"/>
      <c r="RXS292" s="148"/>
      <c r="RXT292" s="148"/>
      <c r="RXU292" s="148"/>
      <c r="RXV292" s="148"/>
      <c r="RXW292" s="148"/>
      <c r="RXX292" s="148"/>
      <c r="RXY292" s="148"/>
      <c r="RXZ292" s="148"/>
      <c r="RYA292" s="148"/>
      <c r="RYB292" s="148"/>
      <c r="RYC292" s="148"/>
      <c r="RYD292" s="148"/>
      <c r="RYE292" s="148"/>
      <c r="RYF292" s="148"/>
      <c r="RYG292" s="148"/>
      <c r="RYH292" s="148"/>
      <c r="RYI292" s="148"/>
      <c r="RYJ292" s="148"/>
      <c r="RYK292" s="148"/>
      <c r="RYL292" s="148"/>
      <c r="RYM292" s="148"/>
      <c r="RYN292" s="148"/>
      <c r="RYO292" s="148"/>
      <c r="RYP292" s="148"/>
      <c r="RYQ292" s="148"/>
      <c r="RYR292" s="148"/>
      <c r="RYS292" s="148"/>
      <c r="RYT292" s="148"/>
      <c r="RYU292" s="148"/>
      <c r="RYV292" s="148"/>
      <c r="RYW292" s="148"/>
      <c r="RYX292" s="148"/>
      <c r="RYY292" s="148"/>
      <c r="RYZ292" s="148"/>
      <c r="RZA292" s="148"/>
      <c r="RZB292" s="148"/>
      <c r="RZC292" s="148"/>
      <c r="RZD292" s="148"/>
      <c r="RZE292" s="148"/>
      <c r="RZF292" s="148"/>
      <c r="RZG292" s="148"/>
      <c r="RZH292" s="148"/>
      <c r="RZI292" s="148"/>
      <c r="RZJ292" s="148"/>
      <c r="RZK292" s="148"/>
      <c r="RZL292" s="148"/>
      <c r="RZM292" s="148"/>
      <c r="RZN292" s="148"/>
      <c r="RZO292" s="148"/>
      <c r="RZP292" s="148"/>
      <c r="RZQ292" s="148"/>
      <c r="RZR292" s="148"/>
      <c r="RZS292" s="148"/>
      <c r="RZT292" s="148"/>
      <c r="RZU292" s="148"/>
      <c r="RZV292" s="148"/>
      <c r="RZW292" s="148"/>
      <c r="RZX292" s="148"/>
      <c r="RZY292" s="148"/>
      <c r="RZZ292" s="148"/>
      <c r="SAA292" s="148"/>
      <c r="SAB292" s="148"/>
      <c r="SAC292" s="148"/>
      <c r="SAD292" s="148"/>
      <c r="SAE292" s="148"/>
      <c r="SAF292" s="148"/>
      <c r="SAG292" s="148"/>
      <c r="SAH292" s="148"/>
      <c r="SAI292" s="148"/>
      <c r="SAJ292" s="148"/>
      <c r="SAK292" s="148"/>
      <c r="SAL292" s="148"/>
      <c r="SAM292" s="148"/>
      <c r="SAN292" s="148"/>
      <c r="SAO292" s="148"/>
      <c r="SAP292" s="148"/>
      <c r="SAQ292" s="148"/>
      <c r="SAR292" s="148"/>
      <c r="SAS292" s="148"/>
      <c r="SAT292" s="148"/>
      <c r="SAU292" s="148"/>
      <c r="SAV292" s="148"/>
      <c r="SAW292" s="148"/>
      <c r="SAX292" s="148"/>
      <c r="SAY292" s="148"/>
      <c r="SAZ292" s="148"/>
      <c r="SBA292" s="148"/>
      <c r="SBB292" s="148"/>
      <c r="SBC292" s="148"/>
      <c r="SBD292" s="148"/>
      <c r="SBE292" s="148"/>
      <c r="SBF292" s="148"/>
      <c r="SBG292" s="148"/>
      <c r="SBH292" s="148"/>
      <c r="SBI292" s="148"/>
      <c r="SBJ292" s="148"/>
      <c r="SBK292" s="148"/>
      <c r="SBL292" s="148"/>
      <c r="SBM292" s="148"/>
      <c r="SBN292" s="148"/>
      <c r="SBO292" s="148"/>
      <c r="SBP292" s="148"/>
      <c r="SBQ292" s="148"/>
      <c r="SBR292" s="148"/>
      <c r="SBS292" s="148"/>
      <c r="SBT292" s="148"/>
      <c r="SBU292" s="148"/>
      <c r="SBV292" s="148"/>
      <c r="SBW292" s="148"/>
      <c r="SBX292" s="148"/>
      <c r="SBY292" s="148"/>
      <c r="SBZ292" s="148"/>
      <c r="SCA292" s="148"/>
      <c r="SCB292" s="148"/>
      <c r="SCC292" s="148"/>
      <c r="SCD292" s="148"/>
      <c r="SCE292" s="148"/>
      <c r="SCF292" s="148"/>
      <c r="SCG292" s="148"/>
      <c r="SCH292" s="148"/>
      <c r="SCI292" s="148"/>
      <c r="SCJ292" s="148"/>
      <c r="SCK292" s="148"/>
      <c r="SCL292" s="148"/>
      <c r="SCM292" s="148"/>
      <c r="SCN292" s="148"/>
      <c r="SCO292" s="148"/>
      <c r="SCP292" s="148"/>
      <c r="SCQ292" s="148"/>
      <c r="SCR292" s="148"/>
      <c r="SCS292" s="148"/>
      <c r="SCT292" s="148"/>
      <c r="SCU292" s="148"/>
      <c r="SCV292" s="148"/>
      <c r="SCW292" s="148"/>
      <c r="SCX292" s="148"/>
      <c r="SCY292" s="148"/>
      <c r="SCZ292" s="148"/>
      <c r="SDA292" s="148"/>
      <c r="SDB292" s="148"/>
      <c r="SDC292" s="148"/>
      <c r="SDD292" s="148"/>
      <c r="SDE292" s="148"/>
      <c r="SDF292" s="148"/>
      <c r="SDG292" s="148"/>
      <c r="SDH292" s="148"/>
      <c r="SDI292" s="148"/>
      <c r="SDJ292" s="148"/>
      <c r="SDK292" s="148"/>
      <c r="SDL292" s="148"/>
      <c r="SDM292" s="148"/>
      <c r="SDN292" s="148"/>
      <c r="SDO292" s="148"/>
      <c r="SDP292" s="148"/>
      <c r="SDQ292" s="148"/>
      <c r="SDR292" s="148"/>
      <c r="SDS292" s="148"/>
      <c r="SDT292" s="148"/>
      <c r="SDU292" s="148"/>
      <c r="SDV292" s="148"/>
      <c r="SDW292" s="148"/>
      <c r="SDX292" s="148"/>
      <c r="SDY292" s="148"/>
      <c r="SDZ292" s="148"/>
      <c r="SEA292" s="148"/>
      <c r="SEB292" s="148"/>
      <c r="SEC292" s="148"/>
      <c r="SED292" s="148"/>
      <c r="SEE292" s="148"/>
      <c r="SEF292" s="148"/>
      <c r="SEG292" s="148"/>
      <c r="SEH292" s="148"/>
      <c r="SEI292" s="148"/>
      <c r="SEJ292" s="148"/>
      <c r="SEK292" s="148"/>
      <c r="SEL292" s="148"/>
      <c r="SEM292" s="148"/>
      <c r="SEN292" s="148"/>
      <c r="SEO292" s="148"/>
      <c r="SEP292" s="148"/>
      <c r="SEQ292" s="148"/>
      <c r="SER292" s="148"/>
      <c r="SES292" s="148"/>
      <c r="SET292" s="148"/>
      <c r="SEU292" s="148"/>
      <c r="SEV292" s="148"/>
      <c r="SEW292" s="148"/>
      <c r="SEX292" s="148"/>
      <c r="SEY292" s="148"/>
      <c r="SEZ292" s="148"/>
      <c r="SFA292" s="148"/>
      <c r="SFB292" s="148"/>
      <c r="SFC292" s="148"/>
      <c r="SFD292" s="148"/>
      <c r="SFE292" s="148"/>
      <c r="SFF292" s="148"/>
      <c r="SFG292" s="148"/>
      <c r="SFH292" s="148"/>
      <c r="SFI292" s="148"/>
      <c r="SFJ292" s="148"/>
      <c r="SFK292" s="148"/>
      <c r="SFL292" s="148"/>
      <c r="SFM292" s="148"/>
      <c r="SFN292" s="148"/>
      <c r="SFO292" s="148"/>
      <c r="SFP292" s="148"/>
      <c r="SFQ292" s="148"/>
      <c r="SFR292" s="148"/>
      <c r="SFS292" s="148"/>
      <c r="SFT292" s="148"/>
      <c r="SFU292" s="148"/>
      <c r="SFV292" s="148"/>
      <c r="SFW292" s="148"/>
      <c r="SFX292" s="148"/>
      <c r="SFY292" s="148"/>
      <c r="SFZ292" s="148"/>
      <c r="SGA292" s="148"/>
      <c r="SGB292" s="148"/>
      <c r="SGC292" s="148"/>
      <c r="SGD292" s="148"/>
      <c r="SGE292" s="148"/>
      <c r="SGF292" s="148"/>
      <c r="SGG292" s="148"/>
      <c r="SGH292" s="148"/>
      <c r="SGI292" s="148"/>
      <c r="SGJ292" s="148"/>
      <c r="SGK292" s="148"/>
      <c r="SGL292" s="148"/>
      <c r="SGM292" s="148"/>
      <c r="SGN292" s="148"/>
      <c r="SGO292" s="148"/>
      <c r="SGP292" s="148"/>
      <c r="SGQ292" s="148"/>
      <c r="SGR292" s="148"/>
      <c r="SGS292" s="148"/>
      <c r="SGT292" s="148"/>
      <c r="SGU292" s="148"/>
      <c r="SGV292" s="148"/>
      <c r="SGW292" s="148"/>
      <c r="SGX292" s="148"/>
      <c r="SGY292" s="148"/>
      <c r="SGZ292" s="148"/>
      <c r="SHA292" s="148"/>
      <c r="SHB292" s="148"/>
      <c r="SHC292" s="148"/>
      <c r="SHD292" s="148"/>
      <c r="SHE292" s="148"/>
      <c r="SHF292" s="148"/>
      <c r="SHG292" s="148"/>
      <c r="SHH292" s="148"/>
      <c r="SHI292" s="148"/>
      <c r="SHJ292" s="148"/>
      <c r="SHK292" s="148"/>
      <c r="SHL292" s="148"/>
      <c r="SHM292" s="148"/>
      <c r="SHN292" s="148"/>
      <c r="SHO292" s="148"/>
      <c r="SHP292" s="148"/>
      <c r="SHQ292" s="148"/>
      <c r="SHR292" s="148"/>
      <c r="SHS292" s="148"/>
      <c r="SHT292" s="148"/>
      <c r="SHU292" s="148"/>
      <c r="SHV292" s="148"/>
      <c r="SHW292" s="148"/>
      <c r="SHX292" s="148"/>
      <c r="SHY292" s="148"/>
      <c r="SHZ292" s="148"/>
      <c r="SIA292" s="148"/>
      <c r="SIB292" s="148"/>
      <c r="SIC292" s="148"/>
      <c r="SID292" s="148"/>
      <c r="SIE292" s="148"/>
      <c r="SIF292" s="148"/>
      <c r="SIG292" s="148"/>
      <c r="SIH292" s="148"/>
      <c r="SII292" s="148"/>
      <c r="SIJ292" s="148"/>
      <c r="SIK292" s="148"/>
      <c r="SIL292" s="148"/>
      <c r="SIM292" s="148"/>
      <c r="SIN292" s="148"/>
      <c r="SIO292" s="148"/>
      <c r="SIP292" s="148"/>
      <c r="SIQ292" s="148"/>
      <c r="SIR292" s="148"/>
      <c r="SIS292" s="148"/>
      <c r="SIT292" s="148"/>
      <c r="SIU292" s="148"/>
      <c r="SIV292" s="148"/>
      <c r="SIW292" s="148"/>
      <c r="SIX292" s="148"/>
      <c r="SIY292" s="148"/>
      <c r="SIZ292" s="148"/>
      <c r="SJA292" s="148"/>
      <c r="SJB292" s="148"/>
      <c r="SJC292" s="148"/>
      <c r="SJD292" s="148"/>
      <c r="SJE292" s="148"/>
      <c r="SJF292" s="148"/>
      <c r="SJG292" s="148"/>
      <c r="SJH292" s="148"/>
      <c r="SJI292" s="148"/>
      <c r="SJJ292" s="148"/>
      <c r="SJK292" s="148"/>
      <c r="SJL292" s="148"/>
      <c r="SJM292" s="148"/>
      <c r="SJN292" s="148"/>
      <c r="SJO292" s="148"/>
      <c r="SJP292" s="148"/>
      <c r="SJQ292" s="148"/>
      <c r="SJR292" s="148"/>
      <c r="SJS292" s="148"/>
      <c r="SJT292" s="148"/>
      <c r="SJU292" s="148"/>
      <c r="SJV292" s="148"/>
      <c r="SJW292" s="148"/>
      <c r="SJX292" s="148"/>
      <c r="SJY292" s="148"/>
      <c r="SJZ292" s="148"/>
      <c r="SKA292" s="148"/>
      <c r="SKB292" s="148"/>
      <c r="SKC292" s="148"/>
      <c r="SKD292" s="148"/>
      <c r="SKE292" s="148"/>
      <c r="SKF292" s="148"/>
      <c r="SKG292" s="148"/>
      <c r="SKH292" s="148"/>
      <c r="SKI292" s="148"/>
      <c r="SKJ292" s="148"/>
      <c r="SKK292" s="148"/>
      <c r="SKL292" s="148"/>
      <c r="SKM292" s="148"/>
      <c r="SKN292" s="148"/>
      <c r="SKO292" s="148"/>
      <c r="SKP292" s="148"/>
      <c r="SKQ292" s="148"/>
      <c r="SKR292" s="148"/>
      <c r="SKS292" s="148"/>
      <c r="SKT292" s="148"/>
      <c r="SKU292" s="148"/>
      <c r="SKV292" s="148"/>
      <c r="SKW292" s="148"/>
      <c r="SKX292" s="148"/>
      <c r="SKY292" s="148"/>
      <c r="SKZ292" s="148"/>
      <c r="SLA292" s="148"/>
      <c r="SLB292" s="148"/>
      <c r="SLC292" s="148"/>
      <c r="SLD292" s="148"/>
      <c r="SLE292" s="148"/>
      <c r="SLF292" s="148"/>
      <c r="SLG292" s="148"/>
      <c r="SLH292" s="148"/>
      <c r="SLI292" s="148"/>
      <c r="SLJ292" s="148"/>
      <c r="SLK292" s="148"/>
      <c r="SLL292" s="148"/>
      <c r="SLM292" s="148"/>
      <c r="SLN292" s="148"/>
      <c r="SLO292" s="148"/>
      <c r="SLP292" s="148"/>
      <c r="SLQ292" s="148"/>
      <c r="SLR292" s="148"/>
      <c r="SLS292" s="148"/>
      <c r="SLT292" s="148"/>
      <c r="SLU292" s="148"/>
      <c r="SLV292" s="148"/>
      <c r="SLW292" s="148"/>
      <c r="SLX292" s="148"/>
      <c r="SLY292" s="148"/>
      <c r="SLZ292" s="148"/>
      <c r="SMA292" s="148"/>
      <c r="SMB292" s="148"/>
      <c r="SMC292" s="148"/>
      <c r="SMD292" s="148"/>
      <c r="SME292" s="148"/>
      <c r="SMF292" s="148"/>
      <c r="SMG292" s="148"/>
      <c r="SMH292" s="148"/>
      <c r="SMI292" s="148"/>
      <c r="SMJ292" s="148"/>
      <c r="SMK292" s="148"/>
      <c r="SML292" s="148"/>
      <c r="SMM292" s="148"/>
      <c r="SMN292" s="148"/>
      <c r="SMO292" s="148"/>
      <c r="SMP292" s="148"/>
      <c r="SMQ292" s="148"/>
      <c r="SMR292" s="148"/>
      <c r="SMS292" s="148"/>
      <c r="SMT292" s="148"/>
      <c r="SMU292" s="148"/>
      <c r="SMV292" s="148"/>
      <c r="SMW292" s="148"/>
      <c r="SMX292" s="148"/>
      <c r="SMY292" s="148"/>
      <c r="SMZ292" s="148"/>
      <c r="SNA292" s="148"/>
      <c r="SNB292" s="148"/>
      <c r="SNC292" s="148"/>
      <c r="SND292" s="148"/>
      <c r="SNE292" s="148"/>
      <c r="SNF292" s="148"/>
      <c r="SNG292" s="148"/>
      <c r="SNH292" s="148"/>
      <c r="SNI292" s="148"/>
      <c r="SNJ292" s="148"/>
      <c r="SNK292" s="148"/>
      <c r="SNL292" s="148"/>
      <c r="SNM292" s="148"/>
      <c r="SNN292" s="148"/>
      <c r="SNO292" s="148"/>
      <c r="SNP292" s="148"/>
      <c r="SNQ292" s="148"/>
      <c r="SNR292" s="148"/>
      <c r="SNS292" s="148"/>
      <c r="SNT292" s="148"/>
      <c r="SNU292" s="148"/>
      <c r="SNV292" s="148"/>
      <c r="SNW292" s="148"/>
      <c r="SNX292" s="148"/>
      <c r="SNY292" s="148"/>
      <c r="SNZ292" s="148"/>
      <c r="SOA292" s="148"/>
      <c r="SOB292" s="148"/>
      <c r="SOC292" s="148"/>
      <c r="SOD292" s="148"/>
      <c r="SOE292" s="148"/>
      <c r="SOF292" s="148"/>
      <c r="SOG292" s="148"/>
      <c r="SOH292" s="148"/>
      <c r="SOI292" s="148"/>
      <c r="SOJ292" s="148"/>
      <c r="SOK292" s="148"/>
      <c r="SOL292" s="148"/>
      <c r="SOM292" s="148"/>
      <c r="SON292" s="148"/>
      <c r="SOO292" s="148"/>
      <c r="SOP292" s="148"/>
      <c r="SOQ292" s="148"/>
      <c r="SOR292" s="148"/>
      <c r="SOS292" s="148"/>
      <c r="SOT292" s="148"/>
      <c r="SOU292" s="148"/>
      <c r="SOV292" s="148"/>
      <c r="SOW292" s="148"/>
      <c r="SOX292" s="148"/>
      <c r="SOY292" s="148"/>
      <c r="SOZ292" s="148"/>
      <c r="SPA292" s="148"/>
      <c r="SPB292" s="148"/>
      <c r="SPC292" s="148"/>
      <c r="SPD292" s="148"/>
      <c r="SPE292" s="148"/>
      <c r="SPF292" s="148"/>
      <c r="SPG292" s="148"/>
      <c r="SPH292" s="148"/>
      <c r="SPI292" s="148"/>
      <c r="SPJ292" s="148"/>
      <c r="SPK292" s="148"/>
      <c r="SPL292" s="148"/>
      <c r="SPM292" s="148"/>
      <c r="SPN292" s="148"/>
      <c r="SPO292" s="148"/>
      <c r="SPP292" s="148"/>
      <c r="SPQ292" s="148"/>
      <c r="SPR292" s="148"/>
      <c r="SPS292" s="148"/>
      <c r="SPT292" s="148"/>
      <c r="SPU292" s="148"/>
      <c r="SPV292" s="148"/>
      <c r="SPW292" s="148"/>
      <c r="SPX292" s="148"/>
      <c r="SPY292" s="148"/>
      <c r="SPZ292" s="148"/>
      <c r="SQA292" s="148"/>
      <c r="SQB292" s="148"/>
      <c r="SQC292" s="148"/>
      <c r="SQD292" s="148"/>
      <c r="SQE292" s="148"/>
      <c r="SQF292" s="148"/>
      <c r="SQG292" s="148"/>
      <c r="SQH292" s="148"/>
      <c r="SQI292" s="148"/>
      <c r="SQJ292" s="148"/>
      <c r="SQK292" s="148"/>
      <c r="SQL292" s="148"/>
      <c r="SQM292" s="148"/>
      <c r="SQN292" s="148"/>
      <c r="SQO292" s="148"/>
      <c r="SQP292" s="148"/>
      <c r="SQQ292" s="148"/>
      <c r="SQR292" s="148"/>
      <c r="SQS292" s="148"/>
      <c r="SQT292" s="148"/>
      <c r="SQU292" s="148"/>
      <c r="SQV292" s="148"/>
      <c r="SQW292" s="148"/>
      <c r="SQX292" s="148"/>
      <c r="SQY292" s="148"/>
      <c r="SQZ292" s="148"/>
      <c r="SRA292" s="148"/>
      <c r="SRB292" s="148"/>
      <c r="SRC292" s="148"/>
      <c r="SRD292" s="148"/>
      <c r="SRE292" s="148"/>
      <c r="SRF292" s="148"/>
      <c r="SRG292" s="148"/>
      <c r="SRH292" s="148"/>
      <c r="SRI292" s="148"/>
      <c r="SRJ292" s="148"/>
      <c r="SRK292" s="148"/>
      <c r="SRL292" s="148"/>
      <c r="SRM292" s="148"/>
      <c r="SRN292" s="148"/>
      <c r="SRO292" s="148"/>
      <c r="SRP292" s="148"/>
      <c r="SRQ292" s="148"/>
      <c r="SRR292" s="148"/>
      <c r="SRS292" s="148"/>
      <c r="SRT292" s="148"/>
      <c r="SRU292" s="148"/>
      <c r="SRV292" s="148"/>
      <c r="SRW292" s="148"/>
      <c r="SRX292" s="148"/>
      <c r="SRY292" s="148"/>
      <c r="SRZ292" s="148"/>
      <c r="SSA292" s="148"/>
      <c r="SSB292" s="148"/>
      <c r="SSC292" s="148"/>
      <c r="SSD292" s="148"/>
      <c r="SSE292" s="148"/>
      <c r="SSF292" s="148"/>
      <c r="SSG292" s="148"/>
      <c r="SSH292" s="148"/>
      <c r="SSI292" s="148"/>
      <c r="SSJ292" s="148"/>
      <c r="SSK292" s="148"/>
      <c r="SSL292" s="148"/>
      <c r="SSM292" s="148"/>
      <c r="SSN292" s="148"/>
      <c r="SSO292" s="148"/>
      <c r="SSP292" s="148"/>
      <c r="SSQ292" s="148"/>
      <c r="SSR292" s="148"/>
      <c r="SSS292" s="148"/>
      <c r="SST292" s="148"/>
      <c r="SSU292" s="148"/>
      <c r="SSV292" s="148"/>
      <c r="SSW292" s="148"/>
      <c r="SSX292" s="148"/>
      <c r="SSY292" s="148"/>
      <c r="SSZ292" s="148"/>
      <c r="STA292" s="148"/>
      <c r="STB292" s="148"/>
      <c r="STC292" s="148"/>
      <c r="STD292" s="148"/>
      <c r="STE292" s="148"/>
      <c r="STF292" s="148"/>
      <c r="STG292" s="148"/>
      <c r="STH292" s="148"/>
      <c r="STI292" s="148"/>
      <c r="STJ292" s="148"/>
      <c r="STK292" s="148"/>
      <c r="STL292" s="148"/>
      <c r="STM292" s="148"/>
      <c r="STN292" s="148"/>
      <c r="STO292" s="148"/>
      <c r="STP292" s="148"/>
      <c r="STQ292" s="148"/>
      <c r="STR292" s="148"/>
      <c r="STS292" s="148"/>
      <c r="STT292" s="148"/>
      <c r="STU292" s="148"/>
      <c r="STV292" s="148"/>
      <c r="STW292" s="148"/>
      <c r="STX292" s="148"/>
      <c r="STY292" s="148"/>
      <c r="STZ292" s="148"/>
      <c r="SUA292" s="148"/>
      <c r="SUB292" s="148"/>
      <c r="SUC292" s="148"/>
      <c r="SUD292" s="148"/>
      <c r="SUE292" s="148"/>
      <c r="SUF292" s="148"/>
      <c r="SUG292" s="148"/>
      <c r="SUH292" s="148"/>
      <c r="SUI292" s="148"/>
      <c r="SUJ292" s="148"/>
      <c r="SUK292" s="148"/>
      <c r="SUL292" s="148"/>
      <c r="SUM292" s="148"/>
      <c r="SUN292" s="148"/>
      <c r="SUO292" s="148"/>
      <c r="SUP292" s="148"/>
      <c r="SUQ292" s="148"/>
      <c r="SUR292" s="148"/>
      <c r="SUS292" s="148"/>
      <c r="SUT292" s="148"/>
      <c r="SUU292" s="148"/>
      <c r="SUV292" s="148"/>
      <c r="SUW292" s="148"/>
      <c r="SUX292" s="148"/>
      <c r="SUY292" s="148"/>
      <c r="SUZ292" s="148"/>
      <c r="SVA292" s="148"/>
      <c r="SVB292" s="148"/>
      <c r="SVC292" s="148"/>
      <c r="SVD292" s="148"/>
      <c r="SVE292" s="148"/>
      <c r="SVF292" s="148"/>
      <c r="SVG292" s="148"/>
      <c r="SVH292" s="148"/>
      <c r="SVI292" s="148"/>
      <c r="SVJ292" s="148"/>
      <c r="SVK292" s="148"/>
      <c r="SVL292" s="148"/>
      <c r="SVM292" s="148"/>
      <c r="SVN292" s="148"/>
      <c r="SVO292" s="148"/>
      <c r="SVP292" s="148"/>
      <c r="SVQ292" s="148"/>
      <c r="SVR292" s="148"/>
      <c r="SVS292" s="148"/>
      <c r="SVT292" s="148"/>
      <c r="SVU292" s="148"/>
      <c r="SVV292" s="148"/>
      <c r="SVW292" s="148"/>
      <c r="SVX292" s="148"/>
      <c r="SVY292" s="148"/>
      <c r="SVZ292" s="148"/>
      <c r="SWA292" s="148"/>
      <c r="SWB292" s="148"/>
      <c r="SWC292" s="148"/>
      <c r="SWD292" s="148"/>
      <c r="SWE292" s="148"/>
      <c r="SWF292" s="148"/>
      <c r="SWG292" s="148"/>
      <c r="SWH292" s="148"/>
      <c r="SWI292" s="148"/>
      <c r="SWJ292" s="148"/>
      <c r="SWK292" s="148"/>
      <c r="SWL292" s="148"/>
      <c r="SWM292" s="148"/>
      <c r="SWN292" s="148"/>
      <c r="SWO292" s="148"/>
      <c r="SWP292" s="148"/>
      <c r="SWQ292" s="148"/>
      <c r="SWR292" s="148"/>
      <c r="SWS292" s="148"/>
      <c r="SWT292" s="148"/>
      <c r="SWU292" s="148"/>
      <c r="SWV292" s="148"/>
      <c r="SWW292" s="148"/>
      <c r="SWX292" s="148"/>
      <c r="SWY292" s="148"/>
      <c r="SWZ292" s="148"/>
      <c r="SXA292" s="148"/>
      <c r="SXB292" s="148"/>
      <c r="SXC292" s="148"/>
      <c r="SXD292" s="148"/>
      <c r="SXE292" s="148"/>
      <c r="SXF292" s="148"/>
      <c r="SXG292" s="148"/>
      <c r="SXH292" s="148"/>
      <c r="SXI292" s="148"/>
      <c r="SXJ292" s="148"/>
      <c r="SXK292" s="148"/>
      <c r="SXL292" s="148"/>
      <c r="SXM292" s="148"/>
      <c r="SXN292" s="148"/>
      <c r="SXO292" s="148"/>
      <c r="SXP292" s="148"/>
      <c r="SXQ292" s="148"/>
      <c r="SXR292" s="148"/>
      <c r="SXS292" s="148"/>
      <c r="SXT292" s="148"/>
      <c r="SXU292" s="148"/>
      <c r="SXV292" s="148"/>
      <c r="SXW292" s="148"/>
      <c r="SXX292" s="148"/>
      <c r="SXY292" s="148"/>
      <c r="SXZ292" s="148"/>
      <c r="SYA292" s="148"/>
      <c r="SYB292" s="148"/>
      <c r="SYC292" s="148"/>
      <c r="SYD292" s="148"/>
      <c r="SYE292" s="148"/>
      <c r="SYF292" s="148"/>
      <c r="SYG292" s="148"/>
      <c r="SYH292" s="148"/>
      <c r="SYI292" s="148"/>
      <c r="SYJ292" s="148"/>
      <c r="SYK292" s="148"/>
      <c r="SYL292" s="148"/>
      <c r="SYM292" s="148"/>
      <c r="SYN292" s="148"/>
      <c r="SYO292" s="148"/>
      <c r="SYP292" s="148"/>
      <c r="SYQ292" s="148"/>
      <c r="SYR292" s="148"/>
      <c r="SYS292" s="148"/>
      <c r="SYT292" s="148"/>
      <c r="SYU292" s="148"/>
      <c r="SYV292" s="148"/>
      <c r="SYW292" s="148"/>
      <c r="SYX292" s="148"/>
      <c r="SYY292" s="148"/>
      <c r="SYZ292" s="148"/>
      <c r="SZA292" s="148"/>
      <c r="SZB292" s="148"/>
      <c r="SZC292" s="148"/>
      <c r="SZD292" s="148"/>
      <c r="SZE292" s="148"/>
      <c r="SZF292" s="148"/>
      <c r="SZG292" s="148"/>
      <c r="SZH292" s="148"/>
      <c r="SZI292" s="148"/>
      <c r="SZJ292" s="148"/>
      <c r="SZK292" s="148"/>
      <c r="SZL292" s="148"/>
      <c r="SZM292" s="148"/>
      <c r="SZN292" s="148"/>
      <c r="SZO292" s="148"/>
      <c r="SZP292" s="148"/>
      <c r="SZQ292" s="148"/>
      <c r="SZR292" s="148"/>
      <c r="SZS292" s="148"/>
      <c r="SZT292" s="148"/>
      <c r="SZU292" s="148"/>
      <c r="SZV292" s="148"/>
      <c r="SZW292" s="148"/>
      <c r="SZX292" s="148"/>
      <c r="SZY292" s="148"/>
      <c r="SZZ292" s="148"/>
      <c r="TAA292" s="148"/>
      <c r="TAB292" s="148"/>
      <c r="TAC292" s="148"/>
      <c r="TAD292" s="148"/>
      <c r="TAE292" s="148"/>
      <c r="TAF292" s="148"/>
      <c r="TAG292" s="148"/>
      <c r="TAH292" s="148"/>
      <c r="TAI292" s="148"/>
      <c r="TAJ292" s="148"/>
      <c r="TAK292" s="148"/>
      <c r="TAL292" s="148"/>
      <c r="TAM292" s="148"/>
      <c r="TAN292" s="148"/>
      <c r="TAO292" s="148"/>
      <c r="TAP292" s="148"/>
      <c r="TAQ292" s="148"/>
      <c r="TAR292" s="148"/>
      <c r="TAS292" s="148"/>
      <c r="TAT292" s="148"/>
      <c r="TAU292" s="148"/>
      <c r="TAV292" s="148"/>
      <c r="TAW292" s="148"/>
      <c r="TAX292" s="148"/>
      <c r="TAY292" s="148"/>
      <c r="TAZ292" s="148"/>
      <c r="TBA292" s="148"/>
      <c r="TBB292" s="148"/>
      <c r="TBC292" s="148"/>
      <c r="TBD292" s="148"/>
      <c r="TBE292" s="148"/>
      <c r="TBF292" s="148"/>
      <c r="TBG292" s="148"/>
      <c r="TBH292" s="148"/>
      <c r="TBI292" s="148"/>
      <c r="TBJ292" s="148"/>
      <c r="TBK292" s="148"/>
      <c r="TBL292" s="148"/>
      <c r="TBM292" s="148"/>
      <c r="TBN292" s="148"/>
      <c r="TBO292" s="148"/>
      <c r="TBP292" s="148"/>
      <c r="TBQ292" s="148"/>
      <c r="TBR292" s="148"/>
      <c r="TBS292" s="148"/>
      <c r="TBT292" s="148"/>
      <c r="TBU292" s="148"/>
      <c r="TBV292" s="148"/>
      <c r="TBW292" s="148"/>
      <c r="TBX292" s="148"/>
      <c r="TBY292" s="148"/>
      <c r="TBZ292" s="148"/>
      <c r="TCA292" s="148"/>
      <c r="TCB292" s="148"/>
      <c r="TCC292" s="148"/>
      <c r="TCD292" s="148"/>
      <c r="TCE292" s="148"/>
      <c r="TCF292" s="148"/>
      <c r="TCG292" s="148"/>
      <c r="TCH292" s="148"/>
      <c r="TCI292" s="148"/>
      <c r="TCJ292" s="148"/>
      <c r="TCK292" s="148"/>
      <c r="TCL292" s="148"/>
      <c r="TCM292" s="148"/>
      <c r="TCN292" s="148"/>
      <c r="TCO292" s="148"/>
      <c r="TCP292" s="148"/>
      <c r="TCQ292" s="148"/>
      <c r="TCR292" s="148"/>
      <c r="TCS292" s="148"/>
      <c r="TCT292" s="148"/>
      <c r="TCU292" s="148"/>
      <c r="TCV292" s="148"/>
      <c r="TCW292" s="148"/>
      <c r="TCX292" s="148"/>
      <c r="TCY292" s="148"/>
      <c r="TCZ292" s="148"/>
      <c r="TDA292" s="148"/>
      <c r="TDB292" s="148"/>
      <c r="TDC292" s="148"/>
      <c r="TDD292" s="148"/>
      <c r="TDE292" s="148"/>
      <c r="TDF292" s="148"/>
      <c r="TDG292" s="148"/>
      <c r="TDH292" s="148"/>
      <c r="TDI292" s="148"/>
      <c r="TDJ292" s="148"/>
      <c r="TDK292" s="148"/>
      <c r="TDL292" s="148"/>
      <c r="TDM292" s="148"/>
      <c r="TDN292" s="148"/>
      <c r="TDO292" s="148"/>
      <c r="TDP292" s="148"/>
      <c r="TDQ292" s="148"/>
      <c r="TDR292" s="148"/>
      <c r="TDS292" s="148"/>
      <c r="TDT292" s="148"/>
      <c r="TDU292" s="148"/>
      <c r="TDV292" s="148"/>
      <c r="TDW292" s="148"/>
      <c r="TDX292" s="148"/>
      <c r="TDY292" s="148"/>
      <c r="TDZ292" s="148"/>
      <c r="TEA292" s="148"/>
      <c r="TEB292" s="148"/>
      <c r="TEC292" s="148"/>
      <c r="TED292" s="148"/>
      <c r="TEE292" s="148"/>
      <c r="TEF292" s="148"/>
      <c r="TEG292" s="148"/>
      <c r="TEH292" s="148"/>
      <c r="TEI292" s="148"/>
      <c r="TEJ292" s="148"/>
      <c r="TEK292" s="148"/>
      <c r="TEL292" s="148"/>
      <c r="TEM292" s="148"/>
      <c r="TEN292" s="148"/>
      <c r="TEO292" s="148"/>
      <c r="TEP292" s="148"/>
      <c r="TEQ292" s="148"/>
      <c r="TER292" s="148"/>
      <c r="TES292" s="148"/>
      <c r="TET292" s="148"/>
      <c r="TEU292" s="148"/>
      <c r="TEV292" s="148"/>
      <c r="TEW292" s="148"/>
      <c r="TEX292" s="148"/>
      <c r="TEY292" s="148"/>
      <c r="TEZ292" s="148"/>
      <c r="TFA292" s="148"/>
      <c r="TFB292" s="148"/>
      <c r="TFC292" s="148"/>
      <c r="TFD292" s="148"/>
      <c r="TFE292" s="148"/>
      <c r="TFF292" s="148"/>
      <c r="TFG292" s="148"/>
      <c r="TFH292" s="148"/>
      <c r="TFI292" s="148"/>
      <c r="TFJ292" s="148"/>
      <c r="TFK292" s="148"/>
      <c r="TFL292" s="148"/>
      <c r="TFM292" s="148"/>
      <c r="TFN292" s="148"/>
      <c r="TFO292" s="148"/>
      <c r="TFP292" s="148"/>
      <c r="TFQ292" s="148"/>
      <c r="TFR292" s="148"/>
      <c r="TFS292" s="148"/>
      <c r="TFT292" s="148"/>
      <c r="TFU292" s="148"/>
      <c r="TFV292" s="148"/>
      <c r="TFW292" s="148"/>
      <c r="TFX292" s="148"/>
      <c r="TFY292" s="148"/>
      <c r="TFZ292" s="148"/>
      <c r="TGA292" s="148"/>
      <c r="TGB292" s="148"/>
      <c r="TGC292" s="148"/>
      <c r="TGD292" s="148"/>
      <c r="TGE292" s="148"/>
      <c r="TGF292" s="148"/>
      <c r="TGG292" s="148"/>
      <c r="TGH292" s="148"/>
      <c r="TGI292" s="148"/>
      <c r="TGJ292" s="148"/>
      <c r="TGK292" s="148"/>
      <c r="TGL292" s="148"/>
      <c r="TGM292" s="148"/>
      <c r="TGN292" s="148"/>
      <c r="TGO292" s="148"/>
      <c r="TGP292" s="148"/>
      <c r="TGQ292" s="148"/>
      <c r="TGR292" s="148"/>
      <c r="TGS292" s="148"/>
      <c r="TGT292" s="148"/>
      <c r="TGU292" s="148"/>
      <c r="TGV292" s="148"/>
      <c r="TGW292" s="148"/>
      <c r="TGX292" s="148"/>
      <c r="TGY292" s="148"/>
      <c r="TGZ292" s="148"/>
      <c r="THA292" s="148"/>
      <c r="THB292" s="148"/>
      <c r="THC292" s="148"/>
      <c r="THD292" s="148"/>
      <c r="THE292" s="148"/>
      <c r="THF292" s="148"/>
      <c r="THG292" s="148"/>
      <c r="THH292" s="148"/>
      <c r="THI292" s="148"/>
      <c r="THJ292" s="148"/>
      <c r="THK292" s="148"/>
      <c r="THL292" s="148"/>
      <c r="THM292" s="148"/>
      <c r="THN292" s="148"/>
      <c r="THO292" s="148"/>
      <c r="THP292" s="148"/>
      <c r="THQ292" s="148"/>
      <c r="THR292" s="148"/>
      <c r="THS292" s="148"/>
      <c r="THT292" s="148"/>
      <c r="THU292" s="148"/>
      <c r="THV292" s="148"/>
      <c r="THW292" s="148"/>
      <c r="THX292" s="148"/>
      <c r="THY292" s="148"/>
      <c r="THZ292" s="148"/>
      <c r="TIA292" s="148"/>
      <c r="TIB292" s="148"/>
      <c r="TIC292" s="148"/>
      <c r="TID292" s="148"/>
      <c r="TIE292" s="148"/>
      <c r="TIF292" s="148"/>
      <c r="TIG292" s="148"/>
      <c r="TIH292" s="148"/>
      <c r="TII292" s="148"/>
      <c r="TIJ292" s="148"/>
      <c r="TIK292" s="148"/>
      <c r="TIL292" s="148"/>
      <c r="TIM292" s="148"/>
      <c r="TIN292" s="148"/>
      <c r="TIO292" s="148"/>
      <c r="TIP292" s="148"/>
      <c r="TIQ292" s="148"/>
      <c r="TIR292" s="148"/>
      <c r="TIS292" s="148"/>
      <c r="TIT292" s="148"/>
      <c r="TIU292" s="148"/>
      <c r="TIV292" s="148"/>
      <c r="TIW292" s="148"/>
      <c r="TIX292" s="148"/>
      <c r="TIY292" s="148"/>
      <c r="TIZ292" s="148"/>
      <c r="TJA292" s="148"/>
      <c r="TJB292" s="148"/>
      <c r="TJC292" s="148"/>
      <c r="TJD292" s="148"/>
      <c r="TJE292" s="148"/>
      <c r="TJF292" s="148"/>
      <c r="TJG292" s="148"/>
      <c r="TJH292" s="148"/>
      <c r="TJI292" s="148"/>
      <c r="TJJ292" s="148"/>
      <c r="TJK292" s="148"/>
      <c r="TJL292" s="148"/>
      <c r="TJM292" s="148"/>
      <c r="TJN292" s="148"/>
      <c r="TJO292" s="148"/>
      <c r="TJP292" s="148"/>
      <c r="TJQ292" s="148"/>
      <c r="TJR292" s="148"/>
      <c r="TJS292" s="148"/>
      <c r="TJT292" s="148"/>
      <c r="TJU292" s="148"/>
      <c r="TJV292" s="148"/>
      <c r="TJW292" s="148"/>
      <c r="TJX292" s="148"/>
      <c r="TJY292" s="148"/>
      <c r="TJZ292" s="148"/>
      <c r="TKA292" s="148"/>
      <c r="TKB292" s="148"/>
      <c r="TKC292" s="148"/>
      <c r="TKD292" s="148"/>
      <c r="TKE292" s="148"/>
      <c r="TKF292" s="148"/>
      <c r="TKG292" s="148"/>
      <c r="TKH292" s="148"/>
      <c r="TKI292" s="148"/>
      <c r="TKJ292" s="148"/>
      <c r="TKK292" s="148"/>
      <c r="TKL292" s="148"/>
      <c r="TKM292" s="148"/>
      <c r="TKN292" s="148"/>
      <c r="TKO292" s="148"/>
      <c r="TKP292" s="148"/>
      <c r="TKQ292" s="148"/>
      <c r="TKR292" s="148"/>
      <c r="TKS292" s="148"/>
      <c r="TKT292" s="148"/>
      <c r="TKU292" s="148"/>
      <c r="TKV292" s="148"/>
      <c r="TKW292" s="148"/>
      <c r="TKX292" s="148"/>
      <c r="TKY292" s="148"/>
      <c r="TKZ292" s="148"/>
      <c r="TLA292" s="148"/>
      <c r="TLB292" s="148"/>
      <c r="TLC292" s="148"/>
      <c r="TLD292" s="148"/>
      <c r="TLE292" s="148"/>
      <c r="TLF292" s="148"/>
      <c r="TLG292" s="148"/>
      <c r="TLH292" s="148"/>
      <c r="TLI292" s="148"/>
      <c r="TLJ292" s="148"/>
      <c r="TLK292" s="148"/>
      <c r="TLL292" s="148"/>
      <c r="TLM292" s="148"/>
      <c r="TLN292" s="148"/>
      <c r="TLO292" s="148"/>
      <c r="TLP292" s="148"/>
      <c r="TLQ292" s="148"/>
      <c r="TLR292" s="148"/>
      <c r="TLS292" s="148"/>
      <c r="TLT292" s="148"/>
      <c r="TLU292" s="148"/>
      <c r="TLV292" s="148"/>
      <c r="TLW292" s="148"/>
      <c r="TLX292" s="148"/>
      <c r="TLY292" s="148"/>
      <c r="TLZ292" s="148"/>
      <c r="TMA292" s="148"/>
      <c r="TMB292" s="148"/>
      <c r="TMC292" s="148"/>
      <c r="TMD292" s="148"/>
      <c r="TME292" s="148"/>
      <c r="TMF292" s="148"/>
      <c r="TMG292" s="148"/>
      <c r="TMH292" s="148"/>
      <c r="TMI292" s="148"/>
      <c r="TMJ292" s="148"/>
      <c r="TMK292" s="148"/>
      <c r="TML292" s="148"/>
      <c r="TMM292" s="148"/>
      <c r="TMN292" s="148"/>
      <c r="TMO292" s="148"/>
      <c r="TMP292" s="148"/>
      <c r="TMQ292" s="148"/>
      <c r="TMR292" s="148"/>
      <c r="TMS292" s="148"/>
      <c r="TMT292" s="148"/>
      <c r="TMU292" s="148"/>
      <c r="TMV292" s="148"/>
      <c r="TMW292" s="148"/>
      <c r="TMX292" s="148"/>
      <c r="TMY292" s="148"/>
      <c r="TMZ292" s="148"/>
      <c r="TNA292" s="148"/>
      <c r="TNB292" s="148"/>
      <c r="TNC292" s="148"/>
      <c r="TND292" s="148"/>
      <c r="TNE292" s="148"/>
      <c r="TNF292" s="148"/>
      <c r="TNG292" s="148"/>
      <c r="TNH292" s="148"/>
      <c r="TNI292" s="148"/>
      <c r="TNJ292" s="148"/>
      <c r="TNK292" s="148"/>
      <c r="TNL292" s="148"/>
      <c r="TNM292" s="148"/>
      <c r="TNN292" s="148"/>
      <c r="TNO292" s="148"/>
      <c r="TNP292" s="148"/>
      <c r="TNQ292" s="148"/>
      <c r="TNR292" s="148"/>
      <c r="TNS292" s="148"/>
      <c r="TNT292" s="148"/>
      <c r="TNU292" s="148"/>
      <c r="TNV292" s="148"/>
      <c r="TNW292" s="148"/>
      <c r="TNX292" s="148"/>
      <c r="TNY292" s="148"/>
      <c r="TNZ292" s="148"/>
      <c r="TOA292" s="148"/>
      <c r="TOB292" s="148"/>
      <c r="TOC292" s="148"/>
      <c r="TOD292" s="148"/>
      <c r="TOE292" s="148"/>
      <c r="TOF292" s="148"/>
      <c r="TOG292" s="148"/>
      <c r="TOH292" s="148"/>
      <c r="TOI292" s="148"/>
      <c r="TOJ292" s="148"/>
      <c r="TOK292" s="148"/>
      <c r="TOL292" s="148"/>
      <c r="TOM292" s="148"/>
      <c r="TON292" s="148"/>
      <c r="TOO292" s="148"/>
      <c r="TOP292" s="148"/>
      <c r="TOQ292" s="148"/>
      <c r="TOR292" s="148"/>
      <c r="TOS292" s="148"/>
      <c r="TOT292" s="148"/>
      <c r="TOU292" s="148"/>
      <c r="TOV292" s="148"/>
      <c r="TOW292" s="148"/>
      <c r="TOX292" s="148"/>
      <c r="TOY292" s="148"/>
      <c r="TOZ292" s="148"/>
      <c r="TPA292" s="148"/>
      <c r="TPB292" s="148"/>
      <c r="TPC292" s="148"/>
      <c r="TPD292" s="148"/>
      <c r="TPE292" s="148"/>
      <c r="TPF292" s="148"/>
      <c r="TPG292" s="148"/>
      <c r="TPH292" s="148"/>
      <c r="TPI292" s="148"/>
      <c r="TPJ292" s="148"/>
      <c r="TPK292" s="148"/>
      <c r="TPL292" s="148"/>
      <c r="TPM292" s="148"/>
      <c r="TPN292" s="148"/>
      <c r="TPO292" s="148"/>
      <c r="TPP292" s="148"/>
      <c r="TPQ292" s="148"/>
      <c r="TPR292" s="148"/>
      <c r="TPS292" s="148"/>
      <c r="TPT292" s="148"/>
      <c r="TPU292" s="148"/>
      <c r="TPV292" s="148"/>
      <c r="TPW292" s="148"/>
      <c r="TPX292" s="148"/>
      <c r="TPY292" s="148"/>
      <c r="TPZ292" s="148"/>
      <c r="TQA292" s="148"/>
      <c r="TQB292" s="148"/>
      <c r="TQC292" s="148"/>
      <c r="TQD292" s="148"/>
      <c r="TQE292" s="148"/>
      <c r="TQF292" s="148"/>
      <c r="TQG292" s="148"/>
      <c r="TQH292" s="148"/>
      <c r="TQI292" s="148"/>
      <c r="TQJ292" s="148"/>
      <c r="TQK292" s="148"/>
      <c r="TQL292" s="148"/>
      <c r="TQM292" s="148"/>
      <c r="TQN292" s="148"/>
      <c r="TQO292" s="148"/>
      <c r="TQP292" s="148"/>
      <c r="TQQ292" s="148"/>
      <c r="TQR292" s="148"/>
      <c r="TQS292" s="148"/>
      <c r="TQT292" s="148"/>
      <c r="TQU292" s="148"/>
      <c r="TQV292" s="148"/>
      <c r="TQW292" s="148"/>
      <c r="TQX292" s="148"/>
      <c r="TQY292" s="148"/>
      <c r="TQZ292" s="148"/>
      <c r="TRA292" s="148"/>
      <c r="TRB292" s="148"/>
      <c r="TRC292" s="148"/>
      <c r="TRD292" s="148"/>
      <c r="TRE292" s="148"/>
      <c r="TRF292" s="148"/>
      <c r="TRG292" s="148"/>
      <c r="TRH292" s="148"/>
      <c r="TRI292" s="148"/>
      <c r="TRJ292" s="148"/>
      <c r="TRK292" s="148"/>
      <c r="TRL292" s="148"/>
      <c r="TRM292" s="148"/>
      <c r="TRN292" s="148"/>
      <c r="TRO292" s="148"/>
      <c r="TRP292" s="148"/>
      <c r="TRQ292" s="148"/>
      <c r="TRR292" s="148"/>
      <c r="TRS292" s="148"/>
      <c r="TRT292" s="148"/>
      <c r="TRU292" s="148"/>
      <c r="TRV292" s="148"/>
      <c r="TRW292" s="148"/>
      <c r="TRX292" s="148"/>
      <c r="TRY292" s="148"/>
      <c r="TRZ292" s="148"/>
      <c r="TSA292" s="148"/>
      <c r="TSB292" s="148"/>
      <c r="TSC292" s="148"/>
      <c r="TSD292" s="148"/>
      <c r="TSE292" s="148"/>
      <c r="TSF292" s="148"/>
      <c r="TSG292" s="148"/>
      <c r="TSH292" s="148"/>
      <c r="TSI292" s="148"/>
      <c r="TSJ292" s="148"/>
      <c r="TSK292" s="148"/>
      <c r="TSL292" s="148"/>
      <c r="TSM292" s="148"/>
      <c r="TSN292" s="148"/>
      <c r="TSO292" s="148"/>
      <c r="TSP292" s="148"/>
      <c r="TSQ292" s="148"/>
      <c r="TSR292" s="148"/>
      <c r="TSS292" s="148"/>
      <c r="TST292" s="148"/>
      <c r="TSU292" s="148"/>
      <c r="TSV292" s="148"/>
      <c r="TSW292" s="148"/>
      <c r="TSX292" s="148"/>
      <c r="TSY292" s="148"/>
      <c r="TSZ292" s="148"/>
      <c r="TTA292" s="148"/>
      <c r="TTB292" s="148"/>
      <c r="TTC292" s="148"/>
      <c r="TTD292" s="148"/>
      <c r="TTE292" s="148"/>
      <c r="TTF292" s="148"/>
      <c r="TTG292" s="148"/>
      <c r="TTH292" s="148"/>
      <c r="TTI292" s="148"/>
      <c r="TTJ292" s="148"/>
      <c r="TTK292" s="148"/>
      <c r="TTL292" s="148"/>
      <c r="TTM292" s="148"/>
      <c r="TTN292" s="148"/>
      <c r="TTO292" s="148"/>
      <c r="TTP292" s="148"/>
      <c r="TTQ292" s="148"/>
      <c r="TTR292" s="148"/>
      <c r="TTS292" s="148"/>
      <c r="TTT292" s="148"/>
      <c r="TTU292" s="148"/>
      <c r="TTV292" s="148"/>
      <c r="TTW292" s="148"/>
      <c r="TTX292" s="148"/>
      <c r="TTY292" s="148"/>
      <c r="TTZ292" s="148"/>
      <c r="TUA292" s="148"/>
      <c r="TUB292" s="148"/>
      <c r="TUC292" s="148"/>
      <c r="TUD292" s="148"/>
      <c r="TUE292" s="148"/>
      <c r="TUF292" s="148"/>
      <c r="TUG292" s="148"/>
      <c r="TUH292" s="148"/>
      <c r="TUI292" s="148"/>
      <c r="TUJ292" s="148"/>
      <c r="TUK292" s="148"/>
      <c r="TUL292" s="148"/>
      <c r="TUM292" s="148"/>
      <c r="TUN292" s="148"/>
      <c r="TUO292" s="148"/>
      <c r="TUP292" s="148"/>
      <c r="TUQ292" s="148"/>
      <c r="TUR292" s="148"/>
      <c r="TUS292" s="148"/>
      <c r="TUT292" s="148"/>
      <c r="TUU292" s="148"/>
      <c r="TUV292" s="148"/>
      <c r="TUW292" s="148"/>
      <c r="TUX292" s="148"/>
      <c r="TUY292" s="148"/>
      <c r="TUZ292" s="148"/>
      <c r="TVA292" s="148"/>
      <c r="TVB292" s="148"/>
      <c r="TVC292" s="148"/>
      <c r="TVD292" s="148"/>
      <c r="TVE292" s="148"/>
      <c r="TVF292" s="148"/>
      <c r="TVG292" s="148"/>
      <c r="TVH292" s="148"/>
      <c r="TVI292" s="148"/>
      <c r="TVJ292" s="148"/>
      <c r="TVK292" s="148"/>
      <c r="TVL292" s="148"/>
      <c r="TVM292" s="148"/>
      <c r="TVN292" s="148"/>
      <c r="TVO292" s="148"/>
      <c r="TVP292" s="148"/>
      <c r="TVQ292" s="148"/>
      <c r="TVR292" s="148"/>
      <c r="TVS292" s="148"/>
      <c r="TVT292" s="148"/>
      <c r="TVU292" s="148"/>
      <c r="TVV292" s="148"/>
      <c r="TVW292" s="148"/>
      <c r="TVX292" s="148"/>
      <c r="TVY292" s="148"/>
      <c r="TVZ292" s="148"/>
      <c r="TWA292" s="148"/>
      <c r="TWB292" s="148"/>
      <c r="TWC292" s="148"/>
      <c r="TWD292" s="148"/>
      <c r="TWE292" s="148"/>
      <c r="TWF292" s="148"/>
      <c r="TWG292" s="148"/>
      <c r="TWH292" s="148"/>
      <c r="TWI292" s="148"/>
      <c r="TWJ292" s="148"/>
      <c r="TWK292" s="148"/>
      <c r="TWL292" s="148"/>
      <c r="TWM292" s="148"/>
      <c r="TWN292" s="148"/>
      <c r="TWO292" s="148"/>
      <c r="TWP292" s="148"/>
      <c r="TWQ292" s="148"/>
      <c r="TWR292" s="148"/>
      <c r="TWS292" s="148"/>
      <c r="TWT292" s="148"/>
      <c r="TWU292" s="148"/>
      <c r="TWV292" s="148"/>
      <c r="TWW292" s="148"/>
      <c r="TWX292" s="148"/>
      <c r="TWY292" s="148"/>
      <c r="TWZ292" s="148"/>
      <c r="TXA292" s="148"/>
      <c r="TXB292" s="148"/>
      <c r="TXC292" s="148"/>
      <c r="TXD292" s="148"/>
      <c r="TXE292" s="148"/>
      <c r="TXF292" s="148"/>
      <c r="TXG292" s="148"/>
      <c r="TXH292" s="148"/>
      <c r="TXI292" s="148"/>
      <c r="TXJ292" s="148"/>
      <c r="TXK292" s="148"/>
      <c r="TXL292" s="148"/>
      <c r="TXM292" s="148"/>
      <c r="TXN292" s="148"/>
      <c r="TXO292" s="148"/>
      <c r="TXP292" s="148"/>
      <c r="TXQ292" s="148"/>
      <c r="TXR292" s="148"/>
      <c r="TXS292" s="148"/>
      <c r="TXT292" s="148"/>
      <c r="TXU292" s="148"/>
      <c r="TXV292" s="148"/>
      <c r="TXW292" s="148"/>
      <c r="TXX292" s="148"/>
      <c r="TXY292" s="148"/>
      <c r="TXZ292" s="148"/>
      <c r="TYA292" s="148"/>
      <c r="TYB292" s="148"/>
      <c r="TYC292" s="148"/>
      <c r="TYD292" s="148"/>
      <c r="TYE292" s="148"/>
      <c r="TYF292" s="148"/>
      <c r="TYG292" s="148"/>
      <c r="TYH292" s="148"/>
      <c r="TYI292" s="148"/>
      <c r="TYJ292" s="148"/>
      <c r="TYK292" s="148"/>
      <c r="TYL292" s="148"/>
      <c r="TYM292" s="148"/>
      <c r="TYN292" s="148"/>
      <c r="TYO292" s="148"/>
      <c r="TYP292" s="148"/>
      <c r="TYQ292" s="148"/>
      <c r="TYR292" s="148"/>
      <c r="TYS292" s="148"/>
      <c r="TYT292" s="148"/>
      <c r="TYU292" s="148"/>
      <c r="TYV292" s="148"/>
      <c r="TYW292" s="148"/>
      <c r="TYX292" s="148"/>
      <c r="TYY292" s="148"/>
      <c r="TYZ292" s="148"/>
      <c r="TZA292" s="148"/>
      <c r="TZB292" s="148"/>
      <c r="TZC292" s="148"/>
      <c r="TZD292" s="148"/>
      <c r="TZE292" s="148"/>
      <c r="TZF292" s="148"/>
      <c r="TZG292" s="148"/>
      <c r="TZH292" s="148"/>
      <c r="TZI292" s="148"/>
      <c r="TZJ292" s="148"/>
      <c r="TZK292" s="148"/>
      <c r="TZL292" s="148"/>
      <c r="TZM292" s="148"/>
      <c r="TZN292" s="148"/>
      <c r="TZO292" s="148"/>
      <c r="TZP292" s="148"/>
      <c r="TZQ292" s="148"/>
      <c r="TZR292" s="148"/>
      <c r="TZS292" s="148"/>
      <c r="TZT292" s="148"/>
      <c r="TZU292" s="148"/>
      <c r="TZV292" s="148"/>
      <c r="TZW292" s="148"/>
      <c r="TZX292" s="148"/>
      <c r="TZY292" s="148"/>
      <c r="TZZ292" s="148"/>
      <c r="UAA292" s="148"/>
      <c r="UAB292" s="148"/>
      <c r="UAC292" s="148"/>
      <c r="UAD292" s="148"/>
      <c r="UAE292" s="148"/>
      <c r="UAF292" s="148"/>
      <c r="UAG292" s="148"/>
      <c r="UAH292" s="148"/>
      <c r="UAI292" s="148"/>
      <c r="UAJ292" s="148"/>
      <c r="UAK292" s="148"/>
      <c r="UAL292" s="148"/>
      <c r="UAM292" s="148"/>
      <c r="UAN292" s="148"/>
      <c r="UAO292" s="148"/>
      <c r="UAP292" s="148"/>
      <c r="UAQ292" s="148"/>
      <c r="UAR292" s="148"/>
      <c r="UAS292" s="148"/>
      <c r="UAT292" s="148"/>
      <c r="UAU292" s="148"/>
      <c r="UAV292" s="148"/>
      <c r="UAW292" s="148"/>
      <c r="UAX292" s="148"/>
      <c r="UAY292" s="148"/>
      <c r="UAZ292" s="148"/>
      <c r="UBA292" s="148"/>
      <c r="UBB292" s="148"/>
      <c r="UBC292" s="148"/>
      <c r="UBD292" s="148"/>
      <c r="UBE292" s="148"/>
      <c r="UBF292" s="148"/>
      <c r="UBG292" s="148"/>
      <c r="UBH292" s="148"/>
      <c r="UBI292" s="148"/>
      <c r="UBJ292" s="148"/>
      <c r="UBK292" s="148"/>
      <c r="UBL292" s="148"/>
      <c r="UBM292" s="148"/>
      <c r="UBN292" s="148"/>
      <c r="UBO292" s="148"/>
      <c r="UBP292" s="148"/>
      <c r="UBQ292" s="148"/>
      <c r="UBR292" s="148"/>
      <c r="UBS292" s="148"/>
      <c r="UBT292" s="148"/>
      <c r="UBU292" s="148"/>
      <c r="UBV292" s="148"/>
      <c r="UBW292" s="148"/>
      <c r="UBX292" s="148"/>
      <c r="UBY292" s="148"/>
      <c r="UBZ292" s="148"/>
      <c r="UCA292" s="148"/>
      <c r="UCB292" s="148"/>
      <c r="UCC292" s="148"/>
      <c r="UCD292" s="148"/>
      <c r="UCE292" s="148"/>
      <c r="UCF292" s="148"/>
      <c r="UCG292" s="148"/>
      <c r="UCH292" s="148"/>
      <c r="UCI292" s="148"/>
      <c r="UCJ292" s="148"/>
      <c r="UCK292" s="148"/>
      <c r="UCL292" s="148"/>
      <c r="UCM292" s="148"/>
      <c r="UCN292" s="148"/>
      <c r="UCO292" s="148"/>
      <c r="UCP292" s="148"/>
      <c r="UCQ292" s="148"/>
      <c r="UCR292" s="148"/>
      <c r="UCS292" s="148"/>
      <c r="UCT292" s="148"/>
      <c r="UCU292" s="148"/>
      <c r="UCV292" s="148"/>
      <c r="UCW292" s="148"/>
      <c r="UCX292" s="148"/>
      <c r="UCY292" s="148"/>
      <c r="UCZ292" s="148"/>
      <c r="UDA292" s="148"/>
      <c r="UDB292" s="148"/>
      <c r="UDC292" s="148"/>
      <c r="UDD292" s="148"/>
      <c r="UDE292" s="148"/>
      <c r="UDF292" s="148"/>
      <c r="UDG292" s="148"/>
      <c r="UDH292" s="148"/>
      <c r="UDI292" s="148"/>
      <c r="UDJ292" s="148"/>
      <c r="UDK292" s="148"/>
      <c r="UDL292" s="148"/>
      <c r="UDM292" s="148"/>
      <c r="UDN292" s="148"/>
      <c r="UDO292" s="148"/>
      <c r="UDP292" s="148"/>
      <c r="UDQ292" s="148"/>
      <c r="UDR292" s="148"/>
      <c r="UDS292" s="148"/>
      <c r="UDT292" s="148"/>
      <c r="UDU292" s="148"/>
      <c r="UDV292" s="148"/>
      <c r="UDW292" s="148"/>
      <c r="UDX292" s="148"/>
      <c r="UDY292" s="148"/>
      <c r="UDZ292" s="148"/>
      <c r="UEA292" s="148"/>
      <c r="UEB292" s="148"/>
      <c r="UEC292" s="148"/>
      <c r="UED292" s="148"/>
      <c r="UEE292" s="148"/>
      <c r="UEF292" s="148"/>
      <c r="UEG292" s="148"/>
      <c r="UEH292" s="148"/>
      <c r="UEI292" s="148"/>
      <c r="UEJ292" s="148"/>
      <c r="UEK292" s="148"/>
      <c r="UEL292" s="148"/>
      <c r="UEM292" s="148"/>
      <c r="UEN292" s="148"/>
      <c r="UEO292" s="148"/>
      <c r="UEP292" s="148"/>
      <c r="UEQ292" s="148"/>
      <c r="UER292" s="148"/>
      <c r="UES292" s="148"/>
      <c r="UET292" s="148"/>
      <c r="UEU292" s="148"/>
      <c r="UEV292" s="148"/>
      <c r="UEW292" s="148"/>
      <c r="UEX292" s="148"/>
      <c r="UEY292" s="148"/>
      <c r="UEZ292" s="148"/>
      <c r="UFA292" s="148"/>
      <c r="UFB292" s="148"/>
      <c r="UFC292" s="148"/>
      <c r="UFD292" s="148"/>
      <c r="UFE292" s="148"/>
      <c r="UFF292" s="148"/>
      <c r="UFG292" s="148"/>
      <c r="UFH292" s="148"/>
      <c r="UFI292" s="148"/>
      <c r="UFJ292" s="148"/>
      <c r="UFK292" s="148"/>
      <c r="UFL292" s="148"/>
      <c r="UFM292" s="148"/>
      <c r="UFN292" s="148"/>
      <c r="UFO292" s="148"/>
      <c r="UFP292" s="148"/>
      <c r="UFQ292" s="148"/>
      <c r="UFR292" s="148"/>
      <c r="UFS292" s="148"/>
      <c r="UFT292" s="148"/>
      <c r="UFU292" s="148"/>
      <c r="UFV292" s="148"/>
      <c r="UFW292" s="148"/>
      <c r="UFX292" s="148"/>
      <c r="UFY292" s="148"/>
      <c r="UFZ292" s="148"/>
      <c r="UGA292" s="148"/>
      <c r="UGB292" s="148"/>
      <c r="UGC292" s="148"/>
      <c r="UGD292" s="148"/>
      <c r="UGE292" s="148"/>
      <c r="UGF292" s="148"/>
      <c r="UGG292" s="148"/>
      <c r="UGH292" s="148"/>
      <c r="UGI292" s="148"/>
      <c r="UGJ292" s="148"/>
      <c r="UGK292" s="148"/>
      <c r="UGL292" s="148"/>
      <c r="UGM292" s="148"/>
      <c r="UGN292" s="148"/>
      <c r="UGO292" s="148"/>
      <c r="UGP292" s="148"/>
      <c r="UGQ292" s="148"/>
      <c r="UGR292" s="148"/>
      <c r="UGS292" s="148"/>
      <c r="UGT292" s="148"/>
      <c r="UGU292" s="148"/>
      <c r="UGV292" s="148"/>
      <c r="UGW292" s="148"/>
      <c r="UGX292" s="148"/>
      <c r="UGY292" s="148"/>
      <c r="UGZ292" s="148"/>
      <c r="UHA292" s="148"/>
      <c r="UHB292" s="148"/>
      <c r="UHC292" s="148"/>
      <c r="UHD292" s="148"/>
      <c r="UHE292" s="148"/>
      <c r="UHF292" s="148"/>
      <c r="UHG292" s="148"/>
      <c r="UHH292" s="148"/>
      <c r="UHI292" s="148"/>
      <c r="UHJ292" s="148"/>
      <c r="UHK292" s="148"/>
      <c r="UHL292" s="148"/>
      <c r="UHM292" s="148"/>
      <c r="UHN292" s="148"/>
      <c r="UHO292" s="148"/>
      <c r="UHP292" s="148"/>
      <c r="UHQ292" s="148"/>
      <c r="UHR292" s="148"/>
      <c r="UHS292" s="148"/>
      <c r="UHT292" s="148"/>
      <c r="UHU292" s="148"/>
      <c r="UHV292" s="148"/>
      <c r="UHW292" s="148"/>
      <c r="UHX292" s="148"/>
      <c r="UHY292" s="148"/>
      <c r="UHZ292" s="148"/>
      <c r="UIA292" s="148"/>
      <c r="UIB292" s="148"/>
      <c r="UIC292" s="148"/>
      <c r="UID292" s="148"/>
      <c r="UIE292" s="148"/>
      <c r="UIF292" s="148"/>
      <c r="UIG292" s="148"/>
      <c r="UIH292" s="148"/>
      <c r="UII292" s="148"/>
      <c r="UIJ292" s="148"/>
      <c r="UIK292" s="148"/>
      <c r="UIL292" s="148"/>
      <c r="UIM292" s="148"/>
      <c r="UIN292" s="148"/>
      <c r="UIO292" s="148"/>
      <c r="UIP292" s="148"/>
      <c r="UIQ292" s="148"/>
      <c r="UIR292" s="148"/>
      <c r="UIS292" s="148"/>
      <c r="UIT292" s="148"/>
      <c r="UIU292" s="148"/>
      <c r="UIV292" s="148"/>
      <c r="UIW292" s="148"/>
      <c r="UIX292" s="148"/>
      <c r="UIY292" s="148"/>
      <c r="UIZ292" s="148"/>
      <c r="UJA292" s="148"/>
      <c r="UJB292" s="148"/>
      <c r="UJC292" s="148"/>
      <c r="UJD292" s="148"/>
      <c r="UJE292" s="148"/>
      <c r="UJF292" s="148"/>
      <c r="UJG292" s="148"/>
      <c r="UJH292" s="148"/>
      <c r="UJI292" s="148"/>
      <c r="UJJ292" s="148"/>
      <c r="UJK292" s="148"/>
      <c r="UJL292" s="148"/>
      <c r="UJM292" s="148"/>
      <c r="UJN292" s="148"/>
      <c r="UJO292" s="148"/>
      <c r="UJP292" s="148"/>
      <c r="UJQ292" s="148"/>
      <c r="UJR292" s="148"/>
      <c r="UJS292" s="148"/>
      <c r="UJT292" s="148"/>
      <c r="UJU292" s="148"/>
      <c r="UJV292" s="148"/>
      <c r="UJW292" s="148"/>
      <c r="UJX292" s="148"/>
      <c r="UJY292" s="148"/>
      <c r="UJZ292" s="148"/>
      <c r="UKA292" s="148"/>
      <c r="UKB292" s="148"/>
      <c r="UKC292" s="148"/>
      <c r="UKD292" s="148"/>
      <c r="UKE292" s="148"/>
      <c r="UKF292" s="148"/>
      <c r="UKG292" s="148"/>
      <c r="UKH292" s="148"/>
      <c r="UKI292" s="148"/>
      <c r="UKJ292" s="148"/>
      <c r="UKK292" s="148"/>
      <c r="UKL292" s="148"/>
      <c r="UKM292" s="148"/>
      <c r="UKN292" s="148"/>
      <c r="UKO292" s="148"/>
      <c r="UKP292" s="148"/>
      <c r="UKQ292" s="148"/>
      <c r="UKR292" s="148"/>
      <c r="UKS292" s="148"/>
      <c r="UKT292" s="148"/>
      <c r="UKU292" s="148"/>
      <c r="UKV292" s="148"/>
      <c r="UKW292" s="148"/>
      <c r="UKX292" s="148"/>
      <c r="UKY292" s="148"/>
      <c r="UKZ292" s="148"/>
      <c r="ULA292" s="148"/>
      <c r="ULB292" s="148"/>
      <c r="ULC292" s="148"/>
      <c r="ULD292" s="148"/>
      <c r="ULE292" s="148"/>
      <c r="ULF292" s="148"/>
      <c r="ULG292" s="148"/>
      <c r="ULH292" s="148"/>
      <c r="ULI292" s="148"/>
      <c r="ULJ292" s="148"/>
      <c r="ULK292" s="148"/>
      <c r="ULL292" s="148"/>
      <c r="ULM292" s="148"/>
      <c r="ULN292" s="148"/>
      <c r="ULO292" s="148"/>
      <c r="ULP292" s="148"/>
      <c r="ULQ292" s="148"/>
      <c r="ULR292" s="148"/>
      <c r="ULS292" s="148"/>
      <c r="ULT292" s="148"/>
      <c r="ULU292" s="148"/>
      <c r="ULV292" s="148"/>
      <c r="ULW292" s="148"/>
      <c r="ULX292" s="148"/>
      <c r="ULY292" s="148"/>
      <c r="ULZ292" s="148"/>
      <c r="UMA292" s="148"/>
      <c r="UMB292" s="148"/>
      <c r="UMC292" s="148"/>
      <c r="UMD292" s="148"/>
      <c r="UME292" s="148"/>
      <c r="UMF292" s="148"/>
      <c r="UMG292" s="148"/>
      <c r="UMH292" s="148"/>
      <c r="UMI292" s="148"/>
      <c r="UMJ292" s="148"/>
      <c r="UMK292" s="148"/>
      <c r="UML292" s="148"/>
      <c r="UMM292" s="148"/>
      <c r="UMN292" s="148"/>
      <c r="UMO292" s="148"/>
      <c r="UMP292" s="148"/>
      <c r="UMQ292" s="148"/>
      <c r="UMR292" s="148"/>
      <c r="UMS292" s="148"/>
      <c r="UMT292" s="148"/>
      <c r="UMU292" s="148"/>
      <c r="UMV292" s="148"/>
      <c r="UMW292" s="148"/>
      <c r="UMX292" s="148"/>
      <c r="UMY292" s="148"/>
      <c r="UMZ292" s="148"/>
      <c r="UNA292" s="148"/>
      <c r="UNB292" s="148"/>
      <c r="UNC292" s="148"/>
      <c r="UND292" s="148"/>
      <c r="UNE292" s="148"/>
      <c r="UNF292" s="148"/>
      <c r="UNG292" s="148"/>
      <c r="UNH292" s="148"/>
      <c r="UNI292" s="148"/>
      <c r="UNJ292" s="148"/>
      <c r="UNK292" s="148"/>
      <c r="UNL292" s="148"/>
      <c r="UNM292" s="148"/>
      <c r="UNN292" s="148"/>
      <c r="UNO292" s="148"/>
      <c r="UNP292" s="148"/>
      <c r="UNQ292" s="148"/>
      <c r="UNR292" s="148"/>
      <c r="UNS292" s="148"/>
      <c r="UNT292" s="148"/>
      <c r="UNU292" s="148"/>
      <c r="UNV292" s="148"/>
      <c r="UNW292" s="148"/>
      <c r="UNX292" s="148"/>
      <c r="UNY292" s="148"/>
      <c r="UNZ292" s="148"/>
      <c r="UOA292" s="148"/>
      <c r="UOB292" s="148"/>
      <c r="UOC292" s="148"/>
      <c r="UOD292" s="148"/>
      <c r="UOE292" s="148"/>
      <c r="UOF292" s="148"/>
      <c r="UOG292" s="148"/>
      <c r="UOH292" s="148"/>
      <c r="UOI292" s="148"/>
      <c r="UOJ292" s="148"/>
      <c r="UOK292" s="148"/>
      <c r="UOL292" s="148"/>
      <c r="UOM292" s="148"/>
      <c r="UON292" s="148"/>
      <c r="UOO292" s="148"/>
      <c r="UOP292" s="148"/>
      <c r="UOQ292" s="148"/>
      <c r="UOR292" s="148"/>
      <c r="UOS292" s="148"/>
      <c r="UOT292" s="148"/>
      <c r="UOU292" s="148"/>
      <c r="UOV292" s="148"/>
      <c r="UOW292" s="148"/>
      <c r="UOX292" s="148"/>
      <c r="UOY292" s="148"/>
      <c r="UOZ292" s="148"/>
      <c r="UPA292" s="148"/>
      <c r="UPB292" s="148"/>
      <c r="UPC292" s="148"/>
      <c r="UPD292" s="148"/>
      <c r="UPE292" s="148"/>
      <c r="UPF292" s="148"/>
      <c r="UPG292" s="148"/>
      <c r="UPH292" s="148"/>
      <c r="UPI292" s="148"/>
      <c r="UPJ292" s="148"/>
      <c r="UPK292" s="148"/>
      <c r="UPL292" s="148"/>
      <c r="UPM292" s="148"/>
      <c r="UPN292" s="148"/>
      <c r="UPO292" s="148"/>
      <c r="UPP292" s="148"/>
      <c r="UPQ292" s="148"/>
      <c r="UPR292" s="148"/>
      <c r="UPS292" s="148"/>
      <c r="UPT292" s="148"/>
      <c r="UPU292" s="148"/>
      <c r="UPV292" s="148"/>
      <c r="UPW292" s="148"/>
      <c r="UPX292" s="148"/>
      <c r="UPY292" s="148"/>
      <c r="UPZ292" s="148"/>
      <c r="UQA292" s="148"/>
      <c r="UQB292" s="148"/>
      <c r="UQC292" s="148"/>
      <c r="UQD292" s="148"/>
      <c r="UQE292" s="148"/>
      <c r="UQF292" s="148"/>
      <c r="UQG292" s="148"/>
      <c r="UQH292" s="148"/>
      <c r="UQI292" s="148"/>
      <c r="UQJ292" s="148"/>
      <c r="UQK292" s="148"/>
      <c r="UQL292" s="148"/>
      <c r="UQM292" s="148"/>
      <c r="UQN292" s="148"/>
      <c r="UQO292" s="148"/>
      <c r="UQP292" s="148"/>
      <c r="UQQ292" s="148"/>
      <c r="UQR292" s="148"/>
      <c r="UQS292" s="148"/>
      <c r="UQT292" s="148"/>
      <c r="UQU292" s="148"/>
      <c r="UQV292" s="148"/>
      <c r="UQW292" s="148"/>
      <c r="UQX292" s="148"/>
      <c r="UQY292" s="148"/>
      <c r="UQZ292" s="148"/>
      <c r="URA292" s="148"/>
      <c r="URB292" s="148"/>
      <c r="URC292" s="148"/>
      <c r="URD292" s="148"/>
      <c r="URE292" s="148"/>
      <c r="URF292" s="148"/>
      <c r="URG292" s="148"/>
      <c r="URH292" s="148"/>
      <c r="URI292" s="148"/>
      <c r="URJ292" s="148"/>
      <c r="URK292" s="148"/>
      <c r="URL292" s="148"/>
      <c r="URM292" s="148"/>
      <c r="URN292" s="148"/>
      <c r="URO292" s="148"/>
      <c r="URP292" s="148"/>
      <c r="URQ292" s="148"/>
      <c r="URR292" s="148"/>
      <c r="URS292" s="148"/>
      <c r="URT292" s="148"/>
      <c r="URU292" s="148"/>
      <c r="URV292" s="148"/>
      <c r="URW292" s="148"/>
      <c r="URX292" s="148"/>
      <c r="URY292" s="148"/>
      <c r="URZ292" s="148"/>
      <c r="USA292" s="148"/>
      <c r="USB292" s="148"/>
      <c r="USC292" s="148"/>
      <c r="USD292" s="148"/>
      <c r="USE292" s="148"/>
      <c r="USF292" s="148"/>
      <c r="USG292" s="148"/>
      <c r="USH292" s="148"/>
      <c r="USI292" s="148"/>
      <c r="USJ292" s="148"/>
      <c r="USK292" s="148"/>
      <c r="USL292" s="148"/>
      <c r="USM292" s="148"/>
      <c r="USN292" s="148"/>
      <c r="USO292" s="148"/>
      <c r="USP292" s="148"/>
      <c r="USQ292" s="148"/>
      <c r="USR292" s="148"/>
      <c r="USS292" s="148"/>
      <c r="UST292" s="148"/>
      <c r="USU292" s="148"/>
      <c r="USV292" s="148"/>
      <c r="USW292" s="148"/>
      <c r="USX292" s="148"/>
      <c r="USY292" s="148"/>
      <c r="USZ292" s="148"/>
      <c r="UTA292" s="148"/>
      <c r="UTB292" s="148"/>
      <c r="UTC292" s="148"/>
      <c r="UTD292" s="148"/>
      <c r="UTE292" s="148"/>
      <c r="UTF292" s="148"/>
      <c r="UTG292" s="148"/>
      <c r="UTH292" s="148"/>
      <c r="UTI292" s="148"/>
      <c r="UTJ292" s="148"/>
      <c r="UTK292" s="148"/>
      <c r="UTL292" s="148"/>
      <c r="UTM292" s="148"/>
      <c r="UTN292" s="148"/>
      <c r="UTO292" s="148"/>
      <c r="UTP292" s="148"/>
      <c r="UTQ292" s="148"/>
      <c r="UTR292" s="148"/>
      <c r="UTS292" s="148"/>
      <c r="UTT292" s="148"/>
      <c r="UTU292" s="148"/>
      <c r="UTV292" s="148"/>
      <c r="UTW292" s="148"/>
      <c r="UTX292" s="148"/>
      <c r="UTY292" s="148"/>
      <c r="UTZ292" s="148"/>
      <c r="UUA292" s="148"/>
      <c r="UUB292" s="148"/>
      <c r="UUC292" s="148"/>
      <c r="UUD292" s="148"/>
      <c r="UUE292" s="148"/>
      <c r="UUF292" s="148"/>
      <c r="UUG292" s="148"/>
      <c r="UUH292" s="148"/>
      <c r="UUI292" s="148"/>
      <c r="UUJ292" s="148"/>
      <c r="UUK292" s="148"/>
      <c r="UUL292" s="148"/>
      <c r="UUM292" s="148"/>
      <c r="UUN292" s="148"/>
      <c r="UUO292" s="148"/>
      <c r="UUP292" s="148"/>
      <c r="UUQ292" s="148"/>
      <c r="UUR292" s="148"/>
      <c r="UUS292" s="148"/>
      <c r="UUT292" s="148"/>
      <c r="UUU292" s="148"/>
      <c r="UUV292" s="148"/>
      <c r="UUW292" s="148"/>
      <c r="UUX292" s="148"/>
      <c r="UUY292" s="148"/>
      <c r="UUZ292" s="148"/>
      <c r="UVA292" s="148"/>
      <c r="UVB292" s="148"/>
      <c r="UVC292" s="148"/>
      <c r="UVD292" s="148"/>
      <c r="UVE292" s="148"/>
      <c r="UVF292" s="148"/>
      <c r="UVG292" s="148"/>
      <c r="UVH292" s="148"/>
      <c r="UVI292" s="148"/>
      <c r="UVJ292" s="148"/>
      <c r="UVK292" s="148"/>
      <c r="UVL292" s="148"/>
      <c r="UVM292" s="148"/>
      <c r="UVN292" s="148"/>
      <c r="UVO292" s="148"/>
      <c r="UVP292" s="148"/>
      <c r="UVQ292" s="148"/>
      <c r="UVR292" s="148"/>
      <c r="UVS292" s="148"/>
      <c r="UVT292" s="148"/>
      <c r="UVU292" s="148"/>
      <c r="UVV292" s="148"/>
      <c r="UVW292" s="148"/>
      <c r="UVX292" s="148"/>
      <c r="UVY292" s="148"/>
      <c r="UVZ292" s="148"/>
      <c r="UWA292" s="148"/>
      <c r="UWB292" s="148"/>
      <c r="UWC292" s="148"/>
      <c r="UWD292" s="148"/>
      <c r="UWE292" s="148"/>
      <c r="UWF292" s="148"/>
      <c r="UWG292" s="148"/>
      <c r="UWH292" s="148"/>
      <c r="UWI292" s="148"/>
      <c r="UWJ292" s="148"/>
      <c r="UWK292" s="148"/>
      <c r="UWL292" s="148"/>
      <c r="UWM292" s="148"/>
      <c r="UWN292" s="148"/>
      <c r="UWO292" s="148"/>
      <c r="UWP292" s="148"/>
      <c r="UWQ292" s="148"/>
      <c r="UWR292" s="148"/>
      <c r="UWS292" s="148"/>
      <c r="UWT292" s="148"/>
      <c r="UWU292" s="148"/>
      <c r="UWV292" s="148"/>
      <c r="UWW292" s="148"/>
      <c r="UWX292" s="148"/>
      <c r="UWY292" s="148"/>
      <c r="UWZ292" s="148"/>
      <c r="UXA292" s="148"/>
      <c r="UXB292" s="148"/>
      <c r="UXC292" s="148"/>
      <c r="UXD292" s="148"/>
      <c r="UXE292" s="148"/>
      <c r="UXF292" s="148"/>
      <c r="UXG292" s="148"/>
      <c r="UXH292" s="148"/>
      <c r="UXI292" s="148"/>
      <c r="UXJ292" s="148"/>
      <c r="UXK292" s="148"/>
      <c r="UXL292" s="148"/>
      <c r="UXM292" s="148"/>
      <c r="UXN292" s="148"/>
      <c r="UXO292" s="148"/>
      <c r="UXP292" s="148"/>
      <c r="UXQ292" s="148"/>
      <c r="UXR292" s="148"/>
      <c r="UXS292" s="148"/>
      <c r="UXT292" s="148"/>
      <c r="UXU292" s="148"/>
      <c r="UXV292" s="148"/>
      <c r="UXW292" s="148"/>
      <c r="UXX292" s="148"/>
      <c r="UXY292" s="148"/>
      <c r="UXZ292" s="148"/>
      <c r="UYA292" s="148"/>
      <c r="UYB292" s="148"/>
      <c r="UYC292" s="148"/>
      <c r="UYD292" s="148"/>
      <c r="UYE292" s="148"/>
      <c r="UYF292" s="148"/>
      <c r="UYG292" s="148"/>
      <c r="UYH292" s="148"/>
      <c r="UYI292" s="148"/>
      <c r="UYJ292" s="148"/>
      <c r="UYK292" s="148"/>
      <c r="UYL292" s="148"/>
      <c r="UYM292" s="148"/>
      <c r="UYN292" s="148"/>
      <c r="UYO292" s="148"/>
      <c r="UYP292" s="148"/>
      <c r="UYQ292" s="148"/>
      <c r="UYR292" s="148"/>
      <c r="UYS292" s="148"/>
      <c r="UYT292" s="148"/>
      <c r="UYU292" s="148"/>
      <c r="UYV292" s="148"/>
      <c r="UYW292" s="148"/>
      <c r="UYX292" s="148"/>
      <c r="UYY292" s="148"/>
      <c r="UYZ292" s="148"/>
      <c r="UZA292" s="148"/>
      <c r="UZB292" s="148"/>
      <c r="UZC292" s="148"/>
      <c r="UZD292" s="148"/>
      <c r="UZE292" s="148"/>
      <c r="UZF292" s="148"/>
      <c r="UZG292" s="148"/>
      <c r="UZH292" s="148"/>
      <c r="UZI292" s="148"/>
      <c r="UZJ292" s="148"/>
      <c r="UZK292" s="148"/>
      <c r="UZL292" s="148"/>
      <c r="UZM292" s="148"/>
      <c r="UZN292" s="148"/>
      <c r="UZO292" s="148"/>
      <c r="UZP292" s="148"/>
      <c r="UZQ292" s="148"/>
      <c r="UZR292" s="148"/>
      <c r="UZS292" s="148"/>
      <c r="UZT292" s="148"/>
      <c r="UZU292" s="148"/>
      <c r="UZV292" s="148"/>
      <c r="UZW292" s="148"/>
      <c r="UZX292" s="148"/>
      <c r="UZY292" s="148"/>
      <c r="UZZ292" s="148"/>
      <c r="VAA292" s="148"/>
      <c r="VAB292" s="148"/>
      <c r="VAC292" s="148"/>
      <c r="VAD292" s="148"/>
      <c r="VAE292" s="148"/>
      <c r="VAF292" s="148"/>
      <c r="VAG292" s="148"/>
      <c r="VAH292" s="148"/>
      <c r="VAI292" s="148"/>
      <c r="VAJ292" s="148"/>
      <c r="VAK292" s="148"/>
      <c r="VAL292" s="148"/>
      <c r="VAM292" s="148"/>
      <c r="VAN292" s="148"/>
      <c r="VAO292" s="148"/>
      <c r="VAP292" s="148"/>
      <c r="VAQ292" s="148"/>
      <c r="VAR292" s="148"/>
      <c r="VAS292" s="148"/>
      <c r="VAT292" s="148"/>
      <c r="VAU292" s="148"/>
      <c r="VAV292" s="148"/>
      <c r="VAW292" s="148"/>
      <c r="VAX292" s="148"/>
      <c r="VAY292" s="148"/>
      <c r="VAZ292" s="148"/>
      <c r="VBA292" s="148"/>
      <c r="VBB292" s="148"/>
      <c r="VBC292" s="148"/>
      <c r="VBD292" s="148"/>
      <c r="VBE292" s="148"/>
      <c r="VBF292" s="148"/>
      <c r="VBG292" s="148"/>
      <c r="VBH292" s="148"/>
      <c r="VBI292" s="148"/>
      <c r="VBJ292" s="148"/>
      <c r="VBK292" s="148"/>
      <c r="VBL292" s="148"/>
      <c r="VBM292" s="148"/>
      <c r="VBN292" s="148"/>
      <c r="VBO292" s="148"/>
      <c r="VBP292" s="148"/>
      <c r="VBQ292" s="148"/>
      <c r="VBR292" s="148"/>
      <c r="VBS292" s="148"/>
      <c r="VBT292" s="148"/>
      <c r="VBU292" s="148"/>
      <c r="VBV292" s="148"/>
      <c r="VBW292" s="148"/>
      <c r="VBX292" s="148"/>
      <c r="VBY292" s="148"/>
      <c r="VBZ292" s="148"/>
      <c r="VCA292" s="148"/>
      <c r="VCB292" s="148"/>
      <c r="VCC292" s="148"/>
      <c r="VCD292" s="148"/>
      <c r="VCE292" s="148"/>
      <c r="VCF292" s="148"/>
      <c r="VCG292" s="148"/>
      <c r="VCH292" s="148"/>
      <c r="VCI292" s="148"/>
      <c r="VCJ292" s="148"/>
      <c r="VCK292" s="148"/>
      <c r="VCL292" s="148"/>
      <c r="VCM292" s="148"/>
      <c r="VCN292" s="148"/>
      <c r="VCO292" s="148"/>
      <c r="VCP292" s="148"/>
      <c r="VCQ292" s="148"/>
      <c r="VCR292" s="148"/>
      <c r="VCS292" s="148"/>
      <c r="VCT292" s="148"/>
      <c r="VCU292" s="148"/>
      <c r="VCV292" s="148"/>
      <c r="VCW292" s="148"/>
      <c r="VCX292" s="148"/>
      <c r="VCY292" s="148"/>
      <c r="VCZ292" s="148"/>
      <c r="VDA292" s="148"/>
      <c r="VDB292" s="148"/>
      <c r="VDC292" s="148"/>
      <c r="VDD292" s="148"/>
      <c r="VDE292" s="148"/>
      <c r="VDF292" s="148"/>
      <c r="VDG292" s="148"/>
      <c r="VDH292" s="148"/>
      <c r="VDI292" s="148"/>
      <c r="VDJ292" s="148"/>
      <c r="VDK292" s="148"/>
      <c r="VDL292" s="148"/>
      <c r="VDM292" s="148"/>
      <c r="VDN292" s="148"/>
      <c r="VDO292" s="148"/>
      <c r="VDP292" s="148"/>
      <c r="VDQ292" s="148"/>
      <c r="VDR292" s="148"/>
      <c r="VDS292" s="148"/>
      <c r="VDT292" s="148"/>
      <c r="VDU292" s="148"/>
      <c r="VDV292" s="148"/>
      <c r="VDW292" s="148"/>
      <c r="VDX292" s="148"/>
      <c r="VDY292" s="148"/>
      <c r="VDZ292" s="148"/>
      <c r="VEA292" s="148"/>
      <c r="VEB292" s="148"/>
      <c r="VEC292" s="148"/>
      <c r="VED292" s="148"/>
      <c r="VEE292" s="148"/>
      <c r="VEF292" s="148"/>
      <c r="VEG292" s="148"/>
      <c r="VEH292" s="148"/>
      <c r="VEI292" s="148"/>
      <c r="VEJ292" s="148"/>
      <c r="VEK292" s="148"/>
      <c r="VEL292" s="148"/>
      <c r="VEM292" s="148"/>
      <c r="VEN292" s="148"/>
      <c r="VEO292" s="148"/>
      <c r="VEP292" s="148"/>
      <c r="VEQ292" s="148"/>
      <c r="VER292" s="148"/>
      <c r="VES292" s="148"/>
      <c r="VET292" s="148"/>
      <c r="VEU292" s="148"/>
      <c r="VEV292" s="148"/>
      <c r="VEW292" s="148"/>
      <c r="VEX292" s="148"/>
      <c r="VEY292" s="148"/>
      <c r="VEZ292" s="148"/>
      <c r="VFA292" s="148"/>
      <c r="VFB292" s="148"/>
      <c r="VFC292" s="148"/>
      <c r="VFD292" s="148"/>
      <c r="VFE292" s="148"/>
      <c r="VFF292" s="148"/>
      <c r="VFG292" s="148"/>
      <c r="VFH292" s="148"/>
      <c r="VFI292" s="148"/>
      <c r="VFJ292" s="148"/>
      <c r="VFK292" s="148"/>
      <c r="VFL292" s="148"/>
      <c r="VFM292" s="148"/>
      <c r="VFN292" s="148"/>
      <c r="VFO292" s="148"/>
      <c r="VFP292" s="148"/>
      <c r="VFQ292" s="148"/>
      <c r="VFR292" s="148"/>
      <c r="VFS292" s="148"/>
      <c r="VFT292" s="148"/>
      <c r="VFU292" s="148"/>
      <c r="VFV292" s="148"/>
      <c r="VFW292" s="148"/>
      <c r="VFX292" s="148"/>
      <c r="VFY292" s="148"/>
      <c r="VFZ292" s="148"/>
      <c r="VGA292" s="148"/>
      <c r="VGB292" s="148"/>
      <c r="VGC292" s="148"/>
      <c r="VGD292" s="148"/>
      <c r="VGE292" s="148"/>
      <c r="VGF292" s="148"/>
      <c r="VGG292" s="148"/>
      <c r="VGH292" s="148"/>
      <c r="VGI292" s="148"/>
      <c r="VGJ292" s="148"/>
      <c r="VGK292" s="148"/>
      <c r="VGL292" s="148"/>
      <c r="VGM292" s="148"/>
      <c r="VGN292" s="148"/>
      <c r="VGO292" s="148"/>
      <c r="VGP292" s="148"/>
      <c r="VGQ292" s="148"/>
      <c r="VGR292" s="148"/>
      <c r="VGS292" s="148"/>
      <c r="VGT292" s="148"/>
      <c r="VGU292" s="148"/>
      <c r="VGV292" s="148"/>
      <c r="VGW292" s="148"/>
      <c r="VGX292" s="148"/>
      <c r="VGY292" s="148"/>
      <c r="VGZ292" s="148"/>
      <c r="VHA292" s="148"/>
      <c r="VHB292" s="148"/>
      <c r="VHC292" s="148"/>
      <c r="VHD292" s="148"/>
      <c r="VHE292" s="148"/>
      <c r="VHF292" s="148"/>
      <c r="VHG292" s="148"/>
      <c r="VHH292" s="148"/>
      <c r="VHI292" s="148"/>
      <c r="VHJ292" s="148"/>
      <c r="VHK292" s="148"/>
      <c r="VHL292" s="148"/>
      <c r="VHM292" s="148"/>
      <c r="VHN292" s="148"/>
      <c r="VHO292" s="148"/>
      <c r="VHP292" s="148"/>
      <c r="VHQ292" s="148"/>
      <c r="VHR292" s="148"/>
      <c r="VHS292" s="148"/>
      <c r="VHT292" s="148"/>
      <c r="VHU292" s="148"/>
      <c r="VHV292" s="148"/>
      <c r="VHW292" s="148"/>
      <c r="VHX292" s="148"/>
      <c r="VHY292" s="148"/>
      <c r="VHZ292" s="148"/>
      <c r="VIA292" s="148"/>
      <c r="VIB292" s="148"/>
      <c r="VIC292" s="148"/>
      <c r="VID292" s="148"/>
      <c r="VIE292" s="148"/>
      <c r="VIF292" s="148"/>
      <c r="VIG292" s="148"/>
      <c r="VIH292" s="148"/>
      <c r="VII292" s="148"/>
      <c r="VIJ292" s="148"/>
      <c r="VIK292" s="148"/>
      <c r="VIL292" s="148"/>
      <c r="VIM292" s="148"/>
      <c r="VIN292" s="148"/>
      <c r="VIO292" s="148"/>
      <c r="VIP292" s="148"/>
      <c r="VIQ292" s="148"/>
      <c r="VIR292" s="148"/>
      <c r="VIS292" s="148"/>
      <c r="VIT292" s="148"/>
      <c r="VIU292" s="148"/>
      <c r="VIV292" s="148"/>
      <c r="VIW292" s="148"/>
      <c r="VIX292" s="148"/>
      <c r="VIY292" s="148"/>
      <c r="VIZ292" s="148"/>
      <c r="VJA292" s="148"/>
      <c r="VJB292" s="148"/>
      <c r="VJC292" s="148"/>
      <c r="VJD292" s="148"/>
      <c r="VJE292" s="148"/>
      <c r="VJF292" s="148"/>
      <c r="VJG292" s="148"/>
      <c r="VJH292" s="148"/>
      <c r="VJI292" s="148"/>
      <c r="VJJ292" s="148"/>
      <c r="VJK292" s="148"/>
      <c r="VJL292" s="148"/>
      <c r="VJM292" s="148"/>
      <c r="VJN292" s="148"/>
      <c r="VJO292" s="148"/>
      <c r="VJP292" s="148"/>
      <c r="VJQ292" s="148"/>
      <c r="VJR292" s="148"/>
      <c r="VJS292" s="148"/>
      <c r="VJT292" s="148"/>
      <c r="VJU292" s="148"/>
      <c r="VJV292" s="148"/>
      <c r="VJW292" s="148"/>
      <c r="VJX292" s="148"/>
      <c r="VJY292" s="148"/>
      <c r="VJZ292" s="148"/>
      <c r="VKA292" s="148"/>
      <c r="VKB292" s="148"/>
      <c r="VKC292" s="148"/>
      <c r="VKD292" s="148"/>
      <c r="VKE292" s="148"/>
      <c r="VKF292" s="148"/>
      <c r="VKG292" s="148"/>
      <c r="VKH292" s="148"/>
      <c r="VKI292" s="148"/>
      <c r="VKJ292" s="148"/>
      <c r="VKK292" s="148"/>
      <c r="VKL292" s="148"/>
      <c r="VKM292" s="148"/>
      <c r="VKN292" s="148"/>
      <c r="VKO292" s="148"/>
      <c r="VKP292" s="148"/>
      <c r="VKQ292" s="148"/>
      <c r="VKR292" s="148"/>
      <c r="VKS292" s="148"/>
      <c r="VKT292" s="148"/>
      <c r="VKU292" s="148"/>
      <c r="VKV292" s="148"/>
      <c r="VKW292" s="148"/>
      <c r="VKX292" s="148"/>
      <c r="VKY292" s="148"/>
      <c r="VKZ292" s="148"/>
      <c r="VLA292" s="148"/>
      <c r="VLB292" s="148"/>
      <c r="VLC292" s="148"/>
      <c r="VLD292" s="148"/>
      <c r="VLE292" s="148"/>
      <c r="VLF292" s="148"/>
      <c r="VLG292" s="148"/>
      <c r="VLH292" s="148"/>
      <c r="VLI292" s="148"/>
      <c r="VLJ292" s="148"/>
      <c r="VLK292" s="148"/>
      <c r="VLL292" s="148"/>
      <c r="VLM292" s="148"/>
      <c r="VLN292" s="148"/>
      <c r="VLO292" s="148"/>
      <c r="VLP292" s="148"/>
      <c r="VLQ292" s="148"/>
      <c r="VLR292" s="148"/>
      <c r="VLS292" s="148"/>
      <c r="VLT292" s="148"/>
      <c r="VLU292" s="148"/>
      <c r="VLV292" s="148"/>
      <c r="VLW292" s="148"/>
      <c r="VLX292" s="148"/>
      <c r="VLY292" s="148"/>
      <c r="VLZ292" s="148"/>
      <c r="VMA292" s="148"/>
      <c r="VMB292" s="148"/>
      <c r="VMC292" s="148"/>
      <c r="VMD292" s="148"/>
      <c r="VME292" s="148"/>
      <c r="VMF292" s="148"/>
      <c r="VMG292" s="148"/>
      <c r="VMH292" s="148"/>
      <c r="VMI292" s="148"/>
      <c r="VMJ292" s="148"/>
      <c r="VMK292" s="148"/>
      <c r="VML292" s="148"/>
      <c r="VMM292" s="148"/>
      <c r="VMN292" s="148"/>
      <c r="VMO292" s="148"/>
      <c r="VMP292" s="148"/>
      <c r="VMQ292" s="148"/>
      <c r="VMR292" s="148"/>
      <c r="VMS292" s="148"/>
      <c r="VMT292" s="148"/>
      <c r="VMU292" s="148"/>
      <c r="VMV292" s="148"/>
      <c r="VMW292" s="148"/>
      <c r="VMX292" s="148"/>
      <c r="VMY292" s="148"/>
      <c r="VMZ292" s="148"/>
      <c r="VNA292" s="148"/>
      <c r="VNB292" s="148"/>
      <c r="VNC292" s="148"/>
      <c r="VND292" s="148"/>
      <c r="VNE292" s="148"/>
      <c r="VNF292" s="148"/>
      <c r="VNG292" s="148"/>
      <c r="VNH292" s="148"/>
      <c r="VNI292" s="148"/>
      <c r="VNJ292" s="148"/>
      <c r="VNK292" s="148"/>
      <c r="VNL292" s="148"/>
      <c r="VNM292" s="148"/>
      <c r="VNN292" s="148"/>
      <c r="VNO292" s="148"/>
      <c r="VNP292" s="148"/>
      <c r="VNQ292" s="148"/>
      <c r="VNR292" s="148"/>
      <c r="VNS292" s="148"/>
      <c r="VNT292" s="148"/>
      <c r="VNU292" s="148"/>
      <c r="VNV292" s="148"/>
      <c r="VNW292" s="148"/>
      <c r="VNX292" s="148"/>
      <c r="VNY292" s="148"/>
      <c r="VNZ292" s="148"/>
      <c r="VOA292" s="148"/>
      <c r="VOB292" s="148"/>
      <c r="VOC292" s="148"/>
      <c r="VOD292" s="148"/>
      <c r="VOE292" s="148"/>
      <c r="VOF292" s="148"/>
      <c r="VOG292" s="148"/>
      <c r="VOH292" s="148"/>
      <c r="VOI292" s="148"/>
      <c r="VOJ292" s="148"/>
      <c r="VOK292" s="148"/>
      <c r="VOL292" s="148"/>
      <c r="VOM292" s="148"/>
      <c r="VON292" s="148"/>
      <c r="VOO292" s="148"/>
      <c r="VOP292" s="148"/>
      <c r="VOQ292" s="148"/>
      <c r="VOR292" s="148"/>
      <c r="VOS292" s="148"/>
      <c r="VOT292" s="148"/>
      <c r="VOU292" s="148"/>
      <c r="VOV292" s="148"/>
      <c r="VOW292" s="148"/>
      <c r="VOX292" s="148"/>
      <c r="VOY292" s="148"/>
      <c r="VOZ292" s="148"/>
      <c r="VPA292" s="148"/>
      <c r="VPB292" s="148"/>
      <c r="VPC292" s="148"/>
      <c r="VPD292" s="148"/>
      <c r="VPE292" s="148"/>
      <c r="VPF292" s="148"/>
      <c r="VPG292" s="148"/>
      <c r="VPH292" s="148"/>
      <c r="VPI292" s="148"/>
      <c r="VPJ292" s="148"/>
      <c r="VPK292" s="148"/>
      <c r="VPL292" s="148"/>
      <c r="VPM292" s="148"/>
      <c r="VPN292" s="148"/>
      <c r="VPO292" s="148"/>
      <c r="VPP292" s="148"/>
      <c r="VPQ292" s="148"/>
      <c r="VPR292" s="148"/>
      <c r="VPS292" s="148"/>
      <c r="VPT292" s="148"/>
      <c r="VPU292" s="148"/>
      <c r="VPV292" s="148"/>
      <c r="VPW292" s="148"/>
      <c r="VPX292" s="148"/>
      <c r="VPY292" s="148"/>
      <c r="VPZ292" s="148"/>
      <c r="VQA292" s="148"/>
      <c r="VQB292" s="148"/>
      <c r="VQC292" s="148"/>
      <c r="VQD292" s="148"/>
      <c r="VQE292" s="148"/>
      <c r="VQF292" s="148"/>
      <c r="VQG292" s="148"/>
      <c r="VQH292" s="148"/>
      <c r="VQI292" s="148"/>
      <c r="VQJ292" s="148"/>
      <c r="VQK292" s="148"/>
      <c r="VQL292" s="148"/>
      <c r="VQM292" s="148"/>
      <c r="VQN292" s="148"/>
      <c r="VQO292" s="148"/>
      <c r="VQP292" s="148"/>
      <c r="VQQ292" s="148"/>
      <c r="VQR292" s="148"/>
      <c r="VQS292" s="148"/>
      <c r="VQT292" s="148"/>
      <c r="VQU292" s="148"/>
      <c r="VQV292" s="148"/>
      <c r="VQW292" s="148"/>
      <c r="VQX292" s="148"/>
      <c r="VQY292" s="148"/>
      <c r="VQZ292" s="148"/>
      <c r="VRA292" s="148"/>
      <c r="VRB292" s="148"/>
      <c r="VRC292" s="148"/>
      <c r="VRD292" s="148"/>
      <c r="VRE292" s="148"/>
      <c r="VRF292" s="148"/>
      <c r="VRG292" s="148"/>
      <c r="VRH292" s="148"/>
      <c r="VRI292" s="148"/>
      <c r="VRJ292" s="148"/>
      <c r="VRK292" s="148"/>
      <c r="VRL292" s="148"/>
      <c r="VRM292" s="148"/>
      <c r="VRN292" s="148"/>
      <c r="VRO292" s="148"/>
      <c r="VRP292" s="148"/>
      <c r="VRQ292" s="148"/>
      <c r="VRR292" s="148"/>
      <c r="VRS292" s="148"/>
      <c r="VRT292" s="148"/>
      <c r="VRU292" s="148"/>
      <c r="VRV292" s="148"/>
      <c r="VRW292" s="148"/>
      <c r="VRX292" s="148"/>
      <c r="VRY292" s="148"/>
      <c r="VRZ292" s="148"/>
      <c r="VSA292" s="148"/>
      <c r="VSB292" s="148"/>
      <c r="VSC292" s="148"/>
      <c r="VSD292" s="148"/>
      <c r="VSE292" s="148"/>
      <c r="VSF292" s="148"/>
      <c r="VSG292" s="148"/>
      <c r="VSH292" s="148"/>
      <c r="VSI292" s="148"/>
      <c r="VSJ292" s="148"/>
      <c r="VSK292" s="148"/>
      <c r="VSL292" s="148"/>
      <c r="VSM292" s="148"/>
      <c r="VSN292" s="148"/>
      <c r="VSO292" s="148"/>
      <c r="VSP292" s="148"/>
      <c r="VSQ292" s="148"/>
      <c r="VSR292" s="148"/>
      <c r="VSS292" s="148"/>
      <c r="VST292" s="148"/>
      <c r="VSU292" s="148"/>
      <c r="VSV292" s="148"/>
      <c r="VSW292" s="148"/>
      <c r="VSX292" s="148"/>
      <c r="VSY292" s="148"/>
      <c r="VSZ292" s="148"/>
      <c r="VTA292" s="148"/>
      <c r="VTB292" s="148"/>
      <c r="VTC292" s="148"/>
      <c r="VTD292" s="148"/>
      <c r="VTE292" s="148"/>
      <c r="VTF292" s="148"/>
      <c r="VTG292" s="148"/>
      <c r="VTH292" s="148"/>
      <c r="VTI292" s="148"/>
      <c r="VTJ292" s="148"/>
      <c r="VTK292" s="148"/>
      <c r="VTL292" s="148"/>
      <c r="VTM292" s="148"/>
      <c r="VTN292" s="148"/>
      <c r="VTO292" s="148"/>
      <c r="VTP292" s="148"/>
      <c r="VTQ292" s="148"/>
      <c r="VTR292" s="148"/>
      <c r="VTS292" s="148"/>
      <c r="VTT292" s="148"/>
      <c r="VTU292" s="148"/>
      <c r="VTV292" s="148"/>
      <c r="VTW292" s="148"/>
      <c r="VTX292" s="148"/>
      <c r="VTY292" s="148"/>
      <c r="VTZ292" s="148"/>
      <c r="VUA292" s="148"/>
      <c r="VUB292" s="148"/>
      <c r="VUC292" s="148"/>
      <c r="VUD292" s="148"/>
      <c r="VUE292" s="148"/>
      <c r="VUF292" s="148"/>
      <c r="VUG292" s="148"/>
      <c r="VUH292" s="148"/>
      <c r="VUI292" s="148"/>
      <c r="VUJ292" s="148"/>
      <c r="VUK292" s="148"/>
      <c r="VUL292" s="148"/>
      <c r="VUM292" s="148"/>
      <c r="VUN292" s="148"/>
      <c r="VUO292" s="148"/>
      <c r="VUP292" s="148"/>
      <c r="VUQ292" s="148"/>
      <c r="VUR292" s="148"/>
      <c r="VUS292" s="148"/>
      <c r="VUT292" s="148"/>
      <c r="VUU292" s="148"/>
      <c r="VUV292" s="148"/>
      <c r="VUW292" s="148"/>
      <c r="VUX292" s="148"/>
      <c r="VUY292" s="148"/>
      <c r="VUZ292" s="148"/>
      <c r="VVA292" s="148"/>
      <c r="VVB292" s="148"/>
      <c r="VVC292" s="148"/>
      <c r="VVD292" s="148"/>
      <c r="VVE292" s="148"/>
      <c r="VVF292" s="148"/>
      <c r="VVG292" s="148"/>
      <c r="VVH292" s="148"/>
      <c r="VVI292" s="148"/>
      <c r="VVJ292" s="148"/>
      <c r="VVK292" s="148"/>
      <c r="VVL292" s="148"/>
      <c r="VVM292" s="148"/>
      <c r="VVN292" s="148"/>
      <c r="VVO292" s="148"/>
      <c r="VVP292" s="148"/>
      <c r="VVQ292" s="148"/>
      <c r="VVR292" s="148"/>
      <c r="VVS292" s="148"/>
      <c r="VVT292" s="148"/>
      <c r="VVU292" s="148"/>
      <c r="VVV292" s="148"/>
      <c r="VVW292" s="148"/>
      <c r="VVX292" s="148"/>
      <c r="VVY292" s="148"/>
      <c r="VVZ292" s="148"/>
      <c r="VWA292" s="148"/>
      <c r="VWB292" s="148"/>
      <c r="VWC292" s="148"/>
      <c r="VWD292" s="148"/>
      <c r="VWE292" s="148"/>
      <c r="VWF292" s="148"/>
      <c r="VWG292" s="148"/>
      <c r="VWH292" s="148"/>
      <c r="VWI292" s="148"/>
      <c r="VWJ292" s="148"/>
      <c r="VWK292" s="148"/>
      <c r="VWL292" s="148"/>
      <c r="VWM292" s="148"/>
      <c r="VWN292" s="148"/>
      <c r="VWO292" s="148"/>
      <c r="VWP292" s="148"/>
      <c r="VWQ292" s="148"/>
      <c r="VWR292" s="148"/>
      <c r="VWS292" s="148"/>
      <c r="VWT292" s="148"/>
      <c r="VWU292" s="148"/>
      <c r="VWV292" s="148"/>
      <c r="VWW292" s="148"/>
      <c r="VWX292" s="148"/>
      <c r="VWY292" s="148"/>
      <c r="VWZ292" s="148"/>
      <c r="VXA292" s="148"/>
      <c r="VXB292" s="148"/>
      <c r="VXC292" s="148"/>
      <c r="VXD292" s="148"/>
      <c r="VXE292" s="148"/>
      <c r="VXF292" s="148"/>
      <c r="VXG292" s="148"/>
      <c r="VXH292" s="148"/>
      <c r="VXI292" s="148"/>
      <c r="VXJ292" s="148"/>
      <c r="VXK292" s="148"/>
      <c r="VXL292" s="148"/>
      <c r="VXM292" s="148"/>
      <c r="VXN292" s="148"/>
      <c r="VXO292" s="148"/>
      <c r="VXP292" s="148"/>
      <c r="VXQ292" s="148"/>
      <c r="VXR292" s="148"/>
      <c r="VXS292" s="148"/>
      <c r="VXT292" s="148"/>
      <c r="VXU292" s="148"/>
      <c r="VXV292" s="148"/>
      <c r="VXW292" s="148"/>
      <c r="VXX292" s="148"/>
      <c r="VXY292" s="148"/>
      <c r="VXZ292" s="148"/>
      <c r="VYA292" s="148"/>
      <c r="VYB292" s="148"/>
      <c r="VYC292" s="148"/>
      <c r="VYD292" s="148"/>
      <c r="VYE292" s="148"/>
      <c r="VYF292" s="148"/>
      <c r="VYG292" s="148"/>
      <c r="VYH292" s="148"/>
      <c r="VYI292" s="148"/>
      <c r="VYJ292" s="148"/>
      <c r="VYK292" s="148"/>
      <c r="VYL292" s="148"/>
      <c r="VYM292" s="148"/>
      <c r="VYN292" s="148"/>
      <c r="VYO292" s="148"/>
      <c r="VYP292" s="148"/>
      <c r="VYQ292" s="148"/>
      <c r="VYR292" s="148"/>
      <c r="VYS292" s="148"/>
      <c r="VYT292" s="148"/>
      <c r="VYU292" s="148"/>
      <c r="VYV292" s="148"/>
      <c r="VYW292" s="148"/>
      <c r="VYX292" s="148"/>
      <c r="VYY292" s="148"/>
      <c r="VYZ292" s="148"/>
      <c r="VZA292" s="148"/>
      <c r="VZB292" s="148"/>
      <c r="VZC292" s="148"/>
      <c r="VZD292" s="148"/>
      <c r="VZE292" s="148"/>
      <c r="VZF292" s="148"/>
      <c r="VZG292" s="148"/>
      <c r="VZH292" s="148"/>
      <c r="VZI292" s="148"/>
      <c r="VZJ292" s="148"/>
      <c r="VZK292" s="148"/>
      <c r="VZL292" s="148"/>
      <c r="VZM292" s="148"/>
      <c r="VZN292" s="148"/>
      <c r="VZO292" s="148"/>
      <c r="VZP292" s="148"/>
      <c r="VZQ292" s="148"/>
      <c r="VZR292" s="148"/>
      <c r="VZS292" s="148"/>
      <c r="VZT292" s="148"/>
      <c r="VZU292" s="148"/>
      <c r="VZV292" s="148"/>
      <c r="VZW292" s="148"/>
      <c r="VZX292" s="148"/>
      <c r="VZY292" s="148"/>
      <c r="VZZ292" s="148"/>
      <c r="WAA292" s="148"/>
      <c r="WAB292" s="148"/>
      <c r="WAC292" s="148"/>
      <c r="WAD292" s="148"/>
      <c r="WAE292" s="148"/>
      <c r="WAF292" s="148"/>
      <c r="WAG292" s="148"/>
      <c r="WAH292" s="148"/>
      <c r="WAI292" s="148"/>
      <c r="WAJ292" s="148"/>
      <c r="WAK292" s="148"/>
      <c r="WAL292" s="148"/>
      <c r="WAM292" s="148"/>
      <c r="WAN292" s="148"/>
      <c r="WAO292" s="148"/>
      <c r="WAP292" s="148"/>
      <c r="WAQ292" s="148"/>
      <c r="WAR292" s="148"/>
      <c r="WAS292" s="148"/>
      <c r="WAT292" s="148"/>
      <c r="WAU292" s="148"/>
      <c r="WAV292" s="148"/>
      <c r="WAW292" s="148"/>
      <c r="WAX292" s="148"/>
      <c r="WAY292" s="148"/>
      <c r="WAZ292" s="148"/>
      <c r="WBA292" s="148"/>
      <c r="WBB292" s="148"/>
      <c r="WBC292" s="148"/>
      <c r="WBD292" s="148"/>
      <c r="WBE292" s="148"/>
      <c r="WBF292" s="148"/>
      <c r="WBG292" s="148"/>
      <c r="WBH292" s="148"/>
      <c r="WBI292" s="148"/>
      <c r="WBJ292" s="148"/>
      <c r="WBK292" s="148"/>
      <c r="WBL292" s="148"/>
      <c r="WBM292" s="148"/>
      <c r="WBN292" s="148"/>
      <c r="WBO292" s="148"/>
      <c r="WBP292" s="148"/>
      <c r="WBQ292" s="148"/>
      <c r="WBR292" s="148"/>
      <c r="WBS292" s="148"/>
      <c r="WBT292" s="148"/>
      <c r="WBU292" s="148"/>
      <c r="WBV292" s="148"/>
      <c r="WBW292" s="148"/>
      <c r="WBX292" s="148"/>
      <c r="WBY292" s="148"/>
      <c r="WBZ292" s="148"/>
      <c r="WCA292" s="148"/>
      <c r="WCB292" s="148"/>
      <c r="WCC292" s="148"/>
      <c r="WCD292" s="148"/>
      <c r="WCE292" s="148"/>
      <c r="WCF292" s="148"/>
      <c r="WCG292" s="148"/>
      <c r="WCH292" s="148"/>
      <c r="WCI292" s="148"/>
      <c r="WCJ292" s="148"/>
      <c r="WCK292" s="148"/>
      <c r="WCL292" s="148"/>
      <c r="WCM292" s="148"/>
      <c r="WCN292" s="148"/>
      <c r="WCO292" s="148"/>
      <c r="WCP292" s="148"/>
      <c r="WCQ292" s="148"/>
      <c r="WCR292" s="148"/>
      <c r="WCS292" s="148"/>
      <c r="WCT292" s="148"/>
      <c r="WCU292" s="148"/>
      <c r="WCV292" s="148"/>
      <c r="WCW292" s="148"/>
      <c r="WCX292" s="148"/>
      <c r="WCY292" s="148"/>
      <c r="WCZ292" s="148"/>
      <c r="WDA292" s="148"/>
      <c r="WDB292" s="148"/>
      <c r="WDC292" s="148"/>
      <c r="WDD292" s="148"/>
      <c r="WDE292" s="148"/>
      <c r="WDF292" s="148"/>
      <c r="WDG292" s="148"/>
      <c r="WDH292" s="148"/>
      <c r="WDI292" s="148"/>
      <c r="WDJ292" s="148"/>
      <c r="WDK292" s="148"/>
      <c r="WDL292" s="148"/>
      <c r="WDM292" s="148"/>
      <c r="WDN292" s="148"/>
      <c r="WDO292" s="148"/>
      <c r="WDP292" s="148"/>
      <c r="WDQ292" s="148"/>
      <c r="WDR292" s="148"/>
      <c r="WDS292" s="148"/>
      <c r="WDT292" s="148"/>
      <c r="WDU292" s="148"/>
      <c r="WDV292" s="148"/>
      <c r="WDW292" s="148"/>
      <c r="WDX292" s="148"/>
      <c r="WDY292" s="148"/>
      <c r="WDZ292" s="148"/>
      <c r="WEA292" s="148"/>
      <c r="WEB292" s="148"/>
      <c r="WEC292" s="148"/>
      <c r="WED292" s="148"/>
      <c r="WEE292" s="148"/>
      <c r="WEF292" s="148"/>
      <c r="WEG292" s="148"/>
      <c r="WEH292" s="148"/>
      <c r="WEI292" s="148"/>
      <c r="WEJ292" s="148"/>
      <c r="WEK292" s="148"/>
      <c r="WEL292" s="148"/>
      <c r="WEM292" s="148"/>
      <c r="WEN292" s="148"/>
      <c r="WEO292" s="148"/>
      <c r="WEP292" s="148"/>
      <c r="WEQ292" s="148"/>
      <c r="WER292" s="148"/>
      <c r="WES292" s="148"/>
      <c r="WET292" s="148"/>
      <c r="WEU292" s="148"/>
      <c r="WEV292" s="148"/>
      <c r="WEW292" s="148"/>
      <c r="WEX292" s="148"/>
      <c r="WEY292" s="148"/>
      <c r="WEZ292" s="148"/>
      <c r="WFA292" s="148"/>
      <c r="WFB292" s="148"/>
      <c r="WFC292" s="148"/>
      <c r="WFD292" s="148"/>
      <c r="WFE292" s="148"/>
      <c r="WFF292" s="148"/>
      <c r="WFG292" s="148"/>
      <c r="WFH292" s="148"/>
      <c r="WFI292" s="148"/>
      <c r="WFJ292" s="148"/>
      <c r="WFK292" s="148"/>
      <c r="WFL292" s="148"/>
      <c r="WFM292" s="148"/>
      <c r="WFN292" s="148"/>
      <c r="WFO292" s="148"/>
      <c r="WFP292" s="148"/>
      <c r="WFQ292" s="148"/>
      <c r="WFR292" s="148"/>
      <c r="WFS292" s="148"/>
      <c r="WFT292" s="148"/>
      <c r="WFU292" s="148"/>
      <c r="WFV292" s="148"/>
      <c r="WFW292" s="148"/>
      <c r="WFX292" s="148"/>
      <c r="WFY292" s="148"/>
      <c r="WFZ292" s="148"/>
      <c r="WGA292" s="148"/>
      <c r="WGB292" s="148"/>
      <c r="WGC292" s="148"/>
      <c r="WGD292" s="148"/>
      <c r="WGE292" s="148"/>
      <c r="WGF292" s="148"/>
      <c r="WGG292" s="148"/>
      <c r="WGH292" s="148"/>
      <c r="WGI292" s="148"/>
      <c r="WGJ292" s="148"/>
      <c r="WGK292" s="148"/>
      <c r="WGL292" s="148"/>
      <c r="WGM292" s="148"/>
      <c r="WGN292" s="148"/>
      <c r="WGO292" s="148"/>
      <c r="WGP292" s="148"/>
      <c r="WGQ292" s="148"/>
      <c r="WGR292" s="148"/>
      <c r="WGS292" s="148"/>
      <c r="WGT292" s="148"/>
      <c r="WGU292" s="148"/>
      <c r="WGV292" s="148"/>
      <c r="WGW292" s="148"/>
      <c r="WGX292" s="148"/>
      <c r="WGY292" s="148"/>
      <c r="WGZ292" s="148"/>
      <c r="WHA292" s="148"/>
      <c r="WHB292" s="148"/>
      <c r="WHC292" s="148"/>
      <c r="WHD292" s="148"/>
      <c r="WHE292" s="148"/>
      <c r="WHF292" s="148"/>
      <c r="WHG292" s="148"/>
      <c r="WHH292" s="148"/>
      <c r="WHI292" s="148"/>
      <c r="WHJ292" s="148"/>
      <c r="WHK292" s="148"/>
      <c r="WHL292" s="148"/>
      <c r="WHM292" s="148"/>
      <c r="WHN292" s="148"/>
      <c r="WHO292" s="148"/>
      <c r="WHP292" s="148"/>
      <c r="WHQ292" s="148"/>
      <c r="WHR292" s="148"/>
      <c r="WHS292" s="148"/>
      <c r="WHT292" s="148"/>
      <c r="WHU292" s="148"/>
      <c r="WHV292" s="148"/>
      <c r="WHW292" s="148"/>
      <c r="WHX292" s="148"/>
      <c r="WHY292" s="148"/>
      <c r="WHZ292" s="148"/>
      <c r="WIA292" s="148"/>
      <c r="WIB292" s="148"/>
      <c r="WIC292" s="148"/>
      <c r="WID292" s="148"/>
      <c r="WIE292" s="148"/>
      <c r="WIF292" s="148"/>
      <c r="WIG292" s="148"/>
      <c r="WIH292" s="148"/>
      <c r="WII292" s="148"/>
      <c r="WIJ292" s="148"/>
      <c r="WIK292" s="148"/>
      <c r="WIL292" s="148"/>
      <c r="WIM292" s="148"/>
      <c r="WIN292" s="148"/>
      <c r="WIO292" s="148"/>
      <c r="WIP292" s="148"/>
      <c r="WIQ292" s="148"/>
      <c r="WIR292" s="148"/>
      <c r="WIS292" s="148"/>
      <c r="WIT292" s="148"/>
      <c r="WIU292" s="148"/>
      <c r="WIV292" s="148"/>
      <c r="WIW292" s="148"/>
      <c r="WIX292" s="148"/>
      <c r="WIY292" s="148"/>
      <c r="WIZ292" s="148"/>
      <c r="WJA292" s="148"/>
      <c r="WJB292" s="148"/>
      <c r="WJC292" s="148"/>
      <c r="WJD292" s="148"/>
      <c r="WJE292" s="148"/>
      <c r="WJF292" s="148"/>
      <c r="WJG292" s="148"/>
      <c r="WJH292" s="148"/>
      <c r="WJI292" s="148"/>
      <c r="WJJ292" s="148"/>
      <c r="WJK292" s="148"/>
      <c r="WJL292" s="148"/>
      <c r="WJM292" s="148"/>
      <c r="WJN292" s="148"/>
      <c r="WJO292" s="148"/>
      <c r="WJP292" s="148"/>
      <c r="WJQ292" s="148"/>
      <c r="WJR292" s="148"/>
      <c r="WJS292" s="148"/>
      <c r="WJT292" s="148"/>
      <c r="WJU292" s="148"/>
      <c r="WJV292" s="148"/>
      <c r="WJW292" s="148"/>
      <c r="WJX292" s="148"/>
      <c r="WJY292" s="148"/>
      <c r="WJZ292" s="148"/>
      <c r="WKA292" s="148"/>
      <c r="WKB292" s="148"/>
      <c r="WKC292" s="148"/>
      <c r="WKD292" s="148"/>
      <c r="WKE292" s="148"/>
      <c r="WKF292" s="148"/>
      <c r="WKG292" s="148"/>
      <c r="WKH292" s="148"/>
      <c r="WKI292" s="148"/>
      <c r="WKJ292" s="148"/>
      <c r="WKK292" s="148"/>
      <c r="WKL292" s="148"/>
      <c r="WKM292" s="148"/>
      <c r="WKN292" s="148"/>
      <c r="WKO292" s="148"/>
      <c r="WKP292" s="148"/>
      <c r="WKQ292" s="148"/>
      <c r="WKR292" s="148"/>
      <c r="WKS292" s="148"/>
      <c r="WKT292" s="148"/>
      <c r="WKU292" s="148"/>
      <c r="WKV292" s="148"/>
      <c r="WKW292" s="148"/>
      <c r="WKX292" s="148"/>
      <c r="WKY292" s="148"/>
      <c r="WKZ292" s="148"/>
      <c r="WLA292" s="148"/>
      <c r="WLB292" s="148"/>
      <c r="WLC292" s="148"/>
      <c r="WLD292" s="148"/>
      <c r="WLE292" s="148"/>
      <c r="WLF292" s="148"/>
      <c r="WLG292" s="148"/>
      <c r="WLH292" s="148"/>
      <c r="WLI292" s="148"/>
      <c r="WLJ292" s="148"/>
      <c r="WLK292" s="148"/>
      <c r="WLL292" s="148"/>
      <c r="WLM292" s="148"/>
      <c r="WLN292" s="148"/>
      <c r="WLO292" s="148"/>
      <c r="WLP292" s="148"/>
      <c r="WLQ292" s="148"/>
      <c r="WLR292" s="148"/>
      <c r="WLS292" s="148"/>
      <c r="WLT292" s="148"/>
      <c r="WLU292" s="148"/>
      <c r="WLV292" s="148"/>
      <c r="WLW292" s="148"/>
      <c r="WLX292" s="148"/>
      <c r="WLY292" s="148"/>
      <c r="WLZ292" s="148"/>
      <c r="WMA292" s="148"/>
      <c r="WMB292" s="148"/>
      <c r="WMC292" s="148"/>
      <c r="WMD292" s="148"/>
      <c r="WME292" s="148"/>
      <c r="WMF292" s="148"/>
      <c r="WMG292" s="148"/>
      <c r="WMH292" s="148"/>
      <c r="WMI292" s="148"/>
      <c r="WMJ292" s="148"/>
      <c r="WMK292" s="148"/>
      <c r="WML292" s="148"/>
      <c r="WMM292" s="148"/>
      <c r="WMN292" s="148"/>
      <c r="WMO292" s="148"/>
      <c r="WMP292" s="148"/>
      <c r="WMQ292" s="148"/>
      <c r="WMR292" s="148"/>
      <c r="WMS292" s="148"/>
      <c r="WMT292" s="148"/>
      <c r="WMU292" s="148"/>
      <c r="WMV292" s="148"/>
      <c r="WMW292" s="148"/>
      <c r="WMX292" s="148"/>
      <c r="WMY292" s="148"/>
      <c r="WMZ292" s="148"/>
      <c r="WNA292" s="148"/>
      <c r="WNB292" s="148"/>
      <c r="WNC292" s="148"/>
      <c r="WND292" s="148"/>
      <c r="WNE292" s="148"/>
      <c r="WNF292" s="148"/>
      <c r="WNG292" s="148"/>
      <c r="WNH292" s="148"/>
      <c r="WNI292" s="148"/>
      <c r="WNJ292" s="148"/>
      <c r="WNK292" s="148"/>
      <c r="WNL292" s="148"/>
      <c r="WNM292" s="148"/>
      <c r="WNN292" s="148"/>
      <c r="WNO292" s="148"/>
      <c r="WNP292" s="148"/>
      <c r="WNQ292" s="148"/>
      <c r="WNR292" s="148"/>
      <c r="WNS292" s="148"/>
      <c r="WNT292" s="148"/>
      <c r="WNU292" s="148"/>
      <c r="WNV292" s="148"/>
      <c r="WNW292" s="148"/>
      <c r="WNX292" s="148"/>
      <c r="WNY292" s="148"/>
      <c r="WNZ292" s="148"/>
      <c r="WOA292" s="148"/>
      <c r="WOB292" s="148"/>
      <c r="WOC292" s="148"/>
      <c r="WOD292" s="148"/>
      <c r="WOE292" s="148"/>
      <c r="WOF292" s="148"/>
      <c r="WOG292" s="148"/>
      <c r="WOH292" s="148"/>
      <c r="WOI292" s="148"/>
      <c r="WOJ292" s="148"/>
      <c r="WOK292" s="148"/>
      <c r="WOL292" s="148"/>
      <c r="WOM292" s="148"/>
      <c r="WON292" s="148"/>
      <c r="WOO292" s="148"/>
      <c r="WOP292" s="148"/>
      <c r="WOQ292" s="148"/>
      <c r="WOR292" s="148"/>
      <c r="WOS292" s="148"/>
      <c r="WOT292" s="148"/>
      <c r="WOU292" s="148"/>
      <c r="WOV292" s="148"/>
      <c r="WOW292" s="148"/>
      <c r="WOX292" s="148"/>
      <c r="WOY292" s="148"/>
      <c r="WOZ292" s="148"/>
      <c r="WPA292" s="148"/>
      <c r="WPB292" s="148"/>
      <c r="WPC292" s="148"/>
      <c r="WPD292" s="148"/>
      <c r="WPE292" s="148"/>
      <c r="WPF292" s="148"/>
      <c r="WPG292" s="148"/>
      <c r="WPH292" s="148"/>
      <c r="WPI292" s="148"/>
      <c r="WPJ292" s="148"/>
      <c r="WPK292" s="148"/>
      <c r="WPL292" s="148"/>
      <c r="WPM292" s="148"/>
      <c r="WPN292" s="148"/>
      <c r="WPO292" s="148"/>
      <c r="WPP292" s="148"/>
      <c r="WPQ292" s="148"/>
      <c r="WPR292" s="148"/>
      <c r="WPS292" s="148"/>
      <c r="WPT292" s="148"/>
      <c r="WPU292" s="148"/>
      <c r="WPV292" s="148"/>
      <c r="WPW292" s="148"/>
      <c r="WPX292" s="148"/>
      <c r="WPY292" s="148"/>
      <c r="WPZ292" s="148"/>
      <c r="WQA292" s="148"/>
      <c r="WQB292" s="148"/>
      <c r="WQC292" s="148"/>
      <c r="WQD292" s="148"/>
      <c r="WQE292" s="148"/>
      <c r="WQF292" s="148"/>
      <c r="WQG292" s="148"/>
      <c r="WQH292" s="148"/>
      <c r="WQI292" s="148"/>
      <c r="WQJ292" s="148"/>
      <c r="WQK292" s="148"/>
      <c r="WQL292" s="148"/>
      <c r="WQM292" s="148"/>
      <c r="WQN292" s="148"/>
      <c r="WQO292" s="148"/>
      <c r="WQP292" s="148"/>
      <c r="WQQ292" s="148"/>
      <c r="WQR292" s="148"/>
      <c r="WQS292" s="148"/>
      <c r="WQT292" s="148"/>
      <c r="WQU292" s="148"/>
      <c r="WQV292" s="148"/>
      <c r="WQW292" s="148"/>
      <c r="WQX292" s="148"/>
      <c r="WQY292" s="148"/>
      <c r="WQZ292" s="148"/>
      <c r="WRA292" s="148"/>
      <c r="WRB292" s="148"/>
      <c r="WRC292" s="148"/>
      <c r="WRD292" s="148"/>
      <c r="WRE292" s="148"/>
      <c r="WRF292" s="148"/>
      <c r="WRG292" s="148"/>
      <c r="WRH292" s="148"/>
      <c r="WRI292" s="148"/>
      <c r="WRJ292" s="148"/>
      <c r="WRK292" s="148"/>
      <c r="WRL292" s="148"/>
      <c r="WRM292" s="148"/>
      <c r="WRN292" s="148"/>
      <c r="WRO292" s="148"/>
      <c r="WRP292" s="148"/>
      <c r="WRQ292" s="148"/>
      <c r="WRR292" s="148"/>
      <c r="WRS292" s="148"/>
      <c r="WRT292" s="148"/>
      <c r="WRU292" s="148"/>
      <c r="WRV292" s="148"/>
      <c r="WRW292" s="148"/>
      <c r="WRX292" s="148"/>
      <c r="WRY292" s="148"/>
      <c r="WRZ292" s="148"/>
      <c r="WSA292" s="148"/>
      <c r="WSB292" s="148"/>
      <c r="WSC292" s="148"/>
      <c r="WSD292" s="148"/>
      <c r="WSE292" s="148"/>
      <c r="WSF292" s="148"/>
      <c r="WSG292" s="148"/>
      <c r="WSH292" s="148"/>
      <c r="WSI292" s="148"/>
      <c r="WSJ292" s="148"/>
      <c r="WSK292" s="148"/>
      <c r="WSL292" s="148"/>
      <c r="WSM292" s="148"/>
      <c r="WSN292" s="148"/>
      <c r="WSO292" s="148"/>
      <c r="WSP292" s="148"/>
      <c r="WSQ292" s="148"/>
      <c r="WSR292" s="148"/>
      <c r="WSS292" s="148"/>
      <c r="WST292" s="148"/>
      <c r="WSU292" s="148"/>
      <c r="WSV292" s="148"/>
      <c r="WSW292" s="148"/>
      <c r="WSX292" s="148"/>
      <c r="WSY292" s="148"/>
      <c r="WSZ292" s="148"/>
      <c r="WTA292" s="148"/>
      <c r="WTB292" s="148"/>
      <c r="WTC292" s="148"/>
      <c r="WTD292" s="148"/>
      <c r="WTE292" s="148"/>
      <c r="WTF292" s="148"/>
      <c r="WTG292" s="148"/>
      <c r="WTH292" s="148"/>
      <c r="WTI292" s="148"/>
      <c r="WTJ292" s="148"/>
      <c r="WTK292" s="148"/>
      <c r="WTL292" s="148"/>
      <c r="WTM292" s="148"/>
      <c r="WTN292" s="148"/>
      <c r="WTO292" s="148"/>
      <c r="WTP292" s="148"/>
      <c r="WTQ292" s="148"/>
      <c r="WTR292" s="148"/>
      <c r="WTS292" s="148"/>
      <c r="WTT292" s="148"/>
      <c r="WTU292" s="148"/>
      <c r="WTV292" s="148"/>
      <c r="WTW292" s="148"/>
      <c r="WTX292" s="148"/>
      <c r="WTY292" s="148"/>
      <c r="WTZ292" s="148"/>
      <c r="WUA292" s="148"/>
      <c r="WUB292" s="148"/>
      <c r="WUC292" s="148"/>
      <c r="WUD292" s="148"/>
      <c r="WUE292" s="148"/>
      <c r="WUF292" s="148"/>
      <c r="WUG292" s="148"/>
      <c r="WUH292" s="148"/>
      <c r="WUI292" s="148"/>
      <c r="WUJ292" s="148"/>
      <c r="WUK292" s="148"/>
      <c r="WUL292" s="148"/>
      <c r="WUM292" s="148"/>
      <c r="WUN292" s="148"/>
      <c r="WUO292" s="148"/>
      <c r="WUP292" s="148"/>
      <c r="WUQ292" s="148"/>
      <c r="WUR292" s="148"/>
      <c r="WUS292" s="148"/>
      <c r="WUT292" s="148"/>
      <c r="WUU292" s="148"/>
      <c r="WUV292" s="148"/>
      <c r="WUW292" s="148"/>
      <c r="WUX292" s="148"/>
      <c r="WUY292" s="148"/>
      <c r="WUZ292" s="148"/>
      <c r="WVA292" s="148"/>
      <c r="WVB292" s="148"/>
      <c r="WVC292" s="148"/>
      <c r="WVD292" s="148"/>
      <c r="WVE292" s="148"/>
      <c r="WVF292" s="148"/>
      <c r="WVG292" s="148"/>
      <c r="WVH292" s="148"/>
      <c r="WVI292" s="148"/>
      <c r="WVJ292" s="148"/>
      <c r="WVK292" s="148"/>
      <c r="WVL292" s="148"/>
      <c r="WVM292" s="148"/>
      <c r="WVN292" s="148"/>
      <c r="WVO292" s="148"/>
      <c r="WVP292" s="148"/>
      <c r="WVQ292" s="148"/>
      <c r="WVR292" s="148"/>
      <c r="WVS292" s="148"/>
      <c r="WVT292" s="148"/>
      <c r="WVU292" s="148"/>
      <c r="WVV292" s="148"/>
      <c r="WVW292" s="148"/>
      <c r="WVX292" s="148"/>
      <c r="WVY292" s="148"/>
      <c r="WVZ292" s="148"/>
      <c r="WWA292" s="148"/>
      <c r="WWB292" s="148"/>
      <c r="WWC292" s="148"/>
      <c r="WWD292" s="148"/>
      <c r="WWE292" s="148"/>
      <c r="WWF292" s="148"/>
      <c r="WWG292" s="148"/>
      <c r="WWH292" s="148"/>
      <c r="WWI292" s="148"/>
      <c r="WWJ292" s="148"/>
      <c r="WWK292" s="148"/>
      <c r="WWL292" s="148"/>
      <c r="WWM292" s="148"/>
      <c r="WWN292" s="148"/>
      <c r="WWO292" s="148"/>
      <c r="WWP292" s="148"/>
      <c r="WWQ292" s="148"/>
      <c r="WWR292" s="148"/>
      <c r="WWS292" s="148"/>
      <c r="WWT292" s="148"/>
      <c r="WWU292" s="148"/>
      <c r="WWV292" s="148"/>
      <c r="WWW292" s="148"/>
      <c r="WWX292" s="148"/>
      <c r="WWY292" s="148"/>
      <c r="WWZ292" s="148"/>
      <c r="WXA292" s="148"/>
      <c r="WXB292" s="148"/>
      <c r="WXC292" s="148"/>
      <c r="WXD292" s="148"/>
      <c r="WXE292" s="148"/>
      <c r="WXF292" s="148"/>
      <c r="WXG292" s="148"/>
      <c r="WXH292" s="148"/>
      <c r="WXI292" s="148"/>
      <c r="WXJ292" s="148"/>
      <c r="WXK292" s="148"/>
      <c r="WXL292" s="148"/>
      <c r="WXM292" s="148"/>
      <c r="WXN292" s="148"/>
      <c r="WXO292" s="148"/>
      <c r="WXP292" s="148"/>
      <c r="WXQ292" s="148"/>
      <c r="WXR292" s="148"/>
      <c r="WXS292" s="148"/>
      <c r="WXT292" s="148"/>
      <c r="WXU292" s="148"/>
      <c r="WXV292" s="148"/>
      <c r="WXW292" s="148"/>
      <c r="WXX292" s="148"/>
      <c r="WXY292" s="148"/>
      <c r="WXZ292" s="148"/>
      <c r="WYA292" s="148"/>
      <c r="WYB292" s="148"/>
      <c r="WYC292" s="148"/>
      <c r="WYD292" s="148"/>
      <c r="WYE292" s="148"/>
      <c r="WYF292" s="148"/>
      <c r="WYG292" s="148"/>
      <c r="WYH292" s="148"/>
      <c r="WYI292" s="148"/>
      <c r="WYJ292" s="148"/>
      <c r="WYK292" s="148"/>
      <c r="WYL292" s="148"/>
      <c r="WYM292" s="148"/>
      <c r="WYN292" s="148"/>
      <c r="WYO292" s="148"/>
      <c r="WYP292" s="148"/>
      <c r="WYQ292" s="148"/>
      <c r="WYR292" s="148"/>
      <c r="WYS292" s="148"/>
      <c r="WYT292" s="148"/>
      <c r="WYU292" s="148"/>
      <c r="WYV292" s="148"/>
      <c r="WYW292" s="148"/>
      <c r="WYX292" s="148"/>
      <c r="WYY292" s="148"/>
      <c r="WYZ292" s="148"/>
      <c r="WZA292" s="148"/>
      <c r="WZB292" s="148"/>
      <c r="WZC292" s="148"/>
      <c r="WZD292" s="148"/>
      <c r="WZE292" s="148"/>
      <c r="WZF292" s="148"/>
      <c r="WZG292" s="148"/>
      <c r="WZH292" s="148"/>
      <c r="WZI292" s="148"/>
      <c r="WZJ292" s="148"/>
      <c r="WZK292" s="148"/>
      <c r="WZL292" s="148"/>
      <c r="WZM292" s="148"/>
      <c r="WZN292" s="148"/>
      <c r="WZO292" s="148"/>
      <c r="WZP292" s="148"/>
      <c r="WZQ292" s="148"/>
      <c r="WZR292" s="148"/>
      <c r="WZS292" s="148"/>
      <c r="WZT292" s="148"/>
      <c r="WZU292" s="148"/>
      <c r="WZV292" s="148"/>
      <c r="WZW292" s="148"/>
      <c r="WZX292" s="148"/>
      <c r="WZY292" s="148"/>
      <c r="WZZ292" s="148"/>
      <c r="XAA292" s="148"/>
      <c r="XAB292" s="148"/>
      <c r="XAC292" s="148"/>
      <c r="XAD292" s="148"/>
      <c r="XAE292" s="148"/>
      <c r="XAF292" s="148"/>
      <c r="XAG292" s="148"/>
      <c r="XAH292" s="148"/>
      <c r="XAI292" s="148"/>
      <c r="XAJ292" s="148"/>
      <c r="XAK292" s="148"/>
      <c r="XAL292" s="148"/>
      <c r="XAM292" s="148"/>
      <c r="XAN292" s="148"/>
      <c r="XAO292" s="148"/>
      <c r="XAP292" s="148"/>
      <c r="XAQ292" s="148"/>
      <c r="XAR292" s="148"/>
      <c r="XAS292" s="148"/>
      <c r="XAT292" s="148"/>
      <c r="XAU292" s="148"/>
      <c r="XAV292" s="148"/>
      <c r="XAW292" s="148"/>
      <c r="XAX292" s="148"/>
      <c r="XAY292" s="148"/>
      <c r="XAZ292" s="148"/>
      <c r="XBA292" s="148"/>
      <c r="XBB292" s="148"/>
      <c r="XBC292" s="148"/>
      <c r="XBD292" s="148"/>
      <c r="XBE292" s="148"/>
      <c r="XBF292" s="148"/>
      <c r="XBG292" s="148"/>
      <c r="XBH292" s="148"/>
      <c r="XBI292" s="148"/>
      <c r="XBJ292" s="148"/>
      <c r="XBK292" s="148"/>
      <c r="XBL292" s="148"/>
      <c r="XBM292" s="148"/>
      <c r="XBN292" s="148"/>
      <c r="XBO292" s="148"/>
      <c r="XBP292" s="148"/>
      <c r="XBQ292" s="148"/>
      <c r="XBR292" s="148"/>
      <c r="XBS292" s="148"/>
      <c r="XBT292" s="148"/>
      <c r="XBU292" s="148"/>
      <c r="XBV292" s="148"/>
      <c r="XBW292" s="148"/>
      <c r="XBX292" s="148"/>
      <c r="XBY292" s="148"/>
      <c r="XBZ292" s="148"/>
      <c r="XCA292" s="148"/>
      <c r="XCB292" s="148"/>
      <c r="XCC292" s="148"/>
      <c r="XCD292" s="148"/>
      <c r="XCE292" s="148"/>
      <c r="XCF292" s="148"/>
      <c r="XCG292" s="148"/>
      <c r="XCH292" s="148"/>
      <c r="XCI292" s="148"/>
      <c r="XCJ292" s="148"/>
      <c r="XCK292" s="148"/>
      <c r="XCL292" s="148"/>
      <c r="XCM292" s="148"/>
      <c r="XCN292" s="148"/>
      <c r="XCO292" s="148"/>
      <c r="XCP292" s="148"/>
      <c r="XCQ292" s="148"/>
      <c r="XCR292" s="148"/>
      <c r="XCS292" s="148"/>
      <c r="XCT292" s="148"/>
      <c r="XCU292" s="148"/>
      <c r="XCV292" s="148"/>
      <c r="XCW292" s="148"/>
      <c r="XCX292" s="148"/>
      <c r="XCY292" s="148"/>
      <c r="XCZ292" s="148"/>
      <c r="XDA292" s="148"/>
      <c r="XDB292" s="148"/>
      <c r="XDC292" s="148"/>
      <c r="XDD292" s="148"/>
      <c r="XDE292" s="148"/>
      <c r="XDF292" s="148"/>
      <c r="XDG292" s="148"/>
      <c r="XDH292" s="148"/>
      <c r="XDI292" s="148"/>
      <c r="XDJ292" s="148"/>
      <c r="XDK292" s="148"/>
      <c r="XDL292" s="148"/>
      <c r="XDM292" s="148"/>
      <c r="XDN292" s="148"/>
      <c r="XDO292" s="148"/>
      <c r="XDP292" s="148"/>
      <c r="XDQ292" s="148"/>
      <c r="XDR292" s="148"/>
      <c r="XDS292" s="148"/>
      <c r="XDT292" s="148"/>
      <c r="XDU292" s="148"/>
      <c r="XDV292" s="148"/>
      <c r="XDW292" s="148"/>
      <c r="XDX292" s="148"/>
      <c r="XDY292" s="148"/>
      <c r="XDZ292" s="148"/>
      <c r="XEA292" s="148"/>
      <c r="XEB292" s="148"/>
      <c r="XEC292" s="148"/>
      <c r="XED292" s="148"/>
      <c r="XEE292" s="148"/>
      <c r="XEF292" s="148"/>
      <c r="XEG292" s="148"/>
      <c r="XEH292" s="148"/>
      <c r="XEI292" s="148"/>
      <c r="XEJ292" s="148"/>
      <c r="XEK292" s="148"/>
      <c r="XEL292" s="148"/>
      <c r="XEM292" s="148"/>
      <c r="XEN292" s="148"/>
      <c r="XEO292" s="148"/>
      <c r="XEP292" s="148"/>
      <c r="XEQ292" s="148"/>
      <c r="XER292" s="148"/>
      <c r="XES292" s="148"/>
      <c r="XET292" s="148"/>
      <c r="XEU292" s="148"/>
      <c r="XEV292" s="148"/>
      <c r="XEW292" s="148"/>
    </row>
    <row r="293" s="176" customFormat="1" ht="16" customHeight="1" spans="1:16377">
      <c r="A293" s="109">
        <v>291</v>
      </c>
      <c r="B293" s="6" t="s">
        <v>9015</v>
      </c>
      <c r="C293" s="6" t="s">
        <v>9566</v>
      </c>
      <c r="D293" s="6" t="s">
        <v>9567</v>
      </c>
      <c r="E293" s="6">
        <v>2020</v>
      </c>
      <c r="F293" s="6">
        <v>2020</v>
      </c>
      <c r="G293" s="6" t="s">
        <v>16</v>
      </c>
      <c r="H293" s="6" t="s">
        <v>9565</v>
      </c>
      <c r="I293" s="6">
        <v>1000</v>
      </c>
      <c r="J293" s="6"/>
      <c r="K293" s="6"/>
      <c r="L293" s="105">
        <v>20201118</v>
      </c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  <c r="CJ293" s="148"/>
      <c r="CK293" s="148"/>
      <c r="CL293" s="148"/>
      <c r="CM293" s="148"/>
      <c r="CN293" s="148"/>
      <c r="CO293" s="148"/>
      <c r="CP293" s="148"/>
      <c r="CQ293" s="148"/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  <c r="DB293" s="148"/>
      <c r="DC293" s="148"/>
      <c r="DD293" s="148"/>
      <c r="DE293" s="148"/>
      <c r="DF293" s="148"/>
      <c r="DG293" s="148"/>
      <c r="DH293" s="148"/>
      <c r="DI293" s="148"/>
      <c r="DJ293" s="148"/>
      <c r="DK293" s="148"/>
      <c r="DL293" s="148"/>
      <c r="DM293" s="148"/>
      <c r="DN293" s="148"/>
      <c r="DO293" s="148"/>
      <c r="DP293" s="148"/>
      <c r="DQ293" s="148"/>
      <c r="DR293" s="148"/>
      <c r="DS293" s="148"/>
      <c r="DT293" s="148"/>
      <c r="DU293" s="148"/>
      <c r="DV293" s="148"/>
      <c r="DW293" s="148"/>
      <c r="DX293" s="148"/>
      <c r="DY293" s="148"/>
      <c r="DZ293" s="148"/>
      <c r="EA293" s="148"/>
      <c r="EB293" s="148"/>
      <c r="EC293" s="148"/>
      <c r="ED293" s="148"/>
      <c r="EE293" s="148"/>
      <c r="EF293" s="148"/>
      <c r="EG293" s="148"/>
      <c r="EH293" s="148"/>
      <c r="EI293" s="148"/>
      <c r="EJ293" s="148"/>
      <c r="EK293" s="148"/>
      <c r="EL293" s="148"/>
      <c r="EM293" s="148"/>
      <c r="EN293" s="148"/>
      <c r="EO293" s="148"/>
      <c r="EP293" s="148"/>
      <c r="EQ293" s="148"/>
      <c r="ER293" s="148"/>
      <c r="ES293" s="148"/>
      <c r="ET293" s="148"/>
      <c r="EU293" s="148"/>
      <c r="EV293" s="148"/>
      <c r="EW293" s="148"/>
      <c r="EX293" s="148"/>
      <c r="EY293" s="148"/>
      <c r="EZ293" s="148"/>
      <c r="FA293" s="148"/>
      <c r="FB293" s="148"/>
      <c r="FC293" s="148"/>
      <c r="FD293" s="148"/>
      <c r="FE293" s="148"/>
      <c r="FF293" s="148"/>
      <c r="FG293" s="148"/>
      <c r="FH293" s="148"/>
      <c r="FI293" s="148"/>
      <c r="FJ293" s="148"/>
      <c r="FK293" s="148"/>
      <c r="FL293" s="148"/>
      <c r="FM293" s="148"/>
      <c r="FN293" s="148"/>
      <c r="FO293" s="148"/>
      <c r="FP293" s="148"/>
      <c r="FQ293" s="148"/>
      <c r="FR293" s="148"/>
      <c r="FS293" s="148"/>
      <c r="FT293" s="148"/>
      <c r="FU293" s="148"/>
      <c r="FV293" s="148"/>
      <c r="FW293" s="148"/>
      <c r="FX293" s="148"/>
      <c r="FY293" s="148"/>
      <c r="FZ293" s="148"/>
      <c r="GA293" s="148"/>
      <c r="GB293" s="148"/>
      <c r="GC293" s="148"/>
      <c r="GD293" s="148"/>
      <c r="GE293" s="148"/>
      <c r="GF293" s="148"/>
      <c r="GG293" s="148"/>
      <c r="GH293" s="148"/>
      <c r="GI293" s="148"/>
      <c r="GJ293" s="148"/>
      <c r="GK293" s="148"/>
      <c r="GL293" s="148"/>
      <c r="GM293" s="148"/>
      <c r="GN293" s="148"/>
      <c r="GO293" s="148"/>
      <c r="GP293" s="148"/>
      <c r="GQ293" s="148"/>
      <c r="GR293" s="148"/>
      <c r="GS293" s="148"/>
      <c r="GT293" s="148"/>
      <c r="GU293" s="148"/>
      <c r="GV293" s="148"/>
      <c r="GW293" s="148"/>
      <c r="GX293" s="148"/>
      <c r="GY293" s="148"/>
      <c r="GZ293" s="148"/>
      <c r="HA293" s="148"/>
      <c r="HB293" s="148"/>
      <c r="HC293" s="148"/>
      <c r="HD293" s="148"/>
      <c r="HE293" s="148"/>
      <c r="HF293" s="148"/>
      <c r="HG293" s="148"/>
      <c r="HH293" s="148"/>
      <c r="HI293" s="148"/>
      <c r="HJ293" s="148"/>
      <c r="HK293" s="148"/>
      <c r="HL293" s="148"/>
      <c r="HM293" s="148"/>
      <c r="HN293" s="148"/>
      <c r="HO293" s="148"/>
      <c r="HP293" s="148"/>
      <c r="HQ293" s="148"/>
      <c r="HR293" s="148"/>
      <c r="HS293" s="148"/>
      <c r="HT293" s="148"/>
      <c r="HU293" s="148"/>
      <c r="HV293" s="148"/>
      <c r="HW293" s="148"/>
      <c r="HX293" s="148"/>
      <c r="HY293" s="148"/>
      <c r="HZ293" s="148"/>
      <c r="IA293" s="148"/>
      <c r="IB293" s="148"/>
      <c r="IC293" s="148"/>
      <c r="ID293" s="148"/>
      <c r="IE293" s="148"/>
      <c r="IF293" s="148"/>
      <c r="IG293" s="148"/>
      <c r="IH293" s="148"/>
      <c r="II293" s="148"/>
      <c r="IJ293" s="148"/>
      <c r="IK293" s="148"/>
      <c r="IL293" s="148"/>
      <c r="IM293" s="148"/>
      <c r="IN293" s="148"/>
      <c r="IO293" s="148"/>
      <c r="IP293" s="148"/>
      <c r="IQ293" s="148"/>
      <c r="IR293" s="148"/>
      <c r="IS293" s="148"/>
      <c r="IT293" s="148"/>
      <c r="IU293" s="148"/>
      <c r="IV293" s="148"/>
      <c r="IW293" s="148"/>
      <c r="IX293" s="148"/>
      <c r="IY293" s="148"/>
      <c r="IZ293" s="148"/>
      <c r="JA293" s="148"/>
      <c r="JB293" s="148"/>
      <c r="JC293" s="148"/>
      <c r="JD293" s="148"/>
      <c r="JE293" s="148"/>
      <c r="JF293" s="148"/>
      <c r="JG293" s="148"/>
      <c r="JH293" s="148"/>
      <c r="JI293" s="148"/>
      <c r="JJ293" s="148"/>
      <c r="JK293" s="148"/>
      <c r="JL293" s="148"/>
      <c r="JM293" s="148"/>
      <c r="JN293" s="148"/>
      <c r="JO293" s="148"/>
      <c r="JP293" s="148"/>
      <c r="JQ293" s="148"/>
      <c r="JR293" s="148"/>
      <c r="JS293" s="148"/>
      <c r="JT293" s="148"/>
      <c r="JU293" s="148"/>
      <c r="JV293" s="148"/>
      <c r="JW293" s="148"/>
      <c r="JX293" s="148"/>
      <c r="JY293" s="148"/>
      <c r="JZ293" s="148"/>
      <c r="KA293" s="148"/>
      <c r="KB293" s="148"/>
      <c r="KC293" s="148"/>
      <c r="KD293" s="148"/>
      <c r="KE293" s="148"/>
      <c r="KF293" s="148"/>
      <c r="KG293" s="148"/>
      <c r="KH293" s="148"/>
      <c r="KI293" s="148"/>
      <c r="KJ293" s="148"/>
      <c r="KK293" s="148"/>
      <c r="KL293" s="148"/>
      <c r="KM293" s="148"/>
      <c r="KN293" s="148"/>
      <c r="KO293" s="148"/>
      <c r="KP293" s="148"/>
      <c r="KQ293" s="148"/>
      <c r="KR293" s="148"/>
      <c r="KS293" s="148"/>
      <c r="KT293" s="148"/>
      <c r="KU293" s="148"/>
      <c r="KV293" s="148"/>
      <c r="KW293" s="148"/>
      <c r="KX293" s="148"/>
      <c r="KY293" s="148"/>
      <c r="KZ293" s="148"/>
      <c r="LA293" s="148"/>
      <c r="LB293" s="148"/>
      <c r="LC293" s="148"/>
      <c r="LD293" s="148"/>
      <c r="LE293" s="148"/>
      <c r="LF293" s="148"/>
      <c r="LG293" s="148"/>
      <c r="LH293" s="148"/>
      <c r="LI293" s="148"/>
      <c r="LJ293" s="148"/>
      <c r="LK293" s="148"/>
      <c r="LL293" s="148"/>
      <c r="LM293" s="148"/>
      <c r="LN293" s="148"/>
      <c r="LO293" s="148"/>
      <c r="LP293" s="148"/>
      <c r="LQ293" s="148"/>
      <c r="LR293" s="148"/>
      <c r="LS293" s="148"/>
      <c r="LT293" s="148"/>
      <c r="LU293" s="148"/>
      <c r="LV293" s="148"/>
      <c r="LW293" s="148"/>
      <c r="LX293" s="148"/>
      <c r="LY293" s="148"/>
      <c r="LZ293" s="148"/>
      <c r="MA293" s="148"/>
      <c r="MB293" s="148"/>
      <c r="MC293" s="148"/>
      <c r="MD293" s="148"/>
      <c r="ME293" s="148"/>
      <c r="MF293" s="148"/>
      <c r="MG293" s="148"/>
      <c r="MH293" s="148"/>
      <c r="MI293" s="148"/>
      <c r="MJ293" s="148"/>
      <c r="MK293" s="148"/>
      <c r="ML293" s="148"/>
      <c r="MM293" s="148"/>
      <c r="MN293" s="148"/>
      <c r="MO293" s="148"/>
      <c r="MP293" s="148"/>
      <c r="MQ293" s="148"/>
      <c r="MR293" s="148"/>
      <c r="MS293" s="148"/>
      <c r="MT293" s="148"/>
      <c r="MU293" s="148"/>
      <c r="MV293" s="148"/>
      <c r="MW293" s="148"/>
      <c r="MX293" s="148"/>
      <c r="MY293" s="148"/>
      <c r="MZ293" s="148"/>
      <c r="NA293" s="148"/>
      <c r="NB293" s="148"/>
      <c r="NC293" s="148"/>
      <c r="ND293" s="148"/>
      <c r="NE293" s="148"/>
      <c r="NF293" s="148"/>
      <c r="NG293" s="148"/>
      <c r="NH293" s="148"/>
      <c r="NI293" s="148"/>
      <c r="NJ293" s="148"/>
      <c r="NK293" s="148"/>
      <c r="NL293" s="148"/>
      <c r="NM293" s="148"/>
      <c r="NN293" s="148"/>
      <c r="NO293" s="148"/>
      <c r="NP293" s="148"/>
      <c r="NQ293" s="148"/>
      <c r="NR293" s="148"/>
      <c r="NS293" s="148"/>
      <c r="NT293" s="148"/>
      <c r="NU293" s="148"/>
      <c r="NV293" s="148"/>
      <c r="NW293" s="148"/>
      <c r="NX293" s="148"/>
      <c r="NY293" s="148"/>
      <c r="NZ293" s="148"/>
      <c r="OA293" s="148"/>
      <c r="OB293" s="148"/>
      <c r="OC293" s="148"/>
      <c r="OD293" s="148"/>
      <c r="OE293" s="148"/>
      <c r="OF293" s="148"/>
      <c r="OG293" s="148"/>
      <c r="OH293" s="148"/>
      <c r="OI293" s="148"/>
      <c r="OJ293" s="148"/>
      <c r="OK293" s="148"/>
      <c r="OL293" s="148"/>
      <c r="OM293" s="148"/>
      <c r="ON293" s="148"/>
      <c r="OO293" s="148"/>
      <c r="OP293" s="148"/>
      <c r="OQ293" s="148"/>
      <c r="OR293" s="148"/>
      <c r="OS293" s="148"/>
      <c r="OT293" s="148"/>
      <c r="OU293" s="148"/>
      <c r="OV293" s="148"/>
      <c r="OW293" s="148"/>
      <c r="OX293" s="148"/>
      <c r="OY293" s="148"/>
      <c r="OZ293" s="148"/>
      <c r="PA293" s="148"/>
      <c r="PB293" s="148"/>
      <c r="PC293" s="148"/>
      <c r="PD293" s="148"/>
      <c r="PE293" s="148"/>
      <c r="PF293" s="148"/>
      <c r="PG293" s="148"/>
      <c r="PH293" s="148"/>
      <c r="PI293" s="148"/>
      <c r="PJ293" s="148"/>
      <c r="PK293" s="148"/>
      <c r="PL293" s="148"/>
      <c r="PM293" s="148"/>
      <c r="PN293" s="148"/>
      <c r="PO293" s="148"/>
      <c r="PP293" s="148"/>
      <c r="PQ293" s="148"/>
      <c r="PR293" s="148"/>
      <c r="PS293" s="148"/>
      <c r="PT293" s="148"/>
      <c r="PU293" s="148"/>
      <c r="PV293" s="148"/>
      <c r="PW293" s="148"/>
      <c r="PX293" s="148"/>
      <c r="PY293" s="148"/>
      <c r="PZ293" s="148"/>
      <c r="QA293" s="148"/>
      <c r="QB293" s="148"/>
      <c r="QC293" s="148"/>
      <c r="QD293" s="148"/>
      <c r="QE293" s="148"/>
      <c r="QF293" s="148"/>
      <c r="QG293" s="148"/>
      <c r="QH293" s="148"/>
      <c r="QI293" s="148"/>
      <c r="QJ293" s="148"/>
      <c r="QK293" s="148"/>
      <c r="QL293" s="148"/>
      <c r="QM293" s="148"/>
      <c r="QN293" s="148"/>
      <c r="QO293" s="148"/>
      <c r="QP293" s="148"/>
      <c r="QQ293" s="148"/>
      <c r="QR293" s="148"/>
      <c r="QS293" s="148"/>
      <c r="QT293" s="148"/>
      <c r="QU293" s="148"/>
      <c r="QV293" s="148"/>
      <c r="QW293" s="148"/>
      <c r="QX293" s="148"/>
      <c r="QY293" s="148"/>
      <c r="QZ293" s="148"/>
      <c r="RA293" s="148"/>
      <c r="RB293" s="148"/>
      <c r="RC293" s="148"/>
      <c r="RD293" s="148"/>
      <c r="RE293" s="148"/>
      <c r="RF293" s="148"/>
      <c r="RG293" s="148"/>
      <c r="RH293" s="148"/>
      <c r="RI293" s="148"/>
      <c r="RJ293" s="148"/>
      <c r="RK293" s="148"/>
      <c r="RL293" s="148"/>
      <c r="RM293" s="148"/>
      <c r="RN293" s="148"/>
      <c r="RO293" s="148"/>
      <c r="RP293" s="148"/>
      <c r="RQ293" s="148"/>
      <c r="RR293" s="148"/>
      <c r="RS293" s="148"/>
      <c r="RT293" s="148"/>
      <c r="RU293" s="148"/>
      <c r="RV293" s="148"/>
      <c r="RW293" s="148"/>
      <c r="RX293" s="148"/>
      <c r="RY293" s="148"/>
      <c r="RZ293" s="148"/>
      <c r="SA293" s="148"/>
      <c r="SB293" s="148"/>
      <c r="SC293" s="148"/>
      <c r="SD293" s="148"/>
      <c r="SE293" s="148"/>
      <c r="SF293" s="148"/>
      <c r="SG293" s="148"/>
      <c r="SH293" s="148"/>
      <c r="SI293" s="148"/>
      <c r="SJ293" s="148"/>
      <c r="SK293" s="148"/>
      <c r="SL293" s="148"/>
      <c r="SM293" s="148"/>
      <c r="SN293" s="148"/>
      <c r="SO293" s="148"/>
      <c r="SP293" s="148"/>
      <c r="SQ293" s="148"/>
      <c r="SR293" s="148"/>
      <c r="SS293" s="148"/>
      <c r="ST293" s="148"/>
      <c r="SU293" s="148"/>
      <c r="SV293" s="148"/>
      <c r="SW293" s="148"/>
      <c r="SX293" s="148"/>
      <c r="SY293" s="148"/>
      <c r="SZ293" s="148"/>
      <c r="TA293" s="148"/>
      <c r="TB293" s="148"/>
      <c r="TC293" s="148"/>
      <c r="TD293" s="148"/>
      <c r="TE293" s="148"/>
      <c r="TF293" s="148"/>
      <c r="TG293" s="148"/>
      <c r="TH293" s="148"/>
      <c r="TI293" s="148"/>
      <c r="TJ293" s="148"/>
      <c r="TK293" s="148"/>
      <c r="TL293" s="148"/>
      <c r="TM293" s="148"/>
      <c r="TN293" s="148"/>
      <c r="TO293" s="148"/>
      <c r="TP293" s="148"/>
      <c r="TQ293" s="148"/>
      <c r="TR293" s="148"/>
      <c r="TS293" s="148"/>
      <c r="TT293" s="148"/>
      <c r="TU293" s="148"/>
      <c r="TV293" s="148"/>
      <c r="TW293" s="148"/>
      <c r="TX293" s="148"/>
      <c r="TY293" s="148"/>
      <c r="TZ293" s="148"/>
      <c r="UA293" s="148"/>
      <c r="UB293" s="148"/>
      <c r="UC293" s="148"/>
      <c r="UD293" s="148"/>
      <c r="UE293" s="148"/>
      <c r="UF293" s="148"/>
      <c r="UG293" s="148"/>
      <c r="UH293" s="148"/>
      <c r="UI293" s="148"/>
      <c r="UJ293" s="148"/>
      <c r="UK293" s="148"/>
      <c r="UL293" s="148"/>
      <c r="UM293" s="148"/>
      <c r="UN293" s="148"/>
      <c r="UO293" s="148"/>
      <c r="UP293" s="148"/>
      <c r="UQ293" s="148"/>
      <c r="UR293" s="148"/>
      <c r="US293" s="148"/>
      <c r="UT293" s="148"/>
      <c r="UU293" s="148"/>
      <c r="UV293" s="148"/>
      <c r="UW293" s="148"/>
      <c r="UX293" s="148"/>
      <c r="UY293" s="148"/>
      <c r="UZ293" s="148"/>
      <c r="VA293" s="148"/>
      <c r="VB293" s="148"/>
      <c r="VC293" s="148"/>
      <c r="VD293" s="148"/>
      <c r="VE293" s="148"/>
      <c r="VF293" s="148"/>
      <c r="VG293" s="148"/>
      <c r="VH293" s="148"/>
      <c r="VI293" s="148"/>
      <c r="VJ293" s="148"/>
      <c r="VK293" s="148"/>
      <c r="VL293" s="148"/>
      <c r="VM293" s="148"/>
      <c r="VN293" s="148"/>
      <c r="VO293" s="148"/>
      <c r="VP293" s="148"/>
      <c r="VQ293" s="148"/>
      <c r="VR293" s="148"/>
      <c r="VS293" s="148"/>
      <c r="VT293" s="148"/>
      <c r="VU293" s="148"/>
      <c r="VV293" s="148"/>
      <c r="VW293" s="148"/>
      <c r="VX293" s="148"/>
      <c r="VY293" s="148"/>
      <c r="VZ293" s="148"/>
      <c r="WA293" s="148"/>
      <c r="WB293" s="148"/>
      <c r="WC293" s="148"/>
      <c r="WD293" s="148"/>
      <c r="WE293" s="148"/>
      <c r="WF293" s="148"/>
      <c r="WG293" s="148"/>
      <c r="WH293" s="148"/>
      <c r="WI293" s="148"/>
      <c r="WJ293" s="148"/>
      <c r="WK293" s="148"/>
      <c r="WL293" s="148"/>
      <c r="WM293" s="148"/>
      <c r="WN293" s="148"/>
      <c r="WO293" s="148"/>
      <c r="WP293" s="148"/>
      <c r="WQ293" s="148"/>
      <c r="WR293" s="148"/>
      <c r="WS293" s="148"/>
      <c r="WT293" s="148"/>
      <c r="WU293" s="148"/>
      <c r="WV293" s="148"/>
      <c r="WW293" s="148"/>
      <c r="WX293" s="148"/>
      <c r="WY293" s="148"/>
      <c r="WZ293" s="148"/>
      <c r="XA293" s="148"/>
      <c r="XB293" s="148"/>
      <c r="XC293" s="148"/>
      <c r="XD293" s="148"/>
      <c r="XE293" s="148"/>
      <c r="XF293" s="148"/>
      <c r="XG293" s="148"/>
      <c r="XH293" s="148"/>
      <c r="XI293" s="148"/>
      <c r="XJ293" s="148"/>
      <c r="XK293" s="148"/>
      <c r="XL293" s="148"/>
      <c r="XM293" s="148"/>
      <c r="XN293" s="148"/>
      <c r="XO293" s="148"/>
      <c r="XP293" s="148"/>
      <c r="XQ293" s="148"/>
      <c r="XR293" s="148"/>
      <c r="XS293" s="148"/>
      <c r="XT293" s="148"/>
      <c r="XU293" s="148"/>
      <c r="XV293" s="148"/>
      <c r="XW293" s="148"/>
      <c r="XX293" s="148"/>
      <c r="XY293" s="148"/>
      <c r="XZ293" s="148"/>
      <c r="YA293" s="148"/>
      <c r="YB293" s="148"/>
      <c r="YC293" s="148"/>
      <c r="YD293" s="148"/>
      <c r="YE293" s="148"/>
      <c r="YF293" s="148"/>
      <c r="YG293" s="148"/>
      <c r="YH293" s="148"/>
      <c r="YI293" s="148"/>
      <c r="YJ293" s="148"/>
      <c r="YK293" s="148"/>
      <c r="YL293" s="148"/>
      <c r="YM293" s="148"/>
      <c r="YN293" s="148"/>
      <c r="YO293" s="148"/>
      <c r="YP293" s="148"/>
      <c r="YQ293" s="148"/>
      <c r="YR293" s="148"/>
      <c r="YS293" s="148"/>
      <c r="YT293" s="148"/>
      <c r="YU293" s="148"/>
      <c r="YV293" s="148"/>
      <c r="YW293" s="148"/>
      <c r="YX293" s="148"/>
      <c r="YY293" s="148"/>
      <c r="YZ293" s="148"/>
      <c r="ZA293" s="148"/>
      <c r="ZB293" s="148"/>
      <c r="ZC293" s="148"/>
      <c r="ZD293" s="148"/>
      <c r="ZE293" s="148"/>
      <c r="ZF293" s="148"/>
      <c r="ZG293" s="148"/>
      <c r="ZH293" s="148"/>
      <c r="ZI293" s="148"/>
      <c r="ZJ293" s="148"/>
      <c r="ZK293" s="148"/>
      <c r="ZL293" s="148"/>
      <c r="ZM293" s="148"/>
      <c r="ZN293" s="148"/>
      <c r="ZO293" s="148"/>
      <c r="ZP293" s="148"/>
      <c r="ZQ293" s="148"/>
      <c r="ZR293" s="148"/>
      <c r="ZS293" s="148"/>
      <c r="ZT293" s="148"/>
      <c r="ZU293" s="148"/>
      <c r="ZV293" s="148"/>
      <c r="ZW293" s="148"/>
      <c r="ZX293" s="148"/>
      <c r="ZY293" s="148"/>
      <c r="ZZ293" s="148"/>
      <c r="AAA293" s="148"/>
      <c r="AAB293" s="148"/>
      <c r="AAC293" s="148"/>
      <c r="AAD293" s="148"/>
      <c r="AAE293" s="148"/>
      <c r="AAF293" s="148"/>
      <c r="AAG293" s="148"/>
      <c r="AAH293" s="148"/>
      <c r="AAI293" s="148"/>
      <c r="AAJ293" s="148"/>
      <c r="AAK293" s="148"/>
      <c r="AAL293" s="148"/>
      <c r="AAM293" s="148"/>
      <c r="AAN293" s="148"/>
      <c r="AAO293" s="148"/>
      <c r="AAP293" s="148"/>
      <c r="AAQ293" s="148"/>
      <c r="AAR293" s="148"/>
      <c r="AAS293" s="148"/>
      <c r="AAT293" s="148"/>
      <c r="AAU293" s="148"/>
      <c r="AAV293" s="148"/>
      <c r="AAW293" s="148"/>
      <c r="AAX293" s="148"/>
      <c r="AAY293" s="148"/>
      <c r="AAZ293" s="148"/>
      <c r="ABA293" s="148"/>
      <c r="ABB293" s="148"/>
      <c r="ABC293" s="148"/>
      <c r="ABD293" s="148"/>
      <c r="ABE293" s="148"/>
      <c r="ABF293" s="148"/>
      <c r="ABG293" s="148"/>
      <c r="ABH293" s="148"/>
      <c r="ABI293" s="148"/>
      <c r="ABJ293" s="148"/>
      <c r="ABK293" s="148"/>
      <c r="ABL293" s="148"/>
      <c r="ABM293" s="148"/>
      <c r="ABN293" s="148"/>
      <c r="ABO293" s="148"/>
      <c r="ABP293" s="148"/>
      <c r="ABQ293" s="148"/>
      <c r="ABR293" s="148"/>
      <c r="ABS293" s="148"/>
      <c r="ABT293" s="148"/>
      <c r="ABU293" s="148"/>
      <c r="ABV293" s="148"/>
      <c r="ABW293" s="148"/>
      <c r="ABX293" s="148"/>
      <c r="ABY293" s="148"/>
      <c r="ABZ293" s="148"/>
      <c r="ACA293" s="148"/>
      <c r="ACB293" s="148"/>
      <c r="ACC293" s="148"/>
      <c r="ACD293" s="148"/>
      <c r="ACE293" s="148"/>
      <c r="ACF293" s="148"/>
      <c r="ACG293" s="148"/>
      <c r="ACH293" s="148"/>
      <c r="ACI293" s="148"/>
      <c r="ACJ293" s="148"/>
      <c r="ACK293" s="148"/>
      <c r="ACL293" s="148"/>
      <c r="ACM293" s="148"/>
      <c r="ACN293" s="148"/>
      <c r="ACO293" s="148"/>
      <c r="ACP293" s="148"/>
      <c r="ACQ293" s="148"/>
      <c r="ACR293" s="148"/>
      <c r="ACS293" s="148"/>
      <c r="ACT293" s="148"/>
      <c r="ACU293" s="148"/>
      <c r="ACV293" s="148"/>
      <c r="ACW293" s="148"/>
      <c r="ACX293" s="148"/>
      <c r="ACY293" s="148"/>
      <c r="ACZ293" s="148"/>
      <c r="ADA293" s="148"/>
      <c r="ADB293" s="148"/>
      <c r="ADC293" s="148"/>
      <c r="ADD293" s="148"/>
      <c r="ADE293" s="148"/>
      <c r="ADF293" s="148"/>
      <c r="ADG293" s="148"/>
      <c r="ADH293" s="148"/>
      <c r="ADI293" s="148"/>
      <c r="ADJ293" s="148"/>
      <c r="ADK293" s="148"/>
      <c r="ADL293" s="148"/>
      <c r="ADM293" s="148"/>
      <c r="ADN293" s="148"/>
      <c r="ADO293" s="148"/>
      <c r="ADP293" s="148"/>
      <c r="ADQ293" s="148"/>
      <c r="ADR293" s="148"/>
      <c r="ADS293" s="148"/>
      <c r="ADT293" s="148"/>
      <c r="ADU293" s="148"/>
      <c r="ADV293" s="148"/>
      <c r="ADW293" s="148"/>
      <c r="ADX293" s="148"/>
      <c r="ADY293" s="148"/>
      <c r="ADZ293" s="148"/>
      <c r="AEA293" s="148"/>
      <c r="AEB293" s="148"/>
      <c r="AEC293" s="148"/>
      <c r="AED293" s="148"/>
      <c r="AEE293" s="148"/>
      <c r="AEF293" s="148"/>
      <c r="AEG293" s="148"/>
      <c r="AEH293" s="148"/>
      <c r="AEI293" s="148"/>
      <c r="AEJ293" s="148"/>
      <c r="AEK293" s="148"/>
      <c r="AEL293" s="148"/>
      <c r="AEM293" s="148"/>
      <c r="AEN293" s="148"/>
      <c r="AEO293" s="148"/>
      <c r="AEP293" s="148"/>
      <c r="AEQ293" s="148"/>
      <c r="AER293" s="148"/>
      <c r="AES293" s="148"/>
      <c r="AET293" s="148"/>
      <c r="AEU293" s="148"/>
      <c r="AEV293" s="148"/>
      <c r="AEW293" s="148"/>
      <c r="AEX293" s="148"/>
      <c r="AEY293" s="148"/>
      <c r="AEZ293" s="148"/>
      <c r="AFA293" s="148"/>
      <c r="AFB293" s="148"/>
      <c r="AFC293" s="148"/>
      <c r="AFD293" s="148"/>
      <c r="AFE293" s="148"/>
      <c r="AFF293" s="148"/>
      <c r="AFG293" s="148"/>
      <c r="AFH293" s="148"/>
      <c r="AFI293" s="148"/>
      <c r="AFJ293" s="148"/>
      <c r="AFK293" s="148"/>
      <c r="AFL293" s="148"/>
      <c r="AFM293" s="148"/>
      <c r="AFN293" s="148"/>
      <c r="AFO293" s="148"/>
      <c r="AFP293" s="148"/>
      <c r="AFQ293" s="148"/>
      <c r="AFR293" s="148"/>
      <c r="AFS293" s="148"/>
      <c r="AFT293" s="148"/>
      <c r="AFU293" s="148"/>
      <c r="AFV293" s="148"/>
      <c r="AFW293" s="148"/>
      <c r="AFX293" s="148"/>
      <c r="AFY293" s="148"/>
      <c r="AFZ293" s="148"/>
      <c r="AGA293" s="148"/>
      <c r="AGB293" s="148"/>
      <c r="AGC293" s="148"/>
      <c r="AGD293" s="148"/>
      <c r="AGE293" s="148"/>
      <c r="AGF293" s="148"/>
      <c r="AGG293" s="148"/>
      <c r="AGH293" s="148"/>
      <c r="AGI293" s="148"/>
      <c r="AGJ293" s="148"/>
      <c r="AGK293" s="148"/>
      <c r="AGL293" s="148"/>
      <c r="AGM293" s="148"/>
      <c r="AGN293" s="148"/>
      <c r="AGO293" s="148"/>
      <c r="AGP293" s="148"/>
      <c r="AGQ293" s="148"/>
      <c r="AGR293" s="148"/>
      <c r="AGS293" s="148"/>
      <c r="AGT293" s="148"/>
      <c r="AGU293" s="148"/>
      <c r="AGV293" s="148"/>
      <c r="AGW293" s="148"/>
      <c r="AGX293" s="148"/>
      <c r="AGY293" s="148"/>
      <c r="AGZ293" s="148"/>
      <c r="AHA293" s="148"/>
      <c r="AHB293" s="148"/>
      <c r="AHC293" s="148"/>
      <c r="AHD293" s="148"/>
      <c r="AHE293" s="148"/>
      <c r="AHF293" s="148"/>
      <c r="AHG293" s="148"/>
      <c r="AHH293" s="148"/>
      <c r="AHI293" s="148"/>
      <c r="AHJ293" s="148"/>
      <c r="AHK293" s="148"/>
      <c r="AHL293" s="148"/>
      <c r="AHM293" s="148"/>
      <c r="AHN293" s="148"/>
      <c r="AHO293" s="148"/>
      <c r="AHP293" s="148"/>
      <c r="AHQ293" s="148"/>
      <c r="AHR293" s="148"/>
      <c r="AHS293" s="148"/>
      <c r="AHT293" s="148"/>
      <c r="AHU293" s="148"/>
      <c r="AHV293" s="148"/>
      <c r="AHW293" s="148"/>
      <c r="AHX293" s="148"/>
      <c r="AHY293" s="148"/>
      <c r="AHZ293" s="148"/>
      <c r="AIA293" s="148"/>
      <c r="AIB293" s="148"/>
      <c r="AIC293" s="148"/>
      <c r="AID293" s="148"/>
      <c r="AIE293" s="148"/>
      <c r="AIF293" s="148"/>
      <c r="AIG293" s="148"/>
      <c r="AIH293" s="148"/>
      <c r="AII293" s="148"/>
      <c r="AIJ293" s="148"/>
      <c r="AIK293" s="148"/>
      <c r="AIL293" s="148"/>
      <c r="AIM293" s="148"/>
      <c r="AIN293" s="148"/>
      <c r="AIO293" s="148"/>
      <c r="AIP293" s="148"/>
      <c r="AIQ293" s="148"/>
      <c r="AIR293" s="148"/>
      <c r="AIS293" s="148"/>
      <c r="AIT293" s="148"/>
      <c r="AIU293" s="148"/>
      <c r="AIV293" s="148"/>
      <c r="AIW293" s="148"/>
      <c r="AIX293" s="148"/>
      <c r="AIY293" s="148"/>
      <c r="AIZ293" s="148"/>
      <c r="AJA293" s="148"/>
      <c r="AJB293" s="148"/>
      <c r="AJC293" s="148"/>
      <c r="AJD293" s="148"/>
      <c r="AJE293" s="148"/>
      <c r="AJF293" s="148"/>
      <c r="AJG293" s="148"/>
      <c r="AJH293" s="148"/>
      <c r="AJI293" s="148"/>
      <c r="AJJ293" s="148"/>
      <c r="AJK293" s="148"/>
      <c r="AJL293" s="148"/>
      <c r="AJM293" s="148"/>
      <c r="AJN293" s="148"/>
      <c r="AJO293" s="148"/>
      <c r="AJP293" s="148"/>
      <c r="AJQ293" s="148"/>
      <c r="AJR293" s="148"/>
      <c r="AJS293" s="148"/>
      <c r="AJT293" s="148"/>
      <c r="AJU293" s="148"/>
      <c r="AJV293" s="148"/>
      <c r="AJW293" s="148"/>
      <c r="AJX293" s="148"/>
      <c r="AJY293" s="148"/>
      <c r="AJZ293" s="148"/>
      <c r="AKA293" s="148"/>
      <c r="AKB293" s="148"/>
      <c r="AKC293" s="148"/>
      <c r="AKD293" s="148"/>
      <c r="AKE293" s="148"/>
      <c r="AKF293" s="148"/>
      <c r="AKG293" s="148"/>
      <c r="AKH293" s="148"/>
      <c r="AKI293" s="148"/>
      <c r="AKJ293" s="148"/>
      <c r="AKK293" s="148"/>
      <c r="AKL293" s="148"/>
      <c r="AKM293" s="148"/>
      <c r="AKN293" s="148"/>
      <c r="AKO293" s="148"/>
      <c r="AKP293" s="148"/>
      <c r="AKQ293" s="148"/>
      <c r="AKR293" s="148"/>
      <c r="AKS293" s="148"/>
      <c r="AKT293" s="148"/>
      <c r="AKU293" s="148"/>
      <c r="AKV293" s="148"/>
      <c r="AKW293" s="148"/>
      <c r="AKX293" s="148"/>
      <c r="AKY293" s="148"/>
      <c r="AKZ293" s="148"/>
      <c r="ALA293" s="148"/>
      <c r="ALB293" s="148"/>
      <c r="ALC293" s="148"/>
      <c r="ALD293" s="148"/>
      <c r="ALE293" s="148"/>
      <c r="ALF293" s="148"/>
      <c r="ALG293" s="148"/>
      <c r="ALH293" s="148"/>
      <c r="ALI293" s="148"/>
      <c r="ALJ293" s="148"/>
      <c r="ALK293" s="148"/>
      <c r="ALL293" s="148"/>
      <c r="ALM293" s="148"/>
      <c r="ALN293" s="148"/>
      <c r="ALO293" s="148"/>
      <c r="ALP293" s="148"/>
      <c r="ALQ293" s="148"/>
      <c r="ALR293" s="148"/>
      <c r="ALS293" s="148"/>
      <c r="ALT293" s="148"/>
      <c r="ALU293" s="148"/>
      <c r="ALV293" s="148"/>
      <c r="ALW293" s="148"/>
      <c r="ALX293" s="148"/>
      <c r="ALY293" s="148"/>
      <c r="ALZ293" s="148"/>
      <c r="AMA293" s="148"/>
      <c r="AMB293" s="148"/>
      <c r="AMC293" s="148"/>
      <c r="AMD293" s="148"/>
      <c r="AME293" s="148"/>
      <c r="AMF293" s="148"/>
      <c r="AMG293" s="148"/>
      <c r="AMH293" s="148"/>
      <c r="AMI293" s="148"/>
      <c r="AMJ293" s="148"/>
      <c r="AMK293" s="148"/>
      <c r="AML293" s="148"/>
      <c r="AMM293" s="148"/>
      <c r="AMN293" s="148"/>
      <c r="AMO293" s="148"/>
      <c r="AMP293" s="148"/>
      <c r="AMQ293" s="148"/>
      <c r="AMR293" s="148"/>
      <c r="AMS293" s="148"/>
      <c r="AMT293" s="148"/>
      <c r="AMU293" s="148"/>
      <c r="AMV293" s="148"/>
      <c r="AMW293" s="148"/>
      <c r="AMX293" s="148"/>
      <c r="AMY293" s="148"/>
      <c r="AMZ293" s="148"/>
      <c r="ANA293" s="148"/>
      <c r="ANB293" s="148"/>
      <c r="ANC293" s="148"/>
      <c r="AND293" s="148"/>
      <c r="ANE293" s="148"/>
      <c r="ANF293" s="148"/>
      <c r="ANG293" s="148"/>
      <c r="ANH293" s="148"/>
      <c r="ANI293" s="148"/>
      <c r="ANJ293" s="148"/>
      <c r="ANK293" s="148"/>
      <c r="ANL293" s="148"/>
      <c r="ANM293" s="148"/>
      <c r="ANN293" s="148"/>
      <c r="ANO293" s="148"/>
      <c r="ANP293" s="148"/>
      <c r="ANQ293" s="148"/>
      <c r="ANR293" s="148"/>
      <c r="ANS293" s="148"/>
      <c r="ANT293" s="148"/>
      <c r="ANU293" s="148"/>
      <c r="ANV293" s="148"/>
      <c r="ANW293" s="148"/>
      <c r="ANX293" s="148"/>
      <c r="ANY293" s="148"/>
      <c r="ANZ293" s="148"/>
      <c r="AOA293" s="148"/>
      <c r="AOB293" s="148"/>
      <c r="AOC293" s="148"/>
      <c r="AOD293" s="148"/>
      <c r="AOE293" s="148"/>
      <c r="AOF293" s="148"/>
      <c r="AOG293" s="148"/>
      <c r="AOH293" s="148"/>
      <c r="AOI293" s="148"/>
      <c r="AOJ293" s="148"/>
      <c r="AOK293" s="148"/>
      <c r="AOL293" s="148"/>
      <c r="AOM293" s="148"/>
      <c r="AON293" s="148"/>
      <c r="AOO293" s="148"/>
      <c r="AOP293" s="148"/>
      <c r="AOQ293" s="148"/>
      <c r="AOR293" s="148"/>
      <c r="AOS293" s="148"/>
      <c r="AOT293" s="148"/>
      <c r="AOU293" s="148"/>
      <c r="AOV293" s="148"/>
      <c r="AOW293" s="148"/>
      <c r="AOX293" s="148"/>
      <c r="AOY293" s="148"/>
      <c r="AOZ293" s="148"/>
      <c r="APA293" s="148"/>
      <c r="APB293" s="148"/>
      <c r="APC293" s="148"/>
      <c r="APD293" s="148"/>
      <c r="APE293" s="148"/>
      <c r="APF293" s="148"/>
      <c r="APG293" s="148"/>
      <c r="APH293" s="148"/>
      <c r="API293" s="148"/>
      <c r="APJ293" s="148"/>
      <c r="APK293" s="148"/>
      <c r="APL293" s="148"/>
      <c r="APM293" s="148"/>
      <c r="APN293" s="148"/>
      <c r="APO293" s="148"/>
      <c r="APP293" s="148"/>
      <c r="APQ293" s="148"/>
      <c r="APR293" s="148"/>
      <c r="APS293" s="148"/>
      <c r="APT293" s="148"/>
      <c r="APU293" s="148"/>
      <c r="APV293" s="148"/>
      <c r="APW293" s="148"/>
      <c r="APX293" s="148"/>
      <c r="APY293" s="148"/>
      <c r="APZ293" s="148"/>
      <c r="AQA293" s="148"/>
      <c r="AQB293" s="148"/>
      <c r="AQC293" s="148"/>
      <c r="AQD293" s="148"/>
      <c r="AQE293" s="148"/>
      <c r="AQF293" s="148"/>
      <c r="AQG293" s="148"/>
      <c r="AQH293" s="148"/>
      <c r="AQI293" s="148"/>
      <c r="AQJ293" s="148"/>
      <c r="AQK293" s="148"/>
      <c r="AQL293" s="148"/>
      <c r="AQM293" s="148"/>
      <c r="AQN293" s="148"/>
      <c r="AQO293" s="148"/>
      <c r="AQP293" s="148"/>
      <c r="AQQ293" s="148"/>
      <c r="AQR293" s="148"/>
      <c r="AQS293" s="148"/>
      <c r="AQT293" s="148"/>
      <c r="AQU293" s="148"/>
      <c r="AQV293" s="148"/>
      <c r="AQW293" s="148"/>
      <c r="AQX293" s="148"/>
      <c r="AQY293" s="148"/>
      <c r="AQZ293" s="148"/>
      <c r="ARA293" s="148"/>
      <c r="ARB293" s="148"/>
      <c r="ARC293" s="148"/>
      <c r="ARD293" s="148"/>
      <c r="ARE293" s="148"/>
      <c r="ARF293" s="148"/>
      <c r="ARG293" s="148"/>
      <c r="ARH293" s="148"/>
      <c r="ARI293" s="148"/>
      <c r="ARJ293" s="148"/>
      <c r="ARK293" s="148"/>
      <c r="ARL293" s="148"/>
      <c r="ARM293" s="148"/>
      <c r="ARN293" s="148"/>
      <c r="ARO293" s="148"/>
      <c r="ARP293" s="148"/>
      <c r="ARQ293" s="148"/>
      <c r="ARR293" s="148"/>
      <c r="ARS293" s="148"/>
      <c r="ART293" s="148"/>
      <c r="ARU293" s="148"/>
      <c r="ARV293" s="148"/>
      <c r="ARW293" s="148"/>
      <c r="ARX293" s="148"/>
      <c r="ARY293" s="148"/>
      <c r="ARZ293" s="148"/>
      <c r="ASA293" s="148"/>
      <c r="ASB293" s="148"/>
      <c r="ASC293" s="148"/>
      <c r="ASD293" s="148"/>
      <c r="ASE293" s="148"/>
      <c r="ASF293" s="148"/>
      <c r="ASG293" s="148"/>
      <c r="ASH293" s="148"/>
      <c r="ASI293" s="148"/>
      <c r="ASJ293" s="148"/>
      <c r="ASK293" s="148"/>
      <c r="ASL293" s="148"/>
      <c r="ASM293" s="148"/>
      <c r="ASN293" s="148"/>
      <c r="ASO293" s="148"/>
      <c r="ASP293" s="148"/>
      <c r="ASQ293" s="148"/>
      <c r="ASR293" s="148"/>
      <c r="ASS293" s="148"/>
      <c r="AST293" s="148"/>
      <c r="ASU293" s="148"/>
      <c r="ASV293" s="148"/>
      <c r="ASW293" s="148"/>
      <c r="ASX293" s="148"/>
      <c r="ASY293" s="148"/>
      <c r="ASZ293" s="148"/>
      <c r="ATA293" s="148"/>
      <c r="ATB293" s="148"/>
      <c r="ATC293" s="148"/>
      <c r="ATD293" s="148"/>
      <c r="ATE293" s="148"/>
      <c r="ATF293" s="148"/>
      <c r="ATG293" s="148"/>
      <c r="ATH293" s="148"/>
      <c r="ATI293" s="148"/>
      <c r="ATJ293" s="148"/>
      <c r="ATK293" s="148"/>
      <c r="ATL293" s="148"/>
      <c r="ATM293" s="148"/>
      <c r="ATN293" s="148"/>
      <c r="ATO293" s="148"/>
      <c r="ATP293" s="148"/>
      <c r="ATQ293" s="148"/>
      <c r="ATR293" s="148"/>
      <c r="ATS293" s="148"/>
      <c r="ATT293" s="148"/>
      <c r="ATU293" s="148"/>
      <c r="ATV293" s="148"/>
      <c r="ATW293" s="148"/>
      <c r="ATX293" s="148"/>
      <c r="ATY293" s="148"/>
      <c r="ATZ293" s="148"/>
      <c r="AUA293" s="148"/>
      <c r="AUB293" s="148"/>
      <c r="AUC293" s="148"/>
      <c r="AUD293" s="148"/>
      <c r="AUE293" s="148"/>
      <c r="AUF293" s="148"/>
      <c r="AUG293" s="148"/>
      <c r="AUH293" s="148"/>
      <c r="AUI293" s="148"/>
      <c r="AUJ293" s="148"/>
      <c r="AUK293" s="148"/>
      <c r="AUL293" s="148"/>
      <c r="AUM293" s="148"/>
      <c r="AUN293" s="148"/>
      <c r="AUO293" s="148"/>
      <c r="AUP293" s="148"/>
      <c r="AUQ293" s="148"/>
      <c r="AUR293" s="148"/>
      <c r="AUS293" s="148"/>
      <c r="AUT293" s="148"/>
      <c r="AUU293" s="148"/>
      <c r="AUV293" s="148"/>
      <c r="AUW293" s="148"/>
      <c r="AUX293" s="148"/>
      <c r="AUY293" s="148"/>
      <c r="AUZ293" s="148"/>
      <c r="AVA293" s="148"/>
      <c r="AVB293" s="148"/>
      <c r="AVC293" s="148"/>
      <c r="AVD293" s="148"/>
      <c r="AVE293" s="148"/>
      <c r="AVF293" s="148"/>
      <c r="AVG293" s="148"/>
      <c r="AVH293" s="148"/>
      <c r="AVI293" s="148"/>
      <c r="AVJ293" s="148"/>
      <c r="AVK293" s="148"/>
      <c r="AVL293" s="148"/>
      <c r="AVM293" s="148"/>
      <c r="AVN293" s="148"/>
      <c r="AVO293" s="148"/>
      <c r="AVP293" s="148"/>
      <c r="AVQ293" s="148"/>
      <c r="AVR293" s="148"/>
      <c r="AVS293" s="148"/>
      <c r="AVT293" s="148"/>
      <c r="AVU293" s="148"/>
      <c r="AVV293" s="148"/>
      <c r="AVW293" s="148"/>
      <c r="AVX293" s="148"/>
      <c r="AVY293" s="148"/>
      <c r="AVZ293" s="148"/>
      <c r="AWA293" s="148"/>
      <c r="AWB293" s="148"/>
      <c r="AWC293" s="148"/>
      <c r="AWD293" s="148"/>
      <c r="AWE293" s="148"/>
      <c r="AWF293" s="148"/>
      <c r="AWG293" s="148"/>
      <c r="AWH293" s="148"/>
      <c r="AWI293" s="148"/>
      <c r="AWJ293" s="148"/>
      <c r="AWK293" s="148"/>
      <c r="AWL293" s="148"/>
      <c r="AWM293" s="148"/>
      <c r="AWN293" s="148"/>
      <c r="AWO293" s="148"/>
      <c r="AWP293" s="148"/>
      <c r="AWQ293" s="148"/>
      <c r="AWR293" s="148"/>
      <c r="AWS293" s="148"/>
      <c r="AWT293" s="148"/>
      <c r="AWU293" s="148"/>
      <c r="AWV293" s="148"/>
      <c r="AWW293" s="148"/>
      <c r="AWX293" s="148"/>
      <c r="AWY293" s="148"/>
      <c r="AWZ293" s="148"/>
      <c r="AXA293" s="148"/>
      <c r="AXB293" s="148"/>
      <c r="AXC293" s="148"/>
      <c r="AXD293" s="148"/>
      <c r="AXE293" s="148"/>
      <c r="AXF293" s="148"/>
      <c r="AXG293" s="148"/>
      <c r="AXH293" s="148"/>
      <c r="AXI293" s="148"/>
      <c r="AXJ293" s="148"/>
      <c r="AXK293" s="148"/>
      <c r="AXL293" s="148"/>
      <c r="AXM293" s="148"/>
      <c r="AXN293" s="148"/>
      <c r="AXO293" s="148"/>
      <c r="AXP293" s="148"/>
      <c r="AXQ293" s="148"/>
      <c r="AXR293" s="148"/>
      <c r="AXS293" s="148"/>
      <c r="AXT293" s="148"/>
      <c r="AXU293" s="148"/>
      <c r="AXV293" s="148"/>
      <c r="AXW293" s="148"/>
      <c r="AXX293" s="148"/>
      <c r="AXY293" s="148"/>
      <c r="AXZ293" s="148"/>
      <c r="AYA293" s="148"/>
      <c r="AYB293" s="148"/>
      <c r="AYC293" s="148"/>
      <c r="AYD293" s="148"/>
      <c r="AYE293" s="148"/>
      <c r="AYF293" s="148"/>
      <c r="AYG293" s="148"/>
      <c r="AYH293" s="148"/>
      <c r="AYI293" s="148"/>
      <c r="AYJ293" s="148"/>
      <c r="AYK293" s="148"/>
      <c r="AYL293" s="148"/>
      <c r="AYM293" s="148"/>
      <c r="AYN293" s="148"/>
      <c r="AYO293" s="148"/>
      <c r="AYP293" s="148"/>
      <c r="AYQ293" s="148"/>
      <c r="AYR293" s="148"/>
      <c r="AYS293" s="148"/>
      <c r="AYT293" s="148"/>
      <c r="AYU293" s="148"/>
      <c r="AYV293" s="148"/>
      <c r="AYW293" s="148"/>
      <c r="AYX293" s="148"/>
      <c r="AYY293" s="148"/>
      <c r="AYZ293" s="148"/>
      <c r="AZA293" s="148"/>
      <c r="AZB293" s="148"/>
      <c r="AZC293" s="148"/>
      <c r="AZD293" s="148"/>
      <c r="AZE293" s="148"/>
      <c r="AZF293" s="148"/>
      <c r="AZG293" s="148"/>
      <c r="AZH293" s="148"/>
      <c r="AZI293" s="148"/>
      <c r="AZJ293" s="148"/>
      <c r="AZK293" s="148"/>
      <c r="AZL293" s="148"/>
      <c r="AZM293" s="148"/>
      <c r="AZN293" s="148"/>
      <c r="AZO293" s="148"/>
      <c r="AZP293" s="148"/>
      <c r="AZQ293" s="148"/>
      <c r="AZR293" s="148"/>
      <c r="AZS293" s="148"/>
      <c r="AZT293" s="148"/>
      <c r="AZU293" s="148"/>
      <c r="AZV293" s="148"/>
      <c r="AZW293" s="148"/>
      <c r="AZX293" s="148"/>
      <c r="AZY293" s="148"/>
      <c r="AZZ293" s="148"/>
      <c r="BAA293" s="148"/>
      <c r="BAB293" s="148"/>
      <c r="BAC293" s="148"/>
      <c r="BAD293" s="148"/>
      <c r="BAE293" s="148"/>
      <c r="BAF293" s="148"/>
      <c r="BAG293" s="148"/>
      <c r="BAH293" s="148"/>
      <c r="BAI293" s="148"/>
      <c r="BAJ293" s="148"/>
      <c r="BAK293" s="148"/>
      <c r="BAL293" s="148"/>
      <c r="BAM293" s="148"/>
      <c r="BAN293" s="148"/>
      <c r="BAO293" s="148"/>
      <c r="BAP293" s="148"/>
      <c r="BAQ293" s="148"/>
      <c r="BAR293" s="148"/>
      <c r="BAS293" s="148"/>
      <c r="BAT293" s="148"/>
      <c r="BAU293" s="148"/>
      <c r="BAV293" s="148"/>
      <c r="BAW293" s="148"/>
      <c r="BAX293" s="148"/>
      <c r="BAY293" s="148"/>
      <c r="BAZ293" s="148"/>
      <c r="BBA293" s="148"/>
      <c r="BBB293" s="148"/>
      <c r="BBC293" s="148"/>
      <c r="BBD293" s="148"/>
      <c r="BBE293" s="148"/>
      <c r="BBF293" s="148"/>
      <c r="BBG293" s="148"/>
      <c r="BBH293" s="148"/>
      <c r="BBI293" s="148"/>
      <c r="BBJ293" s="148"/>
      <c r="BBK293" s="148"/>
      <c r="BBL293" s="148"/>
      <c r="BBM293" s="148"/>
      <c r="BBN293" s="148"/>
      <c r="BBO293" s="148"/>
      <c r="BBP293" s="148"/>
      <c r="BBQ293" s="148"/>
      <c r="BBR293" s="148"/>
      <c r="BBS293" s="148"/>
      <c r="BBT293" s="148"/>
      <c r="BBU293" s="148"/>
      <c r="BBV293" s="148"/>
      <c r="BBW293" s="148"/>
      <c r="BBX293" s="148"/>
      <c r="BBY293" s="148"/>
      <c r="BBZ293" s="148"/>
      <c r="BCA293" s="148"/>
      <c r="BCB293" s="148"/>
      <c r="BCC293" s="148"/>
      <c r="BCD293" s="148"/>
      <c r="BCE293" s="148"/>
      <c r="BCF293" s="148"/>
      <c r="BCG293" s="148"/>
      <c r="BCH293" s="148"/>
      <c r="BCI293" s="148"/>
      <c r="BCJ293" s="148"/>
      <c r="BCK293" s="148"/>
      <c r="BCL293" s="148"/>
      <c r="BCM293" s="148"/>
      <c r="BCN293" s="148"/>
      <c r="BCO293" s="148"/>
      <c r="BCP293" s="148"/>
      <c r="BCQ293" s="148"/>
      <c r="BCR293" s="148"/>
      <c r="BCS293" s="148"/>
      <c r="BCT293" s="148"/>
      <c r="BCU293" s="148"/>
      <c r="BCV293" s="148"/>
      <c r="BCW293" s="148"/>
      <c r="BCX293" s="148"/>
      <c r="BCY293" s="148"/>
      <c r="BCZ293" s="148"/>
      <c r="BDA293" s="148"/>
      <c r="BDB293" s="148"/>
      <c r="BDC293" s="148"/>
      <c r="BDD293" s="148"/>
      <c r="BDE293" s="148"/>
      <c r="BDF293" s="148"/>
      <c r="BDG293" s="148"/>
      <c r="BDH293" s="148"/>
      <c r="BDI293" s="148"/>
      <c r="BDJ293" s="148"/>
      <c r="BDK293" s="148"/>
      <c r="BDL293" s="148"/>
      <c r="BDM293" s="148"/>
      <c r="BDN293" s="148"/>
      <c r="BDO293" s="148"/>
      <c r="BDP293" s="148"/>
      <c r="BDQ293" s="148"/>
      <c r="BDR293" s="148"/>
      <c r="BDS293" s="148"/>
      <c r="BDT293" s="148"/>
      <c r="BDU293" s="148"/>
      <c r="BDV293" s="148"/>
      <c r="BDW293" s="148"/>
      <c r="BDX293" s="148"/>
      <c r="BDY293" s="148"/>
      <c r="BDZ293" s="148"/>
      <c r="BEA293" s="148"/>
      <c r="BEB293" s="148"/>
      <c r="BEC293" s="148"/>
      <c r="BED293" s="148"/>
      <c r="BEE293" s="148"/>
      <c r="BEF293" s="148"/>
      <c r="BEG293" s="148"/>
      <c r="BEH293" s="148"/>
      <c r="BEI293" s="148"/>
      <c r="BEJ293" s="148"/>
      <c r="BEK293" s="148"/>
      <c r="BEL293" s="148"/>
      <c r="BEM293" s="148"/>
      <c r="BEN293" s="148"/>
      <c r="BEO293" s="148"/>
      <c r="BEP293" s="148"/>
      <c r="BEQ293" s="148"/>
      <c r="BER293" s="148"/>
      <c r="BES293" s="148"/>
      <c r="BET293" s="148"/>
      <c r="BEU293" s="148"/>
      <c r="BEV293" s="148"/>
      <c r="BEW293" s="148"/>
      <c r="BEX293" s="148"/>
      <c r="BEY293" s="148"/>
      <c r="BEZ293" s="148"/>
      <c r="BFA293" s="148"/>
      <c r="BFB293" s="148"/>
      <c r="BFC293" s="148"/>
      <c r="BFD293" s="148"/>
      <c r="BFE293" s="148"/>
      <c r="BFF293" s="148"/>
      <c r="BFG293" s="148"/>
      <c r="BFH293" s="148"/>
      <c r="BFI293" s="148"/>
      <c r="BFJ293" s="148"/>
      <c r="BFK293" s="148"/>
      <c r="BFL293" s="148"/>
      <c r="BFM293" s="148"/>
      <c r="BFN293" s="148"/>
      <c r="BFO293" s="148"/>
      <c r="BFP293" s="148"/>
      <c r="BFQ293" s="148"/>
      <c r="BFR293" s="148"/>
      <c r="BFS293" s="148"/>
      <c r="BFT293" s="148"/>
      <c r="BFU293" s="148"/>
      <c r="BFV293" s="148"/>
      <c r="BFW293" s="148"/>
      <c r="BFX293" s="148"/>
      <c r="BFY293" s="148"/>
      <c r="BFZ293" s="148"/>
      <c r="BGA293" s="148"/>
      <c r="BGB293" s="148"/>
      <c r="BGC293" s="148"/>
      <c r="BGD293" s="148"/>
      <c r="BGE293" s="148"/>
      <c r="BGF293" s="148"/>
      <c r="BGG293" s="148"/>
      <c r="BGH293" s="148"/>
      <c r="BGI293" s="148"/>
      <c r="BGJ293" s="148"/>
      <c r="BGK293" s="148"/>
      <c r="BGL293" s="148"/>
      <c r="BGM293" s="148"/>
      <c r="BGN293" s="148"/>
      <c r="BGO293" s="148"/>
      <c r="BGP293" s="148"/>
      <c r="BGQ293" s="148"/>
      <c r="BGR293" s="148"/>
      <c r="BGS293" s="148"/>
      <c r="BGT293" s="148"/>
      <c r="BGU293" s="148"/>
      <c r="BGV293" s="148"/>
      <c r="BGW293" s="148"/>
      <c r="BGX293" s="148"/>
      <c r="BGY293" s="148"/>
      <c r="BGZ293" s="148"/>
      <c r="BHA293" s="148"/>
      <c r="BHB293" s="148"/>
      <c r="BHC293" s="148"/>
      <c r="BHD293" s="148"/>
      <c r="BHE293" s="148"/>
      <c r="BHF293" s="148"/>
      <c r="BHG293" s="148"/>
      <c r="BHH293" s="148"/>
      <c r="BHI293" s="148"/>
      <c r="BHJ293" s="148"/>
      <c r="BHK293" s="148"/>
      <c r="BHL293" s="148"/>
      <c r="BHM293" s="148"/>
      <c r="BHN293" s="148"/>
      <c r="BHO293" s="148"/>
      <c r="BHP293" s="148"/>
      <c r="BHQ293" s="148"/>
      <c r="BHR293" s="148"/>
      <c r="BHS293" s="148"/>
      <c r="BHT293" s="148"/>
      <c r="BHU293" s="148"/>
      <c r="BHV293" s="148"/>
      <c r="BHW293" s="148"/>
      <c r="BHX293" s="148"/>
      <c r="BHY293" s="148"/>
      <c r="BHZ293" s="148"/>
      <c r="BIA293" s="148"/>
      <c r="BIB293" s="148"/>
      <c r="BIC293" s="148"/>
      <c r="BID293" s="148"/>
      <c r="BIE293" s="148"/>
      <c r="BIF293" s="148"/>
      <c r="BIG293" s="148"/>
      <c r="BIH293" s="148"/>
      <c r="BII293" s="148"/>
      <c r="BIJ293" s="148"/>
      <c r="BIK293" s="148"/>
      <c r="BIL293" s="148"/>
      <c r="BIM293" s="148"/>
      <c r="BIN293" s="148"/>
      <c r="BIO293" s="148"/>
      <c r="BIP293" s="148"/>
      <c r="BIQ293" s="148"/>
      <c r="BIR293" s="148"/>
      <c r="BIS293" s="148"/>
      <c r="BIT293" s="148"/>
      <c r="BIU293" s="148"/>
      <c r="BIV293" s="148"/>
      <c r="BIW293" s="148"/>
      <c r="BIX293" s="148"/>
      <c r="BIY293" s="148"/>
      <c r="BIZ293" s="148"/>
      <c r="BJA293" s="148"/>
      <c r="BJB293" s="148"/>
      <c r="BJC293" s="148"/>
      <c r="BJD293" s="148"/>
      <c r="BJE293" s="148"/>
      <c r="BJF293" s="148"/>
      <c r="BJG293" s="148"/>
      <c r="BJH293" s="148"/>
      <c r="BJI293" s="148"/>
      <c r="BJJ293" s="148"/>
      <c r="BJK293" s="148"/>
      <c r="BJL293" s="148"/>
      <c r="BJM293" s="148"/>
      <c r="BJN293" s="148"/>
      <c r="BJO293" s="148"/>
      <c r="BJP293" s="148"/>
      <c r="BJQ293" s="148"/>
      <c r="BJR293" s="148"/>
      <c r="BJS293" s="148"/>
      <c r="BJT293" s="148"/>
      <c r="BJU293" s="148"/>
      <c r="BJV293" s="148"/>
      <c r="BJW293" s="148"/>
      <c r="BJX293" s="148"/>
      <c r="BJY293" s="148"/>
      <c r="BJZ293" s="148"/>
      <c r="BKA293" s="148"/>
      <c r="BKB293" s="148"/>
      <c r="BKC293" s="148"/>
      <c r="BKD293" s="148"/>
      <c r="BKE293" s="148"/>
      <c r="BKF293" s="148"/>
      <c r="BKG293" s="148"/>
      <c r="BKH293" s="148"/>
      <c r="BKI293" s="148"/>
      <c r="BKJ293" s="148"/>
      <c r="BKK293" s="148"/>
      <c r="BKL293" s="148"/>
      <c r="BKM293" s="148"/>
      <c r="BKN293" s="148"/>
      <c r="BKO293" s="148"/>
      <c r="BKP293" s="148"/>
      <c r="BKQ293" s="148"/>
      <c r="BKR293" s="148"/>
      <c r="BKS293" s="148"/>
      <c r="BKT293" s="148"/>
      <c r="BKU293" s="148"/>
      <c r="BKV293" s="148"/>
      <c r="BKW293" s="148"/>
      <c r="BKX293" s="148"/>
      <c r="BKY293" s="148"/>
      <c r="BKZ293" s="148"/>
      <c r="BLA293" s="148"/>
      <c r="BLB293" s="148"/>
      <c r="BLC293" s="148"/>
      <c r="BLD293" s="148"/>
      <c r="BLE293" s="148"/>
      <c r="BLF293" s="148"/>
      <c r="BLG293" s="148"/>
      <c r="BLH293" s="148"/>
      <c r="BLI293" s="148"/>
      <c r="BLJ293" s="148"/>
      <c r="BLK293" s="148"/>
      <c r="BLL293" s="148"/>
      <c r="BLM293" s="148"/>
      <c r="BLN293" s="148"/>
      <c r="BLO293" s="148"/>
      <c r="BLP293" s="148"/>
      <c r="BLQ293" s="148"/>
      <c r="BLR293" s="148"/>
      <c r="BLS293" s="148"/>
      <c r="BLT293" s="148"/>
      <c r="BLU293" s="148"/>
      <c r="BLV293" s="148"/>
      <c r="BLW293" s="148"/>
      <c r="BLX293" s="148"/>
      <c r="BLY293" s="148"/>
      <c r="BLZ293" s="148"/>
      <c r="BMA293" s="148"/>
      <c r="BMB293" s="148"/>
      <c r="BMC293" s="148"/>
      <c r="BMD293" s="148"/>
      <c r="BME293" s="148"/>
      <c r="BMF293" s="148"/>
      <c r="BMG293" s="148"/>
      <c r="BMH293" s="148"/>
      <c r="BMI293" s="148"/>
      <c r="BMJ293" s="148"/>
      <c r="BMK293" s="148"/>
      <c r="BML293" s="148"/>
      <c r="BMM293" s="148"/>
      <c r="BMN293" s="148"/>
      <c r="BMO293" s="148"/>
      <c r="BMP293" s="148"/>
      <c r="BMQ293" s="148"/>
      <c r="BMR293" s="148"/>
      <c r="BMS293" s="148"/>
      <c r="BMT293" s="148"/>
      <c r="BMU293" s="148"/>
      <c r="BMV293" s="148"/>
      <c r="BMW293" s="148"/>
      <c r="BMX293" s="148"/>
      <c r="BMY293" s="148"/>
      <c r="BMZ293" s="148"/>
      <c r="BNA293" s="148"/>
      <c r="BNB293" s="148"/>
      <c r="BNC293" s="148"/>
      <c r="BND293" s="148"/>
      <c r="BNE293" s="148"/>
      <c r="BNF293" s="148"/>
      <c r="BNG293" s="148"/>
      <c r="BNH293" s="148"/>
      <c r="BNI293" s="148"/>
      <c r="BNJ293" s="148"/>
      <c r="BNK293" s="148"/>
      <c r="BNL293" s="148"/>
      <c r="BNM293" s="148"/>
      <c r="BNN293" s="148"/>
      <c r="BNO293" s="148"/>
      <c r="BNP293" s="148"/>
      <c r="BNQ293" s="148"/>
      <c r="BNR293" s="148"/>
      <c r="BNS293" s="148"/>
      <c r="BNT293" s="148"/>
      <c r="BNU293" s="148"/>
      <c r="BNV293" s="148"/>
      <c r="BNW293" s="148"/>
      <c r="BNX293" s="148"/>
      <c r="BNY293" s="148"/>
      <c r="BNZ293" s="148"/>
      <c r="BOA293" s="148"/>
      <c r="BOB293" s="148"/>
      <c r="BOC293" s="148"/>
      <c r="BOD293" s="148"/>
      <c r="BOE293" s="148"/>
      <c r="BOF293" s="148"/>
      <c r="BOG293" s="148"/>
      <c r="BOH293" s="148"/>
      <c r="BOI293" s="148"/>
      <c r="BOJ293" s="148"/>
      <c r="BOK293" s="148"/>
      <c r="BOL293" s="148"/>
      <c r="BOM293" s="148"/>
      <c r="BON293" s="148"/>
      <c r="BOO293" s="148"/>
      <c r="BOP293" s="148"/>
      <c r="BOQ293" s="148"/>
      <c r="BOR293" s="148"/>
      <c r="BOS293" s="148"/>
      <c r="BOT293" s="148"/>
      <c r="BOU293" s="148"/>
      <c r="BOV293" s="148"/>
      <c r="BOW293" s="148"/>
      <c r="BOX293" s="148"/>
      <c r="BOY293" s="148"/>
      <c r="BOZ293" s="148"/>
      <c r="BPA293" s="148"/>
      <c r="BPB293" s="148"/>
      <c r="BPC293" s="148"/>
      <c r="BPD293" s="148"/>
      <c r="BPE293" s="148"/>
      <c r="BPF293" s="148"/>
      <c r="BPG293" s="148"/>
      <c r="BPH293" s="148"/>
      <c r="BPI293" s="148"/>
      <c r="BPJ293" s="148"/>
      <c r="BPK293" s="148"/>
      <c r="BPL293" s="148"/>
      <c r="BPM293" s="148"/>
      <c r="BPN293" s="148"/>
      <c r="BPO293" s="148"/>
      <c r="BPP293" s="148"/>
      <c r="BPQ293" s="148"/>
      <c r="BPR293" s="148"/>
      <c r="BPS293" s="148"/>
      <c r="BPT293" s="148"/>
      <c r="BPU293" s="148"/>
      <c r="BPV293" s="148"/>
      <c r="BPW293" s="148"/>
      <c r="BPX293" s="148"/>
      <c r="BPY293" s="148"/>
      <c r="BPZ293" s="148"/>
      <c r="BQA293" s="148"/>
      <c r="BQB293" s="148"/>
      <c r="BQC293" s="148"/>
      <c r="BQD293" s="148"/>
      <c r="BQE293" s="148"/>
      <c r="BQF293" s="148"/>
      <c r="BQG293" s="148"/>
      <c r="BQH293" s="148"/>
      <c r="BQI293" s="148"/>
      <c r="BQJ293" s="148"/>
      <c r="BQK293" s="148"/>
      <c r="BQL293" s="148"/>
      <c r="BQM293" s="148"/>
      <c r="BQN293" s="148"/>
      <c r="BQO293" s="148"/>
      <c r="BQP293" s="148"/>
      <c r="BQQ293" s="148"/>
      <c r="BQR293" s="148"/>
      <c r="BQS293" s="148"/>
      <c r="BQT293" s="148"/>
      <c r="BQU293" s="148"/>
      <c r="BQV293" s="148"/>
      <c r="BQW293" s="148"/>
      <c r="BQX293" s="148"/>
      <c r="BQY293" s="148"/>
      <c r="BQZ293" s="148"/>
      <c r="BRA293" s="148"/>
      <c r="BRB293" s="148"/>
      <c r="BRC293" s="148"/>
      <c r="BRD293" s="148"/>
      <c r="BRE293" s="148"/>
      <c r="BRF293" s="148"/>
      <c r="BRG293" s="148"/>
      <c r="BRH293" s="148"/>
      <c r="BRI293" s="148"/>
      <c r="BRJ293" s="148"/>
      <c r="BRK293" s="148"/>
      <c r="BRL293" s="148"/>
      <c r="BRM293" s="148"/>
      <c r="BRN293" s="148"/>
      <c r="BRO293" s="148"/>
      <c r="BRP293" s="148"/>
      <c r="BRQ293" s="148"/>
      <c r="BRR293" s="148"/>
      <c r="BRS293" s="148"/>
      <c r="BRT293" s="148"/>
      <c r="BRU293" s="148"/>
      <c r="BRV293" s="148"/>
      <c r="BRW293" s="148"/>
      <c r="BRX293" s="148"/>
      <c r="BRY293" s="148"/>
      <c r="BRZ293" s="148"/>
      <c r="BSA293" s="148"/>
      <c r="BSB293" s="148"/>
      <c r="BSC293" s="148"/>
      <c r="BSD293" s="148"/>
      <c r="BSE293" s="148"/>
      <c r="BSF293" s="148"/>
      <c r="BSG293" s="148"/>
      <c r="BSH293" s="148"/>
      <c r="BSI293" s="148"/>
      <c r="BSJ293" s="148"/>
      <c r="BSK293" s="148"/>
      <c r="BSL293" s="148"/>
      <c r="BSM293" s="148"/>
      <c r="BSN293" s="148"/>
      <c r="BSO293" s="148"/>
      <c r="BSP293" s="148"/>
      <c r="BSQ293" s="148"/>
      <c r="BSR293" s="148"/>
      <c r="BSS293" s="148"/>
      <c r="BST293" s="148"/>
      <c r="BSU293" s="148"/>
      <c r="BSV293" s="148"/>
      <c r="BSW293" s="148"/>
      <c r="BSX293" s="148"/>
      <c r="BSY293" s="148"/>
      <c r="BSZ293" s="148"/>
      <c r="BTA293" s="148"/>
      <c r="BTB293" s="148"/>
      <c r="BTC293" s="148"/>
      <c r="BTD293" s="148"/>
      <c r="BTE293" s="148"/>
      <c r="BTF293" s="148"/>
      <c r="BTG293" s="148"/>
      <c r="BTH293" s="148"/>
      <c r="BTI293" s="148"/>
      <c r="BTJ293" s="148"/>
      <c r="BTK293" s="148"/>
      <c r="BTL293" s="148"/>
      <c r="BTM293" s="148"/>
      <c r="BTN293" s="148"/>
      <c r="BTO293" s="148"/>
      <c r="BTP293" s="148"/>
      <c r="BTQ293" s="148"/>
      <c r="BTR293" s="148"/>
      <c r="BTS293" s="148"/>
      <c r="BTT293" s="148"/>
      <c r="BTU293" s="148"/>
      <c r="BTV293" s="148"/>
      <c r="BTW293" s="148"/>
      <c r="BTX293" s="148"/>
      <c r="BTY293" s="148"/>
      <c r="BTZ293" s="148"/>
      <c r="BUA293" s="148"/>
      <c r="BUB293" s="148"/>
      <c r="BUC293" s="148"/>
      <c r="BUD293" s="148"/>
      <c r="BUE293" s="148"/>
      <c r="BUF293" s="148"/>
      <c r="BUG293" s="148"/>
      <c r="BUH293" s="148"/>
      <c r="BUI293" s="148"/>
      <c r="BUJ293" s="148"/>
      <c r="BUK293" s="148"/>
      <c r="BUL293" s="148"/>
      <c r="BUM293" s="148"/>
      <c r="BUN293" s="148"/>
      <c r="BUO293" s="148"/>
      <c r="BUP293" s="148"/>
      <c r="BUQ293" s="148"/>
      <c r="BUR293" s="148"/>
      <c r="BUS293" s="148"/>
      <c r="BUT293" s="148"/>
      <c r="BUU293" s="148"/>
      <c r="BUV293" s="148"/>
      <c r="BUW293" s="148"/>
      <c r="BUX293" s="148"/>
      <c r="BUY293" s="148"/>
      <c r="BUZ293" s="148"/>
      <c r="BVA293" s="148"/>
      <c r="BVB293" s="148"/>
      <c r="BVC293" s="148"/>
      <c r="BVD293" s="148"/>
      <c r="BVE293" s="148"/>
      <c r="BVF293" s="148"/>
      <c r="BVG293" s="148"/>
      <c r="BVH293" s="148"/>
      <c r="BVI293" s="148"/>
      <c r="BVJ293" s="148"/>
      <c r="BVK293" s="148"/>
      <c r="BVL293" s="148"/>
      <c r="BVM293" s="148"/>
      <c r="BVN293" s="148"/>
      <c r="BVO293" s="148"/>
      <c r="BVP293" s="148"/>
      <c r="BVQ293" s="148"/>
      <c r="BVR293" s="148"/>
      <c r="BVS293" s="148"/>
      <c r="BVT293" s="148"/>
      <c r="BVU293" s="148"/>
      <c r="BVV293" s="148"/>
      <c r="BVW293" s="148"/>
      <c r="BVX293" s="148"/>
      <c r="BVY293" s="148"/>
      <c r="BVZ293" s="148"/>
      <c r="BWA293" s="148"/>
      <c r="BWB293" s="148"/>
      <c r="BWC293" s="148"/>
      <c r="BWD293" s="148"/>
      <c r="BWE293" s="148"/>
      <c r="BWF293" s="148"/>
      <c r="BWG293" s="148"/>
      <c r="BWH293" s="148"/>
      <c r="BWI293" s="148"/>
      <c r="BWJ293" s="148"/>
      <c r="BWK293" s="148"/>
      <c r="BWL293" s="148"/>
      <c r="BWM293" s="148"/>
      <c r="BWN293" s="148"/>
      <c r="BWO293" s="148"/>
      <c r="BWP293" s="148"/>
      <c r="BWQ293" s="148"/>
      <c r="BWR293" s="148"/>
      <c r="BWS293" s="148"/>
      <c r="BWT293" s="148"/>
      <c r="BWU293" s="148"/>
      <c r="BWV293" s="148"/>
      <c r="BWW293" s="148"/>
      <c r="BWX293" s="148"/>
      <c r="BWY293" s="148"/>
      <c r="BWZ293" s="148"/>
      <c r="BXA293" s="148"/>
      <c r="BXB293" s="148"/>
      <c r="BXC293" s="148"/>
      <c r="BXD293" s="148"/>
      <c r="BXE293" s="148"/>
      <c r="BXF293" s="148"/>
      <c r="BXG293" s="148"/>
      <c r="BXH293" s="148"/>
      <c r="BXI293" s="148"/>
      <c r="BXJ293" s="148"/>
      <c r="BXK293" s="148"/>
      <c r="BXL293" s="148"/>
      <c r="BXM293" s="148"/>
      <c r="BXN293" s="148"/>
      <c r="BXO293" s="148"/>
      <c r="BXP293" s="148"/>
      <c r="BXQ293" s="148"/>
      <c r="BXR293" s="148"/>
      <c r="BXS293" s="148"/>
      <c r="BXT293" s="148"/>
      <c r="BXU293" s="148"/>
      <c r="BXV293" s="148"/>
      <c r="BXW293" s="148"/>
      <c r="BXX293" s="148"/>
      <c r="BXY293" s="148"/>
      <c r="BXZ293" s="148"/>
      <c r="BYA293" s="148"/>
      <c r="BYB293" s="148"/>
      <c r="BYC293" s="148"/>
      <c r="BYD293" s="148"/>
      <c r="BYE293" s="148"/>
      <c r="BYF293" s="148"/>
      <c r="BYG293" s="148"/>
      <c r="BYH293" s="148"/>
      <c r="BYI293" s="148"/>
      <c r="BYJ293" s="148"/>
      <c r="BYK293" s="148"/>
      <c r="BYL293" s="148"/>
      <c r="BYM293" s="148"/>
      <c r="BYN293" s="148"/>
      <c r="BYO293" s="148"/>
      <c r="BYP293" s="148"/>
      <c r="BYQ293" s="148"/>
      <c r="BYR293" s="148"/>
      <c r="BYS293" s="148"/>
      <c r="BYT293" s="148"/>
      <c r="BYU293" s="148"/>
      <c r="BYV293" s="148"/>
      <c r="BYW293" s="148"/>
      <c r="BYX293" s="148"/>
      <c r="BYY293" s="148"/>
      <c r="BYZ293" s="148"/>
      <c r="BZA293" s="148"/>
      <c r="BZB293" s="148"/>
      <c r="BZC293" s="148"/>
      <c r="BZD293" s="148"/>
      <c r="BZE293" s="148"/>
      <c r="BZF293" s="148"/>
      <c r="BZG293" s="148"/>
      <c r="BZH293" s="148"/>
      <c r="BZI293" s="148"/>
      <c r="BZJ293" s="148"/>
      <c r="BZK293" s="148"/>
      <c r="BZL293" s="148"/>
      <c r="BZM293" s="148"/>
      <c r="BZN293" s="148"/>
      <c r="BZO293" s="148"/>
      <c r="BZP293" s="148"/>
      <c r="BZQ293" s="148"/>
      <c r="BZR293" s="148"/>
      <c r="BZS293" s="148"/>
      <c r="BZT293" s="148"/>
      <c r="BZU293" s="148"/>
      <c r="BZV293" s="148"/>
      <c r="BZW293" s="148"/>
      <c r="BZX293" s="148"/>
      <c r="BZY293" s="148"/>
      <c r="BZZ293" s="148"/>
      <c r="CAA293" s="148"/>
      <c r="CAB293" s="148"/>
      <c r="CAC293" s="148"/>
      <c r="CAD293" s="148"/>
      <c r="CAE293" s="148"/>
      <c r="CAF293" s="148"/>
      <c r="CAG293" s="148"/>
      <c r="CAH293" s="148"/>
      <c r="CAI293" s="148"/>
      <c r="CAJ293" s="148"/>
      <c r="CAK293" s="148"/>
      <c r="CAL293" s="148"/>
      <c r="CAM293" s="148"/>
      <c r="CAN293" s="148"/>
      <c r="CAO293" s="148"/>
      <c r="CAP293" s="148"/>
      <c r="CAQ293" s="148"/>
      <c r="CAR293" s="148"/>
      <c r="CAS293" s="148"/>
      <c r="CAT293" s="148"/>
      <c r="CAU293" s="148"/>
      <c r="CAV293" s="148"/>
      <c r="CAW293" s="148"/>
      <c r="CAX293" s="148"/>
      <c r="CAY293" s="148"/>
      <c r="CAZ293" s="148"/>
      <c r="CBA293" s="148"/>
      <c r="CBB293" s="148"/>
      <c r="CBC293" s="148"/>
      <c r="CBD293" s="148"/>
      <c r="CBE293" s="148"/>
      <c r="CBF293" s="148"/>
      <c r="CBG293" s="148"/>
      <c r="CBH293" s="148"/>
      <c r="CBI293" s="148"/>
      <c r="CBJ293" s="148"/>
      <c r="CBK293" s="148"/>
      <c r="CBL293" s="148"/>
      <c r="CBM293" s="148"/>
      <c r="CBN293" s="148"/>
      <c r="CBO293" s="148"/>
      <c r="CBP293" s="148"/>
      <c r="CBQ293" s="148"/>
      <c r="CBR293" s="148"/>
      <c r="CBS293" s="148"/>
      <c r="CBT293" s="148"/>
      <c r="CBU293" s="148"/>
      <c r="CBV293" s="148"/>
      <c r="CBW293" s="148"/>
      <c r="CBX293" s="148"/>
      <c r="CBY293" s="148"/>
      <c r="CBZ293" s="148"/>
      <c r="CCA293" s="148"/>
      <c r="CCB293" s="148"/>
      <c r="CCC293" s="148"/>
      <c r="CCD293" s="148"/>
      <c r="CCE293" s="148"/>
      <c r="CCF293" s="148"/>
      <c r="CCG293" s="148"/>
      <c r="CCH293" s="148"/>
      <c r="CCI293" s="148"/>
      <c r="CCJ293" s="148"/>
      <c r="CCK293" s="148"/>
      <c r="CCL293" s="148"/>
      <c r="CCM293" s="148"/>
      <c r="CCN293" s="148"/>
      <c r="CCO293" s="148"/>
      <c r="CCP293" s="148"/>
      <c r="CCQ293" s="148"/>
      <c r="CCR293" s="148"/>
      <c r="CCS293" s="148"/>
      <c r="CCT293" s="148"/>
      <c r="CCU293" s="148"/>
      <c r="CCV293" s="148"/>
      <c r="CCW293" s="148"/>
      <c r="CCX293" s="148"/>
      <c r="CCY293" s="148"/>
      <c r="CCZ293" s="148"/>
      <c r="CDA293" s="148"/>
      <c r="CDB293" s="148"/>
      <c r="CDC293" s="148"/>
      <c r="CDD293" s="148"/>
      <c r="CDE293" s="148"/>
      <c r="CDF293" s="148"/>
      <c r="CDG293" s="148"/>
      <c r="CDH293" s="148"/>
      <c r="CDI293" s="148"/>
      <c r="CDJ293" s="148"/>
      <c r="CDK293" s="148"/>
      <c r="CDL293" s="148"/>
      <c r="CDM293" s="148"/>
      <c r="CDN293" s="148"/>
      <c r="CDO293" s="148"/>
      <c r="CDP293" s="148"/>
      <c r="CDQ293" s="148"/>
      <c r="CDR293" s="148"/>
      <c r="CDS293" s="148"/>
      <c r="CDT293" s="148"/>
      <c r="CDU293" s="148"/>
      <c r="CDV293" s="148"/>
      <c r="CDW293" s="148"/>
      <c r="CDX293" s="148"/>
      <c r="CDY293" s="148"/>
      <c r="CDZ293" s="148"/>
      <c r="CEA293" s="148"/>
      <c r="CEB293" s="148"/>
      <c r="CEC293" s="148"/>
      <c r="CED293" s="148"/>
      <c r="CEE293" s="148"/>
      <c r="CEF293" s="148"/>
      <c r="CEG293" s="148"/>
      <c r="CEH293" s="148"/>
      <c r="CEI293" s="148"/>
      <c r="CEJ293" s="148"/>
      <c r="CEK293" s="148"/>
      <c r="CEL293" s="148"/>
      <c r="CEM293" s="148"/>
      <c r="CEN293" s="148"/>
      <c r="CEO293" s="148"/>
      <c r="CEP293" s="148"/>
      <c r="CEQ293" s="148"/>
      <c r="CER293" s="148"/>
      <c r="CES293" s="148"/>
      <c r="CET293" s="148"/>
      <c r="CEU293" s="148"/>
      <c r="CEV293" s="148"/>
      <c r="CEW293" s="148"/>
      <c r="CEX293" s="148"/>
      <c r="CEY293" s="148"/>
      <c r="CEZ293" s="148"/>
      <c r="CFA293" s="148"/>
      <c r="CFB293" s="148"/>
      <c r="CFC293" s="148"/>
      <c r="CFD293" s="148"/>
      <c r="CFE293" s="148"/>
      <c r="CFF293" s="148"/>
      <c r="CFG293" s="148"/>
      <c r="CFH293" s="148"/>
      <c r="CFI293" s="148"/>
      <c r="CFJ293" s="148"/>
      <c r="CFK293" s="148"/>
      <c r="CFL293" s="148"/>
      <c r="CFM293" s="148"/>
      <c r="CFN293" s="148"/>
      <c r="CFO293" s="148"/>
      <c r="CFP293" s="148"/>
      <c r="CFQ293" s="148"/>
      <c r="CFR293" s="148"/>
      <c r="CFS293" s="148"/>
      <c r="CFT293" s="148"/>
      <c r="CFU293" s="148"/>
      <c r="CFV293" s="148"/>
      <c r="CFW293" s="148"/>
      <c r="CFX293" s="148"/>
      <c r="CFY293" s="148"/>
      <c r="CFZ293" s="148"/>
      <c r="CGA293" s="148"/>
      <c r="CGB293" s="148"/>
      <c r="CGC293" s="148"/>
      <c r="CGD293" s="148"/>
      <c r="CGE293" s="148"/>
      <c r="CGF293" s="148"/>
      <c r="CGG293" s="148"/>
      <c r="CGH293" s="148"/>
      <c r="CGI293" s="148"/>
      <c r="CGJ293" s="148"/>
      <c r="CGK293" s="148"/>
      <c r="CGL293" s="148"/>
      <c r="CGM293" s="148"/>
      <c r="CGN293" s="148"/>
      <c r="CGO293" s="148"/>
      <c r="CGP293" s="148"/>
      <c r="CGQ293" s="148"/>
      <c r="CGR293" s="148"/>
      <c r="CGS293" s="148"/>
      <c r="CGT293" s="148"/>
      <c r="CGU293" s="148"/>
      <c r="CGV293" s="148"/>
      <c r="CGW293" s="148"/>
      <c r="CGX293" s="148"/>
      <c r="CGY293" s="148"/>
      <c r="CGZ293" s="148"/>
      <c r="CHA293" s="148"/>
      <c r="CHB293" s="148"/>
      <c r="CHC293" s="148"/>
      <c r="CHD293" s="148"/>
      <c r="CHE293" s="148"/>
      <c r="CHF293" s="148"/>
      <c r="CHG293" s="148"/>
      <c r="CHH293" s="148"/>
      <c r="CHI293" s="148"/>
      <c r="CHJ293" s="148"/>
      <c r="CHK293" s="148"/>
      <c r="CHL293" s="148"/>
      <c r="CHM293" s="148"/>
      <c r="CHN293" s="148"/>
      <c r="CHO293" s="148"/>
      <c r="CHP293" s="148"/>
      <c r="CHQ293" s="148"/>
      <c r="CHR293" s="148"/>
      <c r="CHS293" s="148"/>
      <c r="CHT293" s="148"/>
      <c r="CHU293" s="148"/>
      <c r="CHV293" s="148"/>
      <c r="CHW293" s="148"/>
      <c r="CHX293" s="148"/>
      <c r="CHY293" s="148"/>
      <c r="CHZ293" s="148"/>
      <c r="CIA293" s="148"/>
      <c r="CIB293" s="148"/>
      <c r="CIC293" s="148"/>
      <c r="CID293" s="148"/>
      <c r="CIE293" s="148"/>
      <c r="CIF293" s="148"/>
      <c r="CIG293" s="148"/>
      <c r="CIH293" s="148"/>
      <c r="CII293" s="148"/>
      <c r="CIJ293" s="148"/>
      <c r="CIK293" s="148"/>
      <c r="CIL293" s="148"/>
      <c r="CIM293" s="148"/>
      <c r="CIN293" s="148"/>
      <c r="CIO293" s="148"/>
      <c r="CIP293" s="148"/>
      <c r="CIQ293" s="148"/>
      <c r="CIR293" s="148"/>
      <c r="CIS293" s="148"/>
      <c r="CIT293" s="148"/>
      <c r="CIU293" s="148"/>
      <c r="CIV293" s="148"/>
      <c r="CIW293" s="148"/>
      <c r="CIX293" s="148"/>
      <c r="CIY293" s="148"/>
      <c r="CIZ293" s="148"/>
      <c r="CJA293" s="148"/>
      <c r="CJB293" s="148"/>
      <c r="CJC293" s="148"/>
      <c r="CJD293" s="148"/>
      <c r="CJE293" s="148"/>
      <c r="CJF293" s="148"/>
      <c r="CJG293" s="148"/>
      <c r="CJH293" s="148"/>
      <c r="CJI293" s="148"/>
      <c r="CJJ293" s="148"/>
      <c r="CJK293" s="148"/>
      <c r="CJL293" s="148"/>
      <c r="CJM293" s="148"/>
      <c r="CJN293" s="148"/>
      <c r="CJO293" s="148"/>
      <c r="CJP293" s="148"/>
      <c r="CJQ293" s="148"/>
      <c r="CJR293" s="148"/>
      <c r="CJS293" s="148"/>
      <c r="CJT293" s="148"/>
      <c r="CJU293" s="148"/>
      <c r="CJV293" s="148"/>
      <c r="CJW293" s="148"/>
      <c r="CJX293" s="148"/>
      <c r="CJY293" s="148"/>
      <c r="CJZ293" s="148"/>
      <c r="CKA293" s="148"/>
      <c r="CKB293" s="148"/>
      <c r="CKC293" s="148"/>
      <c r="CKD293" s="148"/>
      <c r="CKE293" s="148"/>
      <c r="CKF293" s="148"/>
      <c r="CKG293" s="148"/>
      <c r="CKH293" s="148"/>
      <c r="CKI293" s="148"/>
      <c r="CKJ293" s="148"/>
      <c r="CKK293" s="148"/>
      <c r="CKL293" s="148"/>
      <c r="CKM293" s="148"/>
      <c r="CKN293" s="148"/>
      <c r="CKO293" s="148"/>
      <c r="CKP293" s="148"/>
      <c r="CKQ293" s="148"/>
      <c r="CKR293" s="148"/>
      <c r="CKS293" s="148"/>
      <c r="CKT293" s="148"/>
      <c r="CKU293" s="148"/>
      <c r="CKV293" s="148"/>
      <c r="CKW293" s="148"/>
      <c r="CKX293" s="148"/>
      <c r="CKY293" s="148"/>
      <c r="CKZ293" s="148"/>
      <c r="CLA293" s="148"/>
      <c r="CLB293" s="148"/>
      <c r="CLC293" s="148"/>
      <c r="CLD293" s="148"/>
      <c r="CLE293" s="148"/>
      <c r="CLF293" s="148"/>
      <c r="CLG293" s="148"/>
      <c r="CLH293" s="148"/>
      <c r="CLI293" s="148"/>
      <c r="CLJ293" s="148"/>
      <c r="CLK293" s="148"/>
      <c r="CLL293" s="148"/>
      <c r="CLM293" s="148"/>
      <c r="CLN293" s="148"/>
      <c r="CLO293" s="148"/>
      <c r="CLP293" s="148"/>
      <c r="CLQ293" s="148"/>
      <c r="CLR293" s="148"/>
      <c r="CLS293" s="148"/>
      <c r="CLT293" s="148"/>
      <c r="CLU293" s="148"/>
      <c r="CLV293" s="148"/>
      <c r="CLW293" s="148"/>
      <c r="CLX293" s="148"/>
      <c r="CLY293" s="148"/>
      <c r="CLZ293" s="148"/>
      <c r="CMA293" s="148"/>
      <c r="CMB293" s="148"/>
      <c r="CMC293" s="148"/>
      <c r="CMD293" s="148"/>
      <c r="CME293" s="148"/>
      <c r="CMF293" s="148"/>
      <c r="CMG293" s="148"/>
      <c r="CMH293" s="148"/>
      <c r="CMI293" s="148"/>
      <c r="CMJ293" s="148"/>
      <c r="CMK293" s="148"/>
      <c r="CML293" s="148"/>
      <c r="CMM293" s="148"/>
      <c r="CMN293" s="148"/>
      <c r="CMO293" s="148"/>
      <c r="CMP293" s="148"/>
      <c r="CMQ293" s="148"/>
      <c r="CMR293" s="148"/>
      <c r="CMS293" s="148"/>
      <c r="CMT293" s="148"/>
      <c r="CMU293" s="148"/>
      <c r="CMV293" s="148"/>
      <c r="CMW293" s="148"/>
      <c r="CMX293" s="148"/>
      <c r="CMY293" s="148"/>
      <c r="CMZ293" s="148"/>
      <c r="CNA293" s="148"/>
      <c r="CNB293" s="148"/>
      <c r="CNC293" s="148"/>
      <c r="CND293" s="148"/>
      <c r="CNE293" s="148"/>
      <c r="CNF293" s="148"/>
      <c r="CNG293" s="148"/>
      <c r="CNH293" s="148"/>
      <c r="CNI293" s="148"/>
      <c r="CNJ293" s="148"/>
      <c r="CNK293" s="148"/>
      <c r="CNL293" s="148"/>
      <c r="CNM293" s="148"/>
      <c r="CNN293" s="148"/>
      <c r="CNO293" s="148"/>
      <c r="CNP293" s="148"/>
      <c r="CNQ293" s="148"/>
      <c r="CNR293" s="148"/>
      <c r="CNS293" s="148"/>
      <c r="CNT293" s="148"/>
      <c r="CNU293" s="148"/>
      <c r="CNV293" s="148"/>
      <c r="CNW293" s="148"/>
      <c r="CNX293" s="148"/>
      <c r="CNY293" s="148"/>
      <c r="CNZ293" s="148"/>
      <c r="COA293" s="148"/>
      <c r="COB293" s="148"/>
      <c r="COC293" s="148"/>
      <c r="COD293" s="148"/>
      <c r="COE293" s="148"/>
      <c r="COF293" s="148"/>
      <c r="COG293" s="148"/>
      <c r="COH293" s="148"/>
      <c r="COI293" s="148"/>
      <c r="COJ293" s="148"/>
      <c r="COK293" s="148"/>
      <c r="COL293" s="148"/>
      <c r="COM293" s="148"/>
      <c r="CON293" s="148"/>
      <c r="COO293" s="148"/>
      <c r="COP293" s="148"/>
      <c r="COQ293" s="148"/>
      <c r="COR293" s="148"/>
      <c r="COS293" s="148"/>
      <c r="COT293" s="148"/>
      <c r="COU293" s="148"/>
      <c r="COV293" s="148"/>
      <c r="COW293" s="148"/>
      <c r="COX293" s="148"/>
      <c r="COY293" s="148"/>
      <c r="COZ293" s="148"/>
      <c r="CPA293" s="148"/>
      <c r="CPB293" s="148"/>
      <c r="CPC293" s="148"/>
      <c r="CPD293" s="148"/>
      <c r="CPE293" s="148"/>
      <c r="CPF293" s="148"/>
      <c r="CPG293" s="148"/>
      <c r="CPH293" s="148"/>
      <c r="CPI293" s="148"/>
      <c r="CPJ293" s="148"/>
      <c r="CPK293" s="148"/>
      <c r="CPL293" s="148"/>
      <c r="CPM293" s="148"/>
      <c r="CPN293" s="148"/>
      <c r="CPO293" s="148"/>
      <c r="CPP293" s="148"/>
      <c r="CPQ293" s="148"/>
      <c r="CPR293" s="148"/>
      <c r="CPS293" s="148"/>
      <c r="CPT293" s="148"/>
      <c r="CPU293" s="148"/>
      <c r="CPV293" s="148"/>
      <c r="CPW293" s="148"/>
      <c r="CPX293" s="148"/>
      <c r="CPY293" s="148"/>
      <c r="CPZ293" s="148"/>
      <c r="CQA293" s="148"/>
      <c r="CQB293" s="148"/>
      <c r="CQC293" s="148"/>
      <c r="CQD293" s="148"/>
      <c r="CQE293" s="148"/>
      <c r="CQF293" s="148"/>
      <c r="CQG293" s="148"/>
      <c r="CQH293" s="148"/>
      <c r="CQI293" s="148"/>
      <c r="CQJ293" s="148"/>
      <c r="CQK293" s="148"/>
      <c r="CQL293" s="148"/>
      <c r="CQM293" s="148"/>
      <c r="CQN293" s="148"/>
      <c r="CQO293" s="148"/>
      <c r="CQP293" s="148"/>
      <c r="CQQ293" s="148"/>
      <c r="CQR293" s="148"/>
      <c r="CQS293" s="148"/>
      <c r="CQT293" s="148"/>
      <c r="CQU293" s="148"/>
      <c r="CQV293" s="148"/>
      <c r="CQW293" s="148"/>
      <c r="CQX293" s="148"/>
      <c r="CQY293" s="148"/>
      <c r="CQZ293" s="148"/>
      <c r="CRA293" s="148"/>
      <c r="CRB293" s="148"/>
      <c r="CRC293" s="148"/>
      <c r="CRD293" s="148"/>
      <c r="CRE293" s="148"/>
      <c r="CRF293" s="148"/>
      <c r="CRG293" s="148"/>
      <c r="CRH293" s="148"/>
      <c r="CRI293" s="148"/>
      <c r="CRJ293" s="148"/>
      <c r="CRK293" s="148"/>
      <c r="CRL293" s="148"/>
      <c r="CRM293" s="148"/>
      <c r="CRN293" s="148"/>
      <c r="CRO293" s="148"/>
      <c r="CRP293" s="148"/>
      <c r="CRQ293" s="148"/>
      <c r="CRR293" s="148"/>
      <c r="CRS293" s="148"/>
      <c r="CRT293" s="148"/>
      <c r="CRU293" s="148"/>
      <c r="CRV293" s="148"/>
      <c r="CRW293" s="148"/>
      <c r="CRX293" s="148"/>
      <c r="CRY293" s="148"/>
      <c r="CRZ293" s="148"/>
      <c r="CSA293" s="148"/>
      <c r="CSB293" s="148"/>
      <c r="CSC293" s="148"/>
      <c r="CSD293" s="148"/>
      <c r="CSE293" s="148"/>
      <c r="CSF293" s="148"/>
      <c r="CSG293" s="148"/>
      <c r="CSH293" s="148"/>
      <c r="CSI293" s="148"/>
      <c r="CSJ293" s="148"/>
      <c r="CSK293" s="148"/>
      <c r="CSL293" s="148"/>
      <c r="CSM293" s="148"/>
      <c r="CSN293" s="148"/>
      <c r="CSO293" s="148"/>
      <c r="CSP293" s="148"/>
      <c r="CSQ293" s="148"/>
      <c r="CSR293" s="148"/>
      <c r="CSS293" s="148"/>
      <c r="CST293" s="148"/>
      <c r="CSU293" s="148"/>
      <c r="CSV293" s="148"/>
      <c r="CSW293" s="148"/>
      <c r="CSX293" s="148"/>
      <c r="CSY293" s="148"/>
      <c r="CSZ293" s="148"/>
      <c r="CTA293" s="148"/>
      <c r="CTB293" s="148"/>
      <c r="CTC293" s="148"/>
      <c r="CTD293" s="148"/>
      <c r="CTE293" s="148"/>
      <c r="CTF293" s="148"/>
      <c r="CTG293" s="148"/>
      <c r="CTH293" s="148"/>
      <c r="CTI293" s="148"/>
      <c r="CTJ293" s="148"/>
      <c r="CTK293" s="148"/>
      <c r="CTL293" s="148"/>
      <c r="CTM293" s="148"/>
      <c r="CTN293" s="148"/>
      <c r="CTO293" s="148"/>
      <c r="CTP293" s="148"/>
      <c r="CTQ293" s="148"/>
      <c r="CTR293" s="148"/>
      <c r="CTS293" s="148"/>
      <c r="CTT293" s="148"/>
      <c r="CTU293" s="148"/>
      <c r="CTV293" s="148"/>
      <c r="CTW293" s="148"/>
      <c r="CTX293" s="148"/>
      <c r="CTY293" s="148"/>
      <c r="CTZ293" s="148"/>
      <c r="CUA293" s="148"/>
      <c r="CUB293" s="148"/>
      <c r="CUC293" s="148"/>
      <c r="CUD293" s="148"/>
      <c r="CUE293" s="148"/>
      <c r="CUF293" s="148"/>
      <c r="CUG293" s="148"/>
      <c r="CUH293" s="148"/>
      <c r="CUI293" s="148"/>
      <c r="CUJ293" s="148"/>
      <c r="CUK293" s="148"/>
      <c r="CUL293" s="148"/>
      <c r="CUM293" s="148"/>
      <c r="CUN293" s="148"/>
      <c r="CUO293" s="148"/>
      <c r="CUP293" s="148"/>
      <c r="CUQ293" s="148"/>
      <c r="CUR293" s="148"/>
      <c r="CUS293" s="148"/>
      <c r="CUT293" s="148"/>
      <c r="CUU293" s="148"/>
      <c r="CUV293" s="148"/>
      <c r="CUW293" s="148"/>
      <c r="CUX293" s="148"/>
      <c r="CUY293" s="148"/>
      <c r="CUZ293" s="148"/>
      <c r="CVA293" s="148"/>
      <c r="CVB293" s="148"/>
      <c r="CVC293" s="148"/>
      <c r="CVD293" s="148"/>
      <c r="CVE293" s="148"/>
      <c r="CVF293" s="148"/>
      <c r="CVG293" s="148"/>
      <c r="CVH293" s="148"/>
      <c r="CVI293" s="148"/>
      <c r="CVJ293" s="148"/>
      <c r="CVK293" s="148"/>
      <c r="CVL293" s="148"/>
      <c r="CVM293" s="148"/>
      <c r="CVN293" s="148"/>
      <c r="CVO293" s="148"/>
      <c r="CVP293" s="148"/>
      <c r="CVQ293" s="148"/>
      <c r="CVR293" s="148"/>
      <c r="CVS293" s="148"/>
      <c r="CVT293" s="148"/>
      <c r="CVU293" s="148"/>
      <c r="CVV293" s="148"/>
      <c r="CVW293" s="148"/>
      <c r="CVX293" s="148"/>
      <c r="CVY293" s="148"/>
      <c r="CVZ293" s="148"/>
      <c r="CWA293" s="148"/>
      <c r="CWB293" s="148"/>
      <c r="CWC293" s="148"/>
      <c r="CWD293" s="148"/>
      <c r="CWE293" s="148"/>
      <c r="CWF293" s="148"/>
      <c r="CWG293" s="148"/>
      <c r="CWH293" s="148"/>
      <c r="CWI293" s="148"/>
      <c r="CWJ293" s="148"/>
      <c r="CWK293" s="148"/>
      <c r="CWL293" s="148"/>
      <c r="CWM293" s="148"/>
      <c r="CWN293" s="148"/>
      <c r="CWO293" s="148"/>
      <c r="CWP293" s="148"/>
      <c r="CWQ293" s="148"/>
      <c r="CWR293" s="148"/>
      <c r="CWS293" s="148"/>
      <c r="CWT293" s="148"/>
      <c r="CWU293" s="148"/>
      <c r="CWV293" s="148"/>
      <c r="CWW293" s="148"/>
      <c r="CWX293" s="148"/>
      <c r="CWY293" s="148"/>
      <c r="CWZ293" s="148"/>
      <c r="CXA293" s="148"/>
      <c r="CXB293" s="148"/>
      <c r="CXC293" s="148"/>
      <c r="CXD293" s="148"/>
      <c r="CXE293" s="148"/>
      <c r="CXF293" s="148"/>
      <c r="CXG293" s="148"/>
      <c r="CXH293" s="148"/>
      <c r="CXI293" s="148"/>
      <c r="CXJ293" s="148"/>
      <c r="CXK293" s="148"/>
      <c r="CXL293" s="148"/>
      <c r="CXM293" s="148"/>
      <c r="CXN293" s="148"/>
      <c r="CXO293" s="148"/>
      <c r="CXP293" s="148"/>
      <c r="CXQ293" s="148"/>
      <c r="CXR293" s="148"/>
      <c r="CXS293" s="148"/>
      <c r="CXT293" s="148"/>
      <c r="CXU293" s="148"/>
      <c r="CXV293" s="148"/>
      <c r="CXW293" s="148"/>
      <c r="CXX293" s="148"/>
      <c r="CXY293" s="148"/>
      <c r="CXZ293" s="148"/>
      <c r="CYA293" s="148"/>
      <c r="CYB293" s="148"/>
      <c r="CYC293" s="148"/>
      <c r="CYD293" s="148"/>
      <c r="CYE293" s="148"/>
      <c r="CYF293" s="148"/>
      <c r="CYG293" s="148"/>
      <c r="CYH293" s="148"/>
      <c r="CYI293" s="148"/>
      <c r="CYJ293" s="148"/>
      <c r="CYK293" s="148"/>
      <c r="CYL293" s="148"/>
      <c r="CYM293" s="148"/>
      <c r="CYN293" s="148"/>
      <c r="CYO293" s="148"/>
      <c r="CYP293" s="148"/>
      <c r="CYQ293" s="148"/>
      <c r="CYR293" s="148"/>
      <c r="CYS293" s="148"/>
      <c r="CYT293" s="148"/>
      <c r="CYU293" s="148"/>
      <c r="CYV293" s="148"/>
      <c r="CYW293" s="148"/>
      <c r="CYX293" s="148"/>
      <c r="CYY293" s="148"/>
      <c r="CYZ293" s="148"/>
      <c r="CZA293" s="148"/>
      <c r="CZB293" s="148"/>
      <c r="CZC293" s="148"/>
      <c r="CZD293" s="148"/>
      <c r="CZE293" s="148"/>
      <c r="CZF293" s="148"/>
      <c r="CZG293" s="148"/>
      <c r="CZH293" s="148"/>
      <c r="CZI293" s="148"/>
      <c r="CZJ293" s="148"/>
      <c r="CZK293" s="148"/>
      <c r="CZL293" s="148"/>
      <c r="CZM293" s="148"/>
      <c r="CZN293" s="148"/>
      <c r="CZO293" s="148"/>
      <c r="CZP293" s="148"/>
      <c r="CZQ293" s="148"/>
      <c r="CZR293" s="148"/>
      <c r="CZS293" s="148"/>
      <c r="CZT293" s="148"/>
      <c r="CZU293" s="148"/>
      <c r="CZV293" s="148"/>
      <c r="CZW293" s="148"/>
      <c r="CZX293" s="148"/>
      <c r="CZY293" s="148"/>
      <c r="CZZ293" s="148"/>
      <c r="DAA293" s="148"/>
      <c r="DAB293" s="148"/>
      <c r="DAC293" s="148"/>
      <c r="DAD293" s="148"/>
      <c r="DAE293" s="148"/>
      <c r="DAF293" s="148"/>
      <c r="DAG293" s="148"/>
      <c r="DAH293" s="148"/>
      <c r="DAI293" s="148"/>
      <c r="DAJ293" s="148"/>
      <c r="DAK293" s="148"/>
      <c r="DAL293" s="148"/>
      <c r="DAM293" s="148"/>
      <c r="DAN293" s="148"/>
      <c r="DAO293" s="148"/>
      <c r="DAP293" s="148"/>
      <c r="DAQ293" s="148"/>
      <c r="DAR293" s="148"/>
      <c r="DAS293" s="148"/>
      <c r="DAT293" s="148"/>
      <c r="DAU293" s="148"/>
      <c r="DAV293" s="148"/>
      <c r="DAW293" s="148"/>
      <c r="DAX293" s="148"/>
      <c r="DAY293" s="148"/>
      <c r="DAZ293" s="148"/>
      <c r="DBA293" s="148"/>
      <c r="DBB293" s="148"/>
      <c r="DBC293" s="148"/>
      <c r="DBD293" s="148"/>
      <c r="DBE293" s="148"/>
      <c r="DBF293" s="148"/>
      <c r="DBG293" s="148"/>
      <c r="DBH293" s="148"/>
      <c r="DBI293" s="148"/>
      <c r="DBJ293" s="148"/>
      <c r="DBK293" s="148"/>
      <c r="DBL293" s="148"/>
      <c r="DBM293" s="148"/>
      <c r="DBN293" s="148"/>
      <c r="DBO293" s="148"/>
      <c r="DBP293" s="148"/>
      <c r="DBQ293" s="148"/>
      <c r="DBR293" s="148"/>
      <c r="DBS293" s="148"/>
      <c r="DBT293" s="148"/>
      <c r="DBU293" s="148"/>
      <c r="DBV293" s="148"/>
      <c r="DBW293" s="148"/>
      <c r="DBX293" s="148"/>
      <c r="DBY293" s="148"/>
      <c r="DBZ293" s="148"/>
      <c r="DCA293" s="148"/>
      <c r="DCB293" s="148"/>
      <c r="DCC293" s="148"/>
      <c r="DCD293" s="148"/>
      <c r="DCE293" s="148"/>
      <c r="DCF293" s="148"/>
      <c r="DCG293" s="148"/>
      <c r="DCH293" s="148"/>
      <c r="DCI293" s="148"/>
      <c r="DCJ293" s="148"/>
      <c r="DCK293" s="148"/>
      <c r="DCL293" s="148"/>
      <c r="DCM293" s="148"/>
      <c r="DCN293" s="148"/>
      <c r="DCO293" s="148"/>
      <c r="DCP293" s="148"/>
      <c r="DCQ293" s="148"/>
      <c r="DCR293" s="148"/>
      <c r="DCS293" s="148"/>
      <c r="DCT293" s="148"/>
      <c r="DCU293" s="148"/>
      <c r="DCV293" s="148"/>
      <c r="DCW293" s="148"/>
      <c r="DCX293" s="148"/>
      <c r="DCY293" s="148"/>
      <c r="DCZ293" s="148"/>
      <c r="DDA293" s="148"/>
      <c r="DDB293" s="148"/>
      <c r="DDC293" s="148"/>
      <c r="DDD293" s="148"/>
      <c r="DDE293" s="148"/>
      <c r="DDF293" s="148"/>
      <c r="DDG293" s="148"/>
      <c r="DDH293" s="148"/>
      <c r="DDI293" s="148"/>
      <c r="DDJ293" s="148"/>
      <c r="DDK293" s="148"/>
      <c r="DDL293" s="148"/>
      <c r="DDM293" s="148"/>
      <c r="DDN293" s="148"/>
      <c r="DDO293" s="148"/>
      <c r="DDP293" s="148"/>
      <c r="DDQ293" s="148"/>
      <c r="DDR293" s="148"/>
      <c r="DDS293" s="148"/>
      <c r="DDT293" s="148"/>
      <c r="DDU293" s="148"/>
      <c r="DDV293" s="148"/>
      <c r="DDW293" s="148"/>
      <c r="DDX293" s="148"/>
      <c r="DDY293" s="148"/>
      <c r="DDZ293" s="148"/>
      <c r="DEA293" s="148"/>
      <c r="DEB293" s="148"/>
      <c r="DEC293" s="148"/>
      <c r="DED293" s="148"/>
      <c r="DEE293" s="148"/>
      <c r="DEF293" s="148"/>
      <c r="DEG293" s="148"/>
      <c r="DEH293" s="148"/>
      <c r="DEI293" s="148"/>
      <c r="DEJ293" s="148"/>
      <c r="DEK293" s="148"/>
      <c r="DEL293" s="148"/>
      <c r="DEM293" s="148"/>
      <c r="DEN293" s="148"/>
      <c r="DEO293" s="148"/>
      <c r="DEP293" s="148"/>
      <c r="DEQ293" s="148"/>
      <c r="DER293" s="148"/>
      <c r="DES293" s="148"/>
      <c r="DET293" s="148"/>
      <c r="DEU293" s="148"/>
      <c r="DEV293" s="148"/>
      <c r="DEW293" s="148"/>
      <c r="DEX293" s="148"/>
      <c r="DEY293" s="148"/>
      <c r="DEZ293" s="148"/>
      <c r="DFA293" s="148"/>
      <c r="DFB293" s="148"/>
      <c r="DFC293" s="148"/>
      <c r="DFD293" s="148"/>
      <c r="DFE293" s="148"/>
      <c r="DFF293" s="148"/>
      <c r="DFG293" s="148"/>
      <c r="DFH293" s="148"/>
      <c r="DFI293" s="148"/>
      <c r="DFJ293" s="148"/>
      <c r="DFK293" s="148"/>
      <c r="DFL293" s="148"/>
      <c r="DFM293" s="148"/>
      <c r="DFN293" s="148"/>
      <c r="DFO293" s="148"/>
      <c r="DFP293" s="148"/>
      <c r="DFQ293" s="148"/>
      <c r="DFR293" s="148"/>
      <c r="DFS293" s="148"/>
      <c r="DFT293" s="148"/>
      <c r="DFU293" s="148"/>
      <c r="DFV293" s="148"/>
      <c r="DFW293" s="148"/>
      <c r="DFX293" s="148"/>
      <c r="DFY293" s="148"/>
      <c r="DFZ293" s="148"/>
      <c r="DGA293" s="148"/>
      <c r="DGB293" s="148"/>
      <c r="DGC293" s="148"/>
      <c r="DGD293" s="148"/>
      <c r="DGE293" s="148"/>
      <c r="DGF293" s="148"/>
      <c r="DGG293" s="148"/>
      <c r="DGH293" s="148"/>
      <c r="DGI293" s="148"/>
      <c r="DGJ293" s="148"/>
      <c r="DGK293" s="148"/>
      <c r="DGL293" s="148"/>
      <c r="DGM293" s="148"/>
      <c r="DGN293" s="148"/>
      <c r="DGO293" s="148"/>
      <c r="DGP293" s="148"/>
      <c r="DGQ293" s="148"/>
      <c r="DGR293" s="148"/>
      <c r="DGS293" s="148"/>
      <c r="DGT293" s="148"/>
      <c r="DGU293" s="148"/>
      <c r="DGV293" s="148"/>
      <c r="DGW293" s="148"/>
      <c r="DGX293" s="148"/>
      <c r="DGY293" s="148"/>
      <c r="DGZ293" s="148"/>
      <c r="DHA293" s="148"/>
      <c r="DHB293" s="148"/>
      <c r="DHC293" s="148"/>
      <c r="DHD293" s="148"/>
      <c r="DHE293" s="148"/>
      <c r="DHF293" s="148"/>
      <c r="DHG293" s="148"/>
      <c r="DHH293" s="148"/>
      <c r="DHI293" s="148"/>
      <c r="DHJ293" s="148"/>
      <c r="DHK293" s="148"/>
      <c r="DHL293" s="148"/>
      <c r="DHM293" s="148"/>
      <c r="DHN293" s="148"/>
      <c r="DHO293" s="148"/>
      <c r="DHP293" s="148"/>
      <c r="DHQ293" s="148"/>
      <c r="DHR293" s="148"/>
      <c r="DHS293" s="148"/>
      <c r="DHT293" s="148"/>
      <c r="DHU293" s="148"/>
      <c r="DHV293" s="148"/>
      <c r="DHW293" s="148"/>
      <c r="DHX293" s="148"/>
      <c r="DHY293" s="148"/>
      <c r="DHZ293" s="148"/>
      <c r="DIA293" s="148"/>
      <c r="DIB293" s="148"/>
      <c r="DIC293" s="148"/>
      <c r="DID293" s="148"/>
      <c r="DIE293" s="148"/>
      <c r="DIF293" s="148"/>
      <c r="DIG293" s="148"/>
      <c r="DIH293" s="148"/>
      <c r="DII293" s="148"/>
      <c r="DIJ293" s="148"/>
      <c r="DIK293" s="148"/>
      <c r="DIL293" s="148"/>
      <c r="DIM293" s="148"/>
      <c r="DIN293" s="148"/>
      <c r="DIO293" s="148"/>
      <c r="DIP293" s="148"/>
      <c r="DIQ293" s="148"/>
      <c r="DIR293" s="148"/>
      <c r="DIS293" s="148"/>
      <c r="DIT293" s="148"/>
      <c r="DIU293" s="148"/>
      <c r="DIV293" s="148"/>
      <c r="DIW293" s="148"/>
      <c r="DIX293" s="148"/>
      <c r="DIY293" s="148"/>
      <c r="DIZ293" s="148"/>
      <c r="DJA293" s="148"/>
      <c r="DJB293" s="148"/>
      <c r="DJC293" s="148"/>
      <c r="DJD293" s="148"/>
      <c r="DJE293" s="148"/>
      <c r="DJF293" s="148"/>
      <c r="DJG293" s="148"/>
      <c r="DJH293" s="148"/>
      <c r="DJI293" s="148"/>
      <c r="DJJ293" s="148"/>
      <c r="DJK293" s="148"/>
      <c r="DJL293" s="148"/>
      <c r="DJM293" s="148"/>
      <c r="DJN293" s="148"/>
      <c r="DJO293" s="148"/>
      <c r="DJP293" s="148"/>
      <c r="DJQ293" s="148"/>
      <c r="DJR293" s="148"/>
      <c r="DJS293" s="148"/>
      <c r="DJT293" s="148"/>
      <c r="DJU293" s="148"/>
      <c r="DJV293" s="148"/>
      <c r="DJW293" s="148"/>
      <c r="DJX293" s="148"/>
      <c r="DJY293" s="148"/>
      <c r="DJZ293" s="148"/>
      <c r="DKA293" s="148"/>
      <c r="DKB293" s="148"/>
      <c r="DKC293" s="148"/>
      <c r="DKD293" s="148"/>
      <c r="DKE293" s="148"/>
      <c r="DKF293" s="148"/>
      <c r="DKG293" s="148"/>
      <c r="DKH293" s="148"/>
      <c r="DKI293" s="148"/>
      <c r="DKJ293" s="148"/>
      <c r="DKK293" s="148"/>
      <c r="DKL293" s="148"/>
      <c r="DKM293" s="148"/>
      <c r="DKN293" s="148"/>
      <c r="DKO293" s="148"/>
      <c r="DKP293" s="148"/>
      <c r="DKQ293" s="148"/>
      <c r="DKR293" s="148"/>
      <c r="DKS293" s="148"/>
      <c r="DKT293" s="148"/>
      <c r="DKU293" s="148"/>
      <c r="DKV293" s="148"/>
      <c r="DKW293" s="148"/>
      <c r="DKX293" s="148"/>
      <c r="DKY293" s="148"/>
      <c r="DKZ293" s="148"/>
      <c r="DLA293" s="148"/>
      <c r="DLB293" s="148"/>
      <c r="DLC293" s="148"/>
      <c r="DLD293" s="148"/>
      <c r="DLE293" s="148"/>
      <c r="DLF293" s="148"/>
      <c r="DLG293" s="148"/>
      <c r="DLH293" s="148"/>
      <c r="DLI293" s="148"/>
      <c r="DLJ293" s="148"/>
      <c r="DLK293" s="148"/>
      <c r="DLL293" s="148"/>
      <c r="DLM293" s="148"/>
      <c r="DLN293" s="148"/>
      <c r="DLO293" s="148"/>
      <c r="DLP293" s="148"/>
      <c r="DLQ293" s="148"/>
      <c r="DLR293" s="148"/>
      <c r="DLS293" s="148"/>
      <c r="DLT293" s="148"/>
      <c r="DLU293" s="148"/>
      <c r="DLV293" s="148"/>
      <c r="DLW293" s="148"/>
      <c r="DLX293" s="148"/>
      <c r="DLY293" s="148"/>
      <c r="DLZ293" s="148"/>
      <c r="DMA293" s="148"/>
      <c r="DMB293" s="148"/>
      <c r="DMC293" s="148"/>
      <c r="DMD293" s="148"/>
      <c r="DME293" s="148"/>
      <c r="DMF293" s="148"/>
      <c r="DMG293" s="148"/>
      <c r="DMH293" s="148"/>
      <c r="DMI293" s="148"/>
      <c r="DMJ293" s="148"/>
      <c r="DMK293" s="148"/>
      <c r="DML293" s="148"/>
      <c r="DMM293" s="148"/>
      <c r="DMN293" s="148"/>
      <c r="DMO293" s="148"/>
      <c r="DMP293" s="148"/>
      <c r="DMQ293" s="148"/>
      <c r="DMR293" s="148"/>
      <c r="DMS293" s="148"/>
      <c r="DMT293" s="148"/>
      <c r="DMU293" s="148"/>
      <c r="DMV293" s="148"/>
      <c r="DMW293" s="148"/>
      <c r="DMX293" s="148"/>
      <c r="DMY293" s="148"/>
      <c r="DMZ293" s="148"/>
      <c r="DNA293" s="148"/>
      <c r="DNB293" s="148"/>
      <c r="DNC293" s="148"/>
      <c r="DND293" s="148"/>
      <c r="DNE293" s="148"/>
      <c r="DNF293" s="148"/>
      <c r="DNG293" s="148"/>
      <c r="DNH293" s="148"/>
      <c r="DNI293" s="148"/>
      <c r="DNJ293" s="148"/>
      <c r="DNK293" s="148"/>
      <c r="DNL293" s="148"/>
      <c r="DNM293" s="148"/>
      <c r="DNN293" s="148"/>
      <c r="DNO293" s="148"/>
      <c r="DNP293" s="148"/>
      <c r="DNQ293" s="148"/>
      <c r="DNR293" s="148"/>
      <c r="DNS293" s="148"/>
      <c r="DNT293" s="148"/>
      <c r="DNU293" s="148"/>
      <c r="DNV293" s="148"/>
      <c r="DNW293" s="148"/>
      <c r="DNX293" s="148"/>
      <c r="DNY293" s="148"/>
      <c r="DNZ293" s="148"/>
      <c r="DOA293" s="148"/>
      <c r="DOB293" s="148"/>
      <c r="DOC293" s="148"/>
      <c r="DOD293" s="148"/>
      <c r="DOE293" s="148"/>
      <c r="DOF293" s="148"/>
      <c r="DOG293" s="148"/>
      <c r="DOH293" s="148"/>
      <c r="DOI293" s="148"/>
      <c r="DOJ293" s="148"/>
      <c r="DOK293" s="148"/>
      <c r="DOL293" s="148"/>
      <c r="DOM293" s="148"/>
      <c r="DON293" s="148"/>
      <c r="DOO293" s="148"/>
      <c r="DOP293" s="148"/>
      <c r="DOQ293" s="148"/>
      <c r="DOR293" s="148"/>
      <c r="DOS293" s="148"/>
      <c r="DOT293" s="148"/>
      <c r="DOU293" s="148"/>
      <c r="DOV293" s="148"/>
      <c r="DOW293" s="148"/>
      <c r="DOX293" s="148"/>
      <c r="DOY293" s="148"/>
      <c r="DOZ293" s="148"/>
      <c r="DPA293" s="148"/>
      <c r="DPB293" s="148"/>
      <c r="DPC293" s="148"/>
      <c r="DPD293" s="148"/>
      <c r="DPE293" s="148"/>
      <c r="DPF293" s="148"/>
      <c r="DPG293" s="148"/>
      <c r="DPH293" s="148"/>
      <c r="DPI293" s="148"/>
      <c r="DPJ293" s="148"/>
      <c r="DPK293" s="148"/>
      <c r="DPL293" s="148"/>
      <c r="DPM293" s="148"/>
      <c r="DPN293" s="148"/>
      <c r="DPO293" s="148"/>
      <c r="DPP293" s="148"/>
      <c r="DPQ293" s="148"/>
      <c r="DPR293" s="148"/>
      <c r="DPS293" s="148"/>
      <c r="DPT293" s="148"/>
      <c r="DPU293" s="148"/>
      <c r="DPV293" s="148"/>
      <c r="DPW293" s="148"/>
      <c r="DPX293" s="148"/>
      <c r="DPY293" s="148"/>
      <c r="DPZ293" s="148"/>
      <c r="DQA293" s="148"/>
      <c r="DQB293" s="148"/>
      <c r="DQC293" s="148"/>
      <c r="DQD293" s="148"/>
      <c r="DQE293" s="148"/>
      <c r="DQF293" s="148"/>
      <c r="DQG293" s="148"/>
      <c r="DQH293" s="148"/>
      <c r="DQI293" s="148"/>
      <c r="DQJ293" s="148"/>
      <c r="DQK293" s="148"/>
      <c r="DQL293" s="148"/>
      <c r="DQM293" s="148"/>
      <c r="DQN293" s="148"/>
      <c r="DQO293" s="148"/>
      <c r="DQP293" s="148"/>
      <c r="DQQ293" s="148"/>
      <c r="DQR293" s="148"/>
      <c r="DQS293" s="148"/>
      <c r="DQT293" s="148"/>
      <c r="DQU293" s="148"/>
      <c r="DQV293" s="148"/>
      <c r="DQW293" s="148"/>
      <c r="DQX293" s="148"/>
      <c r="DQY293" s="148"/>
      <c r="DQZ293" s="148"/>
      <c r="DRA293" s="148"/>
      <c r="DRB293" s="148"/>
      <c r="DRC293" s="148"/>
      <c r="DRD293" s="148"/>
      <c r="DRE293" s="148"/>
      <c r="DRF293" s="148"/>
      <c r="DRG293" s="148"/>
      <c r="DRH293" s="148"/>
      <c r="DRI293" s="148"/>
      <c r="DRJ293" s="148"/>
      <c r="DRK293" s="148"/>
      <c r="DRL293" s="148"/>
      <c r="DRM293" s="148"/>
      <c r="DRN293" s="148"/>
      <c r="DRO293" s="148"/>
      <c r="DRP293" s="148"/>
      <c r="DRQ293" s="148"/>
      <c r="DRR293" s="148"/>
      <c r="DRS293" s="148"/>
      <c r="DRT293" s="148"/>
      <c r="DRU293" s="148"/>
      <c r="DRV293" s="148"/>
      <c r="DRW293" s="148"/>
      <c r="DRX293" s="148"/>
      <c r="DRY293" s="148"/>
      <c r="DRZ293" s="148"/>
      <c r="DSA293" s="148"/>
      <c r="DSB293" s="148"/>
      <c r="DSC293" s="148"/>
      <c r="DSD293" s="148"/>
      <c r="DSE293" s="148"/>
      <c r="DSF293" s="148"/>
      <c r="DSG293" s="148"/>
      <c r="DSH293" s="148"/>
      <c r="DSI293" s="148"/>
      <c r="DSJ293" s="148"/>
      <c r="DSK293" s="148"/>
      <c r="DSL293" s="148"/>
      <c r="DSM293" s="148"/>
      <c r="DSN293" s="148"/>
      <c r="DSO293" s="148"/>
      <c r="DSP293" s="148"/>
      <c r="DSQ293" s="148"/>
      <c r="DSR293" s="148"/>
      <c r="DSS293" s="148"/>
      <c r="DST293" s="148"/>
      <c r="DSU293" s="148"/>
      <c r="DSV293" s="148"/>
      <c r="DSW293" s="148"/>
      <c r="DSX293" s="148"/>
      <c r="DSY293" s="148"/>
      <c r="DSZ293" s="148"/>
      <c r="DTA293" s="148"/>
      <c r="DTB293" s="148"/>
      <c r="DTC293" s="148"/>
      <c r="DTD293" s="148"/>
      <c r="DTE293" s="148"/>
      <c r="DTF293" s="148"/>
      <c r="DTG293" s="148"/>
      <c r="DTH293" s="148"/>
      <c r="DTI293" s="148"/>
      <c r="DTJ293" s="148"/>
      <c r="DTK293" s="148"/>
      <c r="DTL293" s="148"/>
      <c r="DTM293" s="148"/>
      <c r="DTN293" s="148"/>
      <c r="DTO293" s="148"/>
      <c r="DTP293" s="148"/>
      <c r="DTQ293" s="148"/>
      <c r="DTR293" s="148"/>
      <c r="DTS293" s="148"/>
      <c r="DTT293" s="148"/>
      <c r="DTU293" s="148"/>
      <c r="DTV293" s="148"/>
      <c r="DTW293" s="148"/>
      <c r="DTX293" s="148"/>
      <c r="DTY293" s="148"/>
      <c r="DTZ293" s="148"/>
      <c r="DUA293" s="148"/>
      <c r="DUB293" s="148"/>
      <c r="DUC293" s="148"/>
      <c r="DUD293" s="148"/>
      <c r="DUE293" s="148"/>
      <c r="DUF293" s="148"/>
      <c r="DUG293" s="148"/>
      <c r="DUH293" s="148"/>
      <c r="DUI293" s="148"/>
      <c r="DUJ293" s="148"/>
      <c r="DUK293" s="148"/>
      <c r="DUL293" s="148"/>
      <c r="DUM293" s="148"/>
      <c r="DUN293" s="148"/>
      <c r="DUO293" s="148"/>
      <c r="DUP293" s="148"/>
      <c r="DUQ293" s="148"/>
      <c r="DUR293" s="148"/>
      <c r="DUS293" s="148"/>
      <c r="DUT293" s="148"/>
      <c r="DUU293" s="148"/>
      <c r="DUV293" s="148"/>
      <c r="DUW293" s="148"/>
      <c r="DUX293" s="148"/>
      <c r="DUY293" s="148"/>
      <c r="DUZ293" s="148"/>
      <c r="DVA293" s="148"/>
      <c r="DVB293" s="148"/>
      <c r="DVC293" s="148"/>
      <c r="DVD293" s="148"/>
      <c r="DVE293" s="148"/>
      <c r="DVF293" s="148"/>
      <c r="DVG293" s="148"/>
      <c r="DVH293" s="148"/>
      <c r="DVI293" s="148"/>
      <c r="DVJ293" s="148"/>
      <c r="DVK293" s="148"/>
      <c r="DVL293" s="148"/>
      <c r="DVM293" s="148"/>
      <c r="DVN293" s="148"/>
      <c r="DVO293" s="148"/>
      <c r="DVP293" s="148"/>
      <c r="DVQ293" s="148"/>
      <c r="DVR293" s="148"/>
      <c r="DVS293" s="148"/>
      <c r="DVT293" s="148"/>
      <c r="DVU293" s="148"/>
      <c r="DVV293" s="148"/>
      <c r="DVW293" s="148"/>
      <c r="DVX293" s="148"/>
      <c r="DVY293" s="148"/>
      <c r="DVZ293" s="148"/>
      <c r="DWA293" s="148"/>
      <c r="DWB293" s="148"/>
      <c r="DWC293" s="148"/>
      <c r="DWD293" s="148"/>
      <c r="DWE293" s="148"/>
      <c r="DWF293" s="148"/>
      <c r="DWG293" s="148"/>
      <c r="DWH293" s="148"/>
      <c r="DWI293" s="148"/>
      <c r="DWJ293" s="148"/>
      <c r="DWK293" s="148"/>
      <c r="DWL293" s="148"/>
      <c r="DWM293" s="148"/>
      <c r="DWN293" s="148"/>
      <c r="DWO293" s="148"/>
      <c r="DWP293" s="148"/>
      <c r="DWQ293" s="148"/>
      <c r="DWR293" s="148"/>
      <c r="DWS293" s="148"/>
      <c r="DWT293" s="148"/>
      <c r="DWU293" s="148"/>
      <c r="DWV293" s="148"/>
      <c r="DWW293" s="148"/>
      <c r="DWX293" s="148"/>
      <c r="DWY293" s="148"/>
      <c r="DWZ293" s="148"/>
      <c r="DXA293" s="148"/>
      <c r="DXB293" s="148"/>
      <c r="DXC293" s="148"/>
      <c r="DXD293" s="148"/>
      <c r="DXE293" s="148"/>
      <c r="DXF293" s="148"/>
      <c r="DXG293" s="148"/>
      <c r="DXH293" s="148"/>
      <c r="DXI293" s="148"/>
      <c r="DXJ293" s="148"/>
      <c r="DXK293" s="148"/>
      <c r="DXL293" s="148"/>
      <c r="DXM293" s="148"/>
      <c r="DXN293" s="148"/>
      <c r="DXO293" s="148"/>
      <c r="DXP293" s="148"/>
      <c r="DXQ293" s="148"/>
      <c r="DXR293" s="148"/>
      <c r="DXS293" s="148"/>
      <c r="DXT293" s="148"/>
      <c r="DXU293" s="148"/>
      <c r="DXV293" s="148"/>
      <c r="DXW293" s="148"/>
      <c r="DXX293" s="148"/>
      <c r="DXY293" s="148"/>
      <c r="DXZ293" s="148"/>
      <c r="DYA293" s="148"/>
      <c r="DYB293" s="148"/>
      <c r="DYC293" s="148"/>
      <c r="DYD293" s="148"/>
      <c r="DYE293" s="148"/>
      <c r="DYF293" s="148"/>
      <c r="DYG293" s="148"/>
      <c r="DYH293" s="148"/>
      <c r="DYI293" s="148"/>
      <c r="DYJ293" s="148"/>
      <c r="DYK293" s="148"/>
      <c r="DYL293" s="148"/>
      <c r="DYM293" s="148"/>
      <c r="DYN293" s="148"/>
      <c r="DYO293" s="148"/>
      <c r="DYP293" s="148"/>
      <c r="DYQ293" s="148"/>
      <c r="DYR293" s="148"/>
      <c r="DYS293" s="148"/>
      <c r="DYT293" s="148"/>
      <c r="DYU293" s="148"/>
      <c r="DYV293" s="148"/>
      <c r="DYW293" s="148"/>
      <c r="DYX293" s="148"/>
      <c r="DYY293" s="148"/>
      <c r="DYZ293" s="148"/>
      <c r="DZA293" s="148"/>
      <c r="DZB293" s="148"/>
      <c r="DZC293" s="148"/>
      <c r="DZD293" s="148"/>
      <c r="DZE293" s="148"/>
      <c r="DZF293" s="148"/>
      <c r="DZG293" s="148"/>
      <c r="DZH293" s="148"/>
      <c r="DZI293" s="148"/>
      <c r="DZJ293" s="148"/>
      <c r="DZK293" s="148"/>
      <c r="DZL293" s="148"/>
      <c r="DZM293" s="148"/>
      <c r="DZN293" s="148"/>
      <c r="DZO293" s="148"/>
      <c r="DZP293" s="148"/>
      <c r="DZQ293" s="148"/>
      <c r="DZR293" s="148"/>
      <c r="DZS293" s="148"/>
      <c r="DZT293" s="148"/>
      <c r="DZU293" s="148"/>
      <c r="DZV293" s="148"/>
      <c r="DZW293" s="148"/>
      <c r="DZX293" s="148"/>
      <c r="DZY293" s="148"/>
      <c r="DZZ293" s="148"/>
      <c r="EAA293" s="148"/>
      <c r="EAB293" s="148"/>
      <c r="EAC293" s="148"/>
      <c r="EAD293" s="148"/>
      <c r="EAE293" s="148"/>
      <c r="EAF293" s="148"/>
      <c r="EAG293" s="148"/>
      <c r="EAH293" s="148"/>
      <c r="EAI293" s="148"/>
      <c r="EAJ293" s="148"/>
      <c r="EAK293" s="148"/>
      <c r="EAL293" s="148"/>
      <c r="EAM293" s="148"/>
      <c r="EAN293" s="148"/>
      <c r="EAO293" s="148"/>
      <c r="EAP293" s="148"/>
      <c r="EAQ293" s="148"/>
      <c r="EAR293" s="148"/>
      <c r="EAS293" s="148"/>
      <c r="EAT293" s="148"/>
      <c r="EAU293" s="148"/>
      <c r="EAV293" s="148"/>
      <c r="EAW293" s="148"/>
      <c r="EAX293" s="148"/>
      <c r="EAY293" s="148"/>
      <c r="EAZ293" s="148"/>
      <c r="EBA293" s="148"/>
      <c r="EBB293" s="148"/>
      <c r="EBC293" s="148"/>
      <c r="EBD293" s="148"/>
      <c r="EBE293" s="148"/>
      <c r="EBF293" s="148"/>
      <c r="EBG293" s="148"/>
      <c r="EBH293" s="148"/>
      <c r="EBI293" s="148"/>
      <c r="EBJ293" s="148"/>
      <c r="EBK293" s="148"/>
      <c r="EBL293" s="148"/>
      <c r="EBM293" s="148"/>
      <c r="EBN293" s="148"/>
      <c r="EBO293" s="148"/>
      <c r="EBP293" s="148"/>
      <c r="EBQ293" s="148"/>
      <c r="EBR293" s="148"/>
      <c r="EBS293" s="148"/>
      <c r="EBT293" s="148"/>
      <c r="EBU293" s="148"/>
      <c r="EBV293" s="148"/>
      <c r="EBW293" s="148"/>
      <c r="EBX293" s="148"/>
      <c r="EBY293" s="148"/>
      <c r="EBZ293" s="148"/>
      <c r="ECA293" s="148"/>
      <c r="ECB293" s="148"/>
      <c r="ECC293" s="148"/>
      <c r="ECD293" s="148"/>
      <c r="ECE293" s="148"/>
      <c r="ECF293" s="148"/>
      <c r="ECG293" s="148"/>
      <c r="ECH293" s="148"/>
      <c r="ECI293" s="148"/>
      <c r="ECJ293" s="148"/>
      <c r="ECK293" s="148"/>
      <c r="ECL293" s="148"/>
      <c r="ECM293" s="148"/>
      <c r="ECN293" s="148"/>
      <c r="ECO293" s="148"/>
      <c r="ECP293" s="148"/>
      <c r="ECQ293" s="148"/>
      <c r="ECR293" s="148"/>
      <c r="ECS293" s="148"/>
      <c r="ECT293" s="148"/>
      <c r="ECU293" s="148"/>
      <c r="ECV293" s="148"/>
      <c r="ECW293" s="148"/>
      <c r="ECX293" s="148"/>
      <c r="ECY293" s="148"/>
      <c r="ECZ293" s="148"/>
      <c r="EDA293" s="148"/>
      <c r="EDB293" s="148"/>
      <c r="EDC293" s="148"/>
      <c r="EDD293" s="148"/>
      <c r="EDE293" s="148"/>
      <c r="EDF293" s="148"/>
      <c r="EDG293" s="148"/>
      <c r="EDH293" s="148"/>
      <c r="EDI293" s="148"/>
      <c r="EDJ293" s="148"/>
      <c r="EDK293" s="148"/>
      <c r="EDL293" s="148"/>
      <c r="EDM293" s="148"/>
      <c r="EDN293" s="148"/>
      <c r="EDO293" s="148"/>
      <c r="EDP293" s="148"/>
      <c r="EDQ293" s="148"/>
      <c r="EDR293" s="148"/>
      <c r="EDS293" s="148"/>
      <c r="EDT293" s="148"/>
      <c r="EDU293" s="148"/>
      <c r="EDV293" s="148"/>
      <c r="EDW293" s="148"/>
      <c r="EDX293" s="148"/>
      <c r="EDY293" s="148"/>
      <c r="EDZ293" s="148"/>
      <c r="EEA293" s="148"/>
      <c r="EEB293" s="148"/>
      <c r="EEC293" s="148"/>
      <c r="EED293" s="148"/>
      <c r="EEE293" s="148"/>
      <c r="EEF293" s="148"/>
      <c r="EEG293" s="148"/>
      <c r="EEH293" s="148"/>
      <c r="EEI293" s="148"/>
      <c r="EEJ293" s="148"/>
      <c r="EEK293" s="148"/>
      <c r="EEL293" s="148"/>
      <c r="EEM293" s="148"/>
      <c r="EEN293" s="148"/>
      <c r="EEO293" s="148"/>
      <c r="EEP293" s="148"/>
      <c r="EEQ293" s="148"/>
      <c r="EER293" s="148"/>
      <c r="EES293" s="148"/>
      <c r="EET293" s="148"/>
      <c r="EEU293" s="148"/>
      <c r="EEV293" s="148"/>
      <c r="EEW293" s="148"/>
      <c r="EEX293" s="148"/>
      <c r="EEY293" s="148"/>
      <c r="EEZ293" s="148"/>
      <c r="EFA293" s="148"/>
      <c r="EFB293" s="148"/>
      <c r="EFC293" s="148"/>
      <c r="EFD293" s="148"/>
      <c r="EFE293" s="148"/>
      <c r="EFF293" s="148"/>
      <c r="EFG293" s="148"/>
      <c r="EFH293" s="148"/>
      <c r="EFI293" s="148"/>
      <c r="EFJ293" s="148"/>
      <c r="EFK293" s="148"/>
      <c r="EFL293" s="148"/>
      <c r="EFM293" s="148"/>
      <c r="EFN293" s="148"/>
      <c r="EFO293" s="148"/>
      <c r="EFP293" s="148"/>
      <c r="EFQ293" s="148"/>
      <c r="EFR293" s="148"/>
      <c r="EFS293" s="148"/>
      <c r="EFT293" s="148"/>
      <c r="EFU293" s="148"/>
      <c r="EFV293" s="148"/>
      <c r="EFW293" s="148"/>
      <c r="EFX293" s="148"/>
      <c r="EFY293" s="148"/>
      <c r="EFZ293" s="148"/>
      <c r="EGA293" s="148"/>
      <c r="EGB293" s="148"/>
      <c r="EGC293" s="148"/>
      <c r="EGD293" s="148"/>
      <c r="EGE293" s="148"/>
      <c r="EGF293" s="148"/>
      <c r="EGG293" s="148"/>
      <c r="EGH293" s="148"/>
      <c r="EGI293" s="148"/>
      <c r="EGJ293" s="148"/>
      <c r="EGK293" s="148"/>
      <c r="EGL293" s="148"/>
      <c r="EGM293" s="148"/>
      <c r="EGN293" s="148"/>
      <c r="EGO293" s="148"/>
      <c r="EGP293" s="148"/>
      <c r="EGQ293" s="148"/>
      <c r="EGR293" s="148"/>
      <c r="EGS293" s="148"/>
      <c r="EGT293" s="148"/>
      <c r="EGU293" s="148"/>
      <c r="EGV293" s="148"/>
      <c r="EGW293" s="148"/>
      <c r="EGX293" s="148"/>
      <c r="EGY293" s="148"/>
      <c r="EGZ293" s="148"/>
      <c r="EHA293" s="148"/>
      <c r="EHB293" s="148"/>
      <c r="EHC293" s="148"/>
      <c r="EHD293" s="148"/>
      <c r="EHE293" s="148"/>
      <c r="EHF293" s="148"/>
      <c r="EHG293" s="148"/>
      <c r="EHH293" s="148"/>
      <c r="EHI293" s="148"/>
      <c r="EHJ293" s="148"/>
      <c r="EHK293" s="148"/>
      <c r="EHL293" s="148"/>
      <c r="EHM293" s="148"/>
      <c r="EHN293" s="148"/>
      <c r="EHO293" s="148"/>
      <c r="EHP293" s="148"/>
      <c r="EHQ293" s="148"/>
      <c r="EHR293" s="148"/>
      <c r="EHS293" s="148"/>
      <c r="EHT293" s="148"/>
      <c r="EHU293" s="148"/>
      <c r="EHV293" s="148"/>
      <c r="EHW293" s="148"/>
      <c r="EHX293" s="148"/>
      <c r="EHY293" s="148"/>
      <c r="EHZ293" s="148"/>
      <c r="EIA293" s="148"/>
      <c r="EIB293" s="148"/>
      <c r="EIC293" s="148"/>
      <c r="EID293" s="148"/>
      <c r="EIE293" s="148"/>
      <c r="EIF293" s="148"/>
      <c r="EIG293" s="148"/>
      <c r="EIH293" s="148"/>
      <c r="EII293" s="148"/>
      <c r="EIJ293" s="148"/>
      <c r="EIK293" s="148"/>
      <c r="EIL293" s="148"/>
      <c r="EIM293" s="148"/>
      <c r="EIN293" s="148"/>
      <c r="EIO293" s="148"/>
      <c r="EIP293" s="148"/>
      <c r="EIQ293" s="148"/>
      <c r="EIR293" s="148"/>
      <c r="EIS293" s="148"/>
      <c r="EIT293" s="148"/>
      <c r="EIU293" s="148"/>
      <c r="EIV293" s="148"/>
      <c r="EIW293" s="148"/>
      <c r="EIX293" s="148"/>
      <c r="EIY293" s="148"/>
      <c r="EIZ293" s="148"/>
      <c r="EJA293" s="148"/>
      <c r="EJB293" s="148"/>
      <c r="EJC293" s="148"/>
      <c r="EJD293" s="148"/>
      <c r="EJE293" s="148"/>
      <c r="EJF293" s="148"/>
      <c r="EJG293" s="148"/>
      <c r="EJH293" s="148"/>
      <c r="EJI293" s="148"/>
      <c r="EJJ293" s="148"/>
      <c r="EJK293" s="148"/>
      <c r="EJL293" s="148"/>
      <c r="EJM293" s="148"/>
      <c r="EJN293" s="148"/>
      <c r="EJO293" s="148"/>
      <c r="EJP293" s="148"/>
      <c r="EJQ293" s="148"/>
      <c r="EJR293" s="148"/>
      <c r="EJS293" s="148"/>
      <c r="EJT293" s="148"/>
      <c r="EJU293" s="148"/>
      <c r="EJV293" s="148"/>
      <c r="EJW293" s="148"/>
      <c r="EJX293" s="148"/>
      <c r="EJY293" s="148"/>
      <c r="EJZ293" s="148"/>
      <c r="EKA293" s="148"/>
      <c r="EKB293" s="148"/>
      <c r="EKC293" s="148"/>
      <c r="EKD293" s="148"/>
      <c r="EKE293" s="148"/>
      <c r="EKF293" s="148"/>
      <c r="EKG293" s="148"/>
      <c r="EKH293" s="148"/>
      <c r="EKI293" s="148"/>
      <c r="EKJ293" s="148"/>
      <c r="EKK293" s="148"/>
      <c r="EKL293" s="148"/>
      <c r="EKM293" s="148"/>
      <c r="EKN293" s="148"/>
      <c r="EKO293" s="148"/>
      <c r="EKP293" s="148"/>
      <c r="EKQ293" s="148"/>
      <c r="EKR293" s="148"/>
      <c r="EKS293" s="148"/>
      <c r="EKT293" s="148"/>
      <c r="EKU293" s="148"/>
      <c r="EKV293" s="148"/>
      <c r="EKW293" s="148"/>
      <c r="EKX293" s="148"/>
      <c r="EKY293" s="148"/>
      <c r="EKZ293" s="148"/>
      <c r="ELA293" s="148"/>
      <c r="ELB293" s="148"/>
      <c r="ELC293" s="148"/>
      <c r="ELD293" s="148"/>
      <c r="ELE293" s="148"/>
      <c r="ELF293" s="148"/>
      <c r="ELG293" s="148"/>
      <c r="ELH293" s="148"/>
      <c r="ELI293" s="148"/>
      <c r="ELJ293" s="148"/>
      <c r="ELK293" s="148"/>
      <c r="ELL293" s="148"/>
      <c r="ELM293" s="148"/>
      <c r="ELN293" s="148"/>
      <c r="ELO293" s="148"/>
      <c r="ELP293" s="148"/>
      <c r="ELQ293" s="148"/>
      <c r="ELR293" s="148"/>
      <c r="ELS293" s="148"/>
      <c r="ELT293" s="148"/>
      <c r="ELU293" s="148"/>
      <c r="ELV293" s="148"/>
      <c r="ELW293" s="148"/>
      <c r="ELX293" s="148"/>
      <c r="ELY293" s="148"/>
      <c r="ELZ293" s="148"/>
      <c r="EMA293" s="148"/>
      <c r="EMB293" s="148"/>
      <c r="EMC293" s="148"/>
      <c r="EMD293" s="148"/>
      <c r="EME293" s="148"/>
      <c r="EMF293" s="148"/>
      <c r="EMG293" s="148"/>
      <c r="EMH293" s="148"/>
      <c r="EMI293" s="148"/>
      <c r="EMJ293" s="148"/>
      <c r="EMK293" s="148"/>
      <c r="EML293" s="148"/>
      <c r="EMM293" s="148"/>
      <c r="EMN293" s="148"/>
      <c r="EMO293" s="148"/>
      <c r="EMP293" s="148"/>
      <c r="EMQ293" s="148"/>
      <c r="EMR293" s="148"/>
      <c r="EMS293" s="148"/>
      <c r="EMT293" s="148"/>
      <c r="EMU293" s="148"/>
      <c r="EMV293" s="148"/>
      <c r="EMW293" s="148"/>
      <c r="EMX293" s="148"/>
      <c r="EMY293" s="148"/>
      <c r="EMZ293" s="148"/>
      <c r="ENA293" s="148"/>
      <c r="ENB293" s="148"/>
      <c r="ENC293" s="148"/>
      <c r="END293" s="148"/>
      <c r="ENE293" s="148"/>
      <c r="ENF293" s="148"/>
      <c r="ENG293" s="148"/>
      <c r="ENH293" s="148"/>
      <c r="ENI293" s="148"/>
      <c r="ENJ293" s="148"/>
      <c r="ENK293" s="148"/>
      <c r="ENL293" s="148"/>
      <c r="ENM293" s="148"/>
      <c r="ENN293" s="148"/>
      <c r="ENO293" s="148"/>
      <c r="ENP293" s="148"/>
      <c r="ENQ293" s="148"/>
      <c r="ENR293" s="148"/>
      <c r="ENS293" s="148"/>
      <c r="ENT293" s="148"/>
      <c r="ENU293" s="148"/>
      <c r="ENV293" s="148"/>
      <c r="ENW293" s="148"/>
      <c r="ENX293" s="148"/>
      <c r="ENY293" s="148"/>
      <c r="ENZ293" s="148"/>
      <c r="EOA293" s="148"/>
      <c r="EOB293" s="148"/>
      <c r="EOC293" s="148"/>
      <c r="EOD293" s="148"/>
      <c r="EOE293" s="148"/>
      <c r="EOF293" s="148"/>
      <c r="EOG293" s="148"/>
      <c r="EOH293" s="148"/>
      <c r="EOI293" s="148"/>
      <c r="EOJ293" s="148"/>
      <c r="EOK293" s="148"/>
      <c r="EOL293" s="148"/>
      <c r="EOM293" s="148"/>
      <c r="EON293" s="148"/>
      <c r="EOO293" s="148"/>
      <c r="EOP293" s="148"/>
      <c r="EOQ293" s="148"/>
      <c r="EOR293" s="148"/>
      <c r="EOS293" s="148"/>
      <c r="EOT293" s="148"/>
      <c r="EOU293" s="148"/>
      <c r="EOV293" s="148"/>
      <c r="EOW293" s="148"/>
      <c r="EOX293" s="148"/>
      <c r="EOY293" s="148"/>
      <c r="EOZ293" s="148"/>
      <c r="EPA293" s="148"/>
      <c r="EPB293" s="148"/>
      <c r="EPC293" s="148"/>
      <c r="EPD293" s="148"/>
      <c r="EPE293" s="148"/>
      <c r="EPF293" s="148"/>
      <c r="EPG293" s="148"/>
      <c r="EPH293" s="148"/>
      <c r="EPI293" s="148"/>
      <c r="EPJ293" s="148"/>
      <c r="EPK293" s="148"/>
      <c r="EPL293" s="148"/>
      <c r="EPM293" s="148"/>
      <c r="EPN293" s="148"/>
      <c r="EPO293" s="148"/>
      <c r="EPP293" s="148"/>
      <c r="EPQ293" s="148"/>
      <c r="EPR293" s="148"/>
      <c r="EPS293" s="148"/>
      <c r="EPT293" s="148"/>
      <c r="EPU293" s="148"/>
      <c r="EPV293" s="148"/>
      <c r="EPW293" s="148"/>
      <c r="EPX293" s="148"/>
      <c r="EPY293" s="148"/>
      <c r="EPZ293" s="148"/>
      <c r="EQA293" s="148"/>
      <c r="EQB293" s="148"/>
      <c r="EQC293" s="148"/>
      <c r="EQD293" s="148"/>
      <c r="EQE293" s="148"/>
      <c r="EQF293" s="148"/>
      <c r="EQG293" s="148"/>
      <c r="EQH293" s="148"/>
      <c r="EQI293" s="148"/>
      <c r="EQJ293" s="148"/>
      <c r="EQK293" s="148"/>
      <c r="EQL293" s="148"/>
      <c r="EQM293" s="148"/>
      <c r="EQN293" s="148"/>
      <c r="EQO293" s="148"/>
      <c r="EQP293" s="148"/>
      <c r="EQQ293" s="148"/>
      <c r="EQR293" s="148"/>
      <c r="EQS293" s="148"/>
      <c r="EQT293" s="148"/>
      <c r="EQU293" s="148"/>
      <c r="EQV293" s="148"/>
      <c r="EQW293" s="148"/>
      <c r="EQX293" s="148"/>
      <c r="EQY293" s="148"/>
      <c r="EQZ293" s="148"/>
      <c r="ERA293" s="148"/>
      <c r="ERB293" s="148"/>
      <c r="ERC293" s="148"/>
      <c r="ERD293" s="148"/>
      <c r="ERE293" s="148"/>
      <c r="ERF293" s="148"/>
      <c r="ERG293" s="148"/>
      <c r="ERH293" s="148"/>
      <c r="ERI293" s="148"/>
      <c r="ERJ293" s="148"/>
      <c r="ERK293" s="148"/>
      <c r="ERL293" s="148"/>
      <c r="ERM293" s="148"/>
      <c r="ERN293" s="148"/>
      <c r="ERO293" s="148"/>
      <c r="ERP293" s="148"/>
      <c r="ERQ293" s="148"/>
      <c r="ERR293" s="148"/>
      <c r="ERS293" s="148"/>
      <c r="ERT293" s="148"/>
      <c r="ERU293" s="148"/>
      <c r="ERV293" s="148"/>
      <c r="ERW293" s="148"/>
      <c r="ERX293" s="148"/>
      <c r="ERY293" s="148"/>
      <c r="ERZ293" s="148"/>
      <c r="ESA293" s="148"/>
      <c r="ESB293" s="148"/>
      <c r="ESC293" s="148"/>
      <c r="ESD293" s="148"/>
      <c r="ESE293" s="148"/>
      <c r="ESF293" s="148"/>
      <c r="ESG293" s="148"/>
      <c r="ESH293" s="148"/>
      <c r="ESI293" s="148"/>
      <c r="ESJ293" s="148"/>
      <c r="ESK293" s="148"/>
      <c r="ESL293" s="148"/>
      <c r="ESM293" s="148"/>
      <c r="ESN293" s="148"/>
      <c r="ESO293" s="148"/>
      <c r="ESP293" s="148"/>
      <c r="ESQ293" s="148"/>
      <c r="ESR293" s="148"/>
      <c r="ESS293" s="148"/>
      <c r="EST293" s="148"/>
      <c r="ESU293" s="148"/>
      <c r="ESV293" s="148"/>
      <c r="ESW293" s="148"/>
      <c r="ESX293" s="148"/>
      <c r="ESY293" s="148"/>
      <c r="ESZ293" s="148"/>
      <c r="ETA293" s="148"/>
      <c r="ETB293" s="148"/>
      <c r="ETC293" s="148"/>
      <c r="ETD293" s="148"/>
      <c r="ETE293" s="148"/>
      <c r="ETF293" s="148"/>
      <c r="ETG293" s="148"/>
      <c r="ETH293" s="148"/>
      <c r="ETI293" s="148"/>
      <c r="ETJ293" s="148"/>
      <c r="ETK293" s="148"/>
      <c r="ETL293" s="148"/>
      <c r="ETM293" s="148"/>
      <c r="ETN293" s="148"/>
      <c r="ETO293" s="148"/>
      <c r="ETP293" s="148"/>
      <c r="ETQ293" s="148"/>
      <c r="ETR293" s="148"/>
      <c r="ETS293" s="148"/>
      <c r="ETT293" s="148"/>
      <c r="ETU293" s="148"/>
      <c r="ETV293" s="148"/>
      <c r="ETW293" s="148"/>
      <c r="ETX293" s="148"/>
      <c r="ETY293" s="148"/>
      <c r="ETZ293" s="148"/>
      <c r="EUA293" s="148"/>
      <c r="EUB293" s="148"/>
      <c r="EUC293" s="148"/>
      <c r="EUD293" s="148"/>
      <c r="EUE293" s="148"/>
      <c r="EUF293" s="148"/>
      <c r="EUG293" s="148"/>
      <c r="EUH293" s="148"/>
      <c r="EUI293" s="148"/>
      <c r="EUJ293" s="148"/>
      <c r="EUK293" s="148"/>
      <c r="EUL293" s="148"/>
      <c r="EUM293" s="148"/>
      <c r="EUN293" s="148"/>
      <c r="EUO293" s="148"/>
      <c r="EUP293" s="148"/>
      <c r="EUQ293" s="148"/>
      <c r="EUR293" s="148"/>
      <c r="EUS293" s="148"/>
      <c r="EUT293" s="148"/>
      <c r="EUU293" s="148"/>
      <c r="EUV293" s="148"/>
      <c r="EUW293" s="148"/>
      <c r="EUX293" s="148"/>
      <c r="EUY293" s="148"/>
      <c r="EUZ293" s="148"/>
      <c r="EVA293" s="148"/>
      <c r="EVB293" s="148"/>
      <c r="EVC293" s="148"/>
      <c r="EVD293" s="148"/>
      <c r="EVE293" s="148"/>
      <c r="EVF293" s="148"/>
      <c r="EVG293" s="148"/>
      <c r="EVH293" s="148"/>
      <c r="EVI293" s="148"/>
      <c r="EVJ293" s="148"/>
      <c r="EVK293" s="148"/>
      <c r="EVL293" s="148"/>
      <c r="EVM293" s="148"/>
      <c r="EVN293" s="148"/>
      <c r="EVO293" s="148"/>
      <c r="EVP293" s="148"/>
      <c r="EVQ293" s="148"/>
      <c r="EVR293" s="148"/>
      <c r="EVS293" s="148"/>
      <c r="EVT293" s="148"/>
      <c r="EVU293" s="148"/>
      <c r="EVV293" s="148"/>
      <c r="EVW293" s="148"/>
      <c r="EVX293" s="148"/>
      <c r="EVY293" s="148"/>
      <c r="EVZ293" s="148"/>
      <c r="EWA293" s="148"/>
      <c r="EWB293" s="148"/>
      <c r="EWC293" s="148"/>
      <c r="EWD293" s="148"/>
      <c r="EWE293" s="148"/>
      <c r="EWF293" s="148"/>
      <c r="EWG293" s="148"/>
      <c r="EWH293" s="148"/>
      <c r="EWI293" s="148"/>
      <c r="EWJ293" s="148"/>
      <c r="EWK293" s="148"/>
      <c r="EWL293" s="148"/>
      <c r="EWM293" s="148"/>
      <c r="EWN293" s="148"/>
      <c r="EWO293" s="148"/>
      <c r="EWP293" s="148"/>
      <c r="EWQ293" s="148"/>
      <c r="EWR293" s="148"/>
      <c r="EWS293" s="148"/>
      <c r="EWT293" s="148"/>
      <c r="EWU293" s="148"/>
      <c r="EWV293" s="148"/>
      <c r="EWW293" s="148"/>
      <c r="EWX293" s="148"/>
      <c r="EWY293" s="148"/>
      <c r="EWZ293" s="148"/>
      <c r="EXA293" s="148"/>
      <c r="EXB293" s="148"/>
      <c r="EXC293" s="148"/>
      <c r="EXD293" s="148"/>
      <c r="EXE293" s="148"/>
      <c r="EXF293" s="148"/>
      <c r="EXG293" s="148"/>
      <c r="EXH293" s="148"/>
      <c r="EXI293" s="148"/>
      <c r="EXJ293" s="148"/>
      <c r="EXK293" s="148"/>
      <c r="EXL293" s="148"/>
      <c r="EXM293" s="148"/>
      <c r="EXN293" s="148"/>
      <c r="EXO293" s="148"/>
      <c r="EXP293" s="148"/>
      <c r="EXQ293" s="148"/>
      <c r="EXR293" s="148"/>
      <c r="EXS293" s="148"/>
      <c r="EXT293" s="148"/>
      <c r="EXU293" s="148"/>
      <c r="EXV293" s="148"/>
      <c r="EXW293" s="148"/>
      <c r="EXX293" s="148"/>
      <c r="EXY293" s="148"/>
      <c r="EXZ293" s="148"/>
      <c r="EYA293" s="148"/>
      <c r="EYB293" s="148"/>
      <c r="EYC293" s="148"/>
      <c r="EYD293" s="148"/>
      <c r="EYE293" s="148"/>
      <c r="EYF293" s="148"/>
      <c r="EYG293" s="148"/>
      <c r="EYH293" s="148"/>
      <c r="EYI293" s="148"/>
      <c r="EYJ293" s="148"/>
      <c r="EYK293" s="148"/>
      <c r="EYL293" s="148"/>
      <c r="EYM293" s="148"/>
      <c r="EYN293" s="148"/>
      <c r="EYO293" s="148"/>
      <c r="EYP293" s="148"/>
      <c r="EYQ293" s="148"/>
      <c r="EYR293" s="148"/>
      <c r="EYS293" s="148"/>
      <c r="EYT293" s="148"/>
      <c r="EYU293" s="148"/>
      <c r="EYV293" s="148"/>
      <c r="EYW293" s="148"/>
      <c r="EYX293" s="148"/>
      <c r="EYY293" s="148"/>
      <c r="EYZ293" s="148"/>
      <c r="EZA293" s="148"/>
      <c r="EZB293" s="148"/>
      <c r="EZC293" s="148"/>
      <c r="EZD293" s="148"/>
      <c r="EZE293" s="148"/>
      <c r="EZF293" s="148"/>
      <c r="EZG293" s="148"/>
      <c r="EZH293" s="148"/>
      <c r="EZI293" s="148"/>
      <c r="EZJ293" s="148"/>
      <c r="EZK293" s="148"/>
      <c r="EZL293" s="148"/>
      <c r="EZM293" s="148"/>
      <c r="EZN293" s="148"/>
      <c r="EZO293" s="148"/>
      <c r="EZP293" s="148"/>
      <c r="EZQ293" s="148"/>
      <c r="EZR293" s="148"/>
      <c r="EZS293" s="148"/>
      <c r="EZT293" s="148"/>
      <c r="EZU293" s="148"/>
      <c r="EZV293" s="148"/>
      <c r="EZW293" s="148"/>
      <c r="EZX293" s="148"/>
      <c r="EZY293" s="148"/>
      <c r="EZZ293" s="148"/>
      <c r="FAA293" s="148"/>
      <c r="FAB293" s="148"/>
      <c r="FAC293" s="148"/>
      <c r="FAD293" s="148"/>
      <c r="FAE293" s="148"/>
      <c r="FAF293" s="148"/>
      <c r="FAG293" s="148"/>
      <c r="FAH293" s="148"/>
      <c r="FAI293" s="148"/>
      <c r="FAJ293" s="148"/>
      <c r="FAK293" s="148"/>
      <c r="FAL293" s="148"/>
      <c r="FAM293" s="148"/>
      <c r="FAN293" s="148"/>
      <c r="FAO293" s="148"/>
      <c r="FAP293" s="148"/>
      <c r="FAQ293" s="148"/>
      <c r="FAR293" s="148"/>
      <c r="FAS293" s="148"/>
      <c r="FAT293" s="148"/>
      <c r="FAU293" s="148"/>
      <c r="FAV293" s="148"/>
      <c r="FAW293" s="148"/>
      <c r="FAX293" s="148"/>
      <c r="FAY293" s="148"/>
      <c r="FAZ293" s="148"/>
      <c r="FBA293" s="148"/>
      <c r="FBB293" s="148"/>
      <c r="FBC293" s="148"/>
      <c r="FBD293" s="148"/>
      <c r="FBE293" s="148"/>
      <c r="FBF293" s="148"/>
      <c r="FBG293" s="148"/>
      <c r="FBH293" s="148"/>
      <c r="FBI293" s="148"/>
      <c r="FBJ293" s="148"/>
      <c r="FBK293" s="148"/>
      <c r="FBL293" s="148"/>
      <c r="FBM293" s="148"/>
      <c r="FBN293" s="148"/>
      <c r="FBO293" s="148"/>
      <c r="FBP293" s="148"/>
      <c r="FBQ293" s="148"/>
      <c r="FBR293" s="148"/>
      <c r="FBS293" s="148"/>
      <c r="FBT293" s="148"/>
      <c r="FBU293" s="148"/>
      <c r="FBV293" s="148"/>
      <c r="FBW293" s="148"/>
      <c r="FBX293" s="148"/>
      <c r="FBY293" s="148"/>
      <c r="FBZ293" s="148"/>
      <c r="FCA293" s="148"/>
      <c r="FCB293" s="148"/>
      <c r="FCC293" s="148"/>
      <c r="FCD293" s="148"/>
      <c r="FCE293" s="148"/>
      <c r="FCF293" s="148"/>
      <c r="FCG293" s="148"/>
      <c r="FCH293" s="148"/>
      <c r="FCI293" s="148"/>
      <c r="FCJ293" s="148"/>
      <c r="FCK293" s="148"/>
      <c r="FCL293" s="148"/>
      <c r="FCM293" s="148"/>
      <c r="FCN293" s="148"/>
      <c r="FCO293" s="148"/>
      <c r="FCP293" s="148"/>
      <c r="FCQ293" s="148"/>
      <c r="FCR293" s="148"/>
      <c r="FCS293" s="148"/>
      <c r="FCT293" s="148"/>
      <c r="FCU293" s="148"/>
      <c r="FCV293" s="148"/>
      <c r="FCW293" s="148"/>
      <c r="FCX293" s="148"/>
      <c r="FCY293" s="148"/>
      <c r="FCZ293" s="148"/>
      <c r="FDA293" s="148"/>
      <c r="FDB293" s="148"/>
      <c r="FDC293" s="148"/>
      <c r="FDD293" s="148"/>
      <c r="FDE293" s="148"/>
      <c r="FDF293" s="148"/>
      <c r="FDG293" s="148"/>
      <c r="FDH293" s="148"/>
      <c r="FDI293" s="148"/>
      <c r="FDJ293" s="148"/>
      <c r="FDK293" s="148"/>
      <c r="FDL293" s="148"/>
      <c r="FDM293" s="148"/>
      <c r="FDN293" s="148"/>
      <c r="FDO293" s="148"/>
      <c r="FDP293" s="148"/>
      <c r="FDQ293" s="148"/>
      <c r="FDR293" s="148"/>
      <c r="FDS293" s="148"/>
      <c r="FDT293" s="148"/>
      <c r="FDU293" s="148"/>
      <c r="FDV293" s="148"/>
      <c r="FDW293" s="148"/>
      <c r="FDX293" s="148"/>
      <c r="FDY293" s="148"/>
      <c r="FDZ293" s="148"/>
      <c r="FEA293" s="148"/>
      <c r="FEB293" s="148"/>
      <c r="FEC293" s="148"/>
      <c r="FED293" s="148"/>
      <c r="FEE293" s="148"/>
      <c r="FEF293" s="148"/>
      <c r="FEG293" s="148"/>
      <c r="FEH293" s="148"/>
      <c r="FEI293" s="148"/>
      <c r="FEJ293" s="148"/>
      <c r="FEK293" s="148"/>
      <c r="FEL293" s="148"/>
      <c r="FEM293" s="148"/>
      <c r="FEN293" s="148"/>
      <c r="FEO293" s="148"/>
      <c r="FEP293" s="148"/>
      <c r="FEQ293" s="148"/>
      <c r="FER293" s="148"/>
      <c r="FES293" s="148"/>
      <c r="FET293" s="148"/>
      <c r="FEU293" s="148"/>
      <c r="FEV293" s="148"/>
      <c r="FEW293" s="148"/>
      <c r="FEX293" s="148"/>
      <c r="FEY293" s="148"/>
      <c r="FEZ293" s="148"/>
      <c r="FFA293" s="148"/>
      <c r="FFB293" s="148"/>
      <c r="FFC293" s="148"/>
      <c r="FFD293" s="148"/>
      <c r="FFE293" s="148"/>
      <c r="FFF293" s="148"/>
      <c r="FFG293" s="148"/>
      <c r="FFH293" s="148"/>
      <c r="FFI293" s="148"/>
      <c r="FFJ293" s="148"/>
      <c r="FFK293" s="148"/>
      <c r="FFL293" s="148"/>
      <c r="FFM293" s="148"/>
      <c r="FFN293" s="148"/>
      <c r="FFO293" s="148"/>
      <c r="FFP293" s="148"/>
      <c r="FFQ293" s="148"/>
      <c r="FFR293" s="148"/>
      <c r="FFS293" s="148"/>
      <c r="FFT293" s="148"/>
      <c r="FFU293" s="148"/>
      <c r="FFV293" s="148"/>
      <c r="FFW293" s="148"/>
      <c r="FFX293" s="148"/>
      <c r="FFY293" s="148"/>
      <c r="FFZ293" s="148"/>
      <c r="FGA293" s="148"/>
      <c r="FGB293" s="148"/>
      <c r="FGC293" s="148"/>
      <c r="FGD293" s="148"/>
      <c r="FGE293" s="148"/>
      <c r="FGF293" s="148"/>
      <c r="FGG293" s="148"/>
      <c r="FGH293" s="148"/>
      <c r="FGI293" s="148"/>
      <c r="FGJ293" s="148"/>
      <c r="FGK293" s="148"/>
      <c r="FGL293" s="148"/>
      <c r="FGM293" s="148"/>
      <c r="FGN293" s="148"/>
      <c r="FGO293" s="148"/>
      <c r="FGP293" s="148"/>
      <c r="FGQ293" s="148"/>
      <c r="FGR293" s="148"/>
      <c r="FGS293" s="148"/>
      <c r="FGT293" s="148"/>
      <c r="FGU293" s="148"/>
      <c r="FGV293" s="148"/>
      <c r="FGW293" s="148"/>
      <c r="FGX293" s="148"/>
      <c r="FGY293" s="148"/>
      <c r="FGZ293" s="148"/>
      <c r="FHA293" s="148"/>
      <c r="FHB293" s="148"/>
      <c r="FHC293" s="148"/>
      <c r="FHD293" s="148"/>
      <c r="FHE293" s="148"/>
      <c r="FHF293" s="148"/>
      <c r="FHG293" s="148"/>
      <c r="FHH293" s="148"/>
      <c r="FHI293" s="148"/>
      <c r="FHJ293" s="148"/>
      <c r="FHK293" s="148"/>
      <c r="FHL293" s="148"/>
      <c r="FHM293" s="148"/>
      <c r="FHN293" s="148"/>
      <c r="FHO293" s="148"/>
      <c r="FHP293" s="148"/>
      <c r="FHQ293" s="148"/>
      <c r="FHR293" s="148"/>
      <c r="FHS293" s="148"/>
      <c r="FHT293" s="148"/>
      <c r="FHU293" s="148"/>
      <c r="FHV293" s="148"/>
      <c r="FHW293" s="148"/>
      <c r="FHX293" s="148"/>
      <c r="FHY293" s="148"/>
      <c r="FHZ293" s="148"/>
      <c r="FIA293" s="148"/>
      <c r="FIB293" s="148"/>
      <c r="FIC293" s="148"/>
      <c r="FID293" s="148"/>
      <c r="FIE293" s="148"/>
      <c r="FIF293" s="148"/>
      <c r="FIG293" s="148"/>
      <c r="FIH293" s="148"/>
      <c r="FII293" s="148"/>
      <c r="FIJ293" s="148"/>
      <c r="FIK293" s="148"/>
      <c r="FIL293" s="148"/>
      <c r="FIM293" s="148"/>
      <c r="FIN293" s="148"/>
      <c r="FIO293" s="148"/>
      <c r="FIP293" s="148"/>
      <c r="FIQ293" s="148"/>
      <c r="FIR293" s="148"/>
      <c r="FIS293" s="148"/>
      <c r="FIT293" s="148"/>
      <c r="FIU293" s="148"/>
      <c r="FIV293" s="148"/>
      <c r="FIW293" s="148"/>
      <c r="FIX293" s="148"/>
      <c r="FIY293" s="148"/>
      <c r="FIZ293" s="148"/>
      <c r="FJA293" s="148"/>
      <c r="FJB293" s="148"/>
      <c r="FJC293" s="148"/>
      <c r="FJD293" s="148"/>
      <c r="FJE293" s="148"/>
      <c r="FJF293" s="148"/>
      <c r="FJG293" s="148"/>
      <c r="FJH293" s="148"/>
      <c r="FJI293" s="148"/>
      <c r="FJJ293" s="148"/>
      <c r="FJK293" s="148"/>
      <c r="FJL293" s="148"/>
      <c r="FJM293" s="148"/>
      <c r="FJN293" s="148"/>
      <c r="FJO293" s="148"/>
      <c r="FJP293" s="148"/>
      <c r="FJQ293" s="148"/>
      <c r="FJR293" s="148"/>
      <c r="FJS293" s="148"/>
      <c r="FJT293" s="148"/>
      <c r="FJU293" s="148"/>
      <c r="FJV293" s="148"/>
      <c r="FJW293" s="148"/>
      <c r="FJX293" s="148"/>
      <c r="FJY293" s="148"/>
      <c r="FJZ293" s="148"/>
      <c r="FKA293" s="148"/>
      <c r="FKB293" s="148"/>
      <c r="FKC293" s="148"/>
      <c r="FKD293" s="148"/>
      <c r="FKE293" s="148"/>
      <c r="FKF293" s="148"/>
      <c r="FKG293" s="148"/>
      <c r="FKH293" s="148"/>
      <c r="FKI293" s="148"/>
      <c r="FKJ293" s="148"/>
      <c r="FKK293" s="148"/>
      <c r="FKL293" s="148"/>
      <c r="FKM293" s="148"/>
      <c r="FKN293" s="148"/>
      <c r="FKO293" s="148"/>
      <c r="FKP293" s="148"/>
      <c r="FKQ293" s="148"/>
      <c r="FKR293" s="148"/>
      <c r="FKS293" s="148"/>
      <c r="FKT293" s="148"/>
      <c r="FKU293" s="148"/>
      <c r="FKV293" s="148"/>
      <c r="FKW293" s="148"/>
      <c r="FKX293" s="148"/>
      <c r="FKY293" s="148"/>
      <c r="FKZ293" s="148"/>
      <c r="FLA293" s="148"/>
      <c r="FLB293" s="148"/>
      <c r="FLC293" s="148"/>
      <c r="FLD293" s="148"/>
      <c r="FLE293" s="148"/>
      <c r="FLF293" s="148"/>
      <c r="FLG293" s="148"/>
      <c r="FLH293" s="148"/>
      <c r="FLI293" s="148"/>
      <c r="FLJ293" s="148"/>
      <c r="FLK293" s="148"/>
      <c r="FLL293" s="148"/>
      <c r="FLM293" s="148"/>
      <c r="FLN293" s="148"/>
      <c r="FLO293" s="148"/>
      <c r="FLP293" s="148"/>
      <c r="FLQ293" s="148"/>
      <c r="FLR293" s="148"/>
      <c r="FLS293" s="148"/>
      <c r="FLT293" s="148"/>
      <c r="FLU293" s="148"/>
      <c r="FLV293" s="148"/>
      <c r="FLW293" s="148"/>
      <c r="FLX293" s="148"/>
      <c r="FLY293" s="148"/>
      <c r="FLZ293" s="148"/>
      <c r="FMA293" s="148"/>
      <c r="FMB293" s="148"/>
      <c r="FMC293" s="148"/>
      <c r="FMD293" s="148"/>
      <c r="FME293" s="148"/>
      <c r="FMF293" s="148"/>
      <c r="FMG293" s="148"/>
      <c r="FMH293" s="148"/>
      <c r="FMI293" s="148"/>
      <c r="FMJ293" s="148"/>
      <c r="FMK293" s="148"/>
      <c r="FML293" s="148"/>
      <c r="FMM293" s="148"/>
      <c r="FMN293" s="148"/>
      <c r="FMO293" s="148"/>
      <c r="FMP293" s="148"/>
      <c r="FMQ293" s="148"/>
      <c r="FMR293" s="148"/>
      <c r="FMS293" s="148"/>
      <c r="FMT293" s="148"/>
      <c r="FMU293" s="148"/>
      <c r="FMV293" s="148"/>
      <c r="FMW293" s="148"/>
      <c r="FMX293" s="148"/>
      <c r="FMY293" s="148"/>
      <c r="FMZ293" s="148"/>
      <c r="FNA293" s="148"/>
      <c r="FNB293" s="148"/>
      <c r="FNC293" s="148"/>
      <c r="FND293" s="148"/>
      <c r="FNE293" s="148"/>
      <c r="FNF293" s="148"/>
      <c r="FNG293" s="148"/>
      <c r="FNH293" s="148"/>
      <c r="FNI293" s="148"/>
      <c r="FNJ293" s="148"/>
      <c r="FNK293" s="148"/>
      <c r="FNL293" s="148"/>
      <c r="FNM293" s="148"/>
      <c r="FNN293" s="148"/>
      <c r="FNO293" s="148"/>
      <c r="FNP293" s="148"/>
      <c r="FNQ293" s="148"/>
      <c r="FNR293" s="148"/>
      <c r="FNS293" s="148"/>
      <c r="FNT293" s="148"/>
      <c r="FNU293" s="148"/>
      <c r="FNV293" s="148"/>
      <c r="FNW293" s="148"/>
      <c r="FNX293" s="148"/>
      <c r="FNY293" s="148"/>
      <c r="FNZ293" s="148"/>
      <c r="FOA293" s="148"/>
      <c r="FOB293" s="148"/>
      <c r="FOC293" s="148"/>
      <c r="FOD293" s="148"/>
      <c r="FOE293" s="148"/>
      <c r="FOF293" s="148"/>
      <c r="FOG293" s="148"/>
      <c r="FOH293" s="148"/>
      <c r="FOI293" s="148"/>
      <c r="FOJ293" s="148"/>
      <c r="FOK293" s="148"/>
      <c r="FOL293" s="148"/>
      <c r="FOM293" s="148"/>
      <c r="FON293" s="148"/>
      <c r="FOO293" s="148"/>
      <c r="FOP293" s="148"/>
      <c r="FOQ293" s="148"/>
      <c r="FOR293" s="148"/>
      <c r="FOS293" s="148"/>
      <c r="FOT293" s="148"/>
      <c r="FOU293" s="148"/>
      <c r="FOV293" s="148"/>
      <c r="FOW293" s="148"/>
      <c r="FOX293" s="148"/>
      <c r="FOY293" s="148"/>
      <c r="FOZ293" s="148"/>
      <c r="FPA293" s="148"/>
      <c r="FPB293" s="148"/>
      <c r="FPC293" s="148"/>
      <c r="FPD293" s="148"/>
      <c r="FPE293" s="148"/>
      <c r="FPF293" s="148"/>
      <c r="FPG293" s="148"/>
      <c r="FPH293" s="148"/>
      <c r="FPI293" s="148"/>
      <c r="FPJ293" s="148"/>
      <c r="FPK293" s="148"/>
      <c r="FPL293" s="148"/>
      <c r="FPM293" s="148"/>
      <c r="FPN293" s="148"/>
      <c r="FPO293" s="148"/>
      <c r="FPP293" s="148"/>
      <c r="FPQ293" s="148"/>
      <c r="FPR293" s="148"/>
      <c r="FPS293" s="148"/>
      <c r="FPT293" s="148"/>
      <c r="FPU293" s="148"/>
      <c r="FPV293" s="148"/>
      <c r="FPW293" s="148"/>
      <c r="FPX293" s="148"/>
      <c r="FPY293" s="148"/>
      <c r="FPZ293" s="148"/>
      <c r="FQA293" s="148"/>
      <c r="FQB293" s="148"/>
      <c r="FQC293" s="148"/>
      <c r="FQD293" s="148"/>
      <c r="FQE293" s="148"/>
      <c r="FQF293" s="148"/>
      <c r="FQG293" s="148"/>
      <c r="FQH293" s="148"/>
      <c r="FQI293" s="148"/>
      <c r="FQJ293" s="148"/>
      <c r="FQK293" s="148"/>
      <c r="FQL293" s="148"/>
      <c r="FQM293" s="148"/>
      <c r="FQN293" s="148"/>
      <c r="FQO293" s="148"/>
      <c r="FQP293" s="148"/>
      <c r="FQQ293" s="148"/>
      <c r="FQR293" s="148"/>
      <c r="FQS293" s="148"/>
      <c r="FQT293" s="148"/>
      <c r="FQU293" s="148"/>
      <c r="FQV293" s="148"/>
      <c r="FQW293" s="148"/>
      <c r="FQX293" s="148"/>
      <c r="FQY293" s="148"/>
      <c r="FQZ293" s="148"/>
      <c r="FRA293" s="148"/>
      <c r="FRB293" s="148"/>
      <c r="FRC293" s="148"/>
      <c r="FRD293" s="148"/>
      <c r="FRE293" s="148"/>
      <c r="FRF293" s="148"/>
      <c r="FRG293" s="148"/>
      <c r="FRH293" s="148"/>
      <c r="FRI293" s="148"/>
      <c r="FRJ293" s="148"/>
      <c r="FRK293" s="148"/>
      <c r="FRL293" s="148"/>
      <c r="FRM293" s="148"/>
      <c r="FRN293" s="148"/>
      <c r="FRO293" s="148"/>
      <c r="FRP293" s="148"/>
      <c r="FRQ293" s="148"/>
      <c r="FRR293" s="148"/>
      <c r="FRS293" s="148"/>
      <c r="FRT293" s="148"/>
      <c r="FRU293" s="148"/>
      <c r="FRV293" s="148"/>
      <c r="FRW293" s="148"/>
      <c r="FRX293" s="148"/>
      <c r="FRY293" s="148"/>
      <c r="FRZ293" s="148"/>
      <c r="FSA293" s="148"/>
      <c r="FSB293" s="148"/>
      <c r="FSC293" s="148"/>
      <c r="FSD293" s="148"/>
      <c r="FSE293" s="148"/>
      <c r="FSF293" s="148"/>
      <c r="FSG293" s="148"/>
      <c r="FSH293" s="148"/>
      <c r="FSI293" s="148"/>
      <c r="FSJ293" s="148"/>
      <c r="FSK293" s="148"/>
      <c r="FSL293" s="148"/>
      <c r="FSM293" s="148"/>
      <c r="FSN293" s="148"/>
      <c r="FSO293" s="148"/>
      <c r="FSP293" s="148"/>
      <c r="FSQ293" s="148"/>
      <c r="FSR293" s="148"/>
      <c r="FSS293" s="148"/>
      <c r="FST293" s="148"/>
      <c r="FSU293" s="148"/>
      <c r="FSV293" s="148"/>
      <c r="FSW293" s="148"/>
      <c r="FSX293" s="148"/>
      <c r="FSY293" s="148"/>
      <c r="FSZ293" s="148"/>
      <c r="FTA293" s="148"/>
      <c r="FTB293" s="148"/>
      <c r="FTC293" s="148"/>
      <c r="FTD293" s="148"/>
      <c r="FTE293" s="148"/>
      <c r="FTF293" s="148"/>
      <c r="FTG293" s="148"/>
      <c r="FTH293" s="148"/>
      <c r="FTI293" s="148"/>
      <c r="FTJ293" s="148"/>
      <c r="FTK293" s="148"/>
      <c r="FTL293" s="148"/>
      <c r="FTM293" s="148"/>
      <c r="FTN293" s="148"/>
      <c r="FTO293" s="148"/>
      <c r="FTP293" s="148"/>
      <c r="FTQ293" s="148"/>
      <c r="FTR293" s="148"/>
      <c r="FTS293" s="148"/>
      <c r="FTT293" s="148"/>
      <c r="FTU293" s="148"/>
      <c r="FTV293" s="148"/>
      <c r="FTW293" s="148"/>
      <c r="FTX293" s="148"/>
      <c r="FTY293" s="148"/>
      <c r="FTZ293" s="148"/>
      <c r="FUA293" s="148"/>
      <c r="FUB293" s="148"/>
      <c r="FUC293" s="148"/>
      <c r="FUD293" s="148"/>
      <c r="FUE293" s="148"/>
      <c r="FUF293" s="148"/>
      <c r="FUG293" s="148"/>
      <c r="FUH293" s="148"/>
      <c r="FUI293" s="148"/>
      <c r="FUJ293" s="148"/>
      <c r="FUK293" s="148"/>
      <c r="FUL293" s="148"/>
      <c r="FUM293" s="148"/>
      <c r="FUN293" s="148"/>
      <c r="FUO293" s="148"/>
      <c r="FUP293" s="148"/>
      <c r="FUQ293" s="148"/>
      <c r="FUR293" s="148"/>
      <c r="FUS293" s="148"/>
      <c r="FUT293" s="148"/>
      <c r="FUU293" s="148"/>
      <c r="FUV293" s="148"/>
      <c r="FUW293" s="148"/>
      <c r="FUX293" s="148"/>
      <c r="FUY293" s="148"/>
      <c r="FUZ293" s="148"/>
      <c r="FVA293" s="148"/>
      <c r="FVB293" s="148"/>
      <c r="FVC293" s="148"/>
      <c r="FVD293" s="148"/>
      <c r="FVE293" s="148"/>
      <c r="FVF293" s="148"/>
      <c r="FVG293" s="148"/>
      <c r="FVH293" s="148"/>
      <c r="FVI293" s="148"/>
      <c r="FVJ293" s="148"/>
      <c r="FVK293" s="148"/>
      <c r="FVL293" s="148"/>
      <c r="FVM293" s="148"/>
      <c r="FVN293" s="148"/>
      <c r="FVO293" s="148"/>
      <c r="FVP293" s="148"/>
      <c r="FVQ293" s="148"/>
      <c r="FVR293" s="148"/>
      <c r="FVS293" s="148"/>
      <c r="FVT293" s="148"/>
      <c r="FVU293" s="148"/>
      <c r="FVV293" s="148"/>
      <c r="FVW293" s="148"/>
      <c r="FVX293" s="148"/>
      <c r="FVY293" s="148"/>
      <c r="FVZ293" s="148"/>
      <c r="FWA293" s="148"/>
      <c r="FWB293" s="148"/>
      <c r="FWC293" s="148"/>
      <c r="FWD293" s="148"/>
      <c r="FWE293" s="148"/>
      <c r="FWF293" s="148"/>
      <c r="FWG293" s="148"/>
      <c r="FWH293" s="148"/>
      <c r="FWI293" s="148"/>
      <c r="FWJ293" s="148"/>
      <c r="FWK293" s="148"/>
      <c r="FWL293" s="148"/>
      <c r="FWM293" s="148"/>
      <c r="FWN293" s="148"/>
      <c r="FWO293" s="148"/>
      <c r="FWP293" s="148"/>
      <c r="FWQ293" s="148"/>
      <c r="FWR293" s="148"/>
      <c r="FWS293" s="148"/>
      <c r="FWT293" s="148"/>
      <c r="FWU293" s="148"/>
      <c r="FWV293" s="148"/>
      <c r="FWW293" s="148"/>
      <c r="FWX293" s="148"/>
      <c r="FWY293" s="148"/>
      <c r="FWZ293" s="148"/>
      <c r="FXA293" s="148"/>
      <c r="FXB293" s="148"/>
      <c r="FXC293" s="148"/>
      <c r="FXD293" s="148"/>
      <c r="FXE293" s="148"/>
      <c r="FXF293" s="148"/>
      <c r="FXG293" s="148"/>
      <c r="FXH293" s="148"/>
      <c r="FXI293" s="148"/>
      <c r="FXJ293" s="148"/>
      <c r="FXK293" s="148"/>
      <c r="FXL293" s="148"/>
      <c r="FXM293" s="148"/>
      <c r="FXN293" s="148"/>
      <c r="FXO293" s="148"/>
      <c r="FXP293" s="148"/>
      <c r="FXQ293" s="148"/>
      <c r="FXR293" s="148"/>
      <c r="FXS293" s="148"/>
      <c r="FXT293" s="148"/>
      <c r="FXU293" s="148"/>
      <c r="FXV293" s="148"/>
      <c r="FXW293" s="148"/>
      <c r="FXX293" s="148"/>
      <c r="FXY293" s="148"/>
      <c r="FXZ293" s="148"/>
      <c r="FYA293" s="148"/>
      <c r="FYB293" s="148"/>
      <c r="FYC293" s="148"/>
      <c r="FYD293" s="148"/>
      <c r="FYE293" s="148"/>
      <c r="FYF293" s="148"/>
      <c r="FYG293" s="148"/>
      <c r="FYH293" s="148"/>
      <c r="FYI293" s="148"/>
      <c r="FYJ293" s="148"/>
      <c r="FYK293" s="148"/>
      <c r="FYL293" s="148"/>
      <c r="FYM293" s="148"/>
      <c r="FYN293" s="148"/>
      <c r="FYO293" s="148"/>
      <c r="FYP293" s="148"/>
      <c r="FYQ293" s="148"/>
      <c r="FYR293" s="148"/>
      <c r="FYS293" s="148"/>
      <c r="FYT293" s="148"/>
      <c r="FYU293" s="148"/>
      <c r="FYV293" s="148"/>
      <c r="FYW293" s="148"/>
      <c r="FYX293" s="148"/>
      <c r="FYY293" s="148"/>
      <c r="FYZ293" s="148"/>
      <c r="FZA293" s="148"/>
      <c r="FZB293" s="148"/>
      <c r="FZC293" s="148"/>
      <c r="FZD293" s="148"/>
      <c r="FZE293" s="148"/>
      <c r="FZF293" s="148"/>
      <c r="FZG293" s="148"/>
      <c r="FZH293" s="148"/>
      <c r="FZI293" s="148"/>
      <c r="FZJ293" s="148"/>
      <c r="FZK293" s="148"/>
      <c r="FZL293" s="148"/>
      <c r="FZM293" s="148"/>
      <c r="FZN293" s="148"/>
      <c r="FZO293" s="148"/>
      <c r="FZP293" s="148"/>
      <c r="FZQ293" s="148"/>
      <c r="FZR293" s="148"/>
      <c r="FZS293" s="148"/>
      <c r="FZT293" s="148"/>
      <c r="FZU293" s="148"/>
      <c r="FZV293" s="148"/>
      <c r="FZW293" s="148"/>
      <c r="FZX293" s="148"/>
      <c r="FZY293" s="148"/>
      <c r="FZZ293" s="148"/>
      <c r="GAA293" s="148"/>
      <c r="GAB293" s="148"/>
      <c r="GAC293" s="148"/>
      <c r="GAD293" s="148"/>
      <c r="GAE293" s="148"/>
      <c r="GAF293" s="148"/>
      <c r="GAG293" s="148"/>
      <c r="GAH293" s="148"/>
      <c r="GAI293" s="148"/>
      <c r="GAJ293" s="148"/>
      <c r="GAK293" s="148"/>
      <c r="GAL293" s="148"/>
      <c r="GAM293" s="148"/>
      <c r="GAN293" s="148"/>
      <c r="GAO293" s="148"/>
      <c r="GAP293" s="148"/>
      <c r="GAQ293" s="148"/>
      <c r="GAR293" s="148"/>
      <c r="GAS293" s="148"/>
      <c r="GAT293" s="148"/>
      <c r="GAU293" s="148"/>
      <c r="GAV293" s="148"/>
      <c r="GAW293" s="148"/>
      <c r="GAX293" s="148"/>
      <c r="GAY293" s="148"/>
      <c r="GAZ293" s="148"/>
      <c r="GBA293" s="148"/>
      <c r="GBB293" s="148"/>
      <c r="GBC293" s="148"/>
      <c r="GBD293" s="148"/>
      <c r="GBE293" s="148"/>
      <c r="GBF293" s="148"/>
      <c r="GBG293" s="148"/>
      <c r="GBH293" s="148"/>
      <c r="GBI293" s="148"/>
      <c r="GBJ293" s="148"/>
      <c r="GBK293" s="148"/>
      <c r="GBL293" s="148"/>
      <c r="GBM293" s="148"/>
      <c r="GBN293" s="148"/>
      <c r="GBO293" s="148"/>
      <c r="GBP293" s="148"/>
      <c r="GBQ293" s="148"/>
      <c r="GBR293" s="148"/>
      <c r="GBS293" s="148"/>
      <c r="GBT293" s="148"/>
      <c r="GBU293" s="148"/>
      <c r="GBV293" s="148"/>
      <c r="GBW293" s="148"/>
      <c r="GBX293" s="148"/>
      <c r="GBY293" s="148"/>
      <c r="GBZ293" s="148"/>
      <c r="GCA293" s="148"/>
      <c r="GCB293" s="148"/>
      <c r="GCC293" s="148"/>
      <c r="GCD293" s="148"/>
      <c r="GCE293" s="148"/>
      <c r="GCF293" s="148"/>
      <c r="GCG293" s="148"/>
      <c r="GCH293" s="148"/>
      <c r="GCI293" s="148"/>
      <c r="GCJ293" s="148"/>
      <c r="GCK293" s="148"/>
      <c r="GCL293" s="148"/>
      <c r="GCM293" s="148"/>
      <c r="GCN293" s="148"/>
      <c r="GCO293" s="148"/>
      <c r="GCP293" s="148"/>
      <c r="GCQ293" s="148"/>
      <c r="GCR293" s="148"/>
      <c r="GCS293" s="148"/>
      <c r="GCT293" s="148"/>
      <c r="GCU293" s="148"/>
      <c r="GCV293" s="148"/>
      <c r="GCW293" s="148"/>
      <c r="GCX293" s="148"/>
      <c r="GCY293" s="148"/>
      <c r="GCZ293" s="148"/>
      <c r="GDA293" s="148"/>
      <c r="GDB293" s="148"/>
      <c r="GDC293" s="148"/>
      <c r="GDD293" s="148"/>
      <c r="GDE293" s="148"/>
      <c r="GDF293" s="148"/>
      <c r="GDG293" s="148"/>
      <c r="GDH293" s="148"/>
      <c r="GDI293" s="148"/>
      <c r="GDJ293" s="148"/>
      <c r="GDK293" s="148"/>
      <c r="GDL293" s="148"/>
      <c r="GDM293" s="148"/>
      <c r="GDN293" s="148"/>
      <c r="GDO293" s="148"/>
      <c r="GDP293" s="148"/>
      <c r="GDQ293" s="148"/>
      <c r="GDR293" s="148"/>
      <c r="GDS293" s="148"/>
      <c r="GDT293" s="148"/>
      <c r="GDU293" s="148"/>
      <c r="GDV293" s="148"/>
      <c r="GDW293" s="148"/>
      <c r="GDX293" s="148"/>
      <c r="GDY293" s="148"/>
      <c r="GDZ293" s="148"/>
      <c r="GEA293" s="148"/>
      <c r="GEB293" s="148"/>
      <c r="GEC293" s="148"/>
      <c r="GED293" s="148"/>
      <c r="GEE293" s="148"/>
      <c r="GEF293" s="148"/>
      <c r="GEG293" s="148"/>
      <c r="GEH293" s="148"/>
      <c r="GEI293" s="148"/>
      <c r="GEJ293" s="148"/>
      <c r="GEK293" s="148"/>
      <c r="GEL293" s="148"/>
      <c r="GEM293" s="148"/>
      <c r="GEN293" s="148"/>
      <c r="GEO293" s="148"/>
      <c r="GEP293" s="148"/>
      <c r="GEQ293" s="148"/>
      <c r="GER293" s="148"/>
      <c r="GES293" s="148"/>
      <c r="GET293" s="148"/>
      <c r="GEU293" s="148"/>
      <c r="GEV293" s="148"/>
      <c r="GEW293" s="148"/>
      <c r="GEX293" s="148"/>
      <c r="GEY293" s="148"/>
      <c r="GEZ293" s="148"/>
      <c r="GFA293" s="148"/>
      <c r="GFB293" s="148"/>
      <c r="GFC293" s="148"/>
      <c r="GFD293" s="148"/>
      <c r="GFE293" s="148"/>
      <c r="GFF293" s="148"/>
      <c r="GFG293" s="148"/>
      <c r="GFH293" s="148"/>
      <c r="GFI293" s="148"/>
      <c r="GFJ293" s="148"/>
      <c r="GFK293" s="148"/>
      <c r="GFL293" s="148"/>
      <c r="GFM293" s="148"/>
      <c r="GFN293" s="148"/>
      <c r="GFO293" s="148"/>
      <c r="GFP293" s="148"/>
      <c r="GFQ293" s="148"/>
      <c r="GFR293" s="148"/>
      <c r="GFS293" s="148"/>
      <c r="GFT293" s="148"/>
      <c r="GFU293" s="148"/>
      <c r="GFV293" s="148"/>
      <c r="GFW293" s="148"/>
      <c r="GFX293" s="148"/>
      <c r="GFY293" s="148"/>
      <c r="GFZ293" s="148"/>
      <c r="GGA293" s="148"/>
      <c r="GGB293" s="148"/>
      <c r="GGC293" s="148"/>
      <c r="GGD293" s="148"/>
      <c r="GGE293" s="148"/>
      <c r="GGF293" s="148"/>
      <c r="GGG293" s="148"/>
      <c r="GGH293" s="148"/>
      <c r="GGI293" s="148"/>
      <c r="GGJ293" s="148"/>
      <c r="GGK293" s="148"/>
      <c r="GGL293" s="148"/>
      <c r="GGM293" s="148"/>
      <c r="GGN293" s="148"/>
      <c r="GGO293" s="148"/>
      <c r="GGP293" s="148"/>
      <c r="GGQ293" s="148"/>
      <c r="GGR293" s="148"/>
      <c r="GGS293" s="148"/>
      <c r="GGT293" s="148"/>
      <c r="GGU293" s="148"/>
      <c r="GGV293" s="148"/>
      <c r="GGW293" s="148"/>
      <c r="GGX293" s="148"/>
      <c r="GGY293" s="148"/>
      <c r="GGZ293" s="148"/>
      <c r="GHA293" s="148"/>
      <c r="GHB293" s="148"/>
      <c r="GHC293" s="148"/>
      <c r="GHD293" s="148"/>
      <c r="GHE293" s="148"/>
      <c r="GHF293" s="148"/>
      <c r="GHG293" s="148"/>
      <c r="GHH293" s="148"/>
      <c r="GHI293" s="148"/>
      <c r="GHJ293" s="148"/>
      <c r="GHK293" s="148"/>
      <c r="GHL293" s="148"/>
      <c r="GHM293" s="148"/>
      <c r="GHN293" s="148"/>
      <c r="GHO293" s="148"/>
      <c r="GHP293" s="148"/>
      <c r="GHQ293" s="148"/>
      <c r="GHR293" s="148"/>
      <c r="GHS293" s="148"/>
      <c r="GHT293" s="148"/>
      <c r="GHU293" s="148"/>
      <c r="GHV293" s="148"/>
      <c r="GHW293" s="148"/>
      <c r="GHX293" s="148"/>
      <c r="GHY293" s="148"/>
      <c r="GHZ293" s="148"/>
      <c r="GIA293" s="148"/>
      <c r="GIB293" s="148"/>
      <c r="GIC293" s="148"/>
      <c r="GID293" s="148"/>
      <c r="GIE293" s="148"/>
      <c r="GIF293" s="148"/>
      <c r="GIG293" s="148"/>
      <c r="GIH293" s="148"/>
      <c r="GII293" s="148"/>
      <c r="GIJ293" s="148"/>
      <c r="GIK293" s="148"/>
      <c r="GIL293" s="148"/>
      <c r="GIM293" s="148"/>
      <c r="GIN293" s="148"/>
      <c r="GIO293" s="148"/>
      <c r="GIP293" s="148"/>
      <c r="GIQ293" s="148"/>
      <c r="GIR293" s="148"/>
      <c r="GIS293" s="148"/>
      <c r="GIT293" s="148"/>
      <c r="GIU293" s="148"/>
      <c r="GIV293" s="148"/>
      <c r="GIW293" s="148"/>
      <c r="GIX293" s="148"/>
      <c r="GIY293" s="148"/>
      <c r="GIZ293" s="148"/>
      <c r="GJA293" s="148"/>
      <c r="GJB293" s="148"/>
      <c r="GJC293" s="148"/>
      <c r="GJD293" s="148"/>
      <c r="GJE293" s="148"/>
      <c r="GJF293" s="148"/>
      <c r="GJG293" s="148"/>
      <c r="GJH293" s="148"/>
      <c r="GJI293" s="148"/>
      <c r="GJJ293" s="148"/>
      <c r="GJK293" s="148"/>
      <c r="GJL293" s="148"/>
      <c r="GJM293" s="148"/>
      <c r="GJN293" s="148"/>
      <c r="GJO293" s="148"/>
      <c r="GJP293" s="148"/>
      <c r="GJQ293" s="148"/>
      <c r="GJR293" s="148"/>
      <c r="GJS293" s="148"/>
      <c r="GJT293" s="148"/>
      <c r="GJU293" s="148"/>
      <c r="GJV293" s="148"/>
      <c r="GJW293" s="148"/>
      <c r="GJX293" s="148"/>
      <c r="GJY293" s="148"/>
      <c r="GJZ293" s="148"/>
      <c r="GKA293" s="148"/>
      <c r="GKB293" s="148"/>
      <c r="GKC293" s="148"/>
      <c r="GKD293" s="148"/>
      <c r="GKE293" s="148"/>
      <c r="GKF293" s="148"/>
      <c r="GKG293" s="148"/>
      <c r="GKH293" s="148"/>
      <c r="GKI293" s="148"/>
      <c r="GKJ293" s="148"/>
      <c r="GKK293" s="148"/>
      <c r="GKL293" s="148"/>
      <c r="GKM293" s="148"/>
      <c r="GKN293" s="148"/>
      <c r="GKO293" s="148"/>
      <c r="GKP293" s="148"/>
      <c r="GKQ293" s="148"/>
      <c r="GKR293" s="148"/>
      <c r="GKS293" s="148"/>
      <c r="GKT293" s="148"/>
      <c r="GKU293" s="148"/>
      <c r="GKV293" s="148"/>
      <c r="GKW293" s="148"/>
      <c r="GKX293" s="148"/>
      <c r="GKY293" s="148"/>
      <c r="GKZ293" s="148"/>
      <c r="GLA293" s="148"/>
      <c r="GLB293" s="148"/>
      <c r="GLC293" s="148"/>
      <c r="GLD293" s="148"/>
      <c r="GLE293" s="148"/>
      <c r="GLF293" s="148"/>
      <c r="GLG293" s="148"/>
      <c r="GLH293" s="148"/>
      <c r="GLI293" s="148"/>
      <c r="GLJ293" s="148"/>
      <c r="GLK293" s="148"/>
      <c r="GLL293" s="148"/>
      <c r="GLM293" s="148"/>
      <c r="GLN293" s="148"/>
      <c r="GLO293" s="148"/>
      <c r="GLP293" s="148"/>
      <c r="GLQ293" s="148"/>
      <c r="GLR293" s="148"/>
      <c r="GLS293" s="148"/>
      <c r="GLT293" s="148"/>
      <c r="GLU293" s="148"/>
      <c r="GLV293" s="148"/>
      <c r="GLW293" s="148"/>
      <c r="GLX293" s="148"/>
      <c r="GLY293" s="148"/>
      <c r="GLZ293" s="148"/>
      <c r="GMA293" s="148"/>
      <c r="GMB293" s="148"/>
      <c r="GMC293" s="148"/>
      <c r="GMD293" s="148"/>
      <c r="GME293" s="148"/>
      <c r="GMF293" s="148"/>
      <c r="GMG293" s="148"/>
      <c r="GMH293" s="148"/>
      <c r="GMI293" s="148"/>
      <c r="GMJ293" s="148"/>
      <c r="GMK293" s="148"/>
      <c r="GML293" s="148"/>
      <c r="GMM293" s="148"/>
      <c r="GMN293" s="148"/>
      <c r="GMO293" s="148"/>
      <c r="GMP293" s="148"/>
      <c r="GMQ293" s="148"/>
      <c r="GMR293" s="148"/>
      <c r="GMS293" s="148"/>
      <c r="GMT293" s="148"/>
      <c r="GMU293" s="148"/>
      <c r="GMV293" s="148"/>
      <c r="GMW293" s="148"/>
      <c r="GMX293" s="148"/>
      <c r="GMY293" s="148"/>
      <c r="GMZ293" s="148"/>
      <c r="GNA293" s="148"/>
      <c r="GNB293" s="148"/>
      <c r="GNC293" s="148"/>
      <c r="GND293" s="148"/>
      <c r="GNE293" s="148"/>
      <c r="GNF293" s="148"/>
      <c r="GNG293" s="148"/>
      <c r="GNH293" s="148"/>
      <c r="GNI293" s="148"/>
      <c r="GNJ293" s="148"/>
      <c r="GNK293" s="148"/>
      <c r="GNL293" s="148"/>
      <c r="GNM293" s="148"/>
      <c r="GNN293" s="148"/>
      <c r="GNO293" s="148"/>
      <c r="GNP293" s="148"/>
      <c r="GNQ293" s="148"/>
      <c r="GNR293" s="148"/>
      <c r="GNS293" s="148"/>
      <c r="GNT293" s="148"/>
      <c r="GNU293" s="148"/>
      <c r="GNV293" s="148"/>
      <c r="GNW293" s="148"/>
      <c r="GNX293" s="148"/>
      <c r="GNY293" s="148"/>
      <c r="GNZ293" s="148"/>
      <c r="GOA293" s="148"/>
      <c r="GOB293" s="148"/>
      <c r="GOC293" s="148"/>
      <c r="GOD293" s="148"/>
      <c r="GOE293" s="148"/>
      <c r="GOF293" s="148"/>
      <c r="GOG293" s="148"/>
      <c r="GOH293" s="148"/>
      <c r="GOI293" s="148"/>
      <c r="GOJ293" s="148"/>
      <c r="GOK293" s="148"/>
      <c r="GOL293" s="148"/>
      <c r="GOM293" s="148"/>
      <c r="GON293" s="148"/>
      <c r="GOO293" s="148"/>
      <c r="GOP293" s="148"/>
      <c r="GOQ293" s="148"/>
      <c r="GOR293" s="148"/>
      <c r="GOS293" s="148"/>
      <c r="GOT293" s="148"/>
      <c r="GOU293" s="148"/>
      <c r="GOV293" s="148"/>
      <c r="GOW293" s="148"/>
      <c r="GOX293" s="148"/>
      <c r="GOY293" s="148"/>
      <c r="GOZ293" s="148"/>
      <c r="GPA293" s="148"/>
      <c r="GPB293" s="148"/>
      <c r="GPC293" s="148"/>
      <c r="GPD293" s="148"/>
      <c r="GPE293" s="148"/>
      <c r="GPF293" s="148"/>
      <c r="GPG293" s="148"/>
      <c r="GPH293" s="148"/>
      <c r="GPI293" s="148"/>
      <c r="GPJ293" s="148"/>
      <c r="GPK293" s="148"/>
      <c r="GPL293" s="148"/>
      <c r="GPM293" s="148"/>
      <c r="GPN293" s="148"/>
      <c r="GPO293" s="148"/>
      <c r="GPP293" s="148"/>
      <c r="GPQ293" s="148"/>
      <c r="GPR293" s="148"/>
      <c r="GPS293" s="148"/>
      <c r="GPT293" s="148"/>
      <c r="GPU293" s="148"/>
      <c r="GPV293" s="148"/>
      <c r="GPW293" s="148"/>
      <c r="GPX293" s="148"/>
      <c r="GPY293" s="148"/>
      <c r="GPZ293" s="148"/>
      <c r="GQA293" s="148"/>
      <c r="GQB293" s="148"/>
      <c r="GQC293" s="148"/>
      <c r="GQD293" s="148"/>
      <c r="GQE293" s="148"/>
      <c r="GQF293" s="148"/>
      <c r="GQG293" s="148"/>
      <c r="GQH293" s="148"/>
      <c r="GQI293" s="148"/>
      <c r="GQJ293" s="148"/>
      <c r="GQK293" s="148"/>
      <c r="GQL293" s="148"/>
      <c r="GQM293" s="148"/>
      <c r="GQN293" s="148"/>
      <c r="GQO293" s="148"/>
      <c r="GQP293" s="148"/>
      <c r="GQQ293" s="148"/>
      <c r="GQR293" s="148"/>
      <c r="GQS293" s="148"/>
      <c r="GQT293" s="148"/>
      <c r="GQU293" s="148"/>
      <c r="GQV293" s="148"/>
      <c r="GQW293" s="148"/>
      <c r="GQX293" s="148"/>
      <c r="GQY293" s="148"/>
      <c r="GQZ293" s="148"/>
      <c r="GRA293" s="148"/>
      <c r="GRB293" s="148"/>
      <c r="GRC293" s="148"/>
      <c r="GRD293" s="148"/>
      <c r="GRE293" s="148"/>
      <c r="GRF293" s="148"/>
      <c r="GRG293" s="148"/>
      <c r="GRH293" s="148"/>
      <c r="GRI293" s="148"/>
      <c r="GRJ293" s="148"/>
      <c r="GRK293" s="148"/>
      <c r="GRL293" s="148"/>
      <c r="GRM293" s="148"/>
      <c r="GRN293" s="148"/>
      <c r="GRO293" s="148"/>
      <c r="GRP293" s="148"/>
      <c r="GRQ293" s="148"/>
      <c r="GRR293" s="148"/>
      <c r="GRS293" s="148"/>
      <c r="GRT293" s="148"/>
      <c r="GRU293" s="148"/>
      <c r="GRV293" s="148"/>
      <c r="GRW293" s="148"/>
      <c r="GRX293" s="148"/>
      <c r="GRY293" s="148"/>
      <c r="GRZ293" s="148"/>
      <c r="GSA293" s="148"/>
      <c r="GSB293" s="148"/>
      <c r="GSC293" s="148"/>
      <c r="GSD293" s="148"/>
      <c r="GSE293" s="148"/>
      <c r="GSF293" s="148"/>
      <c r="GSG293" s="148"/>
      <c r="GSH293" s="148"/>
      <c r="GSI293" s="148"/>
      <c r="GSJ293" s="148"/>
      <c r="GSK293" s="148"/>
      <c r="GSL293" s="148"/>
      <c r="GSM293" s="148"/>
      <c r="GSN293" s="148"/>
      <c r="GSO293" s="148"/>
      <c r="GSP293" s="148"/>
      <c r="GSQ293" s="148"/>
      <c r="GSR293" s="148"/>
      <c r="GSS293" s="148"/>
      <c r="GST293" s="148"/>
      <c r="GSU293" s="148"/>
      <c r="GSV293" s="148"/>
      <c r="GSW293" s="148"/>
      <c r="GSX293" s="148"/>
      <c r="GSY293" s="148"/>
      <c r="GSZ293" s="148"/>
      <c r="GTA293" s="148"/>
      <c r="GTB293" s="148"/>
      <c r="GTC293" s="148"/>
      <c r="GTD293" s="148"/>
      <c r="GTE293" s="148"/>
      <c r="GTF293" s="148"/>
      <c r="GTG293" s="148"/>
      <c r="GTH293" s="148"/>
      <c r="GTI293" s="148"/>
      <c r="GTJ293" s="148"/>
      <c r="GTK293" s="148"/>
      <c r="GTL293" s="148"/>
      <c r="GTM293" s="148"/>
      <c r="GTN293" s="148"/>
      <c r="GTO293" s="148"/>
      <c r="GTP293" s="148"/>
      <c r="GTQ293" s="148"/>
      <c r="GTR293" s="148"/>
      <c r="GTS293" s="148"/>
      <c r="GTT293" s="148"/>
      <c r="GTU293" s="148"/>
      <c r="GTV293" s="148"/>
      <c r="GTW293" s="148"/>
      <c r="GTX293" s="148"/>
      <c r="GTY293" s="148"/>
      <c r="GTZ293" s="148"/>
      <c r="GUA293" s="148"/>
      <c r="GUB293" s="148"/>
      <c r="GUC293" s="148"/>
      <c r="GUD293" s="148"/>
      <c r="GUE293" s="148"/>
      <c r="GUF293" s="148"/>
      <c r="GUG293" s="148"/>
      <c r="GUH293" s="148"/>
      <c r="GUI293" s="148"/>
      <c r="GUJ293" s="148"/>
      <c r="GUK293" s="148"/>
      <c r="GUL293" s="148"/>
      <c r="GUM293" s="148"/>
      <c r="GUN293" s="148"/>
      <c r="GUO293" s="148"/>
      <c r="GUP293" s="148"/>
      <c r="GUQ293" s="148"/>
      <c r="GUR293" s="148"/>
      <c r="GUS293" s="148"/>
      <c r="GUT293" s="148"/>
      <c r="GUU293" s="148"/>
      <c r="GUV293" s="148"/>
      <c r="GUW293" s="148"/>
      <c r="GUX293" s="148"/>
      <c r="GUY293" s="148"/>
      <c r="GUZ293" s="148"/>
      <c r="GVA293" s="148"/>
      <c r="GVB293" s="148"/>
      <c r="GVC293" s="148"/>
      <c r="GVD293" s="148"/>
      <c r="GVE293" s="148"/>
      <c r="GVF293" s="148"/>
      <c r="GVG293" s="148"/>
      <c r="GVH293" s="148"/>
      <c r="GVI293" s="148"/>
      <c r="GVJ293" s="148"/>
      <c r="GVK293" s="148"/>
      <c r="GVL293" s="148"/>
      <c r="GVM293" s="148"/>
      <c r="GVN293" s="148"/>
      <c r="GVO293" s="148"/>
      <c r="GVP293" s="148"/>
      <c r="GVQ293" s="148"/>
      <c r="GVR293" s="148"/>
      <c r="GVS293" s="148"/>
      <c r="GVT293" s="148"/>
      <c r="GVU293" s="148"/>
      <c r="GVV293" s="148"/>
      <c r="GVW293" s="148"/>
      <c r="GVX293" s="148"/>
      <c r="GVY293" s="148"/>
      <c r="GVZ293" s="148"/>
      <c r="GWA293" s="148"/>
      <c r="GWB293" s="148"/>
      <c r="GWC293" s="148"/>
      <c r="GWD293" s="148"/>
      <c r="GWE293" s="148"/>
      <c r="GWF293" s="148"/>
      <c r="GWG293" s="148"/>
      <c r="GWH293" s="148"/>
      <c r="GWI293" s="148"/>
      <c r="GWJ293" s="148"/>
      <c r="GWK293" s="148"/>
      <c r="GWL293" s="148"/>
      <c r="GWM293" s="148"/>
      <c r="GWN293" s="148"/>
      <c r="GWO293" s="148"/>
      <c r="GWP293" s="148"/>
      <c r="GWQ293" s="148"/>
      <c r="GWR293" s="148"/>
      <c r="GWS293" s="148"/>
      <c r="GWT293" s="148"/>
      <c r="GWU293" s="148"/>
      <c r="GWV293" s="148"/>
      <c r="GWW293" s="148"/>
      <c r="GWX293" s="148"/>
      <c r="GWY293" s="148"/>
      <c r="GWZ293" s="148"/>
      <c r="GXA293" s="148"/>
      <c r="GXB293" s="148"/>
      <c r="GXC293" s="148"/>
      <c r="GXD293" s="148"/>
      <c r="GXE293" s="148"/>
      <c r="GXF293" s="148"/>
      <c r="GXG293" s="148"/>
      <c r="GXH293" s="148"/>
      <c r="GXI293" s="148"/>
      <c r="GXJ293" s="148"/>
      <c r="GXK293" s="148"/>
      <c r="GXL293" s="148"/>
      <c r="GXM293" s="148"/>
      <c r="GXN293" s="148"/>
      <c r="GXO293" s="148"/>
      <c r="GXP293" s="148"/>
      <c r="GXQ293" s="148"/>
      <c r="GXR293" s="148"/>
      <c r="GXS293" s="148"/>
      <c r="GXT293" s="148"/>
      <c r="GXU293" s="148"/>
      <c r="GXV293" s="148"/>
      <c r="GXW293" s="148"/>
      <c r="GXX293" s="148"/>
      <c r="GXY293" s="148"/>
      <c r="GXZ293" s="148"/>
      <c r="GYA293" s="148"/>
      <c r="GYB293" s="148"/>
      <c r="GYC293" s="148"/>
      <c r="GYD293" s="148"/>
      <c r="GYE293" s="148"/>
      <c r="GYF293" s="148"/>
      <c r="GYG293" s="148"/>
      <c r="GYH293" s="148"/>
      <c r="GYI293" s="148"/>
      <c r="GYJ293" s="148"/>
      <c r="GYK293" s="148"/>
      <c r="GYL293" s="148"/>
      <c r="GYM293" s="148"/>
      <c r="GYN293" s="148"/>
      <c r="GYO293" s="148"/>
      <c r="GYP293" s="148"/>
      <c r="GYQ293" s="148"/>
      <c r="GYR293" s="148"/>
      <c r="GYS293" s="148"/>
      <c r="GYT293" s="148"/>
      <c r="GYU293" s="148"/>
      <c r="GYV293" s="148"/>
      <c r="GYW293" s="148"/>
      <c r="GYX293" s="148"/>
      <c r="GYY293" s="148"/>
      <c r="GYZ293" s="148"/>
      <c r="GZA293" s="148"/>
      <c r="GZB293" s="148"/>
      <c r="GZC293" s="148"/>
      <c r="GZD293" s="148"/>
      <c r="GZE293" s="148"/>
      <c r="GZF293" s="148"/>
      <c r="GZG293" s="148"/>
      <c r="GZH293" s="148"/>
      <c r="GZI293" s="148"/>
      <c r="GZJ293" s="148"/>
      <c r="GZK293" s="148"/>
      <c r="GZL293" s="148"/>
      <c r="GZM293" s="148"/>
      <c r="GZN293" s="148"/>
      <c r="GZO293" s="148"/>
      <c r="GZP293" s="148"/>
      <c r="GZQ293" s="148"/>
      <c r="GZR293" s="148"/>
      <c r="GZS293" s="148"/>
      <c r="GZT293" s="148"/>
      <c r="GZU293" s="148"/>
      <c r="GZV293" s="148"/>
      <c r="GZW293" s="148"/>
      <c r="GZX293" s="148"/>
      <c r="GZY293" s="148"/>
      <c r="GZZ293" s="148"/>
      <c r="HAA293" s="148"/>
      <c r="HAB293" s="148"/>
      <c r="HAC293" s="148"/>
      <c r="HAD293" s="148"/>
      <c r="HAE293" s="148"/>
      <c r="HAF293" s="148"/>
      <c r="HAG293" s="148"/>
      <c r="HAH293" s="148"/>
      <c r="HAI293" s="148"/>
      <c r="HAJ293" s="148"/>
      <c r="HAK293" s="148"/>
      <c r="HAL293" s="148"/>
      <c r="HAM293" s="148"/>
      <c r="HAN293" s="148"/>
      <c r="HAO293" s="148"/>
      <c r="HAP293" s="148"/>
      <c r="HAQ293" s="148"/>
      <c r="HAR293" s="148"/>
      <c r="HAS293" s="148"/>
      <c r="HAT293" s="148"/>
      <c r="HAU293" s="148"/>
      <c r="HAV293" s="148"/>
      <c r="HAW293" s="148"/>
      <c r="HAX293" s="148"/>
      <c r="HAY293" s="148"/>
      <c r="HAZ293" s="148"/>
      <c r="HBA293" s="148"/>
      <c r="HBB293" s="148"/>
      <c r="HBC293" s="148"/>
      <c r="HBD293" s="148"/>
      <c r="HBE293" s="148"/>
      <c r="HBF293" s="148"/>
      <c r="HBG293" s="148"/>
      <c r="HBH293" s="148"/>
      <c r="HBI293" s="148"/>
      <c r="HBJ293" s="148"/>
      <c r="HBK293" s="148"/>
      <c r="HBL293" s="148"/>
      <c r="HBM293" s="148"/>
      <c r="HBN293" s="148"/>
      <c r="HBO293" s="148"/>
      <c r="HBP293" s="148"/>
      <c r="HBQ293" s="148"/>
      <c r="HBR293" s="148"/>
      <c r="HBS293" s="148"/>
      <c r="HBT293" s="148"/>
      <c r="HBU293" s="148"/>
      <c r="HBV293" s="148"/>
      <c r="HBW293" s="148"/>
      <c r="HBX293" s="148"/>
      <c r="HBY293" s="148"/>
      <c r="HBZ293" s="148"/>
      <c r="HCA293" s="148"/>
      <c r="HCB293" s="148"/>
      <c r="HCC293" s="148"/>
      <c r="HCD293" s="148"/>
      <c r="HCE293" s="148"/>
      <c r="HCF293" s="148"/>
      <c r="HCG293" s="148"/>
      <c r="HCH293" s="148"/>
      <c r="HCI293" s="148"/>
      <c r="HCJ293" s="148"/>
      <c r="HCK293" s="148"/>
      <c r="HCL293" s="148"/>
      <c r="HCM293" s="148"/>
      <c r="HCN293" s="148"/>
      <c r="HCO293" s="148"/>
      <c r="HCP293" s="148"/>
      <c r="HCQ293" s="148"/>
      <c r="HCR293" s="148"/>
      <c r="HCS293" s="148"/>
      <c r="HCT293" s="148"/>
      <c r="HCU293" s="148"/>
      <c r="HCV293" s="148"/>
      <c r="HCW293" s="148"/>
      <c r="HCX293" s="148"/>
      <c r="HCY293" s="148"/>
      <c r="HCZ293" s="148"/>
      <c r="HDA293" s="148"/>
      <c r="HDB293" s="148"/>
      <c r="HDC293" s="148"/>
      <c r="HDD293" s="148"/>
      <c r="HDE293" s="148"/>
      <c r="HDF293" s="148"/>
      <c r="HDG293" s="148"/>
      <c r="HDH293" s="148"/>
      <c r="HDI293" s="148"/>
      <c r="HDJ293" s="148"/>
      <c r="HDK293" s="148"/>
      <c r="HDL293" s="148"/>
      <c r="HDM293" s="148"/>
      <c r="HDN293" s="148"/>
      <c r="HDO293" s="148"/>
      <c r="HDP293" s="148"/>
      <c r="HDQ293" s="148"/>
      <c r="HDR293" s="148"/>
      <c r="HDS293" s="148"/>
      <c r="HDT293" s="148"/>
      <c r="HDU293" s="148"/>
      <c r="HDV293" s="148"/>
      <c r="HDW293" s="148"/>
      <c r="HDX293" s="148"/>
      <c r="HDY293" s="148"/>
      <c r="HDZ293" s="148"/>
      <c r="HEA293" s="148"/>
      <c r="HEB293" s="148"/>
      <c r="HEC293" s="148"/>
      <c r="HED293" s="148"/>
      <c r="HEE293" s="148"/>
      <c r="HEF293" s="148"/>
      <c r="HEG293" s="148"/>
      <c r="HEH293" s="148"/>
      <c r="HEI293" s="148"/>
      <c r="HEJ293" s="148"/>
      <c r="HEK293" s="148"/>
      <c r="HEL293" s="148"/>
      <c r="HEM293" s="148"/>
      <c r="HEN293" s="148"/>
      <c r="HEO293" s="148"/>
      <c r="HEP293" s="148"/>
      <c r="HEQ293" s="148"/>
      <c r="HER293" s="148"/>
      <c r="HES293" s="148"/>
      <c r="HET293" s="148"/>
      <c r="HEU293" s="148"/>
      <c r="HEV293" s="148"/>
      <c r="HEW293" s="148"/>
      <c r="HEX293" s="148"/>
      <c r="HEY293" s="148"/>
      <c r="HEZ293" s="148"/>
      <c r="HFA293" s="148"/>
      <c r="HFB293" s="148"/>
      <c r="HFC293" s="148"/>
      <c r="HFD293" s="148"/>
      <c r="HFE293" s="148"/>
      <c r="HFF293" s="148"/>
      <c r="HFG293" s="148"/>
      <c r="HFH293" s="148"/>
      <c r="HFI293" s="148"/>
      <c r="HFJ293" s="148"/>
      <c r="HFK293" s="148"/>
      <c r="HFL293" s="148"/>
      <c r="HFM293" s="148"/>
      <c r="HFN293" s="148"/>
      <c r="HFO293" s="148"/>
      <c r="HFP293" s="148"/>
      <c r="HFQ293" s="148"/>
      <c r="HFR293" s="148"/>
      <c r="HFS293" s="148"/>
      <c r="HFT293" s="148"/>
      <c r="HFU293" s="148"/>
      <c r="HFV293" s="148"/>
      <c r="HFW293" s="148"/>
      <c r="HFX293" s="148"/>
      <c r="HFY293" s="148"/>
      <c r="HFZ293" s="148"/>
      <c r="HGA293" s="148"/>
      <c r="HGB293" s="148"/>
      <c r="HGC293" s="148"/>
      <c r="HGD293" s="148"/>
      <c r="HGE293" s="148"/>
      <c r="HGF293" s="148"/>
      <c r="HGG293" s="148"/>
      <c r="HGH293" s="148"/>
      <c r="HGI293" s="148"/>
      <c r="HGJ293" s="148"/>
      <c r="HGK293" s="148"/>
      <c r="HGL293" s="148"/>
      <c r="HGM293" s="148"/>
      <c r="HGN293" s="148"/>
      <c r="HGO293" s="148"/>
      <c r="HGP293" s="148"/>
      <c r="HGQ293" s="148"/>
      <c r="HGR293" s="148"/>
      <c r="HGS293" s="148"/>
      <c r="HGT293" s="148"/>
      <c r="HGU293" s="148"/>
      <c r="HGV293" s="148"/>
      <c r="HGW293" s="148"/>
      <c r="HGX293" s="148"/>
      <c r="HGY293" s="148"/>
      <c r="HGZ293" s="148"/>
      <c r="HHA293" s="148"/>
      <c r="HHB293" s="148"/>
      <c r="HHC293" s="148"/>
      <c r="HHD293" s="148"/>
      <c r="HHE293" s="148"/>
      <c r="HHF293" s="148"/>
      <c r="HHG293" s="148"/>
      <c r="HHH293" s="148"/>
      <c r="HHI293" s="148"/>
      <c r="HHJ293" s="148"/>
      <c r="HHK293" s="148"/>
      <c r="HHL293" s="148"/>
      <c r="HHM293" s="148"/>
      <c r="HHN293" s="148"/>
      <c r="HHO293" s="148"/>
      <c r="HHP293" s="148"/>
      <c r="HHQ293" s="148"/>
      <c r="HHR293" s="148"/>
      <c r="HHS293" s="148"/>
      <c r="HHT293" s="148"/>
      <c r="HHU293" s="148"/>
      <c r="HHV293" s="148"/>
      <c r="HHW293" s="148"/>
      <c r="HHX293" s="148"/>
      <c r="HHY293" s="148"/>
      <c r="HHZ293" s="148"/>
      <c r="HIA293" s="148"/>
      <c r="HIB293" s="148"/>
      <c r="HIC293" s="148"/>
      <c r="HID293" s="148"/>
      <c r="HIE293" s="148"/>
      <c r="HIF293" s="148"/>
      <c r="HIG293" s="148"/>
      <c r="HIH293" s="148"/>
      <c r="HII293" s="148"/>
      <c r="HIJ293" s="148"/>
      <c r="HIK293" s="148"/>
      <c r="HIL293" s="148"/>
      <c r="HIM293" s="148"/>
      <c r="HIN293" s="148"/>
      <c r="HIO293" s="148"/>
      <c r="HIP293" s="148"/>
      <c r="HIQ293" s="148"/>
      <c r="HIR293" s="148"/>
      <c r="HIS293" s="148"/>
      <c r="HIT293" s="148"/>
      <c r="HIU293" s="148"/>
      <c r="HIV293" s="148"/>
      <c r="HIW293" s="148"/>
      <c r="HIX293" s="148"/>
      <c r="HIY293" s="148"/>
      <c r="HIZ293" s="148"/>
      <c r="HJA293" s="148"/>
      <c r="HJB293" s="148"/>
      <c r="HJC293" s="148"/>
      <c r="HJD293" s="148"/>
      <c r="HJE293" s="148"/>
      <c r="HJF293" s="148"/>
      <c r="HJG293" s="148"/>
      <c r="HJH293" s="148"/>
      <c r="HJI293" s="148"/>
      <c r="HJJ293" s="148"/>
      <c r="HJK293" s="148"/>
      <c r="HJL293" s="148"/>
      <c r="HJM293" s="148"/>
      <c r="HJN293" s="148"/>
      <c r="HJO293" s="148"/>
      <c r="HJP293" s="148"/>
      <c r="HJQ293" s="148"/>
      <c r="HJR293" s="148"/>
      <c r="HJS293" s="148"/>
      <c r="HJT293" s="148"/>
      <c r="HJU293" s="148"/>
      <c r="HJV293" s="148"/>
      <c r="HJW293" s="148"/>
      <c r="HJX293" s="148"/>
      <c r="HJY293" s="148"/>
      <c r="HJZ293" s="148"/>
      <c r="HKA293" s="148"/>
      <c r="HKB293" s="148"/>
      <c r="HKC293" s="148"/>
      <c r="HKD293" s="148"/>
      <c r="HKE293" s="148"/>
      <c r="HKF293" s="148"/>
      <c r="HKG293" s="148"/>
      <c r="HKH293" s="148"/>
      <c r="HKI293" s="148"/>
      <c r="HKJ293" s="148"/>
      <c r="HKK293" s="148"/>
      <c r="HKL293" s="148"/>
      <c r="HKM293" s="148"/>
      <c r="HKN293" s="148"/>
      <c r="HKO293" s="148"/>
      <c r="HKP293" s="148"/>
      <c r="HKQ293" s="148"/>
      <c r="HKR293" s="148"/>
      <c r="HKS293" s="148"/>
      <c r="HKT293" s="148"/>
      <c r="HKU293" s="148"/>
      <c r="HKV293" s="148"/>
      <c r="HKW293" s="148"/>
      <c r="HKX293" s="148"/>
      <c r="HKY293" s="148"/>
      <c r="HKZ293" s="148"/>
      <c r="HLA293" s="148"/>
      <c r="HLB293" s="148"/>
      <c r="HLC293" s="148"/>
      <c r="HLD293" s="148"/>
      <c r="HLE293" s="148"/>
      <c r="HLF293" s="148"/>
      <c r="HLG293" s="148"/>
      <c r="HLH293" s="148"/>
      <c r="HLI293" s="148"/>
      <c r="HLJ293" s="148"/>
      <c r="HLK293" s="148"/>
      <c r="HLL293" s="148"/>
      <c r="HLM293" s="148"/>
      <c r="HLN293" s="148"/>
      <c r="HLO293" s="148"/>
      <c r="HLP293" s="148"/>
      <c r="HLQ293" s="148"/>
      <c r="HLR293" s="148"/>
      <c r="HLS293" s="148"/>
      <c r="HLT293" s="148"/>
      <c r="HLU293" s="148"/>
      <c r="HLV293" s="148"/>
      <c r="HLW293" s="148"/>
      <c r="HLX293" s="148"/>
      <c r="HLY293" s="148"/>
      <c r="HLZ293" s="148"/>
      <c r="HMA293" s="148"/>
      <c r="HMB293" s="148"/>
      <c r="HMC293" s="148"/>
      <c r="HMD293" s="148"/>
      <c r="HME293" s="148"/>
      <c r="HMF293" s="148"/>
      <c r="HMG293" s="148"/>
      <c r="HMH293" s="148"/>
      <c r="HMI293" s="148"/>
      <c r="HMJ293" s="148"/>
      <c r="HMK293" s="148"/>
      <c r="HML293" s="148"/>
      <c r="HMM293" s="148"/>
      <c r="HMN293" s="148"/>
      <c r="HMO293" s="148"/>
      <c r="HMP293" s="148"/>
      <c r="HMQ293" s="148"/>
      <c r="HMR293" s="148"/>
      <c r="HMS293" s="148"/>
      <c r="HMT293" s="148"/>
      <c r="HMU293" s="148"/>
      <c r="HMV293" s="148"/>
      <c r="HMW293" s="148"/>
      <c r="HMX293" s="148"/>
      <c r="HMY293" s="148"/>
      <c r="HMZ293" s="148"/>
      <c r="HNA293" s="148"/>
      <c r="HNB293" s="148"/>
      <c r="HNC293" s="148"/>
      <c r="HND293" s="148"/>
      <c r="HNE293" s="148"/>
      <c r="HNF293" s="148"/>
      <c r="HNG293" s="148"/>
      <c r="HNH293" s="148"/>
      <c r="HNI293" s="148"/>
      <c r="HNJ293" s="148"/>
      <c r="HNK293" s="148"/>
      <c r="HNL293" s="148"/>
      <c r="HNM293" s="148"/>
      <c r="HNN293" s="148"/>
      <c r="HNO293" s="148"/>
      <c r="HNP293" s="148"/>
      <c r="HNQ293" s="148"/>
      <c r="HNR293" s="148"/>
      <c r="HNS293" s="148"/>
      <c r="HNT293" s="148"/>
      <c r="HNU293" s="148"/>
      <c r="HNV293" s="148"/>
      <c r="HNW293" s="148"/>
      <c r="HNX293" s="148"/>
      <c r="HNY293" s="148"/>
      <c r="HNZ293" s="148"/>
      <c r="HOA293" s="148"/>
      <c r="HOB293" s="148"/>
      <c r="HOC293" s="148"/>
      <c r="HOD293" s="148"/>
      <c r="HOE293" s="148"/>
      <c r="HOF293" s="148"/>
      <c r="HOG293" s="148"/>
      <c r="HOH293" s="148"/>
      <c r="HOI293" s="148"/>
      <c r="HOJ293" s="148"/>
      <c r="HOK293" s="148"/>
      <c r="HOL293" s="148"/>
      <c r="HOM293" s="148"/>
      <c r="HON293" s="148"/>
      <c r="HOO293" s="148"/>
      <c r="HOP293" s="148"/>
      <c r="HOQ293" s="148"/>
      <c r="HOR293" s="148"/>
      <c r="HOS293" s="148"/>
      <c r="HOT293" s="148"/>
      <c r="HOU293" s="148"/>
      <c r="HOV293" s="148"/>
      <c r="HOW293" s="148"/>
      <c r="HOX293" s="148"/>
      <c r="HOY293" s="148"/>
      <c r="HOZ293" s="148"/>
      <c r="HPA293" s="148"/>
      <c r="HPB293" s="148"/>
      <c r="HPC293" s="148"/>
      <c r="HPD293" s="148"/>
      <c r="HPE293" s="148"/>
      <c r="HPF293" s="148"/>
      <c r="HPG293" s="148"/>
      <c r="HPH293" s="148"/>
      <c r="HPI293" s="148"/>
      <c r="HPJ293" s="148"/>
      <c r="HPK293" s="148"/>
      <c r="HPL293" s="148"/>
      <c r="HPM293" s="148"/>
      <c r="HPN293" s="148"/>
      <c r="HPO293" s="148"/>
      <c r="HPP293" s="148"/>
      <c r="HPQ293" s="148"/>
      <c r="HPR293" s="148"/>
      <c r="HPS293" s="148"/>
      <c r="HPT293" s="148"/>
      <c r="HPU293" s="148"/>
      <c r="HPV293" s="148"/>
      <c r="HPW293" s="148"/>
      <c r="HPX293" s="148"/>
      <c r="HPY293" s="148"/>
      <c r="HPZ293" s="148"/>
      <c r="HQA293" s="148"/>
      <c r="HQB293" s="148"/>
      <c r="HQC293" s="148"/>
      <c r="HQD293" s="148"/>
      <c r="HQE293" s="148"/>
      <c r="HQF293" s="148"/>
      <c r="HQG293" s="148"/>
      <c r="HQH293" s="148"/>
      <c r="HQI293" s="148"/>
      <c r="HQJ293" s="148"/>
      <c r="HQK293" s="148"/>
      <c r="HQL293" s="148"/>
      <c r="HQM293" s="148"/>
      <c r="HQN293" s="148"/>
      <c r="HQO293" s="148"/>
      <c r="HQP293" s="148"/>
      <c r="HQQ293" s="148"/>
      <c r="HQR293" s="148"/>
      <c r="HQS293" s="148"/>
      <c r="HQT293" s="148"/>
      <c r="HQU293" s="148"/>
      <c r="HQV293" s="148"/>
      <c r="HQW293" s="148"/>
      <c r="HQX293" s="148"/>
      <c r="HQY293" s="148"/>
      <c r="HQZ293" s="148"/>
      <c r="HRA293" s="148"/>
      <c r="HRB293" s="148"/>
      <c r="HRC293" s="148"/>
      <c r="HRD293" s="148"/>
      <c r="HRE293" s="148"/>
      <c r="HRF293" s="148"/>
      <c r="HRG293" s="148"/>
      <c r="HRH293" s="148"/>
      <c r="HRI293" s="148"/>
      <c r="HRJ293" s="148"/>
      <c r="HRK293" s="148"/>
      <c r="HRL293" s="148"/>
      <c r="HRM293" s="148"/>
      <c r="HRN293" s="148"/>
      <c r="HRO293" s="148"/>
      <c r="HRP293" s="148"/>
      <c r="HRQ293" s="148"/>
      <c r="HRR293" s="148"/>
      <c r="HRS293" s="148"/>
      <c r="HRT293" s="148"/>
      <c r="HRU293" s="148"/>
      <c r="HRV293" s="148"/>
      <c r="HRW293" s="148"/>
      <c r="HRX293" s="148"/>
      <c r="HRY293" s="148"/>
      <c r="HRZ293" s="148"/>
      <c r="HSA293" s="148"/>
      <c r="HSB293" s="148"/>
      <c r="HSC293" s="148"/>
      <c r="HSD293" s="148"/>
      <c r="HSE293" s="148"/>
      <c r="HSF293" s="148"/>
      <c r="HSG293" s="148"/>
      <c r="HSH293" s="148"/>
      <c r="HSI293" s="148"/>
      <c r="HSJ293" s="148"/>
      <c r="HSK293" s="148"/>
      <c r="HSL293" s="148"/>
      <c r="HSM293" s="148"/>
      <c r="HSN293" s="148"/>
      <c r="HSO293" s="148"/>
      <c r="HSP293" s="148"/>
      <c r="HSQ293" s="148"/>
      <c r="HSR293" s="148"/>
      <c r="HSS293" s="148"/>
      <c r="HST293" s="148"/>
      <c r="HSU293" s="148"/>
      <c r="HSV293" s="148"/>
      <c r="HSW293" s="148"/>
      <c r="HSX293" s="148"/>
      <c r="HSY293" s="148"/>
      <c r="HSZ293" s="148"/>
      <c r="HTA293" s="148"/>
      <c r="HTB293" s="148"/>
      <c r="HTC293" s="148"/>
      <c r="HTD293" s="148"/>
      <c r="HTE293" s="148"/>
      <c r="HTF293" s="148"/>
      <c r="HTG293" s="148"/>
      <c r="HTH293" s="148"/>
      <c r="HTI293" s="148"/>
      <c r="HTJ293" s="148"/>
      <c r="HTK293" s="148"/>
      <c r="HTL293" s="148"/>
      <c r="HTM293" s="148"/>
      <c r="HTN293" s="148"/>
      <c r="HTO293" s="148"/>
      <c r="HTP293" s="148"/>
      <c r="HTQ293" s="148"/>
      <c r="HTR293" s="148"/>
      <c r="HTS293" s="148"/>
      <c r="HTT293" s="148"/>
      <c r="HTU293" s="148"/>
      <c r="HTV293" s="148"/>
      <c r="HTW293" s="148"/>
      <c r="HTX293" s="148"/>
      <c r="HTY293" s="148"/>
      <c r="HTZ293" s="148"/>
      <c r="HUA293" s="148"/>
      <c r="HUB293" s="148"/>
      <c r="HUC293" s="148"/>
      <c r="HUD293" s="148"/>
      <c r="HUE293" s="148"/>
      <c r="HUF293" s="148"/>
      <c r="HUG293" s="148"/>
      <c r="HUH293" s="148"/>
      <c r="HUI293" s="148"/>
      <c r="HUJ293" s="148"/>
      <c r="HUK293" s="148"/>
      <c r="HUL293" s="148"/>
      <c r="HUM293" s="148"/>
      <c r="HUN293" s="148"/>
      <c r="HUO293" s="148"/>
      <c r="HUP293" s="148"/>
      <c r="HUQ293" s="148"/>
      <c r="HUR293" s="148"/>
      <c r="HUS293" s="148"/>
      <c r="HUT293" s="148"/>
      <c r="HUU293" s="148"/>
      <c r="HUV293" s="148"/>
      <c r="HUW293" s="148"/>
      <c r="HUX293" s="148"/>
      <c r="HUY293" s="148"/>
      <c r="HUZ293" s="148"/>
      <c r="HVA293" s="148"/>
      <c r="HVB293" s="148"/>
      <c r="HVC293" s="148"/>
      <c r="HVD293" s="148"/>
      <c r="HVE293" s="148"/>
      <c r="HVF293" s="148"/>
      <c r="HVG293" s="148"/>
      <c r="HVH293" s="148"/>
      <c r="HVI293" s="148"/>
      <c r="HVJ293" s="148"/>
      <c r="HVK293" s="148"/>
      <c r="HVL293" s="148"/>
      <c r="HVM293" s="148"/>
      <c r="HVN293" s="148"/>
      <c r="HVO293" s="148"/>
      <c r="HVP293" s="148"/>
      <c r="HVQ293" s="148"/>
      <c r="HVR293" s="148"/>
      <c r="HVS293" s="148"/>
      <c r="HVT293" s="148"/>
      <c r="HVU293" s="148"/>
      <c r="HVV293" s="148"/>
      <c r="HVW293" s="148"/>
      <c r="HVX293" s="148"/>
      <c r="HVY293" s="148"/>
      <c r="HVZ293" s="148"/>
      <c r="HWA293" s="148"/>
      <c r="HWB293" s="148"/>
      <c r="HWC293" s="148"/>
      <c r="HWD293" s="148"/>
      <c r="HWE293" s="148"/>
      <c r="HWF293" s="148"/>
      <c r="HWG293" s="148"/>
      <c r="HWH293" s="148"/>
      <c r="HWI293" s="148"/>
      <c r="HWJ293" s="148"/>
      <c r="HWK293" s="148"/>
      <c r="HWL293" s="148"/>
      <c r="HWM293" s="148"/>
      <c r="HWN293" s="148"/>
      <c r="HWO293" s="148"/>
      <c r="HWP293" s="148"/>
      <c r="HWQ293" s="148"/>
      <c r="HWR293" s="148"/>
      <c r="HWS293" s="148"/>
      <c r="HWT293" s="148"/>
      <c r="HWU293" s="148"/>
      <c r="HWV293" s="148"/>
      <c r="HWW293" s="148"/>
      <c r="HWX293" s="148"/>
      <c r="HWY293" s="148"/>
      <c r="HWZ293" s="148"/>
      <c r="HXA293" s="148"/>
      <c r="HXB293" s="148"/>
      <c r="HXC293" s="148"/>
      <c r="HXD293" s="148"/>
      <c r="HXE293" s="148"/>
      <c r="HXF293" s="148"/>
      <c r="HXG293" s="148"/>
      <c r="HXH293" s="148"/>
      <c r="HXI293" s="148"/>
      <c r="HXJ293" s="148"/>
      <c r="HXK293" s="148"/>
      <c r="HXL293" s="148"/>
      <c r="HXM293" s="148"/>
      <c r="HXN293" s="148"/>
      <c r="HXO293" s="148"/>
      <c r="HXP293" s="148"/>
      <c r="HXQ293" s="148"/>
      <c r="HXR293" s="148"/>
      <c r="HXS293" s="148"/>
      <c r="HXT293" s="148"/>
      <c r="HXU293" s="148"/>
      <c r="HXV293" s="148"/>
      <c r="HXW293" s="148"/>
      <c r="HXX293" s="148"/>
      <c r="HXY293" s="148"/>
      <c r="HXZ293" s="148"/>
      <c r="HYA293" s="148"/>
      <c r="HYB293" s="148"/>
      <c r="HYC293" s="148"/>
      <c r="HYD293" s="148"/>
      <c r="HYE293" s="148"/>
      <c r="HYF293" s="148"/>
      <c r="HYG293" s="148"/>
      <c r="HYH293" s="148"/>
      <c r="HYI293" s="148"/>
      <c r="HYJ293" s="148"/>
      <c r="HYK293" s="148"/>
      <c r="HYL293" s="148"/>
      <c r="HYM293" s="148"/>
      <c r="HYN293" s="148"/>
      <c r="HYO293" s="148"/>
      <c r="HYP293" s="148"/>
      <c r="HYQ293" s="148"/>
      <c r="HYR293" s="148"/>
      <c r="HYS293" s="148"/>
      <c r="HYT293" s="148"/>
      <c r="HYU293" s="148"/>
      <c r="HYV293" s="148"/>
      <c r="HYW293" s="148"/>
      <c r="HYX293" s="148"/>
      <c r="HYY293" s="148"/>
      <c r="HYZ293" s="148"/>
      <c r="HZA293" s="148"/>
      <c r="HZB293" s="148"/>
      <c r="HZC293" s="148"/>
      <c r="HZD293" s="148"/>
      <c r="HZE293" s="148"/>
      <c r="HZF293" s="148"/>
      <c r="HZG293" s="148"/>
      <c r="HZH293" s="148"/>
      <c r="HZI293" s="148"/>
      <c r="HZJ293" s="148"/>
      <c r="HZK293" s="148"/>
      <c r="HZL293" s="148"/>
      <c r="HZM293" s="148"/>
      <c r="HZN293" s="148"/>
      <c r="HZO293" s="148"/>
      <c r="HZP293" s="148"/>
      <c r="HZQ293" s="148"/>
      <c r="HZR293" s="148"/>
      <c r="HZS293" s="148"/>
      <c r="HZT293" s="148"/>
      <c r="HZU293" s="148"/>
      <c r="HZV293" s="148"/>
      <c r="HZW293" s="148"/>
      <c r="HZX293" s="148"/>
      <c r="HZY293" s="148"/>
      <c r="HZZ293" s="148"/>
      <c r="IAA293" s="148"/>
      <c r="IAB293" s="148"/>
      <c r="IAC293" s="148"/>
      <c r="IAD293" s="148"/>
      <c r="IAE293" s="148"/>
      <c r="IAF293" s="148"/>
      <c r="IAG293" s="148"/>
      <c r="IAH293" s="148"/>
      <c r="IAI293" s="148"/>
      <c r="IAJ293" s="148"/>
      <c r="IAK293" s="148"/>
      <c r="IAL293" s="148"/>
      <c r="IAM293" s="148"/>
      <c r="IAN293" s="148"/>
      <c r="IAO293" s="148"/>
      <c r="IAP293" s="148"/>
      <c r="IAQ293" s="148"/>
      <c r="IAR293" s="148"/>
      <c r="IAS293" s="148"/>
      <c r="IAT293" s="148"/>
      <c r="IAU293" s="148"/>
      <c r="IAV293" s="148"/>
      <c r="IAW293" s="148"/>
      <c r="IAX293" s="148"/>
      <c r="IAY293" s="148"/>
      <c r="IAZ293" s="148"/>
      <c r="IBA293" s="148"/>
      <c r="IBB293" s="148"/>
      <c r="IBC293" s="148"/>
      <c r="IBD293" s="148"/>
      <c r="IBE293" s="148"/>
      <c r="IBF293" s="148"/>
      <c r="IBG293" s="148"/>
      <c r="IBH293" s="148"/>
      <c r="IBI293" s="148"/>
      <c r="IBJ293" s="148"/>
      <c r="IBK293" s="148"/>
      <c r="IBL293" s="148"/>
      <c r="IBM293" s="148"/>
      <c r="IBN293" s="148"/>
      <c r="IBO293" s="148"/>
      <c r="IBP293" s="148"/>
      <c r="IBQ293" s="148"/>
      <c r="IBR293" s="148"/>
      <c r="IBS293" s="148"/>
      <c r="IBT293" s="148"/>
      <c r="IBU293" s="148"/>
      <c r="IBV293" s="148"/>
      <c r="IBW293" s="148"/>
      <c r="IBX293" s="148"/>
      <c r="IBY293" s="148"/>
      <c r="IBZ293" s="148"/>
      <c r="ICA293" s="148"/>
      <c r="ICB293" s="148"/>
      <c r="ICC293" s="148"/>
      <c r="ICD293" s="148"/>
      <c r="ICE293" s="148"/>
      <c r="ICF293" s="148"/>
      <c r="ICG293" s="148"/>
      <c r="ICH293" s="148"/>
      <c r="ICI293" s="148"/>
      <c r="ICJ293" s="148"/>
      <c r="ICK293" s="148"/>
      <c r="ICL293" s="148"/>
      <c r="ICM293" s="148"/>
      <c r="ICN293" s="148"/>
      <c r="ICO293" s="148"/>
      <c r="ICP293" s="148"/>
      <c r="ICQ293" s="148"/>
      <c r="ICR293" s="148"/>
      <c r="ICS293" s="148"/>
      <c r="ICT293" s="148"/>
      <c r="ICU293" s="148"/>
      <c r="ICV293" s="148"/>
      <c r="ICW293" s="148"/>
      <c r="ICX293" s="148"/>
      <c r="ICY293" s="148"/>
      <c r="ICZ293" s="148"/>
      <c r="IDA293" s="148"/>
      <c r="IDB293" s="148"/>
      <c r="IDC293" s="148"/>
      <c r="IDD293" s="148"/>
      <c r="IDE293" s="148"/>
      <c r="IDF293" s="148"/>
      <c r="IDG293" s="148"/>
      <c r="IDH293" s="148"/>
      <c r="IDI293" s="148"/>
      <c r="IDJ293" s="148"/>
      <c r="IDK293" s="148"/>
      <c r="IDL293" s="148"/>
      <c r="IDM293" s="148"/>
      <c r="IDN293" s="148"/>
      <c r="IDO293" s="148"/>
      <c r="IDP293" s="148"/>
      <c r="IDQ293" s="148"/>
      <c r="IDR293" s="148"/>
      <c r="IDS293" s="148"/>
      <c r="IDT293" s="148"/>
      <c r="IDU293" s="148"/>
      <c r="IDV293" s="148"/>
      <c r="IDW293" s="148"/>
      <c r="IDX293" s="148"/>
      <c r="IDY293" s="148"/>
      <c r="IDZ293" s="148"/>
      <c r="IEA293" s="148"/>
      <c r="IEB293" s="148"/>
      <c r="IEC293" s="148"/>
      <c r="IED293" s="148"/>
      <c r="IEE293" s="148"/>
      <c r="IEF293" s="148"/>
      <c r="IEG293" s="148"/>
      <c r="IEH293" s="148"/>
      <c r="IEI293" s="148"/>
      <c r="IEJ293" s="148"/>
      <c r="IEK293" s="148"/>
      <c r="IEL293" s="148"/>
      <c r="IEM293" s="148"/>
      <c r="IEN293" s="148"/>
      <c r="IEO293" s="148"/>
      <c r="IEP293" s="148"/>
      <c r="IEQ293" s="148"/>
      <c r="IER293" s="148"/>
      <c r="IES293" s="148"/>
      <c r="IET293" s="148"/>
      <c r="IEU293" s="148"/>
      <c r="IEV293" s="148"/>
      <c r="IEW293" s="148"/>
      <c r="IEX293" s="148"/>
      <c r="IEY293" s="148"/>
      <c r="IEZ293" s="148"/>
      <c r="IFA293" s="148"/>
      <c r="IFB293" s="148"/>
      <c r="IFC293" s="148"/>
      <c r="IFD293" s="148"/>
      <c r="IFE293" s="148"/>
      <c r="IFF293" s="148"/>
      <c r="IFG293" s="148"/>
      <c r="IFH293" s="148"/>
      <c r="IFI293" s="148"/>
      <c r="IFJ293" s="148"/>
      <c r="IFK293" s="148"/>
      <c r="IFL293" s="148"/>
      <c r="IFM293" s="148"/>
      <c r="IFN293" s="148"/>
      <c r="IFO293" s="148"/>
      <c r="IFP293" s="148"/>
      <c r="IFQ293" s="148"/>
      <c r="IFR293" s="148"/>
      <c r="IFS293" s="148"/>
      <c r="IFT293" s="148"/>
      <c r="IFU293" s="148"/>
      <c r="IFV293" s="148"/>
      <c r="IFW293" s="148"/>
      <c r="IFX293" s="148"/>
      <c r="IFY293" s="148"/>
      <c r="IFZ293" s="148"/>
      <c r="IGA293" s="148"/>
      <c r="IGB293" s="148"/>
      <c r="IGC293" s="148"/>
      <c r="IGD293" s="148"/>
      <c r="IGE293" s="148"/>
      <c r="IGF293" s="148"/>
      <c r="IGG293" s="148"/>
      <c r="IGH293" s="148"/>
      <c r="IGI293" s="148"/>
      <c r="IGJ293" s="148"/>
      <c r="IGK293" s="148"/>
      <c r="IGL293" s="148"/>
      <c r="IGM293" s="148"/>
      <c r="IGN293" s="148"/>
      <c r="IGO293" s="148"/>
      <c r="IGP293" s="148"/>
      <c r="IGQ293" s="148"/>
      <c r="IGR293" s="148"/>
      <c r="IGS293" s="148"/>
      <c r="IGT293" s="148"/>
      <c r="IGU293" s="148"/>
      <c r="IGV293" s="148"/>
      <c r="IGW293" s="148"/>
      <c r="IGX293" s="148"/>
      <c r="IGY293" s="148"/>
      <c r="IGZ293" s="148"/>
      <c r="IHA293" s="148"/>
      <c r="IHB293" s="148"/>
      <c r="IHC293" s="148"/>
      <c r="IHD293" s="148"/>
      <c r="IHE293" s="148"/>
      <c r="IHF293" s="148"/>
      <c r="IHG293" s="148"/>
      <c r="IHH293" s="148"/>
      <c r="IHI293" s="148"/>
      <c r="IHJ293" s="148"/>
      <c r="IHK293" s="148"/>
      <c r="IHL293" s="148"/>
      <c r="IHM293" s="148"/>
      <c r="IHN293" s="148"/>
      <c r="IHO293" s="148"/>
      <c r="IHP293" s="148"/>
      <c r="IHQ293" s="148"/>
      <c r="IHR293" s="148"/>
      <c r="IHS293" s="148"/>
      <c r="IHT293" s="148"/>
      <c r="IHU293" s="148"/>
      <c r="IHV293" s="148"/>
      <c r="IHW293" s="148"/>
      <c r="IHX293" s="148"/>
      <c r="IHY293" s="148"/>
      <c r="IHZ293" s="148"/>
      <c r="IIA293" s="148"/>
      <c r="IIB293" s="148"/>
      <c r="IIC293" s="148"/>
      <c r="IID293" s="148"/>
      <c r="IIE293" s="148"/>
      <c r="IIF293" s="148"/>
      <c r="IIG293" s="148"/>
      <c r="IIH293" s="148"/>
      <c r="III293" s="148"/>
      <c r="IIJ293" s="148"/>
      <c r="IIK293" s="148"/>
      <c r="IIL293" s="148"/>
      <c r="IIM293" s="148"/>
      <c r="IIN293" s="148"/>
      <c r="IIO293" s="148"/>
      <c r="IIP293" s="148"/>
      <c r="IIQ293" s="148"/>
      <c r="IIR293" s="148"/>
      <c r="IIS293" s="148"/>
      <c r="IIT293" s="148"/>
      <c r="IIU293" s="148"/>
      <c r="IIV293" s="148"/>
      <c r="IIW293" s="148"/>
      <c r="IIX293" s="148"/>
      <c r="IIY293" s="148"/>
      <c r="IIZ293" s="148"/>
      <c r="IJA293" s="148"/>
      <c r="IJB293" s="148"/>
      <c r="IJC293" s="148"/>
      <c r="IJD293" s="148"/>
      <c r="IJE293" s="148"/>
      <c r="IJF293" s="148"/>
      <c r="IJG293" s="148"/>
      <c r="IJH293" s="148"/>
      <c r="IJI293" s="148"/>
      <c r="IJJ293" s="148"/>
      <c r="IJK293" s="148"/>
      <c r="IJL293" s="148"/>
      <c r="IJM293" s="148"/>
      <c r="IJN293" s="148"/>
      <c r="IJO293" s="148"/>
      <c r="IJP293" s="148"/>
      <c r="IJQ293" s="148"/>
      <c r="IJR293" s="148"/>
      <c r="IJS293" s="148"/>
      <c r="IJT293" s="148"/>
      <c r="IJU293" s="148"/>
      <c r="IJV293" s="148"/>
      <c r="IJW293" s="148"/>
      <c r="IJX293" s="148"/>
      <c r="IJY293" s="148"/>
      <c r="IJZ293" s="148"/>
      <c r="IKA293" s="148"/>
      <c r="IKB293" s="148"/>
      <c r="IKC293" s="148"/>
      <c r="IKD293" s="148"/>
      <c r="IKE293" s="148"/>
      <c r="IKF293" s="148"/>
      <c r="IKG293" s="148"/>
      <c r="IKH293" s="148"/>
      <c r="IKI293" s="148"/>
      <c r="IKJ293" s="148"/>
      <c r="IKK293" s="148"/>
      <c r="IKL293" s="148"/>
      <c r="IKM293" s="148"/>
      <c r="IKN293" s="148"/>
      <c r="IKO293" s="148"/>
      <c r="IKP293" s="148"/>
      <c r="IKQ293" s="148"/>
      <c r="IKR293" s="148"/>
      <c r="IKS293" s="148"/>
      <c r="IKT293" s="148"/>
      <c r="IKU293" s="148"/>
      <c r="IKV293" s="148"/>
      <c r="IKW293" s="148"/>
      <c r="IKX293" s="148"/>
      <c r="IKY293" s="148"/>
      <c r="IKZ293" s="148"/>
      <c r="ILA293" s="148"/>
      <c r="ILB293" s="148"/>
      <c r="ILC293" s="148"/>
      <c r="ILD293" s="148"/>
      <c r="ILE293" s="148"/>
      <c r="ILF293" s="148"/>
      <c r="ILG293" s="148"/>
      <c r="ILH293" s="148"/>
      <c r="ILI293" s="148"/>
      <c r="ILJ293" s="148"/>
      <c r="ILK293" s="148"/>
      <c r="ILL293" s="148"/>
      <c r="ILM293" s="148"/>
      <c r="ILN293" s="148"/>
      <c r="ILO293" s="148"/>
      <c r="ILP293" s="148"/>
      <c r="ILQ293" s="148"/>
      <c r="ILR293" s="148"/>
      <c r="ILS293" s="148"/>
      <c r="ILT293" s="148"/>
      <c r="ILU293" s="148"/>
      <c r="ILV293" s="148"/>
      <c r="ILW293" s="148"/>
      <c r="ILX293" s="148"/>
      <c r="ILY293" s="148"/>
      <c r="ILZ293" s="148"/>
      <c r="IMA293" s="148"/>
      <c r="IMB293" s="148"/>
      <c r="IMC293" s="148"/>
      <c r="IMD293" s="148"/>
      <c r="IME293" s="148"/>
      <c r="IMF293" s="148"/>
      <c r="IMG293" s="148"/>
      <c r="IMH293" s="148"/>
      <c r="IMI293" s="148"/>
      <c r="IMJ293" s="148"/>
      <c r="IMK293" s="148"/>
      <c r="IML293" s="148"/>
      <c r="IMM293" s="148"/>
      <c r="IMN293" s="148"/>
      <c r="IMO293" s="148"/>
      <c r="IMP293" s="148"/>
      <c r="IMQ293" s="148"/>
      <c r="IMR293" s="148"/>
      <c r="IMS293" s="148"/>
      <c r="IMT293" s="148"/>
      <c r="IMU293" s="148"/>
      <c r="IMV293" s="148"/>
      <c r="IMW293" s="148"/>
      <c r="IMX293" s="148"/>
      <c r="IMY293" s="148"/>
      <c r="IMZ293" s="148"/>
      <c r="INA293" s="148"/>
      <c r="INB293" s="148"/>
      <c r="INC293" s="148"/>
      <c r="IND293" s="148"/>
      <c r="INE293" s="148"/>
      <c r="INF293" s="148"/>
      <c r="ING293" s="148"/>
      <c r="INH293" s="148"/>
      <c r="INI293" s="148"/>
      <c r="INJ293" s="148"/>
      <c r="INK293" s="148"/>
      <c r="INL293" s="148"/>
      <c r="INM293" s="148"/>
      <c r="INN293" s="148"/>
      <c r="INO293" s="148"/>
      <c r="INP293" s="148"/>
      <c r="INQ293" s="148"/>
      <c r="INR293" s="148"/>
      <c r="INS293" s="148"/>
      <c r="INT293" s="148"/>
      <c r="INU293" s="148"/>
      <c r="INV293" s="148"/>
      <c r="INW293" s="148"/>
      <c r="INX293" s="148"/>
      <c r="INY293" s="148"/>
      <c r="INZ293" s="148"/>
      <c r="IOA293" s="148"/>
      <c r="IOB293" s="148"/>
      <c r="IOC293" s="148"/>
      <c r="IOD293" s="148"/>
      <c r="IOE293" s="148"/>
      <c r="IOF293" s="148"/>
      <c r="IOG293" s="148"/>
      <c r="IOH293" s="148"/>
      <c r="IOI293" s="148"/>
      <c r="IOJ293" s="148"/>
      <c r="IOK293" s="148"/>
      <c r="IOL293" s="148"/>
      <c r="IOM293" s="148"/>
      <c r="ION293" s="148"/>
      <c r="IOO293" s="148"/>
      <c r="IOP293" s="148"/>
      <c r="IOQ293" s="148"/>
      <c r="IOR293" s="148"/>
      <c r="IOS293" s="148"/>
      <c r="IOT293" s="148"/>
      <c r="IOU293" s="148"/>
      <c r="IOV293" s="148"/>
      <c r="IOW293" s="148"/>
      <c r="IOX293" s="148"/>
      <c r="IOY293" s="148"/>
      <c r="IOZ293" s="148"/>
      <c r="IPA293" s="148"/>
      <c r="IPB293" s="148"/>
      <c r="IPC293" s="148"/>
      <c r="IPD293" s="148"/>
      <c r="IPE293" s="148"/>
      <c r="IPF293" s="148"/>
      <c r="IPG293" s="148"/>
      <c r="IPH293" s="148"/>
      <c r="IPI293" s="148"/>
      <c r="IPJ293" s="148"/>
      <c r="IPK293" s="148"/>
      <c r="IPL293" s="148"/>
      <c r="IPM293" s="148"/>
      <c r="IPN293" s="148"/>
      <c r="IPO293" s="148"/>
      <c r="IPP293" s="148"/>
      <c r="IPQ293" s="148"/>
      <c r="IPR293" s="148"/>
      <c r="IPS293" s="148"/>
      <c r="IPT293" s="148"/>
      <c r="IPU293" s="148"/>
      <c r="IPV293" s="148"/>
      <c r="IPW293" s="148"/>
      <c r="IPX293" s="148"/>
      <c r="IPY293" s="148"/>
      <c r="IPZ293" s="148"/>
      <c r="IQA293" s="148"/>
      <c r="IQB293" s="148"/>
      <c r="IQC293" s="148"/>
      <c r="IQD293" s="148"/>
      <c r="IQE293" s="148"/>
      <c r="IQF293" s="148"/>
      <c r="IQG293" s="148"/>
      <c r="IQH293" s="148"/>
      <c r="IQI293" s="148"/>
      <c r="IQJ293" s="148"/>
      <c r="IQK293" s="148"/>
      <c r="IQL293" s="148"/>
      <c r="IQM293" s="148"/>
      <c r="IQN293" s="148"/>
      <c r="IQO293" s="148"/>
      <c r="IQP293" s="148"/>
      <c r="IQQ293" s="148"/>
      <c r="IQR293" s="148"/>
      <c r="IQS293" s="148"/>
      <c r="IQT293" s="148"/>
      <c r="IQU293" s="148"/>
      <c r="IQV293" s="148"/>
      <c r="IQW293" s="148"/>
      <c r="IQX293" s="148"/>
      <c r="IQY293" s="148"/>
      <c r="IQZ293" s="148"/>
      <c r="IRA293" s="148"/>
      <c r="IRB293" s="148"/>
      <c r="IRC293" s="148"/>
      <c r="IRD293" s="148"/>
      <c r="IRE293" s="148"/>
      <c r="IRF293" s="148"/>
      <c r="IRG293" s="148"/>
      <c r="IRH293" s="148"/>
      <c r="IRI293" s="148"/>
      <c r="IRJ293" s="148"/>
      <c r="IRK293" s="148"/>
      <c r="IRL293" s="148"/>
      <c r="IRM293" s="148"/>
      <c r="IRN293" s="148"/>
      <c r="IRO293" s="148"/>
      <c r="IRP293" s="148"/>
      <c r="IRQ293" s="148"/>
      <c r="IRR293" s="148"/>
      <c r="IRS293" s="148"/>
      <c r="IRT293" s="148"/>
      <c r="IRU293" s="148"/>
      <c r="IRV293" s="148"/>
      <c r="IRW293" s="148"/>
      <c r="IRX293" s="148"/>
      <c r="IRY293" s="148"/>
      <c r="IRZ293" s="148"/>
      <c r="ISA293" s="148"/>
      <c r="ISB293" s="148"/>
      <c r="ISC293" s="148"/>
      <c r="ISD293" s="148"/>
      <c r="ISE293" s="148"/>
      <c r="ISF293" s="148"/>
      <c r="ISG293" s="148"/>
      <c r="ISH293" s="148"/>
      <c r="ISI293" s="148"/>
      <c r="ISJ293" s="148"/>
      <c r="ISK293" s="148"/>
      <c r="ISL293" s="148"/>
      <c r="ISM293" s="148"/>
      <c r="ISN293" s="148"/>
      <c r="ISO293" s="148"/>
      <c r="ISP293" s="148"/>
      <c r="ISQ293" s="148"/>
      <c r="ISR293" s="148"/>
      <c r="ISS293" s="148"/>
      <c r="IST293" s="148"/>
      <c r="ISU293" s="148"/>
      <c r="ISV293" s="148"/>
      <c r="ISW293" s="148"/>
      <c r="ISX293" s="148"/>
      <c r="ISY293" s="148"/>
      <c r="ISZ293" s="148"/>
      <c r="ITA293" s="148"/>
      <c r="ITB293" s="148"/>
      <c r="ITC293" s="148"/>
      <c r="ITD293" s="148"/>
      <c r="ITE293" s="148"/>
      <c r="ITF293" s="148"/>
      <c r="ITG293" s="148"/>
      <c r="ITH293" s="148"/>
      <c r="ITI293" s="148"/>
      <c r="ITJ293" s="148"/>
      <c r="ITK293" s="148"/>
      <c r="ITL293" s="148"/>
      <c r="ITM293" s="148"/>
      <c r="ITN293" s="148"/>
      <c r="ITO293" s="148"/>
      <c r="ITP293" s="148"/>
      <c r="ITQ293" s="148"/>
      <c r="ITR293" s="148"/>
      <c r="ITS293" s="148"/>
      <c r="ITT293" s="148"/>
      <c r="ITU293" s="148"/>
      <c r="ITV293" s="148"/>
      <c r="ITW293" s="148"/>
      <c r="ITX293" s="148"/>
      <c r="ITY293" s="148"/>
      <c r="ITZ293" s="148"/>
      <c r="IUA293" s="148"/>
      <c r="IUB293" s="148"/>
      <c r="IUC293" s="148"/>
      <c r="IUD293" s="148"/>
      <c r="IUE293" s="148"/>
      <c r="IUF293" s="148"/>
      <c r="IUG293" s="148"/>
      <c r="IUH293" s="148"/>
      <c r="IUI293" s="148"/>
      <c r="IUJ293" s="148"/>
      <c r="IUK293" s="148"/>
      <c r="IUL293" s="148"/>
      <c r="IUM293" s="148"/>
      <c r="IUN293" s="148"/>
      <c r="IUO293" s="148"/>
      <c r="IUP293" s="148"/>
      <c r="IUQ293" s="148"/>
      <c r="IUR293" s="148"/>
      <c r="IUS293" s="148"/>
      <c r="IUT293" s="148"/>
      <c r="IUU293" s="148"/>
      <c r="IUV293" s="148"/>
      <c r="IUW293" s="148"/>
      <c r="IUX293" s="148"/>
      <c r="IUY293" s="148"/>
      <c r="IUZ293" s="148"/>
      <c r="IVA293" s="148"/>
      <c r="IVB293" s="148"/>
      <c r="IVC293" s="148"/>
      <c r="IVD293" s="148"/>
      <c r="IVE293" s="148"/>
      <c r="IVF293" s="148"/>
      <c r="IVG293" s="148"/>
      <c r="IVH293" s="148"/>
      <c r="IVI293" s="148"/>
      <c r="IVJ293" s="148"/>
      <c r="IVK293" s="148"/>
      <c r="IVL293" s="148"/>
      <c r="IVM293" s="148"/>
      <c r="IVN293" s="148"/>
      <c r="IVO293" s="148"/>
      <c r="IVP293" s="148"/>
      <c r="IVQ293" s="148"/>
      <c r="IVR293" s="148"/>
      <c r="IVS293" s="148"/>
      <c r="IVT293" s="148"/>
      <c r="IVU293" s="148"/>
      <c r="IVV293" s="148"/>
      <c r="IVW293" s="148"/>
      <c r="IVX293" s="148"/>
      <c r="IVY293" s="148"/>
      <c r="IVZ293" s="148"/>
      <c r="IWA293" s="148"/>
      <c r="IWB293" s="148"/>
      <c r="IWC293" s="148"/>
      <c r="IWD293" s="148"/>
      <c r="IWE293" s="148"/>
      <c r="IWF293" s="148"/>
      <c r="IWG293" s="148"/>
      <c r="IWH293" s="148"/>
      <c r="IWI293" s="148"/>
      <c r="IWJ293" s="148"/>
      <c r="IWK293" s="148"/>
      <c r="IWL293" s="148"/>
      <c r="IWM293" s="148"/>
      <c r="IWN293" s="148"/>
      <c r="IWO293" s="148"/>
      <c r="IWP293" s="148"/>
      <c r="IWQ293" s="148"/>
      <c r="IWR293" s="148"/>
      <c r="IWS293" s="148"/>
      <c r="IWT293" s="148"/>
      <c r="IWU293" s="148"/>
      <c r="IWV293" s="148"/>
      <c r="IWW293" s="148"/>
      <c r="IWX293" s="148"/>
      <c r="IWY293" s="148"/>
      <c r="IWZ293" s="148"/>
      <c r="IXA293" s="148"/>
      <c r="IXB293" s="148"/>
      <c r="IXC293" s="148"/>
      <c r="IXD293" s="148"/>
      <c r="IXE293" s="148"/>
      <c r="IXF293" s="148"/>
      <c r="IXG293" s="148"/>
      <c r="IXH293" s="148"/>
      <c r="IXI293" s="148"/>
      <c r="IXJ293" s="148"/>
      <c r="IXK293" s="148"/>
      <c r="IXL293" s="148"/>
      <c r="IXM293" s="148"/>
      <c r="IXN293" s="148"/>
      <c r="IXO293" s="148"/>
      <c r="IXP293" s="148"/>
      <c r="IXQ293" s="148"/>
      <c r="IXR293" s="148"/>
      <c r="IXS293" s="148"/>
      <c r="IXT293" s="148"/>
      <c r="IXU293" s="148"/>
      <c r="IXV293" s="148"/>
      <c r="IXW293" s="148"/>
      <c r="IXX293" s="148"/>
      <c r="IXY293" s="148"/>
      <c r="IXZ293" s="148"/>
      <c r="IYA293" s="148"/>
      <c r="IYB293" s="148"/>
      <c r="IYC293" s="148"/>
      <c r="IYD293" s="148"/>
      <c r="IYE293" s="148"/>
      <c r="IYF293" s="148"/>
      <c r="IYG293" s="148"/>
      <c r="IYH293" s="148"/>
      <c r="IYI293" s="148"/>
      <c r="IYJ293" s="148"/>
      <c r="IYK293" s="148"/>
      <c r="IYL293" s="148"/>
      <c r="IYM293" s="148"/>
      <c r="IYN293" s="148"/>
      <c r="IYO293" s="148"/>
      <c r="IYP293" s="148"/>
      <c r="IYQ293" s="148"/>
      <c r="IYR293" s="148"/>
      <c r="IYS293" s="148"/>
      <c r="IYT293" s="148"/>
      <c r="IYU293" s="148"/>
      <c r="IYV293" s="148"/>
      <c r="IYW293" s="148"/>
      <c r="IYX293" s="148"/>
      <c r="IYY293" s="148"/>
      <c r="IYZ293" s="148"/>
      <c r="IZA293" s="148"/>
      <c r="IZB293" s="148"/>
      <c r="IZC293" s="148"/>
      <c r="IZD293" s="148"/>
      <c r="IZE293" s="148"/>
      <c r="IZF293" s="148"/>
      <c r="IZG293" s="148"/>
      <c r="IZH293" s="148"/>
      <c r="IZI293" s="148"/>
      <c r="IZJ293" s="148"/>
      <c r="IZK293" s="148"/>
      <c r="IZL293" s="148"/>
      <c r="IZM293" s="148"/>
      <c r="IZN293" s="148"/>
      <c r="IZO293" s="148"/>
      <c r="IZP293" s="148"/>
      <c r="IZQ293" s="148"/>
      <c r="IZR293" s="148"/>
      <c r="IZS293" s="148"/>
      <c r="IZT293" s="148"/>
      <c r="IZU293" s="148"/>
      <c r="IZV293" s="148"/>
      <c r="IZW293" s="148"/>
      <c r="IZX293" s="148"/>
      <c r="IZY293" s="148"/>
      <c r="IZZ293" s="148"/>
      <c r="JAA293" s="148"/>
      <c r="JAB293" s="148"/>
      <c r="JAC293" s="148"/>
      <c r="JAD293" s="148"/>
      <c r="JAE293" s="148"/>
      <c r="JAF293" s="148"/>
      <c r="JAG293" s="148"/>
      <c r="JAH293" s="148"/>
      <c r="JAI293" s="148"/>
      <c r="JAJ293" s="148"/>
      <c r="JAK293" s="148"/>
      <c r="JAL293" s="148"/>
      <c r="JAM293" s="148"/>
      <c r="JAN293" s="148"/>
      <c r="JAO293" s="148"/>
      <c r="JAP293" s="148"/>
      <c r="JAQ293" s="148"/>
      <c r="JAR293" s="148"/>
      <c r="JAS293" s="148"/>
      <c r="JAT293" s="148"/>
      <c r="JAU293" s="148"/>
      <c r="JAV293" s="148"/>
      <c r="JAW293" s="148"/>
      <c r="JAX293" s="148"/>
      <c r="JAY293" s="148"/>
      <c r="JAZ293" s="148"/>
      <c r="JBA293" s="148"/>
      <c r="JBB293" s="148"/>
      <c r="JBC293" s="148"/>
      <c r="JBD293" s="148"/>
      <c r="JBE293" s="148"/>
      <c r="JBF293" s="148"/>
      <c r="JBG293" s="148"/>
      <c r="JBH293" s="148"/>
      <c r="JBI293" s="148"/>
      <c r="JBJ293" s="148"/>
      <c r="JBK293" s="148"/>
      <c r="JBL293" s="148"/>
      <c r="JBM293" s="148"/>
      <c r="JBN293" s="148"/>
      <c r="JBO293" s="148"/>
      <c r="JBP293" s="148"/>
      <c r="JBQ293" s="148"/>
      <c r="JBR293" s="148"/>
      <c r="JBS293" s="148"/>
      <c r="JBT293" s="148"/>
      <c r="JBU293" s="148"/>
      <c r="JBV293" s="148"/>
      <c r="JBW293" s="148"/>
      <c r="JBX293" s="148"/>
      <c r="JBY293" s="148"/>
      <c r="JBZ293" s="148"/>
      <c r="JCA293" s="148"/>
      <c r="JCB293" s="148"/>
      <c r="JCC293" s="148"/>
      <c r="JCD293" s="148"/>
      <c r="JCE293" s="148"/>
      <c r="JCF293" s="148"/>
      <c r="JCG293" s="148"/>
      <c r="JCH293" s="148"/>
      <c r="JCI293" s="148"/>
      <c r="JCJ293" s="148"/>
      <c r="JCK293" s="148"/>
      <c r="JCL293" s="148"/>
      <c r="JCM293" s="148"/>
      <c r="JCN293" s="148"/>
      <c r="JCO293" s="148"/>
      <c r="JCP293" s="148"/>
      <c r="JCQ293" s="148"/>
      <c r="JCR293" s="148"/>
      <c r="JCS293" s="148"/>
      <c r="JCT293" s="148"/>
      <c r="JCU293" s="148"/>
      <c r="JCV293" s="148"/>
      <c r="JCW293" s="148"/>
      <c r="JCX293" s="148"/>
      <c r="JCY293" s="148"/>
      <c r="JCZ293" s="148"/>
      <c r="JDA293" s="148"/>
      <c r="JDB293" s="148"/>
      <c r="JDC293" s="148"/>
      <c r="JDD293" s="148"/>
      <c r="JDE293" s="148"/>
      <c r="JDF293" s="148"/>
      <c r="JDG293" s="148"/>
      <c r="JDH293" s="148"/>
      <c r="JDI293" s="148"/>
      <c r="JDJ293" s="148"/>
      <c r="JDK293" s="148"/>
      <c r="JDL293" s="148"/>
      <c r="JDM293" s="148"/>
      <c r="JDN293" s="148"/>
      <c r="JDO293" s="148"/>
      <c r="JDP293" s="148"/>
      <c r="JDQ293" s="148"/>
      <c r="JDR293" s="148"/>
      <c r="JDS293" s="148"/>
      <c r="JDT293" s="148"/>
      <c r="JDU293" s="148"/>
      <c r="JDV293" s="148"/>
      <c r="JDW293" s="148"/>
      <c r="JDX293" s="148"/>
      <c r="JDY293" s="148"/>
      <c r="JDZ293" s="148"/>
      <c r="JEA293" s="148"/>
      <c r="JEB293" s="148"/>
      <c r="JEC293" s="148"/>
      <c r="JED293" s="148"/>
      <c r="JEE293" s="148"/>
      <c r="JEF293" s="148"/>
      <c r="JEG293" s="148"/>
      <c r="JEH293" s="148"/>
      <c r="JEI293" s="148"/>
      <c r="JEJ293" s="148"/>
      <c r="JEK293" s="148"/>
      <c r="JEL293" s="148"/>
      <c r="JEM293" s="148"/>
      <c r="JEN293" s="148"/>
      <c r="JEO293" s="148"/>
      <c r="JEP293" s="148"/>
      <c r="JEQ293" s="148"/>
      <c r="JER293" s="148"/>
      <c r="JES293" s="148"/>
      <c r="JET293" s="148"/>
      <c r="JEU293" s="148"/>
      <c r="JEV293" s="148"/>
      <c r="JEW293" s="148"/>
      <c r="JEX293" s="148"/>
      <c r="JEY293" s="148"/>
      <c r="JEZ293" s="148"/>
      <c r="JFA293" s="148"/>
      <c r="JFB293" s="148"/>
      <c r="JFC293" s="148"/>
      <c r="JFD293" s="148"/>
      <c r="JFE293" s="148"/>
      <c r="JFF293" s="148"/>
      <c r="JFG293" s="148"/>
      <c r="JFH293" s="148"/>
      <c r="JFI293" s="148"/>
      <c r="JFJ293" s="148"/>
      <c r="JFK293" s="148"/>
      <c r="JFL293" s="148"/>
      <c r="JFM293" s="148"/>
      <c r="JFN293" s="148"/>
      <c r="JFO293" s="148"/>
      <c r="JFP293" s="148"/>
      <c r="JFQ293" s="148"/>
      <c r="JFR293" s="148"/>
      <c r="JFS293" s="148"/>
      <c r="JFT293" s="148"/>
      <c r="JFU293" s="148"/>
      <c r="JFV293" s="148"/>
      <c r="JFW293" s="148"/>
      <c r="JFX293" s="148"/>
      <c r="JFY293" s="148"/>
      <c r="JFZ293" s="148"/>
      <c r="JGA293" s="148"/>
      <c r="JGB293" s="148"/>
      <c r="JGC293" s="148"/>
      <c r="JGD293" s="148"/>
      <c r="JGE293" s="148"/>
      <c r="JGF293" s="148"/>
      <c r="JGG293" s="148"/>
      <c r="JGH293" s="148"/>
      <c r="JGI293" s="148"/>
      <c r="JGJ293" s="148"/>
      <c r="JGK293" s="148"/>
      <c r="JGL293" s="148"/>
      <c r="JGM293" s="148"/>
      <c r="JGN293" s="148"/>
      <c r="JGO293" s="148"/>
      <c r="JGP293" s="148"/>
      <c r="JGQ293" s="148"/>
      <c r="JGR293" s="148"/>
      <c r="JGS293" s="148"/>
      <c r="JGT293" s="148"/>
      <c r="JGU293" s="148"/>
      <c r="JGV293" s="148"/>
      <c r="JGW293" s="148"/>
      <c r="JGX293" s="148"/>
      <c r="JGY293" s="148"/>
      <c r="JGZ293" s="148"/>
      <c r="JHA293" s="148"/>
      <c r="JHB293" s="148"/>
      <c r="JHC293" s="148"/>
      <c r="JHD293" s="148"/>
      <c r="JHE293" s="148"/>
      <c r="JHF293" s="148"/>
      <c r="JHG293" s="148"/>
      <c r="JHH293" s="148"/>
      <c r="JHI293" s="148"/>
      <c r="JHJ293" s="148"/>
      <c r="JHK293" s="148"/>
      <c r="JHL293" s="148"/>
      <c r="JHM293" s="148"/>
      <c r="JHN293" s="148"/>
      <c r="JHO293" s="148"/>
      <c r="JHP293" s="148"/>
      <c r="JHQ293" s="148"/>
      <c r="JHR293" s="148"/>
      <c r="JHS293" s="148"/>
      <c r="JHT293" s="148"/>
      <c r="JHU293" s="148"/>
      <c r="JHV293" s="148"/>
      <c r="JHW293" s="148"/>
      <c r="JHX293" s="148"/>
      <c r="JHY293" s="148"/>
      <c r="JHZ293" s="148"/>
      <c r="JIA293" s="148"/>
      <c r="JIB293" s="148"/>
      <c r="JIC293" s="148"/>
      <c r="JID293" s="148"/>
      <c r="JIE293" s="148"/>
      <c r="JIF293" s="148"/>
      <c r="JIG293" s="148"/>
      <c r="JIH293" s="148"/>
      <c r="JII293" s="148"/>
      <c r="JIJ293" s="148"/>
      <c r="JIK293" s="148"/>
      <c r="JIL293" s="148"/>
      <c r="JIM293" s="148"/>
      <c r="JIN293" s="148"/>
      <c r="JIO293" s="148"/>
      <c r="JIP293" s="148"/>
      <c r="JIQ293" s="148"/>
      <c r="JIR293" s="148"/>
      <c r="JIS293" s="148"/>
      <c r="JIT293" s="148"/>
      <c r="JIU293" s="148"/>
      <c r="JIV293" s="148"/>
      <c r="JIW293" s="148"/>
      <c r="JIX293" s="148"/>
      <c r="JIY293" s="148"/>
      <c r="JIZ293" s="148"/>
      <c r="JJA293" s="148"/>
      <c r="JJB293" s="148"/>
      <c r="JJC293" s="148"/>
      <c r="JJD293" s="148"/>
      <c r="JJE293" s="148"/>
      <c r="JJF293" s="148"/>
      <c r="JJG293" s="148"/>
      <c r="JJH293" s="148"/>
      <c r="JJI293" s="148"/>
      <c r="JJJ293" s="148"/>
      <c r="JJK293" s="148"/>
      <c r="JJL293" s="148"/>
      <c r="JJM293" s="148"/>
      <c r="JJN293" s="148"/>
      <c r="JJO293" s="148"/>
      <c r="JJP293" s="148"/>
      <c r="JJQ293" s="148"/>
      <c r="JJR293" s="148"/>
      <c r="JJS293" s="148"/>
      <c r="JJT293" s="148"/>
      <c r="JJU293" s="148"/>
      <c r="JJV293" s="148"/>
      <c r="JJW293" s="148"/>
      <c r="JJX293" s="148"/>
      <c r="JJY293" s="148"/>
      <c r="JJZ293" s="148"/>
      <c r="JKA293" s="148"/>
      <c r="JKB293" s="148"/>
      <c r="JKC293" s="148"/>
      <c r="JKD293" s="148"/>
      <c r="JKE293" s="148"/>
      <c r="JKF293" s="148"/>
      <c r="JKG293" s="148"/>
      <c r="JKH293" s="148"/>
      <c r="JKI293" s="148"/>
      <c r="JKJ293" s="148"/>
      <c r="JKK293" s="148"/>
      <c r="JKL293" s="148"/>
      <c r="JKM293" s="148"/>
      <c r="JKN293" s="148"/>
      <c r="JKO293" s="148"/>
      <c r="JKP293" s="148"/>
      <c r="JKQ293" s="148"/>
      <c r="JKR293" s="148"/>
      <c r="JKS293" s="148"/>
      <c r="JKT293" s="148"/>
      <c r="JKU293" s="148"/>
      <c r="JKV293" s="148"/>
      <c r="JKW293" s="148"/>
      <c r="JKX293" s="148"/>
      <c r="JKY293" s="148"/>
      <c r="JKZ293" s="148"/>
      <c r="JLA293" s="148"/>
      <c r="JLB293" s="148"/>
      <c r="JLC293" s="148"/>
      <c r="JLD293" s="148"/>
      <c r="JLE293" s="148"/>
      <c r="JLF293" s="148"/>
      <c r="JLG293" s="148"/>
      <c r="JLH293" s="148"/>
      <c r="JLI293" s="148"/>
      <c r="JLJ293" s="148"/>
      <c r="JLK293" s="148"/>
      <c r="JLL293" s="148"/>
      <c r="JLM293" s="148"/>
      <c r="JLN293" s="148"/>
      <c r="JLO293" s="148"/>
      <c r="JLP293" s="148"/>
      <c r="JLQ293" s="148"/>
      <c r="JLR293" s="148"/>
      <c r="JLS293" s="148"/>
      <c r="JLT293" s="148"/>
      <c r="JLU293" s="148"/>
      <c r="JLV293" s="148"/>
      <c r="JLW293" s="148"/>
      <c r="JLX293" s="148"/>
      <c r="JLY293" s="148"/>
      <c r="JLZ293" s="148"/>
      <c r="JMA293" s="148"/>
      <c r="JMB293" s="148"/>
      <c r="JMC293" s="148"/>
      <c r="JMD293" s="148"/>
      <c r="JME293" s="148"/>
      <c r="JMF293" s="148"/>
      <c r="JMG293" s="148"/>
      <c r="JMH293" s="148"/>
      <c r="JMI293" s="148"/>
      <c r="JMJ293" s="148"/>
      <c r="JMK293" s="148"/>
      <c r="JML293" s="148"/>
      <c r="JMM293" s="148"/>
      <c r="JMN293" s="148"/>
      <c r="JMO293" s="148"/>
      <c r="JMP293" s="148"/>
      <c r="JMQ293" s="148"/>
      <c r="JMR293" s="148"/>
      <c r="JMS293" s="148"/>
      <c r="JMT293" s="148"/>
      <c r="JMU293" s="148"/>
      <c r="JMV293" s="148"/>
      <c r="JMW293" s="148"/>
      <c r="JMX293" s="148"/>
      <c r="JMY293" s="148"/>
      <c r="JMZ293" s="148"/>
      <c r="JNA293" s="148"/>
      <c r="JNB293" s="148"/>
      <c r="JNC293" s="148"/>
      <c r="JND293" s="148"/>
      <c r="JNE293" s="148"/>
      <c r="JNF293" s="148"/>
      <c r="JNG293" s="148"/>
      <c r="JNH293" s="148"/>
      <c r="JNI293" s="148"/>
      <c r="JNJ293" s="148"/>
      <c r="JNK293" s="148"/>
      <c r="JNL293" s="148"/>
      <c r="JNM293" s="148"/>
      <c r="JNN293" s="148"/>
      <c r="JNO293" s="148"/>
      <c r="JNP293" s="148"/>
      <c r="JNQ293" s="148"/>
      <c r="JNR293" s="148"/>
      <c r="JNS293" s="148"/>
      <c r="JNT293" s="148"/>
      <c r="JNU293" s="148"/>
      <c r="JNV293" s="148"/>
      <c r="JNW293" s="148"/>
      <c r="JNX293" s="148"/>
      <c r="JNY293" s="148"/>
      <c r="JNZ293" s="148"/>
      <c r="JOA293" s="148"/>
      <c r="JOB293" s="148"/>
      <c r="JOC293" s="148"/>
      <c r="JOD293" s="148"/>
      <c r="JOE293" s="148"/>
      <c r="JOF293" s="148"/>
      <c r="JOG293" s="148"/>
      <c r="JOH293" s="148"/>
      <c r="JOI293" s="148"/>
      <c r="JOJ293" s="148"/>
      <c r="JOK293" s="148"/>
      <c r="JOL293" s="148"/>
      <c r="JOM293" s="148"/>
      <c r="JON293" s="148"/>
      <c r="JOO293" s="148"/>
      <c r="JOP293" s="148"/>
      <c r="JOQ293" s="148"/>
      <c r="JOR293" s="148"/>
      <c r="JOS293" s="148"/>
      <c r="JOT293" s="148"/>
      <c r="JOU293" s="148"/>
      <c r="JOV293" s="148"/>
      <c r="JOW293" s="148"/>
      <c r="JOX293" s="148"/>
      <c r="JOY293" s="148"/>
      <c r="JOZ293" s="148"/>
      <c r="JPA293" s="148"/>
      <c r="JPB293" s="148"/>
      <c r="JPC293" s="148"/>
      <c r="JPD293" s="148"/>
      <c r="JPE293" s="148"/>
      <c r="JPF293" s="148"/>
      <c r="JPG293" s="148"/>
      <c r="JPH293" s="148"/>
      <c r="JPI293" s="148"/>
      <c r="JPJ293" s="148"/>
      <c r="JPK293" s="148"/>
      <c r="JPL293" s="148"/>
      <c r="JPM293" s="148"/>
      <c r="JPN293" s="148"/>
      <c r="JPO293" s="148"/>
      <c r="JPP293" s="148"/>
      <c r="JPQ293" s="148"/>
      <c r="JPR293" s="148"/>
      <c r="JPS293" s="148"/>
      <c r="JPT293" s="148"/>
      <c r="JPU293" s="148"/>
      <c r="JPV293" s="148"/>
      <c r="JPW293" s="148"/>
      <c r="JPX293" s="148"/>
      <c r="JPY293" s="148"/>
      <c r="JPZ293" s="148"/>
      <c r="JQA293" s="148"/>
      <c r="JQB293" s="148"/>
      <c r="JQC293" s="148"/>
      <c r="JQD293" s="148"/>
      <c r="JQE293" s="148"/>
      <c r="JQF293" s="148"/>
      <c r="JQG293" s="148"/>
      <c r="JQH293" s="148"/>
      <c r="JQI293" s="148"/>
      <c r="JQJ293" s="148"/>
      <c r="JQK293" s="148"/>
      <c r="JQL293" s="148"/>
      <c r="JQM293" s="148"/>
      <c r="JQN293" s="148"/>
      <c r="JQO293" s="148"/>
      <c r="JQP293" s="148"/>
      <c r="JQQ293" s="148"/>
      <c r="JQR293" s="148"/>
      <c r="JQS293" s="148"/>
      <c r="JQT293" s="148"/>
      <c r="JQU293" s="148"/>
      <c r="JQV293" s="148"/>
      <c r="JQW293" s="148"/>
      <c r="JQX293" s="148"/>
      <c r="JQY293" s="148"/>
      <c r="JQZ293" s="148"/>
      <c r="JRA293" s="148"/>
      <c r="JRB293" s="148"/>
      <c r="JRC293" s="148"/>
      <c r="JRD293" s="148"/>
      <c r="JRE293" s="148"/>
      <c r="JRF293" s="148"/>
      <c r="JRG293" s="148"/>
      <c r="JRH293" s="148"/>
      <c r="JRI293" s="148"/>
      <c r="JRJ293" s="148"/>
      <c r="JRK293" s="148"/>
      <c r="JRL293" s="148"/>
      <c r="JRM293" s="148"/>
      <c r="JRN293" s="148"/>
      <c r="JRO293" s="148"/>
      <c r="JRP293" s="148"/>
      <c r="JRQ293" s="148"/>
      <c r="JRR293" s="148"/>
      <c r="JRS293" s="148"/>
      <c r="JRT293" s="148"/>
      <c r="JRU293" s="148"/>
      <c r="JRV293" s="148"/>
      <c r="JRW293" s="148"/>
      <c r="JRX293" s="148"/>
      <c r="JRY293" s="148"/>
      <c r="JRZ293" s="148"/>
      <c r="JSA293" s="148"/>
      <c r="JSB293" s="148"/>
      <c r="JSC293" s="148"/>
      <c r="JSD293" s="148"/>
      <c r="JSE293" s="148"/>
      <c r="JSF293" s="148"/>
      <c r="JSG293" s="148"/>
      <c r="JSH293" s="148"/>
      <c r="JSI293" s="148"/>
      <c r="JSJ293" s="148"/>
      <c r="JSK293" s="148"/>
      <c r="JSL293" s="148"/>
      <c r="JSM293" s="148"/>
      <c r="JSN293" s="148"/>
      <c r="JSO293" s="148"/>
      <c r="JSP293" s="148"/>
      <c r="JSQ293" s="148"/>
      <c r="JSR293" s="148"/>
      <c r="JSS293" s="148"/>
      <c r="JST293" s="148"/>
      <c r="JSU293" s="148"/>
      <c r="JSV293" s="148"/>
      <c r="JSW293" s="148"/>
      <c r="JSX293" s="148"/>
      <c r="JSY293" s="148"/>
      <c r="JSZ293" s="148"/>
      <c r="JTA293" s="148"/>
      <c r="JTB293" s="148"/>
      <c r="JTC293" s="148"/>
      <c r="JTD293" s="148"/>
      <c r="JTE293" s="148"/>
      <c r="JTF293" s="148"/>
      <c r="JTG293" s="148"/>
      <c r="JTH293" s="148"/>
      <c r="JTI293" s="148"/>
      <c r="JTJ293" s="148"/>
      <c r="JTK293" s="148"/>
      <c r="JTL293" s="148"/>
      <c r="JTM293" s="148"/>
      <c r="JTN293" s="148"/>
      <c r="JTO293" s="148"/>
      <c r="JTP293" s="148"/>
      <c r="JTQ293" s="148"/>
      <c r="JTR293" s="148"/>
      <c r="JTS293" s="148"/>
      <c r="JTT293" s="148"/>
      <c r="JTU293" s="148"/>
      <c r="JTV293" s="148"/>
      <c r="JTW293" s="148"/>
      <c r="JTX293" s="148"/>
      <c r="JTY293" s="148"/>
      <c r="JTZ293" s="148"/>
      <c r="JUA293" s="148"/>
      <c r="JUB293" s="148"/>
      <c r="JUC293" s="148"/>
      <c r="JUD293" s="148"/>
      <c r="JUE293" s="148"/>
      <c r="JUF293" s="148"/>
      <c r="JUG293" s="148"/>
      <c r="JUH293" s="148"/>
      <c r="JUI293" s="148"/>
      <c r="JUJ293" s="148"/>
      <c r="JUK293" s="148"/>
      <c r="JUL293" s="148"/>
      <c r="JUM293" s="148"/>
      <c r="JUN293" s="148"/>
      <c r="JUO293" s="148"/>
      <c r="JUP293" s="148"/>
      <c r="JUQ293" s="148"/>
      <c r="JUR293" s="148"/>
      <c r="JUS293" s="148"/>
      <c r="JUT293" s="148"/>
      <c r="JUU293" s="148"/>
      <c r="JUV293" s="148"/>
      <c r="JUW293" s="148"/>
      <c r="JUX293" s="148"/>
      <c r="JUY293" s="148"/>
      <c r="JUZ293" s="148"/>
      <c r="JVA293" s="148"/>
      <c r="JVB293" s="148"/>
      <c r="JVC293" s="148"/>
      <c r="JVD293" s="148"/>
      <c r="JVE293" s="148"/>
      <c r="JVF293" s="148"/>
      <c r="JVG293" s="148"/>
      <c r="JVH293" s="148"/>
      <c r="JVI293" s="148"/>
      <c r="JVJ293" s="148"/>
      <c r="JVK293" s="148"/>
      <c r="JVL293" s="148"/>
      <c r="JVM293" s="148"/>
      <c r="JVN293" s="148"/>
      <c r="JVO293" s="148"/>
      <c r="JVP293" s="148"/>
      <c r="JVQ293" s="148"/>
      <c r="JVR293" s="148"/>
      <c r="JVS293" s="148"/>
      <c r="JVT293" s="148"/>
      <c r="JVU293" s="148"/>
      <c r="JVV293" s="148"/>
      <c r="JVW293" s="148"/>
      <c r="JVX293" s="148"/>
      <c r="JVY293" s="148"/>
      <c r="JVZ293" s="148"/>
      <c r="JWA293" s="148"/>
      <c r="JWB293" s="148"/>
      <c r="JWC293" s="148"/>
      <c r="JWD293" s="148"/>
      <c r="JWE293" s="148"/>
      <c r="JWF293" s="148"/>
      <c r="JWG293" s="148"/>
      <c r="JWH293" s="148"/>
      <c r="JWI293" s="148"/>
      <c r="JWJ293" s="148"/>
      <c r="JWK293" s="148"/>
      <c r="JWL293" s="148"/>
      <c r="JWM293" s="148"/>
      <c r="JWN293" s="148"/>
      <c r="JWO293" s="148"/>
      <c r="JWP293" s="148"/>
      <c r="JWQ293" s="148"/>
      <c r="JWR293" s="148"/>
      <c r="JWS293" s="148"/>
      <c r="JWT293" s="148"/>
      <c r="JWU293" s="148"/>
      <c r="JWV293" s="148"/>
      <c r="JWW293" s="148"/>
      <c r="JWX293" s="148"/>
      <c r="JWY293" s="148"/>
      <c r="JWZ293" s="148"/>
      <c r="JXA293" s="148"/>
      <c r="JXB293" s="148"/>
      <c r="JXC293" s="148"/>
      <c r="JXD293" s="148"/>
      <c r="JXE293" s="148"/>
      <c r="JXF293" s="148"/>
      <c r="JXG293" s="148"/>
      <c r="JXH293" s="148"/>
      <c r="JXI293" s="148"/>
      <c r="JXJ293" s="148"/>
      <c r="JXK293" s="148"/>
      <c r="JXL293" s="148"/>
      <c r="JXM293" s="148"/>
      <c r="JXN293" s="148"/>
      <c r="JXO293" s="148"/>
      <c r="JXP293" s="148"/>
      <c r="JXQ293" s="148"/>
      <c r="JXR293" s="148"/>
      <c r="JXS293" s="148"/>
      <c r="JXT293" s="148"/>
      <c r="JXU293" s="148"/>
      <c r="JXV293" s="148"/>
      <c r="JXW293" s="148"/>
      <c r="JXX293" s="148"/>
      <c r="JXY293" s="148"/>
      <c r="JXZ293" s="148"/>
      <c r="JYA293" s="148"/>
      <c r="JYB293" s="148"/>
      <c r="JYC293" s="148"/>
      <c r="JYD293" s="148"/>
      <c r="JYE293" s="148"/>
      <c r="JYF293" s="148"/>
      <c r="JYG293" s="148"/>
      <c r="JYH293" s="148"/>
      <c r="JYI293" s="148"/>
      <c r="JYJ293" s="148"/>
      <c r="JYK293" s="148"/>
      <c r="JYL293" s="148"/>
      <c r="JYM293" s="148"/>
      <c r="JYN293" s="148"/>
      <c r="JYO293" s="148"/>
      <c r="JYP293" s="148"/>
      <c r="JYQ293" s="148"/>
      <c r="JYR293" s="148"/>
      <c r="JYS293" s="148"/>
      <c r="JYT293" s="148"/>
      <c r="JYU293" s="148"/>
      <c r="JYV293" s="148"/>
      <c r="JYW293" s="148"/>
      <c r="JYX293" s="148"/>
      <c r="JYY293" s="148"/>
      <c r="JYZ293" s="148"/>
      <c r="JZA293" s="148"/>
      <c r="JZB293" s="148"/>
      <c r="JZC293" s="148"/>
      <c r="JZD293" s="148"/>
      <c r="JZE293" s="148"/>
      <c r="JZF293" s="148"/>
      <c r="JZG293" s="148"/>
      <c r="JZH293" s="148"/>
      <c r="JZI293" s="148"/>
      <c r="JZJ293" s="148"/>
      <c r="JZK293" s="148"/>
      <c r="JZL293" s="148"/>
      <c r="JZM293" s="148"/>
      <c r="JZN293" s="148"/>
      <c r="JZO293" s="148"/>
      <c r="JZP293" s="148"/>
      <c r="JZQ293" s="148"/>
      <c r="JZR293" s="148"/>
      <c r="JZS293" s="148"/>
      <c r="JZT293" s="148"/>
      <c r="JZU293" s="148"/>
      <c r="JZV293" s="148"/>
      <c r="JZW293" s="148"/>
      <c r="JZX293" s="148"/>
      <c r="JZY293" s="148"/>
      <c r="JZZ293" s="148"/>
      <c r="KAA293" s="148"/>
      <c r="KAB293" s="148"/>
      <c r="KAC293" s="148"/>
      <c r="KAD293" s="148"/>
      <c r="KAE293" s="148"/>
      <c r="KAF293" s="148"/>
      <c r="KAG293" s="148"/>
      <c r="KAH293" s="148"/>
      <c r="KAI293" s="148"/>
      <c r="KAJ293" s="148"/>
      <c r="KAK293" s="148"/>
      <c r="KAL293" s="148"/>
      <c r="KAM293" s="148"/>
      <c r="KAN293" s="148"/>
      <c r="KAO293" s="148"/>
      <c r="KAP293" s="148"/>
      <c r="KAQ293" s="148"/>
      <c r="KAR293" s="148"/>
      <c r="KAS293" s="148"/>
      <c r="KAT293" s="148"/>
      <c r="KAU293" s="148"/>
      <c r="KAV293" s="148"/>
      <c r="KAW293" s="148"/>
      <c r="KAX293" s="148"/>
      <c r="KAY293" s="148"/>
      <c r="KAZ293" s="148"/>
      <c r="KBA293" s="148"/>
      <c r="KBB293" s="148"/>
      <c r="KBC293" s="148"/>
      <c r="KBD293" s="148"/>
      <c r="KBE293" s="148"/>
      <c r="KBF293" s="148"/>
      <c r="KBG293" s="148"/>
      <c r="KBH293" s="148"/>
      <c r="KBI293" s="148"/>
      <c r="KBJ293" s="148"/>
      <c r="KBK293" s="148"/>
      <c r="KBL293" s="148"/>
      <c r="KBM293" s="148"/>
      <c r="KBN293" s="148"/>
      <c r="KBO293" s="148"/>
      <c r="KBP293" s="148"/>
      <c r="KBQ293" s="148"/>
      <c r="KBR293" s="148"/>
      <c r="KBS293" s="148"/>
      <c r="KBT293" s="148"/>
      <c r="KBU293" s="148"/>
      <c r="KBV293" s="148"/>
      <c r="KBW293" s="148"/>
      <c r="KBX293" s="148"/>
      <c r="KBY293" s="148"/>
      <c r="KBZ293" s="148"/>
      <c r="KCA293" s="148"/>
      <c r="KCB293" s="148"/>
      <c r="KCC293" s="148"/>
      <c r="KCD293" s="148"/>
      <c r="KCE293" s="148"/>
      <c r="KCF293" s="148"/>
      <c r="KCG293" s="148"/>
      <c r="KCH293" s="148"/>
      <c r="KCI293" s="148"/>
      <c r="KCJ293" s="148"/>
      <c r="KCK293" s="148"/>
      <c r="KCL293" s="148"/>
      <c r="KCM293" s="148"/>
      <c r="KCN293" s="148"/>
      <c r="KCO293" s="148"/>
      <c r="KCP293" s="148"/>
      <c r="KCQ293" s="148"/>
      <c r="KCR293" s="148"/>
      <c r="KCS293" s="148"/>
      <c r="KCT293" s="148"/>
      <c r="KCU293" s="148"/>
      <c r="KCV293" s="148"/>
      <c r="KCW293" s="148"/>
      <c r="KCX293" s="148"/>
      <c r="KCY293" s="148"/>
      <c r="KCZ293" s="148"/>
      <c r="KDA293" s="148"/>
      <c r="KDB293" s="148"/>
      <c r="KDC293" s="148"/>
      <c r="KDD293" s="148"/>
      <c r="KDE293" s="148"/>
      <c r="KDF293" s="148"/>
      <c r="KDG293" s="148"/>
      <c r="KDH293" s="148"/>
      <c r="KDI293" s="148"/>
      <c r="KDJ293" s="148"/>
      <c r="KDK293" s="148"/>
      <c r="KDL293" s="148"/>
      <c r="KDM293" s="148"/>
      <c r="KDN293" s="148"/>
      <c r="KDO293" s="148"/>
      <c r="KDP293" s="148"/>
      <c r="KDQ293" s="148"/>
      <c r="KDR293" s="148"/>
      <c r="KDS293" s="148"/>
      <c r="KDT293" s="148"/>
      <c r="KDU293" s="148"/>
      <c r="KDV293" s="148"/>
      <c r="KDW293" s="148"/>
      <c r="KDX293" s="148"/>
      <c r="KDY293" s="148"/>
      <c r="KDZ293" s="148"/>
      <c r="KEA293" s="148"/>
      <c r="KEB293" s="148"/>
      <c r="KEC293" s="148"/>
      <c r="KED293" s="148"/>
      <c r="KEE293" s="148"/>
      <c r="KEF293" s="148"/>
      <c r="KEG293" s="148"/>
      <c r="KEH293" s="148"/>
      <c r="KEI293" s="148"/>
      <c r="KEJ293" s="148"/>
      <c r="KEK293" s="148"/>
      <c r="KEL293" s="148"/>
      <c r="KEM293" s="148"/>
      <c r="KEN293" s="148"/>
      <c r="KEO293" s="148"/>
      <c r="KEP293" s="148"/>
      <c r="KEQ293" s="148"/>
      <c r="KER293" s="148"/>
      <c r="KES293" s="148"/>
      <c r="KET293" s="148"/>
      <c r="KEU293" s="148"/>
      <c r="KEV293" s="148"/>
      <c r="KEW293" s="148"/>
      <c r="KEX293" s="148"/>
      <c r="KEY293" s="148"/>
      <c r="KEZ293" s="148"/>
      <c r="KFA293" s="148"/>
      <c r="KFB293" s="148"/>
      <c r="KFC293" s="148"/>
      <c r="KFD293" s="148"/>
      <c r="KFE293" s="148"/>
      <c r="KFF293" s="148"/>
      <c r="KFG293" s="148"/>
      <c r="KFH293" s="148"/>
      <c r="KFI293" s="148"/>
      <c r="KFJ293" s="148"/>
      <c r="KFK293" s="148"/>
      <c r="KFL293" s="148"/>
      <c r="KFM293" s="148"/>
      <c r="KFN293" s="148"/>
      <c r="KFO293" s="148"/>
      <c r="KFP293" s="148"/>
      <c r="KFQ293" s="148"/>
      <c r="KFR293" s="148"/>
      <c r="KFS293" s="148"/>
      <c r="KFT293" s="148"/>
      <c r="KFU293" s="148"/>
      <c r="KFV293" s="148"/>
      <c r="KFW293" s="148"/>
      <c r="KFX293" s="148"/>
      <c r="KFY293" s="148"/>
      <c r="KFZ293" s="148"/>
      <c r="KGA293" s="148"/>
      <c r="KGB293" s="148"/>
      <c r="KGC293" s="148"/>
      <c r="KGD293" s="148"/>
      <c r="KGE293" s="148"/>
      <c r="KGF293" s="148"/>
      <c r="KGG293" s="148"/>
      <c r="KGH293" s="148"/>
      <c r="KGI293" s="148"/>
      <c r="KGJ293" s="148"/>
      <c r="KGK293" s="148"/>
      <c r="KGL293" s="148"/>
      <c r="KGM293" s="148"/>
      <c r="KGN293" s="148"/>
      <c r="KGO293" s="148"/>
      <c r="KGP293" s="148"/>
      <c r="KGQ293" s="148"/>
      <c r="KGR293" s="148"/>
      <c r="KGS293" s="148"/>
      <c r="KGT293" s="148"/>
      <c r="KGU293" s="148"/>
      <c r="KGV293" s="148"/>
      <c r="KGW293" s="148"/>
      <c r="KGX293" s="148"/>
      <c r="KGY293" s="148"/>
      <c r="KGZ293" s="148"/>
      <c r="KHA293" s="148"/>
      <c r="KHB293" s="148"/>
      <c r="KHC293" s="148"/>
      <c r="KHD293" s="148"/>
      <c r="KHE293" s="148"/>
      <c r="KHF293" s="148"/>
      <c r="KHG293" s="148"/>
      <c r="KHH293" s="148"/>
      <c r="KHI293" s="148"/>
      <c r="KHJ293" s="148"/>
      <c r="KHK293" s="148"/>
      <c r="KHL293" s="148"/>
      <c r="KHM293" s="148"/>
      <c r="KHN293" s="148"/>
      <c r="KHO293" s="148"/>
      <c r="KHP293" s="148"/>
      <c r="KHQ293" s="148"/>
      <c r="KHR293" s="148"/>
      <c r="KHS293" s="148"/>
      <c r="KHT293" s="148"/>
      <c r="KHU293" s="148"/>
      <c r="KHV293" s="148"/>
      <c r="KHW293" s="148"/>
      <c r="KHX293" s="148"/>
      <c r="KHY293" s="148"/>
      <c r="KHZ293" s="148"/>
      <c r="KIA293" s="148"/>
      <c r="KIB293" s="148"/>
      <c r="KIC293" s="148"/>
      <c r="KID293" s="148"/>
      <c r="KIE293" s="148"/>
      <c r="KIF293" s="148"/>
      <c r="KIG293" s="148"/>
      <c r="KIH293" s="148"/>
      <c r="KII293" s="148"/>
      <c r="KIJ293" s="148"/>
      <c r="KIK293" s="148"/>
      <c r="KIL293" s="148"/>
      <c r="KIM293" s="148"/>
      <c r="KIN293" s="148"/>
      <c r="KIO293" s="148"/>
      <c r="KIP293" s="148"/>
      <c r="KIQ293" s="148"/>
      <c r="KIR293" s="148"/>
      <c r="KIS293" s="148"/>
      <c r="KIT293" s="148"/>
      <c r="KIU293" s="148"/>
      <c r="KIV293" s="148"/>
      <c r="KIW293" s="148"/>
      <c r="KIX293" s="148"/>
      <c r="KIY293" s="148"/>
      <c r="KIZ293" s="148"/>
      <c r="KJA293" s="148"/>
      <c r="KJB293" s="148"/>
      <c r="KJC293" s="148"/>
      <c r="KJD293" s="148"/>
      <c r="KJE293" s="148"/>
      <c r="KJF293" s="148"/>
      <c r="KJG293" s="148"/>
      <c r="KJH293" s="148"/>
      <c r="KJI293" s="148"/>
      <c r="KJJ293" s="148"/>
      <c r="KJK293" s="148"/>
      <c r="KJL293" s="148"/>
      <c r="KJM293" s="148"/>
      <c r="KJN293" s="148"/>
      <c r="KJO293" s="148"/>
      <c r="KJP293" s="148"/>
      <c r="KJQ293" s="148"/>
      <c r="KJR293" s="148"/>
      <c r="KJS293" s="148"/>
      <c r="KJT293" s="148"/>
      <c r="KJU293" s="148"/>
      <c r="KJV293" s="148"/>
      <c r="KJW293" s="148"/>
      <c r="KJX293" s="148"/>
      <c r="KJY293" s="148"/>
      <c r="KJZ293" s="148"/>
      <c r="KKA293" s="148"/>
      <c r="KKB293" s="148"/>
      <c r="KKC293" s="148"/>
      <c r="KKD293" s="148"/>
      <c r="KKE293" s="148"/>
      <c r="KKF293" s="148"/>
      <c r="KKG293" s="148"/>
      <c r="KKH293" s="148"/>
      <c r="KKI293" s="148"/>
      <c r="KKJ293" s="148"/>
      <c r="KKK293" s="148"/>
      <c r="KKL293" s="148"/>
      <c r="KKM293" s="148"/>
      <c r="KKN293" s="148"/>
      <c r="KKO293" s="148"/>
      <c r="KKP293" s="148"/>
      <c r="KKQ293" s="148"/>
      <c r="KKR293" s="148"/>
      <c r="KKS293" s="148"/>
      <c r="KKT293" s="148"/>
      <c r="KKU293" s="148"/>
      <c r="KKV293" s="148"/>
      <c r="KKW293" s="148"/>
      <c r="KKX293" s="148"/>
      <c r="KKY293" s="148"/>
      <c r="KKZ293" s="148"/>
      <c r="KLA293" s="148"/>
      <c r="KLB293" s="148"/>
      <c r="KLC293" s="148"/>
      <c r="KLD293" s="148"/>
      <c r="KLE293" s="148"/>
      <c r="KLF293" s="148"/>
      <c r="KLG293" s="148"/>
      <c r="KLH293" s="148"/>
      <c r="KLI293" s="148"/>
      <c r="KLJ293" s="148"/>
      <c r="KLK293" s="148"/>
      <c r="KLL293" s="148"/>
      <c r="KLM293" s="148"/>
      <c r="KLN293" s="148"/>
      <c r="KLO293" s="148"/>
      <c r="KLP293" s="148"/>
      <c r="KLQ293" s="148"/>
      <c r="KLR293" s="148"/>
      <c r="KLS293" s="148"/>
      <c r="KLT293" s="148"/>
      <c r="KLU293" s="148"/>
      <c r="KLV293" s="148"/>
      <c r="KLW293" s="148"/>
      <c r="KLX293" s="148"/>
      <c r="KLY293" s="148"/>
      <c r="KLZ293" s="148"/>
      <c r="KMA293" s="148"/>
      <c r="KMB293" s="148"/>
      <c r="KMC293" s="148"/>
      <c r="KMD293" s="148"/>
      <c r="KME293" s="148"/>
      <c r="KMF293" s="148"/>
      <c r="KMG293" s="148"/>
      <c r="KMH293" s="148"/>
      <c r="KMI293" s="148"/>
      <c r="KMJ293" s="148"/>
      <c r="KMK293" s="148"/>
      <c r="KML293" s="148"/>
      <c r="KMM293" s="148"/>
      <c r="KMN293" s="148"/>
      <c r="KMO293" s="148"/>
      <c r="KMP293" s="148"/>
      <c r="KMQ293" s="148"/>
      <c r="KMR293" s="148"/>
      <c r="KMS293" s="148"/>
      <c r="KMT293" s="148"/>
      <c r="KMU293" s="148"/>
      <c r="KMV293" s="148"/>
      <c r="KMW293" s="148"/>
      <c r="KMX293" s="148"/>
      <c r="KMY293" s="148"/>
      <c r="KMZ293" s="148"/>
      <c r="KNA293" s="148"/>
      <c r="KNB293" s="148"/>
      <c r="KNC293" s="148"/>
      <c r="KND293" s="148"/>
      <c r="KNE293" s="148"/>
      <c r="KNF293" s="148"/>
      <c r="KNG293" s="148"/>
      <c r="KNH293" s="148"/>
      <c r="KNI293" s="148"/>
      <c r="KNJ293" s="148"/>
      <c r="KNK293" s="148"/>
      <c r="KNL293" s="148"/>
      <c r="KNM293" s="148"/>
      <c r="KNN293" s="148"/>
      <c r="KNO293" s="148"/>
      <c r="KNP293" s="148"/>
      <c r="KNQ293" s="148"/>
      <c r="KNR293" s="148"/>
      <c r="KNS293" s="148"/>
      <c r="KNT293" s="148"/>
      <c r="KNU293" s="148"/>
      <c r="KNV293" s="148"/>
      <c r="KNW293" s="148"/>
      <c r="KNX293" s="148"/>
      <c r="KNY293" s="148"/>
      <c r="KNZ293" s="148"/>
      <c r="KOA293" s="148"/>
      <c r="KOB293" s="148"/>
      <c r="KOC293" s="148"/>
      <c r="KOD293" s="148"/>
      <c r="KOE293" s="148"/>
      <c r="KOF293" s="148"/>
      <c r="KOG293" s="148"/>
      <c r="KOH293" s="148"/>
      <c r="KOI293" s="148"/>
      <c r="KOJ293" s="148"/>
      <c r="KOK293" s="148"/>
      <c r="KOL293" s="148"/>
      <c r="KOM293" s="148"/>
      <c r="KON293" s="148"/>
      <c r="KOO293" s="148"/>
      <c r="KOP293" s="148"/>
      <c r="KOQ293" s="148"/>
      <c r="KOR293" s="148"/>
      <c r="KOS293" s="148"/>
      <c r="KOT293" s="148"/>
      <c r="KOU293" s="148"/>
      <c r="KOV293" s="148"/>
      <c r="KOW293" s="148"/>
      <c r="KOX293" s="148"/>
      <c r="KOY293" s="148"/>
      <c r="KOZ293" s="148"/>
      <c r="KPA293" s="148"/>
      <c r="KPB293" s="148"/>
      <c r="KPC293" s="148"/>
      <c r="KPD293" s="148"/>
      <c r="KPE293" s="148"/>
      <c r="KPF293" s="148"/>
      <c r="KPG293" s="148"/>
      <c r="KPH293" s="148"/>
      <c r="KPI293" s="148"/>
      <c r="KPJ293" s="148"/>
      <c r="KPK293" s="148"/>
      <c r="KPL293" s="148"/>
      <c r="KPM293" s="148"/>
      <c r="KPN293" s="148"/>
      <c r="KPO293" s="148"/>
      <c r="KPP293" s="148"/>
      <c r="KPQ293" s="148"/>
      <c r="KPR293" s="148"/>
      <c r="KPS293" s="148"/>
      <c r="KPT293" s="148"/>
      <c r="KPU293" s="148"/>
      <c r="KPV293" s="148"/>
      <c r="KPW293" s="148"/>
      <c r="KPX293" s="148"/>
      <c r="KPY293" s="148"/>
      <c r="KPZ293" s="148"/>
      <c r="KQA293" s="148"/>
      <c r="KQB293" s="148"/>
      <c r="KQC293" s="148"/>
      <c r="KQD293" s="148"/>
      <c r="KQE293" s="148"/>
      <c r="KQF293" s="148"/>
      <c r="KQG293" s="148"/>
      <c r="KQH293" s="148"/>
      <c r="KQI293" s="148"/>
      <c r="KQJ293" s="148"/>
      <c r="KQK293" s="148"/>
      <c r="KQL293" s="148"/>
      <c r="KQM293" s="148"/>
      <c r="KQN293" s="148"/>
      <c r="KQO293" s="148"/>
      <c r="KQP293" s="148"/>
      <c r="KQQ293" s="148"/>
      <c r="KQR293" s="148"/>
      <c r="KQS293" s="148"/>
      <c r="KQT293" s="148"/>
      <c r="KQU293" s="148"/>
      <c r="KQV293" s="148"/>
      <c r="KQW293" s="148"/>
      <c r="KQX293" s="148"/>
      <c r="KQY293" s="148"/>
      <c r="KQZ293" s="148"/>
      <c r="KRA293" s="148"/>
      <c r="KRB293" s="148"/>
      <c r="KRC293" s="148"/>
      <c r="KRD293" s="148"/>
      <c r="KRE293" s="148"/>
      <c r="KRF293" s="148"/>
      <c r="KRG293" s="148"/>
      <c r="KRH293" s="148"/>
      <c r="KRI293" s="148"/>
      <c r="KRJ293" s="148"/>
      <c r="KRK293" s="148"/>
      <c r="KRL293" s="148"/>
      <c r="KRM293" s="148"/>
      <c r="KRN293" s="148"/>
      <c r="KRO293" s="148"/>
      <c r="KRP293" s="148"/>
      <c r="KRQ293" s="148"/>
      <c r="KRR293" s="148"/>
      <c r="KRS293" s="148"/>
      <c r="KRT293" s="148"/>
      <c r="KRU293" s="148"/>
      <c r="KRV293" s="148"/>
      <c r="KRW293" s="148"/>
      <c r="KRX293" s="148"/>
      <c r="KRY293" s="148"/>
      <c r="KRZ293" s="148"/>
      <c r="KSA293" s="148"/>
      <c r="KSB293" s="148"/>
      <c r="KSC293" s="148"/>
      <c r="KSD293" s="148"/>
      <c r="KSE293" s="148"/>
      <c r="KSF293" s="148"/>
      <c r="KSG293" s="148"/>
      <c r="KSH293" s="148"/>
      <c r="KSI293" s="148"/>
      <c r="KSJ293" s="148"/>
      <c r="KSK293" s="148"/>
      <c r="KSL293" s="148"/>
      <c r="KSM293" s="148"/>
      <c r="KSN293" s="148"/>
      <c r="KSO293" s="148"/>
      <c r="KSP293" s="148"/>
      <c r="KSQ293" s="148"/>
      <c r="KSR293" s="148"/>
      <c r="KSS293" s="148"/>
      <c r="KST293" s="148"/>
      <c r="KSU293" s="148"/>
      <c r="KSV293" s="148"/>
      <c r="KSW293" s="148"/>
      <c r="KSX293" s="148"/>
      <c r="KSY293" s="148"/>
      <c r="KSZ293" s="148"/>
      <c r="KTA293" s="148"/>
      <c r="KTB293" s="148"/>
      <c r="KTC293" s="148"/>
      <c r="KTD293" s="148"/>
      <c r="KTE293" s="148"/>
      <c r="KTF293" s="148"/>
      <c r="KTG293" s="148"/>
      <c r="KTH293" s="148"/>
      <c r="KTI293" s="148"/>
      <c r="KTJ293" s="148"/>
      <c r="KTK293" s="148"/>
      <c r="KTL293" s="148"/>
      <c r="KTM293" s="148"/>
      <c r="KTN293" s="148"/>
      <c r="KTO293" s="148"/>
      <c r="KTP293" s="148"/>
      <c r="KTQ293" s="148"/>
      <c r="KTR293" s="148"/>
      <c r="KTS293" s="148"/>
      <c r="KTT293" s="148"/>
      <c r="KTU293" s="148"/>
      <c r="KTV293" s="148"/>
      <c r="KTW293" s="148"/>
      <c r="KTX293" s="148"/>
      <c r="KTY293" s="148"/>
      <c r="KTZ293" s="148"/>
      <c r="KUA293" s="148"/>
      <c r="KUB293" s="148"/>
      <c r="KUC293" s="148"/>
      <c r="KUD293" s="148"/>
      <c r="KUE293" s="148"/>
      <c r="KUF293" s="148"/>
      <c r="KUG293" s="148"/>
      <c r="KUH293" s="148"/>
      <c r="KUI293" s="148"/>
      <c r="KUJ293" s="148"/>
      <c r="KUK293" s="148"/>
      <c r="KUL293" s="148"/>
      <c r="KUM293" s="148"/>
      <c r="KUN293" s="148"/>
      <c r="KUO293" s="148"/>
      <c r="KUP293" s="148"/>
      <c r="KUQ293" s="148"/>
      <c r="KUR293" s="148"/>
      <c r="KUS293" s="148"/>
      <c r="KUT293" s="148"/>
      <c r="KUU293" s="148"/>
      <c r="KUV293" s="148"/>
      <c r="KUW293" s="148"/>
      <c r="KUX293" s="148"/>
      <c r="KUY293" s="148"/>
      <c r="KUZ293" s="148"/>
      <c r="KVA293" s="148"/>
      <c r="KVB293" s="148"/>
      <c r="KVC293" s="148"/>
      <c r="KVD293" s="148"/>
      <c r="KVE293" s="148"/>
      <c r="KVF293" s="148"/>
      <c r="KVG293" s="148"/>
      <c r="KVH293" s="148"/>
      <c r="KVI293" s="148"/>
      <c r="KVJ293" s="148"/>
      <c r="KVK293" s="148"/>
      <c r="KVL293" s="148"/>
      <c r="KVM293" s="148"/>
      <c r="KVN293" s="148"/>
      <c r="KVO293" s="148"/>
      <c r="KVP293" s="148"/>
      <c r="KVQ293" s="148"/>
      <c r="KVR293" s="148"/>
      <c r="KVS293" s="148"/>
      <c r="KVT293" s="148"/>
      <c r="KVU293" s="148"/>
      <c r="KVV293" s="148"/>
      <c r="KVW293" s="148"/>
      <c r="KVX293" s="148"/>
      <c r="KVY293" s="148"/>
      <c r="KVZ293" s="148"/>
      <c r="KWA293" s="148"/>
      <c r="KWB293" s="148"/>
      <c r="KWC293" s="148"/>
      <c r="KWD293" s="148"/>
      <c r="KWE293" s="148"/>
      <c r="KWF293" s="148"/>
      <c r="KWG293" s="148"/>
      <c r="KWH293" s="148"/>
      <c r="KWI293" s="148"/>
      <c r="KWJ293" s="148"/>
      <c r="KWK293" s="148"/>
      <c r="KWL293" s="148"/>
      <c r="KWM293" s="148"/>
      <c r="KWN293" s="148"/>
      <c r="KWO293" s="148"/>
      <c r="KWP293" s="148"/>
      <c r="KWQ293" s="148"/>
      <c r="KWR293" s="148"/>
      <c r="KWS293" s="148"/>
      <c r="KWT293" s="148"/>
      <c r="KWU293" s="148"/>
      <c r="KWV293" s="148"/>
      <c r="KWW293" s="148"/>
      <c r="KWX293" s="148"/>
      <c r="KWY293" s="148"/>
      <c r="KWZ293" s="148"/>
      <c r="KXA293" s="148"/>
      <c r="KXB293" s="148"/>
      <c r="KXC293" s="148"/>
      <c r="KXD293" s="148"/>
      <c r="KXE293" s="148"/>
      <c r="KXF293" s="148"/>
      <c r="KXG293" s="148"/>
      <c r="KXH293" s="148"/>
      <c r="KXI293" s="148"/>
      <c r="KXJ293" s="148"/>
      <c r="KXK293" s="148"/>
      <c r="KXL293" s="148"/>
      <c r="KXM293" s="148"/>
      <c r="KXN293" s="148"/>
      <c r="KXO293" s="148"/>
      <c r="KXP293" s="148"/>
      <c r="KXQ293" s="148"/>
      <c r="KXR293" s="148"/>
      <c r="KXS293" s="148"/>
      <c r="KXT293" s="148"/>
      <c r="KXU293" s="148"/>
      <c r="KXV293" s="148"/>
      <c r="KXW293" s="148"/>
      <c r="KXX293" s="148"/>
      <c r="KXY293" s="148"/>
      <c r="KXZ293" s="148"/>
      <c r="KYA293" s="148"/>
      <c r="KYB293" s="148"/>
      <c r="KYC293" s="148"/>
      <c r="KYD293" s="148"/>
      <c r="KYE293" s="148"/>
      <c r="KYF293" s="148"/>
      <c r="KYG293" s="148"/>
      <c r="KYH293" s="148"/>
      <c r="KYI293" s="148"/>
      <c r="KYJ293" s="148"/>
      <c r="KYK293" s="148"/>
      <c r="KYL293" s="148"/>
      <c r="KYM293" s="148"/>
      <c r="KYN293" s="148"/>
      <c r="KYO293" s="148"/>
      <c r="KYP293" s="148"/>
      <c r="KYQ293" s="148"/>
      <c r="KYR293" s="148"/>
      <c r="KYS293" s="148"/>
      <c r="KYT293" s="148"/>
      <c r="KYU293" s="148"/>
      <c r="KYV293" s="148"/>
      <c r="KYW293" s="148"/>
      <c r="KYX293" s="148"/>
      <c r="KYY293" s="148"/>
      <c r="KYZ293" s="148"/>
      <c r="KZA293" s="148"/>
      <c r="KZB293" s="148"/>
      <c r="KZC293" s="148"/>
      <c r="KZD293" s="148"/>
      <c r="KZE293" s="148"/>
      <c r="KZF293" s="148"/>
      <c r="KZG293" s="148"/>
      <c r="KZH293" s="148"/>
      <c r="KZI293" s="148"/>
      <c r="KZJ293" s="148"/>
      <c r="KZK293" s="148"/>
      <c r="KZL293" s="148"/>
      <c r="KZM293" s="148"/>
      <c r="KZN293" s="148"/>
      <c r="KZO293" s="148"/>
      <c r="KZP293" s="148"/>
      <c r="KZQ293" s="148"/>
      <c r="KZR293" s="148"/>
      <c r="KZS293" s="148"/>
      <c r="KZT293" s="148"/>
      <c r="KZU293" s="148"/>
      <c r="KZV293" s="148"/>
      <c r="KZW293" s="148"/>
      <c r="KZX293" s="148"/>
      <c r="KZY293" s="148"/>
      <c r="KZZ293" s="148"/>
      <c r="LAA293" s="148"/>
      <c r="LAB293" s="148"/>
      <c r="LAC293" s="148"/>
      <c r="LAD293" s="148"/>
      <c r="LAE293" s="148"/>
      <c r="LAF293" s="148"/>
      <c r="LAG293" s="148"/>
      <c r="LAH293" s="148"/>
      <c r="LAI293" s="148"/>
      <c r="LAJ293" s="148"/>
      <c r="LAK293" s="148"/>
      <c r="LAL293" s="148"/>
      <c r="LAM293" s="148"/>
      <c r="LAN293" s="148"/>
      <c r="LAO293" s="148"/>
      <c r="LAP293" s="148"/>
      <c r="LAQ293" s="148"/>
      <c r="LAR293" s="148"/>
      <c r="LAS293" s="148"/>
      <c r="LAT293" s="148"/>
      <c r="LAU293" s="148"/>
      <c r="LAV293" s="148"/>
      <c r="LAW293" s="148"/>
      <c r="LAX293" s="148"/>
      <c r="LAY293" s="148"/>
      <c r="LAZ293" s="148"/>
      <c r="LBA293" s="148"/>
      <c r="LBB293" s="148"/>
      <c r="LBC293" s="148"/>
      <c r="LBD293" s="148"/>
      <c r="LBE293" s="148"/>
      <c r="LBF293" s="148"/>
      <c r="LBG293" s="148"/>
      <c r="LBH293" s="148"/>
      <c r="LBI293" s="148"/>
      <c r="LBJ293" s="148"/>
      <c r="LBK293" s="148"/>
      <c r="LBL293" s="148"/>
      <c r="LBM293" s="148"/>
      <c r="LBN293" s="148"/>
      <c r="LBO293" s="148"/>
      <c r="LBP293" s="148"/>
      <c r="LBQ293" s="148"/>
      <c r="LBR293" s="148"/>
      <c r="LBS293" s="148"/>
      <c r="LBT293" s="148"/>
      <c r="LBU293" s="148"/>
      <c r="LBV293" s="148"/>
      <c r="LBW293" s="148"/>
      <c r="LBX293" s="148"/>
      <c r="LBY293" s="148"/>
      <c r="LBZ293" s="148"/>
      <c r="LCA293" s="148"/>
      <c r="LCB293" s="148"/>
      <c r="LCC293" s="148"/>
      <c r="LCD293" s="148"/>
      <c r="LCE293" s="148"/>
      <c r="LCF293" s="148"/>
      <c r="LCG293" s="148"/>
      <c r="LCH293" s="148"/>
      <c r="LCI293" s="148"/>
      <c r="LCJ293" s="148"/>
      <c r="LCK293" s="148"/>
      <c r="LCL293" s="148"/>
      <c r="LCM293" s="148"/>
      <c r="LCN293" s="148"/>
      <c r="LCO293" s="148"/>
      <c r="LCP293" s="148"/>
      <c r="LCQ293" s="148"/>
      <c r="LCR293" s="148"/>
      <c r="LCS293" s="148"/>
      <c r="LCT293" s="148"/>
      <c r="LCU293" s="148"/>
      <c r="LCV293" s="148"/>
      <c r="LCW293" s="148"/>
      <c r="LCX293" s="148"/>
      <c r="LCY293" s="148"/>
      <c r="LCZ293" s="148"/>
      <c r="LDA293" s="148"/>
      <c r="LDB293" s="148"/>
      <c r="LDC293" s="148"/>
      <c r="LDD293" s="148"/>
      <c r="LDE293" s="148"/>
      <c r="LDF293" s="148"/>
      <c r="LDG293" s="148"/>
      <c r="LDH293" s="148"/>
      <c r="LDI293" s="148"/>
      <c r="LDJ293" s="148"/>
      <c r="LDK293" s="148"/>
      <c r="LDL293" s="148"/>
      <c r="LDM293" s="148"/>
      <c r="LDN293" s="148"/>
      <c r="LDO293" s="148"/>
      <c r="LDP293" s="148"/>
      <c r="LDQ293" s="148"/>
      <c r="LDR293" s="148"/>
      <c r="LDS293" s="148"/>
      <c r="LDT293" s="148"/>
      <c r="LDU293" s="148"/>
      <c r="LDV293" s="148"/>
      <c r="LDW293" s="148"/>
      <c r="LDX293" s="148"/>
      <c r="LDY293" s="148"/>
      <c r="LDZ293" s="148"/>
      <c r="LEA293" s="148"/>
      <c r="LEB293" s="148"/>
      <c r="LEC293" s="148"/>
      <c r="LED293" s="148"/>
      <c r="LEE293" s="148"/>
      <c r="LEF293" s="148"/>
      <c r="LEG293" s="148"/>
      <c r="LEH293" s="148"/>
      <c r="LEI293" s="148"/>
      <c r="LEJ293" s="148"/>
      <c r="LEK293" s="148"/>
      <c r="LEL293" s="148"/>
      <c r="LEM293" s="148"/>
      <c r="LEN293" s="148"/>
      <c r="LEO293" s="148"/>
      <c r="LEP293" s="148"/>
      <c r="LEQ293" s="148"/>
      <c r="LER293" s="148"/>
      <c r="LES293" s="148"/>
      <c r="LET293" s="148"/>
      <c r="LEU293" s="148"/>
      <c r="LEV293" s="148"/>
      <c r="LEW293" s="148"/>
      <c r="LEX293" s="148"/>
      <c r="LEY293" s="148"/>
      <c r="LEZ293" s="148"/>
      <c r="LFA293" s="148"/>
      <c r="LFB293" s="148"/>
      <c r="LFC293" s="148"/>
      <c r="LFD293" s="148"/>
      <c r="LFE293" s="148"/>
      <c r="LFF293" s="148"/>
      <c r="LFG293" s="148"/>
      <c r="LFH293" s="148"/>
      <c r="LFI293" s="148"/>
      <c r="LFJ293" s="148"/>
      <c r="LFK293" s="148"/>
      <c r="LFL293" s="148"/>
      <c r="LFM293" s="148"/>
      <c r="LFN293" s="148"/>
      <c r="LFO293" s="148"/>
      <c r="LFP293" s="148"/>
      <c r="LFQ293" s="148"/>
      <c r="LFR293" s="148"/>
      <c r="LFS293" s="148"/>
      <c r="LFT293" s="148"/>
      <c r="LFU293" s="148"/>
      <c r="LFV293" s="148"/>
      <c r="LFW293" s="148"/>
      <c r="LFX293" s="148"/>
      <c r="LFY293" s="148"/>
      <c r="LFZ293" s="148"/>
      <c r="LGA293" s="148"/>
      <c r="LGB293" s="148"/>
      <c r="LGC293" s="148"/>
      <c r="LGD293" s="148"/>
      <c r="LGE293" s="148"/>
      <c r="LGF293" s="148"/>
      <c r="LGG293" s="148"/>
      <c r="LGH293" s="148"/>
      <c r="LGI293" s="148"/>
      <c r="LGJ293" s="148"/>
      <c r="LGK293" s="148"/>
      <c r="LGL293" s="148"/>
      <c r="LGM293" s="148"/>
      <c r="LGN293" s="148"/>
      <c r="LGO293" s="148"/>
      <c r="LGP293" s="148"/>
      <c r="LGQ293" s="148"/>
      <c r="LGR293" s="148"/>
      <c r="LGS293" s="148"/>
      <c r="LGT293" s="148"/>
      <c r="LGU293" s="148"/>
      <c r="LGV293" s="148"/>
      <c r="LGW293" s="148"/>
      <c r="LGX293" s="148"/>
      <c r="LGY293" s="148"/>
      <c r="LGZ293" s="148"/>
      <c r="LHA293" s="148"/>
      <c r="LHB293" s="148"/>
      <c r="LHC293" s="148"/>
      <c r="LHD293" s="148"/>
      <c r="LHE293" s="148"/>
      <c r="LHF293" s="148"/>
      <c r="LHG293" s="148"/>
      <c r="LHH293" s="148"/>
      <c r="LHI293" s="148"/>
      <c r="LHJ293" s="148"/>
      <c r="LHK293" s="148"/>
      <c r="LHL293" s="148"/>
      <c r="LHM293" s="148"/>
      <c r="LHN293" s="148"/>
      <c r="LHO293" s="148"/>
      <c r="LHP293" s="148"/>
      <c r="LHQ293" s="148"/>
      <c r="LHR293" s="148"/>
      <c r="LHS293" s="148"/>
      <c r="LHT293" s="148"/>
      <c r="LHU293" s="148"/>
      <c r="LHV293" s="148"/>
      <c r="LHW293" s="148"/>
      <c r="LHX293" s="148"/>
      <c r="LHY293" s="148"/>
      <c r="LHZ293" s="148"/>
      <c r="LIA293" s="148"/>
      <c r="LIB293" s="148"/>
      <c r="LIC293" s="148"/>
      <c r="LID293" s="148"/>
      <c r="LIE293" s="148"/>
      <c r="LIF293" s="148"/>
      <c r="LIG293" s="148"/>
      <c r="LIH293" s="148"/>
      <c r="LII293" s="148"/>
      <c r="LIJ293" s="148"/>
      <c r="LIK293" s="148"/>
      <c r="LIL293" s="148"/>
      <c r="LIM293" s="148"/>
      <c r="LIN293" s="148"/>
      <c r="LIO293" s="148"/>
      <c r="LIP293" s="148"/>
      <c r="LIQ293" s="148"/>
      <c r="LIR293" s="148"/>
      <c r="LIS293" s="148"/>
      <c r="LIT293" s="148"/>
      <c r="LIU293" s="148"/>
      <c r="LIV293" s="148"/>
      <c r="LIW293" s="148"/>
      <c r="LIX293" s="148"/>
      <c r="LIY293" s="148"/>
      <c r="LIZ293" s="148"/>
      <c r="LJA293" s="148"/>
      <c r="LJB293" s="148"/>
      <c r="LJC293" s="148"/>
      <c r="LJD293" s="148"/>
      <c r="LJE293" s="148"/>
      <c r="LJF293" s="148"/>
      <c r="LJG293" s="148"/>
      <c r="LJH293" s="148"/>
      <c r="LJI293" s="148"/>
      <c r="LJJ293" s="148"/>
      <c r="LJK293" s="148"/>
      <c r="LJL293" s="148"/>
      <c r="LJM293" s="148"/>
      <c r="LJN293" s="148"/>
      <c r="LJO293" s="148"/>
      <c r="LJP293" s="148"/>
      <c r="LJQ293" s="148"/>
      <c r="LJR293" s="148"/>
      <c r="LJS293" s="148"/>
      <c r="LJT293" s="148"/>
      <c r="LJU293" s="148"/>
      <c r="LJV293" s="148"/>
      <c r="LJW293" s="148"/>
      <c r="LJX293" s="148"/>
      <c r="LJY293" s="148"/>
      <c r="LJZ293" s="148"/>
      <c r="LKA293" s="148"/>
      <c r="LKB293" s="148"/>
      <c r="LKC293" s="148"/>
      <c r="LKD293" s="148"/>
      <c r="LKE293" s="148"/>
      <c r="LKF293" s="148"/>
      <c r="LKG293" s="148"/>
      <c r="LKH293" s="148"/>
      <c r="LKI293" s="148"/>
      <c r="LKJ293" s="148"/>
      <c r="LKK293" s="148"/>
      <c r="LKL293" s="148"/>
      <c r="LKM293" s="148"/>
      <c r="LKN293" s="148"/>
      <c r="LKO293" s="148"/>
      <c r="LKP293" s="148"/>
      <c r="LKQ293" s="148"/>
      <c r="LKR293" s="148"/>
      <c r="LKS293" s="148"/>
      <c r="LKT293" s="148"/>
      <c r="LKU293" s="148"/>
      <c r="LKV293" s="148"/>
      <c r="LKW293" s="148"/>
      <c r="LKX293" s="148"/>
      <c r="LKY293" s="148"/>
      <c r="LKZ293" s="148"/>
      <c r="LLA293" s="148"/>
      <c r="LLB293" s="148"/>
      <c r="LLC293" s="148"/>
      <c r="LLD293" s="148"/>
      <c r="LLE293" s="148"/>
      <c r="LLF293" s="148"/>
      <c r="LLG293" s="148"/>
      <c r="LLH293" s="148"/>
      <c r="LLI293" s="148"/>
      <c r="LLJ293" s="148"/>
      <c r="LLK293" s="148"/>
      <c r="LLL293" s="148"/>
      <c r="LLM293" s="148"/>
      <c r="LLN293" s="148"/>
      <c r="LLO293" s="148"/>
      <c r="LLP293" s="148"/>
      <c r="LLQ293" s="148"/>
      <c r="LLR293" s="148"/>
      <c r="LLS293" s="148"/>
      <c r="LLT293" s="148"/>
      <c r="LLU293" s="148"/>
      <c r="LLV293" s="148"/>
      <c r="LLW293" s="148"/>
      <c r="LLX293" s="148"/>
      <c r="LLY293" s="148"/>
      <c r="LLZ293" s="148"/>
      <c r="LMA293" s="148"/>
      <c r="LMB293" s="148"/>
      <c r="LMC293" s="148"/>
      <c r="LMD293" s="148"/>
      <c r="LME293" s="148"/>
      <c r="LMF293" s="148"/>
      <c r="LMG293" s="148"/>
      <c r="LMH293" s="148"/>
      <c r="LMI293" s="148"/>
      <c r="LMJ293" s="148"/>
      <c r="LMK293" s="148"/>
      <c r="LML293" s="148"/>
      <c r="LMM293" s="148"/>
      <c r="LMN293" s="148"/>
      <c r="LMO293" s="148"/>
      <c r="LMP293" s="148"/>
      <c r="LMQ293" s="148"/>
      <c r="LMR293" s="148"/>
      <c r="LMS293" s="148"/>
      <c r="LMT293" s="148"/>
      <c r="LMU293" s="148"/>
      <c r="LMV293" s="148"/>
      <c r="LMW293" s="148"/>
      <c r="LMX293" s="148"/>
      <c r="LMY293" s="148"/>
      <c r="LMZ293" s="148"/>
      <c r="LNA293" s="148"/>
      <c r="LNB293" s="148"/>
      <c r="LNC293" s="148"/>
      <c r="LND293" s="148"/>
      <c r="LNE293" s="148"/>
      <c r="LNF293" s="148"/>
      <c r="LNG293" s="148"/>
      <c r="LNH293" s="148"/>
      <c r="LNI293" s="148"/>
      <c r="LNJ293" s="148"/>
      <c r="LNK293" s="148"/>
      <c r="LNL293" s="148"/>
      <c r="LNM293" s="148"/>
      <c r="LNN293" s="148"/>
      <c r="LNO293" s="148"/>
      <c r="LNP293" s="148"/>
      <c r="LNQ293" s="148"/>
      <c r="LNR293" s="148"/>
      <c r="LNS293" s="148"/>
      <c r="LNT293" s="148"/>
      <c r="LNU293" s="148"/>
      <c r="LNV293" s="148"/>
      <c r="LNW293" s="148"/>
      <c r="LNX293" s="148"/>
      <c r="LNY293" s="148"/>
      <c r="LNZ293" s="148"/>
      <c r="LOA293" s="148"/>
      <c r="LOB293" s="148"/>
      <c r="LOC293" s="148"/>
      <c r="LOD293" s="148"/>
      <c r="LOE293" s="148"/>
      <c r="LOF293" s="148"/>
      <c r="LOG293" s="148"/>
      <c r="LOH293" s="148"/>
      <c r="LOI293" s="148"/>
      <c r="LOJ293" s="148"/>
      <c r="LOK293" s="148"/>
      <c r="LOL293" s="148"/>
      <c r="LOM293" s="148"/>
      <c r="LON293" s="148"/>
      <c r="LOO293" s="148"/>
      <c r="LOP293" s="148"/>
      <c r="LOQ293" s="148"/>
      <c r="LOR293" s="148"/>
      <c r="LOS293" s="148"/>
      <c r="LOT293" s="148"/>
      <c r="LOU293" s="148"/>
      <c r="LOV293" s="148"/>
      <c r="LOW293" s="148"/>
      <c r="LOX293" s="148"/>
      <c r="LOY293" s="148"/>
      <c r="LOZ293" s="148"/>
      <c r="LPA293" s="148"/>
      <c r="LPB293" s="148"/>
      <c r="LPC293" s="148"/>
      <c r="LPD293" s="148"/>
      <c r="LPE293" s="148"/>
      <c r="LPF293" s="148"/>
      <c r="LPG293" s="148"/>
      <c r="LPH293" s="148"/>
      <c r="LPI293" s="148"/>
      <c r="LPJ293" s="148"/>
      <c r="LPK293" s="148"/>
      <c r="LPL293" s="148"/>
      <c r="LPM293" s="148"/>
      <c r="LPN293" s="148"/>
      <c r="LPO293" s="148"/>
      <c r="LPP293" s="148"/>
      <c r="LPQ293" s="148"/>
      <c r="LPR293" s="148"/>
      <c r="LPS293" s="148"/>
      <c r="LPT293" s="148"/>
      <c r="LPU293" s="148"/>
      <c r="LPV293" s="148"/>
      <c r="LPW293" s="148"/>
      <c r="LPX293" s="148"/>
      <c r="LPY293" s="148"/>
      <c r="LPZ293" s="148"/>
      <c r="LQA293" s="148"/>
      <c r="LQB293" s="148"/>
      <c r="LQC293" s="148"/>
      <c r="LQD293" s="148"/>
      <c r="LQE293" s="148"/>
      <c r="LQF293" s="148"/>
      <c r="LQG293" s="148"/>
      <c r="LQH293" s="148"/>
      <c r="LQI293" s="148"/>
      <c r="LQJ293" s="148"/>
      <c r="LQK293" s="148"/>
      <c r="LQL293" s="148"/>
      <c r="LQM293" s="148"/>
      <c r="LQN293" s="148"/>
      <c r="LQO293" s="148"/>
      <c r="LQP293" s="148"/>
      <c r="LQQ293" s="148"/>
      <c r="LQR293" s="148"/>
      <c r="LQS293" s="148"/>
      <c r="LQT293" s="148"/>
      <c r="LQU293" s="148"/>
      <c r="LQV293" s="148"/>
      <c r="LQW293" s="148"/>
      <c r="LQX293" s="148"/>
      <c r="LQY293" s="148"/>
      <c r="LQZ293" s="148"/>
      <c r="LRA293" s="148"/>
      <c r="LRB293" s="148"/>
      <c r="LRC293" s="148"/>
      <c r="LRD293" s="148"/>
      <c r="LRE293" s="148"/>
      <c r="LRF293" s="148"/>
      <c r="LRG293" s="148"/>
      <c r="LRH293" s="148"/>
      <c r="LRI293" s="148"/>
      <c r="LRJ293" s="148"/>
      <c r="LRK293" s="148"/>
      <c r="LRL293" s="148"/>
      <c r="LRM293" s="148"/>
      <c r="LRN293" s="148"/>
      <c r="LRO293" s="148"/>
      <c r="LRP293" s="148"/>
      <c r="LRQ293" s="148"/>
      <c r="LRR293" s="148"/>
      <c r="LRS293" s="148"/>
      <c r="LRT293" s="148"/>
      <c r="LRU293" s="148"/>
      <c r="LRV293" s="148"/>
      <c r="LRW293" s="148"/>
      <c r="LRX293" s="148"/>
      <c r="LRY293" s="148"/>
      <c r="LRZ293" s="148"/>
      <c r="LSA293" s="148"/>
      <c r="LSB293" s="148"/>
      <c r="LSC293" s="148"/>
      <c r="LSD293" s="148"/>
      <c r="LSE293" s="148"/>
      <c r="LSF293" s="148"/>
      <c r="LSG293" s="148"/>
      <c r="LSH293" s="148"/>
      <c r="LSI293" s="148"/>
      <c r="LSJ293" s="148"/>
      <c r="LSK293" s="148"/>
      <c r="LSL293" s="148"/>
      <c r="LSM293" s="148"/>
      <c r="LSN293" s="148"/>
      <c r="LSO293" s="148"/>
      <c r="LSP293" s="148"/>
      <c r="LSQ293" s="148"/>
      <c r="LSR293" s="148"/>
      <c r="LSS293" s="148"/>
      <c r="LST293" s="148"/>
      <c r="LSU293" s="148"/>
      <c r="LSV293" s="148"/>
      <c r="LSW293" s="148"/>
      <c r="LSX293" s="148"/>
      <c r="LSY293" s="148"/>
      <c r="LSZ293" s="148"/>
      <c r="LTA293" s="148"/>
      <c r="LTB293" s="148"/>
      <c r="LTC293" s="148"/>
      <c r="LTD293" s="148"/>
      <c r="LTE293" s="148"/>
      <c r="LTF293" s="148"/>
      <c r="LTG293" s="148"/>
      <c r="LTH293" s="148"/>
      <c r="LTI293" s="148"/>
      <c r="LTJ293" s="148"/>
      <c r="LTK293" s="148"/>
      <c r="LTL293" s="148"/>
      <c r="LTM293" s="148"/>
      <c r="LTN293" s="148"/>
      <c r="LTO293" s="148"/>
      <c r="LTP293" s="148"/>
      <c r="LTQ293" s="148"/>
      <c r="LTR293" s="148"/>
      <c r="LTS293" s="148"/>
      <c r="LTT293" s="148"/>
      <c r="LTU293" s="148"/>
      <c r="LTV293" s="148"/>
      <c r="LTW293" s="148"/>
      <c r="LTX293" s="148"/>
      <c r="LTY293" s="148"/>
      <c r="LTZ293" s="148"/>
      <c r="LUA293" s="148"/>
      <c r="LUB293" s="148"/>
      <c r="LUC293" s="148"/>
      <c r="LUD293" s="148"/>
      <c r="LUE293" s="148"/>
      <c r="LUF293" s="148"/>
      <c r="LUG293" s="148"/>
      <c r="LUH293" s="148"/>
      <c r="LUI293" s="148"/>
      <c r="LUJ293" s="148"/>
      <c r="LUK293" s="148"/>
      <c r="LUL293" s="148"/>
      <c r="LUM293" s="148"/>
      <c r="LUN293" s="148"/>
      <c r="LUO293" s="148"/>
      <c r="LUP293" s="148"/>
      <c r="LUQ293" s="148"/>
      <c r="LUR293" s="148"/>
      <c r="LUS293" s="148"/>
      <c r="LUT293" s="148"/>
      <c r="LUU293" s="148"/>
      <c r="LUV293" s="148"/>
      <c r="LUW293" s="148"/>
      <c r="LUX293" s="148"/>
      <c r="LUY293" s="148"/>
      <c r="LUZ293" s="148"/>
      <c r="LVA293" s="148"/>
      <c r="LVB293" s="148"/>
      <c r="LVC293" s="148"/>
      <c r="LVD293" s="148"/>
      <c r="LVE293" s="148"/>
      <c r="LVF293" s="148"/>
      <c r="LVG293" s="148"/>
      <c r="LVH293" s="148"/>
      <c r="LVI293" s="148"/>
      <c r="LVJ293" s="148"/>
      <c r="LVK293" s="148"/>
      <c r="LVL293" s="148"/>
      <c r="LVM293" s="148"/>
      <c r="LVN293" s="148"/>
      <c r="LVO293" s="148"/>
      <c r="LVP293" s="148"/>
      <c r="LVQ293" s="148"/>
      <c r="LVR293" s="148"/>
      <c r="LVS293" s="148"/>
      <c r="LVT293" s="148"/>
      <c r="LVU293" s="148"/>
      <c r="LVV293" s="148"/>
      <c r="LVW293" s="148"/>
      <c r="LVX293" s="148"/>
      <c r="LVY293" s="148"/>
      <c r="LVZ293" s="148"/>
      <c r="LWA293" s="148"/>
      <c r="LWB293" s="148"/>
      <c r="LWC293" s="148"/>
      <c r="LWD293" s="148"/>
      <c r="LWE293" s="148"/>
      <c r="LWF293" s="148"/>
      <c r="LWG293" s="148"/>
      <c r="LWH293" s="148"/>
      <c r="LWI293" s="148"/>
      <c r="LWJ293" s="148"/>
      <c r="LWK293" s="148"/>
      <c r="LWL293" s="148"/>
      <c r="LWM293" s="148"/>
      <c r="LWN293" s="148"/>
      <c r="LWO293" s="148"/>
      <c r="LWP293" s="148"/>
      <c r="LWQ293" s="148"/>
      <c r="LWR293" s="148"/>
      <c r="LWS293" s="148"/>
      <c r="LWT293" s="148"/>
      <c r="LWU293" s="148"/>
      <c r="LWV293" s="148"/>
      <c r="LWW293" s="148"/>
      <c r="LWX293" s="148"/>
      <c r="LWY293" s="148"/>
      <c r="LWZ293" s="148"/>
      <c r="LXA293" s="148"/>
      <c r="LXB293" s="148"/>
      <c r="LXC293" s="148"/>
      <c r="LXD293" s="148"/>
      <c r="LXE293" s="148"/>
      <c r="LXF293" s="148"/>
      <c r="LXG293" s="148"/>
      <c r="LXH293" s="148"/>
      <c r="LXI293" s="148"/>
      <c r="LXJ293" s="148"/>
      <c r="LXK293" s="148"/>
      <c r="LXL293" s="148"/>
      <c r="LXM293" s="148"/>
      <c r="LXN293" s="148"/>
      <c r="LXO293" s="148"/>
      <c r="LXP293" s="148"/>
      <c r="LXQ293" s="148"/>
      <c r="LXR293" s="148"/>
      <c r="LXS293" s="148"/>
      <c r="LXT293" s="148"/>
      <c r="LXU293" s="148"/>
      <c r="LXV293" s="148"/>
      <c r="LXW293" s="148"/>
      <c r="LXX293" s="148"/>
      <c r="LXY293" s="148"/>
      <c r="LXZ293" s="148"/>
      <c r="LYA293" s="148"/>
      <c r="LYB293" s="148"/>
      <c r="LYC293" s="148"/>
      <c r="LYD293" s="148"/>
      <c r="LYE293" s="148"/>
      <c r="LYF293" s="148"/>
      <c r="LYG293" s="148"/>
      <c r="LYH293" s="148"/>
      <c r="LYI293" s="148"/>
      <c r="LYJ293" s="148"/>
      <c r="LYK293" s="148"/>
      <c r="LYL293" s="148"/>
      <c r="LYM293" s="148"/>
      <c r="LYN293" s="148"/>
      <c r="LYO293" s="148"/>
      <c r="LYP293" s="148"/>
      <c r="LYQ293" s="148"/>
      <c r="LYR293" s="148"/>
      <c r="LYS293" s="148"/>
      <c r="LYT293" s="148"/>
      <c r="LYU293" s="148"/>
      <c r="LYV293" s="148"/>
      <c r="LYW293" s="148"/>
      <c r="LYX293" s="148"/>
      <c r="LYY293" s="148"/>
      <c r="LYZ293" s="148"/>
      <c r="LZA293" s="148"/>
      <c r="LZB293" s="148"/>
      <c r="LZC293" s="148"/>
      <c r="LZD293" s="148"/>
      <c r="LZE293" s="148"/>
      <c r="LZF293" s="148"/>
      <c r="LZG293" s="148"/>
      <c r="LZH293" s="148"/>
      <c r="LZI293" s="148"/>
      <c r="LZJ293" s="148"/>
      <c r="LZK293" s="148"/>
      <c r="LZL293" s="148"/>
      <c r="LZM293" s="148"/>
      <c r="LZN293" s="148"/>
      <c r="LZO293" s="148"/>
      <c r="LZP293" s="148"/>
      <c r="LZQ293" s="148"/>
      <c r="LZR293" s="148"/>
      <c r="LZS293" s="148"/>
      <c r="LZT293" s="148"/>
      <c r="LZU293" s="148"/>
      <c r="LZV293" s="148"/>
      <c r="LZW293" s="148"/>
      <c r="LZX293" s="148"/>
      <c r="LZY293" s="148"/>
      <c r="LZZ293" s="148"/>
      <c r="MAA293" s="148"/>
      <c r="MAB293" s="148"/>
      <c r="MAC293" s="148"/>
      <c r="MAD293" s="148"/>
      <c r="MAE293" s="148"/>
      <c r="MAF293" s="148"/>
      <c r="MAG293" s="148"/>
      <c r="MAH293" s="148"/>
      <c r="MAI293" s="148"/>
      <c r="MAJ293" s="148"/>
      <c r="MAK293" s="148"/>
      <c r="MAL293" s="148"/>
      <c r="MAM293" s="148"/>
      <c r="MAN293" s="148"/>
      <c r="MAO293" s="148"/>
      <c r="MAP293" s="148"/>
      <c r="MAQ293" s="148"/>
      <c r="MAR293" s="148"/>
      <c r="MAS293" s="148"/>
      <c r="MAT293" s="148"/>
      <c r="MAU293" s="148"/>
      <c r="MAV293" s="148"/>
      <c r="MAW293" s="148"/>
      <c r="MAX293" s="148"/>
      <c r="MAY293" s="148"/>
      <c r="MAZ293" s="148"/>
      <c r="MBA293" s="148"/>
      <c r="MBB293" s="148"/>
      <c r="MBC293" s="148"/>
      <c r="MBD293" s="148"/>
      <c r="MBE293" s="148"/>
      <c r="MBF293" s="148"/>
      <c r="MBG293" s="148"/>
      <c r="MBH293" s="148"/>
      <c r="MBI293" s="148"/>
      <c r="MBJ293" s="148"/>
      <c r="MBK293" s="148"/>
      <c r="MBL293" s="148"/>
      <c r="MBM293" s="148"/>
      <c r="MBN293" s="148"/>
      <c r="MBO293" s="148"/>
      <c r="MBP293" s="148"/>
      <c r="MBQ293" s="148"/>
      <c r="MBR293" s="148"/>
      <c r="MBS293" s="148"/>
      <c r="MBT293" s="148"/>
      <c r="MBU293" s="148"/>
      <c r="MBV293" s="148"/>
      <c r="MBW293" s="148"/>
      <c r="MBX293" s="148"/>
      <c r="MBY293" s="148"/>
      <c r="MBZ293" s="148"/>
      <c r="MCA293" s="148"/>
      <c r="MCB293" s="148"/>
      <c r="MCC293" s="148"/>
      <c r="MCD293" s="148"/>
      <c r="MCE293" s="148"/>
      <c r="MCF293" s="148"/>
      <c r="MCG293" s="148"/>
      <c r="MCH293" s="148"/>
      <c r="MCI293" s="148"/>
      <c r="MCJ293" s="148"/>
      <c r="MCK293" s="148"/>
      <c r="MCL293" s="148"/>
      <c r="MCM293" s="148"/>
      <c r="MCN293" s="148"/>
      <c r="MCO293" s="148"/>
      <c r="MCP293" s="148"/>
      <c r="MCQ293" s="148"/>
      <c r="MCR293" s="148"/>
      <c r="MCS293" s="148"/>
      <c r="MCT293" s="148"/>
      <c r="MCU293" s="148"/>
      <c r="MCV293" s="148"/>
      <c r="MCW293" s="148"/>
      <c r="MCX293" s="148"/>
      <c r="MCY293" s="148"/>
      <c r="MCZ293" s="148"/>
      <c r="MDA293" s="148"/>
      <c r="MDB293" s="148"/>
      <c r="MDC293" s="148"/>
      <c r="MDD293" s="148"/>
      <c r="MDE293" s="148"/>
      <c r="MDF293" s="148"/>
      <c r="MDG293" s="148"/>
      <c r="MDH293" s="148"/>
      <c r="MDI293" s="148"/>
      <c r="MDJ293" s="148"/>
      <c r="MDK293" s="148"/>
      <c r="MDL293" s="148"/>
      <c r="MDM293" s="148"/>
      <c r="MDN293" s="148"/>
      <c r="MDO293" s="148"/>
      <c r="MDP293" s="148"/>
      <c r="MDQ293" s="148"/>
      <c r="MDR293" s="148"/>
      <c r="MDS293" s="148"/>
      <c r="MDT293" s="148"/>
      <c r="MDU293" s="148"/>
      <c r="MDV293" s="148"/>
      <c r="MDW293" s="148"/>
      <c r="MDX293" s="148"/>
      <c r="MDY293" s="148"/>
      <c r="MDZ293" s="148"/>
      <c r="MEA293" s="148"/>
      <c r="MEB293" s="148"/>
      <c r="MEC293" s="148"/>
      <c r="MED293" s="148"/>
      <c r="MEE293" s="148"/>
      <c r="MEF293" s="148"/>
      <c r="MEG293" s="148"/>
      <c r="MEH293" s="148"/>
      <c r="MEI293" s="148"/>
      <c r="MEJ293" s="148"/>
      <c r="MEK293" s="148"/>
      <c r="MEL293" s="148"/>
      <c r="MEM293" s="148"/>
      <c r="MEN293" s="148"/>
      <c r="MEO293" s="148"/>
      <c r="MEP293" s="148"/>
      <c r="MEQ293" s="148"/>
      <c r="MER293" s="148"/>
      <c r="MES293" s="148"/>
      <c r="MET293" s="148"/>
      <c r="MEU293" s="148"/>
      <c r="MEV293" s="148"/>
      <c r="MEW293" s="148"/>
      <c r="MEX293" s="148"/>
      <c r="MEY293" s="148"/>
      <c r="MEZ293" s="148"/>
      <c r="MFA293" s="148"/>
      <c r="MFB293" s="148"/>
      <c r="MFC293" s="148"/>
      <c r="MFD293" s="148"/>
      <c r="MFE293" s="148"/>
      <c r="MFF293" s="148"/>
      <c r="MFG293" s="148"/>
      <c r="MFH293" s="148"/>
      <c r="MFI293" s="148"/>
      <c r="MFJ293" s="148"/>
      <c r="MFK293" s="148"/>
      <c r="MFL293" s="148"/>
      <c r="MFM293" s="148"/>
      <c r="MFN293" s="148"/>
      <c r="MFO293" s="148"/>
      <c r="MFP293" s="148"/>
      <c r="MFQ293" s="148"/>
      <c r="MFR293" s="148"/>
      <c r="MFS293" s="148"/>
      <c r="MFT293" s="148"/>
      <c r="MFU293" s="148"/>
      <c r="MFV293" s="148"/>
      <c r="MFW293" s="148"/>
      <c r="MFX293" s="148"/>
      <c r="MFY293" s="148"/>
      <c r="MFZ293" s="148"/>
      <c r="MGA293" s="148"/>
      <c r="MGB293" s="148"/>
      <c r="MGC293" s="148"/>
      <c r="MGD293" s="148"/>
      <c r="MGE293" s="148"/>
      <c r="MGF293" s="148"/>
      <c r="MGG293" s="148"/>
      <c r="MGH293" s="148"/>
      <c r="MGI293" s="148"/>
      <c r="MGJ293" s="148"/>
      <c r="MGK293" s="148"/>
      <c r="MGL293" s="148"/>
      <c r="MGM293" s="148"/>
      <c r="MGN293" s="148"/>
      <c r="MGO293" s="148"/>
      <c r="MGP293" s="148"/>
      <c r="MGQ293" s="148"/>
      <c r="MGR293" s="148"/>
      <c r="MGS293" s="148"/>
      <c r="MGT293" s="148"/>
      <c r="MGU293" s="148"/>
      <c r="MGV293" s="148"/>
      <c r="MGW293" s="148"/>
      <c r="MGX293" s="148"/>
      <c r="MGY293" s="148"/>
      <c r="MGZ293" s="148"/>
      <c r="MHA293" s="148"/>
      <c r="MHB293" s="148"/>
      <c r="MHC293" s="148"/>
      <c r="MHD293" s="148"/>
      <c r="MHE293" s="148"/>
      <c r="MHF293" s="148"/>
      <c r="MHG293" s="148"/>
      <c r="MHH293" s="148"/>
      <c r="MHI293" s="148"/>
      <c r="MHJ293" s="148"/>
      <c r="MHK293" s="148"/>
      <c r="MHL293" s="148"/>
      <c r="MHM293" s="148"/>
      <c r="MHN293" s="148"/>
      <c r="MHO293" s="148"/>
      <c r="MHP293" s="148"/>
      <c r="MHQ293" s="148"/>
      <c r="MHR293" s="148"/>
      <c r="MHS293" s="148"/>
      <c r="MHT293" s="148"/>
      <c r="MHU293" s="148"/>
      <c r="MHV293" s="148"/>
      <c r="MHW293" s="148"/>
      <c r="MHX293" s="148"/>
      <c r="MHY293" s="148"/>
      <c r="MHZ293" s="148"/>
      <c r="MIA293" s="148"/>
      <c r="MIB293" s="148"/>
      <c r="MIC293" s="148"/>
      <c r="MID293" s="148"/>
      <c r="MIE293" s="148"/>
      <c r="MIF293" s="148"/>
      <c r="MIG293" s="148"/>
      <c r="MIH293" s="148"/>
      <c r="MII293" s="148"/>
      <c r="MIJ293" s="148"/>
      <c r="MIK293" s="148"/>
      <c r="MIL293" s="148"/>
      <c r="MIM293" s="148"/>
      <c r="MIN293" s="148"/>
      <c r="MIO293" s="148"/>
      <c r="MIP293" s="148"/>
      <c r="MIQ293" s="148"/>
      <c r="MIR293" s="148"/>
      <c r="MIS293" s="148"/>
      <c r="MIT293" s="148"/>
      <c r="MIU293" s="148"/>
      <c r="MIV293" s="148"/>
      <c r="MIW293" s="148"/>
      <c r="MIX293" s="148"/>
      <c r="MIY293" s="148"/>
      <c r="MIZ293" s="148"/>
      <c r="MJA293" s="148"/>
      <c r="MJB293" s="148"/>
      <c r="MJC293" s="148"/>
      <c r="MJD293" s="148"/>
      <c r="MJE293" s="148"/>
      <c r="MJF293" s="148"/>
      <c r="MJG293" s="148"/>
      <c r="MJH293" s="148"/>
      <c r="MJI293" s="148"/>
      <c r="MJJ293" s="148"/>
      <c r="MJK293" s="148"/>
      <c r="MJL293" s="148"/>
      <c r="MJM293" s="148"/>
      <c r="MJN293" s="148"/>
      <c r="MJO293" s="148"/>
      <c r="MJP293" s="148"/>
      <c r="MJQ293" s="148"/>
      <c r="MJR293" s="148"/>
      <c r="MJS293" s="148"/>
      <c r="MJT293" s="148"/>
      <c r="MJU293" s="148"/>
      <c r="MJV293" s="148"/>
      <c r="MJW293" s="148"/>
      <c r="MJX293" s="148"/>
      <c r="MJY293" s="148"/>
      <c r="MJZ293" s="148"/>
      <c r="MKA293" s="148"/>
      <c r="MKB293" s="148"/>
      <c r="MKC293" s="148"/>
      <c r="MKD293" s="148"/>
      <c r="MKE293" s="148"/>
      <c r="MKF293" s="148"/>
      <c r="MKG293" s="148"/>
      <c r="MKH293" s="148"/>
      <c r="MKI293" s="148"/>
      <c r="MKJ293" s="148"/>
      <c r="MKK293" s="148"/>
      <c r="MKL293" s="148"/>
      <c r="MKM293" s="148"/>
      <c r="MKN293" s="148"/>
      <c r="MKO293" s="148"/>
      <c r="MKP293" s="148"/>
      <c r="MKQ293" s="148"/>
      <c r="MKR293" s="148"/>
      <c r="MKS293" s="148"/>
      <c r="MKT293" s="148"/>
      <c r="MKU293" s="148"/>
      <c r="MKV293" s="148"/>
      <c r="MKW293" s="148"/>
      <c r="MKX293" s="148"/>
      <c r="MKY293" s="148"/>
      <c r="MKZ293" s="148"/>
      <c r="MLA293" s="148"/>
      <c r="MLB293" s="148"/>
      <c r="MLC293" s="148"/>
      <c r="MLD293" s="148"/>
      <c r="MLE293" s="148"/>
      <c r="MLF293" s="148"/>
      <c r="MLG293" s="148"/>
      <c r="MLH293" s="148"/>
      <c r="MLI293" s="148"/>
      <c r="MLJ293" s="148"/>
      <c r="MLK293" s="148"/>
      <c r="MLL293" s="148"/>
      <c r="MLM293" s="148"/>
      <c r="MLN293" s="148"/>
      <c r="MLO293" s="148"/>
      <c r="MLP293" s="148"/>
      <c r="MLQ293" s="148"/>
      <c r="MLR293" s="148"/>
      <c r="MLS293" s="148"/>
      <c r="MLT293" s="148"/>
      <c r="MLU293" s="148"/>
      <c r="MLV293" s="148"/>
      <c r="MLW293" s="148"/>
      <c r="MLX293" s="148"/>
      <c r="MLY293" s="148"/>
      <c r="MLZ293" s="148"/>
      <c r="MMA293" s="148"/>
      <c r="MMB293" s="148"/>
      <c r="MMC293" s="148"/>
      <c r="MMD293" s="148"/>
      <c r="MME293" s="148"/>
      <c r="MMF293" s="148"/>
      <c r="MMG293" s="148"/>
      <c r="MMH293" s="148"/>
      <c r="MMI293" s="148"/>
      <c r="MMJ293" s="148"/>
      <c r="MMK293" s="148"/>
      <c r="MML293" s="148"/>
      <c r="MMM293" s="148"/>
      <c r="MMN293" s="148"/>
      <c r="MMO293" s="148"/>
      <c r="MMP293" s="148"/>
      <c r="MMQ293" s="148"/>
      <c r="MMR293" s="148"/>
      <c r="MMS293" s="148"/>
      <c r="MMT293" s="148"/>
      <c r="MMU293" s="148"/>
      <c r="MMV293" s="148"/>
      <c r="MMW293" s="148"/>
      <c r="MMX293" s="148"/>
      <c r="MMY293" s="148"/>
      <c r="MMZ293" s="148"/>
      <c r="MNA293" s="148"/>
      <c r="MNB293" s="148"/>
      <c r="MNC293" s="148"/>
      <c r="MND293" s="148"/>
      <c r="MNE293" s="148"/>
      <c r="MNF293" s="148"/>
      <c r="MNG293" s="148"/>
      <c r="MNH293" s="148"/>
      <c r="MNI293" s="148"/>
      <c r="MNJ293" s="148"/>
      <c r="MNK293" s="148"/>
      <c r="MNL293" s="148"/>
      <c r="MNM293" s="148"/>
      <c r="MNN293" s="148"/>
      <c r="MNO293" s="148"/>
      <c r="MNP293" s="148"/>
      <c r="MNQ293" s="148"/>
      <c r="MNR293" s="148"/>
      <c r="MNS293" s="148"/>
      <c r="MNT293" s="148"/>
      <c r="MNU293" s="148"/>
      <c r="MNV293" s="148"/>
      <c r="MNW293" s="148"/>
      <c r="MNX293" s="148"/>
      <c r="MNY293" s="148"/>
      <c r="MNZ293" s="148"/>
      <c r="MOA293" s="148"/>
      <c r="MOB293" s="148"/>
      <c r="MOC293" s="148"/>
      <c r="MOD293" s="148"/>
      <c r="MOE293" s="148"/>
      <c r="MOF293" s="148"/>
      <c r="MOG293" s="148"/>
      <c r="MOH293" s="148"/>
      <c r="MOI293" s="148"/>
      <c r="MOJ293" s="148"/>
      <c r="MOK293" s="148"/>
      <c r="MOL293" s="148"/>
      <c r="MOM293" s="148"/>
      <c r="MON293" s="148"/>
      <c r="MOO293" s="148"/>
      <c r="MOP293" s="148"/>
      <c r="MOQ293" s="148"/>
      <c r="MOR293" s="148"/>
      <c r="MOS293" s="148"/>
      <c r="MOT293" s="148"/>
      <c r="MOU293" s="148"/>
      <c r="MOV293" s="148"/>
      <c r="MOW293" s="148"/>
      <c r="MOX293" s="148"/>
      <c r="MOY293" s="148"/>
      <c r="MOZ293" s="148"/>
      <c r="MPA293" s="148"/>
      <c r="MPB293" s="148"/>
      <c r="MPC293" s="148"/>
      <c r="MPD293" s="148"/>
      <c r="MPE293" s="148"/>
      <c r="MPF293" s="148"/>
      <c r="MPG293" s="148"/>
      <c r="MPH293" s="148"/>
      <c r="MPI293" s="148"/>
      <c r="MPJ293" s="148"/>
      <c r="MPK293" s="148"/>
      <c r="MPL293" s="148"/>
      <c r="MPM293" s="148"/>
      <c r="MPN293" s="148"/>
      <c r="MPO293" s="148"/>
      <c r="MPP293" s="148"/>
      <c r="MPQ293" s="148"/>
      <c r="MPR293" s="148"/>
      <c r="MPS293" s="148"/>
      <c r="MPT293" s="148"/>
      <c r="MPU293" s="148"/>
      <c r="MPV293" s="148"/>
      <c r="MPW293" s="148"/>
      <c r="MPX293" s="148"/>
      <c r="MPY293" s="148"/>
      <c r="MPZ293" s="148"/>
      <c r="MQA293" s="148"/>
      <c r="MQB293" s="148"/>
      <c r="MQC293" s="148"/>
      <c r="MQD293" s="148"/>
      <c r="MQE293" s="148"/>
      <c r="MQF293" s="148"/>
      <c r="MQG293" s="148"/>
      <c r="MQH293" s="148"/>
      <c r="MQI293" s="148"/>
      <c r="MQJ293" s="148"/>
      <c r="MQK293" s="148"/>
      <c r="MQL293" s="148"/>
      <c r="MQM293" s="148"/>
      <c r="MQN293" s="148"/>
      <c r="MQO293" s="148"/>
      <c r="MQP293" s="148"/>
      <c r="MQQ293" s="148"/>
      <c r="MQR293" s="148"/>
      <c r="MQS293" s="148"/>
      <c r="MQT293" s="148"/>
      <c r="MQU293" s="148"/>
      <c r="MQV293" s="148"/>
      <c r="MQW293" s="148"/>
      <c r="MQX293" s="148"/>
      <c r="MQY293" s="148"/>
      <c r="MQZ293" s="148"/>
      <c r="MRA293" s="148"/>
      <c r="MRB293" s="148"/>
      <c r="MRC293" s="148"/>
      <c r="MRD293" s="148"/>
      <c r="MRE293" s="148"/>
      <c r="MRF293" s="148"/>
      <c r="MRG293" s="148"/>
      <c r="MRH293" s="148"/>
      <c r="MRI293" s="148"/>
      <c r="MRJ293" s="148"/>
      <c r="MRK293" s="148"/>
      <c r="MRL293" s="148"/>
      <c r="MRM293" s="148"/>
      <c r="MRN293" s="148"/>
      <c r="MRO293" s="148"/>
      <c r="MRP293" s="148"/>
      <c r="MRQ293" s="148"/>
      <c r="MRR293" s="148"/>
      <c r="MRS293" s="148"/>
      <c r="MRT293" s="148"/>
      <c r="MRU293" s="148"/>
      <c r="MRV293" s="148"/>
      <c r="MRW293" s="148"/>
      <c r="MRX293" s="148"/>
      <c r="MRY293" s="148"/>
      <c r="MRZ293" s="148"/>
      <c r="MSA293" s="148"/>
      <c r="MSB293" s="148"/>
      <c r="MSC293" s="148"/>
      <c r="MSD293" s="148"/>
      <c r="MSE293" s="148"/>
      <c r="MSF293" s="148"/>
      <c r="MSG293" s="148"/>
      <c r="MSH293" s="148"/>
      <c r="MSI293" s="148"/>
      <c r="MSJ293" s="148"/>
      <c r="MSK293" s="148"/>
      <c r="MSL293" s="148"/>
      <c r="MSM293" s="148"/>
      <c r="MSN293" s="148"/>
      <c r="MSO293" s="148"/>
      <c r="MSP293" s="148"/>
      <c r="MSQ293" s="148"/>
      <c r="MSR293" s="148"/>
      <c r="MSS293" s="148"/>
      <c r="MST293" s="148"/>
      <c r="MSU293" s="148"/>
      <c r="MSV293" s="148"/>
      <c r="MSW293" s="148"/>
      <c r="MSX293" s="148"/>
      <c r="MSY293" s="148"/>
      <c r="MSZ293" s="148"/>
      <c r="MTA293" s="148"/>
      <c r="MTB293" s="148"/>
      <c r="MTC293" s="148"/>
      <c r="MTD293" s="148"/>
      <c r="MTE293" s="148"/>
      <c r="MTF293" s="148"/>
      <c r="MTG293" s="148"/>
      <c r="MTH293" s="148"/>
      <c r="MTI293" s="148"/>
      <c r="MTJ293" s="148"/>
      <c r="MTK293" s="148"/>
      <c r="MTL293" s="148"/>
      <c r="MTM293" s="148"/>
      <c r="MTN293" s="148"/>
      <c r="MTO293" s="148"/>
      <c r="MTP293" s="148"/>
      <c r="MTQ293" s="148"/>
      <c r="MTR293" s="148"/>
      <c r="MTS293" s="148"/>
      <c r="MTT293" s="148"/>
      <c r="MTU293" s="148"/>
      <c r="MTV293" s="148"/>
      <c r="MTW293" s="148"/>
      <c r="MTX293" s="148"/>
      <c r="MTY293" s="148"/>
      <c r="MTZ293" s="148"/>
      <c r="MUA293" s="148"/>
      <c r="MUB293" s="148"/>
      <c r="MUC293" s="148"/>
      <c r="MUD293" s="148"/>
      <c r="MUE293" s="148"/>
      <c r="MUF293" s="148"/>
      <c r="MUG293" s="148"/>
      <c r="MUH293" s="148"/>
      <c r="MUI293" s="148"/>
      <c r="MUJ293" s="148"/>
      <c r="MUK293" s="148"/>
      <c r="MUL293" s="148"/>
      <c r="MUM293" s="148"/>
      <c r="MUN293" s="148"/>
      <c r="MUO293" s="148"/>
      <c r="MUP293" s="148"/>
      <c r="MUQ293" s="148"/>
      <c r="MUR293" s="148"/>
      <c r="MUS293" s="148"/>
      <c r="MUT293" s="148"/>
      <c r="MUU293" s="148"/>
      <c r="MUV293" s="148"/>
      <c r="MUW293" s="148"/>
      <c r="MUX293" s="148"/>
      <c r="MUY293" s="148"/>
      <c r="MUZ293" s="148"/>
      <c r="MVA293" s="148"/>
      <c r="MVB293" s="148"/>
      <c r="MVC293" s="148"/>
      <c r="MVD293" s="148"/>
      <c r="MVE293" s="148"/>
      <c r="MVF293" s="148"/>
      <c r="MVG293" s="148"/>
      <c r="MVH293" s="148"/>
      <c r="MVI293" s="148"/>
      <c r="MVJ293" s="148"/>
      <c r="MVK293" s="148"/>
      <c r="MVL293" s="148"/>
      <c r="MVM293" s="148"/>
      <c r="MVN293" s="148"/>
      <c r="MVO293" s="148"/>
      <c r="MVP293" s="148"/>
      <c r="MVQ293" s="148"/>
      <c r="MVR293" s="148"/>
      <c r="MVS293" s="148"/>
      <c r="MVT293" s="148"/>
      <c r="MVU293" s="148"/>
      <c r="MVV293" s="148"/>
      <c r="MVW293" s="148"/>
      <c r="MVX293" s="148"/>
      <c r="MVY293" s="148"/>
      <c r="MVZ293" s="148"/>
      <c r="MWA293" s="148"/>
      <c r="MWB293" s="148"/>
      <c r="MWC293" s="148"/>
      <c r="MWD293" s="148"/>
      <c r="MWE293" s="148"/>
      <c r="MWF293" s="148"/>
      <c r="MWG293" s="148"/>
      <c r="MWH293" s="148"/>
      <c r="MWI293" s="148"/>
      <c r="MWJ293" s="148"/>
      <c r="MWK293" s="148"/>
      <c r="MWL293" s="148"/>
      <c r="MWM293" s="148"/>
      <c r="MWN293" s="148"/>
      <c r="MWO293" s="148"/>
      <c r="MWP293" s="148"/>
      <c r="MWQ293" s="148"/>
      <c r="MWR293" s="148"/>
      <c r="MWS293" s="148"/>
      <c r="MWT293" s="148"/>
      <c r="MWU293" s="148"/>
      <c r="MWV293" s="148"/>
      <c r="MWW293" s="148"/>
      <c r="MWX293" s="148"/>
      <c r="MWY293" s="148"/>
      <c r="MWZ293" s="148"/>
      <c r="MXA293" s="148"/>
      <c r="MXB293" s="148"/>
      <c r="MXC293" s="148"/>
      <c r="MXD293" s="148"/>
      <c r="MXE293" s="148"/>
      <c r="MXF293" s="148"/>
      <c r="MXG293" s="148"/>
      <c r="MXH293" s="148"/>
      <c r="MXI293" s="148"/>
      <c r="MXJ293" s="148"/>
      <c r="MXK293" s="148"/>
      <c r="MXL293" s="148"/>
      <c r="MXM293" s="148"/>
      <c r="MXN293" s="148"/>
      <c r="MXO293" s="148"/>
      <c r="MXP293" s="148"/>
      <c r="MXQ293" s="148"/>
      <c r="MXR293" s="148"/>
      <c r="MXS293" s="148"/>
      <c r="MXT293" s="148"/>
      <c r="MXU293" s="148"/>
      <c r="MXV293" s="148"/>
      <c r="MXW293" s="148"/>
      <c r="MXX293" s="148"/>
      <c r="MXY293" s="148"/>
      <c r="MXZ293" s="148"/>
      <c r="MYA293" s="148"/>
      <c r="MYB293" s="148"/>
      <c r="MYC293" s="148"/>
      <c r="MYD293" s="148"/>
      <c r="MYE293" s="148"/>
      <c r="MYF293" s="148"/>
      <c r="MYG293" s="148"/>
      <c r="MYH293" s="148"/>
      <c r="MYI293" s="148"/>
      <c r="MYJ293" s="148"/>
      <c r="MYK293" s="148"/>
      <c r="MYL293" s="148"/>
      <c r="MYM293" s="148"/>
      <c r="MYN293" s="148"/>
      <c r="MYO293" s="148"/>
      <c r="MYP293" s="148"/>
      <c r="MYQ293" s="148"/>
      <c r="MYR293" s="148"/>
      <c r="MYS293" s="148"/>
      <c r="MYT293" s="148"/>
      <c r="MYU293" s="148"/>
      <c r="MYV293" s="148"/>
      <c r="MYW293" s="148"/>
      <c r="MYX293" s="148"/>
      <c r="MYY293" s="148"/>
      <c r="MYZ293" s="148"/>
      <c r="MZA293" s="148"/>
      <c r="MZB293" s="148"/>
      <c r="MZC293" s="148"/>
      <c r="MZD293" s="148"/>
      <c r="MZE293" s="148"/>
      <c r="MZF293" s="148"/>
      <c r="MZG293" s="148"/>
      <c r="MZH293" s="148"/>
      <c r="MZI293" s="148"/>
      <c r="MZJ293" s="148"/>
      <c r="MZK293" s="148"/>
      <c r="MZL293" s="148"/>
      <c r="MZM293" s="148"/>
      <c r="MZN293" s="148"/>
      <c r="MZO293" s="148"/>
      <c r="MZP293" s="148"/>
      <c r="MZQ293" s="148"/>
      <c r="MZR293" s="148"/>
      <c r="MZS293" s="148"/>
      <c r="MZT293" s="148"/>
      <c r="MZU293" s="148"/>
      <c r="MZV293" s="148"/>
      <c r="MZW293" s="148"/>
      <c r="MZX293" s="148"/>
      <c r="MZY293" s="148"/>
      <c r="MZZ293" s="148"/>
      <c r="NAA293" s="148"/>
      <c r="NAB293" s="148"/>
      <c r="NAC293" s="148"/>
      <c r="NAD293" s="148"/>
      <c r="NAE293" s="148"/>
      <c r="NAF293" s="148"/>
      <c r="NAG293" s="148"/>
      <c r="NAH293" s="148"/>
      <c r="NAI293" s="148"/>
      <c r="NAJ293" s="148"/>
      <c r="NAK293" s="148"/>
      <c r="NAL293" s="148"/>
      <c r="NAM293" s="148"/>
      <c r="NAN293" s="148"/>
      <c r="NAO293" s="148"/>
      <c r="NAP293" s="148"/>
      <c r="NAQ293" s="148"/>
      <c r="NAR293" s="148"/>
      <c r="NAS293" s="148"/>
      <c r="NAT293" s="148"/>
      <c r="NAU293" s="148"/>
      <c r="NAV293" s="148"/>
      <c r="NAW293" s="148"/>
      <c r="NAX293" s="148"/>
      <c r="NAY293" s="148"/>
      <c r="NAZ293" s="148"/>
      <c r="NBA293" s="148"/>
      <c r="NBB293" s="148"/>
      <c r="NBC293" s="148"/>
      <c r="NBD293" s="148"/>
      <c r="NBE293" s="148"/>
      <c r="NBF293" s="148"/>
      <c r="NBG293" s="148"/>
      <c r="NBH293" s="148"/>
      <c r="NBI293" s="148"/>
      <c r="NBJ293" s="148"/>
      <c r="NBK293" s="148"/>
      <c r="NBL293" s="148"/>
      <c r="NBM293" s="148"/>
      <c r="NBN293" s="148"/>
      <c r="NBO293" s="148"/>
      <c r="NBP293" s="148"/>
      <c r="NBQ293" s="148"/>
      <c r="NBR293" s="148"/>
      <c r="NBS293" s="148"/>
      <c r="NBT293" s="148"/>
      <c r="NBU293" s="148"/>
      <c r="NBV293" s="148"/>
      <c r="NBW293" s="148"/>
      <c r="NBX293" s="148"/>
      <c r="NBY293" s="148"/>
      <c r="NBZ293" s="148"/>
      <c r="NCA293" s="148"/>
      <c r="NCB293" s="148"/>
      <c r="NCC293" s="148"/>
      <c r="NCD293" s="148"/>
      <c r="NCE293" s="148"/>
      <c r="NCF293" s="148"/>
      <c r="NCG293" s="148"/>
      <c r="NCH293" s="148"/>
      <c r="NCI293" s="148"/>
      <c r="NCJ293" s="148"/>
      <c r="NCK293" s="148"/>
      <c r="NCL293" s="148"/>
      <c r="NCM293" s="148"/>
      <c r="NCN293" s="148"/>
      <c r="NCO293" s="148"/>
      <c r="NCP293" s="148"/>
      <c r="NCQ293" s="148"/>
      <c r="NCR293" s="148"/>
      <c r="NCS293" s="148"/>
      <c r="NCT293" s="148"/>
      <c r="NCU293" s="148"/>
      <c r="NCV293" s="148"/>
      <c r="NCW293" s="148"/>
      <c r="NCX293" s="148"/>
      <c r="NCY293" s="148"/>
      <c r="NCZ293" s="148"/>
      <c r="NDA293" s="148"/>
      <c r="NDB293" s="148"/>
      <c r="NDC293" s="148"/>
      <c r="NDD293" s="148"/>
      <c r="NDE293" s="148"/>
      <c r="NDF293" s="148"/>
      <c r="NDG293" s="148"/>
      <c r="NDH293" s="148"/>
      <c r="NDI293" s="148"/>
      <c r="NDJ293" s="148"/>
      <c r="NDK293" s="148"/>
      <c r="NDL293" s="148"/>
      <c r="NDM293" s="148"/>
      <c r="NDN293" s="148"/>
      <c r="NDO293" s="148"/>
      <c r="NDP293" s="148"/>
      <c r="NDQ293" s="148"/>
      <c r="NDR293" s="148"/>
      <c r="NDS293" s="148"/>
      <c r="NDT293" s="148"/>
      <c r="NDU293" s="148"/>
      <c r="NDV293" s="148"/>
      <c r="NDW293" s="148"/>
      <c r="NDX293" s="148"/>
      <c r="NDY293" s="148"/>
      <c r="NDZ293" s="148"/>
      <c r="NEA293" s="148"/>
      <c r="NEB293" s="148"/>
      <c r="NEC293" s="148"/>
      <c r="NED293" s="148"/>
      <c r="NEE293" s="148"/>
      <c r="NEF293" s="148"/>
      <c r="NEG293" s="148"/>
      <c r="NEH293" s="148"/>
      <c r="NEI293" s="148"/>
      <c r="NEJ293" s="148"/>
      <c r="NEK293" s="148"/>
      <c r="NEL293" s="148"/>
      <c r="NEM293" s="148"/>
      <c r="NEN293" s="148"/>
      <c r="NEO293" s="148"/>
      <c r="NEP293" s="148"/>
      <c r="NEQ293" s="148"/>
      <c r="NER293" s="148"/>
      <c r="NES293" s="148"/>
      <c r="NET293" s="148"/>
      <c r="NEU293" s="148"/>
      <c r="NEV293" s="148"/>
      <c r="NEW293" s="148"/>
      <c r="NEX293" s="148"/>
      <c r="NEY293" s="148"/>
      <c r="NEZ293" s="148"/>
      <c r="NFA293" s="148"/>
      <c r="NFB293" s="148"/>
      <c r="NFC293" s="148"/>
      <c r="NFD293" s="148"/>
      <c r="NFE293" s="148"/>
      <c r="NFF293" s="148"/>
      <c r="NFG293" s="148"/>
      <c r="NFH293" s="148"/>
      <c r="NFI293" s="148"/>
      <c r="NFJ293" s="148"/>
      <c r="NFK293" s="148"/>
      <c r="NFL293" s="148"/>
      <c r="NFM293" s="148"/>
      <c r="NFN293" s="148"/>
      <c r="NFO293" s="148"/>
      <c r="NFP293" s="148"/>
      <c r="NFQ293" s="148"/>
      <c r="NFR293" s="148"/>
      <c r="NFS293" s="148"/>
      <c r="NFT293" s="148"/>
      <c r="NFU293" s="148"/>
      <c r="NFV293" s="148"/>
      <c r="NFW293" s="148"/>
      <c r="NFX293" s="148"/>
      <c r="NFY293" s="148"/>
      <c r="NFZ293" s="148"/>
      <c r="NGA293" s="148"/>
      <c r="NGB293" s="148"/>
      <c r="NGC293" s="148"/>
      <c r="NGD293" s="148"/>
      <c r="NGE293" s="148"/>
      <c r="NGF293" s="148"/>
      <c r="NGG293" s="148"/>
      <c r="NGH293" s="148"/>
      <c r="NGI293" s="148"/>
      <c r="NGJ293" s="148"/>
      <c r="NGK293" s="148"/>
      <c r="NGL293" s="148"/>
      <c r="NGM293" s="148"/>
      <c r="NGN293" s="148"/>
      <c r="NGO293" s="148"/>
      <c r="NGP293" s="148"/>
      <c r="NGQ293" s="148"/>
      <c r="NGR293" s="148"/>
      <c r="NGS293" s="148"/>
      <c r="NGT293" s="148"/>
      <c r="NGU293" s="148"/>
      <c r="NGV293" s="148"/>
      <c r="NGW293" s="148"/>
      <c r="NGX293" s="148"/>
      <c r="NGY293" s="148"/>
      <c r="NGZ293" s="148"/>
      <c r="NHA293" s="148"/>
      <c r="NHB293" s="148"/>
      <c r="NHC293" s="148"/>
      <c r="NHD293" s="148"/>
      <c r="NHE293" s="148"/>
      <c r="NHF293" s="148"/>
      <c r="NHG293" s="148"/>
      <c r="NHH293" s="148"/>
      <c r="NHI293" s="148"/>
      <c r="NHJ293" s="148"/>
      <c r="NHK293" s="148"/>
      <c r="NHL293" s="148"/>
      <c r="NHM293" s="148"/>
      <c r="NHN293" s="148"/>
      <c r="NHO293" s="148"/>
      <c r="NHP293" s="148"/>
      <c r="NHQ293" s="148"/>
      <c r="NHR293" s="148"/>
      <c r="NHS293" s="148"/>
      <c r="NHT293" s="148"/>
      <c r="NHU293" s="148"/>
      <c r="NHV293" s="148"/>
      <c r="NHW293" s="148"/>
      <c r="NHX293" s="148"/>
      <c r="NHY293" s="148"/>
      <c r="NHZ293" s="148"/>
      <c r="NIA293" s="148"/>
      <c r="NIB293" s="148"/>
      <c r="NIC293" s="148"/>
      <c r="NID293" s="148"/>
      <c r="NIE293" s="148"/>
      <c r="NIF293" s="148"/>
      <c r="NIG293" s="148"/>
      <c r="NIH293" s="148"/>
      <c r="NII293" s="148"/>
      <c r="NIJ293" s="148"/>
      <c r="NIK293" s="148"/>
      <c r="NIL293" s="148"/>
      <c r="NIM293" s="148"/>
      <c r="NIN293" s="148"/>
      <c r="NIO293" s="148"/>
      <c r="NIP293" s="148"/>
      <c r="NIQ293" s="148"/>
      <c r="NIR293" s="148"/>
      <c r="NIS293" s="148"/>
      <c r="NIT293" s="148"/>
      <c r="NIU293" s="148"/>
      <c r="NIV293" s="148"/>
      <c r="NIW293" s="148"/>
      <c r="NIX293" s="148"/>
      <c r="NIY293" s="148"/>
      <c r="NIZ293" s="148"/>
      <c r="NJA293" s="148"/>
      <c r="NJB293" s="148"/>
      <c r="NJC293" s="148"/>
      <c r="NJD293" s="148"/>
      <c r="NJE293" s="148"/>
      <c r="NJF293" s="148"/>
      <c r="NJG293" s="148"/>
      <c r="NJH293" s="148"/>
      <c r="NJI293" s="148"/>
      <c r="NJJ293" s="148"/>
      <c r="NJK293" s="148"/>
      <c r="NJL293" s="148"/>
      <c r="NJM293" s="148"/>
      <c r="NJN293" s="148"/>
      <c r="NJO293" s="148"/>
      <c r="NJP293" s="148"/>
      <c r="NJQ293" s="148"/>
      <c r="NJR293" s="148"/>
      <c r="NJS293" s="148"/>
      <c r="NJT293" s="148"/>
      <c r="NJU293" s="148"/>
      <c r="NJV293" s="148"/>
      <c r="NJW293" s="148"/>
      <c r="NJX293" s="148"/>
      <c r="NJY293" s="148"/>
      <c r="NJZ293" s="148"/>
      <c r="NKA293" s="148"/>
      <c r="NKB293" s="148"/>
      <c r="NKC293" s="148"/>
      <c r="NKD293" s="148"/>
      <c r="NKE293" s="148"/>
      <c r="NKF293" s="148"/>
      <c r="NKG293" s="148"/>
      <c r="NKH293" s="148"/>
      <c r="NKI293" s="148"/>
      <c r="NKJ293" s="148"/>
      <c r="NKK293" s="148"/>
      <c r="NKL293" s="148"/>
      <c r="NKM293" s="148"/>
      <c r="NKN293" s="148"/>
      <c r="NKO293" s="148"/>
      <c r="NKP293" s="148"/>
      <c r="NKQ293" s="148"/>
      <c r="NKR293" s="148"/>
      <c r="NKS293" s="148"/>
      <c r="NKT293" s="148"/>
      <c r="NKU293" s="148"/>
      <c r="NKV293" s="148"/>
      <c r="NKW293" s="148"/>
      <c r="NKX293" s="148"/>
      <c r="NKY293" s="148"/>
      <c r="NKZ293" s="148"/>
      <c r="NLA293" s="148"/>
      <c r="NLB293" s="148"/>
      <c r="NLC293" s="148"/>
      <c r="NLD293" s="148"/>
      <c r="NLE293" s="148"/>
      <c r="NLF293" s="148"/>
      <c r="NLG293" s="148"/>
      <c r="NLH293" s="148"/>
      <c r="NLI293" s="148"/>
      <c r="NLJ293" s="148"/>
      <c r="NLK293" s="148"/>
      <c r="NLL293" s="148"/>
      <c r="NLM293" s="148"/>
      <c r="NLN293" s="148"/>
      <c r="NLO293" s="148"/>
      <c r="NLP293" s="148"/>
      <c r="NLQ293" s="148"/>
      <c r="NLR293" s="148"/>
      <c r="NLS293" s="148"/>
      <c r="NLT293" s="148"/>
      <c r="NLU293" s="148"/>
      <c r="NLV293" s="148"/>
      <c r="NLW293" s="148"/>
      <c r="NLX293" s="148"/>
      <c r="NLY293" s="148"/>
      <c r="NLZ293" s="148"/>
      <c r="NMA293" s="148"/>
      <c r="NMB293" s="148"/>
      <c r="NMC293" s="148"/>
      <c r="NMD293" s="148"/>
      <c r="NME293" s="148"/>
      <c r="NMF293" s="148"/>
      <c r="NMG293" s="148"/>
      <c r="NMH293" s="148"/>
      <c r="NMI293" s="148"/>
      <c r="NMJ293" s="148"/>
      <c r="NMK293" s="148"/>
      <c r="NML293" s="148"/>
      <c r="NMM293" s="148"/>
      <c r="NMN293" s="148"/>
      <c r="NMO293" s="148"/>
      <c r="NMP293" s="148"/>
      <c r="NMQ293" s="148"/>
      <c r="NMR293" s="148"/>
      <c r="NMS293" s="148"/>
      <c r="NMT293" s="148"/>
      <c r="NMU293" s="148"/>
      <c r="NMV293" s="148"/>
      <c r="NMW293" s="148"/>
      <c r="NMX293" s="148"/>
      <c r="NMY293" s="148"/>
      <c r="NMZ293" s="148"/>
      <c r="NNA293" s="148"/>
      <c r="NNB293" s="148"/>
      <c r="NNC293" s="148"/>
      <c r="NND293" s="148"/>
      <c r="NNE293" s="148"/>
      <c r="NNF293" s="148"/>
      <c r="NNG293" s="148"/>
      <c r="NNH293" s="148"/>
      <c r="NNI293" s="148"/>
      <c r="NNJ293" s="148"/>
      <c r="NNK293" s="148"/>
      <c r="NNL293" s="148"/>
      <c r="NNM293" s="148"/>
      <c r="NNN293" s="148"/>
      <c r="NNO293" s="148"/>
      <c r="NNP293" s="148"/>
      <c r="NNQ293" s="148"/>
      <c r="NNR293" s="148"/>
      <c r="NNS293" s="148"/>
      <c r="NNT293" s="148"/>
      <c r="NNU293" s="148"/>
      <c r="NNV293" s="148"/>
      <c r="NNW293" s="148"/>
      <c r="NNX293" s="148"/>
      <c r="NNY293" s="148"/>
      <c r="NNZ293" s="148"/>
      <c r="NOA293" s="148"/>
      <c r="NOB293" s="148"/>
      <c r="NOC293" s="148"/>
      <c r="NOD293" s="148"/>
      <c r="NOE293" s="148"/>
      <c r="NOF293" s="148"/>
      <c r="NOG293" s="148"/>
      <c r="NOH293" s="148"/>
      <c r="NOI293" s="148"/>
      <c r="NOJ293" s="148"/>
      <c r="NOK293" s="148"/>
      <c r="NOL293" s="148"/>
      <c r="NOM293" s="148"/>
      <c r="NON293" s="148"/>
      <c r="NOO293" s="148"/>
      <c r="NOP293" s="148"/>
      <c r="NOQ293" s="148"/>
      <c r="NOR293" s="148"/>
      <c r="NOS293" s="148"/>
      <c r="NOT293" s="148"/>
      <c r="NOU293" s="148"/>
      <c r="NOV293" s="148"/>
      <c r="NOW293" s="148"/>
      <c r="NOX293" s="148"/>
      <c r="NOY293" s="148"/>
      <c r="NOZ293" s="148"/>
      <c r="NPA293" s="148"/>
      <c r="NPB293" s="148"/>
      <c r="NPC293" s="148"/>
      <c r="NPD293" s="148"/>
      <c r="NPE293" s="148"/>
      <c r="NPF293" s="148"/>
      <c r="NPG293" s="148"/>
      <c r="NPH293" s="148"/>
      <c r="NPI293" s="148"/>
      <c r="NPJ293" s="148"/>
      <c r="NPK293" s="148"/>
      <c r="NPL293" s="148"/>
      <c r="NPM293" s="148"/>
      <c r="NPN293" s="148"/>
      <c r="NPO293" s="148"/>
      <c r="NPP293" s="148"/>
      <c r="NPQ293" s="148"/>
      <c r="NPR293" s="148"/>
      <c r="NPS293" s="148"/>
      <c r="NPT293" s="148"/>
      <c r="NPU293" s="148"/>
      <c r="NPV293" s="148"/>
      <c r="NPW293" s="148"/>
      <c r="NPX293" s="148"/>
      <c r="NPY293" s="148"/>
      <c r="NPZ293" s="148"/>
      <c r="NQA293" s="148"/>
      <c r="NQB293" s="148"/>
      <c r="NQC293" s="148"/>
      <c r="NQD293" s="148"/>
      <c r="NQE293" s="148"/>
      <c r="NQF293" s="148"/>
      <c r="NQG293" s="148"/>
      <c r="NQH293" s="148"/>
      <c r="NQI293" s="148"/>
      <c r="NQJ293" s="148"/>
      <c r="NQK293" s="148"/>
      <c r="NQL293" s="148"/>
      <c r="NQM293" s="148"/>
      <c r="NQN293" s="148"/>
      <c r="NQO293" s="148"/>
      <c r="NQP293" s="148"/>
      <c r="NQQ293" s="148"/>
      <c r="NQR293" s="148"/>
      <c r="NQS293" s="148"/>
      <c r="NQT293" s="148"/>
      <c r="NQU293" s="148"/>
      <c r="NQV293" s="148"/>
      <c r="NQW293" s="148"/>
      <c r="NQX293" s="148"/>
      <c r="NQY293" s="148"/>
      <c r="NQZ293" s="148"/>
      <c r="NRA293" s="148"/>
      <c r="NRB293" s="148"/>
      <c r="NRC293" s="148"/>
      <c r="NRD293" s="148"/>
      <c r="NRE293" s="148"/>
      <c r="NRF293" s="148"/>
      <c r="NRG293" s="148"/>
      <c r="NRH293" s="148"/>
      <c r="NRI293" s="148"/>
      <c r="NRJ293" s="148"/>
      <c r="NRK293" s="148"/>
      <c r="NRL293" s="148"/>
      <c r="NRM293" s="148"/>
      <c r="NRN293" s="148"/>
      <c r="NRO293" s="148"/>
      <c r="NRP293" s="148"/>
      <c r="NRQ293" s="148"/>
      <c r="NRR293" s="148"/>
      <c r="NRS293" s="148"/>
      <c r="NRT293" s="148"/>
      <c r="NRU293" s="148"/>
      <c r="NRV293" s="148"/>
      <c r="NRW293" s="148"/>
      <c r="NRX293" s="148"/>
      <c r="NRY293" s="148"/>
      <c r="NRZ293" s="148"/>
      <c r="NSA293" s="148"/>
      <c r="NSB293" s="148"/>
      <c r="NSC293" s="148"/>
      <c r="NSD293" s="148"/>
      <c r="NSE293" s="148"/>
      <c r="NSF293" s="148"/>
      <c r="NSG293" s="148"/>
      <c r="NSH293" s="148"/>
      <c r="NSI293" s="148"/>
      <c r="NSJ293" s="148"/>
      <c r="NSK293" s="148"/>
      <c r="NSL293" s="148"/>
      <c r="NSM293" s="148"/>
      <c r="NSN293" s="148"/>
      <c r="NSO293" s="148"/>
      <c r="NSP293" s="148"/>
      <c r="NSQ293" s="148"/>
      <c r="NSR293" s="148"/>
      <c r="NSS293" s="148"/>
      <c r="NST293" s="148"/>
      <c r="NSU293" s="148"/>
      <c r="NSV293" s="148"/>
      <c r="NSW293" s="148"/>
      <c r="NSX293" s="148"/>
      <c r="NSY293" s="148"/>
      <c r="NSZ293" s="148"/>
      <c r="NTA293" s="148"/>
      <c r="NTB293" s="148"/>
      <c r="NTC293" s="148"/>
      <c r="NTD293" s="148"/>
      <c r="NTE293" s="148"/>
      <c r="NTF293" s="148"/>
      <c r="NTG293" s="148"/>
      <c r="NTH293" s="148"/>
      <c r="NTI293" s="148"/>
      <c r="NTJ293" s="148"/>
      <c r="NTK293" s="148"/>
      <c r="NTL293" s="148"/>
      <c r="NTM293" s="148"/>
      <c r="NTN293" s="148"/>
      <c r="NTO293" s="148"/>
      <c r="NTP293" s="148"/>
      <c r="NTQ293" s="148"/>
      <c r="NTR293" s="148"/>
      <c r="NTS293" s="148"/>
      <c r="NTT293" s="148"/>
      <c r="NTU293" s="148"/>
      <c r="NTV293" s="148"/>
      <c r="NTW293" s="148"/>
      <c r="NTX293" s="148"/>
      <c r="NTY293" s="148"/>
      <c r="NTZ293" s="148"/>
      <c r="NUA293" s="148"/>
      <c r="NUB293" s="148"/>
      <c r="NUC293" s="148"/>
      <c r="NUD293" s="148"/>
      <c r="NUE293" s="148"/>
      <c r="NUF293" s="148"/>
      <c r="NUG293" s="148"/>
      <c r="NUH293" s="148"/>
      <c r="NUI293" s="148"/>
      <c r="NUJ293" s="148"/>
      <c r="NUK293" s="148"/>
      <c r="NUL293" s="148"/>
      <c r="NUM293" s="148"/>
      <c r="NUN293" s="148"/>
      <c r="NUO293" s="148"/>
      <c r="NUP293" s="148"/>
      <c r="NUQ293" s="148"/>
      <c r="NUR293" s="148"/>
      <c r="NUS293" s="148"/>
      <c r="NUT293" s="148"/>
      <c r="NUU293" s="148"/>
      <c r="NUV293" s="148"/>
      <c r="NUW293" s="148"/>
      <c r="NUX293" s="148"/>
      <c r="NUY293" s="148"/>
      <c r="NUZ293" s="148"/>
      <c r="NVA293" s="148"/>
      <c r="NVB293" s="148"/>
      <c r="NVC293" s="148"/>
      <c r="NVD293" s="148"/>
      <c r="NVE293" s="148"/>
      <c r="NVF293" s="148"/>
      <c r="NVG293" s="148"/>
      <c r="NVH293" s="148"/>
      <c r="NVI293" s="148"/>
      <c r="NVJ293" s="148"/>
      <c r="NVK293" s="148"/>
      <c r="NVL293" s="148"/>
      <c r="NVM293" s="148"/>
      <c r="NVN293" s="148"/>
      <c r="NVO293" s="148"/>
      <c r="NVP293" s="148"/>
      <c r="NVQ293" s="148"/>
      <c r="NVR293" s="148"/>
      <c r="NVS293" s="148"/>
      <c r="NVT293" s="148"/>
      <c r="NVU293" s="148"/>
      <c r="NVV293" s="148"/>
      <c r="NVW293" s="148"/>
      <c r="NVX293" s="148"/>
      <c r="NVY293" s="148"/>
      <c r="NVZ293" s="148"/>
      <c r="NWA293" s="148"/>
      <c r="NWB293" s="148"/>
      <c r="NWC293" s="148"/>
      <c r="NWD293" s="148"/>
      <c r="NWE293" s="148"/>
      <c r="NWF293" s="148"/>
      <c r="NWG293" s="148"/>
      <c r="NWH293" s="148"/>
      <c r="NWI293" s="148"/>
      <c r="NWJ293" s="148"/>
      <c r="NWK293" s="148"/>
      <c r="NWL293" s="148"/>
      <c r="NWM293" s="148"/>
      <c r="NWN293" s="148"/>
      <c r="NWO293" s="148"/>
      <c r="NWP293" s="148"/>
      <c r="NWQ293" s="148"/>
      <c r="NWR293" s="148"/>
      <c r="NWS293" s="148"/>
      <c r="NWT293" s="148"/>
      <c r="NWU293" s="148"/>
      <c r="NWV293" s="148"/>
      <c r="NWW293" s="148"/>
      <c r="NWX293" s="148"/>
      <c r="NWY293" s="148"/>
      <c r="NWZ293" s="148"/>
      <c r="NXA293" s="148"/>
      <c r="NXB293" s="148"/>
      <c r="NXC293" s="148"/>
      <c r="NXD293" s="148"/>
      <c r="NXE293" s="148"/>
      <c r="NXF293" s="148"/>
      <c r="NXG293" s="148"/>
      <c r="NXH293" s="148"/>
      <c r="NXI293" s="148"/>
      <c r="NXJ293" s="148"/>
      <c r="NXK293" s="148"/>
      <c r="NXL293" s="148"/>
      <c r="NXM293" s="148"/>
      <c r="NXN293" s="148"/>
      <c r="NXO293" s="148"/>
      <c r="NXP293" s="148"/>
      <c r="NXQ293" s="148"/>
      <c r="NXR293" s="148"/>
      <c r="NXS293" s="148"/>
      <c r="NXT293" s="148"/>
      <c r="NXU293" s="148"/>
      <c r="NXV293" s="148"/>
      <c r="NXW293" s="148"/>
      <c r="NXX293" s="148"/>
      <c r="NXY293" s="148"/>
      <c r="NXZ293" s="148"/>
      <c r="NYA293" s="148"/>
      <c r="NYB293" s="148"/>
      <c r="NYC293" s="148"/>
      <c r="NYD293" s="148"/>
      <c r="NYE293" s="148"/>
      <c r="NYF293" s="148"/>
      <c r="NYG293" s="148"/>
      <c r="NYH293" s="148"/>
      <c r="NYI293" s="148"/>
      <c r="NYJ293" s="148"/>
      <c r="NYK293" s="148"/>
      <c r="NYL293" s="148"/>
      <c r="NYM293" s="148"/>
      <c r="NYN293" s="148"/>
      <c r="NYO293" s="148"/>
      <c r="NYP293" s="148"/>
      <c r="NYQ293" s="148"/>
      <c r="NYR293" s="148"/>
      <c r="NYS293" s="148"/>
      <c r="NYT293" s="148"/>
      <c r="NYU293" s="148"/>
      <c r="NYV293" s="148"/>
      <c r="NYW293" s="148"/>
      <c r="NYX293" s="148"/>
      <c r="NYY293" s="148"/>
      <c r="NYZ293" s="148"/>
      <c r="NZA293" s="148"/>
      <c r="NZB293" s="148"/>
      <c r="NZC293" s="148"/>
      <c r="NZD293" s="148"/>
      <c r="NZE293" s="148"/>
      <c r="NZF293" s="148"/>
      <c r="NZG293" s="148"/>
      <c r="NZH293" s="148"/>
      <c r="NZI293" s="148"/>
      <c r="NZJ293" s="148"/>
      <c r="NZK293" s="148"/>
      <c r="NZL293" s="148"/>
      <c r="NZM293" s="148"/>
      <c r="NZN293" s="148"/>
      <c r="NZO293" s="148"/>
      <c r="NZP293" s="148"/>
      <c r="NZQ293" s="148"/>
      <c r="NZR293" s="148"/>
      <c r="NZS293" s="148"/>
      <c r="NZT293" s="148"/>
      <c r="NZU293" s="148"/>
      <c r="NZV293" s="148"/>
      <c r="NZW293" s="148"/>
      <c r="NZX293" s="148"/>
      <c r="NZY293" s="148"/>
      <c r="NZZ293" s="148"/>
      <c r="OAA293" s="148"/>
      <c r="OAB293" s="148"/>
      <c r="OAC293" s="148"/>
      <c r="OAD293" s="148"/>
      <c r="OAE293" s="148"/>
      <c r="OAF293" s="148"/>
      <c r="OAG293" s="148"/>
      <c r="OAH293" s="148"/>
      <c r="OAI293" s="148"/>
      <c r="OAJ293" s="148"/>
      <c r="OAK293" s="148"/>
      <c r="OAL293" s="148"/>
      <c r="OAM293" s="148"/>
      <c r="OAN293" s="148"/>
      <c r="OAO293" s="148"/>
      <c r="OAP293" s="148"/>
      <c r="OAQ293" s="148"/>
      <c r="OAR293" s="148"/>
      <c r="OAS293" s="148"/>
      <c r="OAT293" s="148"/>
      <c r="OAU293" s="148"/>
      <c r="OAV293" s="148"/>
      <c r="OAW293" s="148"/>
      <c r="OAX293" s="148"/>
      <c r="OAY293" s="148"/>
      <c r="OAZ293" s="148"/>
      <c r="OBA293" s="148"/>
      <c r="OBB293" s="148"/>
      <c r="OBC293" s="148"/>
      <c r="OBD293" s="148"/>
      <c r="OBE293" s="148"/>
      <c r="OBF293" s="148"/>
      <c r="OBG293" s="148"/>
      <c r="OBH293" s="148"/>
      <c r="OBI293" s="148"/>
      <c r="OBJ293" s="148"/>
      <c r="OBK293" s="148"/>
      <c r="OBL293" s="148"/>
      <c r="OBM293" s="148"/>
      <c r="OBN293" s="148"/>
      <c r="OBO293" s="148"/>
      <c r="OBP293" s="148"/>
      <c r="OBQ293" s="148"/>
      <c r="OBR293" s="148"/>
      <c r="OBS293" s="148"/>
      <c r="OBT293" s="148"/>
      <c r="OBU293" s="148"/>
      <c r="OBV293" s="148"/>
      <c r="OBW293" s="148"/>
      <c r="OBX293" s="148"/>
      <c r="OBY293" s="148"/>
      <c r="OBZ293" s="148"/>
      <c r="OCA293" s="148"/>
      <c r="OCB293" s="148"/>
      <c r="OCC293" s="148"/>
      <c r="OCD293" s="148"/>
      <c r="OCE293" s="148"/>
      <c r="OCF293" s="148"/>
      <c r="OCG293" s="148"/>
      <c r="OCH293" s="148"/>
      <c r="OCI293" s="148"/>
      <c r="OCJ293" s="148"/>
      <c r="OCK293" s="148"/>
      <c r="OCL293" s="148"/>
      <c r="OCM293" s="148"/>
      <c r="OCN293" s="148"/>
      <c r="OCO293" s="148"/>
      <c r="OCP293" s="148"/>
      <c r="OCQ293" s="148"/>
      <c r="OCR293" s="148"/>
      <c r="OCS293" s="148"/>
      <c r="OCT293" s="148"/>
      <c r="OCU293" s="148"/>
      <c r="OCV293" s="148"/>
      <c r="OCW293" s="148"/>
      <c r="OCX293" s="148"/>
      <c r="OCY293" s="148"/>
      <c r="OCZ293" s="148"/>
      <c r="ODA293" s="148"/>
      <c r="ODB293" s="148"/>
      <c r="ODC293" s="148"/>
      <c r="ODD293" s="148"/>
      <c r="ODE293" s="148"/>
      <c r="ODF293" s="148"/>
      <c r="ODG293" s="148"/>
      <c r="ODH293" s="148"/>
      <c r="ODI293" s="148"/>
      <c r="ODJ293" s="148"/>
      <c r="ODK293" s="148"/>
      <c r="ODL293" s="148"/>
      <c r="ODM293" s="148"/>
      <c r="ODN293" s="148"/>
      <c r="ODO293" s="148"/>
      <c r="ODP293" s="148"/>
      <c r="ODQ293" s="148"/>
      <c r="ODR293" s="148"/>
      <c r="ODS293" s="148"/>
      <c r="ODT293" s="148"/>
      <c r="ODU293" s="148"/>
      <c r="ODV293" s="148"/>
      <c r="ODW293" s="148"/>
      <c r="ODX293" s="148"/>
      <c r="ODY293" s="148"/>
      <c r="ODZ293" s="148"/>
      <c r="OEA293" s="148"/>
      <c r="OEB293" s="148"/>
      <c r="OEC293" s="148"/>
      <c r="OED293" s="148"/>
      <c r="OEE293" s="148"/>
      <c r="OEF293" s="148"/>
      <c r="OEG293" s="148"/>
      <c r="OEH293" s="148"/>
      <c r="OEI293" s="148"/>
      <c r="OEJ293" s="148"/>
      <c r="OEK293" s="148"/>
      <c r="OEL293" s="148"/>
      <c r="OEM293" s="148"/>
      <c r="OEN293" s="148"/>
      <c r="OEO293" s="148"/>
      <c r="OEP293" s="148"/>
      <c r="OEQ293" s="148"/>
      <c r="OER293" s="148"/>
      <c r="OES293" s="148"/>
      <c r="OET293" s="148"/>
      <c r="OEU293" s="148"/>
      <c r="OEV293" s="148"/>
      <c r="OEW293" s="148"/>
      <c r="OEX293" s="148"/>
      <c r="OEY293" s="148"/>
      <c r="OEZ293" s="148"/>
      <c r="OFA293" s="148"/>
      <c r="OFB293" s="148"/>
      <c r="OFC293" s="148"/>
      <c r="OFD293" s="148"/>
      <c r="OFE293" s="148"/>
      <c r="OFF293" s="148"/>
      <c r="OFG293" s="148"/>
      <c r="OFH293" s="148"/>
      <c r="OFI293" s="148"/>
      <c r="OFJ293" s="148"/>
      <c r="OFK293" s="148"/>
      <c r="OFL293" s="148"/>
      <c r="OFM293" s="148"/>
      <c r="OFN293" s="148"/>
      <c r="OFO293" s="148"/>
      <c r="OFP293" s="148"/>
      <c r="OFQ293" s="148"/>
      <c r="OFR293" s="148"/>
      <c r="OFS293" s="148"/>
      <c r="OFT293" s="148"/>
      <c r="OFU293" s="148"/>
      <c r="OFV293" s="148"/>
      <c r="OFW293" s="148"/>
      <c r="OFX293" s="148"/>
      <c r="OFY293" s="148"/>
      <c r="OFZ293" s="148"/>
      <c r="OGA293" s="148"/>
      <c r="OGB293" s="148"/>
      <c r="OGC293" s="148"/>
      <c r="OGD293" s="148"/>
      <c r="OGE293" s="148"/>
      <c r="OGF293" s="148"/>
      <c r="OGG293" s="148"/>
      <c r="OGH293" s="148"/>
      <c r="OGI293" s="148"/>
      <c r="OGJ293" s="148"/>
      <c r="OGK293" s="148"/>
      <c r="OGL293" s="148"/>
      <c r="OGM293" s="148"/>
      <c r="OGN293" s="148"/>
      <c r="OGO293" s="148"/>
      <c r="OGP293" s="148"/>
      <c r="OGQ293" s="148"/>
      <c r="OGR293" s="148"/>
      <c r="OGS293" s="148"/>
      <c r="OGT293" s="148"/>
      <c r="OGU293" s="148"/>
      <c r="OGV293" s="148"/>
      <c r="OGW293" s="148"/>
      <c r="OGX293" s="148"/>
      <c r="OGY293" s="148"/>
      <c r="OGZ293" s="148"/>
      <c r="OHA293" s="148"/>
      <c r="OHB293" s="148"/>
      <c r="OHC293" s="148"/>
      <c r="OHD293" s="148"/>
      <c r="OHE293" s="148"/>
      <c r="OHF293" s="148"/>
      <c r="OHG293" s="148"/>
      <c r="OHH293" s="148"/>
      <c r="OHI293" s="148"/>
      <c r="OHJ293" s="148"/>
      <c r="OHK293" s="148"/>
      <c r="OHL293" s="148"/>
      <c r="OHM293" s="148"/>
      <c r="OHN293" s="148"/>
      <c r="OHO293" s="148"/>
      <c r="OHP293" s="148"/>
      <c r="OHQ293" s="148"/>
      <c r="OHR293" s="148"/>
      <c r="OHS293" s="148"/>
      <c r="OHT293" s="148"/>
      <c r="OHU293" s="148"/>
      <c r="OHV293" s="148"/>
      <c r="OHW293" s="148"/>
      <c r="OHX293" s="148"/>
      <c r="OHY293" s="148"/>
      <c r="OHZ293" s="148"/>
      <c r="OIA293" s="148"/>
      <c r="OIB293" s="148"/>
      <c r="OIC293" s="148"/>
      <c r="OID293" s="148"/>
      <c r="OIE293" s="148"/>
      <c r="OIF293" s="148"/>
      <c r="OIG293" s="148"/>
      <c r="OIH293" s="148"/>
      <c r="OII293" s="148"/>
      <c r="OIJ293" s="148"/>
      <c r="OIK293" s="148"/>
      <c r="OIL293" s="148"/>
      <c r="OIM293" s="148"/>
      <c r="OIN293" s="148"/>
      <c r="OIO293" s="148"/>
      <c r="OIP293" s="148"/>
      <c r="OIQ293" s="148"/>
      <c r="OIR293" s="148"/>
      <c r="OIS293" s="148"/>
      <c r="OIT293" s="148"/>
      <c r="OIU293" s="148"/>
      <c r="OIV293" s="148"/>
      <c r="OIW293" s="148"/>
      <c r="OIX293" s="148"/>
      <c r="OIY293" s="148"/>
      <c r="OIZ293" s="148"/>
      <c r="OJA293" s="148"/>
      <c r="OJB293" s="148"/>
      <c r="OJC293" s="148"/>
      <c r="OJD293" s="148"/>
      <c r="OJE293" s="148"/>
      <c r="OJF293" s="148"/>
      <c r="OJG293" s="148"/>
      <c r="OJH293" s="148"/>
      <c r="OJI293" s="148"/>
      <c r="OJJ293" s="148"/>
      <c r="OJK293" s="148"/>
      <c r="OJL293" s="148"/>
      <c r="OJM293" s="148"/>
      <c r="OJN293" s="148"/>
      <c r="OJO293" s="148"/>
      <c r="OJP293" s="148"/>
      <c r="OJQ293" s="148"/>
      <c r="OJR293" s="148"/>
      <c r="OJS293" s="148"/>
      <c r="OJT293" s="148"/>
      <c r="OJU293" s="148"/>
      <c r="OJV293" s="148"/>
      <c r="OJW293" s="148"/>
      <c r="OJX293" s="148"/>
      <c r="OJY293" s="148"/>
      <c r="OJZ293" s="148"/>
      <c r="OKA293" s="148"/>
      <c r="OKB293" s="148"/>
      <c r="OKC293" s="148"/>
      <c r="OKD293" s="148"/>
      <c r="OKE293" s="148"/>
      <c r="OKF293" s="148"/>
      <c r="OKG293" s="148"/>
      <c r="OKH293" s="148"/>
      <c r="OKI293" s="148"/>
      <c r="OKJ293" s="148"/>
      <c r="OKK293" s="148"/>
      <c r="OKL293" s="148"/>
      <c r="OKM293" s="148"/>
      <c r="OKN293" s="148"/>
      <c r="OKO293" s="148"/>
      <c r="OKP293" s="148"/>
      <c r="OKQ293" s="148"/>
      <c r="OKR293" s="148"/>
      <c r="OKS293" s="148"/>
      <c r="OKT293" s="148"/>
      <c r="OKU293" s="148"/>
      <c r="OKV293" s="148"/>
      <c r="OKW293" s="148"/>
      <c r="OKX293" s="148"/>
      <c r="OKY293" s="148"/>
      <c r="OKZ293" s="148"/>
      <c r="OLA293" s="148"/>
      <c r="OLB293" s="148"/>
      <c r="OLC293" s="148"/>
      <c r="OLD293" s="148"/>
      <c r="OLE293" s="148"/>
      <c r="OLF293" s="148"/>
      <c r="OLG293" s="148"/>
      <c r="OLH293" s="148"/>
      <c r="OLI293" s="148"/>
      <c r="OLJ293" s="148"/>
      <c r="OLK293" s="148"/>
      <c r="OLL293" s="148"/>
      <c r="OLM293" s="148"/>
      <c r="OLN293" s="148"/>
      <c r="OLO293" s="148"/>
      <c r="OLP293" s="148"/>
      <c r="OLQ293" s="148"/>
      <c r="OLR293" s="148"/>
      <c r="OLS293" s="148"/>
      <c r="OLT293" s="148"/>
      <c r="OLU293" s="148"/>
      <c r="OLV293" s="148"/>
      <c r="OLW293" s="148"/>
      <c r="OLX293" s="148"/>
      <c r="OLY293" s="148"/>
      <c r="OLZ293" s="148"/>
      <c r="OMA293" s="148"/>
      <c r="OMB293" s="148"/>
      <c r="OMC293" s="148"/>
      <c r="OMD293" s="148"/>
      <c r="OME293" s="148"/>
      <c r="OMF293" s="148"/>
      <c r="OMG293" s="148"/>
      <c r="OMH293" s="148"/>
      <c r="OMI293" s="148"/>
      <c r="OMJ293" s="148"/>
      <c r="OMK293" s="148"/>
      <c r="OML293" s="148"/>
      <c r="OMM293" s="148"/>
      <c r="OMN293" s="148"/>
      <c r="OMO293" s="148"/>
      <c r="OMP293" s="148"/>
      <c r="OMQ293" s="148"/>
      <c r="OMR293" s="148"/>
      <c r="OMS293" s="148"/>
      <c r="OMT293" s="148"/>
      <c r="OMU293" s="148"/>
      <c r="OMV293" s="148"/>
      <c r="OMW293" s="148"/>
      <c r="OMX293" s="148"/>
      <c r="OMY293" s="148"/>
      <c r="OMZ293" s="148"/>
      <c r="ONA293" s="148"/>
      <c r="ONB293" s="148"/>
      <c r="ONC293" s="148"/>
      <c r="OND293" s="148"/>
      <c r="ONE293" s="148"/>
      <c r="ONF293" s="148"/>
      <c r="ONG293" s="148"/>
      <c r="ONH293" s="148"/>
      <c r="ONI293" s="148"/>
      <c r="ONJ293" s="148"/>
      <c r="ONK293" s="148"/>
      <c r="ONL293" s="148"/>
      <c r="ONM293" s="148"/>
      <c r="ONN293" s="148"/>
      <c r="ONO293" s="148"/>
      <c r="ONP293" s="148"/>
      <c r="ONQ293" s="148"/>
      <c r="ONR293" s="148"/>
      <c r="ONS293" s="148"/>
      <c r="ONT293" s="148"/>
      <c r="ONU293" s="148"/>
      <c r="ONV293" s="148"/>
      <c r="ONW293" s="148"/>
      <c r="ONX293" s="148"/>
      <c r="ONY293" s="148"/>
      <c r="ONZ293" s="148"/>
      <c r="OOA293" s="148"/>
      <c r="OOB293" s="148"/>
      <c r="OOC293" s="148"/>
      <c r="OOD293" s="148"/>
      <c r="OOE293" s="148"/>
      <c r="OOF293" s="148"/>
      <c r="OOG293" s="148"/>
      <c r="OOH293" s="148"/>
      <c r="OOI293" s="148"/>
      <c r="OOJ293" s="148"/>
      <c r="OOK293" s="148"/>
      <c r="OOL293" s="148"/>
      <c r="OOM293" s="148"/>
      <c r="OON293" s="148"/>
      <c r="OOO293" s="148"/>
      <c r="OOP293" s="148"/>
      <c r="OOQ293" s="148"/>
      <c r="OOR293" s="148"/>
      <c r="OOS293" s="148"/>
      <c r="OOT293" s="148"/>
      <c r="OOU293" s="148"/>
      <c r="OOV293" s="148"/>
      <c r="OOW293" s="148"/>
      <c r="OOX293" s="148"/>
      <c r="OOY293" s="148"/>
      <c r="OOZ293" s="148"/>
      <c r="OPA293" s="148"/>
      <c r="OPB293" s="148"/>
      <c r="OPC293" s="148"/>
      <c r="OPD293" s="148"/>
      <c r="OPE293" s="148"/>
      <c r="OPF293" s="148"/>
      <c r="OPG293" s="148"/>
      <c r="OPH293" s="148"/>
      <c r="OPI293" s="148"/>
      <c r="OPJ293" s="148"/>
      <c r="OPK293" s="148"/>
      <c r="OPL293" s="148"/>
      <c r="OPM293" s="148"/>
      <c r="OPN293" s="148"/>
      <c r="OPO293" s="148"/>
      <c r="OPP293" s="148"/>
      <c r="OPQ293" s="148"/>
      <c r="OPR293" s="148"/>
      <c r="OPS293" s="148"/>
      <c r="OPT293" s="148"/>
      <c r="OPU293" s="148"/>
      <c r="OPV293" s="148"/>
      <c r="OPW293" s="148"/>
      <c r="OPX293" s="148"/>
      <c r="OPY293" s="148"/>
      <c r="OPZ293" s="148"/>
      <c r="OQA293" s="148"/>
      <c r="OQB293" s="148"/>
      <c r="OQC293" s="148"/>
      <c r="OQD293" s="148"/>
      <c r="OQE293" s="148"/>
      <c r="OQF293" s="148"/>
      <c r="OQG293" s="148"/>
      <c r="OQH293" s="148"/>
      <c r="OQI293" s="148"/>
      <c r="OQJ293" s="148"/>
      <c r="OQK293" s="148"/>
      <c r="OQL293" s="148"/>
      <c r="OQM293" s="148"/>
      <c r="OQN293" s="148"/>
      <c r="OQO293" s="148"/>
      <c r="OQP293" s="148"/>
      <c r="OQQ293" s="148"/>
      <c r="OQR293" s="148"/>
      <c r="OQS293" s="148"/>
      <c r="OQT293" s="148"/>
      <c r="OQU293" s="148"/>
      <c r="OQV293" s="148"/>
      <c r="OQW293" s="148"/>
      <c r="OQX293" s="148"/>
      <c r="OQY293" s="148"/>
      <c r="OQZ293" s="148"/>
      <c r="ORA293" s="148"/>
      <c r="ORB293" s="148"/>
      <c r="ORC293" s="148"/>
      <c r="ORD293" s="148"/>
      <c r="ORE293" s="148"/>
      <c r="ORF293" s="148"/>
      <c r="ORG293" s="148"/>
      <c r="ORH293" s="148"/>
      <c r="ORI293" s="148"/>
      <c r="ORJ293" s="148"/>
      <c r="ORK293" s="148"/>
      <c r="ORL293" s="148"/>
      <c r="ORM293" s="148"/>
      <c r="ORN293" s="148"/>
      <c r="ORO293" s="148"/>
      <c r="ORP293" s="148"/>
      <c r="ORQ293" s="148"/>
      <c r="ORR293" s="148"/>
      <c r="ORS293" s="148"/>
      <c r="ORT293" s="148"/>
      <c r="ORU293" s="148"/>
      <c r="ORV293" s="148"/>
      <c r="ORW293" s="148"/>
      <c r="ORX293" s="148"/>
      <c r="ORY293" s="148"/>
      <c r="ORZ293" s="148"/>
      <c r="OSA293" s="148"/>
      <c r="OSB293" s="148"/>
      <c r="OSC293" s="148"/>
      <c r="OSD293" s="148"/>
      <c r="OSE293" s="148"/>
      <c r="OSF293" s="148"/>
      <c r="OSG293" s="148"/>
      <c r="OSH293" s="148"/>
      <c r="OSI293" s="148"/>
      <c r="OSJ293" s="148"/>
      <c r="OSK293" s="148"/>
      <c r="OSL293" s="148"/>
      <c r="OSM293" s="148"/>
      <c r="OSN293" s="148"/>
      <c r="OSO293" s="148"/>
      <c r="OSP293" s="148"/>
      <c r="OSQ293" s="148"/>
      <c r="OSR293" s="148"/>
      <c r="OSS293" s="148"/>
      <c r="OST293" s="148"/>
      <c r="OSU293" s="148"/>
      <c r="OSV293" s="148"/>
      <c r="OSW293" s="148"/>
      <c r="OSX293" s="148"/>
      <c r="OSY293" s="148"/>
      <c r="OSZ293" s="148"/>
      <c r="OTA293" s="148"/>
      <c r="OTB293" s="148"/>
      <c r="OTC293" s="148"/>
      <c r="OTD293" s="148"/>
      <c r="OTE293" s="148"/>
      <c r="OTF293" s="148"/>
      <c r="OTG293" s="148"/>
      <c r="OTH293" s="148"/>
      <c r="OTI293" s="148"/>
      <c r="OTJ293" s="148"/>
      <c r="OTK293" s="148"/>
      <c r="OTL293" s="148"/>
      <c r="OTM293" s="148"/>
      <c r="OTN293" s="148"/>
      <c r="OTO293" s="148"/>
      <c r="OTP293" s="148"/>
      <c r="OTQ293" s="148"/>
      <c r="OTR293" s="148"/>
      <c r="OTS293" s="148"/>
      <c r="OTT293" s="148"/>
      <c r="OTU293" s="148"/>
      <c r="OTV293" s="148"/>
      <c r="OTW293" s="148"/>
      <c r="OTX293" s="148"/>
      <c r="OTY293" s="148"/>
      <c r="OTZ293" s="148"/>
      <c r="OUA293" s="148"/>
      <c r="OUB293" s="148"/>
      <c r="OUC293" s="148"/>
      <c r="OUD293" s="148"/>
      <c r="OUE293" s="148"/>
      <c r="OUF293" s="148"/>
      <c r="OUG293" s="148"/>
      <c r="OUH293" s="148"/>
      <c r="OUI293" s="148"/>
      <c r="OUJ293" s="148"/>
      <c r="OUK293" s="148"/>
      <c r="OUL293" s="148"/>
      <c r="OUM293" s="148"/>
      <c r="OUN293" s="148"/>
      <c r="OUO293" s="148"/>
      <c r="OUP293" s="148"/>
      <c r="OUQ293" s="148"/>
      <c r="OUR293" s="148"/>
      <c r="OUS293" s="148"/>
      <c r="OUT293" s="148"/>
      <c r="OUU293" s="148"/>
      <c r="OUV293" s="148"/>
      <c r="OUW293" s="148"/>
      <c r="OUX293" s="148"/>
      <c r="OUY293" s="148"/>
      <c r="OUZ293" s="148"/>
      <c r="OVA293" s="148"/>
      <c r="OVB293" s="148"/>
      <c r="OVC293" s="148"/>
      <c r="OVD293" s="148"/>
      <c r="OVE293" s="148"/>
      <c r="OVF293" s="148"/>
      <c r="OVG293" s="148"/>
      <c r="OVH293" s="148"/>
      <c r="OVI293" s="148"/>
      <c r="OVJ293" s="148"/>
      <c r="OVK293" s="148"/>
      <c r="OVL293" s="148"/>
      <c r="OVM293" s="148"/>
      <c r="OVN293" s="148"/>
      <c r="OVO293" s="148"/>
      <c r="OVP293" s="148"/>
      <c r="OVQ293" s="148"/>
      <c r="OVR293" s="148"/>
      <c r="OVS293" s="148"/>
      <c r="OVT293" s="148"/>
      <c r="OVU293" s="148"/>
      <c r="OVV293" s="148"/>
      <c r="OVW293" s="148"/>
      <c r="OVX293" s="148"/>
      <c r="OVY293" s="148"/>
      <c r="OVZ293" s="148"/>
      <c r="OWA293" s="148"/>
      <c r="OWB293" s="148"/>
      <c r="OWC293" s="148"/>
      <c r="OWD293" s="148"/>
      <c r="OWE293" s="148"/>
      <c r="OWF293" s="148"/>
      <c r="OWG293" s="148"/>
      <c r="OWH293" s="148"/>
      <c r="OWI293" s="148"/>
      <c r="OWJ293" s="148"/>
      <c r="OWK293" s="148"/>
      <c r="OWL293" s="148"/>
      <c r="OWM293" s="148"/>
      <c r="OWN293" s="148"/>
      <c r="OWO293" s="148"/>
      <c r="OWP293" s="148"/>
      <c r="OWQ293" s="148"/>
      <c r="OWR293" s="148"/>
      <c r="OWS293" s="148"/>
      <c r="OWT293" s="148"/>
      <c r="OWU293" s="148"/>
      <c r="OWV293" s="148"/>
      <c r="OWW293" s="148"/>
      <c r="OWX293" s="148"/>
      <c r="OWY293" s="148"/>
      <c r="OWZ293" s="148"/>
      <c r="OXA293" s="148"/>
      <c r="OXB293" s="148"/>
      <c r="OXC293" s="148"/>
      <c r="OXD293" s="148"/>
      <c r="OXE293" s="148"/>
      <c r="OXF293" s="148"/>
      <c r="OXG293" s="148"/>
      <c r="OXH293" s="148"/>
      <c r="OXI293" s="148"/>
      <c r="OXJ293" s="148"/>
      <c r="OXK293" s="148"/>
      <c r="OXL293" s="148"/>
      <c r="OXM293" s="148"/>
      <c r="OXN293" s="148"/>
      <c r="OXO293" s="148"/>
      <c r="OXP293" s="148"/>
      <c r="OXQ293" s="148"/>
      <c r="OXR293" s="148"/>
      <c r="OXS293" s="148"/>
      <c r="OXT293" s="148"/>
      <c r="OXU293" s="148"/>
      <c r="OXV293" s="148"/>
      <c r="OXW293" s="148"/>
      <c r="OXX293" s="148"/>
      <c r="OXY293" s="148"/>
      <c r="OXZ293" s="148"/>
      <c r="OYA293" s="148"/>
      <c r="OYB293" s="148"/>
      <c r="OYC293" s="148"/>
      <c r="OYD293" s="148"/>
      <c r="OYE293" s="148"/>
      <c r="OYF293" s="148"/>
      <c r="OYG293" s="148"/>
      <c r="OYH293" s="148"/>
      <c r="OYI293" s="148"/>
      <c r="OYJ293" s="148"/>
      <c r="OYK293" s="148"/>
      <c r="OYL293" s="148"/>
      <c r="OYM293" s="148"/>
      <c r="OYN293" s="148"/>
      <c r="OYO293" s="148"/>
      <c r="OYP293" s="148"/>
      <c r="OYQ293" s="148"/>
      <c r="OYR293" s="148"/>
      <c r="OYS293" s="148"/>
      <c r="OYT293" s="148"/>
      <c r="OYU293" s="148"/>
      <c r="OYV293" s="148"/>
      <c r="OYW293" s="148"/>
      <c r="OYX293" s="148"/>
      <c r="OYY293" s="148"/>
      <c r="OYZ293" s="148"/>
      <c r="OZA293" s="148"/>
      <c r="OZB293" s="148"/>
      <c r="OZC293" s="148"/>
      <c r="OZD293" s="148"/>
      <c r="OZE293" s="148"/>
      <c r="OZF293" s="148"/>
      <c r="OZG293" s="148"/>
      <c r="OZH293" s="148"/>
      <c r="OZI293" s="148"/>
      <c r="OZJ293" s="148"/>
      <c r="OZK293" s="148"/>
      <c r="OZL293" s="148"/>
      <c r="OZM293" s="148"/>
      <c r="OZN293" s="148"/>
      <c r="OZO293" s="148"/>
      <c r="OZP293" s="148"/>
      <c r="OZQ293" s="148"/>
      <c r="OZR293" s="148"/>
      <c r="OZS293" s="148"/>
      <c r="OZT293" s="148"/>
      <c r="OZU293" s="148"/>
      <c r="OZV293" s="148"/>
      <c r="OZW293" s="148"/>
      <c r="OZX293" s="148"/>
      <c r="OZY293" s="148"/>
      <c r="OZZ293" s="148"/>
      <c r="PAA293" s="148"/>
      <c r="PAB293" s="148"/>
      <c r="PAC293" s="148"/>
      <c r="PAD293" s="148"/>
      <c r="PAE293" s="148"/>
      <c r="PAF293" s="148"/>
      <c r="PAG293" s="148"/>
      <c r="PAH293" s="148"/>
      <c r="PAI293" s="148"/>
      <c r="PAJ293" s="148"/>
      <c r="PAK293" s="148"/>
      <c r="PAL293" s="148"/>
      <c r="PAM293" s="148"/>
      <c r="PAN293" s="148"/>
      <c r="PAO293" s="148"/>
      <c r="PAP293" s="148"/>
      <c r="PAQ293" s="148"/>
      <c r="PAR293" s="148"/>
      <c r="PAS293" s="148"/>
      <c r="PAT293" s="148"/>
      <c r="PAU293" s="148"/>
      <c r="PAV293" s="148"/>
      <c r="PAW293" s="148"/>
      <c r="PAX293" s="148"/>
      <c r="PAY293" s="148"/>
      <c r="PAZ293" s="148"/>
      <c r="PBA293" s="148"/>
      <c r="PBB293" s="148"/>
      <c r="PBC293" s="148"/>
      <c r="PBD293" s="148"/>
      <c r="PBE293" s="148"/>
      <c r="PBF293" s="148"/>
      <c r="PBG293" s="148"/>
      <c r="PBH293" s="148"/>
      <c r="PBI293" s="148"/>
      <c r="PBJ293" s="148"/>
      <c r="PBK293" s="148"/>
      <c r="PBL293" s="148"/>
      <c r="PBM293" s="148"/>
      <c r="PBN293" s="148"/>
      <c r="PBO293" s="148"/>
      <c r="PBP293" s="148"/>
      <c r="PBQ293" s="148"/>
      <c r="PBR293" s="148"/>
      <c r="PBS293" s="148"/>
      <c r="PBT293" s="148"/>
      <c r="PBU293" s="148"/>
      <c r="PBV293" s="148"/>
      <c r="PBW293" s="148"/>
      <c r="PBX293" s="148"/>
      <c r="PBY293" s="148"/>
      <c r="PBZ293" s="148"/>
      <c r="PCA293" s="148"/>
      <c r="PCB293" s="148"/>
      <c r="PCC293" s="148"/>
      <c r="PCD293" s="148"/>
      <c r="PCE293" s="148"/>
      <c r="PCF293" s="148"/>
      <c r="PCG293" s="148"/>
      <c r="PCH293" s="148"/>
      <c r="PCI293" s="148"/>
      <c r="PCJ293" s="148"/>
      <c r="PCK293" s="148"/>
      <c r="PCL293" s="148"/>
      <c r="PCM293" s="148"/>
      <c r="PCN293" s="148"/>
      <c r="PCO293" s="148"/>
      <c r="PCP293" s="148"/>
      <c r="PCQ293" s="148"/>
      <c r="PCR293" s="148"/>
      <c r="PCS293" s="148"/>
      <c r="PCT293" s="148"/>
      <c r="PCU293" s="148"/>
      <c r="PCV293" s="148"/>
      <c r="PCW293" s="148"/>
      <c r="PCX293" s="148"/>
      <c r="PCY293" s="148"/>
      <c r="PCZ293" s="148"/>
      <c r="PDA293" s="148"/>
      <c r="PDB293" s="148"/>
      <c r="PDC293" s="148"/>
      <c r="PDD293" s="148"/>
      <c r="PDE293" s="148"/>
      <c r="PDF293" s="148"/>
      <c r="PDG293" s="148"/>
      <c r="PDH293" s="148"/>
      <c r="PDI293" s="148"/>
      <c r="PDJ293" s="148"/>
      <c r="PDK293" s="148"/>
      <c r="PDL293" s="148"/>
      <c r="PDM293" s="148"/>
      <c r="PDN293" s="148"/>
      <c r="PDO293" s="148"/>
      <c r="PDP293" s="148"/>
      <c r="PDQ293" s="148"/>
      <c r="PDR293" s="148"/>
      <c r="PDS293" s="148"/>
      <c r="PDT293" s="148"/>
      <c r="PDU293" s="148"/>
      <c r="PDV293" s="148"/>
      <c r="PDW293" s="148"/>
      <c r="PDX293" s="148"/>
      <c r="PDY293" s="148"/>
      <c r="PDZ293" s="148"/>
      <c r="PEA293" s="148"/>
      <c r="PEB293" s="148"/>
      <c r="PEC293" s="148"/>
      <c r="PED293" s="148"/>
      <c r="PEE293" s="148"/>
      <c r="PEF293" s="148"/>
      <c r="PEG293" s="148"/>
      <c r="PEH293" s="148"/>
      <c r="PEI293" s="148"/>
      <c r="PEJ293" s="148"/>
      <c r="PEK293" s="148"/>
      <c r="PEL293" s="148"/>
      <c r="PEM293" s="148"/>
      <c r="PEN293" s="148"/>
      <c r="PEO293" s="148"/>
      <c r="PEP293" s="148"/>
      <c r="PEQ293" s="148"/>
      <c r="PER293" s="148"/>
      <c r="PES293" s="148"/>
      <c r="PET293" s="148"/>
      <c r="PEU293" s="148"/>
      <c r="PEV293" s="148"/>
      <c r="PEW293" s="148"/>
      <c r="PEX293" s="148"/>
      <c r="PEY293" s="148"/>
      <c r="PEZ293" s="148"/>
      <c r="PFA293" s="148"/>
      <c r="PFB293" s="148"/>
      <c r="PFC293" s="148"/>
      <c r="PFD293" s="148"/>
      <c r="PFE293" s="148"/>
      <c r="PFF293" s="148"/>
      <c r="PFG293" s="148"/>
      <c r="PFH293" s="148"/>
      <c r="PFI293" s="148"/>
      <c r="PFJ293" s="148"/>
      <c r="PFK293" s="148"/>
      <c r="PFL293" s="148"/>
      <c r="PFM293" s="148"/>
      <c r="PFN293" s="148"/>
      <c r="PFO293" s="148"/>
      <c r="PFP293" s="148"/>
      <c r="PFQ293" s="148"/>
      <c r="PFR293" s="148"/>
      <c r="PFS293" s="148"/>
      <c r="PFT293" s="148"/>
      <c r="PFU293" s="148"/>
      <c r="PFV293" s="148"/>
      <c r="PFW293" s="148"/>
      <c r="PFX293" s="148"/>
      <c r="PFY293" s="148"/>
      <c r="PFZ293" s="148"/>
      <c r="PGA293" s="148"/>
      <c r="PGB293" s="148"/>
      <c r="PGC293" s="148"/>
      <c r="PGD293" s="148"/>
      <c r="PGE293" s="148"/>
      <c r="PGF293" s="148"/>
      <c r="PGG293" s="148"/>
      <c r="PGH293" s="148"/>
      <c r="PGI293" s="148"/>
      <c r="PGJ293" s="148"/>
      <c r="PGK293" s="148"/>
      <c r="PGL293" s="148"/>
      <c r="PGM293" s="148"/>
      <c r="PGN293" s="148"/>
      <c r="PGO293" s="148"/>
      <c r="PGP293" s="148"/>
      <c r="PGQ293" s="148"/>
      <c r="PGR293" s="148"/>
      <c r="PGS293" s="148"/>
      <c r="PGT293" s="148"/>
      <c r="PGU293" s="148"/>
      <c r="PGV293" s="148"/>
      <c r="PGW293" s="148"/>
      <c r="PGX293" s="148"/>
      <c r="PGY293" s="148"/>
      <c r="PGZ293" s="148"/>
      <c r="PHA293" s="148"/>
      <c r="PHB293" s="148"/>
      <c r="PHC293" s="148"/>
      <c r="PHD293" s="148"/>
      <c r="PHE293" s="148"/>
      <c r="PHF293" s="148"/>
      <c r="PHG293" s="148"/>
      <c r="PHH293" s="148"/>
      <c r="PHI293" s="148"/>
      <c r="PHJ293" s="148"/>
      <c r="PHK293" s="148"/>
      <c r="PHL293" s="148"/>
      <c r="PHM293" s="148"/>
      <c r="PHN293" s="148"/>
      <c r="PHO293" s="148"/>
      <c r="PHP293" s="148"/>
      <c r="PHQ293" s="148"/>
      <c r="PHR293" s="148"/>
      <c r="PHS293" s="148"/>
      <c r="PHT293" s="148"/>
      <c r="PHU293" s="148"/>
      <c r="PHV293" s="148"/>
      <c r="PHW293" s="148"/>
      <c r="PHX293" s="148"/>
      <c r="PHY293" s="148"/>
      <c r="PHZ293" s="148"/>
      <c r="PIA293" s="148"/>
      <c r="PIB293" s="148"/>
      <c r="PIC293" s="148"/>
      <c r="PID293" s="148"/>
      <c r="PIE293" s="148"/>
      <c r="PIF293" s="148"/>
      <c r="PIG293" s="148"/>
      <c r="PIH293" s="148"/>
      <c r="PII293" s="148"/>
      <c r="PIJ293" s="148"/>
      <c r="PIK293" s="148"/>
      <c r="PIL293" s="148"/>
      <c r="PIM293" s="148"/>
      <c r="PIN293" s="148"/>
      <c r="PIO293" s="148"/>
      <c r="PIP293" s="148"/>
      <c r="PIQ293" s="148"/>
      <c r="PIR293" s="148"/>
      <c r="PIS293" s="148"/>
      <c r="PIT293" s="148"/>
      <c r="PIU293" s="148"/>
      <c r="PIV293" s="148"/>
      <c r="PIW293" s="148"/>
      <c r="PIX293" s="148"/>
      <c r="PIY293" s="148"/>
      <c r="PIZ293" s="148"/>
      <c r="PJA293" s="148"/>
      <c r="PJB293" s="148"/>
      <c r="PJC293" s="148"/>
      <c r="PJD293" s="148"/>
      <c r="PJE293" s="148"/>
      <c r="PJF293" s="148"/>
      <c r="PJG293" s="148"/>
      <c r="PJH293" s="148"/>
      <c r="PJI293" s="148"/>
      <c r="PJJ293" s="148"/>
      <c r="PJK293" s="148"/>
      <c r="PJL293" s="148"/>
      <c r="PJM293" s="148"/>
      <c r="PJN293" s="148"/>
      <c r="PJO293" s="148"/>
      <c r="PJP293" s="148"/>
      <c r="PJQ293" s="148"/>
      <c r="PJR293" s="148"/>
      <c r="PJS293" s="148"/>
      <c r="PJT293" s="148"/>
      <c r="PJU293" s="148"/>
      <c r="PJV293" s="148"/>
      <c r="PJW293" s="148"/>
      <c r="PJX293" s="148"/>
      <c r="PJY293" s="148"/>
      <c r="PJZ293" s="148"/>
      <c r="PKA293" s="148"/>
      <c r="PKB293" s="148"/>
      <c r="PKC293" s="148"/>
      <c r="PKD293" s="148"/>
      <c r="PKE293" s="148"/>
      <c r="PKF293" s="148"/>
      <c r="PKG293" s="148"/>
      <c r="PKH293" s="148"/>
      <c r="PKI293" s="148"/>
      <c r="PKJ293" s="148"/>
      <c r="PKK293" s="148"/>
      <c r="PKL293" s="148"/>
      <c r="PKM293" s="148"/>
      <c r="PKN293" s="148"/>
      <c r="PKO293" s="148"/>
      <c r="PKP293" s="148"/>
      <c r="PKQ293" s="148"/>
      <c r="PKR293" s="148"/>
      <c r="PKS293" s="148"/>
      <c r="PKT293" s="148"/>
      <c r="PKU293" s="148"/>
      <c r="PKV293" s="148"/>
      <c r="PKW293" s="148"/>
      <c r="PKX293" s="148"/>
      <c r="PKY293" s="148"/>
      <c r="PKZ293" s="148"/>
      <c r="PLA293" s="148"/>
      <c r="PLB293" s="148"/>
      <c r="PLC293" s="148"/>
      <c r="PLD293" s="148"/>
      <c r="PLE293" s="148"/>
      <c r="PLF293" s="148"/>
      <c r="PLG293" s="148"/>
      <c r="PLH293" s="148"/>
      <c r="PLI293" s="148"/>
      <c r="PLJ293" s="148"/>
      <c r="PLK293" s="148"/>
      <c r="PLL293" s="148"/>
      <c r="PLM293" s="148"/>
      <c r="PLN293" s="148"/>
      <c r="PLO293" s="148"/>
      <c r="PLP293" s="148"/>
      <c r="PLQ293" s="148"/>
      <c r="PLR293" s="148"/>
      <c r="PLS293" s="148"/>
      <c r="PLT293" s="148"/>
      <c r="PLU293" s="148"/>
      <c r="PLV293" s="148"/>
      <c r="PLW293" s="148"/>
      <c r="PLX293" s="148"/>
      <c r="PLY293" s="148"/>
      <c r="PLZ293" s="148"/>
      <c r="PMA293" s="148"/>
      <c r="PMB293" s="148"/>
      <c r="PMC293" s="148"/>
      <c r="PMD293" s="148"/>
      <c r="PME293" s="148"/>
      <c r="PMF293" s="148"/>
      <c r="PMG293" s="148"/>
      <c r="PMH293" s="148"/>
      <c r="PMI293" s="148"/>
      <c r="PMJ293" s="148"/>
      <c r="PMK293" s="148"/>
      <c r="PML293" s="148"/>
      <c r="PMM293" s="148"/>
      <c r="PMN293" s="148"/>
      <c r="PMO293" s="148"/>
      <c r="PMP293" s="148"/>
      <c r="PMQ293" s="148"/>
      <c r="PMR293" s="148"/>
      <c r="PMS293" s="148"/>
      <c r="PMT293" s="148"/>
      <c r="PMU293" s="148"/>
      <c r="PMV293" s="148"/>
      <c r="PMW293" s="148"/>
      <c r="PMX293" s="148"/>
      <c r="PMY293" s="148"/>
      <c r="PMZ293" s="148"/>
      <c r="PNA293" s="148"/>
      <c r="PNB293" s="148"/>
      <c r="PNC293" s="148"/>
      <c r="PND293" s="148"/>
      <c r="PNE293" s="148"/>
      <c r="PNF293" s="148"/>
      <c r="PNG293" s="148"/>
      <c r="PNH293" s="148"/>
      <c r="PNI293" s="148"/>
      <c r="PNJ293" s="148"/>
      <c r="PNK293" s="148"/>
      <c r="PNL293" s="148"/>
      <c r="PNM293" s="148"/>
      <c r="PNN293" s="148"/>
      <c r="PNO293" s="148"/>
      <c r="PNP293" s="148"/>
      <c r="PNQ293" s="148"/>
      <c r="PNR293" s="148"/>
      <c r="PNS293" s="148"/>
      <c r="PNT293" s="148"/>
      <c r="PNU293" s="148"/>
      <c r="PNV293" s="148"/>
      <c r="PNW293" s="148"/>
      <c r="PNX293" s="148"/>
      <c r="PNY293" s="148"/>
      <c r="PNZ293" s="148"/>
      <c r="POA293" s="148"/>
      <c r="POB293" s="148"/>
      <c r="POC293" s="148"/>
      <c r="POD293" s="148"/>
      <c r="POE293" s="148"/>
      <c r="POF293" s="148"/>
      <c r="POG293" s="148"/>
      <c r="POH293" s="148"/>
      <c r="POI293" s="148"/>
      <c r="POJ293" s="148"/>
      <c r="POK293" s="148"/>
      <c r="POL293" s="148"/>
      <c r="POM293" s="148"/>
      <c r="PON293" s="148"/>
      <c r="POO293" s="148"/>
      <c r="POP293" s="148"/>
      <c r="POQ293" s="148"/>
      <c r="POR293" s="148"/>
      <c r="POS293" s="148"/>
      <c r="POT293" s="148"/>
      <c r="POU293" s="148"/>
      <c r="POV293" s="148"/>
      <c r="POW293" s="148"/>
      <c r="POX293" s="148"/>
      <c r="POY293" s="148"/>
      <c r="POZ293" s="148"/>
      <c r="PPA293" s="148"/>
      <c r="PPB293" s="148"/>
      <c r="PPC293" s="148"/>
      <c r="PPD293" s="148"/>
      <c r="PPE293" s="148"/>
      <c r="PPF293" s="148"/>
      <c r="PPG293" s="148"/>
      <c r="PPH293" s="148"/>
      <c r="PPI293" s="148"/>
      <c r="PPJ293" s="148"/>
      <c r="PPK293" s="148"/>
      <c r="PPL293" s="148"/>
      <c r="PPM293" s="148"/>
      <c r="PPN293" s="148"/>
      <c r="PPO293" s="148"/>
      <c r="PPP293" s="148"/>
      <c r="PPQ293" s="148"/>
      <c r="PPR293" s="148"/>
      <c r="PPS293" s="148"/>
      <c r="PPT293" s="148"/>
      <c r="PPU293" s="148"/>
      <c r="PPV293" s="148"/>
      <c r="PPW293" s="148"/>
      <c r="PPX293" s="148"/>
      <c r="PPY293" s="148"/>
      <c r="PPZ293" s="148"/>
      <c r="PQA293" s="148"/>
      <c r="PQB293" s="148"/>
      <c r="PQC293" s="148"/>
      <c r="PQD293" s="148"/>
      <c r="PQE293" s="148"/>
      <c r="PQF293" s="148"/>
      <c r="PQG293" s="148"/>
      <c r="PQH293" s="148"/>
      <c r="PQI293" s="148"/>
      <c r="PQJ293" s="148"/>
      <c r="PQK293" s="148"/>
      <c r="PQL293" s="148"/>
      <c r="PQM293" s="148"/>
      <c r="PQN293" s="148"/>
      <c r="PQO293" s="148"/>
      <c r="PQP293" s="148"/>
      <c r="PQQ293" s="148"/>
      <c r="PQR293" s="148"/>
      <c r="PQS293" s="148"/>
      <c r="PQT293" s="148"/>
      <c r="PQU293" s="148"/>
      <c r="PQV293" s="148"/>
      <c r="PQW293" s="148"/>
      <c r="PQX293" s="148"/>
      <c r="PQY293" s="148"/>
      <c r="PQZ293" s="148"/>
      <c r="PRA293" s="148"/>
      <c r="PRB293" s="148"/>
      <c r="PRC293" s="148"/>
      <c r="PRD293" s="148"/>
      <c r="PRE293" s="148"/>
      <c r="PRF293" s="148"/>
      <c r="PRG293" s="148"/>
      <c r="PRH293" s="148"/>
      <c r="PRI293" s="148"/>
      <c r="PRJ293" s="148"/>
      <c r="PRK293" s="148"/>
      <c r="PRL293" s="148"/>
      <c r="PRM293" s="148"/>
      <c r="PRN293" s="148"/>
      <c r="PRO293" s="148"/>
      <c r="PRP293" s="148"/>
      <c r="PRQ293" s="148"/>
      <c r="PRR293" s="148"/>
      <c r="PRS293" s="148"/>
      <c r="PRT293" s="148"/>
      <c r="PRU293" s="148"/>
      <c r="PRV293" s="148"/>
      <c r="PRW293" s="148"/>
      <c r="PRX293" s="148"/>
      <c r="PRY293" s="148"/>
      <c r="PRZ293" s="148"/>
      <c r="PSA293" s="148"/>
      <c r="PSB293" s="148"/>
      <c r="PSC293" s="148"/>
      <c r="PSD293" s="148"/>
      <c r="PSE293" s="148"/>
      <c r="PSF293" s="148"/>
      <c r="PSG293" s="148"/>
      <c r="PSH293" s="148"/>
      <c r="PSI293" s="148"/>
      <c r="PSJ293" s="148"/>
      <c r="PSK293" s="148"/>
      <c r="PSL293" s="148"/>
      <c r="PSM293" s="148"/>
      <c r="PSN293" s="148"/>
      <c r="PSO293" s="148"/>
      <c r="PSP293" s="148"/>
      <c r="PSQ293" s="148"/>
      <c r="PSR293" s="148"/>
      <c r="PSS293" s="148"/>
      <c r="PST293" s="148"/>
      <c r="PSU293" s="148"/>
      <c r="PSV293" s="148"/>
      <c r="PSW293" s="148"/>
      <c r="PSX293" s="148"/>
      <c r="PSY293" s="148"/>
      <c r="PSZ293" s="148"/>
      <c r="PTA293" s="148"/>
      <c r="PTB293" s="148"/>
      <c r="PTC293" s="148"/>
      <c r="PTD293" s="148"/>
      <c r="PTE293" s="148"/>
      <c r="PTF293" s="148"/>
      <c r="PTG293" s="148"/>
      <c r="PTH293" s="148"/>
      <c r="PTI293" s="148"/>
      <c r="PTJ293" s="148"/>
      <c r="PTK293" s="148"/>
      <c r="PTL293" s="148"/>
      <c r="PTM293" s="148"/>
      <c r="PTN293" s="148"/>
      <c r="PTO293" s="148"/>
      <c r="PTP293" s="148"/>
      <c r="PTQ293" s="148"/>
      <c r="PTR293" s="148"/>
      <c r="PTS293" s="148"/>
      <c r="PTT293" s="148"/>
      <c r="PTU293" s="148"/>
      <c r="PTV293" s="148"/>
      <c r="PTW293" s="148"/>
      <c r="PTX293" s="148"/>
      <c r="PTY293" s="148"/>
      <c r="PTZ293" s="148"/>
      <c r="PUA293" s="148"/>
      <c r="PUB293" s="148"/>
      <c r="PUC293" s="148"/>
      <c r="PUD293" s="148"/>
      <c r="PUE293" s="148"/>
      <c r="PUF293" s="148"/>
      <c r="PUG293" s="148"/>
      <c r="PUH293" s="148"/>
      <c r="PUI293" s="148"/>
      <c r="PUJ293" s="148"/>
      <c r="PUK293" s="148"/>
      <c r="PUL293" s="148"/>
      <c r="PUM293" s="148"/>
      <c r="PUN293" s="148"/>
      <c r="PUO293" s="148"/>
      <c r="PUP293" s="148"/>
      <c r="PUQ293" s="148"/>
      <c r="PUR293" s="148"/>
      <c r="PUS293" s="148"/>
      <c r="PUT293" s="148"/>
      <c r="PUU293" s="148"/>
      <c r="PUV293" s="148"/>
      <c r="PUW293" s="148"/>
      <c r="PUX293" s="148"/>
      <c r="PUY293" s="148"/>
      <c r="PUZ293" s="148"/>
      <c r="PVA293" s="148"/>
      <c r="PVB293" s="148"/>
      <c r="PVC293" s="148"/>
      <c r="PVD293" s="148"/>
      <c r="PVE293" s="148"/>
      <c r="PVF293" s="148"/>
      <c r="PVG293" s="148"/>
      <c r="PVH293" s="148"/>
      <c r="PVI293" s="148"/>
      <c r="PVJ293" s="148"/>
      <c r="PVK293" s="148"/>
      <c r="PVL293" s="148"/>
      <c r="PVM293" s="148"/>
      <c r="PVN293" s="148"/>
      <c r="PVO293" s="148"/>
      <c r="PVP293" s="148"/>
      <c r="PVQ293" s="148"/>
      <c r="PVR293" s="148"/>
      <c r="PVS293" s="148"/>
      <c r="PVT293" s="148"/>
      <c r="PVU293" s="148"/>
      <c r="PVV293" s="148"/>
      <c r="PVW293" s="148"/>
      <c r="PVX293" s="148"/>
      <c r="PVY293" s="148"/>
      <c r="PVZ293" s="148"/>
      <c r="PWA293" s="148"/>
      <c r="PWB293" s="148"/>
      <c r="PWC293" s="148"/>
      <c r="PWD293" s="148"/>
      <c r="PWE293" s="148"/>
      <c r="PWF293" s="148"/>
      <c r="PWG293" s="148"/>
      <c r="PWH293" s="148"/>
      <c r="PWI293" s="148"/>
      <c r="PWJ293" s="148"/>
      <c r="PWK293" s="148"/>
      <c r="PWL293" s="148"/>
      <c r="PWM293" s="148"/>
      <c r="PWN293" s="148"/>
      <c r="PWO293" s="148"/>
      <c r="PWP293" s="148"/>
      <c r="PWQ293" s="148"/>
      <c r="PWR293" s="148"/>
      <c r="PWS293" s="148"/>
      <c r="PWT293" s="148"/>
      <c r="PWU293" s="148"/>
      <c r="PWV293" s="148"/>
      <c r="PWW293" s="148"/>
      <c r="PWX293" s="148"/>
      <c r="PWY293" s="148"/>
      <c r="PWZ293" s="148"/>
      <c r="PXA293" s="148"/>
      <c r="PXB293" s="148"/>
      <c r="PXC293" s="148"/>
      <c r="PXD293" s="148"/>
      <c r="PXE293" s="148"/>
      <c r="PXF293" s="148"/>
      <c r="PXG293" s="148"/>
      <c r="PXH293" s="148"/>
      <c r="PXI293" s="148"/>
      <c r="PXJ293" s="148"/>
      <c r="PXK293" s="148"/>
      <c r="PXL293" s="148"/>
      <c r="PXM293" s="148"/>
      <c r="PXN293" s="148"/>
      <c r="PXO293" s="148"/>
      <c r="PXP293" s="148"/>
      <c r="PXQ293" s="148"/>
      <c r="PXR293" s="148"/>
      <c r="PXS293" s="148"/>
      <c r="PXT293" s="148"/>
      <c r="PXU293" s="148"/>
      <c r="PXV293" s="148"/>
      <c r="PXW293" s="148"/>
      <c r="PXX293" s="148"/>
      <c r="PXY293" s="148"/>
      <c r="PXZ293" s="148"/>
      <c r="PYA293" s="148"/>
      <c r="PYB293" s="148"/>
      <c r="PYC293" s="148"/>
      <c r="PYD293" s="148"/>
      <c r="PYE293" s="148"/>
      <c r="PYF293" s="148"/>
      <c r="PYG293" s="148"/>
      <c r="PYH293" s="148"/>
      <c r="PYI293" s="148"/>
      <c r="PYJ293" s="148"/>
      <c r="PYK293" s="148"/>
      <c r="PYL293" s="148"/>
      <c r="PYM293" s="148"/>
      <c r="PYN293" s="148"/>
      <c r="PYO293" s="148"/>
      <c r="PYP293" s="148"/>
      <c r="PYQ293" s="148"/>
      <c r="PYR293" s="148"/>
      <c r="PYS293" s="148"/>
      <c r="PYT293" s="148"/>
      <c r="PYU293" s="148"/>
      <c r="PYV293" s="148"/>
      <c r="PYW293" s="148"/>
      <c r="PYX293" s="148"/>
      <c r="PYY293" s="148"/>
      <c r="PYZ293" s="148"/>
      <c r="PZA293" s="148"/>
      <c r="PZB293" s="148"/>
      <c r="PZC293" s="148"/>
      <c r="PZD293" s="148"/>
      <c r="PZE293" s="148"/>
      <c r="PZF293" s="148"/>
      <c r="PZG293" s="148"/>
      <c r="PZH293" s="148"/>
      <c r="PZI293" s="148"/>
      <c r="PZJ293" s="148"/>
      <c r="PZK293" s="148"/>
      <c r="PZL293" s="148"/>
      <c r="PZM293" s="148"/>
      <c r="PZN293" s="148"/>
      <c r="PZO293" s="148"/>
      <c r="PZP293" s="148"/>
      <c r="PZQ293" s="148"/>
      <c r="PZR293" s="148"/>
      <c r="PZS293" s="148"/>
      <c r="PZT293" s="148"/>
      <c r="PZU293" s="148"/>
      <c r="PZV293" s="148"/>
      <c r="PZW293" s="148"/>
      <c r="PZX293" s="148"/>
      <c r="PZY293" s="148"/>
      <c r="PZZ293" s="148"/>
      <c r="QAA293" s="148"/>
      <c r="QAB293" s="148"/>
      <c r="QAC293" s="148"/>
      <c r="QAD293" s="148"/>
      <c r="QAE293" s="148"/>
      <c r="QAF293" s="148"/>
      <c r="QAG293" s="148"/>
      <c r="QAH293" s="148"/>
      <c r="QAI293" s="148"/>
      <c r="QAJ293" s="148"/>
      <c r="QAK293" s="148"/>
      <c r="QAL293" s="148"/>
      <c r="QAM293" s="148"/>
      <c r="QAN293" s="148"/>
      <c r="QAO293" s="148"/>
      <c r="QAP293" s="148"/>
      <c r="QAQ293" s="148"/>
      <c r="QAR293" s="148"/>
      <c r="QAS293" s="148"/>
      <c r="QAT293" s="148"/>
      <c r="QAU293" s="148"/>
      <c r="QAV293" s="148"/>
      <c r="QAW293" s="148"/>
      <c r="QAX293" s="148"/>
      <c r="QAY293" s="148"/>
      <c r="QAZ293" s="148"/>
      <c r="QBA293" s="148"/>
      <c r="QBB293" s="148"/>
      <c r="QBC293" s="148"/>
      <c r="QBD293" s="148"/>
      <c r="QBE293" s="148"/>
      <c r="QBF293" s="148"/>
      <c r="QBG293" s="148"/>
      <c r="QBH293" s="148"/>
      <c r="QBI293" s="148"/>
      <c r="QBJ293" s="148"/>
      <c r="QBK293" s="148"/>
      <c r="QBL293" s="148"/>
      <c r="QBM293" s="148"/>
      <c r="QBN293" s="148"/>
      <c r="QBO293" s="148"/>
      <c r="QBP293" s="148"/>
      <c r="QBQ293" s="148"/>
      <c r="QBR293" s="148"/>
      <c r="QBS293" s="148"/>
      <c r="QBT293" s="148"/>
      <c r="QBU293" s="148"/>
      <c r="QBV293" s="148"/>
      <c r="QBW293" s="148"/>
      <c r="QBX293" s="148"/>
      <c r="QBY293" s="148"/>
      <c r="QBZ293" s="148"/>
      <c r="QCA293" s="148"/>
      <c r="QCB293" s="148"/>
      <c r="QCC293" s="148"/>
      <c r="QCD293" s="148"/>
      <c r="QCE293" s="148"/>
      <c r="QCF293" s="148"/>
      <c r="QCG293" s="148"/>
      <c r="QCH293" s="148"/>
      <c r="QCI293" s="148"/>
      <c r="QCJ293" s="148"/>
      <c r="QCK293" s="148"/>
      <c r="QCL293" s="148"/>
      <c r="QCM293" s="148"/>
      <c r="QCN293" s="148"/>
      <c r="QCO293" s="148"/>
      <c r="QCP293" s="148"/>
      <c r="QCQ293" s="148"/>
      <c r="QCR293" s="148"/>
      <c r="QCS293" s="148"/>
      <c r="QCT293" s="148"/>
      <c r="QCU293" s="148"/>
      <c r="QCV293" s="148"/>
      <c r="QCW293" s="148"/>
      <c r="QCX293" s="148"/>
      <c r="QCY293" s="148"/>
      <c r="QCZ293" s="148"/>
      <c r="QDA293" s="148"/>
      <c r="QDB293" s="148"/>
      <c r="QDC293" s="148"/>
      <c r="QDD293" s="148"/>
      <c r="QDE293" s="148"/>
      <c r="QDF293" s="148"/>
      <c r="QDG293" s="148"/>
      <c r="QDH293" s="148"/>
      <c r="QDI293" s="148"/>
      <c r="QDJ293" s="148"/>
      <c r="QDK293" s="148"/>
      <c r="QDL293" s="148"/>
      <c r="QDM293" s="148"/>
      <c r="QDN293" s="148"/>
      <c r="QDO293" s="148"/>
      <c r="QDP293" s="148"/>
      <c r="QDQ293" s="148"/>
      <c r="QDR293" s="148"/>
      <c r="QDS293" s="148"/>
      <c r="QDT293" s="148"/>
      <c r="QDU293" s="148"/>
      <c r="QDV293" s="148"/>
      <c r="QDW293" s="148"/>
      <c r="QDX293" s="148"/>
      <c r="QDY293" s="148"/>
      <c r="QDZ293" s="148"/>
      <c r="QEA293" s="148"/>
      <c r="QEB293" s="148"/>
      <c r="QEC293" s="148"/>
      <c r="QED293" s="148"/>
      <c r="QEE293" s="148"/>
      <c r="QEF293" s="148"/>
      <c r="QEG293" s="148"/>
      <c r="QEH293" s="148"/>
      <c r="QEI293" s="148"/>
      <c r="QEJ293" s="148"/>
      <c r="QEK293" s="148"/>
      <c r="QEL293" s="148"/>
      <c r="QEM293" s="148"/>
      <c r="QEN293" s="148"/>
      <c r="QEO293" s="148"/>
      <c r="QEP293" s="148"/>
      <c r="QEQ293" s="148"/>
      <c r="QER293" s="148"/>
      <c r="QES293" s="148"/>
      <c r="QET293" s="148"/>
      <c r="QEU293" s="148"/>
      <c r="QEV293" s="148"/>
      <c r="QEW293" s="148"/>
      <c r="QEX293" s="148"/>
      <c r="QEY293" s="148"/>
      <c r="QEZ293" s="148"/>
      <c r="QFA293" s="148"/>
      <c r="QFB293" s="148"/>
      <c r="QFC293" s="148"/>
      <c r="QFD293" s="148"/>
      <c r="QFE293" s="148"/>
      <c r="QFF293" s="148"/>
      <c r="QFG293" s="148"/>
      <c r="QFH293" s="148"/>
      <c r="QFI293" s="148"/>
      <c r="QFJ293" s="148"/>
      <c r="QFK293" s="148"/>
      <c r="QFL293" s="148"/>
      <c r="QFM293" s="148"/>
      <c r="QFN293" s="148"/>
      <c r="QFO293" s="148"/>
      <c r="QFP293" s="148"/>
      <c r="QFQ293" s="148"/>
      <c r="QFR293" s="148"/>
      <c r="QFS293" s="148"/>
      <c r="QFT293" s="148"/>
      <c r="QFU293" s="148"/>
      <c r="QFV293" s="148"/>
      <c r="QFW293" s="148"/>
      <c r="QFX293" s="148"/>
      <c r="QFY293" s="148"/>
      <c r="QFZ293" s="148"/>
      <c r="QGA293" s="148"/>
      <c r="QGB293" s="148"/>
      <c r="QGC293" s="148"/>
      <c r="QGD293" s="148"/>
      <c r="QGE293" s="148"/>
      <c r="QGF293" s="148"/>
      <c r="QGG293" s="148"/>
      <c r="QGH293" s="148"/>
      <c r="QGI293" s="148"/>
      <c r="QGJ293" s="148"/>
      <c r="QGK293" s="148"/>
      <c r="QGL293" s="148"/>
      <c r="QGM293" s="148"/>
      <c r="QGN293" s="148"/>
      <c r="QGO293" s="148"/>
      <c r="QGP293" s="148"/>
      <c r="QGQ293" s="148"/>
      <c r="QGR293" s="148"/>
      <c r="QGS293" s="148"/>
      <c r="QGT293" s="148"/>
      <c r="QGU293" s="148"/>
      <c r="QGV293" s="148"/>
      <c r="QGW293" s="148"/>
      <c r="QGX293" s="148"/>
      <c r="QGY293" s="148"/>
      <c r="QGZ293" s="148"/>
      <c r="QHA293" s="148"/>
      <c r="QHB293" s="148"/>
      <c r="QHC293" s="148"/>
      <c r="QHD293" s="148"/>
      <c r="QHE293" s="148"/>
      <c r="QHF293" s="148"/>
      <c r="QHG293" s="148"/>
      <c r="QHH293" s="148"/>
      <c r="QHI293" s="148"/>
      <c r="QHJ293" s="148"/>
      <c r="QHK293" s="148"/>
      <c r="QHL293" s="148"/>
      <c r="QHM293" s="148"/>
      <c r="QHN293" s="148"/>
      <c r="QHO293" s="148"/>
      <c r="QHP293" s="148"/>
      <c r="QHQ293" s="148"/>
      <c r="QHR293" s="148"/>
      <c r="QHS293" s="148"/>
      <c r="QHT293" s="148"/>
      <c r="QHU293" s="148"/>
      <c r="QHV293" s="148"/>
      <c r="QHW293" s="148"/>
      <c r="QHX293" s="148"/>
      <c r="QHY293" s="148"/>
      <c r="QHZ293" s="148"/>
      <c r="QIA293" s="148"/>
      <c r="QIB293" s="148"/>
      <c r="QIC293" s="148"/>
      <c r="QID293" s="148"/>
      <c r="QIE293" s="148"/>
      <c r="QIF293" s="148"/>
      <c r="QIG293" s="148"/>
      <c r="QIH293" s="148"/>
      <c r="QII293" s="148"/>
      <c r="QIJ293" s="148"/>
      <c r="QIK293" s="148"/>
      <c r="QIL293" s="148"/>
      <c r="QIM293" s="148"/>
      <c r="QIN293" s="148"/>
      <c r="QIO293" s="148"/>
      <c r="QIP293" s="148"/>
      <c r="QIQ293" s="148"/>
      <c r="QIR293" s="148"/>
      <c r="QIS293" s="148"/>
      <c r="QIT293" s="148"/>
      <c r="QIU293" s="148"/>
      <c r="QIV293" s="148"/>
      <c r="QIW293" s="148"/>
      <c r="QIX293" s="148"/>
      <c r="QIY293" s="148"/>
      <c r="QIZ293" s="148"/>
      <c r="QJA293" s="148"/>
      <c r="QJB293" s="148"/>
      <c r="QJC293" s="148"/>
      <c r="QJD293" s="148"/>
      <c r="QJE293" s="148"/>
      <c r="QJF293" s="148"/>
      <c r="QJG293" s="148"/>
      <c r="QJH293" s="148"/>
      <c r="QJI293" s="148"/>
      <c r="QJJ293" s="148"/>
      <c r="QJK293" s="148"/>
      <c r="QJL293" s="148"/>
      <c r="QJM293" s="148"/>
      <c r="QJN293" s="148"/>
      <c r="QJO293" s="148"/>
      <c r="QJP293" s="148"/>
      <c r="QJQ293" s="148"/>
      <c r="QJR293" s="148"/>
      <c r="QJS293" s="148"/>
      <c r="QJT293" s="148"/>
      <c r="QJU293" s="148"/>
      <c r="QJV293" s="148"/>
      <c r="QJW293" s="148"/>
      <c r="QJX293" s="148"/>
      <c r="QJY293" s="148"/>
      <c r="QJZ293" s="148"/>
      <c r="QKA293" s="148"/>
      <c r="QKB293" s="148"/>
      <c r="QKC293" s="148"/>
      <c r="QKD293" s="148"/>
      <c r="QKE293" s="148"/>
      <c r="QKF293" s="148"/>
      <c r="QKG293" s="148"/>
      <c r="QKH293" s="148"/>
      <c r="QKI293" s="148"/>
      <c r="QKJ293" s="148"/>
      <c r="QKK293" s="148"/>
      <c r="QKL293" s="148"/>
      <c r="QKM293" s="148"/>
      <c r="QKN293" s="148"/>
      <c r="QKO293" s="148"/>
      <c r="QKP293" s="148"/>
      <c r="QKQ293" s="148"/>
      <c r="QKR293" s="148"/>
      <c r="QKS293" s="148"/>
      <c r="QKT293" s="148"/>
      <c r="QKU293" s="148"/>
      <c r="QKV293" s="148"/>
      <c r="QKW293" s="148"/>
      <c r="QKX293" s="148"/>
      <c r="QKY293" s="148"/>
      <c r="QKZ293" s="148"/>
      <c r="QLA293" s="148"/>
      <c r="QLB293" s="148"/>
      <c r="QLC293" s="148"/>
      <c r="QLD293" s="148"/>
      <c r="QLE293" s="148"/>
      <c r="QLF293" s="148"/>
      <c r="QLG293" s="148"/>
      <c r="QLH293" s="148"/>
      <c r="QLI293" s="148"/>
      <c r="QLJ293" s="148"/>
      <c r="QLK293" s="148"/>
      <c r="QLL293" s="148"/>
      <c r="QLM293" s="148"/>
      <c r="QLN293" s="148"/>
      <c r="QLO293" s="148"/>
      <c r="QLP293" s="148"/>
      <c r="QLQ293" s="148"/>
      <c r="QLR293" s="148"/>
      <c r="QLS293" s="148"/>
      <c r="QLT293" s="148"/>
      <c r="QLU293" s="148"/>
      <c r="QLV293" s="148"/>
      <c r="QLW293" s="148"/>
      <c r="QLX293" s="148"/>
      <c r="QLY293" s="148"/>
      <c r="QLZ293" s="148"/>
      <c r="QMA293" s="148"/>
      <c r="QMB293" s="148"/>
      <c r="QMC293" s="148"/>
      <c r="QMD293" s="148"/>
      <c r="QME293" s="148"/>
      <c r="QMF293" s="148"/>
      <c r="QMG293" s="148"/>
      <c r="QMH293" s="148"/>
      <c r="QMI293" s="148"/>
      <c r="QMJ293" s="148"/>
      <c r="QMK293" s="148"/>
      <c r="QML293" s="148"/>
      <c r="QMM293" s="148"/>
      <c r="QMN293" s="148"/>
      <c r="QMO293" s="148"/>
      <c r="QMP293" s="148"/>
      <c r="QMQ293" s="148"/>
      <c r="QMR293" s="148"/>
      <c r="QMS293" s="148"/>
      <c r="QMT293" s="148"/>
      <c r="QMU293" s="148"/>
      <c r="QMV293" s="148"/>
      <c r="QMW293" s="148"/>
      <c r="QMX293" s="148"/>
      <c r="QMY293" s="148"/>
      <c r="QMZ293" s="148"/>
      <c r="QNA293" s="148"/>
      <c r="QNB293" s="148"/>
      <c r="QNC293" s="148"/>
      <c r="QND293" s="148"/>
      <c r="QNE293" s="148"/>
      <c r="QNF293" s="148"/>
      <c r="QNG293" s="148"/>
      <c r="QNH293" s="148"/>
      <c r="QNI293" s="148"/>
      <c r="QNJ293" s="148"/>
      <c r="QNK293" s="148"/>
      <c r="QNL293" s="148"/>
      <c r="QNM293" s="148"/>
      <c r="QNN293" s="148"/>
      <c r="QNO293" s="148"/>
      <c r="QNP293" s="148"/>
      <c r="QNQ293" s="148"/>
      <c r="QNR293" s="148"/>
      <c r="QNS293" s="148"/>
      <c r="QNT293" s="148"/>
      <c r="QNU293" s="148"/>
      <c r="QNV293" s="148"/>
      <c r="QNW293" s="148"/>
      <c r="QNX293" s="148"/>
      <c r="QNY293" s="148"/>
      <c r="QNZ293" s="148"/>
      <c r="QOA293" s="148"/>
      <c r="QOB293" s="148"/>
      <c r="QOC293" s="148"/>
      <c r="QOD293" s="148"/>
      <c r="QOE293" s="148"/>
      <c r="QOF293" s="148"/>
      <c r="QOG293" s="148"/>
      <c r="QOH293" s="148"/>
      <c r="QOI293" s="148"/>
      <c r="QOJ293" s="148"/>
      <c r="QOK293" s="148"/>
      <c r="QOL293" s="148"/>
      <c r="QOM293" s="148"/>
      <c r="QON293" s="148"/>
      <c r="QOO293" s="148"/>
      <c r="QOP293" s="148"/>
      <c r="QOQ293" s="148"/>
      <c r="QOR293" s="148"/>
      <c r="QOS293" s="148"/>
      <c r="QOT293" s="148"/>
      <c r="QOU293" s="148"/>
      <c r="QOV293" s="148"/>
      <c r="QOW293" s="148"/>
      <c r="QOX293" s="148"/>
      <c r="QOY293" s="148"/>
      <c r="QOZ293" s="148"/>
      <c r="QPA293" s="148"/>
      <c r="QPB293" s="148"/>
      <c r="QPC293" s="148"/>
      <c r="QPD293" s="148"/>
      <c r="QPE293" s="148"/>
      <c r="QPF293" s="148"/>
      <c r="QPG293" s="148"/>
      <c r="QPH293" s="148"/>
      <c r="QPI293" s="148"/>
      <c r="QPJ293" s="148"/>
      <c r="QPK293" s="148"/>
      <c r="QPL293" s="148"/>
      <c r="QPM293" s="148"/>
      <c r="QPN293" s="148"/>
      <c r="QPO293" s="148"/>
      <c r="QPP293" s="148"/>
      <c r="QPQ293" s="148"/>
      <c r="QPR293" s="148"/>
      <c r="QPS293" s="148"/>
      <c r="QPT293" s="148"/>
      <c r="QPU293" s="148"/>
      <c r="QPV293" s="148"/>
      <c r="QPW293" s="148"/>
      <c r="QPX293" s="148"/>
      <c r="QPY293" s="148"/>
      <c r="QPZ293" s="148"/>
      <c r="QQA293" s="148"/>
      <c r="QQB293" s="148"/>
      <c r="QQC293" s="148"/>
      <c r="QQD293" s="148"/>
      <c r="QQE293" s="148"/>
      <c r="QQF293" s="148"/>
      <c r="QQG293" s="148"/>
      <c r="QQH293" s="148"/>
      <c r="QQI293" s="148"/>
      <c r="QQJ293" s="148"/>
      <c r="QQK293" s="148"/>
      <c r="QQL293" s="148"/>
      <c r="QQM293" s="148"/>
      <c r="QQN293" s="148"/>
      <c r="QQO293" s="148"/>
      <c r="QQP293" s="148"/>
      <c r="QQQ293" s="148"/>
      <c r="QQR293" s="148"/>
      <c r="QQS293" s="148"/>
      <c r="QQT293" s="148"/>
      <c r="QQU293" s="148"/>
      <c r="QQV293" s="148"/>
      <c r="QQW293" s="148"/>
      <c r="QQX293" s="148"/>
      <c r="QQY293" s="148"/>
      <c r="QQZ293" s="148"/>
      <c r="QRA293" s="148"/>
      <c r="QRB293" s="148"/>
      <c r="QRC293" s="148"/>
      <c r="QRD293" s="148"/>
      <c r="QRE293" s="148"/>
      <c r="QRF293" s="148"/>
      <c r="QRG293" s="148"/>
      <c r="QRH293" s="148"/>
      <c r="QRI293" s="148"/>
      <c r="QRJ293" s="148"/>
      <c r="QRK293" s="148"/>
      <c r="QRL293" s="148"/>
      <c r="QRM293" s="148"/>
      <c r="QRN293" s="148"/>
      <c r="QRO293" s="148"/>
      <c r="QRP293" s="148"/>
      <c r="QRQ293" s="148"/>
      <c r="QRR293" s="148"/>
      <c r="QRS293" s="148"/>
      <c r="QRT293" s="148"/>
      <c r="QRU293" s="148"/>
      <c r="QRV293" s="148"/>
      <c r="QRW293" s="148"/>
      <c r="QRX293" s="148"/>
      <c r="QRY293" s="148"/>
      <c r="QRZ293" s="148"/>
      <c r="QSA293" s="148"/>
      <c r="QSB293" s="148"/>
      <c r="QSC293" s="148"/>
      <c r="QSD293" s="148"/>
      <c r="QSE293" s="148"/>
      <c r="QSF293" s="148"/>
      <c r="QSG293" s="148"/>
      <c r="QSH293" s="148"/>
      <c r="QSI293" s="148"/>
      <c r="QSJ293" s="148"/>
      <c r="QSK293" s="148"/>
      <c r="QSL293" s="148"/>
      <c r="QSM293" s="148"/>
      <c r="QSN293" s="148"/>
      <c r="QSO293" s="148"/>
      <c r="QSP293" s="148"/>
      <c r="QSQ293" s="148"/>
      <c r="QSR293" s="148"/>
      <c r="QSS293" s="148"/>
      <c r="QST293" s="148"/>
      <c r="QSU293" s="148"/>
      <c r="QSV293" s="148"/>
      <c r="QSW293" s="148"/>
      <c r="QSX293" s="148"/>
      <c r="QSY293" s="148"/>
      <c r="QSZ293" s="148"/>
      <c r="QTA293" s="148"/>
      <c r="QTB293" s="148"/>
      <c r="QTC293" s="148"/>
      <c r="QTD293" s="148"/>
      <c r="QTE293" s="148"/>
      <c r="QTF293" s="148"/>
      <c r="QTG293" s="148"/>
      <c r="QTH293" s="148"/>
      <c r="QTI293" s="148"/>
      <c r="QTJ293" s="148"/>
      <c r="QTK293" s="148"/>
      <c r="QTL293" s="148"/>
      <c r="QTM293" s="148"/>
      <c r="QTN293" s="148"/>
      <c r="QTO293" s="148"/>
      <c r="QTP293" s="148"/>
      <c r="QTQ293" s="148"/>
      <c r="QTR293" s="148"/>
      <c r="QTS293" s="148"/>
      <c r="QTT293" s="148"/>
      <c r="QTU293" s="148"/>
      <c r="QTV293" s="148"/>
      <c r="QTW293" s="148"/>
      <c r="QTX293" s="148"/>
      <c r="QTY293" s="148"/>
      <c r="QTZ293" s="148"/>
      <c r="QUA293" s="148"/>
      <c r="QUB293" s="148"/>
      <c r="QUC293" s="148"/>
      <c r="QUD293" s="148"/>
      <c r="QUE293" s="148"/>
      <c r="QUF293" s="148"/>
      <c r="QUG293" s="148"/>
      <c r="QUH293" s="148"/>
      <c r="QUI293" s="148"/>
      <c r="QUJ293" s="148"/>
      <c r="QUK293" s="148"/>
      <c r="QUL293" s="148"/>
      <c r="QUM293" s="148"/>
      <c r="QUN293" s="148"/>
      <c r="QUO293" s="148"/>
      <c r="QUP293" s="148"/>
      <c r="QUQ293" s="148"/>
      <c r="QUR293" s="148"/>
      <c r="QUS293" s="148"/>
      <c r="QUT293" s="148"/>
      <c r="QUU293" s="148"/>
      <c r="QUV293" s="148"/>
      <c r="QUW293" s="148"/>
      <c r="QUX293" s="148"/>
      <c r="QUY293" s="148"/>
      <c r="QUZ293" s="148"/>
      <c r="QVA293" s="148"/>
      <c r="QVB293" s="148"/>
      <c r="QVC293" s="148"/>
      <c r="QVD293" s="148"/>
      <c r="QVE293" s="148"/>
      <c r="QVF293" s="148"/>
      <c r="QVG293" s="148"/>
      <c r="QVH293" s="148"/>
      <c r="QVI293" s="148"/>
      <c r="QVJ293" s="148"/>
      <c r="QVK293" s="148"/>
      <c r="QVL293" s="148"/>
      <c r="QVM293" s="148"/>
      <c r="QVN293" s="148"/>
      <c r="QVO293" s="148"/>
      <c r="QVP293" s="148"/>
      <c r="QVQ293" s="148"/>
      <c r="QVR293" s="148"/>
      <c r="QVS293" s="148"/>
      <c r="QVT293" s="148"/>
      <c r="QVU293" s="148"/>
      <c r="QVV293" s="148"/>
      <c r="QVW293" s="148"/>
      <c r="QVX293" s="148"/>
      <c r="QVY293" s="148"/>
      <c r="QVZ293" s="148"/>
      <c r="QWA293" s="148"/>
      <c r="QWB293" s="148"/>
      <c r="QWC293" s="148"/>
      <c r="QWD293" s="148"/>
      <c r="QWE293" s="148"/>
      <c r="QWF293" s="148"/>
      <c r="QWG293" s="148"/>
      <c r="QWH293" s="148"/>
      <c r="QWI293" s="148"/>
      <c r="QWJ293" s="148"/>
      <c r="QWK293" s="148"/>
      <c r="QWL293" s="148"/>
      <c r="QWM293" s="148"/>
      <c r="QWN293" s="148"/>
      <c r="QWO293" s="148"/>
      <c r="QWP293" s="148"/>
      <c r="QWQ293" s="148"/>
      <c r="QWR293" s="148"/>
      <c r="QWS293" s="148"/>
      <c r="QWT293" s="148"/>
      <c r="QWU293" s="148"/>
      <c r="QWV293" s="148"/>
      <c r="QWW293" s="148"/>
      <c r="QWX293" s="148"/>
      <c r="QWY293" s="148"/>
      <c r="QWZ293" s="148"/>
      <c r="QXA293" s="148"/>
      <c r="QXB293" s="148"/>
      <c r="QXC293" s="148"/>
      <c r="QXD293" s="148"/>
      <c r="QXE293" s="148"/>
      <c r="QXF293" s="148"/>
      <c r="QXG293" s="148"/>
      <c r="QXH293" s="148"/>
      <c r="QXI293" s="148"/>
      <c r="QXJ293" s="148"/>
      <c r="QXK293" s="148"/>
      <c r="QXL293" s="148"/>
      <c r="QXM293" s="148"/>
      <c r="QXN293" s="148"/>
      <c r="QXO293" s="148"/>
      <c r="QXP293" s="148"/>
      <c r="QXQ293" s="148"/>
      <c r="QXR293" s="148"/>
      <c r="QXS293" s="148"/>
      <c r="QXT293" s="148"/>
      <c r="QXU293" s="148"/>
      <c r="QXV293" s="148"/>
      <c r="QXW293" s="148"/>
      <c r="QXX293" s="148"/>
      <c r="QXY293" s="148"/>
      <c r="QXZ293" s="148"/>
      <c r="QYA293" s="148"/>
      <c r="QYB293" s="148"/>
      <c r="QYC293" s="148"/>
      <c r="QYD293" s="148"/>
      <c r="QYE293" s="148"/>
      <c r="QYF293" s="148"/>
      <c r="QYG293" s="148"/>
      <c r="QYH293" s="148"/>
      <c r="QYI293" s="148"/>
      <c r="QYJ293" s="148"/>
      <c r="QYK293" s="148"/>
      <c r="QYL293" s="148"/>
      <c r="QYM293" s="148"/>
      <c r="QYN293" s="148"/>
      <c r="QYO293" s="148"/>
      <c r="QYP293" s="148"/>
      <c r="QYQ293" s="148"/>
      <c r="QYR293" s="148"/>
      <c r="QYS293" s="148"/>
      <c r="QYT293" s="148"/>
      <c r="QYU293" s="148"/>
      <c r="QYV293" s="148"/>
      <c r="QYW293" s="148"/>
      <c r="QYX293" s="148"/>
      <c r="QYY293" s="148"/>
      <c r="QYZ293" s="148"/>
      <c r="QZA293" s="148"/>
      <c r="QZB293" s="148"/>
      <c r="QZC293" s="148"/>
      <c r="QZD293" s="148"/>
      <c r="QZE293" s="148"/>
      <c r="QZF293" s="148"/>
      <c r="QZG293" s="148"/>
      <c r="QZH293" s="148"/>
      <c r="QZI293" s="148"/>
      <c r="QZJ293" s="148"/>
      <c r="QZK293" s="148"/>
      <c r="QZL293" s="148"/>
      <c r="QZM293" s="148"/>
      <c r="QZN293" s="148"/>
      <c r="QZO293" s="148"/>
      <c r="QZP293" s="148"/>
      <c r="QZQ293" s="148"/>
      <c r="QZR293" s="148"/>
      <c r="QZS293" s="148"/>
      <c r="QZT293" s="148"/>
      <c r="QZU293" s="148"/>
      <c r="QZV293" s="148"/>
      <c r="QZW293" s="148"/>
      <c r="QZX293" s="148"/>
      <c r="QZY293" s="148"/>
      <c r="QZZ293" s="148"/>
      <c r="RAA293" s="148"/>
      <c r="RAB293" s="148"/>
      <c r="RAC293" s="148"/>
      <c r="RAD293" s="148"/>
      <c r="RAE293" s="148"/>
      <c r="RAF293" s="148"/>
      <c r="RAG293" s="148"/>
      <c r="RAH293" s="148"/>
      <c r="RAI293" s="148"/>
      <c r="RAJ293" s="148"/>
      <c r="RAK293" s="148"/>
      <c r="RAL293" s="148"/>
      <c r="RAM293" s="148"/>
      <c r="RAN293" s="148"/>
      <c r="RAO293" s="148"/>
      <c r="RAP293" s="148"/>
      <c r="RAQ293" s="148"/>
      <c r="RAR293" s="148"/>
      <c r="RAS293" s="148"/>
      <c r="RAT293" s="148"/>
      <c r="RAU293" s="148"/>
      <c r="RAV293" s="148"/>
      <c r="RAW293" s="148"/>
      <c r="RAX293" s="148"/>
      <c r="RAY293" s="148"/>
      <c r="RAZ293" s="148"/>
      <c r="RBA293" s="148"/>
      <c r="RBB293" s="148"/>
      <c r="RBC293" s="148"/>
      <c r="RBD293" s="148"/>
      <c r="RBE293" s="148"/>
      <c r="RBF293" s="148"/>
      <c r="RBG293" s="148"/>
      <c r="RBH293" s="148"/>
      <c r="RBI293" s="148"/>
      <c r="RBJ293" s="148"/>
      <c r="RBK293" s="148"/>
      <c r="RBL293" s="148"/>
      <c r="RBM293" s="148"/>
      <c r="RBN293" s="148"/>
      <c r="RBO293" s="148"/>
      <c r="RBP293" s="148"/>
      <c r="RBQ293" s="148"/>
      <c r="RBR293" s="148"/>
      <c r="RBS293" s="148"/>
      <c r="RBT293" s="148"/>
      <c r="RBU293" s="148"/>
      <c r="RBV293" s="148"/>
      <c r="RBW293" s="148"/>
      <c r="RBX293" s="148"/>
      <c r="RBY293" s="148"/>
      <c r="RBZ293" s="148"/>
      <c r="RCA293" s="148"/>
      <c r="RCB293" s="148"/>
      <c r="RCC293" s="148"/>
      <c r="RCD293" s="148"/>
      <c r="RCE293" s="148"/>
      <c r="RCF293" s="148"/>
      <c r="RCG293" s="148"/>
      <c r="RCH293" s="148"/>
      <c r="RCI293" s="148"/>
      <c r="RCJ293" s="148"/>
      <c r="RCK293" s="148"/>
      <c r="RCL293" s="148"/>
      <c r="RCM293" s="148"/>
      <c r="RCN293" s="148"/>
      <c r="RCO293" s="148"/>
      <c r="RCP293" s="148"/>
      <c r="RCQ293" s="148"/>
      <c r="RCR293" s="148"/>
      <c r="RCS293" s="148"/>
      <c r="RCT293" s="148"/>
      <c r="RCU293" s="148"/>
      <c r="RCV293" s="148"/>
      <c r="RCW293" s="148"/>
      <c r="RCX293" s="148"/>
      <c r="RCY293" s="148"/>
      <c r="RCZ293" s="148"/>
      <c r="RDA293" s="148"/>
      <c r="RDB293" s="148"/>
      <c r="RDC293" s="148"/>
      <c r="RDD293" s="148"/>
      <c r="RDE293" s="148"/>
      <c r="RDF293" s="148"/>
      <c r="RDG293" s="148"/>
      <c r="RDH293" s="148"/>
      <c r="RDI293" s="148"/>
      <c r="RDJ293" s="148"/>
      <c r="RDK293" s="148"/>
      <c r="RDL293" s="148"/>
      <c r="RDM293" s="148"/>
      <c r="RDN293" s="148"/>
      <c r="RDO293" s="148"/>
      <c r="RDP293" s="148"/>
      <c r="RDQ293" s="148"/>
      <c r="RDR293" s="148"/>
      <c r="RDS293" s="148"/>
      <c r="RDT293" s="148"/>
      <c r="RDU293" s="148"/>
      <c r="RDV293" s="148"/>
      <c r="RDW293" s="148"/>
      <c r="RDX293" s="148"/>
      <c r="RDY293" s="148"/>
      <c r="RDZ293" s="148"/>
      <c r="REA293" s="148"/>
      <c r="REB293" s="148"/>
      <c r="REC293" s="148"/>
      <c r="RED293" s="148"/>
      <c r="REE293" s="148"/>
      <c r="REF293" s="148"/>
      <c r="REG293" s="148"/>
      <c r="REH293" s="148"/>
      <c r="REI293" s="148"/>
      <c r="REJ293" s="148"/>
      <c r="REK293" s="148"/>
      <c r="REL293" s="148"/>
      <c r="REM293" s="148"/>
      <c r="REN293" s="148"/>
      <c r="REO293" s="148"/>
      <c r="REP293" s="148"/>
      <c r="REQ293" s="148"/>
      <c r="RER293" s="148"/>
      <c r="RES293" s="148"/>
      <c r="RET293" s="148"/>
      <c r="REU293" s="148"/>
      <c r="REV293" s="148"/>
      <c r="REW293" s="148"/>
      <c r="REX293" s="148"/>
      <c r="REY293" s="148"/>
      <c r="REZ293" s="148"/>
      <c r="RFA293" s="148"/>
      <c r="RFB293" s="148"/>
      <c r="RFC293" s="148"/>
      <c r="RFD293" s="148"/>
      <c r="RFE293" s="148"/>
      <c r="RFF293" s="148"/>
      <c r="RFG293" s="148"/>
      <c r="RFH293" s="148"/>
      <c r="RFI293" s="148"/>
      <c r="RFJ293" s="148"/>
      <c r="RFK293" s="148"/>
      <c r="RFL293" s="148"/>
      <c r="RFM293" s="148"/>
      <c r="RFN293" s="148"/>
      <c r="RFO293" s="148"/>
      <c r="RFP293" s="148"/>
      <c r="RFQ293" s="148"/>
      <c r="RFR293" s="148"/>
      <c r="RFS293" s="148"/>
      <c r="RFT293" s="148"/>
      <c r="RFU293" s="148"/>
      <c r="RFV293" s="148"/>
      <c r="RFW293" s="148"/>
      <c r="RFX293" s="148"/>
      <c r="RFY293" s="148"/>
      <c r="RFZ293" s="148"/>
      <c r="RGA293" s="148"/>
      <c r="RGB293" s="148"/>
      <c r="RGC293" s="148"/>
      <c r="RGD293" s="148"/>
      <c r="RGE293" s="148"/>
      <c r="RGF293" s="148"/>
      <c r="RGG293" s="148"/>
      <c r="RGH293" s="148"/>
      <c r="RGI293" s="148"/>
      <c r="RGJ293" s="148"/>
      <c r="RGK293" s="148"/>
      <c r="RGL293" s="148"/>
      <c r="RGM293" s="148"/>
      <c r="RGN293" s="148"/>
      <c r="RGO293" s="148"/>
      <c r="RGP293" s="148"/>
      <c r="RGQ293" s="148"/>
      <c r="RGR293" s="148"/>
      <c r="RGS293" s="148"/>
      <c r="RGT293" s="148"/>
      <c r="RGU293" s="148"/>
      <c r="RGV293" s="148"/>
      <c r="RGW293" s="148"/>
      <c r="RGX293" s="148"/>
      <c r="RGY293" s="148"/>
      <c r="RGZ293" s="148"/>
      <c r="RHA293" s="148"/>
      <c r="RHB293" s="148"/>
      <c r="RHC293" s="148"/>
      <c r="RHD293" s="148"/>
      <c r="RHE293" s="148"/>
      <c r="RHF293" s="148"/>
      <c r="RHG293" s="148"/>
      <c r="RHH293" s="148"/>
      <c r="RHI293" s="148"/>
      <c r="RHJ293" s="148"/>
      <c r="RHK293" s="148"/>
      <c r="RHL293" s="148"/>
      <c r="RHM293" s="148"/>
      <c r="RHN293" s="148"/>
      <c r="RHO293" s="148"/>
      <c r="RHP293" s="148"/>
      <c r="RHQ293" s="148"/>
      <c r="RHR293" s="148"/>
      <c r="RHS293" s="148"/>
      <c r="RHT293" s="148"/>
      <c r="RHU293" s="148"/>
      <c r="RHV293" s="148"/>
      <c r="RHW293" s="148"/>
      <c r="RHX293" s="148"/>
      <c r="RHY293" s="148"/>
      <c r="RHZ293" s="148"/>
      <c r="RIA293" s="148"/>
      <c r="RIB293" s="148"/>
      <c r="RIC293" s="148"/>
      <c r="RID293" s="148"/>
      <c r="RIE293" s="148"/>
      <c r="RIF293" s="148"/>
      <c r="RIG293" s="148"/>
      <c r="RIH293" s="148"/>
      <c r="RII293" s="148"/>
      <c r="RIJ293" s="148"/>
      <c r="RIK293" s="148"/>
      <c r="RIL293" s="148"/>
      <c r="RIM293" s="148"/>
      <c r="RIN293" s="148"/>
      <c r="RIO293" s="148"/>
      <c r="RIP293" s="148"/>
      <c r="RIQ293" s="148"/>
      <c r="RIR293" s="148"/>
      <c r="RIS293" s="148"/>
      <c r="RIT293" s="148"/>
      <c r="RIU293" s="148"/>
      <c r="RIV293" s="148"/>
      <c r="RIW293" s="148"/>
      <c r="RIX293" s="148"/>
      <c r="RIY293" s="148"/>
      <c r="RIZ293" s="148"/>
      <c r="RJA293" s="148"/>
      <c r="RJB293" s="148"/>
      <c r="RJC293" s="148"/>
      <c r="RJD293" s="148"/>
      <c r="RJE293" s="148"/>
      <c r="RJF293" s="148"/>
      <c r="RJG293" s="148"/>
      <c r="RJH293" s="148"/>
      <c r="RJI293" s="148"/>
      <c r="RJJ293" s="148"/>
      <c r="RJK293" s="148"/>
      <c r="RJL293" s="148"/>
      <c r="RJM293" s="148"/>
      <c r="RJN293" s="148"/>
      <c r="RJO293" s="148"/>
      <c r="RJP293" s="148"/>
      <c r="RJQ293" s="148"/>
      <c r="RJR293" s="148"/>
      <c r="RJS293" s="148"/>
      <c r="RJT293" s="148"/>
      <c r="RJU293" s="148"/>
      <c r="RJV293" s="148"/>
      <c r="RJW293" s="148"/>
      <c r="RJX293" s="148"/>
      <c r="RJY293" s="148"/>
      <c r="RJZ293" s="148"/>
      <c r="RKA293" s="148"/>
      <c r="RKB293" s="148"/>
      <c r="RKC293" s="148"/>
      <c r="RKD293" s="148"/>
      <c r="RKE293" s="148"/>
      <c r="RKF293" s="148"/>
      <c r="RKG293" s="148"/>
      <c r="RKH293" s="148"/>
      <c r="RKI293" s="148"/>
      <c r="RKJ293" s="148"/>
      <c r="RKK293" s="148"/>
      <c r="RKL293" s="148"/>
      <c r="RKM293" s="148"/>
      <c r="RKN293" s="148"/>
      <c r="RKO293" s="148"/>
      <c r="RKP293" s="148"/>
      <c r="RKQ293" s="148"/>
      <c r="RKR293" s="148"/>
      <c r="RKS293" s="148"/>
      <c r="RKT293" s="148"/>
      <c r="RKU293" s="148"/>
      <c r="RKV293" s="148"/>
      <c r="RKW293" s="148"/>
      <c r="RKX293" s="148"/>
      <c r="RKY293" s="148"/>
      <c r="RKZ293" s="148"/>
      <c r="RLA293" s="148"/>
      <c r="RLB293" s="148"/>
      <c r="RLC293" s="148"/>
      <c r="RLD293" s="148"/>
      <c r="RLE293" s="148"/>
      <c r="RLF293" s="148"/>
      <c r="RLG293" s="148"/>
      <c r="RLH293" s="148"/>
      <c r="RLI293" s="148"/>
      <c r="RLJ293" s="148"/>
      <c r="RLK293" s="148"/>
      <c r="RLL293" s="148"/>
      <c r="RLM293" s="148"/>
      <c r="RLN293" s="148"/>
      <c r="RLO293" s="148"/>
      <c r="RLP293" s="148"/>
      <c r="RLQ293" s="148"/>
      <c r="RLR293" s="148"/>
      <c r="RLS293" s="148"/>
      <c r="RLT293" s="148"/>
      <c r="RLU293" s="148"/>
      <c r="RLV293" s="148"/>
      <c r="RLW293" s="148"/>
      <c r="RLX293" s="148"/>
      <c r="RLY293" s="148"/>
      <c r="RLZ293" s="148"/>
      <c r="RMA293" s="148"/>
      <c r="RMB293" s="148"/>
      <c r="RMC293" s="148"/>
      <c r="RMD293" s="148"/>
      <c r="RME293" s="148"/>
      <c r="RMF293" s="148"/>
      <c r="RMG293" s="148"/>
      <c r="RMH293" s="148"/>
      <c r="RMI293" s="148"/>
      <c r="RMJ293" s="148"/>
      <c r="RMK293" s="148"/>
      <c r="RML293" s="148"/>
      <c r="RMM293" s="148"/>
      <c r="RMN293" s="148"/>
      <c r="RMO293" s="148"/>
      <c r="RMP293" s="148"/>
      <c r="RMQ293" s="148"/>
      <c r="RMR293" s="148"/>
      <c r="RMS293" s="148"/>
      <c r="RMT293" s="148"/>
      <c r="RMU293" s="148"/>
      <c r="RMV293" s="148"/>
      <c r="RMW293" s="148"/>
      <c r="RMX293" s="148"/>
      <c r="RMY293" s="148"/>
      <c r="RMZ293" s="148"/>
      <c r="RNA293" s="148"/>
      <c r="RNB293" s="148"/>
      <c r="RNC293" s="148"/>
      <c r="RND293" s="148"/>
      <c r="RNE293" s="148"/>
      <c r="RNF293" s="148"/>
      <c r="RNG293" s="148"/>
      <c r="RNH293" s="148"/>
      <c r="RNI293" s="148"/>
      <c r="RNJ293" s="148"/>
      <c r="RNK293" s="148"/>
      <c r="RNL293" s="148"/>
      <c r="RNM293" s="148"/>
      <c r="RNN293" s="148"/>
      <c r="RNO293" s="148"/>
      <c r="RNP293" s="148"/>
      <c r="RNQ293" s="148"/>
      <c r="RNR293" s="148"/>
      <c r="RNS293" s="148"/>
      <c r="RNT293" s="148"/>
      <c r="RNU293" s="148"/>
      <c r="RNV293" s="148"/>
      <c r="RNW293" s="148"/>
      <c r="RNX293" s="148"/>
      <c r="RNY293" s="148"/>
      <c r="RNZ293" s="148"/>
      <c r="ROA293" s="148"/>
      <c r="ROB293" s="148"/>
      <c r="ROC293" s="148"/>
      <c r="ROD293" s="148"/>
      <c r="ROE293" s="148"/>
      <c r="ROF293" s="148"/>
      <c r="ROG293" s="148"/>
      <c r="ROH293" s="148"/>
      <c r="ROI293" s="148"/>
      <c r="ROJ293" s="148"/>
      <c r="ROK293" s="148"/>
      <c r="ROL293" s="148"/>
      <c r="ROM293" s="148"/>
      <c r="RON293" s="148"/>
      <c r="ROO293" s="148"/>
      <c r="ROP293" s="148"/>
      <c r="ROQ293" s="148"/>
      <c r="ROR293" s="148"/>
      <c r="ROS293" s="148"/>
      <c r="ROT293" s="148"/>
      <c r="ROU293" s="148"/>
      <c r="ROV293" s="148"/>
      <c r="ROW293" s="148"/>
      <c r="ROX293" s="148"/>
      <c r="ROY293" s="148"/>
      <c r="ROZ293" s="148"/>
      <c r="RPA293" s="148"/>
      <c r="RPB293" s="148"/>
      <c r="RPC293" s="148"/>
      <c r="RPD293" s="148"/>
      <c r="RPE293" s="148"/>
      <c r="RPF293" s="148"/>
      <c r="RPG293" s="148"/>
      <c r="RPH293" s="148"/>
      <c r="RPI293" s="148"/>
      <c r="RPJ293" s="148"/>
      <c r="RPK293" s="148"/>
      <c r="RPL293" s="148"/>
      <c r="RPM293" s="148"/>
      <c r="RPN293" s="148"/>
      <c r="RPO293" s="148"/>
      <c r="RPP293" s="148"/>
      <c r="RPQ293" s="148"/>
      <c r="RPR293" s="148"/>
      <c r="RPS293" s="148"/>
      <c r="RPT293" s="148"/>
      <c r="RPU293" s="148"/>
      <c r="RPV293" s="148"/>
      <c r="RPW293" s="148"/>
      <c r="RPX293" s="148"/>
      <c r="RPY293" s="148"/>
      <c r="RPZ293" s="148"/>
      <c r="RQA293" s="148"/>
      <c r="RQB293" s="148"/>
      <c r="RQC293" s="148"/>
      <c r="RQD293" s="148"/>
      <c r="RQE293" s="148"/>
      <c r="RQF293" s="148"/>
      <c r="RQG293" s="148"/>
      <c r="RQH293" s="148"/>
      <c r="RQI293" s="148"/>
      <c r="RQJ293" s="148"/>
      <c r="RQK293" s="148"/>
      <c r="RQL293" s="148"/>
      <c r="RQM293" s="148"/>
      <c r="RQN293" s="148"/>
      <c r="RQO293" s="148"/>
      <c r="RQP293" s="148"/>
      <c r="RQQ293" s="148"/>
      <c r="RQR293" s="148"/>
      <c r="RQS293" s="148"/>
      <c r="RQT293" s="148"/>
      <c r="RQU293" s="148"/>
      <c r="RQV293" s="148"/>
      <c r="RQW293" s="148"/>
      <c r="RQX293" s="148"/>
      <c r="RQY293" s="148"/>
      <c r="RQZ293" s="148"/>
      <c r="RRA293" s="148"/>
      <c r="RRB293" s="148"/>
      <c r="RRC293" s="148"/>
      <c r="RRD293" s="148"/>
      <c r="RRE293" s="148"/>
      <c r="RRF293" s="148"/>
      <c r="RRG293" s="148"/>
      <c r="RRH293" s="148"/>
      <c r="RRI293" s="148"/>
      <c r="RRJ293" s="148"/>
      <c r="RRK293" s="148"/>
      <c r="RRL293" s="148"/>
      <c r="RRM293" s="148"/>
      <c r="RRN293" s="148"/>
      <c r="RRO293" s="148"/>
      <c r="RRP293" s="148"/>
      <c r="RRQ293" s="148"/>
      <c r="RRR293" s="148"/>
      <c r="RRS293" s="148"/>
      <c r="RRT293" s="148"/>
      <c r="RRU293" s="148"/>
      <c r="RRV293" s="148"/>
      <c r="RRW293" s="148"/>
      <c r="RRX293" s="148"/>
      <c r="RRY293" s="148"/>
      <c r="RRZ293" s="148"/>
      <c r="RSA293" s="148"/>
      <c r="RSB293" s="148"/>
      <c r="RSC293" s="148"/>
      <c r="RSD293" s="148"/>
      <c r="RSE293" s="148"/>
      <c r="RSF293" s="148"/>
      <c r="RSG293" s="148"/>
      <c r="RSH293" s="148"/>
      <c r="RSI293" s="148"/>
      <c r="RSJ293" s="148"/>
      <c r="RSK293" s="148"/>
      <c r="RSL293" s="148"/>
      <c r="RSM293" s="148"/>
      <c r="RSN293" s="148"/>
      <c r="RSO293" s="148"/>
      <c r="RSP293" s="148"/>
      <c r="RSQ293" s="148"/>
      <c r="RSR293" s="148"/>
      <c r="RSS293" s="148"/>
      <c r="RST293" s="148"/>
      <c r="RSU293" s="148"/>
      <c r="RSV293" s="148"/>
      <c r="RSW293" s="148"/>
      <c r="RSX293" s="148"/>
      <c r="RSY293" s="148"/>
      <c r="RSZ293" s="148"/>
      <c r="RTA293" s="148"/>
      <c r="RTB293" s="148"/>
      <c r="RTC293" s="148"/>
      <c r="RTD293" s="148"/>
      <c r="RTE293" s="148"/>
      <c r="RTF293" s="148"/>
      <c r="RTG293" s="148"/>
      <c r="RTH293" s="148"/>
      <c r="RTI293" s="148"/>
      <c r="RTJ293" s="148"/>
      <c r="RTK293" s="148"/>
      <c r="RTL293" s="148"/>
      <c r="RTM293" s="148"/>
      <c r="RTN293" s="148"/>
      <c r="RTO293" s="148"/>
      <c r="RTP293" s="148"/>
      <c r="RTQ293" s="148"/>
      <c r="RTR293" s="148"/>
      <c r="RTS293" s="148"/>
      <c r="RTT293" s="148"/>
      <c r="RTU293" s="148"/>
      <c r="RTV293" s="148"/>
      <c r="RTW293" s="148"/>
      <c r="RTX293" s="148"/>
      <c r="RTY293" s="148"/>
      <c r="RTZ293" s="148"/>
      <c r="RUA293" s="148"/>
      <c r="RUB293" s="148"/>
      <c r="RUC293" s="148"/>
      <c r="RUD293" s="148"/>
      <c r="RUE293" s="148"/>
      <c r="RUF293" s="148"/>
      <c r="RUG293" s="148"/>
      <c r="RUH293" s="148"/>
      <c r="RUI293" s="148"/>
      <c r="RUJ293" s="148"/>
      <c r="RUK293" s="148"/>
      <c r="RUL293" s="148"/>
      <c r="RUM293" s="148"/>
      <c r="RUN293" s="148"/>
      <c r="RUO293" s="148"/>
      <c r="RUP293" s="148"/>
      <c r="RUQ293" s="148"/>
      <c r="RUR293" s="148"/>
      <c r="RUS293" s="148"/>
      <c r="RUT293" s="148"/>
      <c r="RUU293" s="148"/>
      <c r="RUV293" s="148"/>
      <c r="RUW293" s="148"/>
      <c r="RUX293" s="148"/>
      <c r="RUY293" s="148"/>
      <c r="RUZ293" s="148"/>
      <c r="RVA293" s="148"/>
      <c r="RVB293" s="148"/>
      <c r="RVC293" s="148"/>
      <c r="RVD293" s="148"/>
      <c r="RVE293" s="148"/>
      <c r="RVF293" s="148"/>
      <c r="RVG293" s="148"/>
      <c r="RVH293" s="148"/>
      <c r="RVI293" s="148"/>
      <c r="RVJ293" s="148"/>
      <c r="RVK293" s="148"/>
      <c r="RVL293" s="148"/>
      <c r="RVM293" s="148"/>
      <c r="RVN293" s="148"/>
      <c r="RVO293" s="148"/>
      <c r="RVP293" s="148"/>
      <c r="RVQ293" s="148"/>
      <c r="RVR293" s="148"/>
      <c r="RVS293" s="148"/>
      <c r="RVT293" s="148"/>
      <c r="RVU293" s="148"/>
      <c r="RVV293" s="148"/>
      <c r="RVW293" s="148"/>
      <c r="RVX293" s="148"/>
      <c r="RVY293" s="148"/>
      <c r="RVZ293" s="148"/>
      <c r="RWA293" s="148"/>
      <c r="RWB293" s="148"/>
      <c r="RWC293" s="148"/>
      <c r="RWD293" s="148"/>
      <c r="RWE293" s="148"/>
      <c r="RWF293" s="148"/>
      <c r="RWG293" s="148"/>
      <c r="RWH293" s="148"/>
      <c r="RWI293" s="148"/>
      <c r="RWJ293" s="148"/>
      <c r="RWK293" s="148"/>
      <c r="RWL293" s="148"/>
      <c r="RWM293" s="148"/>
      <c r="RWN293" s="148"/>
      <c r="RWO293" s="148"/>
      <c r="RWP293" s="148"/>
      <c r="RWQ293" s="148"/>
      <c r="RWR293" s="148"/>
      <c r="RWS293" s="148"/>
      <c r="RWT293" s="148"/>
      <c r="RWU293" s="148"/>
      <c r="RWV293" s="148"/>
      <c r="RWW293" s="148"/>
      <c r="RWX293" s="148"/>
      <c r="RWY293" s="148"/>
      <c r="RWZ293" s="148"/>
      <c r="RXA293" s="148"/>
      <c r="RXB293" s="148"/>
      <c r="RXC293" s="148"/>
      <c r="RXD293" s="148"/>
      <c r="RXE293" s="148"/>
      <c r="RXF293" s="148"/>
      <c r="RXG293" s="148"/>
      <c r="RXH293" s="148"/>
      <c r="RXI293" s="148"/>
      <c r="RXJ293" s="148"/>
      <c r="RXK293" s="148"/>
      <c r="RXL293" s="148"/>
      <c r="RXM293" s="148"/>
      <c r="RXN293" s="148"/>
      <c r="RXO293" s="148"/>
      <c r="RXP293" s="148"/>
      <c r="RXQ293" s="148"/>
      <c r="RXR293" s="148"/>
      <c r="RXS293" s="148"/>
      <c r="RXT293" s="148"/>
      <c r="RXU293" s="148"/>
      <c r="RXV293" s="148"/>
      <c r="RXW293" s="148"/>
      <c r="RXX293" s="148"/>
      <c r="RXY293" s="148"/>
      <c r="RXZ293" s="148"/>
      <c r="RYA293" s="148"/>
      <c r="RYB293" s="148"/>
      <c r="RYC293" s="148"/>
      <c r="RYD293" s="148"/>
      <c r="RYE293" s="148"/>
      <c r="RYF293" s="148"/>
      <c r="RYG293" s="148"/>
      <c r="RYH293" s="148"/>
      <c r="RYI293" s="148"/>
      <c r="RYJ293" s="148"/>
      <c r="RYK293" s="148"/>
      <c r="RYL293" s="148"/>
      <c r="RYM293" s="148"/>
      <c r="RYN293" s="148"/>
      <c r="RYO293" s="148"/>
      <c r="RYP293" s="148"/>
      <c r="RYQ293" s="148"/>
      <c r="RYR293" s="148"/>
      <c r="RYS293" s="148"/>
      <c r="RYT293" s="148"/>
      <c r="RYU293" s="148"/>
      <c r="RYV293" s="148"/>
      <c r="RYW293" s="148"/>
      <c r="RYX293" s="148"/>
      <c r="RYY293" s="148"/>
      <c r="RYZ293" s="148"/>
      <c r="RZA293" s="148"/>
      <c r="RZB293" s="148"/>
      <c r="RZC293" s="148"/>
      <c r="RZD293" s="148"/>
      <c r="RZE293" s="148"/>
      <c r="RZF293" s="148"/>
      <c r="RZG293" s="148"/>
      <c r="RZH293" s="148"/>
      <c r="RZI293" s="148"/>
      <c r="RZJ293" s="148"/>
      <c r="RZK293" s="148"/>
      <c r="RZL293" s="148"/>
      <c r="RZM293" s="148"/>
      <c r="RZN293" s="148"/>
      <c r="RZO293" s="148"/>
      <c r="RZP293" s="148"/>
      <c r="RZQ293" s="148"/>
      <c r="RZR293" s="148"/>
      <c r="RZS293" s="148"/>
      <c r="RZT293" s="148"/>
      <c r="RZU293" s="148"/>
      <c r="RZV293" s="148"/>
      <c r="RZW293" s="148"/>
      <c r="RZX293" s="148"/>
      <c r="RZY293" s="148"/>
      <c r="RZZ293" s="148"/>
      <c r="SAA293" s="148"/>
      <c r="SAB293" s="148"/>
      <c r="SAC293" s="148"/>
      <c r="SAD293" s="148"/>
      <c r="SAE293" s="148"/>
      <c r="SAF293" s="148"/>
      <c r="SAG293" s="148"/>
      <c r="SAH293" s="148"/>
      <c r="SAI293" s="148"/>
      <c r="SAJ293" s="148"/>
      <c r="SAK293" s="148"/>
      <c r="SAL293" s="148"/>
      <c r="SAM293" s="148"/>
      <c r="SAN293" s="148"/>
      <c r="SAO293" s="148"/>
      <c r="SAP293" s="148"/>
      <c r="SAQ293" s="148"/>
      <c r="SAR293" s="148"/>
      <c r="SAS293" s="148"/>
      <c r="SAT293" s="148"/>
      <c r="SAU293" s="148"/>
      <c r="SAV293" s="148"/>
      <c r="SAW293" s="148"/>
      <c r="SAX293" s="148"/>
      <c r="SAY293" s="148"/>
      <c r="SAZ293" s="148"/>
      <c r="SBA293" s="148"/>
      <c r="SBB293" s="148"/>
      <c r="SBC293" s="148"/>
      <c r="SBD293" s="148"/>
      <c r="SBE293" s="148"/>
      <c r="SBF293" s="148"/>
      <c r="SBG293" s="148"/>
      <c r="SBH293" s="148"/>
      <c r="SBI293" s="148"/>
      <c r="SBJ293" s="148"/>
      <c r="SBK293" s="148"/>
      <c r="SBL293" s="148"/>
      <c r="SBM293" s="148"/>
      <c r="SBN293" s="148"/>
      <c r="SBO293" s="148"/>
      <c r="SBP293" s="148"/>
      <c r="SBQ293" s="148"/>
      <c r="SBR293" s="148"/>
      <c r="SBS293" s="148"/>
      <c r="SBT293" s="148"/>
      <c r="SBU293" s="148"/>
      <c r="SBV293" s="148"/>
      <c r="SBW293" s="148"/>
      <c r="SBX293" s="148"/>
      <c r="SBY293" s="148"/>
      <c r="SBZ293" s="148"/>
      <c r="SCA293" s="148"/>
      <c r="SCB293" s="148"/>
      <c r="SCC293" s="148"/>
      <c r="SCD293" s="148"/>
      <c r="SCE293" s="148"/>
      <c r="SCF293" s="148"/>
      <c r="SCG293" s="148"/>
      <c r="SCH293" s="148"/>
      <c r="SCI293" s="148"/>
      <c r="SCJ293" s="148"/>
      <c r="SCK293" s="148"/>
      <c r="SCL293" s="148"/>
      <c r="SCM293" s="148"/>
      <c r="SCN293" s="148"/>
      <c r="SCO293" s="148"/>
      <c r="SCP293" s="148"/>
      <c r="SCQ293" s="148"/>
      <c r="SCR293" s="148"/>
      <c r="SCS293" s="148"/>
      <c r="SCT293" s="148"/>
      <c r="SCU293" s="148"/>
      <c r="SCV293" s="148"/>
      <c r="SCW293" s="148"/>
      <c r="SCX293" s="148"/>
      <c r="SCY293" s="148"/>
      <c r="SCZ293" s="148"/>
      <c r="SDA293" s="148"/>
      <c r="SDB293" s="148"/>
      <c r="SDC293" s="148"/>
      <c r="SDD293" s="148"/>
      <c r="SDE293" s="148"/>
      <c r="SDF293" s="148"/>
      <c r="SDG293" s="148"/>
      <c r="SDH293" s="148"/>
      <c r="SDI293" s="148"/>
      <c r="SDJ293" s="148"/>
      <c r="SDK293" s="148"/>
      <c r="SDL293" s="148"/>
      <c r="SDM293" s="148"/>
      <c r="SDN293" s="148"/>
      <c r="SDO293" s="148"/>
      <c r="SDP293" s="148"/>
      <c r="SDQ293" s="148"/>
      <c r="SDR293" s="148"/>
      <c r="SDS293" s="148"/>
      <c r="SDT293" s="148"/>
      <c r="SDU293" s="148"/>
      <c r="SDV293" s="148"/>
      <c r="SDW293" s="148"/>
      <c r="SDX293" s="148"/>
      <c r="SDY293" s="148"/>
      <c r="SDZ293" s="148"/>
      <c r="SEA293" s="148"/>
      <c r="SEB293" s="148"/>
      <c r="SEC293" s="148"/>
      <c r="SED293" s="148"/>
      <c r="SEE293" s="148"/>
      <c r="SEF293" s="148"/>
      <c r="SEG293" s="148"/>
      <c r="SEH293" s="148"/>
      <c r="SEI293" s="148"/>
      <c r="SEJ293" s="148"/>
      <c r="SEK293" s="148"/>
      <c r="SEL293" s="148"/>
      <c r="SEM293" s="148"/>
      <c r="SEN293" s="148"/>
      <c r="SEO293" s="148"/>
      <c r="SEP293" s="148"/>
      <c r="SEQ293" s="148"/>
      <c r="SER293" s="148"/>
      <c r="SES293" s="148"/>
      <c r="SET293" s="148"/>
      <c r="SEU293" s="148"/>
      <c r="SEV293" s="148"/>
      <c r="SEW293" s="148"/>
      <c r="SEX293" s="148"/>
      <c r="SEY293" s="148"/>
      <c r="SEZ293" s="148"/>
      <c r="SFA293" s="148"/>
      <c r="SFB293" s="148"/>
      <c r="SFC293" s="148"/>
      <c r="SFD293" s="148"/>
      <c r="SFE293" s="148"/>
      <c r="SFF293" s="148"/>
      <c r="SFG293" s="148"/>
      <c r="SFH293" s="148"/>
      <c r="SFI293" s="148"/>
      <c r="SFJ293" s="148"/>
      <c r="SFK293" s="148"/>
      <c r="SFL293" s="148"/>
      <c r="SFM293" s="148"/>
      <c r="SFN293" s="148"/>
      <c r="SFO293" s="148"/>
      <c r="SFP293" s="148"/>
      <c r="SFQ293" s="148"/>
      <c r="SFR293" s="148"/>
      <c r="SFS293" s="148"/>
      <c r="SFT293" s="148"/>
      <c r="SFU293" s="148"/>
      <c r="SFV293" s="148"/>
      <c r="SFW293" s="148"/>
      <c r="SFX293" s="148"/>
      <c r="SFY293" s="148"/>
      <c r="SFZ293" s="148"/>
      <c r="SGA293" s="148"/>
      <c r="SGB293" s="148"/>
      <c r="SGC293" s="148"/>
      <c r="SGD293" s="148"/>
      <c r="SGE293" s="148"/>
      <c r="SGF293" s="148"/>
      <c r="SGG293" s="148"/>
      <c r="SGH293" s="148"/>
      <c r="SGI293" s="148"/>
      <c r="SGJ293" s="148"/>
      <c r="SGK293" s="148"/>
      <c r="SGL293" s="148"/>
      <c r="SGM293" s="148"/>
      <c r="SGN293" s="148"/>
      <c r="SGO293" s="148"/>
      <c r="SGP293" s="148"/>
      <c r="SGQ293" s="148"/>
      <c r="SGR293" s="148"/>
      <c r="SGS293" s="148"/>
      <c r="SGT293" s="148"/>
      <c r="SGU293" s="148"/>
      <c r="SGV293" s="148"/>
      <c r="SGW293" s="148"/>
      <c r="SGX293" s="148"/>
      <c r="SGY293" s="148"/>
      <c r="SGZ293" s="148"/>
      <c r="SHA293" s="148"/>
      <c r="SHB293" s="148"/>
      <c r="SHC293" s="148"/>
      <c r="SHD293" s="148"/>
      <c r="SHE293" s="148"/>
      <c r="SHF293" s="148"/>
      <c r="SHG293" s="148"/>
      <c r="SHH293" s="148"/>
      <c r="SHI293" s="148"/>
      <c r="SHJ293" s="148"/>
      <c r="SHK293" s="148"/>
      <c r="SHL293" s="148"/>
      <c r="SHM293" s="148"/>
      <c r="SHN293" s="148"/>
      <c r="SHO293" s="148"/>
      <c r="SHP293" s="148"/>
      <c r="SHQ293" s="148"/>
      <c r="SHR293" s="148"/>
      <c r="SHS293" s="148"/>
      <c r="SHT293" s="148"/>
      <c r="SHU293" s="148"/>
      <c r="SHV293" s="148"/>
      <c r="SHW293" s="148"/>
      <c r="SHX293" s="148"/>
      <c r="SHY293" s="148"/>
      <c r="SHZ293" s="148"/>
      <c r="SIA293" s="148"/>
      <c r="SIB293" s="148"/>
      <c r="SIC293" s="148"/>
      <c r="SID293" s="148"/>
      <c r="SIE293" s="148"/>
      <c r="SIF293" s="148"/>
      <c r="SIG293" s="148"/>
      <c r="SIH293" s="148"/>
      <c r="SII293" s="148"/>
      <c r="SIJ293" s="148"/>
      <c r="SIK293" s="148"/>
      <c r="SIL293" s="148"/>
      <c r="SIM293" s="148"/>
      <c r="SIN293" s="148"/>
      <c r="SIO293" s="148"/>
      <c r="SIP293" s="148"/>
      <c r="SIQ293" s="148"/>
      <c r="SIR293" s="148"/>
      <c r="SIS293" s="148"/>
      <c r="SIT293" s="148"/>
      <c r="SIU293" s="148"/>
      <c r="SIV293" s="148"/>
      <c r="SIW293" s="148"/>
      <c r="SIX293" s="148"/>
      <c r="SIY293" s="148"/>
      <c r="SIZ293" s="148"/>
      <c r="SJA293" s="148"/>
      <c r="SJB293" s="148"/>
      <c r="SJC293" s="148"/>
      <c r="SJD293" s="148"/>
      <c r="SJE293" s="148"/>
      <c r="SJF293" s="148"/>
      <c r="SJG293" s="148"/>
      <c r="SJH293" s="148"/>
      <c r="SJI293" s="148"/>
      <c r="SJJ293" s="148"/>
      <c r="SJK293" s="148"/>
      <c r="SJL293" s="148"/>
      <c r="SJM293" s="148"/>
      <c r="SJN293" s="148"/>
      <c r="SJO293" s="148"/>
      <c r="SJP293" s="148"/>
      <c r="SJQ293" s="148"/>
      <c r="SJR293" s="148"/>
      <c r="SJS293" s="148"/>
      <c r="SJT293" s="148"/>
      <c r="SJU293" s="148"/>
      <c r="SJV293" s="148"/>
      <c r="SJW293" s="148"/>
      <c r="SJX293" s="148"/>
      <c r="SJY293" s="148"/>
      <c r="SJZ293" s="148"/>
      <c r="SKA293" s="148"/>
      <c r="SKB293" s="148"/>
      <c r="SKC293" s="148"/>
      <c r="SKD293" s="148"/>
      <c r="SKE293" s="148"/>
      <c r="SKF293" s="148"/>
      <c r="SKG293" s="148"/>
      <c r="SKH293" s="148"/>
      <c r="SKI293" s="148"/>
      <c r="SKJ293" s="148"/>
      <c r="SKK293" s="148"/>
      <c r="SKL293" s="148"/>
      <c r="SKM293" s="148"/>
      <c r="SKN293" s="148"/>
      <c r="SKO293" s="148"/>
      <c r="SKP293" s="148"/>
      <c r="SKQ293" s="148"/>
      <c r="SKR293" s="148"/>
      <c r="SKS293" s="148"/>
      <c r="SKT293" s="148"/>
      <c r="SKU293" s="148"/>
      <c r="SKV293" s="148"/>
      <c r="SKW293" s="148"/>
      <c r="SKX293" s="148"/>
      <c r="SKY293" s="148"/>
      <c r="SKZ293" s="148"/>
      <c r="SLA293" s="148"/>
      <c r="SLB293" s="148"/>
      <c r="SLC293" s="148"/>
      <c r="SLD293" s="148"/>
      <c r="SLE293" s="148"/>
      <c r="SLF293" s="148"/>
      <c r="SLG293" s="148"/>
      <c r="SLH293" s="148"/>
      <c r="SLI293" s="148"/>
      <c r="SLJ293" s="148"/>
      <c r="SLK293" s="148"/>
      <c r="SLL293" s="148"/>
      <c r="SLM293" s="148"/>
      <c r="SLN293" s="148"/>
      <c r="SLO293" s="148"/>
      <c r="SLP293" s="148"/>
      <c r="SLQ293" s="148"/>
      <c r="SLR293" s="148"/>
      <c r="SLS293" s="148"/>
      <c r="SLT293" s="148"/>
      <c r="SLU293" s="148"/>
      <c r="SLV293" s="148"/>
      <c r="SLW293" s="148"/>
      <c r="SLX293" s="148"/>
      <c r="SLY293" s="148"/>
      <c r="SLZ293" s="148"/>
      <c r="SMA293" s="148"/>
      <c r="SMB293" s="148"/>
      <c r="SMC293" s="148"/>
      <c r="SMD293" s="148"/>
      <c r="SME293" s="148"/>
      <c r="SMF293" s="148"/>
      <c r="SMG293" s="148"/>
      <c r="SMH293" s="148"/>
      <c r="SMI293" s="148"/>
      <c r="SMJ293" s="148"/>
      <c r="SMK293" s="148"/>
      <c r="SML293" s="148"/>
      <c r="SMM293" s="148"/>
      <c r="SMN293" s="148"/>
      <c r="SMO293" s="148"/>
      <c r="SMP293" s="148"/>
      <c r="SMQ293" s="148"/>
      <c r="SMR293" s="148"/>
      <c r="SMS293" s="148"/>
      <c r="SMT293" s="148"/>
      <c r="SMU293" s="148"/>
      <c r="SMV293" s="148"/>
      <c r="SMW293" s="148"/>
      <c r="SMX293" s="148"/>
      <c r="SMY293" s="148"/>
      <c r="SMZ293" s="148"/>
      <c r="SNA293" s="148"/>
      <c r="SNB293" s="148"/>
      <c r="SNC293" s="148"/>
      <c r="SND293" s="148"/>
      <c r="SNE293" s="148"/>
      <c r="SNF293" s="148"/>
      <c r="SNG293" s="148"/>
      <c r="SNH293" s="148"/>
      <c r="SNI293" s="148"/>
      <c r="SNJ293" s="148"/>
      <c r="SNK293" s="148"/>
      <c r="SNL293" s="148"/>
      <c r="SNM293" s="148"/>
      <c r="SNN293" s="148"/>
      <c r="SNO293" s="148"/>
      <c r="SNP293" s="148"/>
      <c r="SNQ293" s="148"/>
      <c r="SNR293" s="148"/>
      <c r="SNS293" s="148"/>
      <c r="SNT293" s="148"/>
      <c r="SNU293" s="148"/>
      <c r="SNV293" s="148"/>
      <c r="SNW293" s="148"/>
      <c r="SNX293" s="148"/>
      <c r="SNY293" s="148"/>
      <c r="SNZ293" s="148"/>
      <c r="SOA293" s="148"/>
      <c r="SOB293" s="148"/>
      <c r="SOC293" s="148"/>
      <c r="SOD293" s="148"/>
      <c r="SOE293" s="148"/>
      <c r="SOF293" s="148"/>
      <c r="SOG293" s="148"/>
      <c r="SOH293" s="148"/>
      <c r="SOI293" s="148"/>
      <c r="SOJ293" s="148"/>
      <c r="SOK293" s="148"/>
      <c r="SOL293" s="148"/>
      <c r="SOM293" s="148"/>
      <c r="SON293" s="148"/>
      <c r="SOO293" s="148"/>
      <c r="SOP293" s="148"/>
      <c r="SOQ293" s="148"/>
      <c r="SOR293" s="148"/>
      <c r="SOS293" s="148"/>
      <c r="SOT293" s="148"/>
      <c r="SOU293" s="148"/>
      <c r="SOV293" s="148"/>
      <c r="SOW293" s="148"/>
      <c r="SOX293" s="148"/>
      <c r="SOY293" s="148"/>
      <c r="SOZ293" s="148"/>
      <c r="SPA293" s="148"/>
      <c r="SPB293" s="148"/>
      <c r="SPC293" s="148"/>
      <c r="SPD293" s="148"/>
      <c r="SPE293" s="148"/>
      <c r="SPF293" s="148"/>
      <c r="SPG293" s="148"/>
      <c r="SPH293" s="148"/>
      <c r="SPI293" s="148"/>
      <c r="SPJ293" s="148"/>
      <c r="SPK293" s="148"/>
      <c r="SPL293" s="148"/>
      <c r="SPM293" s="148"/>
      <c r="SPN293" s="148"/>
      <c r="SPO293" s="148"/>
      <c r="SPP293" s="148"/>
      <c r="SPQ293" s="148"/>
      <c r="SPR293" s="148"/>
      <c r="SPS293" s="148"/>
      <c r="SPT293" s="148"/>
      <c r="SPU293" s="148"/>
      <c r="SPV293" s="148"/>
      <c r="SPW293" s="148"/>
      <c r="SPX293" s="148"/>
      <c r="SPY293" s="148"/>
      <c r="SPZ293" s="148"/>
      <c r="SQA293" s="148"/>
      <c r="SQB293" s="148"/>
      <c r="SQC293" s="148"/>
      <c r="SQD293" s="148"/>
      <c r="SQE293" s="148"/>
      <c r="SQF293" s="148"/>
      <c r="SQG293" s="148"/>
      <c r="SQH293" s="148"/>
      <c r="SQI293" s="148"/>
      <c r="SQJ293" s="148"/>
      <c r="SQK293" s="148"/>
      <c r="SQL293" s="148"/>
      <c r="SQM293" s="148"/>
      <c r="SQN293" s="148"/>
      <c r="SQO293" s="148"/>
      <c r="SQP293" s="148"/>
      <c r="SQQ293" s="148"/>
      <c r="SQR293" s="148"/>
      <c r="SQS293" s="148"/>
      <c r="SQT293" s="148"/>
      <c r="SQU293" s="148"/>
      <c r="SQV293" s="148"/>
      <c r="SQW293" s="148"/>
      <c r="SQX293" s="148"/>
      <c r="SQY293" s="148"/>
      <c r="SQZ293" s="148"/>
      <c r="SRA293" s="148"/>
      <c r="SRB293" s="148"/>
      <c r="SRC293" s="148"/>
      <c r="SRD293" s="148"/>
      <c r="SRE293" s="148"/>
      <c r="SRF293" s="148"/>
      <c r="SRG293" s="148"/>
      <c r="SRH293" s="148"/>
      <c r="SRI293" s="148"/>
      <c r="SRJ293" s="148"/>
      <c r="SRK293" s="148"/>
      <c r="SRL293" s="148"/>
      <c r="SRM293" s="148"/>
      <c r="SRN293" s="148"/>
      <c r="SRO293" s="148"/>
      <c r="SRP293" s="148"/>
      <c r="SRQ293" s="148"/>
      <c r="SRR293" s="148"/>
      <c r="SRS293" s="148"/>
      <c r="SRT293" s="148"/>
      <c r="SRU293" s="148"/>
      <c r="SRV293" s="148"/>
      <c r="SRW293" s="148"/>
      <c r="SRX293" s="148"/>
      <c r="SRY293" s="148"/>
      <c r="SRZ293" s="148"/>
      <c r="SSA293" s="148"/>
      <c r="SSB293" s="148"/>
      <c r="SSC293" s="148"/>
      <c r="SSD293" s="148"/>
      <c r="SSE293" s="148"/>
      <c r="SSF293" s="148"/>
      <c r="SSG293" s="148"/>
      <c r="SSH293" s="148"/>
      <c r="SSI293" s="148"/>
      <c r="SSJ293" s="148"/>
      <c r="SSK293" s="148"/>
      <c r="SSL293" s="148"/>
      <c r="SSM293" s="148"/>
      <c r="SSN293" s="148"/>
      <c r="SSO293" s="148"/>
      <c r="SSP293" s="148"/>
      <c r="SSQ293" s="148"/>
      <c r="SSR293" s="148"/>
      <c r="SSS293" s="148"/>
      <c r="SST293" s="148"/>
      <c r="SSU293" s="148"/>
      <c r="SSV293" s="148"/>
      <c r="SSW293" s="148"/>
      <c r="SSX293" s="148"/>
      <c r="SSY293" s="148"/>
      <c r="SSZ293" s="148"/>
      <c r="STA293" s="148"/>
      <c r="STB293" s="148"/>
      <c r="STC293" s="148"/>
      <c r="STD293" s="148"/>
      <c r="STE293" s="148"/>
      <c r="STF293" s="148"/>
      <c r="STG293" s="148"/>
      <c r="STH293" s="148"/>
      <c r="STI293" s="148"/>
      <c r="STJ293" s="148"/>
      <c r="STK293" s="148"/>
      <c r="STL293" s="148"/>
      <c r="STM293" s="148"/>
      <c r="STN293" s="148"/>
      <c r="STO293" s="148"/>
      <c r="STP293" s="148"/>
      <c r="STQ293" s="148"/>
      <c r="STR293" s="148"/>
      <c r="STS293" s="148"/>
      <c r="STT293" s="148"/>
      <c r="STU293" s="148"/>
      <c r="STV293" s="148"/>
      <c r="STW293" s="148"/>
      <c r="STX293" s="148"/>
      <c r="STY293" s="148"/>
      <c r="STZ293" s="148"/>
      <c r="SUA293" s="148"/>
      <c r="SUB293" s="148"/>
      <c r="SUC293" s="148"/>
      <c r="SUD293" s="148"/>
      <c r="SUE293" s="148"/>
      <c r="SUF293" s="148"/>
      <c r="SUG293" s="148"/>
      <c r="SUH293" s="148"/>
      <c r="SUI293" s="148"/>
      <c r="SUJ293" s="148"/>
      <c r="SUK293" s="148"/>
      <c r="SUL293" s="148"/>
      <c r="SUM293" s="148"/>
      <c r="SUN293" s="148"/>
      <c r="SUO293" s="148"/>
      <c r="SUP293" s="148"/>
      <c r="SUQ293" s="148"/>
      <c r="SUR293" s="148"/>
      <c r="SUS293" s="148"/>
      <c r="SUT293" s="148"/>
      <c r="SUU293" s="148"/>
      <c r="SUV293" s="148"/>
      <c r="SUW293" s="148"/>
      <c r="SUX293" s="148"/>
      <c r="SUY293" s="148"/>
      <c r="SUZ293" s="148"/>
      <c r="SVA293" s="148"/>
      <c r="SVB293" s="148"/>
      <c r="SVC293" s="148"/>
      <c r="SVD293" s="148"/>
      <c r="SVE293" s="148"/>
      <c r="SVF293" s="148"/>
      <c r="SVG293" s="148"/>
      <c r="SVH293" s="148"/>
      <c r="SVI293" s="148"/>
      <c r="SVJ293" s="148"/>
      <c r="SVK293" s="148"/>
      <c r="SVL293" s="148"/>
      <c r="SVM293" s="148"/>
      <c r="SVN293" s="148"/>
      <c r="SVO293" s="148"/>
      <c r="SVP293" s="148"/>
      <c r="SVQ293" s="148"/>
      <c r="SVR293" s="148"/>
      <c r="SVS293" s="148"/>
      <c r="SVT293" s="148"/>
      <c r="SVU293" s="148"/>
      <c r="SVV293" s="148"/>
      <c r="SVW293" s="148"/>
      <c r="SVX293" s="148"/>
      <c r="SVY293" s="148"/>
      <c r="SVZ293" s="148"/>
      <c r="SWA293" s="148"/>
      <c r="SWB293" s="148"/>
      <c r="SWC293" s="148"/>
      <c r="SWD293" s="148"/>
      <c r="SWE293" s="148"/>
      <c r="SWF293" s="148"/>
      <c r="SWG293" s="148"/>
      <c r="SWH293" s="148"/>
      <c r="SWI293" s="148"/>
      <c r="SWJ293" s="148"/>
      <c r="SWK293" s="148"/>
      <c r="SWL293" s="148"/>
      <c r="SWM293" s="148"/>
      <c r="SWN293" s="148"/>
      <c r="SWO293" s="148"/>
      <c r="SWP293" s="148"/>
      <c r="SWQ293" s="148"/>
      <c r="SWR293" s="148"/>
      <c r="SWS293" s="148"/>
      <c r="SWT293" s="148"/>
      <c r="SWU293" s="148"/>
      <c r="SWV293" s="148"/>
      <c r="SWW293" s="148"/>
      <c r="SWX293" s="148"/>
      <c r="SWY293" s="148"/>
      <c r="SWZ293" s="148"/>
      <c r="SXA293" s="148"/>
      <c r="SXB293" s="148"/>
      <c r="SXC293" s="148"/>
      <c r="SXD293" s="148"/>
      <c r="SXE293" s="148"/>
      <c r="SXF293" s="148"/>
      <c r="SXG293" s="148"/>
      <c r="SXH293" s="148"/>
      <c r="SXI293" s="148"/>
      <c r="SXJ293" s="148"/>
      <c r="SXK293" s="148"/>
      <c r="SXL293" s="148"/>
      <c r="SXM293" s="148"/>
      <c r="SXN293" s="148"/>
      <c r="SXO293" s="148"/>
      <c r="SXP293" s="148"/>
      <c r="SXQ293" s="148"/>
      <c r="SXR293" s="148"/>
      <c r="SXS293" s="148"/>
      <c r="SXT293" s="148"/>
      <c r="SXU293" s="148"/>
      <c r="SXV293" s="148"/>
      <c r="SXW293" s="148"/>
      <c r="SXX293" s="148"/>
      <c r="SXY293" s="148"/>
      <c r="SXZ293" s="148"/>
      <c r="SYA293" s="148"/>
      <c r="SYB293" s="148"/>
      <c r="SYC293" s="148"/>
      <c r="SYD293" s="148"/>
      <c r="SYE293" s="148"/>
      <c r="SYF293" s="148"/>
      <c r="SYG293" s="148"/>
      <c r="SYH293" s="148"/>
      <c r="SYI293" s="148"/>
      <c r="SYJ293" s="148"/>
      <c r="SYK293" s="148"/>
      <c r="SYL293" s="148"/>
      <c r="SYM293" s="148"/>
      <c r="SYN293" s="148"/>
      <c r="SYO293" s="148"/>
      <c r="SYP293" s="148"/>
      <c r="SYQ293" s="148"/>
      <c r="SYR293" s="148"/>
      <c r="SYS293" s="148"/>
      <c r="SYT293" s="148"/>
      <c r="SYU293" s="148"/>
      <c r="SYV293" s="148"/>
      <c r="SYW293" s="148"/>
      <c r="SYX293" s="148"/>
      <c r="SYY293" s="148"/>
      <c r="SYZ293" s="148"/>
      <c r="SZA293" s="148"/>
      <c r="SZB293" s="148"/>
      <c r="SZC293" s="148"/>
      <c r="SZD293" s="148"/>
      <c r="SZE293" s="148"/>
      <c r="SZF293" s="148"/>
      <c r="SZG293" s="148"/>
      <c r="SZH293" s="148"/>
      <c r="SZI293" s="148"/>
      <c r="SZJ293" s="148"/>
      <c r="SZK293" s="148"/>
      <c r="SZL293" s="148"/>
      <c r="SZM293" s="148"/>
      <c r="SZN293" s="148"/>
      <c r="SZO293" s="148"/>
      <c r="SZP293" s="148"/>
      <c r="SZQ293" s="148"/>
      <c r="SZR293" s="148"/>
      <c r="SZS293" s="148"/>
      <c r="SZT293" s="148"/>
      <c r="SZU293" s="148"/>
      <c r="SZV293" s="148"/>
      <c r="SZW293" s="148"/>
      <c r="SZX293" s="148"/>
      <c r="SZY293" s="148"/>
      <c r="SZZ293" s="148"/>
      <c r="TAA293" s="148"/>
      <c r="TAB293" s="148"/>
      <c r="TAC293" s="148"/>
      <c r="TAD293" s="148"/>
      <c r="TAE293" s="148"/>
      <c r="TAF293" s="148"/>
      <c r="TAG293" s="148"/>
      <c r="TAH293" s="148"/>
      <c r="TAI293" s="148"/>
      <c r="TAJ293" s="148"/>
      <c r="TAK293" s="148"/>
      <c r="TAL293" s="148"/>
      <c r="TAM293" s="148"/>
      <c r="TAN293" s="148"/>
      <c r="TAO293" s="148"/>
      <c r="TAP293" s="148"/>
      <c r="TAQ293" s="148"/>
      <c r="TAR293" s="148"/>
      <c r="TAS293" s="148"/>
      <c r="TAT293" s="148"/>
      <c r="TAU293" s="148"/>
      <c r="TAV293" s="148"/>
      <c r="TAW293" s="148"/>
      <c r="TAX293" s="148"/>
      <c r="TAY293" s="148"/>
      <c r="TAZ293" s="148"/>
      <c r="TBA293" s="148"/>
      <c r="TBB293" s="148"/>
      <c r="TBC293" s="148"/>
      <c r="TBD293" s="148"/>
      <c r="TBE293" s="148"/>
      <c r="TBF293" s="148"/>
      <c r="TBG293" s="148"/>
      <c r="TBH293" s="148"/>
      <c r="TBI293" s="148"/>
      <c r="TBJ293" s="148"/>
      <c r="TBK293" s="148"/>
      <c r="TBL293" s="148"/>
      <c r="TBM293" s="148"/>
      <c r="TBN293" s="148"/>
      <c r="TBO293" s="148"/>
      <c r="TBP293" s="148"/>
      <c r="TBQ293" s="148"/>
      <c r="TBR293" s="148"/>
      <c r="TBS293" s="148"/>
      <c r="TBT293" s="148"/>
      <c r="TBU293" s="148"/>
      <c r="TBV293" s="148"/>
      <c r="TBW293" s="148"/>
      <c r="TBX293" s="148"/>
      <c r="TBY293" s="148"/>
      <c r="TBZ293" s="148"/>
      <c r="TCA293" s="148"/>
      <c r="TCB293" s="148"/>
      <c r="TCC293" s="148"/>
      <c r="TCD293" s="148"/>
      <c r="TCE293" s="148"/>
      <c r="TCF293" s="148"/>
      <c r="TCG293" s="148"/>
      <c r="TCH293" s="148"/>
      <c r="TCI293" s="148"/>
      <c r="TCJ293" s="148"/>
      <c r="TCK293" s="148"/>
      <c r="TCL293" s="148"/>
      <c r="TCM293" s="148"/>
      <c r="TCN293" s="148"/>
      <c r="TCO293" s="148"/>
      <c r="TCP293" s="148"/>
      <c r="TCQ293" s="148"/>
      <c r="TCR293" s="148"/>
      <c r="TCS293" s="148"/>
      <c r="TCT293" s="148"/>
      <c r="TCU293" s="148"/>
      <c r="TCV293" s="148"/>
      <c r="TCW293" s="148"/>
      <c r="TCX293" s="148"/>
      <c r="TCY293" s="148"/>
      <c r="TCZ293" s="148"/>
      <c r="TDA293" s="148"/>
      <c r="TDB293" s="148"/>
      <c r="TDC293" s="148"/>
      <c r="TDD293" s="148"/>
      <c r="TDE293" s="148"/>
      <c r="TDF293" s="148"/>
      <c r="TDG293" s="148"/>
      <c r="TDH293" s="148"/>
      <c r="TDI293" s="148"/>
      <c r="TDJ293" s="148"/>
      <c r="TDK293" s="148"/>
      <c r="TDL293" s="148"/>
      <c r="TDM293" s="148"/>
      <c r="TDN293" s="148"/>
      <c r="TDO293" s="148"/>
      <c r="TDP293" s="148"/>
      <c r="TDQ293" s="148"/>
      <c r="TDR293" s="148"/>
      <c r="TDS293" s="148"/>
      <c r="TDT293" s="148"/>
      <c r="TDU293" s="148"/>
      <c r="TDV293" s="148"/>
      <c r="TDW293" s="148"/>
      <c r="TDX293" s="148"/>
      <c r="TDY293" s="148"/>
      <c r="TDZ293" s="148"/>
      <c r="TEA293" s="148"/>
      <c r="TEB293" s="148"/>
      <c r="TEC293" s="148"/>
      <c r="TED293" s="148"/>
      <c r="TEE293" s="148"/>
      <c r="TEF293" s="148"/>
      <c r="TEG293" s="148"/>
      <c r="TEH293" s="148"/>
      <c r="TEI293" s="148"/>
      <c r="TEJ293" s="148"/>
      <c r="TEK293" s="148"/>
      <c r="TEL293" s="148"/>
      <c r="TEM293" s="148"/>
      <c r="TEN293" s="148"/>
      <c r="TEO293" s="148"/>
      <c r="TEP293" s="148"/>
      <c r="TEQ293" s="148"/>
      <c r="TER293" s="148"/>
      <c r="TES293" s="148"/>
      <c r="TET293" s="148"/>
      <c r="TEU293" s="148"/>
      <c r="TEV293" s="148"/>
      <c r="TEW293" s="148"/>
      <c r="TEX293" s="148"/>
      <c r="TEY293" s="148"/>
      <c r="TEZ293" s="148"/>
      <c r="TFA293" s="148"/>
      <c r="TFB293" s="148"/>
      <c r="TFC293" s="148"/>
      <c r="TFD293" s="148"/>
      <c r="TFE293" s="148"/>
      <c r="TFF293" s="148"/>
      <c r="TFG293" s="148"/>
      <c r="TFH293" s="148"/>
      <c r="TFI293" s="148"/>
      <c r="TFJ293" s="148"/>
      <c r="TFK293" s="148"/>
      <c r="TFL293" s="148"/>
      <c r="TFM293" s="148"/>
      <c r="TFN293" s="148"/>
      <c r="TFO293" s="148"/>
      <c r="TFP293" s="148"/>
      <c r="TFQ293" s="148"/>
      <c r="TFR293" s="148"/>
      <c r="TFS293" s="148"/>
      <c r="TFT293" s="148"/>
      <c r="TFU293" s="148"/>
      <c r="TFV293" s="148"/>
      <c r="TFW293" s="148"/>
      <c r="TFX293" s="148"/>
      <c r="TFY293" s="148"/>
      <c r="TFZ293" s="148"/>
      <c r="TGA293" s="148"/>
      <c r="TGB293" s="148"/>
      <c r="TGC293" s="148"/>
      <c r="TGD293" s="148"/>
      <c r="TGE293" s="148"/>
      <c r="TGF293" s="148"/>
      <c r="TGG293" s="148"/>
      <c r="TGH293" s="148"/>
      <c r="TGI293" s="148"/>
      <c r="TGJ293" s="148"/>
      <c r="TGK293" s="148"/>
      <c r="TGL293" s="148"/>
      <c r="TGM293" s="148"/>
      <c r="TGN293" s="148"/>
      <c r="TGO293" s="148"/>
      <c r="TGP293" s="148"/>
      <c r="TGQ293" s="148"/>
      <c r="TGR293" s="148"/>
      <c r="TGS293" s="148"/>
      <c r="TGT293" s="148"/>
      <c r="TGU293" s="148"/>
      <c r="TGV293" s="148"/>
      <c r="TGW293" s="148"/>
      <c r="TGX293" s="148"/>
      <c r="TGY293" s="148"/>
      <c r="TGZ293" s="148"/>
      <c r="THA293" s="148"/>
      <c r="THB293" s="148"/>
      <c r="THC293" s="148"/>
      <c r="THD293" s="148"/>
      <c r="THE293" s="148"/>
      <c r="THF293" s="148"/>
      <c r="THG293" s="148"/>
      <c r="THH293" s="148"/>
      <c r="THI293" s="148"/>
      <c r="THJ293" s="148"/>
      <c r="THK293" s="148"/>
      <c r="THL293" s="148"/>
      <c r="THM293" s="148"/>
      <c r="THN293" s="148"/>
      <c r="THO293" s="148"/>
      <c r="THP293" s="148"/>
      <c r="THQ293" s="148"/>
      <c r="THR293" s="148"/>
      <c r="THS293" s="148"/>
      <c r="THT293" s="148"/>
      <c r="THU293" s="148"/>
      <c r="THV293" s="148"/>
      <c r="THW293" s="148"/>
      <c r="THX293" s="148"/>
      <c r="THY293" s="148"/>
      <c r="THZ293" s="148"/>
      <c r="TIA293" s="148"/>
      <c r="TIB293" s="148"/>
      <c r="TIC293" s="148"/>
      <c r="TID293" s="148"/>
      <c r="TIE293" s="148"/>
      <c r="TIF293" s="148"/>
      <c r="TIG293" s="148"/>
      <c r="TIH293" s="148"/>
      <c r="TII293" s="148"/>
      <c r="TIJ293" s="148"/>
      <c r="TIK293" s="148"/>
      <c r="TIL293" s="148"/>
      <c r="TIM293" s="148"/>
      <c r="TIN293" s="148"/>
      <c r="TIO293" s="148"/>
      <c r="TIP293" s="148"/>
      <c r="TIQ293" s="148"/>
      <c r="TIR293" s="148"/>
      <c r="TIS293" s="148"/>
      <c r="TIT293" s="148"/>
      <c r="TIU293" s="148"/>
      <c r="TIV293" s="148"/>
      <c r="TIW293" s="148"/>
      <c r="TIX293" s="148"/>
      <c r="TIY293" s="148"/>
      <c r="TIZ293" s="148"/>
      <c r="TJA293" s="148"/>
      <c r="TJB293" s="148"/>
      <c r="TJC293" s="148"/>
      <c r="TJD293" s="148"/>
      <c r="TJE293" s="148"/>
      <c r="TJF293" s="148"/>
      <c r="TJG293" s="148"/>
      <c r="TJH293" s="148"/>
      <c r="TJI293" s="148"/>
      <c r="TJJ293" s="148"/>
      <c r="TJK293" s="148"/>
      <c r="TJL293" s="148"/>
      <c r="TJM293" s="148"/>
      <c r="TJN293" s="148"/>
      <c r="TJO293" s="148"/>
      <c r="TJP293" s="148"/>
      <c r="TJQ293" s="148"/>
      <c r="TJR293" s="148"/>
      <c r="TJS293" s="148"/>
      <c r="TJT293" s="148"/>
      <c r="TJU293" s="148"/>
      <c r="TJV293" s="148"/>
      <c r="TJW293" s="148"/>
      <c r="TJX293" s="148"/>
      <c r="TJY293" s="148"/>
      <c r="TJZ293" s="148"/>
      <c r="TKA293" s="148"/>
      <c r="TKB293" s="148"/>
      <c r="TKC293" s="148"/>
      <c r="TKD293" s="148"/>
      <c r="TKE293" s="148"/>
      <c r="TKF293" s="148"/>
      <c r="TKG293" s="148"/>
      <c r="TKH293" s="148"/>
      <c r="TKI293" s="148"/>
      <c r="TKJ293" s="148"/>
      <c r="TKK293" s="148"/>
      <c r="TKL293" s="148"/>
      <c r="TKM293" s="148"/>
      <c r="TKN293" s="148"/>
      <c r="TKO293" s="148"/>
      <c r="TKP293" s="148"/>
      <c r="TKQ293" s="148"/>
      <c r="TKR293" s="148"/>
      <c r="TKS293" s="148"/>
      <c r="TKT293" s="148"/>
      <c r="TKU293" s="148"/>
      <c r="TKV293" s="148"/>
      <c r="TKW293" s="148"/>
      <c r="TKX293" s="148"/>
      <c r="TKY293" s="148"/>
      <c r="TKZ293" s="148"/>
      <c r="TLA293" s="148"/>
      <c r="TLB293" s="148"/>
      <c r="TLC293" s="148"/>
      <c r="TLD293" s="148"/>
      <c r="TLE293" s="148"/>
      <c r="TLF293" s="148"/>
      <c r="TLG293" s="148"/>
      <c r="TLH293" s="148"/>
      <c r="TLI293" s="148"/>
      <c r="TLJ293" s="148"/>
      <c r="TLK293" s="148"/>
      <c r="TLL293" s="148"/>
      <c r="TLM293" s="148"/>
      <c r="TLN293" s="148"/>
      <c r="TLO293" s="148"/>
      <c r="TLP293" s="148"/>
      <c r="TLQ293" s="148"/>
      <c r="TLR293" s="148"/>
      <c r="TLS293" s="148"/>
      <c r="TLT293" s="148"/>
      <c r="TLU293" s="148"/>
      <c r="TLV293" s="148"/>
      <c r="TLW293" s="148"/>
      <c r="TLX293" s="148"/>
      <c r="TLY293" s="148"/>
      <c r="TLZ293" s="148"/>
      <c r="TMA293" s="148"/>
      <c r="TMB293" s="148"/>
      <c r="TMC293" s="148"/>
      <c r="TMD293" s="148"/>
      <c r="TME293" s="148"/>
      <c r="TMF293" s="148"/>
      <c r="TMG293" s="148"/>
      <c r="TMH293" s="148"/>
      <c r="TMI293" s="148"/>
      <c r="TMJ293" s="148"/>
      <c r="TMK293" s="148"/>
      <c r="TML293" s="148"/>
      <c r="TMM293" s="148"/>
      <c r="TMN293" s="148"/>
      <c r="TMO293" s="148"/>
      <c r="TMP293" s="148"/>
      <c r="TMQ293" s="148"/>
      <c r="TMR293" s="148"/>
      <c r="TMS293" s="148"/>
      <c r="TMT293" s="148"/>
      <c r="TMU293" s="148"/>
      <c r="TMV293" s="148"/>
      <c r="TMW293" s="148"/>
      <c r="TMX293" s="148"/>
      <c r="TMY293" s="148"/>
      <c r="TMZ293" s="148"/>
      <c r="TNA293" s="148"/>
      <c r="TNB293" s="148"/>
      <c r="TNC293" s="148"/>
      <c r="TND293" s="148"/>
      <c r="TNE293" s="148"/>
      <c r="TNF293" s="148"/>
      <c r="TNG293" s="148"/>
      <c r="TNH293" s="148"/>
      <c r="TNI293" s="148"/>
      <c r="TNJ293" s="148"/>
      <c r="TNK293" s="148"/>
      <c r="TNL293" s="148"/>
      <c r="TNM293" s="148"/>
      <c r="TNN293" s="148"/>
      <c r="TNO293" s="148"/>
      <c r="TNP293" s="148"/>
      <c r="TNQ293" s="148"/>
      <c r="TNR293" s="148"/>
      <c r="TNS293" s="148"/>
      <c r="TNT293" s="148"/>
      <c r="TNU293" s="148"/>
      <c r="TNV293" s="148"/>
      <c r="TNW293" s="148"/>
      <c r="TNX293" s="148"/>
      <c r="TNY293" s="148"/>
      <c r="TNZ293" s="148"/>
      <c r="TOA293" s="148"/>
      <c r="TOB293" s="148"/>
      <c r="TOC293" s="148"/>
      <c r="TOD293" s="148"/>
      <c r="TOE293" s="148"/>
      <c r="TOF293" s="148"/>
      <c r="TOG293" s="148"/>
      <c r="TOH293" s="148"/>
      <c r="TOI293" s="148"/>
      <c r="TOJ293" s="148"/>
      <c r="TOK293" s="148"/>
      <c r="TOL293" s="148"/>
      <c r="TOM293" s="148"/>
      <c r="TON293" s="148"/>
      <c r="TOO293" s="148"/>
      <c r="TOP293" s="148"/>
      <c r="TOQ293" s="148"/>
      <c r="TOR293" s="148"/>
      <c r="TOS293" s="148"/>
      <c r="TOT293" s="148"/>
      <c r="TOU293" s="148"/>
      <c r="TOV293" s="148"/>
      <c r="TOW293" s="148"/>
      <c r="TOX293" s="148"/>
      <c r="TOY293" s="148"/>
      <c r="TOZ293" s="148"/>
      <c r="TPA293" s="148"/>
      <c r="TPB293" s="148"/>
      <c r="TPC293" s="148"/>
      <c r="TPD293" s="148"/>
      <c r="TPE293" s="148"/>
      <c r="TPF293" s="148"/>
      <c r="TPG293" s="148"/>
      <c r="TPH293" s="148"/>
      <c r="TPI293" s="148"/>
      <c r="TPJ293" s="148"/>
      <c r="TPK293" s="148"/>
      <c r="TPL293" s="148"/>
      <c r="TPM293" s="148"/>
      <c r="TPN293" s="148"/>
      <c r="TPO293" s="148"/>
      <c r="TPP293" s="148"/>
      <c r="TPQ293" s="148"/>
      <c r="TPR293" s="148"/>
      <c r="TPS293" s="148"/>
      <c r="TPT293" s="148"/>
      <c r="TPU293" s="148"/>
      <c r="TPV293" s="148"/>
      <c r="TPW293" s="148"/>
      <c r="TPX293" s="148"/>
      <c r="TPY293" s="148"/>
      <c r="TPZ293" s="148"/>
      <c r="TQA293" s="148"/>
      <c r="TQB293" s="148"/>
      <c r="TQC293" s="148"/>
      <c r="TQD293" s="148"/>
      <c r="TQE293" s="148"/>
      <c r="TQF293" s="148"/>
      <c r="TQG293" s="148"/>
      <c r="TQH293" s="148"/>
      <c r="TQI293" s="148"/>
      <c r="TQJ293" s="148"/>
      <c r="TQK293" s="148"/>
      <c r="TQL293" s="148"/>
      <c r="TQM293" s="148"/>
      <c r="TQN293" s="148"/>
      <c r="TQO293" s="148"/>
      <c r="TQP293" s="148"/>
      <c r="TQQ293" s="148"/>
      <c r="TQR293" s="148"/>
      <c r="TQS293" s="148"/>
      <c r="TQT293" s="148"/>
      <c r="TQU293" s="148"/>
      <c r="TQV293" s="148"/>
      <c r="TQW293" s="148"/>
      <c r="TQX293" s="148"/>
      <c r="TQY293" s="148"/>
      <c r="TQZ293" s="148"/>
      <c r="TRA293" s="148"/>
      <c r="TRB293" s="148"/>
      <c r="TRC293" s="148"/>
      <c r="TRD293" s="148"/>
      <c r="TRE293" s="148"/>
      <c r="TRF293" s="148"/>
      <c r="TRG293" s="148"/>
      <c r="TRH293" s="148"/>
      <c r="TRI293" s="148"/>
      <c r="TRJ293" s="148"/>
      <c r="TRK293" s="148"/>
      <c r="TRL293" s="148"/>
      <c r="TRM293" s="148"/>
      <c r="TRN293" s="148"/>
      <c r="TRO293" s="148"/>
      <c r="TRP293" s="148"/>
      <c r="TRQ293" s="148"/>
      <c r="TRR293" s="148"/>
      <c r="TRS293" s="148"/>
      <c r="TRT293" s="148"/>
      <c r="TRU293" s="148"/>
      <c r="TRV293" s="148"/>
      <c r="TRW293" s="148"/>
      <c r="TRX293" s="148"/>
      <c r="TRY293" s="148"/>
      <c r="TRZ293" s="148"/>
      <c r="TSA293" s="148"/>
      <c r="TSB293" s="148"/>
      <c r="TSC293" s="148"/>
      <c r="TSD293" s="148"/>
      <c r="TSE293" s="148"/>
      <c r="TSF293" s="148"/>
      <c r="TSG293" s="148"/>
      <c r="TSH293" s="148"/>
      <c r="TSI293" s="148"/>
      <c r="TSJ293" s="148"/>
      <c r="TSK293" s="148"/>
      <c r="TSL293" s="148"/>
      <c r="TSM293" s="148"/>
      <c r="TSN293" s="148"/>
      <c r="TSO293" s="148"/>
      <c r="TSP293" s="148"/>
      <c r="TSQ293" s="148"/>
      <c r="TSR293" s="148"/>
      <c r="TSS293" s="148"/>
      <c r="TST293" s="148"/>
      <c r="TSU293" s="148"/>
      <c r="TSV293" s="148"/>
      <c r="TSW293" s="148"/>
      <c r="TSX293" s="148"/>
      <c r="TSY293" s="148"/>
      <c r="TSZ293" s="148"/>
      <c r="TTA293" s="148"/>
      <c r="TTB293" s="148"/>
      <c r="TTC293" s="148"/>
      <c r="TTD293" s="148"/>
      <c r="TTE293" s="148"/>
      <c r="TTF293" s="148"/>
      <c r="TTG293" s="148"/>
      <c r="TTH293" s="148"/>
      <c r="TTI293" s="148"/>
      <c r="TTJ293" s="148"/>
      <c r="TTK293" s="148"/>
      <c r="TTL293" s="148"/>
      <c r="TTM293" s="148"/>
      <c r="TTN293" s="148"/>
      <c r="TTO293" s="148"/>
      <c r="TTP293" s="148"/>
      <c r="TTQ293" s="148"/>
      <c r="TTR293" s="148"/>
      <c r="TTS293" s="148"/>
      <c r="TTT293" s="148"/>
      <c r="TTU293" s="148"/>
      <c r="TTV293" s="148"/>
      <c r="TTW293" s="148"/>
      <c r="TTX293" s="148"/>
      <c r="TTY293" s="148"/>
      <c r="TTZ293" s="148"/>
      <c r="TUA293" s="148"/>
      <c r="TUB293" s="148"/>
      <c r="TUC293" s="148"/>
      <c r="TUD293" s="148"/>
      <c r="TUE293" s="148"/>
      <c r="TUF293" s="148"/>
      <c r="TUG293" s="148"/>
      <c r="TUH293" s="148"/>
      <c r="TUI293" s="148"/>
      <c r="TUJ293" s="148"/>
      <c r="TUK293" s="148"/>
      <c r="TUL293" s="148"/>
      <c r="TUM293" s="148"/>
      <c r="TUN293" s="148"/>
      <c r="TUO293" s="148"/>
      <c r="TUP293" s="148"/>
      <c r="TUQ293" s="148"/>
      <c r="TUR293" s="148"/>
      <c r="TUS293" s="148"/>
      <c r="TUT293" s="148"/>
      <c r="TUU293" s="148"/>
      <c r="TUV293" s="148"/>
      <c r="TUW293" s="148"/>
      <c r="TUX293" s="148"/>
      <c r="TUY293" s="148"/>
      <c r="TUZ293" s="148"/>
      <c r="TVA293" s="148"/>
      <c r="TVB293" s="148"/>
      <c r="TVC293" s="148"/>
      <c r="TVD293" s="148"/>
      <c r="TVE293" s="148"/>
      <c r="TVF293" s="148"/>
      <c r="TVG293" s="148"/>
      <c r="TVH293" s="148"/>
      <c r="TVI293" s="148"/>
      <c r="TVJ293" s="148"/>
      <c r="TVK293" s="148"/>
      <c r="TVL293" s="148"/>
      <c r="TVM293" s="148"/>
      <c r="TVN293" s="148"/>
      <c r="TVO293" s="148"/>
      <c r="TVP293" s="148"/>
      <c r="TVQ293" s="148"/>
      <c r="TVR293" s="148"/>
      <c r="TVS293" s="148"/>
      <c r="TVT293" s="148"/>
      <c r="TVU293" s="148"/>
      <c r="TVV293" s="148"/>
      <c r="TVW293" s="148"/>
      <c r="TVX293" s="148"/>
      <c r="TVY293" s="148"/>
      <c r="TVZ293" s="148"/>
      <c r="TWA293" s="148"/>
      <c r="TWB293" s="148"/>
      <c r="TWC293" s="148"/>
      <c r="TWD293" s="148"/>
      <c r="TWE293" s="148"/>
      <c r="TWF293" s="148"/>
      <c r="TWG293" s="148"/>
      <c r="TWH293" s="148"/>
      <c r="TWI293" s="148"/>
      <c r="TWJ293" s="148"/>
      <c r="TWK293" s="148"/>
      <c r="TWL293" s="148"/>
      <c r="TWM293" s="148"/>
      <c r="TWN293" s="148"/>
      <c r="TWO293" s="148"/>
      <c r="TWP293" s="148"/>
      <c r="TWQ293" s="148"/>
      <c r="TWR293" s="148"/>
      <c r="TWS293" s="148"/>
      <c r="TWT293" s="148"/>
      <c r="TWU293" s="148"/>
      <c r="TWV293" s="148"/>
      <c r="TWW293" s="148"/>
      <c r="TWX293" s="148"/>
      <c r="TWY293" s="148"/>
      <c r="TWZ293" s="148"/>
      <c r="TXA293" s="148"/>
      <c r="TXB293" s="148"/>
      <c r="TXC293" s="148"/>
      <c r="TXD293" s="148"/>
      <c r="TXE293" s="148"/>
      <c r="TXF293" s="148"/>
      <c r="TXG293" s="148"/>
      <c r="TXH293" s="148"/>
      <c r="TXI293" s="148"/>
      <c r="TXJ293" s="148"/>
      <c r="TXK293" s="148"/>
      <c r="TXL293" s="148"/>
      <c r="TXM293" s="148"/>
      <c r="TXN293" s="148"/>
      <c r="TXO293" s="148"/>
      <c r="TXP293" s="148"/>
      <c r="TXQ293" s="148"/>
      <c r="TXR293" s="148"/>
      <c r="TXS293" s="148"/>
      <c r="TXT293" s="148"/>
      <c r="TXU293" s="148"/>
      <c r="TXV293" s="148"/>
      <c r="TXW293" s="148"/>
      <c r="TXX293" s="148"/>
      <c r="TXY293" s="148"/>
      <c r="TXZ293" s="148"/>
      <c r="TYA293" s="148"/>
      <c r="TYB293" s="148"/>
      <c r="TYC293" s="148"/>
      <c r="TYD293" s="148"/>
      <c r="TYE293" s="148"/>
      <c r="TYF293" s="148"/>
      <c r="TYG293" s="148"/>
      <c r="TYH293" s="148"/>
      <c r="TYI293" s="148"/>
      <c r="TYJ293" s="148"/>
      <c r="TYK293" s="148"/>
      <c r="TYL293" s="148"/>
      <c r="TYM293" s="148"/>
      <c r="TYN293" s="148"/>
      <c r="TYO293" s="148"/>
      <c r="TYP293" s="148"/>
      <c r="TYQ293" s="148"/>
      <c r="TYR293" s="148"/>
      <c r="TYS293" s="148"/>
      <c r="TYT293" s="148"/>
      <c r="TYU293" s="148"/>
      <c r="TYV293" s="148"/>
      <c r="TYW293" s="148"/>
      <c r="TYX293" s="148"/>
      <c r="TYY293" s="148"/>
      <c r="TYZ293" s="148"/>
      <c r="TZA293" s="148"/>
      <c r="TZB293" s="148"/>
      <c r="TZC293" s="148"/>
      <c r="TZD293" s="148"/>
      <c r="TZE293" s="148"/>
      <c r="TZF293" s="148"/>
      <c r="TZG293" s="148"/>
      <c r="TZH293" s="148"/>
      <c r="TZI293" s="148"/>
      <c r="TZJ293" s="148"/>
      <c r="TZK293" s="148"/>
      <c r="TZL293" s="148"/>
      <c r="TZM293" s="148"/>
      <c r="TZN293" s="148"/>
      <c r="TZO293" s="148"/>
      <c r="TZP293" s="148"/>
      <c r="TZQ293" s="148"/>
      <c r="TZR293" s="148"/>
      <c r="TZS293" s="148"/>
      <c r="TZT293" s="148"/>
      <c r="TZU293" s="148"/>
      <c r="TZV293" s="148"/>
      <c r="TZW293" s="148"/>
      <c r="TZX293" s="148"/>
      <c r="TZY293" s="148"/>
      <c r="TZZ293" s="148"/>
      <c r="UAA293" s="148"/>
      <c r="UAB293" s="148"/>
      <c r="UAC293" s="148"/>
      <c r="UAD293" s="148"/>
      <c r="UAE293" s="148"/>
      <c r="UAF293" s="148"/>
      <c r="UAG293" s="148"/>
      <c r="UAH293" s="148"/>
      <c r="UAI293" s="148"/>
      <c r="UAJ293" s="148"/>
      <c r="UAK293" s="148"/>
      <c r="UAL293" s="148"/>
      <c r="UAM293" s="148"/>
      <c r="UAN293" s="148"/>
      <c r="UAO293" s="148"/>
      <c r="UAP293" s="148"/>
      <c r="UAQ293" s="148"/>
      <c r="UAR293" s="148"/>
      <c r="UAS293" s="148"/>
      <c r="UAT293" s="148"/>
      <c r="UAU293" s="148"/>
      <c r="UAV293" s="148"/>
      <c r="UAW293" s="148"/>
      <c r="UAX293" s="148"/>
      <c r="UAY293" s="148"/>
      <c r="UAZ293" s="148"/>
      <c r="UBA293" s="148"/>
      <c r="UBB293" s="148"/>
      <c r="UBC293" s="148"/>
      <c r="UBD293" s="148"/>
      <c r="UBE293" s="148"/>
      <c r="UBF293" s="148"/>
      <c r="UBG293" s="148"/>
      <c r="UBH293" s="148"/>
      <c r="UBI293" s="148"/>
      <c r="UBJ293" s="148"/>
      <c r="UBK293" s="148"/>
      <c r="UBL293" s="148"/>
      <c r="UBM293" s="148"/>
      <c r="UBN293" s="148"/>
      <c r="UBO293" s="148"/>
      <c r="UBP293" s="148"/>
      <c r="UBQ293" s="148"/>
      <c r="UBR293" s="148"/>
      <c r="UBS293" s="148"/>
      <c r="UBT293" s="148"/>
      <c r="UBU293" s="148"/>
      <c r="UBV293" s="148"/>
      <c r="UBW293" s="148"/>
      <c r="UBX293" s="148"/>
      <c r="UBY293" s="148"/>
      <c r="UBZ293" s="148"/>
      <c r="UCA293" s="148"/>
      <c r="UCB293" s="148"/>
      <c r="UCC293" s="148"/>
      <c r="UCD293" s="148"/>
      <c r="UCE293" s="148"/>
      <c r="UCF293" s="148"/>
      <c r="UCG293" s="148"/>
      <c r="UCH293" s="148"/>
      <c r="UCI293" s="148"/>
      <c r="UCJ293" s="148"/>
      <c r="UCK293" s="148"/>
      <c r="UCL293" s="148"/>
      <c r="UCM293" s="148"/>
      <c r="UCN293" s="148"/>
      <c r="UCO293" s="148"/>
      <c r="UCP293" s="148"/>
      <c r="UCQ293" s="148"/>
      <c r="UCR293" s="148"/>
      <c r="UCS293" s="148"/>
      <c r="UCT293" s="148"/>
      <c r="UCU293" s="148"/>
      <c r="UCV293" s="148"/>
      <c r="UCW293" s="148"/>
      <c r="UCX293" s="148"/>
      <c r="UCY293" s="148"/>
      <c r="UCZ293" s="148"/>
      <c r="UDA293" s="148"/>
      <c r="UDB293" s="148"/>
      <c r="UDC293" s="148"/>
      <c r="UDD293" s="148"/>
      <c r="UDE293" s="148"/>
      <c r="UDF293" s="148"/>
      <c r="UDG293" s="148"/>
      <c r="UDH293" s="148"/>
      <c r="UDI293" s="148"/>
      <c r="UDJ293" s="148"/>
      <c r="UDK293" s="148"/>
      <c r="UDL293" s="148"/>
      <c r="UDM293" s="148"/>
      <c r="UDN293" s="148"/>
      <c r="UDO293" s="148"/>
      <c r="UDP293" s="148"/>
      <c r="UDQ293" s="148"/>
      <c r="UDR293" s="148"/>
      <c r="UDS293" s="148"/>
      <c r="UDT293" s="148"/>
      <c r="UDU293" s="148"/>
      <c r="UDV293" s="148"/>
      <c r="UDW293" s="148"/>
      <c r="UDX293" s="148"/>
      <c r="UDY293" s="148"/>
      <c r="UDZ293" s="148"/>
      <c r="UEA293" s="148"/>
      <c r="UEB293" s="148"/>
      <c r="UEC293" s="148"/>
      <c r="UED293" s="148"/>
      <c r="UEE293" s="148"/>
      <c r="UEF293" s="148"/>
      <c r="UEG293" s="148"/>
      <c r="UEH293" s="148"/>
      <c r="UEI293" s="148"/>
      <c r="UEJ293" s="148"/>
      <c r="UEK293" s="148"/>
      <c r="UEL293" s="148"/>
      <c r="UEM293" s="148"/>
      <c r="UEN293" s="148"/>
      <c r="UEO293" s="148"/>
      <c r="UEP293" s="148"/>
      <c r="UEQ293" s="148"/>
      <c r="UER293" s="148"/>
      <c r="UES293" s="148"/>
      <c r="UET293" s="148"/>
      <c r="UEU293" s="148"/>
      <c r="UEV293" s="148"/>
      <c r="UEW293" s="148"/>
      <c r="UEX293" s="148"/>
      <c r="UEY293" s="148"/>
      <c r="UEZ293" s="148"/>
      <c r="UFA293" s="148"/>
      <c r="UFB293" s="148"/>
      <c r="UFC293" s="148"/>
      <c r="UFD293" s="148"/>
      <c r="UFE293" s="148"/>
      <c r="UFF293" s="148"/>
      <c r="UFG293" s="148"/>
      <c r="UFH293" s="148"/>
      <c r="UFI293" s="148"/>
      <c r="UFJ293" s="148"/>
      <c r="UFK293" s="148"/>
      <c r="UFL293" s="148"/>
      <c r="UFM293" s="148"/>
      <c r="UFN293" s="148"/>
      <c r="UFO293" s="148"/>
      <c r="UFP293" s="148"/>
      <c r="UFQ293" s="148"/>
      <c r="UFR293" s="148"/>
      <c r="UFS293" s="148"/>
      <c r="UFT293" s="148"/>
      <c r="UFU293" s="148"/>
      <c r="UFV293" s="148"/>
      <c r="UFW293" s="148"/>
      <c r="UFX293" s="148"/>
      <c r="UFY293" s="148"/>
      <c r="UFZ293" s="148"/>
      <c r="UGA293" s="148"/>
      <c r="UGB293" s="148"/>
      <c r="UGC293" s="148"/>
      <c r="UGD293" s="148"/>
      <c r="UGE293" s="148"/>
      <c r="UGF293" s="148"/>
      <c r="UGG293" s="148"/>
      <c r="UGH293" s="148"/>
      <c r="UGI293" s="148"/>
      <c r="UGJ293" s="148"/>
      <c r="UGK293" s="148"/>
      <c r="UGL293" s="148"/>
      <c r="UGM293" s="148"/>
      <c r="UGN293" s="148"/>
      <c r="UGO293" s="148"/>
      <c r="UGP293" s="148"/>
      <c r="UGQ293" s="148"/>
      <c r="UGR293" s="148"/>
      <c r="UGS293" s="148"/>
      <c r="UGT293" s="148"/>
      <c r="UGU293" s="148"/>
      <c r="UGV293" s="148"/>
      <c r="UGW293" s="148"/>
      <c r="UGX293" s="148"/>
      <c r="UGY293" s="148"/>
      <c r="UGZ293" s="148"/>
      <c r="UHA293" s="148"/>
      <c r="UHB293" s="148"/>
      <c r="UHC293" s="148"/>
      <c r="UHD293" s="148"/>
      <c r="UHE293" s="148"/>
      <c r="UHF293" s="148"/>
      <c r="UHG293" s="148"/>
      <c r="UHH293" s="148"/>
      <c r="UHI293" s="148"/>
      <c r="UHJ293" s="148"/>
      <c r="UHK293" s="148"/>
      <c r="UHL293" s="148"/>
      <c r="UHM293" s="148"/>
      <c r="UHN293" s="148"/>
      <c r="UHO293" s="148"/>
      <c r="UHP293" s="148"/>
      <c r="UHQ293" s="148"/>
      <c r="UHR293" s="148"/>
      <c r="UHS293" s="148"/>
      <c r="UHT293" s="148"/>
      <c r="UHU293" s="148"/>
      <c r="UHV293" s="148"/>
      <c r="UHW293" s="148"/>
      <c r="UHX293" s="148"/>
      <c r="UHY293" s="148"/>
      <c r="UHZ293" s="148"/>
      <c r="UIA293" s="148"/>
      <c r="UIB293" s="148"/>
      <c r="UIC293" s="148"/>
      <c r="UID293" s="148"/>
      <c r="UIE293" s="148"/>
      <c r="UIF293" s="148"/>
      <c r="UIG293" s="148"/>
      <c r="UIH293" s="148"/>
      <c r="UII293" s="148"/>
      <c r="UIJ293" s="148"/>
      <c r="UIK293" s="148"/>
      <c r="UIL293" s="148"/>
      <c r="UIM293" s="148"/>
      <c r="UIN293" s="148"/>
      <c r="UIO293" s="148"/>
      <c r="UIP293" s="148"/>
      <c r="UIQ293" s="148"/>
      <c r="UIR293" s="148"/>
      <c r="UIS293" s="148"/>
      <c r="UIT293" s="148"/>
      <c r="UIU293" s="148"/>
      <c r="UIV293" s="148"/>
      <c r="UIW293" s="148"/>
      <c r="UIX293" s="148"/>
      <c r="UIY293" s="148"/>
      <c r="UIZ293" s="148"/>
      <c r="UJA293" s="148"/>
      <c r="UJB293" s="148"/>
      <c r="UJC293" s="148"/>
      <c r="UJD293" s="148"/>
      <c r="UJE293" s="148"/>
      <c r="UJF293" s="148"/>
      <c r="UJG293" s="148"/>
      <c r="UJH293" s="148"/>
      <c r="UJI293" s="148"/>
      <c r="UJJ293" s="148"/>
      <c r="UJK293" s="148"/>
      <c r="UJL293" s="148"/>
      <c r="UJM293" s="148"/>
      <c r="UJN293" s="148"/>
      <c r="UJO293" s="148"/>
      <c r="UJP293" s="148"/>
      <c r="UJQ293" s="148"/>
      <c r="UJR293" s="148"/>
      <c r="UJS293" s="148"/>
      <c r="UJT293" s="148"/>
      <c r="UJU293" s="148"/>
      <c r="UJV293" s="148"/>
      <c r="UJW293" s="148"/>
      <c r="UJX293" s="148"/>
      <c r="UJY293" s="148"/>
      <c r="UJZ293" s="148"/>
      <c r="UKA293" s="148"/>
      <c r="UKB293" s="148"/>
      <c r="UKC293" s="148"/>
      <c r="UKD293" s="148"/>
      <c r="UKE293" s="148"/>
      <c r="UKF293" s="148"/>
      <c r="UKG293" s="148"/>
      <c r="UKH293" s="148"/>
      <c r="UKI293" s="148"/>
      <c r="UKJ293" s="148"/>
      <c r="UKK293" s="148"/>
      <c r="UKL293" s="148"/>
      <c r="UKM293" s="148"/>
      <c r="UKN293" s="148"/>
      <c r="UKO293" s="148"/>
      <c r="UKP293" s="148"/>
      <c r="UKQ293" s="148"/>
      <c r="UKR293" s="148"/>
      <c r="UKS293" s="148"/>
      <c r="UKT293" s="148"/>
      <c r="UKU293" s="148"/>
      <c r="UKV293" s="148"/>
      <c r="UKW293" s="148"/>
      <c r="UKX293" s="148"/>
      <c r="UKY293" s="148"/>
      <c r="UKZ293" s="148"/>
      <c r="ULA293" s="148"/>
      <c r="ULB293" s="148"/>
      <c r="ULC293" s="148"/>
      <c r="ULD293" s="148"/>
      <c r="ULE293" s="148"/>
      <c r="ULF293" s="148"/>
      <c r="ULG293" s="148"/>
      <c r="ULH293" s="148"/>
      <c r="ULI293" s="148"/>
      <c r="ULJ293" s="148"/>
      <c r="ULK293" s="148"/>
      <c r="ULL293" s="148"/>
      <c r="ULM293" s="148"/>
      <c r="ULN293" s="148"/>
      <c r="ULO293" s="148"/>
      <c r="ULP293" s="148"/>
      <c r="ULQ293" s="148"/>
      <c r="ULR293" s="148"/>
      <c r="ULS293" s="148"/>
      <c r="ULT293" s="148"/>
      <c r="ULU293" s="148"/>
      <c r="ULV293" s="148"/>
      <c r="ULW293" s="148"/>
      <c r="ULX293" s="148"/>
      <c r="ULY293" s="148"/>
      <c r="ULZ293" s="148"/>
      <c r="UMA293" s="148"/>
      <c r="UMB293" s="148"/>
      <c r="UMC293" s="148"/>
      <c r="UMD293" s="148"/>
      <c r="UME293" s="148"/>
      <c r="UMF293" s="148"/>
      <c r="UMG293" s="148"/>
      <c r="UMH293" s="148"/>
      <c r="UMI293" s="148"/>
      <c r="UMJ293" s="148"/>
      <c r="UMK293" s="148"/>
      <c r="UML293" s="148"/>
      <c r="UMM293" s="148"/>
      <c r="UMN293" s="148"/>
      <c r="UMO293" s="148"/>
      <c r="UMP293" s="148"/>
      <c r="UMQ293" s="148"/>
      <c r="UMR293" s="148"/>
      <c r="UMS293" s="148"/>
      <c r="UMT293" s="148"/>
      <c r="UMU293" s="148"/>
      <c r="UMV293" s="148"/>
      <c r="UMW293" s="148"/>
      <c r="UMX293" s="148"/>
      <c r="UMY293" s="148"/>
      <c r="UMZ293" s="148"/>
      <c r="UNA293" s="148"/>
      <c r="UNB293" s="148"/>
      <c r="UNC293" s="148"/>
      <c r="UND293" s="148"/>
      <c r="UNE293" s="148"/>
      <c r="UNF293" s="148"/>
      <c r="UNG293" s="148"/>
      <c r="UNH293" s="148"/>
      <c r="UNI293" s="148"/>
      <c r="UNJ293" s="148"/>
      <c r="UNK293" s="148"/>
      <c r="UNL293" s="148"/>
      <c r="UNM293" s="148"/>
      <c r="UNN293" s="148"/>
      <c r="UNO293" s="148"/>
      <c r="UNP293" s="148"/>
      <c r="UNQ293" s="148"/>
      <c r="UNR293" s="148"/>
      <c r="UNS293" s="148"/>
      <c r="UNT293" s="148"/>
      <c r="UNU293" s="148"/>
      <c r="UNV293" s="148"/>
      <c r="UNW293" s="148"/>
      <c r="UNX293" s="148"/>
      <c r="UNY293" s="148"/>
      <c r="UNZ293" s="148"/>
      <c r="UOA293" s="148"/>
      <c r="UOB293" s="148"/>
      <c r="UOC293" s="148"/>
      <c r="UOD293" s="148"/>
      <c r="UOE293" s="148"/>
      <c r="UOF293" s="148"/>
      <c r="UOG293" s="148"/>
      <c r="UOH293" s="148"/>
      <c r="UOI293" s="148"/>
      <c r="UOJ293" s="148"/>
      <c r="UOK293" s="148"/>
      <c r="UOL293" s="148"/>
      <c r="UOM293" s="148"/>
      <c r="UON293" s="148"/>
      <c r="UOO293" s="148"/>
      <c r="UOP293" s="148"/>
      <c r="UOQ293" s="148"/>
      <c r="UOR293" s="148"/>
      <c r="UOS293" s="148"/>
      <c r="UOT293" s="148"/>
      <c r="UOU293" s="148"/>
      <c r="UOV293" s="148"/>
      <c r="UOW293" s="148"/>
      <c r="UOX293" s="148"/>
      <c r="UOY293" s="148"/>
      <c r="UOZ293" s="148"/>
      <c r="UPA293" s="148"/>
      <c r="UPB293" s="148"/>
      <c r="UPC293" s="148"/>
      <c r="UPD293" s="148"/>
      <c r="UPE293" s="148"/>
      <c r="UPF293" s="148"/>
      <c r="UPG293" s="148"/>
      <c r="UPH293" s="148"/>
      <c r="UPI293" s="148"/>
      <c r="UPJ293" s="148"/>
      <c r="UPK293" s="148"/>
      <c r="UPL293" s="148"/>
      <c r="UPM293" s="148"/>
      <c r="UPN293" s="148"/>
      <c r="UPO293" s="148"/>
      <c r="UPP293" s="148"/>
      <c r="UPQ293" s="148"/>
      <c r="UPR293" s="148"/>
      <c r="UPS293" s="148"/>
      <c r="UPT293" s="148"/>
      <c r="UPU293" s="148"/>
      <c r="UPV293" s="148"/>
      <c r="UPW293" s="148"/>
      <c r="UPX293" s="148"/>
      <c r="UPY293" s="148"/>
      <c r="UPZ293" s="148"/>
      <c r="UQA293" s="148"/>
      <c r="UQB293" s="148"/>
      <c r="UQC293" s="148"/>
      <c r="UQD293" s="148"/>
      <c r="UQE293" s="148"/>
      <c r="UQF293" s="148"/>
      <c r="UQG293" s="148"/>
      <c r="UQH293" s="148"/>
      <c r="UQI293" s="148"/>
      <c r="UQJ293" s="148"/>
      <c r="UQK293" s="148"/>
      <c r="UQL293" s="148"/>
      <c r="UQM293" s="148"/>
      <c r="UQN293" s="148"/>
      <c r="UQO293" s="148"/>
      <c r="UQP293" s="148"/>
      <c r="UQQ293" s="148"/>
      <c r="UQR293" s="148"/>
      <c r="UQS293" s="148"/>
      <c r="UQT293" s="148"/>
      <c r="UQU293" s="148"/>
      <c r="UQV293" s="148"/>
      <c r="UQW293" s="148"/>
      <c r="UQX293" s="148"/>
      <c r="UQY293" s="148"/>
      <c r="UQZ293" s="148"/>
      <c r="URA293" s="148"/>
      <c r="URB293" s="148"/>
      <c r="URC293" s="148"/>
      <c r="URD293" s="148"/>
      <c r="URE293" s="148"/>
      <c r="URF293" s="148"/>
      <c r="URG293" s="148"/>
      <c r="URH293" s="148"/>
      <c r="URI293" s="148"/>
      <c r="URJ293" s="148"/>
      <c r="URK293" s="148"/>
      <c r="URL293" s="148"/>
      <c r="URM293" s="148"/>
      <c r="URN293" s="148"/>
      <c r="URO293" s="148"/>
      <c r="URP293" s="148"/>
      <c r="URQ293" s="148"/>
      <c r="URR293" s="148"/>
      <c r="URS293" s="148"/>
      <c r="URT293" s="148"/>
      <c r="URU293" s="148"/>
      <c r="URV293" s="148"/>
      <c r="URW293" s="148"/>
      <c r="URX293" s="148"/>
      <c r="URY293" s="148"/>
      <c r="URZ293" s="148"/>
      <c r="USA293" s="148"/>
      <c r="USB293" s="148"/>
      <c r="USC293" s="148"/>
      <c r="USD293" s="148"/>
      <c r="USE293" s="148"/>
      <c r="USF293" s="148"/>
      <c r="USG293" s="148"/>
      <c r="USH293" s="148"/>
      <c r="USI293" s="148"/>
      <c r="USJ293" s="148"/>
      <c r="USK293" s="148"/>
      <c r="USL293" s="148"/>
      <c r="USM293" s="148"/>
      <c r="USN293" s="148"/>
      <c r="USO293" s="148"/>
      <c r="USP293" s="148"/>
      <c r="USQ293" s="148"/>
      <c r="USR293" s="148"/>
      <c r="USS293" s="148"/>
      <c r="UST293" s="148"/>
      <c r="USU293" s="148"/>
      <c r="USV293" s="148"/>
      <c r="USW293" s="148"/>
      <c r="USX293" s="148"/>
      <c r="USY293" s="148"/>
      <c r="USZ293" s="148"/>
      <c r="UTA293" s="148"/>
      <c r="UTB293" s="148"/>
      <c r="UTC293" s="148"/>
      <c r="UTD293" s="148"/>
      <c r="UTE293" s="148"/>
      <c r="UTF293" s="148"/>
      <c r="UTG293" s="148"/>
      <c r="UTH293" s="148"/>
      <c r="UTI293" s="148"/>
      <c r="UTJ293" s="148"/>
      <c r="UTK293" s="148"/>
      <c r="UTL293" s="148"/>
      <c r="UTM293" s="148"/>
      <c r="UTN293" s="148"/>
      <c r="UTO293" s="148"/>
      <c r="UTP293" s="148"/>
      <c r="UTQ293" s="148"/>
      <c r="UTR293" s="148"/>
      <c r="UTS293" s="148"/>
      <c r="UTT293" s="148"/>
      <c r="UTU293" s="148"/>
      <c r="UTV293" s="148"/>
      <c r="UTW293" s="148"/>
      <c r="UTX293" s="148"/>
      <c r="UTY293" s="148"/>
      <c r="UTZ293" s="148"/>
      <c r="UUA293" s="148"/>
      <c r="UUB293" s="148"/>
      <c r="UUC293" s="148"/>
      <c r="UUD293" s="148"/>
      <c r="UUE293" s="148"/>
      <c r="UUF293" s="148"/>
      <c r="UUG293" s="148"/>
      <c r="UUH293" s="148"/>
      <c r="UUI293" s="148"/>
      <c r="UUJ293" s="148"/>
      <c r="UUK293" s="148"/>
      <c r="UUL293" s="148"/>
      <c r="UUM293" s="148"/>
      <c r="UUN293" s="148"/>
      <c r="UUO293" s="148"/>
      <c r="UUP293" s="148"/>
      <c r="UUQ293" s="148"/>
      <c r="UUR293" s="148"/>
      <c r="UUS293" s="148"/>
      <c r="UUT293" s="148"/>
      <c r="UUU293" s="148"/>
      <c r="UUV293" s="148"/>
      <c r="UUW293" s="148"/>
      <c r="UUX293" s="148"/>
      <c r="UUY293" s="148"/>
      <c r="UUZ293" s="148"/>
      <c r="UVA293" s="148"/>
      <c r="UVB293" s="148"/>
      <c r="UVC293" s="148"/>
      <c r="UVD293" s="148"/>
      <c r="UVE293" s="148"/>
      <c r="UVF293" s="148"/>
      <c r="UVG293" s="148"/>
      <c r="UVH293" s="148"/>
      <c r="UVI293" s="148"/>
      <c r="UVJ293" s="148"/>
      <c r="UVK293" s="148"/>
      <c r="UVL293" s="148"/>
      <c r="UVM293" s="148"/>
      <c r="UVN293" s="148"/>
      <c r="UVO293" s="148"/>
      <c r="UVP293" s="148"/>
      <c r="UVQ293" s="148"/>
      <c r="UVR293" s="148"/>
      <c r="UVS293" s="148"/>
      <c r="UVT293" s="148"/>
      <c r="UVU293" s="148"/>
      <c r="UVV293" s="148"/>
      <c r="UVW293" s="148"/>
      <c r="UVX293" s="148"/>
      <c r="UVY293" s="148"/>
      <c r="UVZ293" s="148"/>
      <c r="UWA293" s="148"/>
      <c r="UWB293" s="148"/>
      <c r="UWC293" s="148"/>
      <c r="UWD293" s="148"/>
      <c r="UWE293" s="148"/>
      <c r="UWF293" s="148"/>
      <c r="UWG293" s="148"/>
      <c r="UWH293" s="148"/>
      <c r="UWI293" s="148"/>
      <c r="UWJ293" s="148"/>
      <c r="UWK293" s="148"/>
      <c r="UWL293" s="148"/>
      <c r="UWM293" s="148"/>
      <c r="UWN293" s="148"/>
      <c r="UWO293" s="148"/>
      <c r="UWP293" s="148"/>
      <c r="UWQ293" s="148"/>
      <c r="UWR293" s="148"/>
      <c r="UWS293" s="148"/>
      <c r="UWT293" s="148"/>
      <c r="UWU293" s="148"/>
      <c r="UWV293" s="148"/>
      <c r="UWW293" s="148"/>
      <c r="UWX293" s="148"/>
      <c r="UWY293" s="148"/>
      <c r="UWZ293" s="148"/>
      <c r="UXA293" s="148"/>
      <c r="UXB293" s="148"/>
      <c r="UXC293" s="148"/>
      <c r="UXD293" s="148"/>
      <c r="UXE293" s="148"/>
      <c r="UXF293" s="148"/>
      <c r="UXG293" s="148"/>
      <c r="UXH293" s="148"/>
      <c r="UXI293" s="148"/>
      <c r="UXJ293" s="148"/>
      <c r="UXK293" s="148"/>
      <c r="UXL293" s="148"/>
      <c r="UXM293" s="148"/>
      <c r="UXN293" s="148"/>
      <c r="UXO293" s="148"/>
      <c r="UXP293" s="148"/>
      <c r="UXQ293" s="148"/>
      <c r="UXR293" s="148"/>
      <c r="UXS293" s="148"/>
      <c r="UXT293" s="148"/>
      <c r="UXU293" s="148"/>
      <c r="UXV293" s="148"/>
      <c r="UXW293" s="148"/>
      <c r="UXX293" s="148"/>
      <c r="UXY293" s="148"/>
      <c r="UXZ293" s="148"/>
      <c r="UYA293" s="148"/>
      <c r="UYB293" s="148"/>
      <c r="UYC293" s="148"/>
      <c r="UYD293" s="148"/>
      <c r="UYE293" s="148"/>
      <c r="UYF293" s="148"/>
      <c r="UYG293" s="148"/>
      <c r="UYH293" s="148"/>
      <c r="UYI293" s="148"/>
      <c r="UYJ293" s="148"/>
      <c r="UYK293" s="148"/>
      <c r="UYL293" s="148"/>
      <c r="UYM293" s="148"/>
      <c r="UYN293" s="148"/>
      <c r="UYO293" s="148"/>
      <c r="UYP293" s="148"/>
      <c r="UYQ293" s="148"/>
      <c r="UYR293" s="148"/>
      <c r="UYS293" s="148"/>
      <c r="UYT293" s="148"/>
      <c r="UYU293" s="148"/>
      <c r="UYV293" s="148"/>
      <c r="UYW293" s="148"/>
      <c r="UYX293" s="148"/>
      <c r="UYY293" s="148"/>
      <c r="UYZ293" s="148"/>
      <c r="UZA293" s="148"/>
      <c r="UZB293" s="148"/>
      <c r="UZC293" s="148"/>
      <c r="UZD293" s="148"/>
      <c r="UZE293" s="148"/>
      <c r="UZF293" s="148"/>
      <c r="UZG293" s="148"/>
      <c r="UZH293" s="148"/>
      <c r="UZI293" s="148"/>
      <c r="UZJ293" s="148"/>
      <c r="UZK293" s="148"/>
      <c r="UZL293" s="148"/>
      <c r="UZM293" s="148"/>
      <c r="UZN293" s="148"/>
      <c r="UZO293" s="148"/>
      <c r="UZP293" s="148"/>
      <c r="UZQ293" s="148"/>
      <c r="UZR293" s="148"/>
      <c r="UZS293" s="148"/>
      <c r="UZT293" s="148"/>
      <c r="UZU293" s="148"/>
      <c r="UZV293" s="148"/>
      <c r="UZW293" s="148"/>
      <c r="UZX293" s="148"/>
      <c r="UZY293" s="148"/>
      <c r="UZZ293" s="148"/>
      <c r="VAA293" s="148"/>
      <c r="VAB293" s="148"/>
      <c r="VAC293" s="148"/>
      <c r="VAD293" s="148"/>
      <c r="VAE293" s="148"/>
      <c r="VAF293" s="148"/>
      <c r="VAG293" s="148"/>
      <c r="VAH293" s="148"/>
      <c r="VAI293" s="148"/>
      <c r="VAJ293" s="148"/>
      <c r="VAK293" s="148"/>
      <c r="VAL293" s="148"/>
      <c r="VAM293" s="148"/>
      <c r="VAN293" s="148"/>
      <c r="VAO293" s="148"/>
      <c r="VAP293" s="148"/>
      <c r="VAQ293" s="148"/>
      <c r="VAR293" s="148"/>
      <c r="VAS293" s="148"/>
      <c r="VAT293" s="148"/>
      <c r="VAU293" s="148"/>
      <c r="VAV293" s="148"/>
      <c r="VAW293" s="148"/>
      <c r="VAX293" s="148"/>
      <c r="VAY293" s="148"/>
      <c r="VAZ293" s="148"/>
      <c r="VBA293" s="148"/>
      <c r="VBB293" s="148"/>
      <c r="VBC293" s="148"/>
      <c r="VBD293" s="148"/>
      <c r="VBE293" s="148"/>
      <c r="VBF293" s="148"/>
      <c r="VBG293" s="148"/>
      <c r="VBH293" s="148"/>
      <c r="VBI293" s="148"/>
      <c r="VBJ293" s="148"/>
      <c r="VBK293" s="148"/>
      <c r="VBL293" s="148"/>
      <c r="VBM293" s="148"/>
      <c r="VBN293" s="148"/>
      <c r="VBO293" s="148"/>
      <c r="VBP293" s="148"/>
      <c r="VBQ293" s="148"/>
      <c r="VBR293" s="148"/>
      <c r="VBS293" s="148"/>
      <c r="VBT293" s="148"/>
      <c r="VBU293" s="148"/>
      <c r="VBV293" s="148"/>
      <c r="VBW293" s="148"/>
      <c r="VBX293" s="148"/>
      <c r="VBY293" s="148"/>
      <c r="VBZ293" s="148"/>
      <c r="VCA293" s="148"/>
      <c r="VCB293" s="148"/>
      <c r="VCC293" s="148"/>
      <c r="VCD293" s="148"/>
      <c r="VCE293" s="148"/>
      <c r="VCF293" s="148"/>
      <c r="VCG293" s="148"/>
      <c r="VCH293" s="148"/>
      <c r="VCI293" s="148"/>
      <c r="VCJ293" s="148"/>
      <c r="VCK293" s="148"/>
      <c r="VCL293" s="148"/>
      <c r="VCM293" s="148"/>
      <c r="VCN293" s="148"/>
      <c r="VCO293" s="148"/>
      <c r="VCP293" s="148"/>
      <c r="VCQ293" s="148"/>
      <c r="VCR293" s="148"/>
      <c r="VCS293" s="148"/>
      <c r="VCT293" s="148"/>
      <c r="VCU293" s="148"/>
      <c r="VCV293" s="148"/>
      <c r="VCW293" s="148"/>
      <c r="VCX293" s="148"/>
      <c r="VCY293" s="148"/>
      <c r="VCZ293" s="148"/>
      <c r="VDA293" s="148"/>
      <c r="VDB293" s="148"/>
      <c r="VDC293" s="148"/>
      <c r="VDD293" s="148"/>
      <c r="VDE293" s="148"/>
      <c r="VDF293" s="148"/>
      <c r="VDG293" s="148"/>
      <c r="VDH293" s="148"/>
      <c r="VDI293" s="148"/>
      <c r="VDJ293" s="148"/>
      <c r="VDK293" s="148"/>
      <c r="VDL293" s="148"/>
      <c r="VDM293" s="148"/>
      <c r="VDN293" s="148"/>
      <c r="VDO293" s="148"/>
      <c r="VDP293" s="148"/>
      <c r="VDQ293" s="148"/>
      <c r="VDR293" s="148"/>
      <c r="VDS293" s="148"/>
      <c r="VDT293" s="148"/>
      <c r="VDU293" s="148"/>
      <c r="VDV293" s="148"/>
      <c r="VDW293" s="148"/>
      <c r="VDX293" s="148"/>
      <c r="VDY293" s="148"/>
      <c r="VDZ293" s="148"/>
      <c r="VEA293" s="148"/>
      <c r="VEB293" s="148"/>
      <c r="VEC293" s="148"/>
      <c r="VED293" s="148"/>
      <c r="VEE293" s="148"/>
      <c r="VEF293" s="148"/>
      <c r="VEG293" s="148"/>
      <c r="VEH293" s="148"/>
      <c r="VEI293" s="148"/>
      <c r="VEJ293" s="148"/>
      <c r="VEK293" s="148"/>
      <c r="VEL293" s="148"/>
      <c r="VEM293" s="148"/>
      <c r="VEN293" s="148"/>
      <c r="VEO293" s="148"/>
      <c r="VEP293" s="148"/>
      <c r="VEQ293" s="148"/>
      <c r="VER293" s="148"/>
      <c r="VES293" s="148"/>
      <c r="VET293" s="148"/>
      <c r="VEU293" s="148"/>
      <c r="VEV293" s="148"/>
      <c r="VEW293" s="148"/>
      <c r="VEX293" s="148"/>
      <c r="VEY293" s="148"/>
      <c r="VEZ293" s="148"/>
      <c r="VFA293" s="148"/>
      <c r="VFB293" s="148"/>
      <c r="VFC293" s="148"/>
      <c r="VFD293" s="148"/>
      <c r="VFE293" s="148"/>
      <c r="VFF293" s="148"/>
      <c r="VFG293" s="148"/>
      <c r="VFH293" s="148"/>
      <c r="VFI293" s="148"/>
      <c r="VFJ293" s="148"/>
      <c r="VFK293" s="148"/>
      <c r="VFL293" s="148"/>
      <c r="VFM293" s="148"/>
      <c r="VFN293" s="148"/>
      <c r="VFO293" s="148"/>
      <c r="VFP293" s="148"/>
      <c r="VFQ293" s="148"/>
      <c r="VFR293" s="148"/>
      <c r="VFS293" s="148"/>
      <c r="VFT293" s="148"/>
      <c r="VFU293" s="148"/>
      <c r="VFV293" s="148"/>
      <c r="VFW293" s="148"/>
      <c r="VFX293" s="148"/>
      <c r="VFY293" s="148"/>
      <c r="VFZ293" s="148"/>
      <c r="VGA293" s="148"/>
      <c r="VGB293" s="148"/>
      <c r="VGC293" s="148"/>
      <c r="VGD293" s="148"/>
      <c r="VGE293" s="148"/>
      <c r="VGF293" s="148"/>
      <c r="VGG293" s="148"/>
      <c r="VGH293" s="148"/>
      <c r="VGI293" s="148"/>
      <c r="VGJ293" s="148"/>
      <c r="VGK293" s="148"/>
      <c r="VGL293" s="148"/>
      <c r="VGM293" s="148"/>
      <c r="VGN293" s="148"/>
      <c r="VGO293" s="148"/>
      <c r="VGP293" s="148"/>
      <c r="VGQ293" s="148"/>
      <c r="VGR293" s="148"/>
      <c r="VGS293" s="148"/>
      <c r="VGT293" s="148"/>
      <c r="VGU293" s="148"/>
      <c r="VGV293" s="148"/>
      <c r="VGW293" s="148"/>
      <c r="VGX293" s="148"/>
      <c r="VGY293" s="148"/>
      <c r="VGZ293" s="148"/>
      <c r="VHA293" s="148"/>
      <c r="VHB293" s="148"/>
      <c r="VHC293" s="148"/>
      <c r="VHD293" s="148"/>
      <c r="VHE293" s="148"/>
      <c r="VHF293" s="148"/>
      <c r="VHG293" s="148"/>
      <c r="VHH293" s="148"/>
      <c r="VHI293" s="148"/>
      <c r="VHJ293" s="148"/>
      <c r="VHK293" s="148"/>
      <c r="VHL293" s="148"/>
      <c r="VHM293" s="148"/>
      <c r="VHN293" s="148"/>
      <c r="VHO293" s="148"/>
      <c r="VHP293" s="148"/>
      <c r="VHQ293" s="148"/>
      <c r="VHR293" s="148"/>
      <c r="VHS293" s="148"/>
      <c r="VHT293" s="148"/>
      <c r="VHU293" s="148"/>
      <c r="VHV293" s="148"/>
      <c r="VHW293" s="148"/>
      <c r="VHX293" s="148"/>
      <c r="VHY293" s="148"/>
      <c r="VHZ293" s="148"/>
      <c r="VIA293" s="148"/>
      <c r="VIB293" s="148"/>
      <c r="VIC293" s="148"/>
      <c r="VID293" s="148"/>
      <c r="VIE293" s="148"/>
      <c r="VIF293" s="148"/>
      <c r="VIG293" s="148"/>
      <c r="VIH293" s="148"/>
      <c r="VII293" s="148"/>
      <c r="VIJ293" s="148"/>
      <c r="VIK293" s="148"/>
      <c r="VIL293" s="148"/>
      <c r="VIM293" s="148"/>
      <c r="VIN293" s="148"/>
      <c r="VIO293" s="148"/>
      <c r="VIP293" s="148"/>
      <c r="VIQ293" s="148"/>
      <c r="VIR293" s="148"/>
      <c r="VIS293" s="148"/>
      <c r="VIT293" s="148"/>
      <c r="VIU293" s="148"/>
      <c r="VIV293" s="148"/>
      <c r="VIW293" s="148"/>
      <c r="VIX293" s="148"/>
      <c r="VIY293" s="148"/>
      <c r="VIZ293" s="148"/>
      <c r="VJA293" s="148"/>
      <c r="VJB293" s="148"/>
      <c r="VJC293" s="148"/>
      <c r="VJD293" s="148"/>
      <c r="VJE293" s="148"/>
      <c r="VJF293" s="148"/>
      <c r="VJG293" s="148"/>
      <c r="VJH293" s="148"/>
      <c r="VJI293" s="148"/>
      <c r="VJJ293" s="148"/>
      <c r="VJK293" s="148"/>
      <c r="VJL293" s="148"/>
      <c r="VJM293" s="148"/>
      <c r="VJN293" s="148"/>
      <c r="VJO293" s="148"/>
      <c r="VJP293" s="148"/>
      <c r="VJQ293" s="148"/>
      <c r="VJR293" s="148"/>
      <c r="VJS293" s="148"/>
      <c r="VJT293" s="148"/>
      <c r="VJU293" s="148"/>
      <c r="VJV293" s="148"/>
      <c r="VJW293" s="148"/>
      <c r="VJX293" s="148"/>
      <c r="VJY293" s="148"/>
      <c r="VJZ293" s="148"/>
      <c r="VKA293" s="148"/>
      <c r="VKB293" s="148"/>
      <c r="VKC293" s="148"/>
      <c r="VKD293" s="148"/>
      <c r="VKE293" s="148"/>
      <c r="VKF293" s="148"/>
      <c r="VKG293" s="148"/>
      <c r="VKH293" s="148"/>
      <c r="VKI293" s="148"/>
      <c r="VKJ293" s="148"/>
      <c r="VKK293" s="148"/>
      <c r="VKL293" s="148"/>
      <c r="VKM293" s="148"/>
      <c r="VKN293" s="148"/>
      <c r="VKO293" s="148"/>
      <c r="VKP293" s="148"/>
      <c r="VKQ293" s="148"/>
      <c r="VKR293" s="148"/>
      <c r="VKS293" s="148"/>
      <c r="VKT293" s="148"/>
      <c r="VKU293" s="148"/>
      <c r="VKV293" s="148"/>
      <c r="VKW293" s="148"/>
      <c r="VKX293" s="148"/>
      <c r="VKY293" s="148"/>
      <c r="VKZ293" s="148"/>
      <c r="VLA293" s="148"/>
      <c r="VLB293" s="148"/>
      <c r="VLC293" s="148"/>
      <c r="VLD293" s="148"/>
      <c r="VLE293" s="148"/>
      <c r="VLF293" s="148"/>
      <c r="VLG293" s="148"/>
      <c r="VLH293" s="148"/>
      <c r="VLI293" s="148"/>
      <c r="VLJ293" s="148"/>
      <c r="VLK293" s="148"/>
      <c r="VLL293" s="148"/>
      <c r="VLM293" s="148"/>
      <c r="VLN293" s="148"/>
      <c r="VLO293" s="148"/>
      <c r="VLP293" s="148"/>
      <c r="VLQ293" s="148"/>
      <c r="VLR293" s="148"/>
      <c r="VLS293" s="148"/>
      <c r="VLT293" s="148"/>
      <c r="VLU293" s="148"/>
      <c r="VLV293" s="148"/>
      <c r="VLW293" s="148"/>
      <c r="VLX293" s="148"/>
      <c r="VLY293" s="148"/>
      <c r="VLZ293" s="148"/>
      <c r="VMA293" s="148"/>
      <c r="VMB293" s="148"/>
      <c r="VMC293" s="148"/>
      <c r="VMD293" s="148"/>
      <c r="VME293" s="148"/>
      <c r="VMF293" s="148"/>
      <c r="VMG293" s="148"/>
      <c r="VMH293" s="148"/>
      <c r="VMI293" s="148"/>
      <c r="VMJ293" s="148"/>
      <c r="VMK293" s="148"/>
      <c r="VML293" s="148"/>
      <c r="VMM293" s="148"/>
      <c r="VMN293" s="148"/>
      <c r="VMO293" s="148"/>
      <c r="VMP293" s="148"/>
      <c r="VMQ293" s="148"/>
      <c r="VMR293" s="148"/>
      <c r="VMS293" s="148"/>
      <c r="VMT293" s="148"/>
      <c r="VMU293" s="148"/>
      <c r="VMV293" s="148"/>
      <c r="VMW293" s="148"/>
      <c r="VMX293" s="148"/>
      <c r="VMY293" s="148"/>
      <c r="VMZ293" s="148"/>
      <c r="VNA293" s="148"/>
      <c r="VNB293" s="148"/>
      <c r="VNC293" s="148"/>
      <c r="VND293" s="148"/>
      <c r="VNE293" s="148"/>
      <c r="VNF293" s="148"/>
      <c r="VNG293" s="148"/>
      <c r="VNH293" s="148"/>
      <c r="VNI293" s="148"/>
      <c r="VNJ293" s="148"/>
      <c r="VNK293" s="148"/>
      <c r="VNL293" s="148"/>
      <c r="VNM293" s="148"/>
      <c r="VNN293" s="148"/>
      <c r="VNO293" s="148"/>
      <c r="VNP293" s="148"/>
      <c r="VNQ293" s="148"/>
      <c r="VNR293" s="148"/>
      <c r="VNS293" s="148"/>
      <c r="VNT293" s="148"/>
      <c r="VNU293" s="148"/>
      <c r="VNV293" s="148"/>
      <c r="VNW293" s="148"/>
      <c r="VNX293" s="148"/>
      <c r="VNY293" s="148"/>
      <c r="VNZ293" s="148"/>
      <c r="VOA293" s="148"/>
      <c r="VOB293" s="148"/>
      <c r="VOC293" s="148"/>
      <c r="VOD293" s="148"/>
      <c r="VOE293" s="148"/>
      <c r="VOF293" s="148"/>
      <c r="VOG293" s="148"/>
      <c r="VOH293" s="148"/>
      <c r="VOI293" s="148"/>
      <c r="VOJ293" s="148"/>
      <c r="VOK293" s="148"/>
      <c r="VOL293" s="148"/>
      <c r="VOM293" s="148"/>
      <c r="VON293" s="148"/>
      <c r="VOO293" s="148"/>
      <c r="VOP293" s="148"/>
      <c r="VOQ293" s="148"/>
      <c r="VOR293" s="148"/>
      <c r="VOS293" s="148"/>
      <c r="VOT293" s="148"/>
      <c r="VOU293" s="148"/>
      <c r="VOV293" s="148"/>
      <c r="VOW293" s="148"/>
      <c r="VOX293" s="148"/>
      <c r="VOY293" s="148"/>
      <c r="VOZ293" s="148"/>
      <c r="VPA293" s="148"/>
      <c r="VPB293" s="148"/>
      <c r="VPC293" s="148"/>
      <c r="VPD293" s="148"/>
      <c r="VPE293" s="148"/>
      <c r="VPF293" s="148"/>
      <c r="VPG293" s="148"/>
      <c r="VPH293" s="148"/>
      <c r="VPI293" s="148"/>
      <c r="VPJ293" s="148"/>
      <c r="VPK293" s="148"/>
      <c r="VPL293" s="148"/>
      <c r="VPM293" s="148"/>
      <c r="VPN293" s="148"/>
      <c r="VPO293" s="148"/>
      <c r="VPP293" s="148"/>
      <c r="VPQ293" s="148"/>
      <c r="VPR293" s="148"/>
      <c r="VPS293" s="148"/>
      <c r="VPT293" s="148"/>
      <c r="VPU293" s="148"/>
      <c r="VPV293" s="148"/>
      <c r="VPW293" s="148"/>
      <c r="VPX293" s="148"/>
      <c r="VPY293" s="148"/>
      <c r="VPZ293" s="148"/>
      <c r="VQA293" s="148"/>
      <c r="VQB293" s="148"/>
      <c r="VQC293" s="148"/>
      <c r="VQD293" s="148"/>
      <c r="VQE293" s="148"/>
      <c r="VQF293" s="148"/>
      <c r="VQG293" s="148"/>
      <c r="VQH293" s="148"/>
      <c r="VQI293" s="148"/>
      <c r="VQJ293" s="148"/>
      <c r="VQK293" s="148"/>
      <c r="VQL293" s="148"/>
      <c r="VQM293" s="148"/>
      <c r="VQN293" s="148"/>
      <c r="VQO293" s="148"/>
      <c r="VQP293" s="148"/>
      <c r="VQQ293" s="148"/>
      <c r="VQR293" s="148"/>
      <c r="VQS293" s="148"/>
      <c r="VQT293" s="148"/>
      <c r="VQU293" s="148"/>
      <c r="VQV293" s="148"/>
      <c r="VQW293" s="148"/>
      <c r="VQX293" s="148"/>
      <c r="VQY293" s="148"/>
      <c r="VQZ293" s="148"/>
      <c r="VRA293" s="148"/>
      <c r="VRB293" s="148"/>
      <c r="VRC293" s="148"/>
      <c r="VRD293" s="148"/>
      <c r="VRE293" s="148"/>
      <c r="VRF293" s="148"/>
      <c r="VRG293" s="148"/>
      <c r="VRH293" s="148"/>
      <c r="VRI293" s="148"/>
      <c r="VRJ293" s="148"/>
      <c r="VRK293" s="148"/>
      <c r="VRL293" s="148"/>
      <c r="VRM293" s="148"/>
      <c r="VRN293" s="148"/>
      <c r="VRO293" s="148"/>
      <c r="VRP293" s="148"/>
      <c r="VRQ293" s="148"/>
      <c r="VRR293" s="148"/>
      <c r="VRS293" s="148"/>
      <c r="VRT293" s="148"/>
      <c r="VRU293" s="148"/>
      <c r="VRV293" s="148"/>
      <c r="VRW293" s="148"/>
      <c r="VRX293" s="148"/>
      <c r="VRY293" s="148"/>
      <c r="VRZ293" s="148"/>
      <c r="VSA293" s="148"/>
      <c r="VSB293" s="148"/>
      <c r="VSC293" s="148"/>
      <c r="VSD293" s="148"/>
      <c r="VSE293" s="148"/>
      <c r="VSF293" s="148"/>
      <c r="VSG293" s="148"/>
      <c r="VSH293" s="148"/>
      <c r="VSI293" s="148"/>
      <c r="VSJ293" s="148"/>
      <c r="VSK293" s="148"/>
      <c r="VSL293" s="148"/>
      <c r="VSM293" s="148"/>
      <c r="VSN293" s="148"/>
      <c r="VSO293" s="148"/>
      <c r="VSP293" s="148"/>
      <c r="VSQ293" s="148"/>
      <c r="VSR293" s="148"/>
      <c r="VSS293" s="148"/>
      <c r="VST293" s="148"/>
      <c r="VSU293" s="148"/>
      <c r="VSV293" s="148"/>
      <c r="VSW293" s="148"/>
      <c r="VSX293" s="148"/>
      <c r="VSY293" s="148"/>
      <c r="VSZ293" s="148"/>
      <c r="VTA293" s="148"/>
      <c r="VTB293" s="148"/>
      <c r="VTC293" s="148"/>
      <c r="VTD293" s="148"/>
      <c r="VTE293" s="148"/>
      <c r="VTF293" s="148"/>
      <c r="VTG293" s="148"/>
      <c r="VTH293" s="148"/>
      <c r="VTI293" s="148"/>
      <c r="VTJ293" s="148"/>
      <c r="VTK293" s="148"/>
      <c r="VTL293" s="148"/>
      <c r="VTM293" s="148"/>
      <c r="VTN293" s="148"/>
      <c r="VTO293" s="148"/>
      <c r="VTP293" s="148"/>
      <c r="VTQ293" s="148"/>
      <c r="VTR293" s="148"/>
      <c r="VTS293" s="148"/>
      <c r="VTT293" s="148"/>
      <c r="VTU293" s="148"/>
      <c r="VTV293" s="148"/>
      <c r="VTW293" s="148"/>
      <c r="VTX293" s="148"/>
      <c r="VTY293" s="148"/>
      <c r="VTZ293" s="148"/>
      <c r="VUA293" s="148"/>
      <c r="VUB293" s="148"/>
      <c r="VUC293" s="148"/>
      <c r="VUD293" s="148"/>
      <c r="VUE293" s="148"/>
      <c r="VUF293" s="148"/>
      <c r="VUG293" s="148"/>
      <c r="VUH293" s="148"/>
      <c r="VUI293" s="148"/>
      <c r="VUJ293" s="148"/>
      <c r="VUK293" s="148"/>
      <c r="VUL293" s="148"/>
      <c r="VUM293" s="148"/>
      <c r="VUN293" s="148"/>
      <c r="VUO293" s="148"/>
      <c r="VUP293" s="148"/>
      <c r="VUQ293" s="148"/>
      <c r="VUR293" s="148"/>
      <c r="VUS293" s="148"/>
      <c r="VUT293" s="148"/>
      <c r="VUU293" s="148"/>
      <c r="VUV293" s="148"/>
      <c r="VUW293" s="148"/>
      <c r="VUX293" s="148"/>
      <c r="VUY293" s="148"/>
      <c r="VUZ293" s="148"/>
      <c r="VVA293" s="148"/>
      <c r="VVB293" s="148"/>
      <c r="VVC293" s="148"/>
      <c r="VVD293" s="148"/>
      <c r="VVE293" s="148"/>
      <c r="VVF293" s="148"/>
      <c r="VVG293" s="148"/>
      <c r="VVH293" s="148"/>
      <c r="VVI293" s="148"/>
      <c r="VVJ293" s="148"/>
      <c r="VVK293" s="148"/>
      <c r="VVL293" s="148"/>
      <c r="VVM293" s="148"/>
      <c r="VVN293" s="148"/>
      <c r="VVO293" s="148"/>
      <c r="VVP293" s="148"/>
      <c r="VVQ293" s="148"/>
      <c r="VVR293" s="148"/>
      <c r="VVS293" s="148"/>
      <c r="VVT293" s="148"/>
      <c r="VVU293" s="148"/>
      <c r="VVV293" s="148"/>
      <c r="VVW293" s="148"/>
      <c r="VVX293" s="148"/>
      <c r="VVY293" s="148"/>
      <c r="VVZ293" s="148"/>
      <c r="VWA293" s="148"/>
      <c r="VWB293" s="148"/>
      <c r="VWC293" s="148"/>
      <c r="VWD293" s="148"/>
      <c r="VWE293" s="148"/>
      <c r="VWF293" s="148"/>
      <c r="VWG293" s="148"/>
      <c r="VWH293" s="148"/>
      <c r="VWI293" s="148"/>
      <c r="VWJ293" s="148"/>
      <c r="VWK293" s="148"/>
      <c r="VWL293" s="148"/>
      <c r="VWM293" s="148"/>
      <c r="VWN293" s="148"/>
      <c r="VWO293" s="148"/>
      <c r="VWP293" s="148"/>
      <c r="VWQ293" s="148"/>
      <c r="VWR293" s="148"/>
      <c r="VWS293" s="148"/>
      <c r="VWT293" s="148"/>
      <c r="VWU293" s="148"/>
      <c r="VWV293" s="148"/>
      <c r="VWW293" s="148"/>
      <c r="VWX293" s="148"/>
      <c r="VWY293" s="148"/>
      <c r="VWZ293" s="148"/>
      <c r="VXA293" s="148"/>
      <c r="VXB293" s="148"/>
      <c r="VXC293" s="148"/>
      <c r="VXD293" s="148"/>
      <c r="VXE293" s="148"/>
      <c r="VXF293" s="148"/>
      <c r="VXG293" s="148"/>
      <c r="VXH293" s="148"/>
      <c r="VXI293" s="148"/>
      <c r="VXJ293" s="148"/>
      <c r="VXK293" s="148"/>
      <c r="VXL293" s="148"/>
      <c r="VXM293" s="148"/>
      <c r="VXN293" s="148"/>
      <c r="VXO293" s="148"/>
      <c r="VXP293" s="148"/>
      <c r="VXQ293" s="148"/>
      <c r="VXR293" s="148"/>
      <c r="VXS293" s="148"/>
      <c r="VXT293" s="148"/>
      <c r="VXU293" s="148"/>
      <c r="VXV293" s="148"/>
      <c r="VXW293" s="148"/>
      <c r="VXX293" s="148"/>
      <c r="VXY293" s="148"/>
      <c r="VXZ293" s="148"/>
      <c r="VYA293" s="148"/>
      <c r="VYB293" s="148"/>
      <c r="VYC293" s="148"/>
      <c r="VYD293" s="148"/>
      <c r="VYE293" s="148"/>
      <c r="VYF293" s="148"/>
      <c r="VYG293" s="148"/>
      <c r="VYH293" s="148"/>
      <c r="VYI293" s="148"/>
      <c r="VYJ293" s="148"/>
      <c r="VYK293" s="148"/>
      <c r="VYL293" s="148"/>
      <c r="VYM293" s="148"/>
      <c r="VYN293" s="148"/>
      <c r="VYO293" s="148"/>
      <c r="VYP293" s="148"/>
      <c r="VYQ293" s="148"/>
      <c r="VYR293" s="148"/>
      <c r="VYS293" s="148"/>
      <c r="VYT293" s="148"/>
      <c r="VYU293" s="148"/>
      <c r="VYV293" s="148"/>
      <c r="VYW293" s="148"/>
      <c r="VYX293" s="148"/>
      <c r="VYY293" s="148"/>
      <c r="VYZ293" s="148"/>
      <c r="VZA293" s="148"/>
      <c r="VZB293" s="148"/>
      <c r="VZC293" s="148"/>
      <c r="VZD293" s="148"/>
      <c r="VZE293" s="148"/>
      <c r="VZF293" s="148"/>
      <c r="VZG293" s="148"/>
      <c r="VZH293" s="148"/>
      <c r="VZI293" s="148"/>
      <c r="VZJ293" s="148"/>
      <c r="VZK293" s="148"/>
      <c r="VZL293" s="148"/>
      <c r="VZM293" s="148"/>
      <c r="VZN293" s="148"/>
      <c r="VZO293" s="148"/>
      <c r="VZP293" s="148"/>
      <c r="VZQ293" s="148"/>
      <c r="VZR293" s="148"/>
      <c r="VZS293" s="148"/>
      <c r="VZT293" s="148"/>
      <c r="VZU293" s="148"/>
      <c r="VZV293" s="148"/>
      <c r="VZW293" s="148"/>
      <c r="VZX293" s="148"/>
      <c r="VZY293" s="148"/>
      <c r="VZZ293" s="148"/>
      <c r="WAA293" s="148"/>
      <c r="WAB293" s="148"/>
      <c r="WAC293" s="148"/>
      <c r="WAD293" s="148"/>
      <c r="WAE293" s="148"/>
      <c r="WAF293" s="148"/>
      <c r="WAG293" s="148"/>
      <c r="WAH293" s="148"/>
      <c r="WAI293" s="148"/>
      <c r="WAJ293" s="148"/>
      <c r="WAK293" s="148"/>
      <c r="WAL293" s="148"/>
      <c r="WAM293" s="148"/>
      <c r="WAN293" s="148"/>
      <c r="WAO293" s="148"/>
      <c r="WAP293" s="148"/>
      <c r="WAQ293" s="148"/>
      <c r="WAR293" s="148"/>
      <c r="WAS293" s="148"/>
      <c r="WAT293" s="148"/>
      <c r="WAU293" s="148"/>
      <c r="WAV293" s="148"/>
      <c r="WAW293" s="148"/>
      <c r="WAX293" s="148"/>
      <c r="WAY293" s="148"/>
      <c r="WAZ293" s="148"/>
      <c r="WBA293" s="148"/>
      <c r="WBB293" s="148"/>
      <c r="WBC293" s="148"/>
      <c r="WBD293" s="148"/>
      <c r="WBE293" s="148"/>
      <c r="WBF293" s="148"/>
      <c r="WBG293" s="148"/>
      <c r="WBH293" s="148"/>
      <c r="WBI293" s="148"/>
      <c r="WBJ293" s="148"/>
      <c r="WBK293" s="148"/>
      <c r="WBL293" s="148"/>
      <c r="WBM293" s="148"/>
      <c r="WBN293" s="148"/>
      <c r="WBO293" s="148"/>
      <c r="WBP293" s="148"/>
      <c r="WBQ293" s="148"/>
      <c r="WBR293" s="148"/>
      <c r="WBS293" s="148"/>
      <c r="WBT293" s="148"/>
      <c r="WBU293" s="148"/>
      <c r="WBV293" s="148"/>
      <c r="WBW293" s="148"/>
      <c r="WBX293" s="148"/>
      <c r="WBY293" s="148"/>
      <c r="WBZ293" s="148"/>
      <c r="WCA293" s="148"/>
      <c r="WCB293" s="148"/>
      <c r="WCC293" s="148"/>
      <c r="WCD293" s="148"/>
      <c r="WCE293" s="148"/>
      <c r="WCF293" s="148"/>
      <c r="WCG293" s="148"/>
      <c r="WCH293" s="148"/>
      <c r="WCI293" s="148"/>
      <c r="WCJ293" s="148"/>
      <c r="WCK293" s="148"/>
      <c r="WCL293" s="148"/>
      <c r="WCM293" s="148"/>
      <c r="WCN293" s="148"/>
      <c r="WCO293" s="148"/>
      <c r="WCP293" s="148"/>
      <c r="WCQ293" s="148"/>
      <c r="WCR293" s="148"/>
      <c r="WCS293" s="148"/>
      <c r="WCT293" s="148"/>
      <c r="WCU293" s="148"/>
      <c r="WCV293" s="148"/>
      <c r="WCW293" s="148"/>
      <c r="WCX293" s="148"/>
      <c r="WCY293" s="148"/>
      <c r="WCZ293" s="148"/>
      <c r="WDA293" s="148"/>
      <c r="WDB293" s="148"/>
      <c r="WDC293" s="148"/>
      <c r="WDD293" s="148"/>
      <c r="WDE293" s="148"/>
      <c r="WDF293" s="148"/>
      <c r="WDG293" s="148"/>
      <c r="WDH293" s="148"/>
      <c r="WDI293" s="148"/>
      <c r="WDJ293" s="148"/>
      <c r="WDK293" s="148"/>
      <c r="WDL293" s="148"/>
      <c r="WDM293" s="148"/>
      <c r="WDN293" s="148"/>
      <c r="WDO293" s="148"/>
      <c r="WDP293" s="148"/>
      <c r="WDQ293" s="148"/>
      <c r="WDR293" s="148"/>
      <c r="WDS293" s="148"/>
      <c r="WDT293" s="148"/>
      <c r="WDU293" s="148"/>
      <c r="WDV293" s="148"/>
      <c r="WDW293" s="148"/>
      <c r="WDX293" s="148"/>
      <c r="WDY293" s="148"/>
      <c r="WDZ293" s="148"/>
      <c r="WEA293" s="148"/>
      <c r="WEB293" s="148"/>
      <c r="WEC293" s="148"/>
      <c r="WED293" s="148"/>
      <c r="WEE293" s="148"/>
      <c r="WEF293" s="148"/>
      <c r="WEG293" s="148"/>
      <c r="WEH293" s="148"/>
      <c r="WEI293" s="148"/>
      <c r="WEJ293" s="148"/>
      <c r="WEK293" s="148"/>
      <c r="WEL293" s="148"/>
      <c r="WEM293" s="148"/>
      <c r="WEN293" s="148"/>
      <c r="WEO293" s="148"/>
      <c r="WEP293" s="148"/>
      <c r="WEQ293" s="148"/>
      <c r="WER293" s="148"/>
      <c r="WES293" s="148"/>
      <c r="WET293" s="148"/>
      <c r="WEU293" s="148"/>
      <c r="WEV293" s="148"/>
      <c r="WEW293" s="148"/>
      <c r="WEX293" s="148"/>
      <c r="WEY293" s="148"/>
      <c r="WEZ293" s="148"/>
      <c r="WFA293" s="148"/>
      <c r="WFB293" s="148"/>
      <c r="WFC293" s="148"/>
      <c r="WFD293" s="148"/>
      <c r="WFE293" s="148"/>
      <c r="WFF293" s="148"/>
      <c r="WFG293" s="148"/>
      <c r="WFH293" s="148"/>
      <c r="WFI293" s="148"/>
      <c r="WFJ293" s="148"/>
      <c r="WFK293" s="148"/>
      <c r="WFL293" s="148"/>
      <c r="WFM293" s="148"/>
      <c r="WFN293" s="148"/>
      <c r="WFO293" s="148"/>
      <c r="WFP293" s="148"/>
      <c r="WFQ293" s="148"/>
      <c r="WFR293" s="148"/>
      <c r="WFS293" s="148"/>
      <c r="WFT293" s="148"/>
      <c r="WFU293" s="148"/>
      <c r="WFV293" s="148"/>
      <c r="WFW293" s="148"/>
      <c r="WFX293" s="148"/>
      <c r="WFY293" s="148"/>
      <c r="WFZ293" s="148"/>
      <c r="WGA293" s="148"/>
      <c r="WGB293" s="148"/>
      <c r="WGC293" s="148"/>
      <c r="WGD293" s="148"/>
      <c r="WGE293" s="148"/>
      <c r="WGF293" s="148"/>
      <c r="WGG293" s="148"/>
      <c r="WGH293" s="148"/>
      <c r="WGI293" s="148"/>
      <c r="WGJ293" s="148"/>
      <c r="WGK293" s="148"/>
      <c r="WGL293" s="148"/>
      <c r="WGM293" s="148"/>
      <c r="WGN293" s="148"/>
      <c r="WGO293" s="148"/>
      <c r="WGP293" s="148"/>
      <c r="WGQ293" s="148"/>
      <c r="WGR293" s="148"/>
      <c r="WGS293" s="148"/>
      <c r="WGT293" s="148"/>
      <c r="WGU293" s="148"/>
      <c r="WGV293" s="148"/>
      <c r="WGW293" s="148"/>
      <c r="WGX293" s="148"/>
      <c r="WGY293" s="148"/>
      <c r="WGZ293" s="148"/>
      <c r="WHA293" s="148"/>
      <c r="WHB293" s="148"/>
      <c r="WHC293" s="148"/>
      <c r="WHD293" s="148"/>
      <c r="WHE293" s="148"/>
      <c r="WHF293" s="148"/>
      <c r="WHG293" s="148"/>
      <c r="WHH293" s="148"/>
      <c r="WHI293" s="148"/>
      <c r="WHJ293" s="148"/>
      <c r="WHK293" s="148"/>
      <c r="WHL293" s="148"/>
      <c r="WHM293" s="148"/>
      <c r="WHN293" s="148"/>
      <c r="WHO293" s="148"/>
      <c r="WHP293" s="148"/>
      <c r="WHQ293" s="148"/>
      <c r="WHR293" s="148"/>
      <c r="WHS293" s="148"/>
      <c r="WHT293" s="148"/>
      <c r="WHU293" s="148"/>
      <c r="WHV293" s="148"/>
      <c r="WHW293" s="148"/>
      <c r="WHX293" s="148"/>
      <c r="WHY293" s="148"/>
      <c r="WHZ293" s="148"/>
      <c r="WIA293" s="148"/>
      <c r="WIB293" s="148"/>
      <c r="WIC293" s="148"/>
      <c r="WID293" s="148"/>
      <c r="WIE293" s="148"/>
      <c r="WIF293" s="148"/>
      <c r="WIG293" s="148"/>
      <c r="WIH293" s="148"/>
      <c r="WII293" s="148"/>
      <c r="WIJ293" s="148"/>
      <c r="WIK293" s="148"/>
      <c r="WIL293" s="148"/>
      <c r="WIM293" s="148"/>
      <c r="WIN293" s="148"/>
      <c r="WIO293" s="148"/>
      <c r="WIP293" s="148"/>
      <c r="WIQ293" s="148"/>
      <c r="WIR293" s="148"/>
      <c r="WIS293" s="148"/>
      <c r="WIT293" s="148"/>
      <c r="WIU293" s="148"/>
      <c r="WIV293" s="148"/>
      <c r="WIW293" s="148"/>
      <c r="WIX293" s="148"/>
      <c r="WIY293" s="148"/>
      <c r="WIZ293" s="148"/>
      <c r="WJA293" s="148"/>
      <c r="WJB293" s="148"/>
      <c r="WJC293" s="148"/>
      <c r="WJD293" s="148"/>
      <c r="WJE293" s="148"/>
      <c r="WJF293" s="148"/>
      <c r="WJG293" s="148"/>
      <c r="WJH293" s="148"/>
      <c r="WJI293" s="148"/>
      <c r="WJJ293" s="148"/>
      <c r="WJK293" s="148"/>
      <c r="WJL293" s="148"/>
      <c r="WJM293" s="148"/>
      <c r="WJN293" s="148"/>
      <c r="WJO293" s="148"/>
      <c r="WJP293" s="148"/>
      <c r="WJQ293" s="148"/>
      <c r="WJR293" s="148"/>
      <c r="WJS293" s="148"/>
      <c r="WJT293" s="148"/>
      <c r="WJU293" s="148"/>
      <c r="WJV293" s="148"/>
      <c r="WJW293" s="148"/>
      <c r="WJX293" s="148"/>
      <c r="WJY293" s="148"/>
      <c r="WJZ293" s="148"/>
      <c r="WKA293" s="148"/>
      <c r="WKB293" s="148"/>
      <c r="WKC293" s="148"/>
      <c r="WKD293" s="148"/>
      <c r="WKE293" s="148"/>
      <c r="WKF293" s="148"/>
      <c r="WKG293" s="148"/>
      <c r="WKH293" s="148"/>
      <c r="WKI293" s="148"/>
      <c r="WKJ293" s="148"/>
      <c r="WKK293" s="148"/>
      <c r="WKL293" s="148"/>
      <c r="WKM293" s="148"/>
      <c r="WKN293" s="148"/>
      <c r="WKO293" s="148"/>
      <c r="WKP293" s="148"/>
      <c r="WKQ293" s="148"/>
      <c r="WKR293" s="148"/>
      <c r="WKS293" s="148"/>
      <c r="WKT293" s="148"/>
      <c r="WKU293" s="148"/>
      <c r="WKV293" s="148"/>
      <c r="WKW293" s="148"/>
      <c r="WKX293" s="148"/>
      <c r="WKY293" s="148"/>
      <c r="WKZ293" s="148"/>
      <c r="WLA293" s="148"/>
      <c r="WLB293" s="148"/>
      <c r="WLC293" s="148"/>
      <c r="WLD293" s="148"/>
      <c r="WLE293" s="148"/>
      <c r="WLF293" s="148"/>
      <c r="WLG293" s="148"/>
      <c r="WLH293" s="148"/>
      <c r="WLI293" s="148"/>
      <c r="WLJ293" s="148"/>
      <c r="WLK293" s="148"/>
      <c r="WLL293" s="148"/>
      <c r="WLM293" s="148"/>
      <c r="WLN293" s="148"/>
      <c r="WLO293" s="148"/>
      <c r="WLP293" s="148"/>
      <c r="WLQ293" s="148"/>
      <c r="WLR293" s="148"/>
      <c r="WLS293" s="148"/>
      <c r="WLT293" s="148"/>
      <c r="WLU293" s="148"/>
      <c r="WLV293" s="148"/>
      <c r="WLW293" s="148"/>
      <c r="WLX293" s="148"/>
      <c r="WLY293" s="148"/>
      <c r="WLZ293" s="148"/>
      <c r="WMA293" s="148"/>
      <c r="WMB293" s="148"/>
      <c r="WMC293" s="148"/>
      <c r="WMD293" s="148"/>
      <c r="WME293" s="148"/>
      <c r="WMF293" s="148"/>
      <c r="WMG293" s="148"/>
      <c r="WMH293" s="148"/>
      <c r="WMI293" s="148"/>
      <c r="WMJ293" s="148"/>
      <c r="WMK293" s="148"/>
      <c r="WML293" s="148"/>
      <c r="WMM293" s="148"/>
      <c r="WMN293" s="148"/>
      <c r="WMO293" s="148"/>
      <c r="WMP293" s="148"/>
      <c r="WMQ293" s="148"/>
      <c r="WMR293" s="148"/>
      <c r="WMS293" s="148"/>
      <c r="WMT293" s="148"/>
      <c r="WMU293" s="148"/>
      <c r="WMV293" s="148"/>
      <c r="WMW293" s="148"/>
      <c r="WMX293" s="148"/>
      <c r="WMY293" s="148"/>
      <c r="WMZ293" s="148"/>
      <c r="WNA293" s="148"/>
      <c r="WNB293" s="148"/>
      <c r="WNC293" s="148"/>
      <c r="WND293" s="148"/>
      <c r="WNE293" s="148"/>
      <c r="WNF293" s="148"/>
      <c r="WNG293" s="148"/>
      <c r="WNH293" s="148"/>
      <c r="WNI293" s="148"/>
      <c r="WNJ293" s="148"/>
      <c r="WNK293" s="148"/>
      <c r="WNL293" s="148"/>
      <c r="WNM293" s="148"/>
      <c r="WNN293" s="148"/>
      <c r="WNO293" s="148"/>
      <c r="WNP293" s="148"/>
      <c r="WNQ293" s="148"/>
      <c r="WNR293" s="148"/>
      <c r="WNS293" s="148"/>
      <c r="WNT293" s="148"/>
      <c r="WNU293" s="148"/>
      <c r="WNV293" s="148"/>
      <c r="WNW293" s="148"/>
      <c r="WNX293" s="148"/>
      <c r="WNY293" s="148"/>
      <c r="WNZ293" s="148"/>
      <c r="WOA293" s="148"/>
      <c r="WOB293" s="148"/>
      <c r="WOC293" s="148"/>
      <c r="WOD293" s="148"/>
      <c r="WOE293" s="148"/>
      <c r="WOF293" s="148"/>
      <c r="WOG293" s="148"/>
      <c r="WOH293" s="148"/>
      <c r="WOI293" s="148"/>
      <c r="WOJ293" s="148"/>
      <c r="WOK293" s="148"/>
      <c r="WOL293" s="148"/>
      <c r="WOM293" s="148"/>
      <c r="WON293" s="148"/>
      <c r="WOO293" s="148"/>
      <c r="WOP293" s="148"/>
      <c r="WOQ293" s="148"/>
      <c r="WOR293" s="148"/>
      <c r="WOS293" s="148"/>
      <c r="WOT293" s="148"/>
      <c r="WOU293" s="148"/>
      <c r="WOV293" s="148"/>
      <c r="WOW293" s="148"/>
      <c r="WOX293" s="148"/>
      <c r="WOY293" s="148"/>
      <c r="WOZ293" s="148"/>
      <c r="WPA293" s="148"/>
      <c r="WPB293" s="148"/>
      <c r="WPC293" s="148"/>
      <c r="WPD293" s="148"/>
      <c r="WPE293" s="148"/>
      <c r="WPF293" s="148"/>
      <c r="WPG293" s="148"/>
      <c r="WPH293" s="148"/>
      <c r="WPI293" s="148"/>
      <c r="WPJ293" s="148"/>
      <c r="WPK293" s="148"/>
      <c r="WPL293" s="148"/>
      <c r="WPM293" s="148"/>
      <c r="WPN293" s="148"/>
      <c r="WPO293" s="148"/>
      <c r="WPP293" s="148"/>
      <c r="WPQ293" s="148"/>
      <c r="WPR293" s="148"/>
      <c r="WPS293" s="148"/>
      <c r="WPT293" s="148"/>
      <c r="WPU293" s="148"/>
      <c r="WPV293" s="148"/>
      <c r="WPW293" s="148"/>
      <c r="WPX293" s="148"/>
      <c r="WPY293" s="148"/>
      <c r="WPZ293" s="148"/>
      <c r="WQA293" s="148"/>
      <c r="WQB293" s="148"/>
      <c r="WQC293" s="148"/>
      <c r="WQD293" s="148"/>
      <c r="WQE293" s="148"/>
      <c r="WQF293" s="148"/>
      <c r="WQG293" s="148"/>
      <c r="WQH293" s="148"/>
      <c r="WQI293" s="148"/>
      <c r="WQJ293" s="148"/>
      <c r="WQK293" s="148"/>
      <c r="WQL293" s="148"/>
      <c r="WQM293" s="148"/>
      <c r="WQN293" s="148"/>
      <c r="WQO293" s="148"/>
      <c r="WQP293" s="148"/>
      <c r="WQQ293" s="148"/>
      <c r="WQR293" s="148"/>
      <c r="WQS293" s="148"/>
      <c r="WQT293" s="148"/>
      <c r="WQU293" s="148"/>
      <c r="WQV293" s="148"/>
      <c r="WQW293" s="148"/>
      <c r="WQX293" s="148"/>
      <c r="WQY293" s="148"/>
      <c r="WQZ293" s="148"/>
      <c r="WRA293" s="148"/>
      <c r="WRB293" s="148"/>
      <c r="WRC293" s="148"/>
      <c r="WRD293" s="148"/>
      <c r="WRE293" s="148"/>
      <c r="WRF293" s="148"/>
      <c r="WRG293" s="148"/>
      <c r="WRH293" s="148"/>
      <c r="WRI293" s="148"/>
      <c r="WRJ293" s="148"/>
      <c r="WRK293" s="148"/>
      <c r="WRL293" s="148"/>
      <c r="WRM293" s="148"/>
      <c r="WRN293" s="148"/>
      <c r="WRO293" s="148"/>
      <c r="WRP293" s="148"/>
      <c r="WRQ293" s="148"/>
      <c r="WRR293" s="148"/>
      <c r="WRS293" s="148"/>
      <c r="WRT293" s="148"/>
      <c r="WRU293" s="148"/>
      <c r="WRV293" s="148"/>
      <c r="WRW293" s="148"/>
      <c r="WRX293" s="148"/>
      <c r="WRY293" s="148"/>
      <c r="WRZ293" s="148"/>
      <c r="WSA293" s="148"/>
      <c r="WSB293" s="148"/>
      <c r="WSC293" s="148"/>
      <c r="WSD293" s="148"/>
      <c r="WSE293" s="148"/>
      <c r="WSF293" s="148"/>
      <c r="WSG293" s="148"/>
      <c r="WSH293" s="148"/>
      <c r="WSI293" s="148"/>
      <c r="WSJ293" s="148"/>
      <c r="WSK293" s="148"/>
      <c r="WSL293" s="148"/>
      <c r="WSM293" s="148"/>
      <c r="WSN293" s="148"/>
      <c r="WSO293" s="148"/>
      <c r="WSP293" s="148"/>
      <c r="WSQ293" s="148"/>
      <c r="WSR293" s="148"/>
      <c r="WSS293" s="148"/>
      <c r="WST293" s="148"/>
      <c r="WSU293" s="148"/>
      <c r="WSV293" s="148"/>
      <c r="WSW293" s="148"/>
      <c r="WSX293" s="148"/>
      <c r="WSY293" s="148"/>
      <c r="WSZ293" s="148"/>
      <c r="WTA293" s="148"/>
      <c r="WTB293" s="148"/>
      <c r="WTC293" s="148"/>
      <c r="WTD293" s="148"/>
      <c r="WTE293" s="148"/>
      <c r="WTF293" s="148"/>
      <c r="WTG293" s="148"/>
      <c r="WTH293" s="148"/>
      <c r="WTI293" s="148"/>
      <c r="WTJ293" s="148"/>
      <c r="WTK293" s="148"/>
      <c r="WTL293" s="148"/>
      <c r="WTM293" s="148"/>
      <c r="WTN293" s="148"/>
      <c r="WTO293" s="148"/>
      <c r="WTP293" s="148"/>
      <c r="WTQ293" s="148"/>
      <c r="WTR293" s="148"/>
      <c r="WTS293" s="148"/>
      <c r="WTT293" s="148"/>
      <c r="WTU293" s="148"/>
      <c r="WTV293" s="148"/>
      <c r="WTW293" s="148"/>
      <c r="WTX293" s="148"/>
      <c r="WTY293" s="148"/>
      <c r="WTZ293" s="148"/>
      <c r="WUA293" s="148"/>
      <c r="WUB293" s="148"/>
      <c r="WUC293" s="148"/>
      <c r="WUD293" s="148"/>
      <c r="WUE293" s="148"/>
      <c r="WUF293" s="148"/>
      <c r="WUG293" s="148"/>
      <c r="WUH293" s="148"/>
      <c r="WUI293" s="148"/>
      <c r="WUJ293" s="148"/>
      <c r="WUK293" s="148"/>
      <c r="WUL293" s="148"/>
      <c r="WUM293" s="148"/>
      <c r="WUN293" s="148"/>
      <c r="WUO293" s="148"/>
      <c r="WUP293" s="148"/>
      <c r="WUQ293" s="148"/>
      <c r="WUR293" s="148"/>
      <c r="WUS293" s="148"/>
      <c r="WUT293" s="148"/>
      <c r="WUU293" s="148"/>
      <c r="WUV293" s="148"/>
      <c r="WUW293" s="148"/>
      <c r="WUX293" s="148"/>
      <c r="WUY293" s="148"/>
      <c r="WUZ293" s="148"/>
      <c r="WVA293" s="148"/>
      <c r="WVB293" s="148"/>
      <c r="WVC293" s="148"/>
      <c r="WVD293" s="148"/>
      <c r="WVE293" s="148"/>
      <c r="WVF293" s="148"/>
      <c r="WVG293" s="148"/>
      <c r="WVH293" s="148"/>
      <c r="WVI293" s="148"/>
      <c r="WVJ293" s="148"/>
      <c r="WVK293" s="148"/>
      <c r="WVL293" s="148"/>
      <c r="WVM293" s="148"/>
      <c r="WVN293" s="148"/>
      <c r="WVO293" s="148"/>
      <c r="WVP293" s="148"/>
      <c r="WVQ293" s="148"/>
      <c r="WVR293" s="148"/>
      <c r="WVS293" s="148"/>
      <c r="WVT293" s="148"/>
      <c r="WVU293" s="148"/>
      <c r="WVV293" s="148"/>
      <c r="WVW293" s="148"/>
      <c r="WVX293" s="148"/>
      <c r="WVY293" s="148"/>
      <c r="WVZ293" s="148"/>
      <c r="WWA293" s="148"/>
      <c r="WWB293" s="148"/>
      <c r="WWC293" s="148"/>
      <c r="WWD293" s="148"/>
      <c r="WWE293" s="148"/>
      <c r="WWF293" s="148"/>
      <c r="WWG293" s="148"/>
      <c r="WWH293" s="148"/>
      <c r="WWI293" s="148"/>
      <c r="WWJ293" s="148"/>
      <c r="WWK293" s="148"/>
      <c r="WWL293" s="148"/>
      <c r="WWM293" s="148"/>
      <c r="WWN293" s="148"/>
      <c r="WWO293" s="148"/>
      <c r="WWP293" s="148"/>
      <c r="WWQ293" s="148"/>
      <c r="WWR293" s="148"/>
      <c r="WWS293" s="148"/>
      <c r="WWT293" s="148"/>
      <c r="WWU293" s="148"/>
      <c r="WWV293" s="148"/>
      <c r="WWW293" s="148"/>
      <c r="WWX293" s="148"/>
      <c r="WWY293" s="148"/>
      <c r="WWZ293" s="148"/>
      <c r="WXA293" s="148"/>
      <c r="WXB293" s="148"/>
      <c r="WXC293" s="148"/>
      <c r="WXD293" s="148"/>
      <c r="WXE293" s="148"/>
      <c r="WXF293" s="148"/>
      <c r="WXG293" s="148"/>
      <c r="WXH293" s="148"/>
      <c r="WXI293" s="148"/>
      <c r="WXJ293" s="148"/>
      <c r="WXK293" s="148"/>
      <c r="WXL293" s="148"/>
      <c r="WXM293" s="148"/>
      <c r="WXN293" s="148"/>
      <c r="WXO293" s="148"/>
      <c r="WXP293" s="148"/>
      <c r="WXQ293" s="148"/>
      <c r="WXR293" s="148"/>
      <c r="WXS293" s="148"/>
      <c r="WXT293" s="148"/>
      <c r="WXU293" s="148"/>
      <c r="WXV293" s="148"/>
      <c r="WXW293" s="148"/>
      <c r="WXX293" s="148"/>
      <c r="WXY293" s="148"/>
      <c r="WXZ293" s="148"/>
      <c r="WYA293" s="148"/>
      <c r="WYB293" s="148"/>
      <c r="WYC293" s="148"/>
      <c r="WYD293" s="148"/>
      <c r="WYE293" s="148"/>
      <c r="WYF293" s="148"/>
      <c r="WYG293" s="148"/>
      <c r="WYH293" s="148"/>
      <c r="WYI293" s="148"/>
      <c r="WYJ293" s="148"/>
      <c r="WYK293" s="148"/>
      <c r="WYL293" s="148"/>
      <c r="WYM293" s="148"/>
      <c r="WYN293" s="148"/>
      <c r="WYO293" s="148"/>
      <c r="WYP293" s="148"/>
      <c r="WYQ293" s="148"/>
      <c r="WYR293" s="148"/>
      <c r="WYS293" s="148"/>
      <c r="WYT293" s="148"/>
      <c r="WYU293" s="148"/>
      <c r="WYV293" s="148"/>
      <c r="WYW293" s="148"/>
      <c r="WYX293" s="148"/>
      <c r="WYY293" s="148"/>
      <c r="WYZ293" s="148"/>
      <c r="WZA293" s="148"/>
      <c r="WZB293" s="148"/>
      <c r="WZC293" s="148"/>
      <c r="WZD293" s="148"/>
      <c r="WZE293" s="148"/>
      <c r="WZF293" s="148"/>
      <c r="WZG293" s="148"/>
      <c r="WZH293" s="148"/>
      <c r="WZI293" s="148"/>
      <c r="WZJ293" s="148"/>
      <c r="WZK293" s="148"/>
      <c r="WZL293" s="148"/>
      <c r="WZM293" s="148"/>
      <c r="WZN293" s="148"/>
      <c r="WZO293" s="148"/>
      <c r="WZP293" s="148"/>
      <c r="WZQ293" s="148"/>
      <c r="WZR293" s="148"/>
      <c r="WZS293" s="148"/>
      <c r="WZT293" s="148"/>
      <c r="WZU293" s="148"/>
      <c r="WZV293" s="148"/>
      <c r="WZW293" s="148"/>
      <c r="WZX293" s="148"/>
      <c r="WZY293" s="148"/>
      <c r="WZZ293" s="148"/>
      <c r="XAA293" s="148"/>
      <c r="XAB293" s="148"/>
      <c r="XAC293" s="148"/>
      <c r="XAD293" s="148"/>
      <c r="XAE293" s="148"/>
      <c r="XAF293" s="148"/>
      <c r="XAG293" s="148"/>
      <c r="XAH293" s="148"/>
      <c r="XAI293" s="148"/>
      <c r="XAJ293" s="148"/>
      <c r="XAK293" s="148"/>
      <c r="XAL293" s="148"/>
      <c r="XAM293" s="148"/>
      <c r="XAN293" s="148"/>
      <c r="XAO293" s="148"/>
      <c r="XAP293" s="148"/>
      <c r="XAQ293" s="148"/>
      <c r="XAR293" s="148"/>
      <c r="XAS293" s="148"/>
      <c r="XAT293" s="148"/>
      <c r="XAU293" s="148"/>
      <c r="XAV293" s="148"/>
      <c r="XAW293" s="148"/>
      <c r="XAX293" s="148"/>
      <c r="XAY293" s="148"/>
      <c r="XAZ293" s="148"/>
      <c r="XBA293" s="148"/>
      <c r="XBB293" s="148"/>
      <c r="XBC293" s="148"/>
      <c r="XBD293" s="148"/>
      <c r="XBE293" s="148"/>
      <c r="XBF293" s="148"/>
      <c r="XBG293" s="148"/>
      <c r="XBH293" s="148"/>
      <c r="XBI293" s="148"/>
      <c r="XBJ293" s="148"/>
      <c r="XBK293" s="148"/>
      <c r="XBL293" s="148"/>
      <c r="XBM293" s="148"/>
      <c r="XBN293" s="148"/>
      <c r="XBO293" s="148"/>
      <c r="XBP293" s="148"/>
      <c r="XBQ293" s="148"/>
      <c r="XBR293" s="148"/>
      <c r="XBS293" s="148"/>
      <c r="XBT293" s="148"/>
      <c r="XBU293" s="148"/>
      <c r="XBV293" s="148"/>
      <c r="XBW293" s="148"/>
      <c r="XBX293" s="148"/>
      <c r="XBY293" s="148"/>
      <c r="XBZ293" s="148"/>
      <c r="XCA293" s="148"/>
      <c r="XCB293" s="148"/>
      <c r="XCC293" s="148"/>
      <c r="XCD293" s="148"/>
      <c r="XCE293" s="148"/>
      <c r="XCF293" s="148"/>
      <c r="XCG293" s="148"/>
      <c r="XCH293" s="148"/>
      <c r="XCI293" s="148"/>
      <c r="XCJ293" s="148"/>
      <c r="XCK293" s="148"/>
      <c r="XCL293" s="148"/>
      <c r="XCM293" s="148"/>
      <c r="XCN293" s="148"/>
      <c r="XCO293" s="148"/>
      <c r="XCP293" s="148"/>
      <c r="XCQ293" s="148"/>
      <c r="XCR293" s="148"/>
      <c r="XCS293" s="148"/>
      <c r="XCT293" s="148"/>
      <c r="XCU293" s="148"/>
      <c r="XCV293" s="148"/>
      <c r="XCW293" s="148"/>
      <c r="XCX293" s="148"/>
      <c r="XCY293" s="148"/>
      <c r="XCZ293" s="148"/>
      <c r="XDA293" s="148"/>
      <c r="XDB293" s="148"/>
      <c r="XDC293" s="148"/>
      <c r="XDD293" s="148"/>
      <c r="XDE293" s="148"/>
      <c r="XDF293" s="148"/>
      <c r="XDG293" s="148"/>
      <c r="XDH293" s="148"/>
      <c r="XDI293" s="148"/>
      <c r="XDJ293" s="148"/>
      <c r="XDK293" s="148"/>
      <c r="XDL293" s="148"/>
      <c r="XDM293" s="148"/>
      <c r="XDN293" s="148"/>
      <c r="XDO293" s="148"/>
      <c r="XDP293" s="148"/>
      <c r="XDQ293" s="148"/>
      <c r="XDR293" s="148"/>
      <c r="XDS293" s="148"/>
      <c r="XDT293" s="148"/>
      <c r="XDU293" s="148"/>
      <c r="XDV293" s="148"/>
      <c r="XDW293" s="148"/>
      <c r="XDX293" s="148"/>
      <c r="XDY293" s="148"/>
      <c r="XDZ293" s="148"/>
      <c r="XEA293" s="148"/>
      <c r="XEB293" s="148"/>
      <c r="XEC293" s="148"/>
      <c r="XED293" s="148"/>
      <c r="XEE293" s="148"/>
      <c r="XEF293" s="148"/>
      <c r="XEG293" s="148"/>
      <c r="XEH293" s="148"/>
      <c r="XEI293" s="148"/>
      <c r="XEJ293" s="148"/>
      <c r="XEK293" s="148"/>
      <c r="XEL293" s="148"/>
      <c r="XEM293" s="148"/>
      <c r="XEN293" s="148"/>
      <c r="XEO293" s="148"/>
      <c r="XEP293" s="148"/>
      <c r="XEQ293" s="148"/>
      <c r="XER293" s="148"/>
      <c r="XES293" s="148"/>
      <c r="XET293" s="148"/>
      <c r="XEU293" s="148"/>
      <c r="XEV293" s="148"/>
      <c r="XEW293" s="148"/>
    </row>
    <row r="294" s="175" customFormat="1" ht="16" customHeight="1" spans="1:12">
      <c r="A294" s="109">
        <v>292</v>
      </c>
      <c r="B294" s="109" t="s">
        <v>9015</v>
      </c>
      <c r="C294" s="109" t="s">
        <v>9568</v>
      </c>
      <c r="D294" s="109" t="s">
        <v>9569</v>
      </c>
      <c r="E294" s="109">
        <v>2020</v>
      </c>
      <c r="F294" s="109">
        <v>2020</v>
      </c>
      <c r="G294" s="109" t="s">
        <v>16</v>
      </c>
      <c r="H294" s="109">
        <v>200</v>
      </c>
      <c r="I294" s="109">
        <v>200</v>
      </c>
      <c r="J294" s="109"/>
      <c r="K294" s="109"/>
      <c r="L294" s="105">
        <v>20201118</v>
      </c>
    </row>
    <row r="295" s="175" customFormat="1" ht="16" customHeight="1" spans="1:12">
      <c r="A295" s="109">
        <v>293</v>
      </c>
      <c r="B295" s="109" t="s">
        <v>9015</v>
      </c>
      <c r="C295" s="109" t="s">
        <v>9570</v>
      </c>
      <c r="D295" s="109" t="s">
        <v>9571</v>
      </c>
      <c r="E295" s="109">
        <v>2020</v>
      </c>
      <c r="F295" s="109">
        <v>2020</v>
      </c>
      <c r="G295" s="109" t="s">
        <v>16</v>
      </c>
      <c r="H295" s="109">
        <v>200</v>
      </c>
      <c r="I295" s="109">
        <v>200</v>
      </c>
      <c r="J295" s="109"/>
      <c r="K295" s="109"/>
      <c r="L295" s="105">
        <v>20201118</v>
      </c>
    </row>
    <row r="296" s="175" customFormat="1" ht="16" customHeight="1" spans="1:12">
      <c r="A296" s="109">
        <v>294</v>
      </c>
      <c r="B296" s="109" t="s">
        <v>9015</v>
      </c>
      <c r="C296" s="109" t="s">
        <v>9572</v>
      </c>
      <c r="D296" s="109" t="s">
        <v>9573</v>
      </c>
      <c r="E296" s="109">
        <v>2020</v>
      </c>
      <c r="F296" s="109">
        <v>2020</v>
      </c>
      <c r="G296" s="109" t="s">
        <v>16</v>
      </c>
      <c r="H296" s="109">
        <v>200</v>
      </c>
      <c r="I296" s="109">
        <v>200</v>
      </c>
      <c r="J296" s="109"/>
      <c r="K296" s="109"/>
      <c r="L296" s="105">
        <v>20201118</v>
      </c>
    </row>
    <row r="297" s="175" customFormat="1" ht="16" customHeight="1" spans="1:12">
      <c r="A297" s="109">
        <v>295</v>
      </c>
      <c r="B297" s="109" t="s">
        <v>9015</v>
      </c>
      <c r="C297" s="109" t="s">
        <v>9574</v>
      </c>
      <c r="D297" s="109" t="s">
        <v>9575</v>
      </c>
      <c r="E297" s="109">
        <v>2020</v>
      </c>
      <c r="F297" s="109">
        <v>2020</v>
      </c>
      <c r="G297" s="109" t="s">
        <v>16</v>
      </c>
      <c r="H297" s="109">
        <v>200</v>
      </c>
      <c r="I297" s="109">
        <v>200</v>
      </c>
      <c r="J297" s="109"/>
      <c r="K297" s="109"/>
      <c r="L297" s="105">
        <v>20201118</v>
      </c>
    </row>
    <row r="298" s="175" customFormat="1" ht="16" customHeight="1" spans="1:12">
      <c r="A298" s="109">
        <v>296</v>
      </c>
      <c r="B298" s="109" t="s">
        <v>9015</v>
      </c>
      <c r="C298" s="109" t="s">
        <v>9576</v>
      </c>
      <c r="D298" s="109" t="s">
        <v>9577</v>
      </c>
      <c r="E298" s="109">
        <v>2020</v>
      </c>
      <c r="F298" s="109">
        <v>2020</v>
      </c>
      <c r="G298" s="109" t="s">
        <v>16</v>
      </c>
      <c r="H298" s="109">
        <v>200</v>
      </c>
      <c r="I298" s="109">
        <v>200</v>
      </c>
      <c r="J298" s="109"/>
      <c r="K298" s="109"/>
      <c r="L298" s="105">
        <v>20201118</v>
      </c>
    </row>
    <row r="299" s="175" customFormat="1" ht="16" customHeight="1" spans="1:12">
      <c r="A299" s="109">
        <v>297</v>
      </c>
      <c r="B299" s="109" t="s">
        <v>9015</v>
      </c>
      <c r="C299" s="109" t="s">
        <v>9578</v>
      </c>
      <c r="D299" s="109" t="s">
        <v>9579</v>
      </c>
      <c r="E299" s="109">
        <v>2020</v>
      </c>
      <c r="F299" s="109">
        <v>2020</v>
      </c>
      <c r="G299" s="109" t="s">
        <v>16</v>
      </c>
      <c r="H299" s="109">
        <v>200</v>
      </c>
      <c r="I299" s="109">
        <v>200</v>
      </c>
      <c r="J299" s="109" t="s">
        <v>3405</v>
      </c>
      <c r="K299" s="109"/>
      <c r="L299" s="105">
        <v>20201118</v>
      </c>
    </row>
    <row r="300" s="175" customFormat="1" ht="16" customHeight="1" spans="1:12">
      <c r="A300" s="109">
        <v>298</v>
      </c>
      <c r="B300" s="109" t="s">
        <v>9015</v>
      </c>
      <c r="C300" s="109" t="s">
        <v>9580</v>
      </c>
      <c r="D300" s="109" t="s">
        <v>9581</v>
      </c>
      <c r="E300" s="109">
        <v>2020</v>
      </c>
      <c r="F300" s="109">
        <v>2020</v>
      </c>
      <c r="G300" s="109" t="s">
        <v>16</v>
      </c>
      <c r="H300" s="109">
        <v>200</v>
      </c>
      <c r="I300" s="109">
        <v>200</v>
      </c>
      <c r="J300" s="109"/>
      <c r="K300" s="109"/>
      <c r="L300" s="105">
        <v>20201118</v>
      </c>
    </row>
    <row r="301" s="175" customFormat="1" ht="16" customHeight="1" spans="1:12">
      <c r="A301" s="109">
        <v>299</v>
      </c>
      <c r="B301" s="109" t="s">
        <v>9015</v>
      </c>
      <c r="C301" s="109" t="s">
        <v>9582</v>
      </c>
      <c r="D301" s="109" t="s">
        <v>9583</v>
      </c>
      <c r="E301" s="109">
        <v>2020</v>
      </c>
      <c r="F301" s="109">
        <v>2020</v>
      </c>
      <c r="G301" s="109" t="s">
        <v>16</v>
      </c>
      <c r="H301" s="109">
        <v>200</v>
      </c>
      <c r="I301" s="109">
        <v>200</v>
      </c>
      <c r="J301" s="109"/>
      <c r="K301" s="109"/>
      <c r="L301" s="105">
        <v>20201118</v>
      </c>
    </row>
    <row r="302" s="175" customFormat="1" ht="16" customHeight="1" spans="1:12">
      <c r="A302" s="109">
        <v>300</v>
      </c>
      <c r="B302" s="109" t="s">
        <v>9015</v>
      </c>
      <c r="C302" s="109" t="s">
        <v>9584</v>
      </c>
      <c r="D302" s="109" t="s">
        <v>9585</v>
      </c>
      <c r="E302" s="109">
        <v>2020</v>
      </c>
      <c r="F302" s="109">
        <v>2020</v>
      </c>
      <c r="G302" s="109" t="s">
        <v>16</v>
      </c>
      <c r="H302" s="109">
        <v>200</v>
      </c>
      <c r="I302" s="109">
        <v>200</v>
      </c>
      <c r="J302" s="109"/>
      <c r="K302" s="109"/>
      <c r="L302" s="105">
        <v>20201118</v>
      </c>
    </row>
    <row r="303" s="175" customFormat="1" ht="16" customHeight="1" spans="1:12">
      <c r="A303" s="109">
        <v>301</v>
      </c>
      <c r="B303" s="109" t="s">
        <v>9015</v>
      </c>
      <c r="C303" s="109" t="s">
        <v>9586</v>
      </c>
      <c r="D303" s="109" t="s">
        <v>9587</v>
      </c>
      <c r="E303" s="109">
        <v>2020</v>
      </c>
      <c r="F303" s="109">
        <v>2020</v>
      </c>
      <c r="G303" s="109" t="s">
        <v>16</v>
      </c>
      <c r="H303" s="109">
        <v>200</v>
      </c>
      <c r="I303" s="109">
        <v>200</v>
      </c>
      <c r="J303" s="109"/>
      <c r="K303" s="109"/>
      <c r="L303" s="105">
        <v>20201118</v>
      </c>
    </row>
    <row r="304" s="175" customFormat="1" ht="16" customHeight="1" spans="1:12">
      <c r="A304" s="109">
        <v>302</v>
      </c>
      <c r="B304" s="109" t="s">
        <v>9015</v>
      </c>
      <c r="C304" s="109" t="s">
        <v>9588</v>
      </c>
      <c r="D304" s="109" t="s">
        <v>9589</v>
      </c>
      <c r="E304" s="109">
        <v>2020</v>
      </c>
      <c r="F304" s="109">
        <v>2020</v>
      </c>
      <c r="G304" s="109" t="s">
        <v>16</v>
      </c>
      <c r="H304" s="109">
        <v>200</v>
      </c>
      <c r="I304" s="109">
        <v>200</v>
      </c>
      <c r="J304" s="109"/>
      <c r="K304" s="109"/>
      <c r="L304" s="105">
        <v>20201118</v>
      </c>
    </row>
    <row r="305" s="175" customFormat="1" ht="16" customHeight="1" spans="1:12">
      <c r="A305" s="109">
        <v>303</v>
      </c>
      <c r="B305" s="109" t="s">
        <v>9015</v>
      </c>
      <c r="C305" s="109" t="s">
        <v>7919</v>
      </c>
      <c r="D305" s="109" t="s">
        <v>9590</v>
      </c>
      <c r="E305" s="109">
        <v>2020</v>
      </c>
      <c r="F305" s="109">
        <v>2020</v>
      </c>
      <c r="G305" s="109" t="s">
        <v>16</v>
      </c>
      <c r="H305" s="109">
        <v>200</v>
      </c>
      <c r="I305" s="109">
        <v>200</v>
      </c>
      <c r="J305" s="109"/>
      <c r="K305" s="109"/>
      <c r="L305" s="105">
        <v>20201118</v>
      </c>
    </row>
    <row r="306" s="175" customFormat="1" ht="16" customHeight="1" spans="1:12">
      <c r="A306" s="109">
        <v>304</v>
      </c>
      <c r="B306" s="109" t="s">
        <v>9015</v>
      </c>
      <c r="C306" s="109" t="s">
        <v>9591</v>
      </c>
      <c r="D306" s="109" t="s">
        <v>9592</v>
      </c>
      <c r="E306" s="109">
        <v>2020</v>
      </c>
      <c r="F306" s="109">
        <v>2020</v>
      </c>
      <c r="G306" s="109" t="s">
        <v>16</v>
      </c>
      <c r="H306" s="109">
        <v>200</v>
      </c>
      <c r="I306" s="109">
        <v>200</v>
      </c>
      <c r="J306" s="109"/>
      <c r="K306" s="109"/>
      <c r="L306" s="105">
        <v>20201118</v>
      </c>
    </row>
    <row r="307" s="175" customFormat="1" ht="16" customHeight="1" spans="1:12">
      <c r="A307" s="109">
        <v>305</v>
      </c>
      <c r="B307" s="109" t="s">
        <v>9015</v>
      </c>
      <c r="C307" s="109" t="s">
        <v>9593</v>
      </c>
      <c r="D307" s="109" t="s">
        <v>9594</v>
      </c>
      <c r="E307" s="109">
        <v>2020</v>
      </c>
      <c r="F307" s="109">
        <v>2020</v>
      </c>
      <c r="G307" s="109" t="s">
        <v>16</v>
      </c>
      <c r="H307" s="109">
        <v>200</v>
      </c>
      <c r="I307" s="109">
        <v>200</v>
      </c>
      <c r="J307" s="109"/>
      <c r="K307" s="109"/>
      <c r="L307" s="105">
        <v>20201118</v>
      </c>
    </row>
    <row r="308" s="175" customFormat="1" ht="16" customHeight="1" spans="1:12">
      <c r="A308" s="109">
        <v>306</v>
      </c>
      <c r="B308" s="109" t="s">
        <v>9015</v>
      </c>
      <c r="C308" s="109" t="s">
        <v>3228</v>
      </c>
      <c r="D308" s="109" t="s">
        <v>9595</v>
      </c>
      <c r="E308" s="109">
        <v>2020</v>
      </c>
      <c r="F308" s="109">
        <v>2020</v>
      </c>
      <c r="G308" s="109" t="s">
        <v>16</v>
      </c>
      <c r="H308" s="109">
        <v>200</v>
      </c>
      <c r="I308" s="109">
        <v>200</v>
      </c>
      <c r="J308" s="109"/>
      <c r="K308" s="109"/>
      <c r="L308" s="105">
        <v>20201118</v>
      </c>
    </row>
    <row r="309" s="175" customFormat="1" ht="16" customHeight="1" spans="1:12">
      <c r="A309" s="109">
        <v>307</v>
      </c>
      <c r="B309" s="109" t="s">
        <v>9015</v>
      </c>
      <c r="C309" s="109" t="s">
        <v>1148</v>
      </c>
      <c r="D309" s="109" t="s">
        <v>9596</v>
      </c>
      <c r="E309" s="109">
        <v>2020</v>
      </c>
      <c r="F309" s="109">
        <v>2020</v>
      </c>
      <c r="G309" s="109" t="s">
        <v>16</v>
      </c>
      <c r="H309" s="109">
        <v>200</v>
      </c>
      <c r="I309" s="109">
        <v>200</v>
      </c>
      <c r="J309" s="109"/>
      <c r="K309" s="109"/>
      <c r="L309" s="105">
        <v>20201118</v>
      </c>
    </row>
    <row r="310" s="175" customFormat="1" ht="16" customHeight="1" spans="1:12">
      <c r="A310" s="109">
        <v>308</v>
      </c>
      <c r="B310" s="109" t="s">
        <v>9015</v>
      </c>
      <c r="C310" s="109" t="s">
        <v>9597</v>
      </c>
      <c r="D310" s="109" t="s">
        <v>9598</v>
      </c>
      <c r="E310" s="109">
        <v>2020</v>
      </c>
      <c r="F310" s="109">
        <v>2020</v>
      </c>
      <c r="G310" s="109" t="s">
        <v>16</v>
      </c>
      <c r="H310" s="109">
        <v>200</v>
      </c>
      <c r="I310" s="109">
        <v>200</v>
      </c>
      <c r="J310" s="109"/>
      <c r="K310" s="109"/>
      <c r="L310" s="105">
        <v>20201118</v>
      </c>
    </row>
    <row r="311" s="175" customFormat="1" ht="16" customHeight="1" spans="1:12">
      <c r="A311" s="109">
        <v>309</v>
      </c>
      <c r="B311" s="109" t="s">
        <v>9015</v>
      </c>
      <c r="C311" s="109" t="s">
        <v>9599</v>
      </c>
      <c r="D311" s="109" t="s">
        <v>9600</v>
      </c>
      <c r="E311" s="109">
        <v>2020</v>
      </c>
      <c r="F311" s="109">
        <v>2020</v>
      </c>
      <c r="G311" s="109" t="s">
        <v>16</v>
      </c>
      <c r="H311" s="109">
        <v>200</v>
      </c>
      <c r="I311" s="109">
        <v>200</v>
      </c>
      <c r="J311" s="109"/>
      <c r="K311" s="109"/>
      <c r="L311" s="105">
        <v>20201118</v>
      </c>
    </row>
    <row r="312" s="175" customFormat="1" ht="16" customHeight="1" spans="1:12">
      <c r="A312" s="109">
        <v>310</v>
      </c>
      <c r="B312" s="109" t="s">
        <v>9015</v>
      </c>
      <c r="C312" s="109" t="s">
        <v>9601</v>
      </c>
      <c r="D312" s="109" t="s">
        <v>9602</v>
      </c>
      <c r="E312" s="109">
        <v>2020</v>
      </c>
      <c r="F312" s="109">
        <v>2020</v>
      </c>
      <c r="G312" s="109" t="s">
        <v>16</v>
      </c>
      <c r="H312" s="109">
        <v>200</v>
      </c>
      <c r="I312" s="109">
        <v>200</v>
      </c>
      <c r="J312" s="109"/>
      <c r="K312" s="109"/>
      <c r="L312" s="105">
        <v>20201118</v>
      </c>
    </row>
    <row r="313" s="175" customFormat="1" ht="16" customHeight="1" spans="1:12">
      <c r="A313" s="109">
        <v>311</v>
      </c>
      <c r="B313" s="109" t="s">
        <v>9015</v>
      </c>
      <c r="C313" s="109" t="s">
        <v>9603</v>
      </c>
      <c r="D313" s="109" t="s">
        <v>9604</v>
      </c>
      <c r="E313" s="109">
        <v>2020</v>
      </c>
      <c r="F313" s="109">
        <v>2020</v>
      </c>
      <c r="G313" s="109" t="s">
        <v>16</v>
      </c>
      <c r="H313" s="109">
        <v>200</v>
      </c>
      <c r="I313" s="109">
        <v>200</v>
      </c>
      <c r="J313" s="109"/>
      <c r="K313" s="109"/>
      <c r="L313" s="105">
        <v>20201118</v>
      </c>
    </row>
    <row r="314" s="175" customFormat="1" ht="16" customHeight="1" spans="1:12">
      <c r="A314" s="109">
        <v>312</v>
      </c>
      <c r="B314" s="109" t="s">
        <v>9015</v>
      </c>
      <c r="C314" s="109" t="s">
        <v>9605</v>
      </c>
      <c r="D314" s="109" t="s">
        <v>9606</v>
      </c>
      <c r="E314" s="109">
        <v>2020</v>
      </c>
      <c r="F314" s="109">
        <v>2020</v>
      </c>
      <c r="G314" s="109" t="s">
        <v>16</v>
      </c>
      <c r="H314" s="109">
        <v>200</v>
      </c>
      <c r="I314" s="109">
        <v>200</v>
      </c>
      <c r="J314" s="109"/>
      <c r="K314" s="109"/>
      <c r="L314" s="105">
        <v>20201118</v>
      </c>
    </row>
    <row r="315" s="175" customFormat="1" ht="16" customHeight="1" spans="1:12">
      <c r="A315" s="109">
        <v>313</v>
      </c>
      <c r="B315" s="109" t="s">
        <v>9015</v>
      </c>
      <c r="C315" s="109" t="s">
        <v>9607</v>
      </c>
      <c r="D315" s="109" t="s">
        <v>9608</v>
      </c>
      <c r="E315" s="109">
        <v>2020</v>
      </c>
      <c r="F315" s="109">
        <v>2020</v>
      </c>
      <c r="G315" s="109" t="s">
        <v>16</v>
      </c>
      <c r="H315" s="109">
        <v>3000</v>
      </c>
      <c r="I315" s="109">
        <v>3000</v>
      </c>
      <c r="J315" s="109"/>
      <c r="K315" s="109"/>
      <c r="L315" s="105">
        <v>20201118</v>
      </c>
    </row>
    <row r="316" s="175" customFormat="1" ht="16" customHeight="1" spans="1:12">
      <c r="A316" s="109">
        <v>314</v>
      </c>
      <c r="B316" s="109" t="s">
        <v>9015</v>
      </c>
      <c r="C316" s="109" t="s">
        <v>9609</v>
      </c>
      <c r="D316" s="109" t="s">
        <v>9610</v>
      </c>
      <c r="E316" s="109">
        <v>2020</v>
      </c>
      <c r="F316" s="109">
        <v>2020</v>
      </c>
      <c r="G316" s="109" t="s">
        <v>16</v>
      </c>
      <c r="H316" s="109">
        <v>200</v>
      </c>
      <c r="I316" s="109">
        <v>200</v>
      </c>
      <c r="J316" s="109"/>
      <c r="K316" s="109"/>
      <c r="L316" s="105">
        <v>20201118</v>
      </c>
    </row>
    <row r="317" s="175" customFormat="1" ht="16" customHeight="1" spans="1:12">
      <c r="A317" s="109">
        <v>315</v>
      </c>
      <c r="B317" s="109" t="s">
        <v>9015</v>
      </c>
      <c r="C317" s="109" t="s">
        <v>9611</v>
      </c>
      <c r="D317" s="109" t="s">
        <v>9612</v>
      </c>
      <c r="E317" s="109">
        <v>2020</v>
      </c>
      <c r="F317" s="109">
        <v>2020</v>
      </c>
      <c r="G317" s="109" t="s">
        <v>16</v>
      </c>
      <c r="H317" s="109">
        <v>200</v>
      </c>
      <c r="I317" s="109">
        <v>200</v>
      </c>
      <c r="J317" s="109"/>
      <c r="K317" s="109"/>
      <c r="L317" s="105">
        <v>20201118</v>
      </c>
    </row>
    <row r="318" s="175" customFormat="1" ht="16" customHeight="1" spans="1:12">
      <c r="A318" s="109">
        <v>316</v>
      </c>
      <c r="B318" s="109" t="s">
        <v>9015</v>
      </c>
      <c r="C318" s="109" t="s">
        <v>9613</v>
      </c>
      <c r="D318" s="109" t="s">
        <v>9614</v>
      </c>
      <c r="E318" s="109">
        <v>2020</v>
      </c>
      <c r="F318" s="109">
        <v>2020</v>
      </c>
      <c r="G318" s="109" t="s">
        <v>16</v>
      </c>
      <c r="H318" s="109">
        <v>200</v>
      </c>
      <c r="I318" s="109">
        <v>200</v>
      </c>
      <c r="J318" s="109"/>
      <c r="K318" s="109"/>
      <c r="L318" s="105">
        <v>20201118</v>
      </c>
    </row>
    <row r="319" s="175" customFormat="1" ht="16" customHeight="1" spans="1:12">
      <c r="A319" s="109">
        <v>317</v>
      </c>
      <c r="B319" s="109" t="s">
        <v>9015</v>
      </c>
      <c r="C319" s="109" t="s">
        <v>9615</v>
      </c>
      <c r="D319" s="109" t="s">
        <v>9616</v>
      </c>
      <c r="E319" s="109">
        <v>2020</v>
      </c>
      <c r="F319" s="109">
        <v>2020</v>
      </c>
      <c r="G319" s="109" t="s">
        <v>16</v>
      </c>
      <c r="H319" s="109">
        <v>200</v>
      </c>
      <c r="I319" s="109">
        <v>200</v>
      </c>
      <c r="J319" s="109"/>
      <c r="K319" s="109"/>
      <c r="L319" s="105">
        <v>20201118</v>
      </c>
    </row>
    <row r="320" s="175" customFormat="1" ht="16" customHeight="1" spans="1:12">
      <c r="A320" s="109">
        <v>318</v>
      </c>
      <c r="B320" s="109" t="s">
        <v>9015</v>
      </c>
      <c r="C320" s="109" t="s">
        <v>9617</v>
      </c>
      <c r="D320" s="109" t="s">
        <v>9618</v>
      </c>
      <c r="E320" s="109">
        <v>2020</v>
      </c>
      <c r="F320" s="109">
        <v>2020</v>
      </c>
      <c r="G320" s="109" t="s">
        <v>16</v>
      </c>
      <c r="H320" s="109">
        <v>200</v>
      </c>
      <c r="I320" s="109">
        <v>200</v>
      </c>
      <c r="J320" s="109"/>
      <c r="K320" s="109"/>
      <c r="L320" s="105">
        <v>20201118</v>
      </c>
    </row>
    <row r="321" s="175" customFormat="1" ht="16" customHeight="1" spans="1:12">
      <c r="A321" s="109">
        <v>319</v>
      </c>
      <c r="B321" s="109" t="s">
        <v>9015</v>
      </c>
      <c r="C321" s="109" t="s">
        <v>9619</v>
      </c>
      <c r="D321" s="109" t="s">
        <v>9620</v>
      </c>
      <c r="E321" s="109">
        <v>2020</v>
      </c>
      <c r="F321" s="109">
        <v>2020</v>
      </c>
      <c r="G321" s="109" t="s">
        <v>16</v>
      </c>
      <c r="H321" s="109">
        <v>200</v>
      </c>
      <c r="I321" s="109">
        <v>200</v>
      </c>
      <c r="J321" s="109"/>
      <c r="K321" s="109"/>
      <c r="L321" s="105">
        <v>20201118</v>
      </c>
    </row>
    <row r="322" s="175" customFormat="1" ht="16" customHeight="1" spans="1:12">
      <c r="A322" s="109">
        <v>320</v>
      </c>
      <c r="B322" s="109" t="s">
        <v>9015</v>
      </c>
      <c r="C322" s="109" t="s">
        <v>9621</v>
      </c>
      <c r="D322" s="109" t="s">
        <v>9622</v>
      </c>
      <c r="E322" s="109">
        <v>2020</v>
      </c>
      <c r="F322" s="109">
        <v>2020</v>
      </c>
      <c r="G322" s="109" t="s">
        <v>16</v>
      </c>
      <c r="H322" s="109">
        <v>200</v>
      </c>
      <c r="I322" s="109">
        <v>200</v>
      </c>
      <c r="J322" s="109"/>
      <c r="K322" s="109"/>
      <c r="L322" s="105">
        <v>20201118</v>
      </c>
    </row>
    <row r="323" s="175" customFormat="1" ht="16" customHeight="1" spans="1:12">
      <c r="A323" s="109">
        <v>321</v>
      </c>
      <c r="B323" s="109" t="s">
        <v>9015</v>
      </c>
      <c r="C323" s="109" t="s">
        <v>9623</v>
      </c>
      <c r="D323" s="109" t="s">
        <v>9624</v>
      </c>
      <c r="E323" s="109">
        <v>2020</v>
      </c>
      <c r="F323" s="109">
        <v>2020</v>
      </c>
      <c r="G323" s="109" t="s">
        <v>16</v>
      </c>
      <c r="H323" s="109">
        <v>200</v>
      </c>
      <c r="I323" s="109">
        <v>200</v>
      </c>
      <c r="J323" s="109"/>
      <c r="K323" s="109"/>
      <c r="L323" s="105">
        <v>20201118</v>
      </c>
    </row>
    <row r="324" s="175" customFormat="1" ht="16" customHeight="1" spans="1:12">
      <c r="A324" s="109">
        <v>322</v>
      </c>
      <c r="B324" s="109" t="s">
        <v>9015</v>
      </c>
      <c r="C324" s="109" t="s">
        <v>9625</v>
      </c>
      <c r="D324" s="109" t="s">
        <v>9626</v>
      </c>
      <c r="E324" s="109">
        <v>2020</v>
      </c>
      <c r="F324" s="109">
        <v>2020</v>
      </c>
      <c r="G324" s="109" t="s">
        <v>16</v>
      </c>
      <c r="H324" s="109">
        <v>200</v>
      </c>
      <c r="I324" s="109">
        <v>200</v>
      </c>
      <c r="J324" s="109"/>
      <c r="K324" s="109"/>
      <c r="L324" s="105">
        <v>20201118</v>
      </c>
    </row>
    <row r="325" s="175" customFormat="1" ht="16" customHeight="1" spans="1:12">
      <c r="A325" s="109">
        <v>323</v>
      </c>
      <c r="B325" s="109" t="s">
        <v>9015</v>
      </c>
      <c r="C325" s="109" t="s">
        <v>9627</v>
      </c>
      <c r="D325" s="109" t="s">
        <v>9628</v>
      </c>
      <c r="E325" s="109">
        <v>2020</v>
      </c>
      <c r="F325" s="109">
        <v>2020</v>
      </c>
      <c r="G325" s="109" t="s">
        <v>16</v>
      </c>
      <c r="H325" s="109">
        <v>200</v>
      </c>
      <c r="I325" s="109">
        <v>200</v>
      </c>
      <c r="J325" s="109"/>
      <c r="K325" s="109"/>
      <c r="L325" s="105">
        <v>20201118</v>
      </c>
    </row>
    <row r="326" s="175" customFormat="1" ht="16" customHeight="1" spans="1:12">
      <c r="A326" s="109">
        <v>324</v>
      </c>
      <c r="B326" s="109" t="s">
        <v>9015</v>
      </c>
      <c r="C326" s="109" t="s">
        <v>9629</v>
      </c>
      <c r="D326" s="109" t="s">
        <v>9630</v>
      </c>
      <c r="E326" s="109">
        <v>2020</v>
      </c>
      <c r="F326" s="109">
        <v>2020</v>
      </c>
      <c r="G326" s="109" t="s">
        <v>16</v>
      </c>
      <c r="H326" s="109">
        <v>500</v>
      </c>
      <c r="I326" s="109">
        <v>500</v>
      </c>
      <c r="J326" s="109"/>
      <c r="K326" s="109"/>
      <c r="L326" s="105">
        <v>20201118</v>
      </c>
    </row>
    <row r="327" s="175" customFormat="1" ht="16" customHeight="1" spans="1:12">
      <c r="A327" s="109">
        <v>325</v>
      </c>
      <c r="B327" s="109" t="s">
        <v>9015</v>
      </c>
      <c r="C327" s="109" t="s">
        <v>9631</v>
      </c>
      <c r="D327" s="109" t="s">
        <v>9632</v>
      </c>
      <c r="E327" s="109">
        <v>2020</v>
      </c>
      <c r="F327" s="109">
        <v>2020</v>
      </c>
      <c r="G327" s="109" t="s">
        <v>16</v>
      </c>
      <c r="H327" s="109">
        <v>200</v>
      </c>
      <c r="I327" s="109">
        <v>200</v>
      </c>
      <c r="J327" s="109"/>
      <c r="K327" s="109"/>
      <c r="L327" s="105">
        <v>20201118</v>
      </c>
    </row>
    <row r="328" s="175" customFormat="1" ht="16" customHeight="1" spans="1:12">
      <c r="A328" s="109">
        <v>326</v>
      </c>
      <c r="B328" s="109" t="s">
        <v>9015</v>
      </c>
      <c r="C328" s="109" t="s">
        <v>9633</v>
      </c>
      <c r="D328" s="109" t="s">
        <v>9634</v>
      </c>
      <c r="E328" s="109">
        <v>2020</v>
      </c>
      <c r="F328" s="109">
        <v>2020</v>
      </c>
      <c r="G328" s="109" t="s">
        <v>16</v>
      </c>
      <c r="H328" s="109">
        <v>200</v>
      </c>
      <c r="I328" s="109">
        <v>200</v>
      </c>
      <c r="J328" s="109"/>
      <c r="K328" s="109"/>
      <c r="L328" s="105">
        <v>20201118</v>
      </c>
    </row>
    <row r="329" s="175" customFormat="1" ht="16" customHeight="1" spans="1:12">
      <c r="A329" s="109">
        <v>327</v>
      </c>
      <c r="B329" s="109" t="s">
        <v>9015</v>
      </c>
      <c r="C329" s="109" t="s">
        <v>9635</v>
      </c>
      <c r="D329" s="109" t="s">
        <v>9636</v>
      </c>
      <c r="E329" s="109">
        <v>2020</v>
      </c>
      <c r="F329" s="109">
        <v>2020</v>
      </c>
      <c r="G329" s="109" t="s">
        <v>16</v>
      </c>
      <c r="H329" s="109">
        <v>200</v>
      </c>
      <c r="I329" s="109">
        <v>200</v>
      </c>
      <c r="J329" s="109"/>
      <c r="K329" s="109"/>
      <c r="L329" s="105">
        <v>20201118</v>
      </c>
    </row>
    <row r="330" s="175" customFormat="1" ht="16" customHeight="1" spans="1:12">
      <c r="A330" s="109">
        <v>328</v>
      </c>
      <c r="B330" s="109" t="s">
        <v>9015</v>
      </c>
      <c r="C330" s="109" t="s">
        <v>9637</v>
      </c>
      <c r="D330" s="109" t="s">
        <v>9638</v>
      </c>
      <c r="E330" s="109">
        <v>2020</v>
      </c>
      <c r="F330" s="109">
        <v>2020</v>
      </c>
      <c r="G330" s="109" t="s">
        <v>16</v>
      </c>
      <c r="H330" s="109">
        <v>200</v>
      </c>
      <c r="I330" s="109">
        <v>200</v>
      </c>
      <c r="J330" s="109"/>
      <c r="K330" s="109"/>
      <c r="L330" s="105">
        <v>20201118</v>
      </c>
    </row>
    <row r="331" s="175" customFormat="1" ht="16" customHeight="1" spans="1:12">
      <c r="A331" s="109">
        <v>329</v>
      </c>
      <c r="B331" s="109" t="s">
        <v>9015</v>
      </c>
      <c r="C331" s="109" t="s">
        <v>9639</v>
      </c>
      <c r="D331" s="109" t="s">
        <v>9640</v>
      </c>
      <c r="E331" s="109">
        <v>2020</v>
      </c>
      <c r="F331" s="109">
        <v>2020</v>
      </c>
      <c r="G331" s="109" t="s">
        <v>16</v>
      </c>
      <c r="H331" s="109">
        <v>200</v>
      </c>
      <c r="I331" s="109">
        <v>200</v>
      </c>
      <c r="J331" s="109"/>
      <c r="K331" s="109"/>
      <c r="L331" s="105">
        <v>20201118</v>
      </c>
    </row>
    <row r="332" s="175" customFormat="1" ht="16" customHeight="1" spans="1:12">
      <c r="A332" s="109">
        <v>330</v>
      </c>
      <c r="B332" s="109" t="s">
        <v>9015</v>
      </c>
      <c r="C332" s="109" t="s">
        <v>9641</v>
      </c>
      <c r="D332" s="109" t="s">
        <v>9642</v>
      </c>
      <c r="E332" s="109">
        <v>2020</v>
      </c>
      <c r="F332" s="109">
        <v>2020</v>
      </c>
      <c r="G332" s="109" t="s">
        <v>16</v>
      </c>
      <c r="H332" s="109">
        <v>200</v>
      </c>
      <c r="I332" s="109">
        <v>200</v>
      </c>
      <c r="J332" s="109"/>
      <c r="K332" s="109"/>
      <c r="L332" s="105">
        <v>20201118</v>
      </c>
    </row>
    <row r="333" s="175" customFormat="1" ht="16" customHeight="1" spans="1:12">
      <c r="A333" s="109">
        <v>331</v>
      </c>
      <c r="B333" s="109" t="s">
        <v>9015</v>
      </c>
      <c r="C333" s="109" t="s">
        <v>9643</v>
      </c>
      <c r="D333" s="109" t="s">
        <v>9644</v>
      </c>
      <c r="E333" s="109">
        <v>2020</v>
      </c>
      <c r="F333" s="109">
        <v>2020</v>
      </c>
      <c r="G333" s="109" t="s">
        <v>16</v>
      </c>
      <c r="H333" s="109">
        <v>200</v>
      </c>
      <c r="I333" s="109">
        <v>200</v>
      </c>
      <c r="J333" s="109"/>
      <c r="K333" s="109"/>
      <c r="L333" s="105">
        <v>20201118</v>
      </c>
    </row>
    <row r="334" s="175" customFormat="1" ht="16" customHeight="1" spans="1:12">
      <c r="A334" s="109">
        <v>332</v>
      </c>
      <c r="B334" s="109" t="s">
        <v>9015</v>
      </c>
      <c r="C334" s="109" t="s">
        <v>9645</v>
      </c>
      <c r="D334" s="109" t="s">
        <v>9646</v>
      </c>
      <c r="E334" s="109">
        <v>2020</v>
      </c>
      <c r="F334" s="109">
        <v>2020</v>
      </c>
      <c r="G334" s="109" t="s">
        <v>16</v>
      </c>
      <c r="H334" s="109">
        <v>200</v>
      </c>
      <c r="I334" s="109">
        <v>200</v>
      </c>
      <c r="J334" s="109"/>
      <c r="K334" s="109"/>
      <c r="L334" s="105">
        <v>20201118</v>
      </c>
    </row>
    <row r="335" s="175" customFormat="1" ht="16" customHeight="1" spans="1:12">
      <c r="A335" s="109">
        <v>333</v>
      </c>
      <c r="B335" s="109" t="s">
        <v>9015</v>
      </c>
      <c r="C335" s="109" t="s">
        <v>9647</v>
      </c>
      <c r="D335" s="109" t="s">
        <v>9648</v>
      </c>
      <c r="E335" s="109">
        <v>2020</v>
      </c>
      <c r="F335" s="109">
        <v>2020</v>
      </c>
      <c r="G335" s="109" t="s">
        <v>16</v>
      </c>
      <c r="H335" s="109">
        <v>200</v>
      </c>
      <c r="I335" s="109">
        <v>200</v>
      </c>
      <c r="J335" s="109"/>
      <c r="K335" s="109"/>
      <c r="L335" s="105">
        <v>20201118</v>
      </c>
    </row>
    <row r="336" s="175" customFormat="1" ht="16" customHeight="1" spans="1:12">
      <c r="A336" s="109">
        <v>334</v>
      </c>
      <c r="B336" s="109" t="s">
        <v>9015</v>
      </c>
      <c r="C336" s="109" t="s">
        <v>9649</v>
      </c>
      <c r="D336" s="109" t="s">
        <v>9650</v>
      </c>
      <c r="E336" s="109">
        <v>2020</v>
      </c>
      <c r="F336" s="109">
        <v>2020</v>
      </c>
      <c r="G336" s="109" t="s">
        <v>16</v>
      </c>
      <c r="H336" s="109">
        <v>200</v>
      </c>
      <c r="I336" s="109">
        <v>200</v>
      </c>
      <c r="J336" s="109"/>
      <c r="K336" s="109"/>
      <c r="L336" s="105">
        <v>20201118</v>
      </c>
    </row>
    <row r="337" s="175" customFormat="1" ht="16" customHeight="1" spans="1:12">
      <c r="A337" s="109">
        <v>335</v>
      </c>
      <c r="B337" s="109" t="s">
        <v>9015</v>
      </c>
      <c r="C337" s="109" t="s">
        <v>9651</v>
      </c>
      <c r="D337" s="109" t="s">
        <v>9652</v>
      </c>
      <c r="E337" s="109">
        <v>2020</v>
      </c>
      <c r="F337" s="109">
        <v>2020</v>
      </c>
      <c r="G337" s="109" t="s">
        <v>16</v>
      </c>
      <c r="H337" s="109">
        <v>200</v>
      </c>
      <c r="I337" s="109">
        <v>200</v>
      </c>
      <c r="J337" s="109"/>
      <c r="K337" s="109"/>
      <c r="L337" s="105">
        <v>20201118</v>
      </c>
    </row>
    <row r="338" s="175" customFormat="1" ht="16" customHeight="1" spans="1:12">
      <c r="A338" s="109">
        <v>336</v>
      </c>
      <c r="B338" s="109" t="s">
        <v>9015</v>
      </c>
      <c r="C338" s="109" t="s">
        <v>5281</v>
      </c>
      <c r="D338" s="109" t="s">
        <v>9653</v>
      </c>
      <c r="E338" s="109">
        <v>2020</v>
      </c>
      <c r="F338" s="109">
        <v>2020</v>
      </c>
      <c r="G338" s="109" t="s">
        <v>16</v>
      </c>
      <c r="H338" s="109">
        <v>200</v>
      </c>
      <c r="I338" s="109">
        <v>200</v>
      </c>
      <c r="J338" s="109"/>
      <c r="K338" s="109"/>
      <c r="L338" s="105">
        <v>20201118</v>
      </c>
    </row>
    <row r="339" s="175" customFormat="1" ht="16" customHeight="1" spans="1:12">
      <c r="A339" s="109">
        <v>337</v>
      </c>
      <c r="B339" s="109" t="s">
        <v>9015</v>
      </c>
      <c r="C339" s="109" t="s">
        <v>9654</v>
      </c>
      <c r="D339" s="109" t="s">
        <v>9655</v>
      </c>
      <c r="E339" s="109">
        <v>2020</v>
      </c>
      <c r="F339" s="109">
        <v>2020</v>
      </c>
      <c r="G339" s="109" t="s">
        <v>16</v>
      </c>
      <c r="H339" s="109">
        <v>200</v>
      </c>
      <c r="I339" s="109">
        <v>200</v>
      </c>
      <c r="J339" s="109"/>
      <c r="K339" s="109"/>
      <c r="L339" s="105">
        <v>20201118</v>
      </c>
    </row>
    <row r="340" s="175" customFormat="1" ht="16" customHeight="1" spans="1:12">
      <c r="A340" s="109">
        <v>338</v>
      </c>
      <c r="B340" s="109" t="s">
        <v>9015</v>
      </c>
      <c r="C340" s="109" t="s">
        <v>2401</v>
      </c>
      <c r="D340" s="109" t="s">
        <v>9656</v>
      </c>
      <c r="E340" s="109">
        <v>2020</v>
      </c>
      <c r="F340" s="109">
        <v>2020</v>
      </c>
      <c r="G340" s="109" t="s">
        <v>16</v>
      </c>
      <c r="H340" s="109">
        <v>200</v>
      </c>
      <c r="I340" s="109">
        <v>200</v>
      </c>
      <c r="J340" s="109"/>
      <c r="K340" s="109"/>
      <c r="L340" s="105">
        <v>20201118</v>
      </c>
    </row>
    <row r="341" s="175" customFormat="1" ht="16" customHeight="1" spans="1:12">
      <c r="A341" s="109">
        <v>339</v>
      </c>
      <c r="B341" s="109" t="s">
        <v>9015</v>
      </c>
      <c r="C341" s="109" t="s">
        <v>9657</v>
      </c>
      <c r="D341" s="109" t="s">
        <v>9658</v>
      </c>
      <c r="E341" s="109">
        <v>2020</v>
      </c>
      <c r="F341" s="109">
        <v>2020</v>
      </c>
      <c r="G341" s="109" t="s">
        <v>16</v>
      </c>
      <c r="H341" s="109">
        <v>200</v>
      </c>
      <c r="I341" s="109">
        <v>200</v>
      </c>
      <c r="J341" s="109"/>
      <c r="K341" s="109"/>
      <c r="L341" s="105">
        <v>20201118</v>
      </c>
    </row>
    <row r="342" s="175" customFormat="1" ht="16" customHeight="1" spans="1:12">
      <c r="A342" s="109">
        <v>340</v>
      </c>
      <c r="B342" s="109" t="s">
        <v>9015</v>
      </c>
      <c r="C342" s="109" t="s">
        <v>9659</v>
      </c>
      <c r="D342" s="109" t="s">
        <v>9660</v>
      </c>
      <c r="E342" s="109">
        <v>2020</v>
      </c>
      <c r="F342" s="109">
        <v>2020</v>
      </c>
      <c r="G342" s="109" t="s">
        <v>16</v>
      </c>
      <c r="H342" s="109">
        <v>200</v>
      </c>
      <c r="I342" s="109">
        <v>200</v>
      </c>
      <c r="J342" s="109"/>
      <c r="K342" s="109"/>
      <c r="L342" s="105">
        <v>20201118</v>
      </c>
    </row>
    <row r="343" s="175" customFormat="1" ht="16" customHeight="1" spans="1:12">
      <c r="A343" s="109">
        <v>341</v>
      </c>
      <c r="B343" s="109" t="s">
        <v>9015</v>
      </c>
      <c r="C343" s="109" t="s">
        <v>9661</v>
      </c>
      <c r="D343" s="109" t="s">
        <v>9662</v>
      </c>
      <c r="E343" s="109">
        <v>2020</v>
      </c>
      <c r="F343" s="109">
        <v>2020</v>
      </c>
      <c r="G343" s="109" t="s">
        <v>16</v>
      </c>
      <c r="H343" s="109">
        <v>200</v>
      </c>
      <c r="I343" s="109">
        <v>200</v>
      </c>
      <c r="J343" s="109"/>
      <c r="K343" s="109"/>
      <c r="L343" s="105">
        <v>20201118</v>
      </c>
    </row>
    <row r="344" s="175" customFormat="1" ht="16" customHeight="1" spans="1:12">
      <c r="A344" s="109">
        <v>342</v>
      </c>
      <c r="B344" s="109" t="s">
        <v>9015</v>
      </c>
      <c r="C344" s="109" t="s">
        <v>3601</v>
      </c>
      <c r="D344" s="109" t="s">
        <v>9663</v>
      </c>
      <c r="E344" s="109">
        <v>2020</v>
      </c>
      <c r="F344" s="109">
        <v>2020</v>
      </c>
      <c r="G344" s="109" t="s">
        <v>16</v>
      </c>
      <c r="H344" s="109">
        <v>200</v>
      </c>
      <c r="I344" s="109">
        <v>200</v>
      </c>
      <c r="J344" s="109"/>
      <c r="K344" s="109"/>
      <c r="L344" s="105">
        <v>20201118</v>
      </c>
    </row>
    <row r="345" s="175" customFormat="1" ht="16" customHeight="1" spans="1:12">
      <c r="A345" s="109">
        <v>343</v>
      </c>
      <c r="B345" s="109" t="s">
        <v>9015</v>
      </c>
      <c r="C345" s="109" t="s">
        <v>9664</v>
      </c>
      <c r="D345" s="109" t="s">
        <v>9665</v>
      </c>
      <c r="E345" s="109">
        <v>2020</v>
      </c>
      <c r="F345" s="109">
        <v>2020</v>
      </c>
      <c r="G345" s="109" t="s">
        <v>16</v>
      </c>
      <c r="H345" s="109">
        <v>200</v>
      </c>
      <c r="I345" s="109">
        <v>200</v>
      </c>
      <c r="J345" s="109"/>
      <c r="K345" s="109"/>
      <c r="L345" s="105">
        <v>20201118</v>
      </c>
    </row>
    <row r="346" s="175" customFormat="1" ht="16" customHeight="1" spans="1:12">
      <c r="A346" s="109">
        <v>344</v>
      </c>
      <c r="B346" s="109" t="s">
        <v>9015</v>
      </c>
      <c r="C346" s="109" t="s">
        <v>9666</v>
      </c>
      <c r="D346" s="109" t="s">
        <v>9667</v>
      </c>
      <c r="E346" s="109">
        <v>2020</v>
      </c>
      <c r="F346" s="109">
        <v>2020</v>
      </c>
      <c r="G346" s="109" t="s">
        <v>16</v>
      </c>
      <c r="H346" s="109">
        <v>200</v>
      </c>
      <c r="I346" s="109">
        <v>200</v>
      </c>
      <c r="J346" s="109"/>
      <c r="K346" s="109"/>
      <c r="L346" s="105">
        <v>20201118</v>
      </c>
    </row>
    <row r="347" s="175" customFormat="1" ht="16" customHeight="1" spans="1:12">
      <c r="A347" s="109">
        <v>345</v>
      </c>
      <c r="B347" s="109" t="s">
        <v>9015</v>
      </c>
      <c r="C347" s="109" t="s">
        <v>9668</v>
      </c>
      <c r="D347" s="109" t="s">
        <v>9669</v>
      </c>
      <c r="E347" s="109">
        <v>2020</v>
      </c>
      <c r="F347" s="109">
        <v>2020</v>
      </c>
      <c r="G347" s="109" t="s">
        <v>16</v>
      </c>
      <c r="H347" s="109">
        <v>200</v>
      </c>
      <c r="I347" s="109">
        <v>200</v>
      </c>
      <c r="J347" s="109"/>
      <c r="K347" s="109"/>
      <c r="L347" s="105">
        <v>20201118</v>
      </c>
    </row>
    <row r="348" s="175" customFormat="1" ht="16" customHeight="1" spans="1:12">
      <c r="A348" s="109">
        <v>346</v>
      </c>
      <c r="B348" s="109" t="s">
        <v>9015</v>
      </c>
      <c r="C348" s="109" t="s">
        <v>9670</v>
      </c>
      <c r="D348" s="109" t="s">
        <v>9671</v>
      </c>
      <c r="E348" s="109">
        <v>2020</v>
      </c>
      <c r="F348" s="109">
        <v>2020</v>
      </c>
      <c r="G348" s="109" t="s">
        <v>16</v>
      </c>
      <c r="H348" s="109">
        <v>200</v>
      </c>
      <c r="I348" s="109">
        <v>200</v>
      </c>
      <c r="J348" s="109"/>
      <c r="K348" s="109"/>
      <c r="L348" s="105">
        <v>20201118</v>
      </c>
    </row>
    <row r="349" s="175" customFormat="1" ht="16" customHeight="1" spans="1:12">
      <c r="A349" s="109">
        <v>347</v>
      </c>
      <c r="B349" s="109" t="s">
        <v>9015</v>
      </c>
      <c r="C349" s="109" t="s">
        <v>9672</v>
      </c>
      <c r="D349" s="109" t="s">
        <v>9673</v>
      </c>
      <c r="E349" s="109">
        <v>2020</v>
      </c>
      <c r="F349" s="109">
        <v>2020</v>
      </c>
      <c r="G349" s="109" t="s">
        <v>16</v>
      </c>
      <c r="H349" s="109">
        <v>200</v>
      </c>
      <c r="I349" s="109">
        <v>200</v>
      </c>
      <c r="J349" s="109"/>
      <c r="K349" s="109"/>
      <c r="L349" s="105">
        <v>20201118</v>
      </c>
    </row>
    <row r="350" s="175" customFormat="1" ht="16" customHeight="1" spans="1:12">
      <c r="A350" s="109">
        <v>348</v>
      </c>
      <c r="B350" s="109" t="s">
        <v>9015</v>
      </c>
      <c r="C350" s="109" t="s">
        <v>9674</v>
      </c>
      <c r="D350" s="109" t="s">
        <v>9675</v>
      </c>
      <c r="E350" s="109">
        <v>2020</v>
      </c>
      <c r="F350" s="109">
        <v>2020</v>
      </c>
      <c r="G350" s="109" t="s">
        <v>16</v>
      </c>
      <c r="H350" s="109">
        <v>200</v>
      </c>
      <c r="I350" s="109">
        <v>200</v>
      </c>
      <c r="J350" s="109"/>
      <c r="K350" s="109"/>
      <c r="L350" s="105">
        <v>20201118</v>
      </c>
    </row>
    <row r="351" s="175" customFormat="1" ht="16" customHeight="1" spans="1:12">
      <c r="A351" s="109">
        <v>349</v>
      </c>
      <c r="B351" s="109" t="s">
        <v>9015</v>
      </c>
      <c r="C351" s="109" t="s">
        <v>9676</v>
      </c>
      <c r="D351" s="109" t="s">
        <v>9677</v>
      </c>
      <c r="E351" s="109">
        <v>2020</v>
      </c>
      <c r="F351" s="109">
        <v>2020</v>
      </c>
      <c r="G351" s="109" t="s">
        <v>16</v>
      </c>
      <c r="H351" s="109">
        <v>200</v>
      </c>
      <c r="I351" s="109">
        <v>200</v>
      </c>
      <c r="J351" s="109"/>
      <c r="K351" s="109"/>
      <c r="L351" s="105">
        <v>20201118</v>
      </c>
    </row>
    <row r="352" s="175" customFormat="1" ht="16" customHeight="1" spans="1:12">
      <c r="A352" s="109">
        <v>350</v>
      </c>
      <c r="B352" s="109" t="s">
        <v>9015</v>
      </c>
      <c r="C352" s="109" t="s">
        <v>9678</v>
      </c>
      <c r="D352" s="109" t="s">
        <v>9679</v>
      </c>
      <c r="E352" s="109">
        <v>2020</v>
      </c>
      <c r="F352" s="109">
        <v>2020</v>
      </c>
      <c r="G352" s="109" t="s">
        <v>16</v>
      </c>
      <c r="H352" s="109">
        <v>200</v>
      </c>
      <c r="I352" s="109">
        <v>200</v>
      </c>
      <c r="J352" s="109"/>
      <c r="K352" s="109"/>
      <c r="L352" s="105">
        <v>20201118</v>
      </c>
    </row>
    <row r="353" s="175" customFormat="1" ht="16" customHeight="1" spans="1:12">
      <c r="A353" s="109">
        <v>351</v>
      </c>
      <c r="B353" s="109" t="s">
        <v>9015</v>
      </c>
      <c r="C353" s="109" t="s">
        <v>9680</v>
      </c>
      <c r="D353" s="109" t="s">
        <v>9681</v>
      </c>
      <c r="E353" s="109">
        <v>2020</v>
      </c>
      <c r="F353" s="109">
        <v>2020</v>
      </c>
      <c r="G353" s="109" t="s">
        <v>16</v>
      </c>
      <c r="H353" s="109">
        <v>200</v>
      </c>
      <c r="I353" s="109">
        <v>200</v>
      </c>
      <c r="J353" s="109"/>
      <c r="K353" s="109"/>
      <c r="L353" s="105">
        <v>20201118</v>
      </c>
    </row>
    <row r="354" s="175" customFormat="1" ht="16" customHeight="1" spans="1:12">
      <c r="A354" s="109">
        <v>352</v>
      </c>
      <c r="B354" s="109" t="s">
        <v>9015</v>
      </c>
      <c r="C354" s="109" t="s">
        <v>9682</v>
      </c>
      <c r="D354" s="109" t="s">
        <v>9683</v>
      </c>
      <c r="E354" s="109">
        <v>2020</v>
      </c>
      <c r="F354" s="109">
        <v>2020</v>
      </c>
      <c r="G354" s="109" t="s">
        <v>16</v>
      </c>
      <c r="H354" s="109">
        <v>200</v>
      </c>
      <c r="I354" s="109">
        <v>200</v>
      </c>
      <c r="J354" s="109"/>
      <c r="K354" s="109"/>
      <c r="L354" s="105">
        <v>20201118</v>
      </c>
    </row>
    <row r="355" s="175" customFormat="1" ht="16" customHeight="1" spans="1:12">
      <c r="A355" s="109">
        <v>353</v>
      </c>
      <c r="B355" s="109" t="s">
        <v>9015</v>
      </c>
      <c r="C355" s="109" t="s">
        <v>9684</v>
      </c>
      <c r="D355" s="109" t="s">
        <v>9685</v>
      </c>
      <c r="E355" s="109">
        <v>2020</v>
      </c>
      <c r="F355" s="109">
        <v>2020</v>
      </c>
      <c r="G355" s="109" t="s">
        <v>16</v>
      </c>
      <c r="H355" s="109">
        <v>200</v>
      </c>
      <c r="I355" s="109">
        <v>200</v>
      </c>
      <c r="J355" s="109"/>
      <c r="K355" s="109"/>
      <c r="L355" s="105">
        <v>20201118</v>
      </c>
    </row>
    <row r="356" s="175" customFormat="1" ht="16" customHeight="1" spans="1:12">
      <c r="A356" s="109">
        <v>354</v>
      </c>
      <c r="B356" s="109" t="s">
        <v>9015</v>
      </c>
      <c r="C356" s="109" t="s">
        <v>9686</v>
      </c>
      <c r="D356" s="109" t="s">
        <v>9687</v>
      </c>
      <c r="E356" s="109">
        <v>2020</v>
      </c>
      <c r="F356" s="109">
        <v>2020</v>
      </c>
      <c r="G356" s="109" t="s">
        <v>16</v>
      </c>
      <c r="H356" s="109">
        <v>200</v>
      </c>
      <c r="I356" s="109">
        <v>200</v>
      </c>
      <c r="J356" s="109"/>
      <c r="K356" s="109"/>
      <c r="L356" s="105">
        <v>20201118</v>
      </c>
    </row>
    <row r="357" s="175" customFormat="1" ht="16" customHeight="1" spans="1:12">
      <c r="A357" s="109">
        <v>355</v>
      </c>
      <c r="B357" s="109" t="s">
        <v>9015</v>
      </c>
      <c r="C357" s="109" t="s">
        <v>9688</v>
      </c>
      <c r="D357" s="109" t="s">
        <v>9689</v>
      </c>
      <c r="E357" s="109">
        <v>2020</v>
      </c>
      <c r="F357" s="109">
        <v>2020</v>
      </c>
      <c r="G357" s="109" t="s">
        <v>16</v>
      </c>
      <c r="H357" s="109">
        <v>200</v>
      </c>
      <c r="I357" s="109">
        <v>200</v>
      </c>
      <c r="J357" s="109"/>
      <c r="K357" s="109"/>
      <c r="L357" s="105">
        <v>20201118</v>
      </c>
    </row>
    <row r="358" s="175" customFormat="1" ht="16" customHeight="1" spans="1:12">
      <c r="A358" s="109">
        <v>356</v>
      </c>
      <c r="B358" s="109" t="s">
        <v>9015</v>
      </c>
      <c r="C358" s="109" t="s">
        <v>9690</v>
      </c>
      <c r="D358" s="109" t="s">
        <v>9691</v>
      </c>
      <c r="E358" s="109">
        <v>2020</v>
      </c>
      <c r="F358" s="109">
        <v>2020</v>
      </c>
      <c r="G358" s="109" t="s">
        <v>16</v>
      </c>
      <c r="H358" s="109">
        <v>200</v>
      </c>
      <c r="I358" s="109">
        <v>200</v>
      </c>
      <c r="J358" s="109"/>
      <c r="K358" s="109"/>
      <c r="L358" s="105">
        <v>20201118</v>
      </c>
    </row>
    <row r="359" s="175" customFormat="1" ht="16" customHeight="1" spans="1:12">
      <c r="A359" s="109">
        <v>357</v>
      </c>
      <c r="B359" s="109" t="s">
        <v>9015</v>
      </c>
      <c r="C359" s="109" t="s">
        <v>9692</v>
      </c>
      <c r="D359" s="109" t="s">
        <v>9693</v>
      </c>
      <c r="E359" s="109">
        <v>2020</v>
      </c>
      <c r="F359" s="109">
        <v>2020</v>
      </c>
      <c r="G359" s="109" t="s">
        <v>16</v>
      </c>
      <c r="H359" s="109">
        <v>200</v>
      </c>
      <c r="I359" s="109">
        <v>200</v>
      </c>
      <c r="J359" s="109"/>
      <c r="K359" s="109"/>
      <c r="L359" s="105">
        <v>20201118</v>
      </c>
    </row>
    <row r="360" s="175" customFormat="1" ht="16" customHeight="1" spans="1:12">
      <c r="A360" s="109">
        <v>358</v>
      </c>
      <c r="B360" s="109" t="s">
        <v>9015</v>
      </c>
      <c r="C360" s="109" t="s">
        <v>9694</v>
      </c>
      <c r="D360" s="109" t="s">
        <v>9695</v>
      </c>
      <c r="E360" s="109">
        <v>2020</v>
      </c>
      <c r="F360" s="109">
        <v>2020</v>
      </c>
      <c r="G360" s="109" t="s">
        <v>16</v>
      </c>
      <c r="H360" s="109">
        <v>200</v>
      </c>
      <c r="I360" s="109">
        <v>200</v>
      </c>
      <c r="J360" s="109"/>
      <c r="K360" s="109"/>
      <c r="L360" s="105">
        <v>20201118</v>
      </c>
    </row>
    <row r="361" s="175" customFormat="1" ht="16" customHeight="1" spans="1:12">
      <c r="A361" s="109">
        <v>359</v>
      </c>
      <c r="B361" s="109" t="s">
        <v>9015</v>
      </c>
      <c r="C361" s="109" t="s">
        <v>9696</v>
      </c>
      <c r="D361" s="109" t="s">
        <v>9697</v>
      </c>
      <c r="E361" s="109">
        <v>2020</v>
      </c>
      <c r="F361" s="109">
        <v>2020</v>
      </c>
      <c r="G361" s="109" t="s">
        <v>16</v>
      </c>
      <c r="H361" s="109">
        <v>200</v>
      </c>
      <c r="I361" s="109">
        <v>200</v>
      </c>
      <c r="J361" s="109"/>
      <c r="K361" s="109"/>
      <c r="L361" s="105">
        <v>20201118</v>
      </c>
    </row>
    <row r="362" s="175" customFormat="1" ht="16" customHeight="1" spans="1:12">
      <c r="A362" s="109">
        <v>360</v>
      </c>
      <c r="B362" s="109" t="s">
        <v>9015</v>
      </c>
      <c r="C362" s="109" t="s">
        <v>9698</v>
      </c>
      <c r="D362" s="109" t="s">
        <v>9699</v>
      </c>
      <c r="E362" s="109">
        <v>2020</v>
      </c>
      <c r="F362" s="109">
        <v>2020</v>
      </c>
      <c r="G362" s="109" t="s">
        <v>16</v>
      </c>
      <c r="H362" s="109">
        <v>200</v>
      </c>
      <c r="I362" s="109">
        <v>200</v>
      </c>
      <c r="J362" s="109"/>
      <c r="K362" s="109"/>
      <c r="L362" s="105">
        <v>20201118</v>
      </c>
    </row>
    <row r="363" s="175" customFormat="1" ht="16" customHeight="1" spans="1:12">
      <c r="A363" s="109">
        <v>361</v>
      </c>
      <c r="B363" s="109" t="s">
        <v>9015</v>
      </c>
      <c r="C363" s="109" t="s">
        <v>9700</v>
      </c>
      <c r="D363" s="109" t="s">
        <v>9701</v>
      </c>
      <c r="E363" s="109">
        <v>2020</v>
      </c>
      <c r="F363" s="109">
        <v>2020</v>
      </c>
      <c r="G363" s="109" t="s">
        <v>16</v>
      </c>
      <c r="H363" s="109">
        <v>200</v>
      </c>
      <c r="I363" s="109">
        <v>200</v>
      </c>
      <c r="J363" s="109"/>
      <c r="K363" s="109"/>
      <c r="L363" s="105">
        <v>20201118</v>
      </c>
    </row>
    <row r="364" s="175" customFormat="1" ht="16" customHeight="1" spans="1:12">
      <c r="A364" s="109">
        <v>362</v>
      </c>
      <c r="B364" s="109" t="s">
        <v>9015</v>
      </c>
      <c r="C364" s="109" t="s">
        <v>1089</v>
      </c>
      <c r="D364" s="109" t="s">
        <v>9702</v>
      </c>
      <c r="E364" s="109">
        <v>2020</v>
      </c>
      <c r="F364" s="109">
        <v>2020</v>
      </c>
      <c r="G364" s="109" t="s">
        <v>16</v>
      </c>
      <c r="H364" s="109">
        <v>200</v>
      </c>
      <c r="I364" s="109">
        <v>200</v>
      </c>
      <c r="J364" s="109"/>
      <c r="K364" s="109"/>
      <c r="L364" s="105">
        <v>20201118</v>
      </c>
    </row>
    <row r="365" s="175" customFormat="1" ht="16" customHeight="1" spans="1:12">
      <c r="A365" s="109">
        <v>363</v>
      </c>
      <c r="B365" s="109" t="s">
        <v>9015</v>
      </c>
      <c r="C365" s="109" t="s">
        <v>9703</v>
      </c>
      <c r="D365" s="109" t="s">
        <v>9704</v>
      </c>
      <c r="E365" s="109">
        <v>2020</v>
      </c>
      <c r="F365" s="109">
        <v>2020</v>
      </c>
      <c r="G365" s="109" t="s">
        <v>16</v>
      </c>
      <c r="H365" s="109">
        <v>200</v>
      </c>
      <c r="I365" s="109">
        <v>200</v>
      </c>
      <c r="J365" s="109"/>
      <c r="K365" s="109"/>
      <c r="L365" s="105">
        <v>20201118</v>
      </c>
    </row>
    <row r="366" s="175" customFormat="1" ht="16" customHeight="1" spans="1:12">
      <c r="A366" s="109">
        <v>364</v>
      </c>
      <c r="B366" s="109" t="s">
        <v>9015</v>
      </c>
      <c r="C366" s="109" t="s">
        <v>7929</v>
      </c>
      <c r="D366" s="109" t="s">
        <v>9705</v>
      </c>
      <c r="E366" s="109">
        <v>2020</v>
      </c>
      <c r="F366" s="109">
        <v>2020</v>
      </c>
      <c r="G366" s="109" t="s">
        <v>16</v>
      </c>
      <c r="H366" s="109">
        <v>200</v>
      </c>
      <c r="I366" s="109">
        <v>200</v>
      </c>
      <c r="J366" s="109"/>
      <c r="K366" s="109"/>
      <c r="L366" s="105">
        <v>20201118</v>
      </c>
    </row>
    <row r="367" s="175" customFormat="1" ht="16" customHeight="1" spans="1:12">
      <c r="A367" s="109">
        <v>365</v>
      </c>
      <c r="B367" s="109" t="s">
        <v>9015</v>
      </c>
      <c r="C367" s="109" t="s">
        <v>9706</v>
      </c>
      <c r="D367" s="109" t="s">
        <v>9707</v>
      </c>
      <c r="E367" s="109">
        <v>2020</v>
      </c>
      <c r="F367" s="109">
        <v>2020</v>
      </c>
      <c r="G367" s="109" t="s">
        <v>16</v>
      </c>
      <c r="H367" s="109">
        <v>200</v>
      </c>
      <c r="I367" s="109">
        <v>200</v>
      </c>
      <c r="J367" s="109"/>
      <c r="K367" s="109"/>
      <c r="L367" s="105">
        <v>20201118</v>
      </c>
    </row>
    <row r="368" s="175" customFormat="1" ht="16" customHeight="1" spans="1:12">
      <c r="A368" s="109">
        <v>366</v>
      </c>
      <c r="B368" s="109" t="s">
        <v>9015</v>
      </c>
      <c r="C368" s="109" t="s">
        <v>7066</v>
      </c>
      <c r="D368" s="109" t="s">
        <v>9708</v>
      </c>
      <c r="E368" s="109">
        <v>2020</v>
      </c>
      <c r="F368" s="109">
        <v>2020</v>
      </c>
      <c r="G368" s="109" t="s">
        <v>16</v>
      </c>
      <c r="H368" s="109">
        <v>200</v>
      </c>
      <c r="I368" s="109">
        <v>200</v>
      </c>
      <c r="J368" s="109"/>
      <c r="K368" s="109"/>
      <c r="L368" s="105">
        <v>20201118</v>
      </c>
    </row>
    <row r="369" s="175" customFormat="1" ht="16" customHeight="1" spans="1:12">
      <c r="A369" s="109">
        <v>367</v>
      </c>
      <c r="B369" s="109" t="s">
        <v>9015</v>
      </c>
      <c r="C369" s="109" t="s">
        <v>9709</v>
      </c>
      <c r="D369" s="109" t="s">
        <v>9710</v>
      </c>
      <c r="E369" s="109">
        <v>2020</v>
      </c>
      <c r="F369" s="109">
        <v>2020</v>
      </c>
      <c r="G369" s="109" t="s">
        <v>16</v>
      </c>
      <c r="H369" s="109">
        <v>200</v>
      </c>
      <c r="I369" s="109">
        <v>200</v>
      </c>
      <c r="J369" s="109"/>
      <c r="K369" s="109"/>
      <c r="L369" s="105">
        <v>20201118</v>
      </c>
    </row>
    <row r="370" s="175" customFormat="1" ht="16" customHeight="1" spans="1:12">
      <c r="A370" s="109">
        <v>368</v>
      </c>
      <c r="B370" s="109" t="s">
        <v>9015</v>
      </c>
      <c r="C370" s="109" t="s">
        <v>9711</v>
      </c>
      <c r="D370" s="109" t="s">
        <v>9712</v>
      </c>
      <c r="E370" s="109">
        <v>2020</v>
      </c>
      <c r="F370" s="109">
        <v>2020</v>
      </c>
      <c r="G370" s="109" t="s">
        <v>16</v>
      </c>
      <c r="H370" s="109">
        <v>200</v>
      </c>
      <c r="I370" s="109">
        <v>200</v>
      </c>
      <c r="J370" s="109"/>
      <c r="K370" s="109"/>
      <c r="L370" s="105">
        <v>20201118</v>
      </c>
    </row>
    <row r="371" s="175" customFormat="1" ht="16" customHeight="1" spans="1:12">
      <c r="A371" s="109">
        <v>369</v>
      </c>
      <c r="B371" s="109" t="s">
        <v>9015</v>
      </c>
      <c r="C371" s="109" t="s">
        <v>9713</v>
      </c>
      <c r="D371" s="109" t="s">
        <v>9714</v>
      </c>
      <c r="E371" s="109">
        <v>2020</v>
      </c>
      <c r="F371" s="109">
        <v>2020</v>
      </c>
      <c r="G371" s="109" t="s">
        <v>16</v>
      </c>
      <c r="H371" s="109">
        <v>200</v>
      </c>
      <c r="I371" s="109">
        <v>200</v>
      </c>
      <c r="J371" s="109"/>
      <c r="K371" s="109"/>
      <c r="L371" s="105">
        <v>20201118</v>
      </c>
    </row>
    <row r="372" s="175" customFormat="1" ht="16" customHeight="1" spans="1:12">
      <c r="A372" s="109">
        <v>370</v>
      </c>
      <c r="B372" s="109" t="s">
        <v>9015</v>
      </c>
      <c r="C372" s="109" t="s">
        <v>9715</v>
      </c>
      <c r="D372" s="109" t="s">
        <v>9716</v>
      </c>
      <c r="E372" s="109">
        <v>2020</v>
      </c>
      <c r="F372" s="109">
        <v>2020</v>
      </c>
      <c r="G372" s="109" t="s">
        <v>16</v>
      </c>
      <c r="H372" s="109">
        <v>200</v>
      </c>
      <c r="I372" s="109">
        <v>200</v>
      </c>
      <c r="J372" s="109"/>
      <c r="K372" s="109"/>
      <c r="L372" s="105">
        <v>20201118</v>
      </c>
    </row>
    <row r="373" s="175" customFormat="1" ht="16" customHeight="1" spans="1:12">
      <c r="A373" s="109">
        <v>371</v>
      </c>
      <c r="B373" s="109" t="s">
        <v>9015</v>
      </c>
      <c r="C373" s="109" t="s">
        <v>9717</v>
      </c>
      <c r="D373" s="109" t="s">
        <v>9718</v>
      </c>
      <c r="E373" s="109">
        <v>2020</v>
      </c>
      <c r="F373" s="109">
        <v>2020</v>
      </c>
      <c r="G373" s="109" t="s">
        <v>16</v>
      </c>
      <c r="H373" s="109">
        <v>200</v>
      </c>
      <c r="I373" s="109">
        <v>200</v>
      </c>
      <c r="J373" s="109"/>
      <c r="K373" s="109"/>
      <c r="L373" s="105">
        <v>20201118</v>
      </c>
    </row>
    <row r="374" s="175" customFormat="1" ht="16" customHeight="1" spans="1:12">
      <c r="A374" s="109">
        <v>372</v>
      </c>
      <c r="B374" s="109" t="s">
        <v>9015</v>
      </c>
      <c r="C374" s="109" t="s">
        <v>9719</v>
      </c>
      <c r="D374" s="109" t="s">
        <v>9720</v>
      </c>
      <c r="E374" s="109">
        <v>2020</v>
      </c>
      <c r="F374" s="109">
        <v>2020</v>
      </c>
      <c r="G374" s="109" t="s">
        <v>16</v>
      </c>
      <c r="H374" s="109">
        <v>200</v>
      </c>
      <c r="I374" s="109">
        <v>200</v>
      </c>
      <c r="J374" s="109"/>
      <c r="K374" s="109"/>
      <c r="L374" s="105">
        <v>20201118</v>
      </c>
    </row>
    <row r="375" s="175" customFormat="1" ht="16" customHeight="1" spans="1:12">
      <c r="A375" s="109">
        <v>373</v>
      </c>
      <c r="B375" s="109" t="s">
        <v>9015</v>
      </c>
      <c r="C375" s="109" t="s">
        <v>9721</v>
      </c>
      <c r="D375" s="109" t="s">
        <v>9722</v>
      </c>
      <c r="E375" s="109">
        <v>2020</v>
      </c>
      <c r="F375" s="109">
        <v>2020</v>
      </c>
      <c r="G375" s="109" t="s">
        <v>16</v>
      </c>
      <c r="H375" s="109">
        <v>200</v>
      </c>
      <c r="I375" s="109">
        <v>200</v>
      </c>
      <c r="J375" s="109"/>
      <c r="K375" s="109"/>
      <c r="L375" s="105">
        <v>20201118</v>
      </c>
    </row>
    <row r="376" s="175" customFormat="1" ht="16" customHeight="1" spans="1:12">
      <c r="A376" s="109">
        <v>374</v>
      </c>
      <c r="B376" s="109" t="s">
        <v>9015</v>
      </c>
      <c r="C376" s="109" t="s">
        <v>9723</v>
      </c>
      <c r="D376" s="109" t="s">
        <v>9724</v>
      </c>
      <c r="E376" s="109">
        <v>2020</v>
      </c>
      <c r="F376" s="109">
        <v>2020</v>
      </c>
      <c r="G376" s="109" t="s">
        <v>16</v>
      </c>
      <c r="H376" s="109">
        <v>200</v>
      </c>
      <c r="I376" s="109">
        <v>200</v>
      </c>
      <c r="J376" s="109"/>
      <c r="K376" s="109"/>
      <c r="L376" s="105">
        <v>20201118</v>
      </c>
    </row>
    <row r="377" s="175" customFormat="1" ht="16" customHeight="1" spans="1:12">
      <c r="A377" s="109">
        <v>375</v>
      </c>
      <c r="B377" s="109" t="s">
        <v>9015</v>
      </c>
      <c r="C377" s="109" t="s">
        <v>9725</v>
      </c>
      <c r="D377" s="109" t="s">
        <v>9726</v>
      </c>
      <c r="E377" s="109">
        <v>2020</v>
      </c>
      <c r="F377" s="109">
        <v>2020</v>
      </c>
      <c r="G377" s="109" t="s">
        <v>16</v>
      </c>
      <c r="H377" s="109">
        <v>200</v>
      </c>
      <c r="I377" s="109">
        <v>200</v>
      </c>
      <c r="J377" s="109"/>
      <c r="K377" s="109"/>
      <c r="L377" s="105">
        <v>20201118</v>
      </c>
    </row>
    <row r="378" s="175" customFormat="1" ht="16" customHeight="1" spans="1:12">
      <c r="A378" s="109">
        <v>376</v>
      </c>
      <c r="B378" s="109" t="s">
        <v>9015</v>
      </c>
      <c r="C378" s="109" t="s">
        <v>9727</v>
      </c>
      <c r="D378" s="109" t="s">
        <v>9728</v>
      </c>
      <c r="E378" s="109">
        <v>2020</v>
      </c>
      <c r="F378" s="109">
        <v>2020</v>
      </c>
      <c r="G378" s="109" t="s">
        <v>16</v>
      </c>
      <c r="H378" s="109">
        <v>200</v>
      </c>
      <c r="I378" s="109">
        <v>200</v>
      </c>
      <c r="J378" s="109"/>
      <c r="K378" s="109"/>
      <c r="L378" s="105">
        <v>20201118</v>
      </c>
    </row>
    <row r="379" s="175" customFormat="1" ht="16" customHeight="1" spans="1:12">
      <c r="A379" s="109">
        <v>377</v>
      </c>
      <c r="B379" s="109" t="s">
        <v>9015</v>
      </c>
      <c r="C379" s="109" t="s">
        <v>9729</v>
      </c>
      <c r="D379" s="109" t="s">
        <v>9730</v>
      </c>
      <c r="E379" s="109">
        <v>2020</v>
      </c>
      <c r="F379" s="109">
        <v>2020</v>
      </c>
      <c r="G379" s="109" t="s">
        <v>16</v>
      </c>
      <c r="H379" s="109">
        <v>200</v>
      </c>
      <c r="I379" s="109">
        <v>200</v>
      </c>
      <c r="J379" s="109"/>
      <c r="K379" s="109"/>
      <c r="L379" s="105">
        <v>20201118</v>
      </c>
    </row>
    <row r="380" s="175" customFormat="1" ht="16" customHeight="1" spans="1:12">
      <c r="A380" s="109">
        <v>378</v>
      </c>
      <c r="B380" s="109" t="s">
        <v>9015</v>
      </c>
      <c r="C380" s="109" t="s">
        <v>5098</v>
      </c>
      <c r="D380" s="109" t="s">
        <v>9731</v>
      </c>
      <c r="E380" s="109">
        <v>2020</v>
      </c>
      <c r="F380" s="109">
        <v>2020</v>
      </c>
      <c r="G380" s="109" t="s">
        <v>16</v>
      </c>
      <c r="H380" s="109">
        <v>200</v>
      </c>
      <c r="I380" s="109">
        <v>200</v>
      </c>
      <c r="J380" s="109"/>
      <c r="K380" s="109"/>
      <c r="L380" s="105">
        <v>20201118</v>
      </c>
    </row>
    <row r="381" s="175" customFormat="1" ht="16" customHeight="1" spans="1:12">
      <c r="A381" s="109">
        <v>379</v>
      </c>
      <c r="B381" s="109" t="s">
        <v>9015</v>
      </c>
      <c r="C381" s="109" t="s">
        <v>9732</v>
      </c>
      <c r="D381" s="109" t="s">
        <v>9733</v>
      </c>
      <c r="E381" s="109">
        <v>2020</v>
      </c>
      <c r="F381" s="109">
        <v>2020</v>
      </c>
      <c r="G381" s="109" t="s">
        <v>16</v>
      </c>
      <c r="H381" s="109">
        <v>200</v>
      </c>
      <c r="I381" s="109">
        <v>200</v>
      </c>
      <c r="J381" s="109"/>
      <c r="K381" s="109"/>
      <c r="L381" s="105">
        <v>20201118</v>
      </c>
    </row>
    <row r="382" s="175" customFormat="1" ht="16" customHeight="1" spans="1:12">
      <c r="A382" s="109">
        <v>380</v>
      </c>
      <c r="B382" s="109" t="s">
        <v>9015</v>
      </c>
      <c r="C382" s="109" t="s">
        <v>9734</v>
      </c>
      <c r="D382" s="109" t="s">
        <v>9735</v>
      </c>
      <c r="E382" s="109">
        <v>2020</v>
      </c>
      <c r="F382" s="109">
        <v>2020</v>
      </c>
      <c r="G382" s="109" t="s">
        <v>16</v>
      </c>
      <c r="H382" s="109">
        <v>200</v>
      </c>
      <c r="I382" s="109">
        <v>200</v>
      </c>
      <c r="J382" s="109"/>
      <c r="K382" s="109"/>
      <c r="L382" s="105">
        <v>20201118</v>
      </c>
    </row>
    <row r="383" s="175" customFormat="1" ht="16" customHeight="1" spans="1:12">
      <c r="A383" s="109">
        <v>381</v>
      </c>
      <c r="B383" s="109" t="s">
        <v>9015</v>
      </c>
      <c r="C383" s="109" t="s">
        <v>9736</v>
      </c>
      <c r="D383" s="109" t="s">
        <v>9737</v>
      </c>
      <c r="E383" s="109">
        <v>2020</v>
      </c>
      <c r="F383" s="109">
        <v>2020</v>
      </c>
      <c r="G383" s="109" t="s">
        <v>16</v>
      </c>
      <c r="H383" s="109">
        <v>200</v>
      </c>
      <c r="I383" s="109">
        <v>200</v>
      </c>
      <c r="J383" s="109"/>
      <c r="K383" s="109"/>
      <c r="L383" s="105">
        <v>20201118</v>
      </c>
    </row>
    <row r="384" s="175" customFormat="1" ht="16" customHeight="1" spans="1:12">
      <c r="A384" s="109">
        <v>382</v>
      </c>
      <c r="B384" s="109" t="s">
        <v>9015</v>
      </c>
      <c r="C384" s="109" t="s">
        <v>9738</v>
      </c>
      <c r="D384" s="109" t="s">
        <v>9739</v>
      </c>
      <c r="E384" s="109">
        <v>2020</v>
      </c>
      <c r="F384" s="109">
        <v>2020</v>
      </c>
      <c r="G384" s="109" t="s">
        <v>16</v>
      </c>
      <c r="H384" s="109">
        <v>200</v>
      </c>
      <c r="I384" s="109">
        <v>200</v>
      </c>
      <c r="J384" s="109"/>
      <c r="K384" s="109"/>
      <c r="L384" s="105">
        <v>20201118</v>
      </c>
    </row>
    <row r="385" s="175" customFormat="1" ht="16" customHeight="1" spans="1:12">
      <c r="A385" s="109">
        <v>383</v>
      </c>
      <c r="B385" s="109" t="s">
        <v>9015</v>
      </c>
      <c r="C385" s="109" t="s">
        <v>9740</v>
      </c>
      <c r="D385" s="109" t="s">
        <v>9741</v>
      </c>
      <c r="E385" s="109">
        <v>2020</v>
      </c>
      <c r="F385" s="109">
        <v>2020</v>
      </c>
      <c r="G385" s="109" t="s">
        <v>16</v>
      </c>
      <c r="H385" s="109">
        <v>200</v>
      </c>
      <c r="I385" s="109">
        <v>200</v>
      </c>
      <c r="J385" s="109"/>
      <c r="K385" s="109"/>
      <c r="L385" s="105">
        <v>20201118</v>
      </c>
    </row>
    <row r="386" s="175" customFormat="1" ht="16" customHeight="1" spans="1:12">
      <c r="A386" s="109">
        <v>384</v>
      </c>
      <c r="B386" s="109" t="s">
        <v>9015</v>
      </c>
      <c r="C386" s="109" t="s">
        <v>9742</v>
      </c>
      <c r="D386" s="109" t="s">
        <v>9743</v>
      </c>
      <c r="E386" s="109">
        <v>2020</v>
      </c>
      <c r="F386" s="109">
        <v>2020</v>
      </c>
      <c r="G386" s="109" t="s">
        <v>16</v>
      </c>
      <c r="H386" s="109">
        <v>200</v>
      </c>
      <c r="I386" s="109">
        <v>200</v>
      </c>
      <c r="J386" s="109"/>
      <c r="K386" s="109"/>
      <c r="L386" s="105">
        <v>20201118</v>
      </c>
    </row>
    <row r="387" s="175" customFormat="1" ht="16" customHeight="1" spans="1:12">
      <c r="A387" s="109">
        <v>385</v>
      </c>
      <c r="B387" s="109" t="s">
        <v>9015</v>
      </c>
      <c r="C387" s="109" t="s">
        <v>9744</v>
      </c>
      <c r="D387" s="109" t="s">
        <v>9745</v>
      </c>
      <c r="E387" s="109">
        <v>2020</v>
      </c>
      <c r="F387" s="109">
        <v>2020</v>
      </c>
      <c r="G387" s="109" t="s">
        <v>16</v>
      </c>
      <c r="H387" s="109">
        <v>200</v>
      </c>
      <c r="I387" s="109">
        <v>200</v>
      </c>
      <c r="J387" s="109"/>
      <c r="K387" s="109"/>
      <c r="L387" s="105">
        <v>20201118</v>
      </c>
    </row>
    <row r="388" s="175" customFormat="1" ht="16" customHeight="1" spans="1:12">
      <c r="A388" s="109">
        <v>386</v>
      </c>
      <c r="B388" s="109" t="s">
        <v>9015</v>
      </c>
      <c r="C388" s="109" t="s">
        <v>3163</v>
      </c>
      <c r="D388" s="109" t="s">
        <v>9746</v>
      </c>
      <c r="E388" s="109">
        <v>2020</v>
      </c>
      <c r="F388" s="109">
        <v>2020</v>
      </c>
      <c r="G388" s="109" t="s">
        <v>16</v>
      </c>
      <c r="H388" s="109">
        <v>200</v>
      </c>
      <c r="I388" s="109">
        <v>200</v>
      </c>
      <c r="J388" s="109"/>
      <c r="K388" s="109"/>
      <c r="L388" s="105">
        <v>20201118</v>
      </c>
    </row>
    <row r="389" s="175" customFormat="1" ht="16" customHeight="1" spans="1:12">
      <c r="A389" s="109">
        <v>387</v>
      </c>
      <c r="B389" s="109" t="s">
        <v>9015</v>
      </c>
      <c r="C389" s="109" t="s">
        <v>6112</v>
      </c>
      <c r="D389" s="109" t="s">
        <v>9747</v>
      </c>
      <c r="E389" s="109">
        <v>2020</v>
      </c>
      <c r="F389" s="109">
        <v>2020</v>
      </c>
      <c r="G389" s="109" t="s">
        <v>16</v>
      </c>
      <c r="H389" s="109">
        <v>200</v>
      </c>
      <c r="I389" s="109">
        <v>200</v>
      </c>
      <c r="J389" s="109"/>
      <c r="K389" s="109"/>
      <c r="L389" s="105">
        <v>20201118</v>
      </c>
    </row>
    <row r="390" s="175" customFormat="1" ht="16" customHeight="1" spans="1:12">
      <c r="A390" s="109">
        <v>388</v>
      </c>
      <c r="B390" s="109" t="s">
        <v>9015</v>
      </c>
      <c r="C390" s="109" t="s">
        <v>9748</v>
      </c>
      <c r="D390" s="109" t="s">
        <v>9749</v>
      </c>
      <c r="E390" s="109">
        <v>2020</v>
      </c>
      <c r="F390" s="109">
        <v>2020</v>
      </c>
      <c r="G390" s="109" t="s">
        <v>16</v>
      </c>
      <c r="H390" s="109">
        <v>200</v>
      </c>
      <c r="I390" s="109">
        <v>200</v>
      </c>
      <c r="J390" s="109"/>
      <c r="K390" s="109"/>
      <c r="L390" s="105">
        <v>20201118</v>
      </c>
    </row>
    <row r="391" s="175" customFormat="1" ht="16" customHeight="1" spans="1:12">
      <c r="A391" s="109">
        <v>389</v>
      </c>
      <c r="B391" s="109" t="s">
        <v>9015</v>
      </c>
      <c r="C391" s="109" t="s">
        <v>9750</v>
      </c>
      <c r="D391" s="109" t="s">
        <v>9751</v>
      </c>
      <c r="E391" s="109">
        <v>2020</v>
      </c>
      <c r="F391" s="109">
        <v>2020</v>
      </c>
      <c r="G391" s="109" t="s">
        <v>16</v>
      </c>
      <c r="H391" s="109">
        <v>200</v>
      </c>
      <c r="I391" s="109">
        <v>200</v>
      </c>
      <c r="J391" s="109"/>
      <c r="K391" s="109"/>
      <c r="L391" s="105">
        <v>20201118</v>
      </c>
    </row>
    <row r="392" s="175" customFormat="1" ht="16" customHeight="1" spans="1:12">
      <c r="A392" s="109">
        <v>390</v>
      </c>
      <c r="B392" s="109" t="s">
        <v>9015</v>
      </c>
      <c r="C392" s="109" t="s">
        <v>9752</v>
      </c>
      <c r="D392" s="109" t="s">
        <v>9753</v>
      </c>
      <c r="E392" s="109">
        <v>2020</v>
      </c>
      <c r="F392" s="109">
        <v>2020</v>
      </c>
      <c r="G392" s="109" t="s">
        <v>16</v>
      </c>
      <c r="H392" s="109">
        <v>200</v>
      </c>
      <c r="I392" s="109">
        <v>200</v>
      </c>
      <c r="J392" s="109"/>
      <c r="K392" s="109"/>
      <c r="L392" s="105">
        <v>20201118</v>
      </c>
    </row>
    <row r="393" s="175" customFormat="1" ht="16" customHeight="1" spans="1:12">
      <c r="A393" s="109">
        <v>391</v>
      </c>
      <c r="B393" s="109" t="s">
        <v>9015</v>
      </c>
      <c r="C393" s="109" t="s">
        <v>9754</v>
      </c>
      <c r="D393" s="109" t="s">
        <v>9755</v>
      </c>
      <c r="E393" s="109">
        <v>2020</v>
      </c>
      <c r="F393" s="109">
        <v>2020</v>
      </c>
      <c r="G393" s="109" t="s">
        <v>16</v>
      </c>
      <c r="H393" s="109">
        <v>200</v>
      </c>
      <c r="I393" s="109">
        <v>200</v>
      </c>
      <c r="J393" s="109"/>
      <c r="K393" s="109"/>
      <c r="L393" s="105">
        <v>20201118</v>
      </c>
    </row>
    <row r="394" s="175" customFormat="1" ht="16" customHeight="1" spans="1:12">
      <c r="A394" s="109">
        <v>392</v>
      </c>
      <c r="B394" s="109" t="s">
        <v>9015</v>
      </c>
      <c r="C394" s="109" t="s">
        <v>9756</v>
      </c>
      <c r="D394" s="109" t="s">
        <v>9757</v>
      </c>
      <c r="E394" s="109">
        <v>2020</v>
      </c>
      <c r="F394" s="109">
        <v>2020</v>
      </c>
      <c r="G394" s="109" t="s">
        <v>16</v>
      </c>
      <c r="H394" s="109">
        <v>200</v>
      </c>
      <c r="I394" s="109">
        <v>200</v>
      </c>
      <c r="J394" s="109"/>
      <c r="K394" s="109"/>
      <c r="L394" s="105">
        <v>20201118</v>
      </c>
    </row>
    <row r="395" s="175" customFormat="1" ht="16" customHeight="1" spans="1:12">
      <c r="A395" s="109">
        <v>393</v>
      </c>
      <c r="B395" s="109" t="s">
        <v>9015</v>
      </c>
      <c r="C395" s="109" t="s">
        <v>9758</v>
      </c>
      <c r="D395" s="109" t="s">
        <v>9759</v>
      </c>
      <c r="E395" s="109">
        <v>2020</v>
      </c>
      <c r="F395" s="109">
        <v>2020</v>
      </c>
      <c r="G395" s="109" t="s">
        <v>16</v>
      </c>
      <c r="H395" s="109">
        <v>200</v>
      </c>
      <c r="I395" s="109">
        <v>200</v>
      </c>
      <c r="J395" s="109"/>
      <c r="K395" s="109"/>
      <c r="L395" s="105">
        <v>20201118</v>
      </c>
    </row>
    <row r="396" s="175" customFormat="1" ht="16" customHeight="1" spans="1:12">
      <c r="A396" s="109">
        <v>394</v>
      </c>
      <c r="B396" s="109" t="s">
        <v>9015</v>
      </c>
      <c r="C396" s="109" t="s">
        <v>9760</v>
      </c>
      <c r="D396" s="109" t="s">
        <v>9761</v>
      </c>
      <c r="E396" s="109">
        <v>2020</v>
      </c>
      <c r="F396" s="109">
        <v>2020</v>
      </c>
      <c r="G396" s="109" t="s">
        <v>16</v>
      </c>
      <c r="H396" s="109">
        <v>200</v>
      </c>
      <c r="I396" s="109">
        <v>200</v>
      </c>
      <c r="J396" s="109"/>
      <c r="K396" s="109"/>
      <c r="L396" s="105">
        <v>20201118</v>
      </c>
    </row>
    <row r="397" s="175" customFormat="1" ht="16" customHeight="1" spans="1:12">
      <c r="A397" s="109">
        <v>395</v>
      </c>
      <c r="B397" s="109" t="s">
        <v>9015</v>
      </c>
      <c r="C397" s="109" t="s">
        <v>9762</v>
      </c>
      <c r="D397" s="109" t="s">
        <v>9763</v>
      </c>
      <c r="E397" s="109">
        <v>2020</v>
      </c>
      <c r="F397" s="109">
        <v>2020</v>
      </c>
      <c r="G397" s="109" t="s">
        <v>16</v>
      </c>
      <c r="H397" s="109">
        <v>200</v>
      </c>
      <c r="I397" s="109">
        <v>200</v>
      </c>
      <c r="J397" s="109"/>
      <c r="K397" s="109"/>
      <c r="L397" s="105">
        <v>20201118</v>
      </c>
    </row>
    <row r="398" s="175" customFormat="1" ht="16" customHeight="1" spans="1:12">
      <c r="A398" s="109">
        <v>396</v>
      </c>
      <c r="B398" s="109" t="s">
        <v>9015</v>
      </c>
      <c r="C398" s="109" t="s">
        <v>9764</v>
      </c>
      <c r="D398" s="109" t="s">
        <v>9765</v>
      </c>
      <c r="E398" s="109">
        <v>2020</v>
      </c>
      <c r="F398" s="109">
        <v>2020</v>
      </c>
      <c r="G398" s="109" t="s">
        <v>16</v>
      </c>
      <c r="H398" s="109">
        <v>200</v>
      </c>
      <c r="I398" s="109">
        <v>200</v>
      </c>
      <c r="J398" s="109"/>
      <c r="K398" s="109"/>
      <c r="L398" s="105">
        <v>20201118</v>
      </c>
    </row>
    <row r="399" s="175" customFormat="1" ht="16" customHeight="1" spans="1:12">
      <c r="A399" s="109">
        <v>397</v>
      </c>
      <c r="B399" s="109" t="s">
        <v>9015</v>
      </c>
      <c r="C399" s="109" t="s">
        <v>9766</v>
      </c>
      <c r="D399" s="109" t="s">
        <v>9767</v>
      </c>
      <c r="E399" s="109">
        <v>2020</v>
      </c>
      <c r="F399" s="109">
        <v>2020</v>
      </c>
      <c r="G399" s="109" t="s">
        <v>16</v>
      </c>
      <c r="H399" s="109">
        <v>200</v>
      </c>
      <c r="I399" s="109">
        <v>200</v>
      </c>
      <c r="J399" s="109"/>
      <c r="K399" s="109"/>
      <c r="L399" s="105">
        <v>20201118</v>
      </c>
    </row>
    <row r="400" s="175" customFormat="1" ht="16" customHeight="1" spans="1:12">
      <c r="A400" s="109">
        <v>398</v>
      </c>
      <c r="B400" s="109" t="s">
        <v>9015</v>
      </c>
      <c r="C400" s="109" t="s">
        <v>9768</v>
      </c>
      <c r="D400" s="109" t="s">
        <v>9769</v>
      </c>
      <c r="E400" s="109">
        <v>2020</v>
      </c>
      <c r="F400" s="109">
        <v>2020</v>
      </c>
      <c r="G400" s="109" t="s">
        <v>16</v>
      </c>
      <c r="H400" s="109">
        <v>200</v>
      </c>
      <c r="I400" s="109">
        <v>200</v>
      </c>
      <c r="J400" s="109"/>
      <c r="K400" s="109"/>
      <c r="L400" s="105">
        <v>20201118</v>
      </c>
    </row>
    <row r="401" s="175" customFormat="1" ht="16" customHeight="1" spans="1:12">
      <c r="A401" s="109">
        <v>399</v>
      </c>
      <c r="B401" s="109" t="s">
        <v>9015</v>
      </c>
      <c r="C401" s="109" t="s">
        <v>9770</v>
      </c>
      <c r="D401" s="109" t="s">
        <v>9771</v>
      </c>
      <c r="E401" s="109">
        <v>2020</v>
      </c>
      <c r="F401" s="109">
        <v>2020</v>
      </c>
      <c r="G401" s="109" t="s">
        <v>16</v>
      </c>
      <c r="H401" s="109">
        <v>200</v>
      </c>
      <c r="I401" s="109">
        <v>200</v>
      </c>
      <c r="J401" s="109"/>
      <c r="K401" s="109"/>
      <c r="L401" s="105">
        <v>20201118</v>
      </c>
    </row>
    <row r="402" s="175" customFormat="1" ht="16" customHeight="1" spans="1:12">
      <c r="A402" s="109">
        <v>400</v>
      </c>
      <c r="B402" s="109" t="s">
        <v>9015</v>
      </c>
      <c r="C402" s="109" t="s">
        <v>9772</v>
      </c>
      <c r="D402" s="288" t="s">
        <v>9773</v>
      </c>
      <c r="E402" s="109">
        <v>2020</v>
      </c>
      <c r="F402" s="109">
        <v>2020</v>
      </c>
      <c r="G402" s="109" t="s">
        <v>16</v>
      </c>
      <c r="H402" s="109">
        <v>200</v>
      </c>
      <c r="I402" s="109">
        <v>200</v>
      </c>
      <c r="J402" s="109"/>
      <c r="K402" s="109"/>
      <c r="L402" s="105">
        <v>20201118</v>
      </c>
    </row>
    <row r="403" s="175" customFormat="1" ht="16" customHeight="1" spans="1:12">
      <c r="A403" s="109">
        <v>401</v>
      </c>
      <c r="B403" s="109" t="s">
        <v>9015</v>
      </c>
      <c r="C403" s="109" t="s">
        <v>9774</v>
      </c>
      <c r="D403" s="288" t="s">
        <v>9775</v>
      </c>
      <c r="E403" s="109">
        <v>2020</v>
      </c>
      <c r="F403" s="109">
        <v>2020</v>
      </c>
      <c r="G403" s="109" t="s">
        <v>16</v>
      </c>
      <c r="H403" s="109">
        <v>200</v>
      </c>
      <c r="I403" s="109">
        <v>200</v>
      </c>
      <c r="J403" s="109"/>
      <c r="K403" s="109"/>
      <c r="L403" s="105">
        <v>20201118</v>
      </c>
    </row>
    <row r="404" s="175" customFormat="1" ht="16" customHeight="1" spans="1:12">
      <c r="A404" s="109">
        <v>402</v>
      </c>
      <c r="B404" s="109" t="s">
        <v>9015</v>
      </c>
      <c r="C404" s="109" t="s">
        <v>9776</v>
      </c>
      <c r="D404" s="288" t="s">
        <v>9777</v>
      </c>
      <c r="E404" s="109">
        <v>2020</v>
      </c>
      <c r="F404" s="109">
        <v>2020</v>
      </c>
      <c r="G404" s="109" t="s">
        <v>16</v>
      </c>
      <c r="H404" s="109">
        <v>200</v>
      </c>
      <c r="I404" s="109">
        <v>200</v>
      </c>
      <c r="J404" s="109"/>
      <c r="K404" s="109"/>
      <c r="L404" s="105">
        <v>20201118</v>
      </c>
    </row>
    <row r="405" s="175" customFormat="1" ht="16" customHeight="1" spans="1:12">
      <c r="A405" s="109">
        <v>403</v>
      </c>
      <c r="B405" s="109" t="s">
        <v>9015</v>
      </c>
      <c r="C405" s="109" t="s">
        <v>9778</v>
      </c>
      <c r="D405" s="288" t="s">
        <v>9779</v>
      </c>
      <c r="E405" s="109">
        <v>2020</v>
      </c>
      <c r="F405" s="109">
        <v>2020</v>
      </c>
      <c r="G405" s="109" t="s">
        <v>16</v>
      </c>
      <c r="H405" s="109">
        <v>200</v>
      </c>
      <c r="I405" s="109">
        <v>200</v>
      </c>
      <c r="J405" s="109"/>
      <c r="K405" s="109"/>
      <c r="L405" s="105">
        <v>20201118</v>
      </c>
    </row>
    <row r="406" s="175" customFormat="1" ht="16" customHeight="1" spans="1:12">
      <c r="A406" s="109">
        <v>404</v>
      </c>
      <c r="B406" s="109" t="s">
        <v>9015</v>
      </c>
      <c r="C406" s="109" t="s">
        <v>9780</v>
      </c>
      <c r="D406" s="288" t="s">
        <v>9781</v>
      </c>
      <c r="E406" s="109">
        <v>2020</v>
      </c>
      <c r="F406" s="109">
        <v>2020</v>
      </c>
      <c r="G406" s="109" t="s">
        <v>16</v>
      </c>
      <c r="H406" s="109">
        <v>300</v>
      </c>
      <c r="I406" s="109">
        <v>300</v>
      </c>
      <c r="J406" s="109"/>
      <c r="K406" s="109"/>
      <c r="L406" s="105">
        <v>20201118</v>
      </c>
    </row>
    <row r="407" s="175" customFormat="1" ht="16" customHeight="1" spans="1:12">
      <c r="A407" s="109">
        <v>405</v>
      </c>
      <c r="B407" s="109" t="s">
        <v>9015</v>
      </c>
      <c r="C407" s="109" t="s">
        <v>9782</v>
      </c>
      <c r="D407" s="109" t="s">
        <v>9783</v>
      </c>
      <c r="E407" s="109">
        <v>2020</v>
      </c>
      <c r="F407" s="109">
        <v>2020</v>
      </c>
      <c r="G407" s="109" t="s">
        <v>16</v>
      </c>
      <c r="H407" s="109">
        <v>200</v>
      </c>
      <c r="I407" s="109">
        <v>200</v>
      </c>
      <c r="J407" s="109"/>
      <c r="K407" s="109"/>
      <c r="L407" s="105">
        <v>20201118</v>
      </c>
    </row>
    <row r="408" s="175" customFormat="1" ht="16" customHeight="1" spans="1:12">
      <c r="A408" s="109">
        <v>406</v>
      </c>
      <c r="B408" s="109" t="s">
        <v>9015</v>
      </c>
      <c r="C408" s="109" t="s">
        <v>9784</v>
      </c>
      <c r="D408" s="288" t="s">
        <v>9785</v>
      </c>
      <c r="E408" s="109">
        <v>2020</v>
      </c>
      <c r="F408" s="109">
        <v>2020</v>
      </c>
      <c r="G408" s="109" t="s">
        <v>16</v>
      </c>
      <c r="H408" s="109">
        <v>200</v>
      </c>
      <c r="I408" s="109">
        <v>200</v>
      </c>
      <c r="J408" s="109"/>
      <c r="K408" s="109"/>
      <c r="L408" s="105">
        <v>20201118</v>
      </c>
    </row>
    <row r="409" s="175" customFormat="1" ht="16" customHeight="1" spans="1:12">
      <c r="A409" s="109">
        <v>407</v>
      </c>
      <c r="B409" s="109" t="s">
        <v>9015</v>
      </c>
      <c r="C409" s="109" t="s">
        <v>9786</v>
      </c>
      <c r="D409" s="288" t="s">
        <v>9787</v>
      </c>
      <c r="E409" s="109">
        <v>2020</v>
      </c>
      <c r="F409" s="109">
        <v>2020</v>
      </c>
      <c r="G409" s="109" t="s">
        <v>16</v>
      </c>
      <c r="H409" s="109">
        <v>200</v>
      </c>
      <c r="I409" s="109">
        <v>200</v>
      </c>
      <c r="J409" s="109"/>
      <c r="K409" s="109"/>
      <c r="L409" s="105">
        <v>20201118</v>
      </c>
    </row>
    <row r="410" s="175" customFormat="1" ht="16" customHeight="1" spans="1:12">
      <c r="A410" s="109">
        <v>408</v>
      </c>
      <c r="B410" s="109" t="s">
        <v>9015</v>
      </c>
      <c r="C410" s="109" t="s">
        <v>9788</v>
      </c>
      <c r="D410" s="288" t="s">
        <v>9789</v>
      </c>
      <c r="E410" s="109">
        <v>2020</v>
      </c>
      <c r="F410" s="109">
        <v>2020</v>
      </c>
      <c r="G410" s="109" t="s">
        <v>16</v>
      </c>
      <c r="H410" s="109">
        <v>200</v>
      </c>
      <c r="I410" s="109">
        <v>200</v>
      </c>
      <c r="J410" s="109"/>
      <c r="K410" s="109"/>
      <c r="L410" s="105">
        <v>20201118</v>
      </c>
    </row>
    <row r="411" s="175" customFormat="1" ht="16" customHeight="1" spans="1:12">
      <c r="A411" s="109">
        <v>409</v>
      </c>
      <c r="B411" s="109" t="s">
        <v>9015</v>
      </c>
      <c r="C411" s="109" t="s">
        <v>9790</v>
      </c>
      <c r="D411" s="288" t="s">
        <v>9791</v>
      </c>
      <c r="E411" s="109">
        <v>2020</v>
      </c>
      <c r="F411" s="109">
        <v>2020</v>
      </c>
      <c r="G411" s="109" t="s">
        <v>16</v>
      </c>
      <c r="H411" s="109">
        <v>200</v>
      </c>
      <c r="I411" s="109">
        <v>200</v>
      </c>
      <c r="J411" s="109"/>
      <c r="K411" s="109"/>
      <c r="L411" s="105">
        <v>20201118</v>
      </c>
    </row>
    <row r="412" s="175" customFormat="1" ht="16" customHeight="1" spans="1:12">
      <c r="A412" s="109">
        <v>410</v>
      </c>
      <c r="B412" s="109" t="s">
        <v>9015</v>
      </c>
      <c r="C412" s="109" t="s">
        <v>9792</v>
      </c>
      <c r="D412" s="288" t="s">
        <v>9793</v>
      </c>
      <c r="E412" s="109">
        <v>2020</v>
      </c>
      <c r="F412" s="109">
        <v>2020</v>
      </c>
      <c r="G412" s="109" t="s">
        <v>16</v>
      </c>
      <c r="H412" s="109">
        <v>200</v>
      </c>
      <c r="I412" s="109">
        <v>200</v>
      </c>
      <c r="J412" s="109"/>
      <c r="K412" s="109"/>
      <c r="L412" s="105">
        <v>20201118</v>
      </c>
    </row>
    <row r="413" s="175" customFormat="1" ht="16" customHeight="1" spans="1:12">
      <c r="A413" s="109">
        <v>411</v>
      </c>
      <c r="B413" s="109" t="s">
        <v>9015</v>
      </c>
      <c r="C413" s="109" t="s">
        <v>9794</v>
      </c>
      <c r="D413" s="288" t="s">
        <v>9795</v>
      </c>
      <c r="E413" s="109">
        <v>2020</v>
      </c>
      <c r="F413" s="109">
        <v>2020</v>
      </c>
      <c r="G413" s="109" t="s">
        <v>16</v>
      </c>
      <c r="H413" s="109">
        <v>200</v>
      </c>
      <c r="I413" s="109">
        <v>200</v>
      </c>
      <c r="J413" s="109"/>
      <c r="K413" s="109"/>
      <c r="L413" s="105">
        <v>20201118</v>
      </c>
    </row>
    <row r="414" s="175" customFormat="1" ht="16" customHeight="1" spans="1:12">
      <c r="A414" s="109">
        <v>412</v>
      </c>
      <c r="B414" s="109" t="s">
        <v>9015</v>
      </c>
      <c r="C414" s="109" t="s">
        <v>9796</v>
      </c>
      <c r="D414" s="288" t="s">
        <v>9797</v>
      </c>
      <c r="E414" s="109">
        <v>2020</v>
      </c>
      <c r="F414" s="109">
        <v>2020</v>
      </c>
      <c r="G414" s="109" t="s">
        <v>16</v>
      </c>
      <c r="H414" s="109">
        <v>200</v>
      </c>
      <c r="I414" s="109">
        <v>200</v>
      </c>
      <c r="J414" s="109"/>
      <c r="K414" s="109"/>
      <c r="L414" s="105">
        <v>20201118</v>
      </c>
    </row>
    <row r="415" s="175" customFormat="1" ht="16" customHeight="1" spans="1:12">
      <c r="A415" s="109">
        <v>413</v>
      </c>
      <c r="B415" s="109" t="s">
        <v>9015</v>
      </c>
      <c r="C415" s="109" t="s">
        <v>9798</v>
      </c>
      <c r="D415" s="288" t="s">
        <v>9799</v>
      </c>
      <c r="E415" s="109">
        <v>2020</v>
      </c>
      <c r="F415" s="109">
        <v>2020</v>
      </c>
      <c r="G415" s="109" t="s">
        <v>16</v>
      </c>
      <c r="H415" s="109">
        <v>200</v>
      </c>
      <c r="I415" s="109">
        <v>200</v>
      </c>
      <c r="J415" s="109"/>
      <c r="K415" s="109"/>
      <c r="L415" s="105">
        <v>20201118</v>
      </c>
    </row>
    <row r="416" s="175" customFormat="1" ht="16" customHeight="1" spans="1:12">
      <c r="A416" s="109">
        <v>414</v>
      </c>
      <c r="B416" s="109" t="s">
        <v>9015</v>
      </c>
      <c r="C416" s="109" t="s">
        <v>9800</v>
      </c>
      <c r="D416" s="109" t="s">
        <v>9801</v>
      </c>
      <c r="E416" s="109">
        <v>2020</v>
      </c>
      <c r="F416" s="109">
        <v>2020</v>
      </c>
      <c r="G416" s="109" t="s">
        <v>16</v>
      </c>
      <c r="H416" s="109">
        <v>200</v>
      </c>
      <c r="I416" s="109">
        <v>200</v>
      </c>
      <c r="J416" s="109"/>
      <c r="K416" s="109"/>
      <c r="L416" s="105">
        <v>20201118</v>
      </c>
    </row>
    <row r="417" s="175" customFormat="1" ht="16" customHeight="1" spans="1:12">
      <c r="A417" s="109">
        <v>415</v>
      </c>
      <c r="B417" s="109" t="s">
        <v>9015</v>
      </c>
      <c r="C417" s="109" t="s">
        <v>9591</v>
      </c>
      <c r="D417" s="109" t="s">
        <v>9802</v>
      </c>
      <c r="E417" s="109">
        <v>2020</v>
      </c>
      <c r="F417" s="109">
        <v>2020</v>
      </c>
      <c r="G417" s="109" t="s">
        <v>16</v>
      </c>
      <c r="H417" s="109">
        <v>200</v>
      </c>
      <c r="I417" s="109">
        <v>200</v>
      </c>
      <c r="J417" s="109"/>
      <c r="K417" s="109"/>
      <c r="L417" s="105">
        <v>20201118</v>
      </c>
    </row>
    <row r="418" s="175" customFormat="1" ht="16" customHeight="1" spans="1:12">
      <c r="A418" s="109">
        <v>416</v>
      </c>
      <c r="B418" s="109" t="s">
        <v>9015</v>
      </c>
      <c r="C418" s="109" t="s">
        <v>9803</v>
      </c>
      <c r="D418" s="109" t="s">
        <v>9804</v>
      </c>
      <c r="E418" s="109">
        <v>2020</v>
      </c>
      <c r="F418" s="109">
        <v>2020</v>
      </c>
      <c r="G418" s="109" t="s">
        <v>16</v>
      </c>
      <c r="H418" s="109">
        <v>200</v>
      </c>
      <c r="I418" s="109">
        <v>200</v>
      </c>
      <c r="J418" s="109"/>
      <c r="K418" s="109"/>
      <c r="L418" s="105">
        <v>20201118</v>
      </c>
    </row>
    <row r="419" s="175" customFormat="1" ht="16" customHeight="1" spans="1:12">
      <c r="A419" s="109">
        <v>417</v>
      </c>
      <c r="B419" s="109" t="s">
        <v>9015</v>
      </c>
      <c r="C419" s="109" t="s">
        <v>9805</v>
      </c>
      <c r="D419" s="288" t="s">
        <v>9806</v>
      </c>
      <c r="E419" s="109">
        <v>2020</v>
      </c>
      <c r="F419" s="109">
        <v>2020</v>
      </c>
      <c r="G419" s="109" t="s">
        <v>16</v>
      </c>
      <c r="H419" s="109">
        <v>200</v>
      </c>
      <c r="I419" s="109">
        <v>200</v>
      </c>
      <c r="J419" s="109"/>
      <c r="K419" s="109"/>
      <c r="L419" s="105">
        <v>20201118</v>
      </c>
    </row>
    <row r="420" s="175" customFormat="1" ht="16" customHeight="1" spans="1:12">
      <c r="A420" s="109">
        <v>418</v>
      </c>
      <c r="B420" s="109" t="s">
        <v>9015</v>
      </c>
      <c r="C420" s="109" t="s">
        <v>9807</v>
      </c>
      <c r="D420" s="288" t="s">
        <v>9808</v>
      </c>
      <c r="E420" s="109">
        <v>2020</v>
      </c>
      <c r="F420" s="109">
        <v>2020</v>
      </c>
      <c r="G420" s="109" t="s">
        <v>16</v>
      </c>
      <c r="H420" s="109">
        <v>200</v>
      </c>
      <c r="I420" s="109">
        <v>200</v>
      </c>
      <c r="J420" s="109"/>
      <c r="K420" s="109"/>
      <c r="L420" s="105">
        <v>20201118</v>
      </c>
    </row>
    <row r="421" s="175" customFormat="1" ht="16" customHeight="1" spans="1:12">
      <c r="A421" s="109">
        <v>419</v>
      </c>
      <c r="B421" s="109" t="s">
        <v>9015</v>
      </c>
      <c r="C421" s="109" t="s">
        <v>9809</v>
      </c>
      <c r="D421" s="288" t="s">
        <v>9810</v>
      </c>
      <c r="E421" s="109">
        <v>2020</v>
      </c>
      <c r="F421" s="109">
        <v>2020</v>
      </c>
      <c r="G421" s="109" t="s">
        <v>16</v>
      </c>
      <c r="H421" s="109">
        <v>200</v>
      </c>
      <c r="I421" s="109">
        <v>200</v>
      </c>
      <c r="J421" s="109"/>
      <c r="K421" s="109"/>
      <c r="L421" s="105">
        <v>20201118</v>
      </c>
    </row>
    <row r="422" s="175" customFormat="1" ht="16" customHeight="1" spans="1:12">
      <c r="A422" s="109">
        <v>420</v>
      </c>
      <c r="B422" s="109" t="s">
        <v>9015</v>
      </c>
      <c r="C422" s="109" t="s">
        <v>9811</v>
      </c>
      <c r="D422" s="288" t="s">
        <v>9812</v>
      </c>
      <c r="E422" s="109">
        <v>2020</v>
      </c>
      <c r="F422" s="109">
        <v>2020</v>
      </c>
      <c r="G422" s="109" t="s">
        <v>16</v>
      </c>
      <c r="H422" s="109">
        <v>200</v>
      </c>
      <c r="I422" s="109">
        <v>200</v>
      </c>
      <c r="J422" s="109"/>
      <c r="K422" s="109"/>
      <c r="L422" s="105">
        <v>20201118</v>
      </c>
    </row>
    <row r="423" s="175" customFormat="1" ht="16" customHeight="1" spans="1:12">
      <c r="A423" s="109">
        <v>421</v>
      </c>
      <c r="B423" s="109" t="s">
        <v>9015</v>
      </c>
      <c r="C423" s="109" t="s">
        <v>9813</v>
      </c>
      <c r="D423" s="288" t="s">
        <v>9814</v>
      </c>
      <c r="E423" s="109">
        <v>2020</v>
      </c>
      <c r="F423" s="109">
        <v>2020</v>
      </c>
      <c r="G423" s="109" t="s">
        <v>16</v>
      </c>
      <c r="H423" s="109">
        <v>200</v>
      </c>
      <c r="I423" s="109">
        <v>200</v>
      </c>
      <c r="J423" s="109"/>
      <c r="K423" s="109"/>
      <c r="L423" s="105">
        <v>20201118</v>
      </c>
    </row>
    <row r="424" s="175" customFormat="1" ht="16" customHeight="1" spans="1:12">
      <c r="A424" s="109">
        <v>422</v>
      </c>
      <c r="B424" s="109" t="s">
        <v>9015</v>
      </c>
      <c r="C424" s="109" t="s">
        <v>7141</v>
      </c>
      <c r="D424" s="288" t="s">
        <v>9815</v>
      </c>
      <c r="E424" s="109">
        <v>2020</v>
      </c>
      <c r="F424" s="109">
        <v>2020</v>
      </c>
      <c r="G424" s="109" t="s">
        <v>16</v>
      </c>
      <c r="H424" s="109">
        <v>200</v>
      </c>
      <c r="I424" s="109">
        <v>200</v>
      </c>
      <c r="J424" s="109"/>
      <c r="K424" s="109"/>
      <c r="L424" s="105">
        <v>20201118</v>
      </c>
    </row>
    <row r="425" s="175" customFormat="1" ht="16" customHeight="1" spans="1:12">
      <c r="A425" s="109">
        <v>423</v>
      </c>
      <c r="B425" s="109" t="s">
        <v>9015</v>
      </c>
      <c r="C425" s="109" t="s">
        <v>9816</v>
      </c>
      <c r="D425" s="288" t="s">
        <v>9817</v>
      </c>
      <c r="E425" s="109">
        <v>2020</v>
      </c>
      <c r="F425" s="109">
        <v>2020</v>
      </c>
      <c r="G425" s="109" t="s">
        <v>16</v>
      </c>
      <c r="H425" s="109">
        <v>200</v>
      </c>
      <c r="I425" s="109">
        <v>200</v>
      </c>
      <c r="J425" s="109"/>
      <c r="K425" s="109"/>
      <c r="L425" s="105">
        <v>20201118</v>
      </c>
    </row>
    <row r="426" s="175" customFormat="1" ht="16" customHeight="1" spans="1:12">
      <c r="A426" s="109">
        <v>424</v>
      </c>
      <c r="B426" s="109" t="s">
        <v>9015</v>
      </c>
      <c r="C426" s="109" t="s">
        <v>8816</v>
      </c>
      <c r="D426" s="288" t="s">
        <v>9818</v>
      </c>
      <c r="E426" s="109">
        <v>2020</v>
      </c>
      <c r="F426" s="109">
        <v>2020</v>
      </c>
      <c r="G426" s="109" t="s">
        <v>16</v>
      </c>
      <c r="H426" s="109">
        <v>200</v>
      </c>
      <c r="I426" s="109">
        <v>200</v>
      </c>
      <c r="J426" s="109"/>
      <c r="K426" s="109"/>
      <c r="L426" s="105">
        <v>20201118</v>
      </c>
    </row>
    <row r="427" s="175" customFormat="1" ht="16" customHeight="1" spans="1:12">
      <c r="A427" s="109">
        <v>425</v>
      </c>
      <c r="B427" s="109" t="s">
        <v>9015</v>
      </c>
      <c r="C427" s="109" t="s">
        <v>9819</v>
      </c>
      <c r="D427" s="288" t="s">
        <v>9820</v>
      </c>
      <c r="E427" s="109">
        <v>2020</v>
      </c>
      <c r="F427" s="109">
        <v>2020</v>
      </c>
      <c r="G427" s="109" t="s">
        <v>16</v>
      </c>
      <c r="H427" s="109">
        <v>200</v>
      </c>
      <c r="I427" s="109">
        <v>200</v>
      </c>
      <c r="J427" s="109"/>
      <c r="K427" s="109"/>
      <c r="L427" s="105">
        <v>20201118</v>
      </c>
    </row>
    <row r="428" s="175" customFormat="1" ht="16" customHeight="1" spans="1:12">
      <c r="A428" s="109">
        <v>426</v>
      </c>
      <c r="B428" s="109" t="s">
        <v>9015</v>
      </c>
      <c r="C428" s="109" t="s">
        <v>9821</v>
      </c>
      <c r="D428" s="288" t="s">
        <v>9822</v>
      </c>
      <c r="E428" s="109">
        <v>2020</v>
      </c>
      <c r="F428" s="109">
        <v>2020</v>
      </c>
      <c r="G428" s="109" t="s">
        <v>16</v>
      </c>
      <c r="H428" s="109">
        <v>200</v>
      </c>
      <c r="I428" s="109">
        <v>200</v>
      </c>
      <c r="J428" s="109"/>
      <c r="K428" s="109"/>
      <c r="L428" s="105">
        <v>20201118</v>
      </c>
    </row>
    <row r="429" s="175" customFormat="1" ht="16" customHeight="1" spans="1:12">
      <c r="A429" s="109">
        <v>427</v>
      </c>
      <c r="B429" s="109" t="s">
        <v>9015</v>
      </c>
      <c r="C429" s="109" t="s">
        <v>9823</v>
      </c>
      <c r="D429" s="288" t="s">
        <v>9824</v>
      </c>
      <c r="E429" s="109">
        <v>2020</v>
      </c>
      <c r="F429" s="109">
        <v>2020</v>
      </c>
      <c r="G429" s="109" t="s">
        <v>16</v>
      </c>
      <c r="H429" s="109">
        <v>200</v>
      </c>
      <c r="I429" s="109">
        <v>200</v>
      </c>
      <c r="J429" s="109"/>
      <c r="K429" s="109"/>
      <c r="L429" s="105">
        <v>20201118</v>
      </c>
    </row>
    <row r="430" s="175" customFormat="1" ht="16" customHeight="1" spans="1:12">
      <c r="A430" s="109">
        <v>428</v>
      </c>
      <c r="B430" s="109" t="s">
        <v>9015</v>
      </c>
      <c r="C430" s="109" t="s">
        <v>9825</v>
      </c>
      <c r="D430" s="288" t="s">
        <v>9826</v>
      </c>
      <c r="E430" s="109">
        <v>2020</v>
      </c>
      <c r="F430" s="109">
        <v>2020</v>
      </c>
      <c r="G430" s="109" t="s">
        <v>16</v>
      </c>
      <c r="H430" s="109">
        <v>200</v>
      </c>
      <c r="I430" s="109">
        <v>200</v>
      </c>
      <c r="J430" s="109"/>
      <c r="K430" s="109"/>
      <c r="L430" s="105">
        <v>20201118</v>
      </c>
    </row>
    <row r="431" s="175" customFormat="1" ht="16" customHeight="1" spans="1:12">
      <c r="A431" s="109">
        <v>429</v>
      </c>
      <c r="B431" s="109" t="s">
        <v>9015</v>
      </c>
      <c r="C431" s="109" t="s">
        <v>9827</v>
      </c>
      <c r="D431" s="288" t="s">
        <v>9828</v>
      </c>
      <c r="E431" s="109">
        <v>2020</v>
      </c>
      <c r="F431" s="109">
        <v>2020</v>
      </c>
      <c r="G431" s="109" t="s">
        <v>16</v>
      </c>
      <c r="H431" s="109">
        <v>200</v>
      </c>
      <c r="I431" s="109">
        <v>200</v>
      </c>
      <c r="J431" s="109"/>
      <c r="K431" s="109"/>
      <c r="L431" s="105">
        <v>20201118</v>
      </c>
    </row>
    <row r="432" s="175" customFormat="1" ht="16" customHeight="1" spans="1:12">
      <c r="A432" s="109">
        <v>430</v>
      </c>
      <c r="B432" s="109" t="s">
        <v>9015</v>
      </c>
      <c r="C432" s="109" t="s">
        <v>8901</v>
      </c>
      <c r="D432" s="288" t="s">
        <v>9829</v>
      </c>
      <c r="E432" s="109">
        <v>2020</v>
      </c>
      <c r="F432" s="109">
        <v>2020</v>
      </c>
      <c r="G432" s="109" t="s">
        <v>16</v>
      </c>
      <c r="H432" s="109">
        <v>200</v>
      </c>
      <c r="I432" s="109">
        <v>200</v>
      </c>
      <c r="J432" s="109"/>
      <c r="K432" s="109"/>
      <c r="L432" s="105">
        <v>20201118</v>
      </c>
    </row>
    <row r="433" s="175" customFormat="1" ht="16" customHeight="1" spans="1:12">
      <c r="A433" s="109">
        <v>431</v>
      </c>
      <c r="B433" s="109" t="s">
        <v>9015</v>
      </c>
      <c r="C433" s="109" t="s">
        <v>9830</v>
      </c>
      <c r="D433" s="288" t="s">
        <v>9831</v>
      </c>
      <c r="E433" s="109">
        <v>2020</v>
      </c>
      <c r="F433" s="109">
        <v>2020</v>
      </c>
      <c r="G433" s="109" t="s">
        <v>16</v>
      </c>
      <c r="H433" s="109">
        <v>200</v>
      </c>
      <c r="I433" s="109">
        <v>200</v>
      </c>
      <c r="J433" s="109"/>
      <c r="K433" s="109"/>
      <c r="L433" s="105">
        <v>20201118</v>
      </c>
    </row>
    <row r="434" s="175" customFormat="1" ht="16" customHeight="1" spans="1:12">
      <c r="A434" s="109">
        <v>432</v>
      </c>
      <c r="B434" s="109" t="s">
        <v>9015</v>
      </c>
      <c r="C434" s="109" t="s">
        <v>9832</v>
      </c>
      <c r="D434" s="288" t="s">
        <v>9833</v>
      </c>
      <c r="E434" s="109">
        <v>2020</v>
      </c>
      <c r="F434" s="109">
        <v>2020</v>
      </c>
      <c r="G434" s="109" t="s">
        <v>16</v>
      </c>
      <c r="H434" s="109">
        <v>200</v>
      </c>
      <c r="I434" s="109">
        <v>200</v>
      </c>
      <c r="J434" s="109"/>
      <c r="K434" s="109"/>
      <c r="L434" s="105">
        <v>20201118</v>
      </c>
    </row>
    <row r="435" s="175" customFormat="1" ht="16" customHeight="1" spans="1:12">
      <c r="A435" s="109">
        <v>433</v>
      </c>
      <c r="B435" s="109" t="s">
        <v>9015</v>
      </c>
      <c r="C435" s="109" t="s">
        <v>9834</v>
      </c>
      <c r="D435" s="288" t="s">
        <v>9835</v>
      </c>
      <c r="E435" s="109">
        <v>2020</v>
      </c>
      <c r="F435" s="109">
        <v>2020</v>
      </c>
      <c r="G435" s="109" t="s">
        <v>16</v>
      </c>
      <c r="H435" s="109">
        <v>200</v>
      </c>
      <c r="I435" s="109">
        <v>200</v>
      </c>
      <c r="J435" s="109"/>
      <c r="K435" s="109"/>
      <c r="L435" s="105">
        <v>20201118</v>
      </c>
    </row>
    <row r="436" s="175" customFormat="1" ht="16" customHeight="1" spans="1:12">
      <c r="A436" s="109">
        <v>434</v>
      </c>
      <c r="B436" s="109" t="s">
        <v>9015</v>
      </c>
      <c r="C436" s="109" t="s">
        <v>9836</v>
      </c>
      <c r="D436" s="288" t="s">
        <v>9837</v>
      </c>
      <c r="E436" s="109">
        <v>2020</v>
      </c>
      <c r="F436" s="109">
        <v>2020</v>
      </c>
      <c r="G436" s="109" t="s">
        <v>16</v>
      </c>
      <c r="H436" s="109">
        <v>200</v>
      </c>
      <c r="I436" s="109">
        <v>200</v>
      </c>
      <c r="J436" s="109"/>
      <c r="K436" s="109"/>
      <c r="L436" s="105">
        <v>20201118</v>
      </c>
    </row>
    <row r="437" s="175" customFormat="1" ht="16" customHeight="1" spans="1:12">
      <c r="A437" s="109">
        <v>435</v>
      </c>
      <c r="B437" s="109" t="s">
        <v>9015</v>
      </c>
      <c r="C437" s="109" t="s">
        <v>9838</v>
      </c>
      <c r="D437" s="288" t="s">
        <v>9839</v>
      </c>
      <c r="E437" s="109">
        <v>2020</v>
      </c>
      <c r="F437" s="109">
        <v>2020</v>
      </c>
      <c r="G437" s="109" t="s">
        <v>16</v>
      </c>
      <c r="H437" s="109">
        <v>200</v>
      </c>
      <c r="I437" s="109">
        <v>200</v>
      </c>
      <c r="J437" s="109"/>
      <c r="K437" s="109"/>
      <c r="L437" s="105">
        <v>20201118</v>
      </c>
    </row>
    <row r="438" s="175" customFormat="1" ht="16" customHeight="1" spans="1:12">
      <c r="A438" s="109">
        <v>436</v>
      </c>
      <c r="B438" s="109" t="s">
        <v>9015</v>
      </c>
      <c r="C438" s="109" t="s">
        <v>9840</v>
      </c>
      <c r="D438" s="288" t="s">
        <v>9841</v>
      </c>
      <c r="E438" s="109">
        <v>2020</v>
      </c>
      <c r="F438" s="109">
        <v>2020</v>
      </c>
      <c r="G438" s="109" t="s">
        <v>16</v>
      </c>
      <c r="H438" s="109">
        <v>200</v>
      </c>
      <c r="I438" s="109">
        <v>200</v>
      </c>
      <c r="J438" s="109"/>
      <c r="K438" s="109"/>
      <c r="L438" s="105">
        <v>20201118</v>
      </c>
    </row>
    <row r="439" s="175" customFormat="1" ht="16" customHeight="1" spans="1:12">
      <c r="A439" s="109">
        <v>437</v>
      </c>
      <c r="B439" s="109" t="s">
        <v>9015</v>
      </c>
      <c r="C439" s="109" t="s">
        <v>9842</v>
      </c>
      <c r="D439" s="288" t="s">
        <v>9843</v>
      </c>
      <c r="E439" s="109">
        <v>2020</v>
      </c>
      <c r="F439" s="109">
        <v>2020</v>
      </c>
      <c r="G439" s="109" t="s">
        <v>16</v>
      </c>
      <c r="H439" s="109">
        <v>200</v>
      </c>
      <c r="I439" s="109">
        <v>200</v>
      </c>
      <c r="J439" s="109"/>
      <c r="K439" s="109"/>
      <c r="L439" s="105">
        <v>20201118</v>
      </c>
    </row>
    <row r="440" s="175" customFormat="1" ht="16" customHeight="1" spans="1:12">
      <c r="A440" s="109">
        <v>438</v>
      </c>
      <c r="B440" s="109" t="s">
        <v>9015</v>
      </c>
      <c r="C440" s="109" t="s">
        <v>9844</v>
      </c>
      <c r="D440" s="288" t="s">
        <v>9845</v>
      </c>
      <c r="E440" s="109">
        <v>2020</v>
      </c>
      <c r="F440" s="109">
        <v>2020</v>
      </c>
      <c r="G440" s="109" t="s">
        <v>16</v>
      </c>
      <c r="H440" s="109">
        <v>200</v>
      </c>
      <c r="I440" s="109">
        <v>200</v>
      </c>
      <c r="J440" s="109"/>
      <c r="K440" s="109"/>
      <c r="L440" s="105">
        <v>20201118</v>
      </c>
    </row>
    <row r="441" s="175" customFormat="1" ht="16" customHeight="1" spans="1:12">
      <c r="A441" s="109">
        <v>439</v>
      </c>
      <c r="B441" s="109" t="s">
        <v>9015</v>
      </c>
      <c r="C441" s="109" t="s">
        <v>2550</v>
      </c>
      <c r="D441" s="109" t="s">
        <v>9846</v>
      </c>
      <c r="E441" s="109">
        <v>2020</v>
      </c>
      <c r="F441" s="109">
        <v>2020</v>
      </c>
      <c r="G441" s="109" t="s">
        <v>16</v>
      </c>
      <c r="H441" s="109">
        <v>200</v>
      </c>
      <c r="I441" s="109">
        <v>200</v>
      </c>
      <c r="J441" s="109"/>
      <c r="K441" s="109"/>
      <c r="L441" s="105">
        <v>20201118</v>
      </c>
    </row>
    <row r="442" s="175" customFormat="1" ht="16" customHeight="1" spans="1:12">
      <c r="A442" s="109">
        <v>440</v>
      </c>
      <c r="B442" s="109" t="s">
        <v>9015</v>
      </c>
      <c r="C442" s="109" t="s">
        <v>9847</v>
      </c>
      <c r="D442" s="288" t="s">
        <v>9848</v>
      </c>
      <c r="E442" s="109">
        <v>2020</v>
      </c>
      <c r="F442" s="109">
        <v>2020</v>
      </c>
      <c r="G442" s="109" t="s">
        <v>16</v>
      </c>
      <c r="H442" s="109">
        <v>200</v>
      </c>
      <c r="I442" s="109">
        <v>200</v>
      </c>
      <c r="J442" s="109"/>
      <c r="K442" s="109"/>
      <c r="L442" s="105">
        <v>20201118</v>
      </c>
    </row>
    <row r="443" s="175" customFormat="1" ht="16" customHeight="1" spans="1:12">
      <c r="A443" s="109">
        <v>441</v>
      </c>
      <c r="B443" s="109" t="s">
        <v>9015</v>
      </c>
      <c r="C443" s="109" t="s">
        <v>9849</v>
      </c>
      <c r="D443" s="288" t="s">
        <v>9850</v>
      </c>
      <c r="E443" s="109">
        <v>2020</v>
      </c>
      <c r="F443" s="109">
        <v>2020</v>
      </c>
      <c r="G443" s="109" t="s">
        <v>16</v>
      </c>
      <c r="H443" s="109">
        <v>200</v>
      </c>
      <c r="I443" s="109">
        <v>200</v>
      </c>
      <c r="J443" s="109"/>
      <c r="K443" s="109"/>
      <c r="L443" s="105">
        <v>20201118</v>
      </c>
    </row>
    <row r="444" s="175" customFormat="1" ht="16" customHeight="1" spans="1:12">
      <c r="A444" s="109">
        <v>442</v>
      </c>
      <c r="B444" s="109" t="s">
        <v>9015</v>
      </c>
      <c r="C444" s="109" t="s">
        <v>9851</v>
      </c>
      <c r="D444" s="288" t="s">
        <v>9852</v>
      </c>
      <c r="E444" s="109">
        <v>2020</v>
      </c>
      <c r="F444" s="109">
        <v>2020</v>
      </c>
      <c r="G444" s="109" t="s">
        <v>16</v>
      </c>
      <c r="H444" s="109">
        <v>200</v>
      </c>
      <c r="I444" s="109">
        <v>200</v>
      </c>
      <c r="J444" s="109"/>
      <c r="K444" s="109"/>
      <c r="L444" s="105">
        <v>20201118</v>
      </c>
    </row>
    <row r="445" s="175" customFormat="1" ht="16" customHeight="1" spans="1:12">
      <c r="A445" s="109">
        <v>443</v>
      </c>
      <c r="B445" s="109" t="s">
        <v>9015</v>
      </c>
      <c r="C445" s="109" t="s">
        <v>9853</v>
      </c>
      <c r="D445" s="288" t="s">
        <v>9854</v>
      </c>
      <c r="E445" s="109">
        <v>2020</v>
      </c>
      <c r="F445" s="109">
        <v>2020</v>
      </c>
      <c r="G445" s="109" t="s">
        <v>16</v>
      </c>
      <c r="H445" s="109">
        <v>200</v>
      </c>
      <c r="I445" s="109">
        <v>200</v>
      </c>
      <c r="J445" s="109"/>
      <c r="K445" s="109"/>
      <c r="L445" s="105">
        <v>20201118</v>
      </c>
    </row>
    <row r="446" s="175" customFormat="1" ht="16" customHeight="1" spans="1:12">
      <c r="A446" s="109">
        <v>444</v>
      </c>
      <c r="B446" s="109" t="s">
        <v>9015</v>
      </c>
      <c r="C446" s="109" t="s">
        <v>9855</v>
      </c>
      <c r="D446" s="288" t="s">
        <v>9856</v>
      </c>
      <c r="E446" s="109">
        <v>2020</v>
      </c>
      <c r="F446" s="109">
        <v>2020</v>
      </c>
      <c r="G446" s="109" t="s">
        <v>16</v>
      </c>
      <c r="H446" s="109">
        <v>200</v>
      </c>
      <c r="I446" s="109">
        <v>200</v>
      </c>
      <c r="J446" s="109"/>
      <c r="K446" s="109"/>
      <c r="L446" s="105">
        <v>20201118</v>
      </c>
    </row>
    <row r="447" s="175" customFormat="1" ht="16" customHeight="1" spans="1:12">
      <c r="A447" s="109">
        <v>445</v>
      </c>
      <c r="B447" s="109" t="s">
        <v>9015</v>
      </c>
      <c r="C447" s="109" t="s">
        <v>9857</v>
      </c>
      <c r="D447" s="288" t="s">
        <v>9858</v>
      </c>
      <c r="E447" s="109">
        <v>2020</v>
      </c>
      <c r="F447" s="109">
        <v>2020</v>
      </c>
      <c r="G447" s="109" t="s">
        <v>16</v>
      </c>
      <c r="H447" s="109">
        <v>200</v>
      </c>
      <c r="I447" s="109">
        <v>200</v>
      </c>
      <c r="J447" s="109"/>
      <c r="K447" s="109"/>
      <c r="L447" s="105">
        <v>20201118</v>
      </c>
    </row>
    <row r="448" s="175" customFormat="1" ht="16" customHeight="1" spans="1:12">
      <c r="A448" s="109">
        <v>446</v>
      </c>
      <c r="B448" s="109" t="s">
        <v>9015</v>
      </c>
      <c r="C448" s="109" t="s">
        <v>9859</v>
      </c>
      <c r="D448" s="288" t="s">
        <v>9860</v>
      </c>
      <c r="E448" s="109">
        <v>2020</v>
      </c>
      <c r="F448" s="109">
        <v>2020</v>
      </c>
      <c r="G448" s="109" t="s">
        <v>16</v>
      </c>
      <c r="H448" s="109">
        <v>200</v>
      </c>
      <c r="I448" s="109">
        <v>200</v>
      </c>
      <c r="J448" s="109"/>
      <c r="K448" s="109"/>
      <c r="L448" s="105">
        <v>20201118</v>
      </c>
    </row>
    <row r="449" s="175" customFormat="1" ht="16" customHeight="1" spans="1:12">
      <c r="A449" s="109">
        <v>447</v>
      </c>
      <c r="B449" s="109" t="s">
        <v>9015</v>
      </c>
      <c r="C449" s="109" t="s">
        <v>9861</v>
      </c>
      <c r="D449" s="288" t="s">
        <v>9862</v>
      </c>
      <c r="E449" s="109">
        <v>2020</v>
      </c>
      <c r="F449" s="109">
        <v>2020</v>
      </c>
      <c r="G449" s="109" t="s">
        <v>16</v>
      </c>
      <c r="H449" s="109">
        <v>200</v>
      </c>
      <c r="I449" s="109">
        <v>200</v>
      </c>
      <c r="J449" s="109"/>
      <c r="K449" s="109"/>
      <c r="L449" s="105">
        <v>20201118</v>
      </c>
    </row>
    <row r="450" s="175" customFormat="1" ht="16" customHeight="1" spans="1:12">
      <c r="A450" s="109">
        <v>448</v>
      </c>
      <c r="B450" s="109" t="s">
        <v>9015</v>
      </c>
      <c r="C450" s="109" t="s">
        <v>9863</v>
      </c>
      <c r="D450" s="288" t="s">
        <v>9864</v>
      </c>
      <c r="E450" s="109">
        <v>2020</v>
      </c>
      <c r="F450" s="109">
        <v>2020</v>
      </c>
      <c r="G450" s="109" t="s">
        <v>16</v>
      </c>
      <c r="H450" s="109">
        <v>200</v>
      </c>
      <c r="I450" s="109">
        <v>200</v>
      </c>
      <c r="J450" s="109"/>
      <c r="K450" s="109"/>
      <c r="L450" s="105">
        <v>20201118</v>
      </c>
    </row>
    <row r="451" s="175" customFormat="1" ht="16" customHeight="1" spans="1:12">
      <c r="A451" s="109">
        <v>449</v>
      </c>
      <c r="B451" s="109" t="s">
        <v>9015</v>
      </c>
      <c r="C451" s="109" t="s">
        <v>9865</v>
      </c>
      <c r="D451" s="288" t="s">
        <v>9866</v>
      </c>
      <c r="E451" s="109">
        <v>2020</v>
      </c>
      <c r="F451" s="109">
        <v>2020</v>
      </c>
      <c r="G451" s="109" t="s">
        <v>16</v>
      </c>
      <c r="H451" s="109">
        <v>200</v>
      </c>
      <c r="I451" s="109">
        <v>200</v>
      </c>
      <c r="J451" s="109"/>
      <c r="K451" s="109"/>
      <c r="L451" s="105">
        <v>20201118</v>
      </c>
    </row>
    <row r="452" s="175" customFormat="1" ht="16" customHeight="1" spans="1:12">
      <c r="A452" s="109">
        <v>450</v>
      </c>
      <c r="B452" s="109" t="s">
        <v>9015</v>
      </c>
      <c r="C452" s="109" t="s">
        <v>9867</v>
      </c>
      <c r="D452" s="288" t="s">
        <v>9868</v>
      </c>
      <c r="E452" s="109">
        <v>2020</v>
      </c>
      <c r="F452" s="109">
        <v>2020</v>
      </c>
      <c r="G452" s="109" t="s">
        <v>16</v>
      </c>
      <c r="H452" s="109">
        <v>200</v>
      </c>
      <c r="I452" s="109">
        <v>200</v>
      </c>
      <c r="J452" s="109"/>
      <c r="K452" s="109"/>
      <c r="L452" s="105">
        <v>20201118</v>
      </c>
    </row>
    <row r="453" s="175" customFormat="1" ht="16" customHeight="1" spans="1:12">
      <c r="A453" s="109">
        <v>451</v>
      </c>
      <c r="B453" s="109" t="s">
        <v>9015</v>
      </c>
      <c r="C453" s="109" t="s">
        <v>9869</v>
      </c>
      <c r="D453" s="288" t="s">
        <v>9870</v>
      </c>
      <c r="E453" s="109">
        <v>2020</v>
      </c>
      <c r="F453" s="109">
        <v>2020</v>
      </c>
      <c r="G453" s="109" t="s">
        <v>16</v>
      </c>
      <c r="H453" s="109">
        <v>200</v>
      </c>
      <c r="I453" s="109">
        <v>200</v>
      </c>
      <c r="J453" s="109"/>
      <c r="K453" s="109"/>
      <c r="L453" s="105">
        <v>20201118</v>
      </c>
    </row>
    <row r="454" s="175" customFormat="1" ht="16" customHeight="1" spans="1:12">
      <c r="A454" s="109">
        <v>452</v>
      </c>
      <c r="B454" s="109" t="s">
        <v>9015</v>
      </c>
      <c r="C454" s="109" t="s">
        <v>9871</v>
      </c>
      <c r="D454" s="288" t="s">
        <v>9872</v>
      </c>
      <c r="E454" s="109">
        <v>2020</v>
      </c>
      <c r="F454" s="109">
        <v>2020</v>
      </c>
      <c r="G454" s="109" t="s">
        <v>16</v>
      </c>
      <c r="H454" s="109">
        <v>200</v>
      </c>
      <c r="I454" s="109">
        <v>200</v>
      </c>
      <c r="J454" s="109"/>
      <c r="K454" s="109"/>
      <c r="L454" s="105">
        <v>20201118</v>
      </c>
    </row>
    <row r="455" s="175" customFormat="1" ht="16" customHeight="1" spans="1:12">
      <c r="A455" s="109">
        <v>453</v>
      </c>
      <c r="B455" s="109" t="s">
        <v>9015</v>
      </c>
      <c r="C455" s="109" t="s">
        <v>9873</v>
      </c>
      <c r="D455" s="288" t="s">
        <v>9874</v>
      </c>
      <c r="E455" s="109">
        <v>2020</v>
      </c>
      <c r="F455" s="109">
        <v>2020</v>
      </c>
      <c r="G455" s="109" t="s">
        <v>16</v>
      </c>
      <c r="H455" s="109">
        <v>200</v>
      </c>
      <c r="I455" s="109">
        <v>200</v>
      </c>
      <c r="J455" s="109"/>
      <c r="K455" s="109"/>
      <c r="L455" s="105">
        <v>20201118</v>
      </c>
    </row>
    <row r="456" s="175" customFormat="1" ht="16" customHeight="1" spans="1:12">
      <c r="A456" s="109">
        <v>454</v>
      </c>
      <c r="B456" s="109" t="s">
        <v>9015</v>
      </c>
      <c r="C456" s="109" t="s">
        <v>9875</v>
      </c>
      <c r="D456" s="288" t="s">
        <v>9876</v>
      </c>
      <c r="E456" s="109">
        <v>2020</v>
      </c>
      <c r="F456" s="109">
        <v>2020</v>
      </c>
      <c r="G456" s="109" t="s">
        <v>16</v>
      </c>
      <c r="H456" s="109">
        <v>200</v>
      </c>
      <c r="I456" s="109">
        <v>200</v>
      </c>
      <c r="J456" s="109"/>
      <c r="K456" s="109"/>
      <c r="L456" s="105">
        <v>20201118</v>
      </c>
    </row>
    <row r="457" s="175" customFormat="1" ht="16" customHeight="1" spans="1:12">
      <c r="A457" s="109">
        <v>455</v>
      </c>
      <c r="B457" s="109" t="s">
        <v>9015</v>
      </c>
      <c r="C457" s="109" t="s">
        <v>9877</v>
      </c>
      <c r="D457" s="288" t="s">
        <v>9878</v>
      </c>
      <c r="E457" s="109">
        <v>2020</v>
      </c>
      <c r="F457" s="109">
        <v>2020</v>
      </c>
      <c r="G457" s="109" t="s">
        <v>16</v>
      </c>
      <c r="H457" s="109">
        <v>200</v>
      </c>
      <c r="I457" s="109">
        <v>200</v>
      </c>
      <c r="J457" s="109"/>
      <c r="K457" s="109"/>
      <c r="L457" s="105">
        <v>20201118</v>
      </c>
    </row>
    <row r="458" s="175" customFormat="1" ht="16" customHeight="1" spans="1:12">
      <c r="A458" s="109">
        <v>456</v>
      </c>
      <c r="B458" s="109" t="s">
        <v>9015</v>
      </c>
      <c r="C458" s="109" t="s">
        <v>9879</v>
      </c>
      <c r="D458" s="288" t="s">
        <v>9880</v>
      </c>
      <c r="E458" s="109">
        <v>2020</v>
      </c>
      <c r="F458" s="109">
        <v>2020</v>
      </c>
      <c r="G458" s="109" t="s">
        <v>16</v>
      </c>
      <c r="H458" s="109">
        <v>200</v>
      </c>
      <c r="I458" s="109">
        <v>200</v>
      </c>
      <c r="J458" s="109"/>
      <c r="K458" s="109"/>
      <c r="L458" s="105">
        <v>20201118</v>
      </c>
    </row>
    <row r="459" s="175" customFormat="1" ht="16" customHeight="1" spans="1:12">
      <c r="A459" s="109">
        <v>457</v>
      </c>
      <c r="B459" s="109" t="s">
        <v>9015</v>
      </c>
      <c r="C459" s="109" t="s">
        <v>9881</v>
      </c>
      <c r="D459" s="288" t="s">
        <v>9882</v>
      </c>
      <c r="E459" s="109">
        <v>2020</v>
      </c>
      <c r="F459" s="109">
        <v>2020</v>
      </c>
      <c r="G459" s="109" t="s">
        <v>16</v>
      </c>
      <c r="H459" s="109">
        <v>200</v>
      </c>
      <c r="I459" s="109">
        <v>200</v>
      </c>
      <c r="J459" s="109"/>
      <c r="K459" s="109"/>
      <c r="L459" s="105">
        <v>20201118</v>
      </c>
    </row>
    <row r="460" s="175" customFormat="1" ht="16" customHeight="1" spans="1:12">
      <c r="A460" s="109">
        <v>458</v>
      </c>
      <c r="B460" s="109" t="s">
        <v>9015</v>
      </c>
      <c r="C460" s="109" t="s">
        <v>9883</v>
      </c>
      <c r="D460" s="288" t="s">
        <v>9884</v>
      </c>
      <c r="E460" s="109">
        <v>2020</v>
      </c>
      <c r="F460" s="109">
        <v>2020</v>
      </c>
      <c r="G460" s="109" t="s">
        <v>16</v>
      </c>
      <c r="H460" s="109">
        <v>200</v>
      </c>
      <c r="I460" s="109">
        <v>200</v>
      </c>
      <c r="J460" s="109"/>
      <c r="K460" s="109"/>
      <c r="L460" s="105">
        <v>20201118</v>
      </c>
    </row>
    <row r="461" s="175" customFormat="1" ht="16" customHeight="1" spans="1:12">
      <c r="A461" s="109">
        <v>459</v>
      </c>
      <c r="B461" s="109" t="s">
        <v>9015</v>
      </c>
      <c r="C461" s="109" t="s">
        <v>9885</v>
      </c>
      <c r="D461" s="288" t="s">
        <v>9886</v>
      </c>
      <c r="E461" s="109">
        <v>2020</v>
      </c>
      <c r="F461" s="109">
        <v>2020</v>
      </c>
      <c r="G461" s="109" t="s">
        <v>16</v>
      </c>
      <c r="H461" s="109">
        <v>200</v>
      </c>
      <c r="I461" s="109">
        <v>200</v>
      </c>
      <c r="J461" s="109"/>
      <c r="K461" s="109"/>
      <c r="L461" s="105">
        <v>20201118</v>
      </c>
    </row>
    <row r="462" s="175" customFormat="1" ht="16" customHeight="1" spans="1:12">
      <c r="A462" s="109">
        <v>460</v>
      </c>
      <c r="B462" s="109" t="s">
        <v>9015</v>
      </c>
      <c r="C462" s="109" t="s">
        <v>9887</v>
      </c>
      <c r="D462" s="288" t="s">
        <v>9888</v>
      </c>
      <c r="E462" s="109">
        <v>2020</v>
      </c>
      <c r="F462" s="109">
        <v>2020</v>
      </c>
      <c r="G462" s="109" t="s">
        <v>16</v>
      </c>
      <c r="H462" s="109">
        <v>200</v>
      </c>
      <c r="I462" s="109">
        <v>200</v>
      </c>
      <c r="J462" s="109"/>
      <c r="K462" s="109"/>
      <c r="L462" s="105">
        <v>20201118</v>
      </c>
    </row>
    <row r="463" s="175" customFormat="1" ht="16" customHeight="1" spans="1:12">
      <c r="A463" s="109">
        <v>461</v>
      </c>
      <c r="B463" s="109" t="s">
        <v>9015</v>
      </c>
      <c r="C463" s="109" t="s">
        <v>9889</v>
      </c>
      <c r="D463" s="288" t="s">
        <v>9890</v>
      </c>
      <c r="E463" s="109">
        <v>2020</v>
      </c>
      <c r="F463" s="109">
        <v>2020</v>
      </c>
      <c r="G463" s="109" t="s">
        <v>16</v>
      </c>
      <c r="H463" s="109">
        <v>200</v>
      </c>
      <c r="I463" s="109">
        <v>200</v>
      </c>
      <c r="J463" s="109"/>
      <c r="K463" s="109"/>
      <c r="L463" s="105">
        <v>20201118</v>
      </c>
    </row>
    <row r="464" s="175" customFormat="1" ht="16" customHeight="1" spans="1:12">
      <c r="A464" s="109">
        <v>462</v>
      </c>
      <c r="B464" s="109" t="s">
        <v>9015</v>
      </c>
      <c r="C464" s="109" t="s">
        <v>9891</v>
      </c>
      <c r="D464" s="288" t="s">
        <v>9892</v>
      </c>
      <c r="E464" s="109">
        <v>2020</v>
      </c>
      <c r="F464" s="109">
        <v>2020</v>
      </c>
      <c r="G464" s="109" t="s">
        <v>16</v>
      </c>
      <c r="H464" s="109">
        <v>200</v>
      </c>
      <c r="I464" s="109">
        <v>200</v>
      </c>
      <c r="J464" s="109"/>
      <c r="K464" s="109"/>
      <c r="L464" s="105">
        <v>20201118</v>
      </c>
    </row>
    <row r="465" s="175" customFormat="1" ht="16" customHeight="1" spans="1:12">
      <c r="A465" s="109">
        <v>463</v>
      </c>
      <c r="B465" s="109" t="s">
        <v>9015</v>
      </c>
      <c r="C465" s="109" t="s">
        <v>3969</v>
      </c>
      <c r="D465" s="288" t="s">
        <v>9893</v>
      </c>
      <c r="E465" s="109">
        <v>2020</v>
      </c>
      <c r="F465" s="109">
        <v>2020</v>
      </c>
      <c r="G465" s="109" t="s">
        <v>16</v>
      </c>
      <c r="H465" s="109">
        <v>200</v>
      </c>
      <c r="I465" s="109">
        <v>200</v>
      </c>
      <c r="J465" s="109"/>
      <c r="K465" s="109"/>
      <c r="L465" s="105">
        <v>20201118</v>
      </c>
    </row>
    <row r="466" s="175" customFormat="1" ht="16" customHeight="1" spans="1:12">
      <c r="A466" s="109">
        <v>464</v>
      </c>
      <c r="B466" s="109" t="s">
        <v>9015</v>
      </c>
      <c r="C466" s="109" t="s">
        <v>9894</v>
      </c>
      <c r="D466" s="288" t="s">
        <v>9895</v>
      </c>
      <c r="E466" s="109">
        <v>2020</v>
      </c>
      <c r="F466" s="109">
        <v>2020</v>
      </c>
      <c r="G466" s="109" t="s">
        <v>16</v>
      </c>
      <c r="H466" s="109">
        <v>200</v>
      </c>
      <c r="I466" s="109">
        <v>200</v>
      </c>
      <c r="J466" s="109"/>
      <c r="K466" s="109"/>
      <c r="L466" s="105">
        <v>20201118</v>
      </c>
    </row>
    <row r="467" s="175" customFormat="1" ht="16" customHeight="1" spans="1:12">
      <c r="A467" s="109">
        <v>465</v>
      </c>
      <c r="B467" s="109" t="s">
        <v>9015</v>
      </c>
      <c r="C467" s="109" t="s">
        <v>9896</v>
      </c>
      <c r="D467" s="288" t="s">
        <v>9897</v>
      </c>
      <c r="E467" s="109">
        <v>2020</v>
      </c>
      <c r="F467" s="109">
        <v>2020</v>
      </c>
      <c r="G467" s="109" t="s">
        <v>16</v>
      </c>
      <c r="H467" s="109">
        <v>200</v>
      </c>
      <c r="I467" s="109">
        <v>200</v>
      </c>
      <c r="J467" s="109"/>
      <c r="K467" s="109"/>
      <c r="L467" s="105">
        <v>20201118</v>
      </c>
    </row>
    <row r="468" s="175" customFormat="1" ht="16" customHeight="1" spans="1:12">
      <c r="A468" s="109">
        <v>466</v>
      </c>
      <c r="B468" s="109" t="s">
        <v>9015</v>
      </c>
      <c r="C468" s="109" t="s">
        <v>9898</v>
      </c>
      <c r="D468" s="288" t="s">
        <v>9899</v>
      </c>
      <c r="E468" s="109">
        <v>2020</v>
      </c>
      <c r="F468" s="109">
        <v>2020</v>
      </c>
      <c r="G468" s="109" t="s">
        <v>16</v>
      </c>
      <c r="H468" s="109">
        <v>200</v>
      </c>
      <c r="I468" s="109">
        <v>200</v>
      </c>
      <c r="J468" s="109"/>
      <c r="K468" s="109"/>
      <c r="L468" s="105">
        <v>20201118</v>
      </c>
    </row>
    <row r="469" s="175" customFormat="1" ht="16" customHeight="1" spans="1:12">
      <c r="A469" s="109">
        <v>467</v>
      </c>
      <c r="B469" s="109" t="s">
        <v>9015</v>
      </c>
      <c r="C469" s="109" t="s">
        <v>9900</v>
      </c>
      <c r="D469" s="288" t="s">
        <v>9901</v>
      </c>
      <c r="E469" s="109">
        <v>2020</v>
      </c>
      <c r="F469" s="109">
        <v>2020</v>
      </c>
      <c r="G469" s="109" t="s">
        <v>16</v>
      </c>
      <c r="H469" s="109">
        <v>200</v>
      </c>
      <c r="I469" s="109">
        <v>200</v>
      </c>
      <c r="J469" s="109"/>
      <c r="K469" s="109"/>
      <c r="L469" s="105">
        <v>20201118</v>
      </c>
    </row>
    <row r="470" s="175" customFormat="1" ht="16" customHeight="1" spans="1:12">
      <c r="A470" s="109">
        <v>468</v>
      </c>
      <c r="B470" s="109" t="s">
        <v>9015</v>
      </c>
      <c r="C470" s="109" t="s">
        <v>9902</v>
      </c>
      <c r="D470" s="288" t="s">
        <v>9903</v>
      </c>
      <c r="E470" s="109">
        <v>2020</v>
      </c>
      <c r="F470" s="109">
        <v>2020</v>
      </c>
      <c r="G470" s="109" t="s">
        <v>16</v>
      </c>
      <c r="H470" s="109">
        <v>200</v>
      </c>
      <c r="I470" s="109">
        <v>200</v>
      </c>
      <c r="J470" s="109"/>
      <c r="K470" s="109"/>
      <c r="L470" s="105">
        <v>20201118</v>
      </c>
    </row>
    <row r="471" s="175" customFormat="1" ht="16" customHeight="1" spans="1:12">
      <c r="A471" s="109">
        <v>469</v>
      </c>
      <c r="B471" s="109" t="s">
        <v>9015</v>
      </c>
      <c r="C471" s="109" t="s">
        <v>9904</v>
      </c>
      <c r="D471" s="288" t="s">
        <v>9905</v>
      </c>
      <c r="E471" s="109">
        <v>2020</v>
      </c>
      <c r="F471" s="109">
        <v>2020</v>
      </c>
      <c r="G471" s="109" t="s">
        <v>16</v>
      </c>
      <c r="H471" s="109">
        <v>200</v>
      </c>
      <c r="I471" s="109">
        <v>200</v>
      </c>
      <c r="J471" s="109"/>
      <c r="K471" s="109"/>
      <c r="L471" s="105">
        <v>20201118</v>
      </c>
    </row>
    <row r="472" s="175" customFormat="1" ht="16" customHeight="1" spans="1:12">
      <c r="A472" s="109">
        <v>470</v>
      </c>
      <c r="B472" s="109" t="s">
        <v>9906</v>
      </c>
      <c r="C472" s="109" t="s">
        <v>1867</v>
      </c>
      <c r="D472" s="288" t="s">
        <v>9907</v>
      </c>
      <c r="E472" s="109">
        <v>2020</v>
      </c>
      <c r="F472" s="109">
        <v>2020</v>
      </c>
      <c r="G472" s="109" t="s">
        <v>16</v>
      </c>
      <c r="H472" s="109">
        <v>200</v>
      </c>
      <c r="I472" s="109">
        <v>200</v>
      </c>
      <c r="J472" s="109"/>
      <c r="K472" s="109"/>
      <c r="L472" s="105">
        <v>20201118</v>
      </c>
    </row>
    <row r="473" s="175" customFormat="1" ht="16" customHeight="1" spans="1:12">
      <c r="A473" s="109">
        <v>471</v>
      </c>
      <c r="B473" s="109" t="s">
        <v>9015</v>
      </c>
      <c r="C473" s="109" t="s">
        <v>9908</v>
      </c>
      <c r="D473" s="288" t="s">
        <v>9909</v>
      </c>
      <c r="E473" s="109">
        <v>2020</v>
      </c>
      <c r="F473" s="109">
        <v>2020</v>
      </c>
      <c r="G473" s="109" t="s">
        <v>16</v>
      </c>
      <c r="H473" s="109">
        <v>200</v>
      </c>
      <c r="I473" s="109">
        <v>200</v>
      </c>
      <c r="J473" s="109"/>
      <c r="K473" s="109"/>
      <c r="L473" s="105">
        <v>20201118</v>
      </c>
    </row>
    <row r="474" s="113" customFormat="1" ht="16" customHeight="1" spans="1:12">
      <c r="A474" s="109">
        <v>472</v>
      </c>
      <c r="B474" s="109" t="s">
        <v>9015</v>
      </c>
      <c r="C474" s="109" t="s">
        <v>9910</v>
      </c>
      <c r="D474" s="288" t="s">
        <v>9911</v>
      </c>
      <c r="E474" s="109">
        <v>2020</v>
      </c>
      <c r="F474" s="109">
        <v>2020</v>
      </c>
      <c r="G474" s="109" t="s">
        <v>189</v>
      </c>
      <c r="H474" s="109">
        <v>200</v>
      </c>
      <c r="I474" s="109">
        <v>200</v>
      </c>
      <c r="J474" s="109"/>
      <c r="K474" s="109"/>
      <c r="L474" s="105">
        <v>20201118</v>
      </c>
    </row>
    <row r="475" s="113" customFormat="1" ht="16" customHeight="1" spans="1:12">
      <c r="A475" s="109">
        <v>473</v>
      </c>
      <c r="B475" s="109" t="s">
        <v>9015</v>
      </c>
      <c r="C475" s="109" t="s">
        <v>9912</v>
      </c>
      <c r="D475" s="288" t="s">
        <v>9913</v>
      </c>
      <c r="E475" s="109">
        <v>2020</v>
      </c>
      <c r="F475" s="109">
        <v>2020</v>
      </c>
      <c r="G475" s="109" t="s">
        <v>189</v>
      </c>
      <c r="H475" s="109">
        <v>200</v>
      </c>
      <c r="I475" s="109">
        <v>200</v>
      </c>
      <c r="J475" s="109"/>
      <c r="K475" s="109"/>
      <c r="L475" s="105">
        <v>20201118</v>
      </c>
    </row>
    <row r="476" s="113" customFormat="1" ht="16" customHeight="1" spans="1:12">
      <c r="A476" s="109">
        <v>474</v>
      </c>
      <c r="B476" s="109" t="s">
        <v>9015</v>
      </c>
      <c r="C476" s="109" t="s">
        <v>9914</v>
      </c>
      <c r="D476" s="288" t="s">
        <v>9915</v>
      </c>
      <c r="E476" s="109">
        <v>2020</v>
      </c>
      <c r="F476" s="109">
        <v>2020</v>
      </c>
      <c r="G476" s="109" t="s">
        <v>189</v>
      </c>
      <c r="H476" s="109">
        <v>1000</v>
      </c>
      <c r="I476" s="109">
        <v>1000</v>
      </c>
      <c r="J476" s="109"/>
      <c r="K476" s="109"/>
      <c r="L476" s="105">
        <v>20201118</v>
      </c>
    </row>
    <row r="477" s="113" customFormat="1" ht="16" customHeight="1" spans="1:12">
      <c r="A477" s="109">
        <v>475</v>
      </c>
      <c r="B477" s="109" t="s">
        <v>9015</v>
      </c>
      <c r="C477" s="109" t="s">
        <v>9916</v>
      </c>
      <c r="D477" s="288" t="s">
        <v>9917</v>
      </c>
      <c r="E477" s="109">
        <v>2020</v>
      </c>
      <c r="F477" s="109">
        <v>2020</v>
      </c>
      <c r="G477" s="109" t="s">
        <v>189</v>
      </c>
      <c r="H477" s="109">
        <v>200</v>
      </c>
      <c r="I477" s="109">
        <v>200</v>
      </c>
      <c r="J477" s="109"/>
      <c r="K477" s="109"/>
      <c r="L477" s="105">
        <v>20201118</v>
      </c>
    </row>
    <row r="478" s="113" customFormat="1" ht="16" customHeight="1" spans="1:12">
      <c r="A478" s="109">
        <v>476</v>
      </c>
      <c r="B478" s="109" t="s">
        <v>9015</v>
      </c>
      <c r="C478" s="109" t="s">
        <v>9918</v>
      </c>
      <c r="D478" s="288" t="s">
        <v>9919</v>
      </c>
      <c r="E478" s="109">
        <v>2020</v>
      </c>
      <c r="F478" s="109">
        <v>2020</v>
      </c>
      <c r="G478" s="109" t="s">
        <v>189</v>
      </c>
      <c r="H478" s="109">
        <v>200</v>
      </c>
      <c r="I478" s="109">
        <v>200</v>
      </c>
      <c r="J478" s="109"/>
      <c r="K478" s="109"/>
      <c r="L478" s="105">
        <v>20201118</v>
      </c>
    </row>
    <row r="479" s="113" customFormat="1" ht="16" customHeight="1" spans="1:12">
      <c r="A479" s="109">
        <v>477</v>
      </c>
      <c r="B479" s="109" t="s">
        <v>9015</v>
      </c>
      <c r="C479" s="109" t="s">
        <v>5273</v>
      </c>
      <c r="D479" s="288" t="s">
        <v>9920</v>
      </c>
      <c r="E479" s="109">
        <v>2020</v>
      </c>
      <c r="F479" s="109">
        <v>2020</v>
      </c>
      <c r="G479" s="109" t="s">
        <v>189</v>
      </c>
      <c r="H479" s="109">
        <v>200</v>
      </c>
      <c r="I479" s="109">
        <v>200</v>
      </c>
      <c r="J479" s="109"/>
      <c r="K479" s="109"/>
      <c r="L479" s="105">
        <v>20201118</v>
      </c>
    </row>
    <row r="480" s="113" customFormat="1" ht="16" customHeight="1" spans="1:12">
      <c r="A480" s="109">
        <v>478</v>
      </c>
      <c r="B480" s="109" t="s">
        <v>9015</v>
      </c>
      <c r="C480" s="109" t="s">
        <v>9921</v>
      </c>
      <c r="D480" s="288" t="s">
        <v>9922</v>
      </c>
      <c r="E480" s="109">
        <v>2020</v>
      </c>
      <c r="F480" s="109">
        <v>2020</v>
      </c>
      <c r="G480" s="109" t="s">
        <v>189</v>
      </c>
      <c r="H480" s="109">
        <v>200</v>
      </c>
      <c r="I480" s="109">
        <v>200</v>
      </c>
      <c r="J480" s="109"/>
      <c r="K480" s="109"/>
      <c r="L480" s="105">
        <v>20201118</v>
      </c>
    </row>
    <row r="481" s="113" customFormat="1" ht="16" customHeight="1" spans="1:12">
      <c r="A481" s="109">
        <v>479</v>
      </c>
      <c r="B481" s="109" t="s">
        <v>9015</v>
      </c>
      <c r="C481" s="109" t="s">
        <v>582</v>
      </c>
      <c r="D481" s="288" t="s">
        <v>9923</v>
      </c>
      <c r="E481" s="109">
        <v>2020</v>
      </c>
      <c r="F481" s="109">
        <v>2020</v>
      </c>
      <c r="G481" s="109" t="s">
        <v>189</v>
      </c>
      <c r="H481" s="109">
        <v>200</v>
      </c>
      <c r="I481" s="109">
        <v>200</v>
      </c>
      <c r="J481" s="109"/>
      <c r="K481" s="109"/>
      <c r="L481" s="105">
        <v>20201118</v>
      </c>
    </row>
    <row r="482" s="113" customFormat="1" ht="16" customHeight="1" spans="1:12">
      <c r="A482" s="109">
        <v>480</v>
      </c>
      <c r="B482" s="109" t="s">
        <v>9015</v>
      </c>
      <c r="C482" s="109" t="s">
        <v>9924</v>
      </c>
      <c r="D482" s="288" t="s">
        <v>9925</v>
      </c>
      <c r="E482" s="109">
        <v>2020</v>
      </c>
      <c r="F482" s="109">
        <v>2020</v>
      </c>
      <c r="G482" s="109" t="s">
        <v>189</v>
      </c>
      <c r="H482" s="109">
        <v>200</v>
      </c>
      <c r="I482" s="109">
        <v>200</v>
      </c>
      <c r="J482" s="109"/>
      <c r="K482" s="109"/>
      <c r="L482" s="105">
        <v>20201118</v>
      </c>
    </row>
    <row r="483" s="113" customFormat="1" ht="16" customHeight="1" spans="1:12">
      <c r="A483" s="109">
        <v>481</v>
      </c>
      <c r="B483" s="109" t="s">
        <v>9015</v>
      </c>
      <c r="C483" s="109" t="s">
        <v>9926</v>
      </c>
      <c r="D483" s="288" t="s">
        <v>9927</v>
      </c>
      <c r="E483" s="109">
        <v>2020</v>
      </c>
      <c r="F483" s="109">
        <v>2020</v>
      </c>
      <c r="G483" s="109" t="s">
        <v>189</v>
      </c>
      <c r="H483" s="109">
        <v>200</v>
      </c>
      <c r="I483" s="109">
        <v>200</v>
      </c>
      <c r="J483" s="109"/>
      <c r="K483" s="109"/>
      <c r="L483" s="105">
        <v>20201118</v>
      </c>
    </row>
    <row r="484" s="113" customFormat="1" ht="16" customHeight="1" spans="1:12">
      <c r="A484" s="109">
        <v>482</v>
      </c>
      <c r="B484" s="109" t="s">
        <v>9015</v>
      </c>
      <c r="C484" s="109" t="s">
        <v>9928</v>
      </c>
      <c r="D484" s="288" t="s">
        <v>9929</v>
      </c>
      <c r="E484" s="109">
        <v>2020</v>
      </c>
      <c r="F484" s="109">
        <v>2020</v>
      </c>
      <c r="G484" s="109" t="s">
        <v>189</v>
      </c>
      <c r="H484" s="109">
        <v>200</v>
      </c>
      <c r="I484" s="109">
        <v>800</v>
      </c>
      <c r="J484" s="109"/>
      <c r="K484" s="109"/>
      <c r="L484" s="105">
        <v>20201118</v>
      </c>
    </row>
    <row r="485" s="113" customFormat="1" ht="16" customHeight="1" spans="1:12">
      <c r="A485" s="109">
        <v>483</v>
      </c>
      <c r="B485" s="109" t="s">
        <v>9015</v>
      </c>
      <c r="C485" s="109" t="s">
        <v>3581</v>
      </c>
      <c r="D485" s="288" t="s">
        <v>9930</v>
      </c>
      <c r="E485" s="109">
        <v>2020</v>
      </c>
      <c r="F485" s="109">
        <v>2020</v>
      </c>
      <c r="G485" s="109" t="s">
        <v>189</v>
      </c>
      <c r="H485" s="109">
        <v>1000</v>
      </c>
      <c r="I485" s="109">
        <v>1000</v>
      </c>
      <c r="J485" s="109"/>
      <c r="K485" s="109"/>
      <c r="L485" s="105">
        <v>20201118</v>
      </c>
    </row>
    <row r="486" s="113" customFormat="1" ht="16" customHeight="1" spans="1:12">
      <c r="A486" s="109">
        <v>484</v>
      </c>
      <c r="B486" s="109" t="s">
        <v>9015</v>
      </c>
      <c r="C486" s="109" t="s">
        <v>9931</v>
      </c>
      <c r="D486" s="288" t="s">
        <v>9932</v>
      </c>
      <c r="E486" s="109">
        <v>2020</v>
      </c>
      <c r="F486" s="109">
        <v>2020</v>
      </c>
      <c r="G486" s="109" t="s">
        <v>189</v>
      </c>
      <c r="H486" s="109">
        <v>1000</v>
      </c>
      <c r="I486" s="109">
        <v>1000</v>
      </c>
      <c r="J486" s="109"/>
      <c r="K486" s="109"/>
      <c r="L486" s="105">
        <v>20201118</v>
      </c>
    </row>
    <row r="487" s="113" customFormat="1" ht="16" customHeight="1" spans="1:12">
      <c r="A487" s="109">
        <v>485</v>
      </c>
      <c r="B487" s="109" t="s">
        <v>9015</v>
      </c>
      <c r="C487" s="109" t="s">
        <v>7198</v>
      </c>
      <c r="D487" s="288" t="s">
        <v>9933</v>
      </c>
      <c r="E487" s="109">
        <v>2020</v>
      </c>
      <c r="F487" s="109">
        <v>2020</v>
      </c>
      <c r="G487" s="109" t="s">
        <v>189</v>
      </c>
      <c r="H487" s="123">
        <v>1000</v>
      </c>
      <c r="I487" s="109">
        <v>1000</v>
      </c>
      <c r="J487" s="109"/>
      <c r="K487" s="109"/>
      <c r="L487" s="105">
        <v>20201118</v>
      </c>
    </row>
    <row r="488" s="113" customFormat="1" ht="16" customHeight="1" spans="1:12">
      <c r="A488" s="109">
        <v>486</v>
      </c>
      <c r="B488" s="109" t="s">
        <v>9015</v>
      </c>
      <c r="C488" s="109" t="s">
        <v>9934</v>
      </c>
      <c r="D488" s="109" t="s">
        <v>9935</v>
      </c>
      <c r="E488" s="109">
        <v>2020</v>
      </c>
      <c r="F488" s="109">
        <v>2020</v>
      </c>
      <c r="G488" s="109" t="s">
        <v>189</v>
      </c>
      <c r="H488" s="109">
        <v>200</v>
      </c>
      <c r="I488" s="109">
        <v>200</v>
      </c>
      <c r="J488" s="109"/>
      <c r="K488" s="109"/>
      <c r="L488" s="105">
        <v>20201118</v>
      </c>
    </row>
    <row r="489" s="113" customFormat="1" ht="16" customHeight="1" spans="1:12">
      <c r="A489" s="109">
        <v>487</v>
      </c>
      <c r="B489" s="109" t="s">
        <v>9015</v>
      </c>
      <c r="C489" s="109" t="s">
        <v>9936</v>
      </c>
      <c r="D489" s="288" t="s">
        <v>9937</v>
      </c>
      <c r="E489" s="109">
        <v>2020</v>
      </c>
      <c r="F489" s="109">
        <v>2020</v>
      </c>
      <c r="G489" s="178" t="s">
        <v>189</v>
      </c>
      <c r="H489" s="109">
        <v>200</v>
      </c>
      <c r="I489" s="109">
        <v>200</v>
      </c>
      <c r="J489" s="109"/>
      <c r="K489" s="109"/>
      <c r="L489" s="105">
        <v>20201118</v>
      </c>
    </row>
    <row r="490" s="113" customFormat="1" ht="16" customHeight="1" spans="1:12">
      <c r="A490" s="109">
        <v>488</v>
      </c>
      <c r="B490" s="109" t="s">
        <v>9015</v>
      </c>
      <c r="C490" s="109" t="s">
        <v>9938</v>
      </c>
      <c r="D490" s="288" t="s">
        <v>9939</v>
      </c>
      <c r="E490" s="109">
        <v>2020</v>
      </c>
      <c r="F490" s="109">
        <v>2020</v>
      </c>
      <c r="G490" s="178" t="s">
        <v>189</v>
      </c>
      <c r="H490" s="109">
        <v>200</v>
      </c>
      <c r="I490" s="109">
        <v>200</v>
      </c>
      <c r="J490" s="109"/>
      <c r="K490" s="109"/>
      <c r="L490" s="105">
        <v>20201118</v>
      </c>
    </row>
    <row r="491" s="113" customFormat="1" ht="16" customHeight="1" spans="1:12">
      <c r="A491" s="109">
        <v>489</v>
      </c>
      <c r="B491" s="109" t="s">
        <v>9015</v>
      </c>
      <c r="C491" s="109" t="s">
        <v>9940</v>
      </c>
      <c r="D491" s="288" t="s">
        <v>9941</v>
      </c>
      <c r="E491" s="109">
        <v>2020</v>
      </c>
      <c r="F491" s="109">
        <v>2020</v>
      </c>
      <c r="G491" s="178" t="s">
        <v>189</v>
      </c>
      <c r="H491" s="109">
        <v>200</v>
      </c>
      <c r="I491" s="109">
        <v>200</v>
      </c>
      <c r="J491" s="109"/>
      <c r="K491" s="109"/>
      <c r="L491" s="105">
        <v>20201118</v>
      </c>
    </row>
    <row r="492" s="113" customFormat="1" ht="16" customHeight="1" spans="1:12">
      <c r="A492" s="109">
        <v>490</v>
      </c>
      <c r="B492" s="109" t="s">
        <v>9015</v>
      </c>
      <c r="C492" s="109" t="s">
        <v>9942</v>
      </c>
      <c r="D492" s="288" t="s">
        <v>9943</v>
      </c>
      <c r="E492" s="179">
        <v>2012</v>
      </c>
      <c r="F492" s="109">
        <v>2020</v>
      </c>
      <c r="G492" s="179" t="s">
        <v>289</v>
      </c>
      <c r="H492" s="109">
        <v>200</v>
      </c>
      <c r="I492" s="109">
        <v>1800</v>
      </c>
      <c r="J492" s="109"/>
      <c r="K492" s="109"/>
      <c r="L492" s="105">
        <v>20201118</v>
      </c>
    </row>
    <row r="493" s="113" customFormat="1" ht="16" customHeight="1" spans="1:12">
      <c r="A493" s="109">
        <v>491</v>
      </c>
      <c r="B493" s="109" t="s">
        <v>9015</v>
      </c>
      <c r="C493" s="109" t="s">
        <v>9944</v>
      </c>
      <c r="D493" s="288" t="s">
        <v>9945</v>
      </c>
      <c r="E493" s="179">
        <v>2019</v>
      </c>
      <c r="F493" s="109">
        <v>2020</v>
      </c>
      <c r="G493" s="179" t="s">
        <v>289</v>
      </c>
      <c r="H493" s="109">
        <v>200</v>
      </c>
      <c r="I493" s="109">
        <v>400</v>
      </c>
      <c r="J493" s="109"/>
      <c r="K493" s="109"/>
      <c r="L493" s="105">
        <v>20201118</v>
      </c>
    </row>
    <row r="494" s="113" customFormat="1" ht="16" customHeight="1" spans="1:12">
      <c r="A494" s="109">
        <v>492</v>
      </c>
      <c r="B494" s="109" t="s">
        <v>9015</v>
      </c>
      <c r="C494" s="109" t="s">
        <v>9946</v>
      </c>
      <c r="D494" s="288" t="s">
        <v>9947</v>
      </c>
      <c r="E494" s="179">
        <v>2019</v>
      </c>
      <c r="F494" s="109">
        <v>2020</v>
      </c>
      <c r="G494" s="179" t="s">
        <v>289</v>
      </c>
      <c r="H494" s="109">
        <v>200</v>
      </c>
      <c r="I494" s="109">
        <v>400</v>
      </c>
      <c r="J494" s="109"/>
      <c r="K494" s="109"/>
      <c r="L494" s="105">
        <v>20201118</v>
      </c>
    </row>
    <row r="495" s="113" customFormat="1" ht="16" customHeight="1" spans="1:12">
      <c r="A495" s="109">
        <v>493</v>
      </c>
      <c r="B495" s="109" t="s">
        <v>9015</v>
      </c>
      <c r="C495" s="109" t="s">
        <v>9948</v>
      </c>
      <c r="D495" s="288" t="s">
        <v>9949</v>
      </c>
      <c r="E495" s="179">
        <v>2013</v>
      </c>
      <c r="F495" s="109">
        <v>2020</v>
      </c>
      <c r="G495" s="179" t="s">
        <v>289</v>
      </c>
      <c r="H495" s="109">
        <v>200</v>
      </c>
      <c r="I495" s="109">
        <v>1600</v>
      </c>
      <c r="J495" s="109"/>
      <c r="K495" s="109"/>
      <c r="L495" s="105">
        <v>20201118</v>
      </c>
    </row>
    <row r="496" s="113" customFormat="1" ht="16" customHeight="1" spans="1:12">
      <c r="A496" s="109">
        <v>494</v>
      </c>
      <c r="B496" s="109" t="s">
        <v>9015</v>
      </c>
      <c r="C496" s="109" t="s">
        <v>9950</v>
      </c>
      <c r="D496" s="288" t="s">
        <v>9951</v>
      </c>
      <c r="E496" s="179">
        <v>2016</v>
      </c>
      <c r="F496" s="109">
        <v>2020</v>
      </c>
      <c r="G496" s="179" t="s">
        <v>289</v>
      </c>
      <c r="H496" s="109">
        <v>200</v>
      </c>
      <c r="I496" s="109">
        <v>1000</v>
      </c>
      <c r="J496" s="109"/>
      <c r="K496" s="109"/>
      <c r="L496" s="105">
        <v>20201118</v>
      </c>
    </row>
    <row r="497" s="113" customFormat="1" spans="1:12">
      <c r="A497" s="109"/>
      <c r="B497" s="109"/>
      <c r="C497" s="109"/>
      <c r="D497" s="109"/>
      <c r="E497" s="109"/>
      <c r="F497" s="109"/>
      <c r="G497" s="109"/>
      <c r="H497" s="109"/>
      <c r="I497" s="109" t="s">
        <v>9952</v>
      </c>
      <c r="J497" s="109"/>
      <c r="K497" s="109"/>
      <c r="L497" s="105"/>
    </row>
    <row r="498" s="113" customFormat="1" spans="1:1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/>
    </row>
    <row r="499" s="113" customFormat="1" spans="1:1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/>
    </row>
    <row r="500" s="113" customFormat="1" spans="1:1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0"/>
  <sheetViews>
    <sheetView topLeftCell="A113" workbookViewId="0">
      <selection activeCell="A3" sqref="A3:L149"/>
    </sheetView>
  </sheetViews>
  <sheetFormatPr defaultColWidth="9" defaultRowHeight="13.5"/>
  <cols>
    <col min="1" max="1" width="5.875" customWidth="1"/>
    <col min="2" max="2" width="9.25" customWidth="1"/>
    <col min="3" max="3" width="8.625" customWidth="1"/>
    <col min="4" max="4" width="20.375" customWidth="1"/>
    <col min="5" max="5" width="12" customWidth="1"/>
    <col min="6" max="6" width="8.375" customWidth="1"/>
    <col min="7" max="7" width="14.625" customWidth="1"/>
    <col min="8" max="8" width="9.375" customWidth="1"/>
    <col min="9" max="9" width="10.5" customWidth="1"/>
    <col min="10" max="10" width="12.375" customWidth="1"/>
    <col min="11" max="11" width="12.625" customWidth="1"/>
    <col min="12" max="12" width="11.75" customWidth="1"/>
    <col min="13" max="13" width="5.125" customWidth="1"/>
  </cols>
  <sheetData>
    <row r="1" s="95" customFormat="1" ht="18.75" spans="1:11">
      <c r="A1" s="99" t="s">
        <v>9953</v>
      </c>
      <c r="B1" s="100"/>
      <c r="C1" s="100"/>
      <c r="D1" s="100"/>
      <c r="E1" s="100"/>
      <c r="F1" s="100"/>
      <c r="G1" s="101"/>
      <c r="H1" s="100"/>
      <c r="I1" s="100"/>
      <c r="J1" s="100"/>
      <c r="K1" s="100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03" t="s">
        <v>10</v>
      </c>
      <c r="L2" s="104" t="s">
        <v>11</v>
      </c>
    </row>
    <row r="3" ht="16" customHeight="1" spans="1:12">
      <c r="A3" s="109">
        <v>1</v>
      </c>
      <c r="B3" s="109" t="s">
        <v>9954</v>
      </c>
      <c r="C3" s="60" t="s">
        <v>9955</v>
      </c>
      <c r="D3" s="60" t="s">
        <v>9956</v>
      </c>
      <c r="E3" s="102" t="s">
        <v>15</v>
      </c>
      <c r="F3" s="102" t="s">
        <v>15</v>
      </c>
      <c r="G3" s="132" t="s">
        <v>16</v>
      </c>
      <c r="H3" s="109">
        <v>500</v>
      </c>
      <c r="I3" s="109">
        <v>500</v>
      </c>
      <c r="J3" s="109"/>
      <c r="K3" s="109"/>
      <c r="L3" s="105">
        <v>20201118</v>
      </c>
    </row>
    <row r="4" ht="16" customHeight="1" spans="1:12">
      <c r="A4" s="109">
        <v>2</v>
      </c>
      <c r="B4" s="109" t="s">
        <v>9954</v>
      </c>
      <c r="C4" s="60" t="s">
        <v>9957</v>
      </c>
      <c r="D4" s="60" t="s">
        <v>9958</v>
      </c>
      <c r="E4" s="102" t="s">
        <v>15</v>
      </c>
      <c r="F4" s="102" t="s">
        <v>15</v>
      </c>
      <c r="G4" s="132" t="s">
        <v>16</v>
      </c>
      <c r="H4" s="109">
        <v>500</v>
      </c>
      <c r="I4" s="109">
        <v>500</v>
      </c>
      <c r="J4" s="109"/>
      <c r="K4" s="109"/>
      <c r="L4" s="105">
        <v>20201118</v>
      </c>
    </row>
    <row r="5" ht="16" customHeight="1" spans="1:12">
      <c r="A5" s="109">
        <v>3</v>
      </c>
      <c r="B5" s="109" t="s">
        <v>9954</v>
      </c>
      <c r="C5" s="60" t="s">
        <v>9959</v>
      </c>
      <c r="D5" s="60" t="s">
        <v>9960</v>
      </c>
      <c r="E5" s="102" t="s">
        <v>15</v>
      </c>
      <c r="F5" s="102" t="s">
        <v>15</v>
      </c>
      <c r="G5" s="132" t="s">
        <v>16</v>
      </c>
      <c r="H5" s="109">
        <v>200</v>
      </c>
      <c r="I5" s="109">
        <v>200</v>
      </c>
      <c r="J5" s="109"/>
      <c r="K5" s="109"/>
      <c r="L5" s="105">
        <v>20201118</v>
      </c>
    </row>
    <row r="6" ht="16" customHeight="1" spans="1:12">
      <c r="A6" s="109">
        <v>4</v>
      </c>
      <c r="B6" s="109" t="s">
        <v>9954</v>
      </c>
      <c r="C6" s="60" t="s">
        <v>9961</v>
      </c>
      <c r="D6" s="60" t="s">
        <v>9962</v>
      </c>
      <c r="E6" s="102" t="s">
        <v>15</v>
      </c>
      <c r="F6" s="102" t="s">
        <v>15</v>
      </c>
      <c r="G6" s="132" t="s">
        <v>16</v>
      </c>
      <c r="H6" s="109">
        <v>200</v>
      </c>
      <c r="I6" s="109">
        <v>200</v>
      </c>
      <c r="J6" s="109"/>
      <c r="K6" s="109"/>
      <c r="L6" s="105">
        <v>20201118</v>
      </c>
    </row>
    <row r="7" ht="16" customHeight="1" spans="1:12">
      <c r="A7" s="109">
        <v>5</v>
      </c>
      <c r="B7" s="109" t="s">
        <v>9954</v>
      </c>
      <c r="C7" s="60" t="s">
        <v>9963</v>
      </c>
      <c r="D7" s="60" t="s">
        <v>9964</v>
      </c>
      <c r="E7" s="102" t="s">
        <v>15</v>
      </c>
      <c r="F7" s="102" t="s">
        <v>15</v>
      </c>
      <c r="G7" s="132" t="s">
        <v>16</v>
      </c>
      <c r="H7" s="109">
        <v>200</v>
      </c>
      <c r="I7" s="109">
        <v>200</v>
      </c>
      <c r="J7" s="109"/>
      <c r="K7" s="109"/>
      <c r="L7" s="105">
        <v>20201118</v>
      </c>
    </row>
    <row r="8" ht="16" customHeight="1" spans="1:12">
      <c r="A8" s="109">
        <v>6</v>
      </c>
      <c r="B8" s="109" t="s">
        <v>9954</v>
      </c>
      <c r="C8" s="60" t="s">
        <v>9965</v>
      </c>
      <c r="D8" s="60" t="s">
        <v>9966</v>
      </c>
      <c r="E8" s="102" t="s">
        <v>15</v>
      </c>
      <c r="F8" s="102" t="s">
        <v>15</v>
      </c>
      <c r="G8" s="132" t="s">
        <v>16</v>
      </c>
      <c r="H8" s="109">
        <v>200</v>
      </c>
      <c r="I8" s="109">
        <v>200</v>
      </c>
      <c r="J8" s="109"/>
      <c r="K8" s="109"/>
      <c r="L8" s="105">
        <v>20201118</v>
      </c>
    </row>
    <row r="9" ht="16" customHeight="1" spans="1:12">
      <c r="A9" s="109">
        <v>7</v>
      </c>
      <c r="B9" s="109" t="s">
        <v>9954</v>
      </c>
      <c r="C9" s="53" t="s">
        <v>9967</v>
      </c>
      <c r="D9" s="53" t="s">
        <v>9968</v>
      </c>
      <c r="E9" s="102" t="s">
        <v>15</v>
      </c>
      <c r="F9" s="102" t="s">
        <v>15</v>
      </c>
      <c r="G9" s="132" t="s">
        <v>16</v>
      </c>
      <c r="H9" s="109">
        <v>200</v>
      </c>
      <c r="I9" s="109">
        <v>200</v>
      </c>
      <c r="J9" s="109"/>
      <c r="K9" s="109"/>
      <c r="L9" s="105">
        <v>20201118</v>
      </c>
    </row>
    <row r="10" ht="16" customHeight="1" spans="1:12">
      <c r="A10" s="109">
        <v>8</v>
      </c>
      <c r="B10" s="109" t="s">
        <v>9954</v>
      </c>
      <c r="C10" s="53" t="s">
        <v>9969</v>
      </c>
      <c r="D10" s="53" t="s">
        <v>9970</v>
      </c>
      <c r="E10" s="102" t="s">
        <v>15</v>
      </c>
      <c r="F10" s="102" t="s">
        <v>15</v>
      </c>
      <c r="G10" s="132" t="s">
        <v>16</v>
      </c>
      <c r="H10" s="109">
        <v>200</v>
      </c>
      <c r="I10" s="109">
        <v>200</v>
      </c>
      <c r="J10" s="109"/>
      <c r="K10" s="109"/>
      <c r="L10" s="105">
        <v>20201118</v>
      </c>
    </row>
    <row r="11" ht="16" customHeight="1" spans="1:12">
      <c r="A11" s="109">
        <v>9</v>
      </c>
      <c r="B11" s="109" t="s">
        <v>9954</v>
      </c>
      <c r="C11" s="60" t="s">
        <v>9971</v>
      </c>
      <c r="D11" s="60" t="s">
        <v>9972</v>
      </c>
      <c r="E11" s="102" t="s">
        <v>15</v>
      </c>
      <c r="F11" s="102" t="s">
        <v>15</v>
      </c>
      <c r="G11" s="132" t="s">
        <v>16</v>
      </c>
      <c r="H11" s="109">
        <v>200</v>
      </c>
      <c r="I11" s="109">
        <v>200</v>
      </c>
      <c r="J11" s="109"/>
      <c r="K11" s="109"/>
      <c r="L11" s="105">
        <v>20201118</v>
      </c>
    </row>
    <row r="12" ht="16" customHeight="1" spans="1:12">
      <c r="A12" s="109">
        <v>10</v>
      </c>
      <c r="B12" s="109" t="s">
        <v>9954</v>
      </c>
      <c r="C12" s="60" t="s">
        <v>9973</v>
      </c>
      <c r="D12" s="60" t="s">
        <v>9974</v>
      </c>
      <c r="E12" s="102" t="s">
        <v>15</v>
      </c>
      <c r="F12" s="102" t="s">
        <v>15</v>
      </c>
      <c r="G12" s="132" t="s">
        <v>16</v>
      </c>
      <c r="H12" s="109">
        <v>200</v>
      </c>
      <c r="I12" s="109">
        <v>200</v>
      </c>
      <c r="J12" s="109"/>
      <c r="K12" s="109"/>
      <c r="L12" s="105">
        <v>20201118</v>
      </c>
    </row>
    <row r="13" ht="16" customHeight="1" spans="1:12">
      <c r="A13" s="109">
        <v>11</v>
      </c>
      <c r="B13" s="109" t="s">
        <v>9954</v>
      </c>
      <c r="C13" s="60" t="s">
        <v>9975</v>
      </c>
      <c r="D13" s="60" t="s">
        <v>9976</v>
      </c>
      <c r="E13" s="102" t="s">
        <v>15</v>
      </c>
      <c r="F13" s="102" t="s">
        <v>15</v>
      </c>
      <c r="G13" s="132" t="s">
        <v>16</v>
      </c>
      <c r="H13" s="109">
        <v>200</v>
      </c>
      <c r="I13" s="109">
        <v>200</v>
      </c>
      <c r="J13" s="109"/>
      <c r="K13" s="109"/>
      <c r="L13" s="105">
        <v>20201118</v>
      </c>
    </row>
    <row r="14" ht="16" customHeight="1" spans="1:12">
      <c r="A14" s="109">
        <v>12</v>
      </c>
      <c r="B14" s="109" t="s">
        <v>9954</v>
      </c>
      <c r="C14" s="3" t="s">
        <v>9977</v>
      </c>
      <c r="D14" s="3" t="s">
        <v>9978</v>
      </c>
      <c r="E14" s="102" t="s">
        <v>15</v>
      </c>
      <c r="F14" s="102" t="s">
        <v>15</v>
      </c>
      <c r="G14" s="132" t="s">
        <v>16</v>
      </c>
      <c r="H14" s="109">
        <v>200</v>
      </c>
      <c r="I14" s="109">
        <v>200</v>
      </c>
      <c r="J14" s="109"/>
      <c r="K14" s="109"/>
      <c r="L14" s="105">
        <v>20201118</v>
      </c>
    </row>
    <row r="15" ht="16" customHeight="1" spans="1:12">
      <c r="A15" s="109">
        <v>13</v>
      </c>
      <c r="B15" s="109" t="s">
        <v>9954</v>
      </c>
      <c r="C15" s="68" t="s">
        <v>9979</v>
      </c>
      <c r="D15" s="68" t="s">
        <v>9980</v>
      </c>
      <c r="E15" s="102" t="s">
        <v>15</v>
      </c>
      <c r="F15" s="102" t="s">
        <v>15</v>
      </c>
      <c r="G15" s="132" t="s">
        <v>16</v>
      </c>
      <c r="H15" s="109">
        <v>500</v>
      </c>
      <c r="I15" s="109">
        <v>500</v>
      </c>
      <c r="J15" s="109"/>
      <c r="K15" s="109"/>
      <c r="L15" s="105">
        <v>20201118</v>
      </c>
    </row>
    <row r="16" ht="16" customHeight="1" spans="1:12">
      <c r="A16" s="109">
        <v>14</v>
      </c>
      <c r="B16" s="109" t="s">
        <v>9954</v>
      </c>
      <c r="C16" s="60" t="s">
        <v>9981</v>
      </c>
      <c r="D16" s="60" t="s">
        <v>9982</v>
      </c>
      <c r="E16" s="102" t="s">
        <v>15</v>
      </c>
      <c r="F16" s="102" t="s">
        <v>15</v>
      </c>
      <c r="G16" s="132" t="s">
        <v>16</v>
      </c>
      <c r="H16" s="109">
        <v>500</v>
      </c>
      <c r="I16" s="109">
        <v>500</v>
      </c>
      <c r="J16" s="109"/>
      <c r="K16" s="109"/>
      <c r="L16" s="105">
        <v>20201118</v>
      </c>
    </row>
    <row r="17" ht="16" customHeight="1" spans="1:12">
      <c r="A17" s="109">
        <v>15</v>
      </c>
      <c r="B17" s="109" t="s">
        <v>9954</v>
      </c>
      <c r="C17" s="60" t="s">
        <v>9983</v>
      </c>
      <c r="D17" s="60" t="s">
        <v>9984</v>
      </c>
      <c r="E17" s="102" t="s">
        <v>15</v>
      </c>
      <c r="F17" s="102" t="s">
        <v>15</v>
      </c>
      <c r="G17" s="132" t="s">
        <v>16</v>
      </c>
      <c r="H17" s="109">
        <v>500</v>
      </c>
      <c r="I17" s="109">
        <v>500</v>
      </c>
      <c r="J17" s="109"/>
      <c r="K17" s="109"/>
      <c r="L17" s="105">
        <v>20201118</v>
      </c>
    </row>
    <row r="18" ht="16" customHeight="1" spans="1:12">
      <c r="A18" s="109">
        <v>16</v>
      </c>
      <c r="B18" s="109" t="s">
        <v>9954</v>
      </c>
      <c r="C18" s="60" t="s">
        <v>9985</v>
      </c>
      <c r="D18" s="60" t="s">
        <v>9986</v>
      </c>
      <c r="E18" s="102" t="s">
        <v>15</v>
      </c>
      <c r="F18" s="102" t="s">
        <v>15</v>
      </c>
      <c r="G18" s="132" t="s">
        <v>16</v>
      </c>
      <c r="H18" s="109">
        <v>200</v>
      </c>
      <c r="I18" s="109">
        <v>200</v>
      </c>
      <c r="J18" s="109"/>
      <c r="K18" s="109"/>
      <c r="L18" s="105">
        <v>20201118</v>
      </c>
    </row>
    <row r="19" ht="16" customHeight="1" spans="1:12">
      <c r="A19" s="109">
        <v>17</v>
      </c>
      <c r="B19" s="109" t="s">
        <v>9954</v>
      </c>
      <c r="C19" s="60" t="s">
        <v>9987</v>
      </c>
      <c r="D19" s="60" t="s">
        <v>9988</v>
      </c>
      <c r="E19" s="102" t="s">
        <v>15</v>
      </c>
      <c r="F19" s="102" t="s">
        <v>15</v>
      </c>
      <c r="G19" s="132" t="s">
        <v>16</v>
      </c>
      <c r="H19" s="109">
        <v>200</v>
      </c>
      <c r="I19" s="109">
        <v>200</v>
      </c>
      <c r="J19" s="109"/>
      <c r="K19" s="109"/>
      <c r="L19" s="105">
        <v>20201118</v>
      </c>
    </row>
    <row r="20" ht="16" customHeight="1" spans="1:12">
      <c r="A20" s="109">
        <v>18</v>
      </c>
      <c r="B20" s="109" t="s">
        <v>9954</v>
      </c>
      <c r="C20" s="60" t="s">
        <v>9989</v>
      </c>
      <c r="D20" s="60" t="s">
        <v>9990</v>
      </c>
      <c r="E20" s="102" t="s">
        <v>15</v>
      </c>
      <c r="F20" s="102" t="s">
        <v>15</v>
      </c>
      <c r="G20" s="132" t="s">
        <v>16</v>
      </c>
      <c r="H20" s="109">
        <v>200</v>
      </c>
      <c r="I20" s="109">
        <v>200</v>
      </c>
      <c r="J20" s="109"/>
      <c r="K20" s="109"/>
      <c r="L20" s="105">
        <v>20201118</v>
      </c>
    </row>
    <row r="21" ht="16" customHeight="1" spans="1:12">
      <c r="A21" s="109">
        <v>19</v>
      </c>
      <c r="B21" s="109" t="s">
        <v>9954</v>
      </c>
      <c r="C21" s="6" t="s">
        <v>9991</v>
      </c>
      <c r="D21" s="6" t="s">
        <v>9992</v>
      </c>
      <c r="E21" s="102" t="s">
        <v>15</v>
      </c>
      <c r="F21" s="102" t="s">
        <v>15</v>
      </c>
      <c r="G21" s="132" t="s">
        <v>16</v>
      </c>
      <c r="H21" s="109">
        <v>200</v>
      </c>
      <c r="I21" s="109">
        <v>200</v>
      </c>
      <c r="J21" s="109"/>
      <c r="K21" s="109"/>
      <c r="L21" s="105">
        <v>20201118</v>
      </c>
    </row>
    <row r="22" ht="16" customHeight="1" spans="1:12">
      <c r="A22" s="109">
        <v>20</v>
      </c>
      <c r="B22" s="109" t="s">
        <v>9954</v>
      </c>
      <c r="C22" s="60" t="s">
        <v>9993</v>
      </c>
      <c r="D22" s="60" t="s">
        <v>9994</v>
      </c>
      <c r="E22" s="102" t="s">
        <v>15</v>
      </c>
      <c r="F22" s="102" t="s">
        <v>15</v>
      </c>
      <c r="G22" s="132" t="s">
        <v>16</v>
      </c>
      <c r="H22" s="109">
        <v>200</v>
      </c>
      <c r="I22" s="109">
        <v>200</v>
      </c>
      <c r="J22" s="109"/>
      <c r="K22" s="109"/>
      <c r="L22" s="105">
        <v>20201118</v>
      </c>
    </row>
    <row r="23" ht="16" customHeight="1" spans="1:12">
      <c r="A23" s="109">
        <v>21</v>
      </c>
      <c r="B23" s="109" t="s">
        <v>9954</v>
      </c>
      <c r="C23" s="60" t="s">
        <v>9995</v>
      </c>
      <c r="D23" s="60" t="s">
        <v>9996</v>
      </c>
      <c r="E23" s="102" t="s">
        <v>15</v>
      </c>
      <c r="F23" s="102" t="s">
        <v>15</v>
      </c>
      <c r="G23" s="132" t="s">
        <v>16</v>
      </c>
      <c r="H23" s="109">
        <v>200</v>
      </c>
      <c r="I23" s="109">
        <v>200</v>
      </c>
      <c r="J23" s="109"/>
      <c r="K23" s="109"/>
      <c r="L23" s="105">
        <v>20201118</v>
      </c>
    </row>
    <row r="24" ht="16" customHeight="1" spans="1:12">
      <c r="A24" s="109">
        <v>22</v>
      </c>
      <c r="B24" s="109" t="s">
        <v>9954</v>
      </c>
      <c r="C24" s="60" t="s">
        <v>9997</v>
      </c>
      <c r="D24" s="60" t="s">
        <v>9998</v>
      </c>
      <c r="E24" s="102" t="s">
        <v>15</v>
      </c>
      <c r="F24" s="102" t="s">
        <v>15</v>
      </c>
      <c r="G24" s="132" t="s">
        <v>16</v>
      </c>
      <c r="H24" s="109">
        <v>200</v>
      </c>
      <c r="I24" s="109">
        <v>200</v>
      </c>
      <c r="J24" s="109"/>
      <c r="K24" s="109"/>
      <c r="L24" s="105">
        <v>20201118</v>
      </c>
    </row>
    <row r="25" ht="16" customHeight="1" spans="1:12">
      <c r="A25" s="109">
        <v>23</v>
      </c>
      <c r="B25" s="109" t="s">
        <v>9954</v>
      </c>
      <c r="C25" s="60" t="s">
        <v>9999</v>
      </c>
      <c r="D25" s="60" t="s">
        <v>10000</v>
      </c>
      <c r="E25" s="102" t="s">
        <v>15</v>
      </c>
      <c r="F25" s="102" t="s">
        <v>15</v>
      </c>
      <c r="G25" s="132" t="s">
        <v>16</v>
      </c>
      <c r="H25" s="109">
        <v>200</v>
      </c>
      <c r="I25" s="109">
        <v>200</v>
      </c>
      <c r="J25" s="109"/>
      <c r="K25" s="109"/>
      <c r="L25" s="105">
        <v>20201118</v>
      </c>
    </row>
    <row r="26" ht="16" customHeight="1" spans="1:12">
      <c r="A26" s="109">
        <v>24</v>
      </c>
      <c r="B26" s="109" t="s">
        <v>9954</v>
      </c>
      <c r="C26" s="60" t="s">
        <v>10001</v>
      </c>
      <c r="D26" s="60" t="s">
        <v>10002</v>
      </c>
      <c r="E26" s="102" t="s">
        <v>15</v>
      </c>
      <c r="F26" s="102" t="s">
        <v>15</v>
      </c>
      <c r="G26" s="106" t="s">
        <v>189</v>
      </c>
      <c r="H26" s="109">
        <v>200</v>
      </c>
      <c r="I26" s="109">
        <v>200</v>
      </c>
      <c r="J26" s="109"/>
      <c r="K26" s="109"/>
      <c r="L26" s="105">
        <v>20201118</v>
      </c>
    </row>
    <row r="27" ht="16" customHeight="1" spans="1:12">
      <c r="A27" s="109">
        <v>25</v>
      </c>
      <c r="B27" s="109" t="s">
        <v>9954</v>
      </c>
      <c r="C27" s="60" t="s">
        <v>10003</v>
      </c>
      <c r="D27" s="60" t="s">
        <v>10004</v>
      </c>
      <c r="E27" s="102" t="s">
        <v>15</v>
      </c>
      <c r="F27" s="102" t="s">
        <v>15</v>
      </c>
      <c r="G27" s="132" t="s">
        <v>16</v>
      </c>
      <c r="H27" s="109">
        <v>200</v>
      </c>
      <c r="I27" s="109">
        <v>200</v>
      </c>
      <c r="J27" s="109"/>
      <c r="K27" s="109"/>
      <c r="L27" s="105">
        <v>20201118</v>
      </c>
    </row>
    <row r="28" ht="16" customHeight="1" spans="1:12">
      <c r="A28" s="109">
        <v>26</v>
      </c>
      <c r="B28" s="109" t="s">
        <v>9954</v>
      </c>
      <c r="C28" s="60" t="s">
        <v>10005</v>
      </c>
      <c r="D28" s="60" t="s">
        <v>10006</v>
      </c>
      <c r="E28" s="102" t="s">
        <v>15</v>
      </c>
      <c r="F28" s="102" t="s">
        <v>15</v>
      </c>
      <c r="G28" s="132" t="s">
        <v>16</v>
      </c>
      <c r="H28" s="109">
        <v>200</v>
      </c>
      <c r="I28" s="109">
        <v>200</v>
      </c>
      <c r="J28" s="109"/>
      <c r="K28" s="109"/>
      <c r="L28" s="105">
        <v>20201118</v>
      </c>
    </row>
    <row r="29" ht="16" customHeight="1" spans="1:12">
      <c r="A29" s="109">
        <v>27</v>
      </c>
      <c r="B29" s="109" t="s">
        <v>9954</v>
      </c>
      <c r="C29" s="60" t="s">
        <v>10007</v>
      </c>
      <c r="D29" s="60" t="s">
        <v>10008</v>
      </c>
      <c r="E29" s="102" t="s">
        <v>15</v>
      </c>
      <c r="F29" s="102" t="s">
        <v>15</v>
      </c>
      <c r="G29" s="132" t="s">
        <v>16</v>
      </c>
      <c r="H29" s="109">
        <v>200</v>
      </c>
      <c r="I29" s="109">
        <v>200</v>
      </c>
      <c r="J29" s="109" t="s">
        <v>108</v>
      </c>
      <c r="K29" s="109"/>
      <c r="L29" s="105">
        <v>20201118</v>
      </c>
    </row>
    <row r="30" ht="16" customHeight="1" spans="1:12">
      <c r="A30" s="109">
        <v>28</v>
      </c>
      <c r="B30" s="109" t="s">
        <v>9954</v>
      </c>
      <c r="C30" s="60" t="s">
        <v>10009</v>
      </c>
      <c r="D30" s="60" t="s">
        <v>10010</v>
      </c>
      <c r="E30" s="102" t="s">
        <v>15</v>
      </c>
      <c r="F30" s="102" t="s">
        <v>15</v>
      </c>
      <c r="G30" s="132" t="s">
        <v>16</v>
      </c>
      <c r="H30" s="109">
        <v>200</v>
      </c>
      <c r="I30" s="109">
        <v>200</v>
      </c>
      <c r="J30" s="109" t="s">
        <v>108</v>
      </c>
      <c r="K30" s="109"/>
      <c r="L30" s="105">
        <v>20201118</v>
      </c>
    </row>
    <row r="31" ht="16" customHeight="1" spans="1:12">
      <c r="A31" s="109">
        <v>29</v>
      </c>
      <c r="B31" s="109" t="s">
        <v>9954</v>
      </c>
      <c r="C31" s="32" t="s">
        <v>10011</v>
      </c>
      <c r="D31" s="32" t="s">
        <v>10012</v>
      </c>
      <c r="E31" s="102" t="s">
        <v>15</v>
      </c>
      <c r="F31" s="102" t="s">
        <v>15</v>
      </c>
      <c r="G31" s="132" t="s">
        <v>16</v>
      </c>
      <c r="H31" s="109">
        <v>500</v>
      </c>
      <c r="I31" s="109">
        <v>500</v>
      </c>
      <c r="J31" s="109"/>
      <c r="K31" s="109"/>
      <c r="L31" s="105">
        <v>20201118</v>
      </c>
    </row>
    <row r="32" ht="16" customHeight="1" spans="1:12">
      <c r="A32" s="109">
        <v>30</v>
      </c>
      <c r="B32" s="109" t="s">
        <v>9954</v>
      </c>
      <c r="C32" s="60" t="s">
        <v>10013</v>
      </c>
      <c r="D32" s="60" t="s">
        <v>10014</v>
      </c>
      <c r="E32" s="102" t="s">
        <v>15</v>
      </c>
      <c r="F32" s="102" t="s">
        <v>15</v>
      </c>
      <c r="G32" s="132" t="s">
        <v>16</v>
      </c>
      <c r="H32" s="109">
        <v>200</v>
      </c>
      <c r="I32" s="109">
        <v>200</v>
      </c>
      <c r="J32" s="109" t="s">
        <v>108</v>
      </c>
      <c r="K32" s="109"/>
      <c r="L32" s="105">
        <v>20201118</v>
      </c>
    </row>
    <row r="33" ht="16" customHeight="1" spans="1:12">
      <c r="A33" s="109">
        <v>31</v>
      </c>
      <c r="B33" s="109" t="s">
        <v>9954</v>
      </c>
      <c r="C33" s="60" t="s">
        <v>10015</v>
      </c>
      <c r="D33" s="67" t="s">
        <v>10016</v>
      </c>
      <c r="E33" s="102" t="s">
        <v>15</v>
      </c>
      <c r="F33" s="102" t="s">
        <v>15</v>
      </c>
      <c r="G33" s="132" t="s">
        <v>16</v>
      </c>
      <c r="H33" s="109">
        <v>200</v>
      </c>
      <c r="I33" s="109">
        <v>200</v>
      </c>
      <c r="J33" s="109"/>
      <c r="K33" s="109"/>
      <c r="L33" s="105">
        <v>20201118</v>
      </c>
    </row>
    <row r="34" ht="16" customHeight="1" spans="1:12">
      <c r="A34" s="109">
        <v>32</v>
      </c>
      <c r="B34" s="109" t="s">
        <v>9954</v>
      </c>
      <c r="C34" s="32" t="s">
        <v>10017</v>
      </c>
      <c r="D34" s="32" t="s">
        <v>10018</v>
      </c>
      <c r="E34" s="102" t="s">
        <v>15</v>
      </c>
      <c r="F34" s="102" t="s">
        <v>15</v>
      </c>
      <c r="G34" s="132" t="s">
        <v>16</v>
      </c>
      <c r="H34" s="109">
        <v>500</v>
      </c>
      <c r="I34" s="109">
        <v>500</v>
      </c>
      <c r="J34" s="109"/>
      <c r="K34" s="109"/>
      <c r="L34" s="105">
        <v>20201118</v>
      </c>
    </row>
    <row r="35" ht="16" customHeight="1" spans="1:12">
      <c r="A35" s="109">
        <v>33</v>
      </c>
      <c r="B35" s="109" t="s">
        <v>9954</v>
      </c>
      <c r="C35" s="3" t="s">
        <v>10019</v>
      </c>
      <c r="D35" s="3" t="s">
        <v>10020</v>
      </c>
      <c r="E35" s="102" t="s">
        <v>15</v>
      </c>
      <c r="F35" s="102" t="s">
        <v>15</v>
      </c>
      <c r="G35" s="132" t="s">
        <v>16</v>
      </c>
      <c r="H35" s="109">
        <v>200</v>
      </c>
      <c r="I35" s="109">
        <v>200</v>
      </c>
      <c r="J35" s="109"/>
      <c r="K35" s="109"/>
      <c r="L35" s="105">
        <v>20201118</v>
      </c>
    </row>
    <row r="36" ht="16" customHeight="1" spans="1:12">
      <c r="A36" s="109">
        <v>34</v>
      </c>
      <c r="B36" s="109" t="s">
        <v>9954</v>
      </c>
      <c r="C36" s="53" t="s">
        <v>10021</v>
      </c>
      <c r="D36" s="53" t="s">
        <v>10022</v>
      </c>
      <c r="E36" s="102" t="s">
        <v>15</v>
      </c>
      <c r="F36" s="102" t="s">
        <v>15</v>
      </c>
      <c r="G36" s="132" t="s">
        <v>16</v>
      </c>
      <c r="H36" s="109">
        <v>200</v>
      </c>
      <c r="I36" s="109">
        <v>200</v>
      </c>
      <c r="J36" s="109" t="s">
        <v>108</v>
      </c>
      <c r="K36" s="109"/>
      <c r="L36" s="105">
        <v>20201118</v>
      </c>
    </row>
    <row r="37" ht="16" customHeight="1" spans="1:12">
      <c r="A37" s="109">
        <v>35</v>
      </c>
      <c r="B37" s="109" t="s">
        <v>9954</v>
      </c>
      <c r="C37" s="53" t="s">
        <v>10023</v>
      </c>
      <c r="D37" s="53" t="s">
        <v>10024</v>
      </c>
      <c r="E37" s="102" t="s">
        <v>15</v>
      </c>
      <c r="F37" s="102" t="s">
        <v>15</v>
      </c>
      <c r="G37" s="132" t="s">
        <v>16</v>
      </c>
      <c r="H37" s="109">
        <v>200</v>
      </c>
      <c r="I37" s="109">
        <v>200</v>
      </c>
      <c r="J37" s="109" t="s">
        <v>108</v>
      </c>
      <c r="K37" s="109"/>
      <c r="L37" s="105">
        <v>20201118</v>
      </c>
    </row>
    <row r="38" ht="16" customHeight="1" spans="1:12">
      <c r="A38" s="109">
        <v>36</v>
      </c>
      <c r="B38" s="109" t="s">
        <v>9954</v>
      </c>
      <c r="C38" s="53" t="s">
        <v>10025</v>
      </c>
      <c r="D38" s="53" t="s">
        <v>10026</v>
      </c>
      <c r="E38" s="102" t="s">
        <v>15</v>
      </c>
      <c r="F38" s="102" t="s">
        <v>15</v>
      </c>
      <c r="G38" s="132" t="s">
        <v>16</v>
      </c>
      <c r="H38" s="109">
        <v>200</v>
      </c>
      <c r="I38" s="109">
        <v>200</v>
      </c>
      <c r="J38" s="109"/>
      <c r="K38" s="109"/>
      <c r="L38" s="105">
        <v>20201118</v>
      </c>
    </row>
    <row r="39" ht="16" customHeight="1" spans="1:12">
      <c r="A39" s="109">
        <v>37</v>
      </c>
      <c r="B39" s="109" t="s">
        <v>9954</v>
      </c>
      <c r="C39" s="32" t="s">
        <v>10027</v>
      </c>
      <c r="D39" s="32" t="s">
        <v>10028</v>
      </c>
      <c r="E39" s="102" t="s">
        <v>15</v>
      </c>
      <c r="F39" s="102" t="s">
        <v>15</v>
      </c>
      <c r="G39" s="132" t="s">
        <v>16</v>
      </c>
      <c r="H39" s="109">
        <v>200</v>
      </c>
      <c r="I39" s="109">
        <v>200</v>
      </c>
      <c r="J39" s="109" t="s">
        <v>108</v>
      </c>
      <c r="K39" s="109"/>
      <c r="L39" s="105">
        <v>20201118</v>
      </c>
    </row>
    <row r="40" ht="16" customHeight="1" spans="1:12">
      <c r="A40" s="109">
        <v>38</v>
      </c>
      <c r="B40" s="109" t="s">
        <v>9954</v>
      </c>
      <c r="C40" s="60" t="s">
        <v>10029</v>
      </c>
      <c r="D40" s="60" t="s">
        <v>10030</v>
      </c>
      <c r="E40" s="102" t="s">
        <v>15</v>
      </c>
      <c r="F40" s="102" t="s">
        <v>15</v>
      </c>
      <c r="G40" s="132" t="s">
        <v>16</v>
      </c>
      <c r="H40" s="109">
        <v>1000</v>
      </c>
      <c r="I40" s="109">
        <v>1000</v>
      </c>
      <c r="J40" s="109"/>
      <c r="K40" s="109"/>
      <c r="L40" s="105">
        <v>20201118</v>
      </c>
    </row>
    <row r="41" ht="16" customHeight="1" spans="1:12">
      <c r="A41" s="109">
        <v>39</v>
      </c>
      <c r="B41" s="109" t="s">
        <v>9954</v>
      </c>
      <c r="C41" s="68" t="s">
        <v>10031</v>
      </c>
      <c r="D41" s="68" t="s">
        <v>10032</v>
      </c>
      <c r="E41" s="102" t="s">
        <v>15</v>
      </c>
      <c r="F41" s="102" t="s">
        <v>15</v>
      </c>
      <c r="G41" s="132" t="s">
        <v>16</v>
      </c>
      <c r="H41" s="109">
        <v>1000</v>
      </c>
      <c r="I41" s="109">
        <v>1000</v>
      </c>
      <c r="J41" s="109"/>
      <c r="K41" s="109"/>
      <c r="L41" s="105">
        <v>20201118</v>
      </c>
    </row>
    <row r="42" ht="16" customHeight="1" spans="1:12">
      <c r="A42" s="109">
        <v>40</v>
      </c>
      <c r="B42" s="109" t="s">
        <v>9954</v>
      </c>
      <c r="C42" s="3" t="s">
        <v>10033</v>
      </c>
      <c r="D42" s="3" t="s">
        <v>10034</v>
      </c>
      <c r="E42" s="102" t="s">
        <v>15</v>
      </c>
      <c r="F42" s="102" t="s">
        <v>15</v>
      </c>
      <c r="G42" s="132" t="s">
        <v>16</v>
      </c>
      <c r="H42" s="109">
        <v>500</v>
      </c>
      <c r="I42" s="109">
        <v>500</v>
      </c>
      <c r="J42" s="109"/>
      <c r="K42" s="109"/>
      <c r="L42" s="105">
        <v>20201118</v>
      </c>
    </row>
    <row r="43" ht="16" customHeight="1" spans="1:12">
      <c r="A43" s="109">
        <v>41</v>
      </c>
      <c r="B43" s="109" t="s">
        <v>9954</v>
      </c>
      <c r="C43" s="60" t="s">
        <v>10035</v>
      </c>
      <c r="D43" s="60" t="s">
        <v>10036</v>
      </c>
      <c r="E43" s="102" t="s">
        <v>15</v>
      </c>
      <c r="F43" s="102" t="s">
        <v>15</v>
      </c>
      <c r="G43" s="132" t="s">
        <v>16</v>
      </c>
      <c r="H43" s="109">
        <v>200</v>
      </c>
      <c r="I43" s="109">
        <v>200</v>
      </c>
      <c r="J43" s="109"/>
      <c r="K43" s="109"/>
      <c r="L43" s="105">
        <v>20201118</v>
      </c>
    </row>
    <row r="44" ht="16" customHeight="1" spans="1:12">
      <c r="A44" s="109">
        <v>42</v>
      </c>
      <c r="B44" s="109" t="s">
        <v>9954</v>
      </c>
      <c r="C44" s="60" t="s">
        <v>10037</v>
      </c>
      <c r="D44" s="60" t="s">
        <v>10038</v>
      </c>
      <c r="E44" s="102" t="s">
        <v>15</v>
      </c>
      <c r="F44" s="102" t="s">
        <v>15</v>
      </c>
      <c r="G44" s="132" t="s">
        <v>16</v>
      </c>
      <c r="H44" s="109">
        <v>200</v>
      </c>
      <c r="I44" s="109">
        <v>200</v>
      </c>
      <c r="J44" s="109"/>
      <c r="K44" s="109"/>
      <c r="L44" s="105">
        <v>20201118</v>
      </c>
    </row>
    <row r="45" ht="16" customHeight="1" spans="1:12">
      <c r="A45" s="109">
        <v>43</v>
      </c>
      <c r="B45" s="109" t="s">
        <v>9954</v>
      </c>
      <c r="C45" s="53" t="s">
        <v>10039</v>
      </c>
      <c r="D45" s="53" t="s">
        <v>10040</v>
      </c>
      <c r="E45" s="102" t="s">
        <v>15</v>
      </c>
      <c r="F45" s="102" t="s">
        <v>15</v>
      </c>
      <c r="G45" s="132" t="s">
        <v>16</v>
      </c>
      <c r="H45" s="109">
        <v>200</v>
      </c>
      <c r="I45" s="109">
        <v>200</v>
      </c>
      <c r="J45" s="109"/>
      <c r="K45" s="109"/>
      <c r="L45" s="105">
        <v>20201118</v>
      </c>
    </row>
    <row r="46" ht="16" customHeight="1" spans="1:12">
      <c r="A46" s="109">
        <v>44</v>
      </c>
      <c r="B46" s="109" t="s">
        <v>9954</v>
      </c>
      <c r="C46" s="6" t="s">
        <v>10041</v>
      </c>
      <c r="D46" s="6" t="s">
        <v>10042</v>
      </c>
      <c r="E46" s="102" t="s">
        <v>15</v>
      </c>
      <c r="F46" s="102" t="s">
        <v>15</v>
      </c>
      <c r="G46" s="132" t="s">
        <v>16</v>
      </c>
      <c r="H46" s="109">
        <v>200</v>
      </c>
      <c r="I46" s="109">
        <v>200</v>
      </c>
      <c r="J46" s="109"/>
      <c r="K46" s="109"/>
      <c r="L46" s="105">
        <v>20201118</v>
      </c>
    </row>
    <row r="47" ht="16" customHeight="1" spans="1:12">
      <c r="A47" s="109">
        <v>45</v>
      </c>
      <c r="B47" s="109" t="s">
        <v>9954</v>
      </c>
      <c r="C47" s="6" t="s">
        <v>328</v>
      </c>
      <c r="D47" s="6" t="s">
        <v>10043</v>
      </c>
      <c r="E47" s="102" t="s">
        <v>15</v>
      </c>
      <c r="F47" s="102" t="s">
        <v>15</v>
      </c>
      <c r="G47" s="132" t="s">
        <v>16</v>
      </c>
      <c r="H47" s="109">
        <v>200</v>
      </c>
      <c r="I47" s="109">
        <v>200</v>
      </c>
      <c r="J47" s="109"/>
      <c r="K47" s="109"/>
      <c r="L47" s="105">
        <v>20201118</v>
      </c>
    </row>
    <row r="48" ht="16" customHeight="1" spans="1:12">
      <c r="A48" s="109">
        <v>46</v>
      </c>
      <c r="B48" s="109" t="s">
        <v>9954</v>
      </c>
      <c r="C48" s="53" t="s">
        <v>10044</v>
      </c>
      <c r="D48" s="53" t="s">
        <v>10045</v>
      </c>
      <c r="E48" s="102" t="s">
        <v>15</v>
      </c>
      <c r="F48" s="102" t="s">
        <v>15</v>
      </c>
      <c r="G48" s="132" t="s">
        <v>16</v>
      </c>
      <c r="H48" s="109">
        <v>200</v>
      </c>
      <c r="I48" s="109">
        <v>200</v>
      </c>
      <c r="J48" s="109"/>
      <c r="K48" s="109"/>
      <c r="L48" s="105">
        <v>20201118</v>
      </c>
    </row>
    <row r="49" ht="16" customHeight="1" spans="1:12">
      <c r="A49" s="109">
        <v>47</v>
      </c>
      <c r="B49" s="109" t="s">
        <v>9954</v>
      </c>
      <c r="C49" s="53" t="s">
        <v>10046</v>
      </c>
      <c r="D49" s="53" t="s">
        <v>10047</v>
      </c>
      <c r="E49" s="102" t="s">
        <v>15</v>
      </c>
      <c r="F49" s="102" t="s">
        <v>15</v>
      </c>
      <c r="G49" s="132" t="s">
        <v>16</v>
      </c>
      <c r="H49" s="109">
        <v>200</v>
      </c>
      <c r="I49" s="109">
        <v>200</v>
      </c>
      <c r="J49" s="109"/>
      <c r="K49" s="109"/>
      <c r="L49" s="105">
        <v>20201118</v>
      </c>
    </row>
    <row r="50" ht="16" customHeight="1" spans="1:12">
      <c r="A50" s="109">
        <v>48</v>
      </c>
      <c r="B50" s="109" t="s">
        <v>9954</v>
      </c>
      <c r="C50" s="60" t="s">
        <v>10048</v>
      </c>
      <c r="D50" s="60" t="s">
        <v>10049</v>
      </c>
      <c r="E50" s="102" t="s">
        <v>15</v>
      </c>
      <c r="F50" s="102" t="s">
        <v>15</v>
      </c>
      <c r="G50" s="132" t="s">
        <v>16</v>
      </c>
      <c r="H50" s="109">
        <v>200</v>
      </c>
      <c r="I50" s="109">
        <v>200</v>
      </c>
      <c r="J50" s="109"/>
      <c r="K50" s="109"/>
      <c r="L50" s="105">
        <v>20201118</v>
      </c>
    </row>
    <row r="51" ht="16" customHeight="1" spans="1:12">
      <c r="A51" s="109">
        <v>49</v>
      </c>
      <c r="B51" s="109" t="s">
        <v>9954</v>
      </c>
      <c r="C51" s="60" t="s">
        <v>10050</v>
      </c>
      <c r="D51" s="60" t="s">
        <v>10051</v>
      </c>
      <c r="E51" s="102" t="s">
        <v>15</v>
      </c>
      <c r="F51" s="102" t="s">
        <v>15</v>
      </c>
      <c r="G51" s="132" t="s">
        <v>16</v>
      </c>
      <c r="H51" s="109">
        <v>200</v>
      </c>
      <c r="I51" s="109">
        <v>200</v>
      </c>
      <c r="J51" s="109"/>
      <c r="K51" s="109"/>
      <c r="L51" s="105">
        <v>20201118</v>
      </c>
    </row>
    <row r="52" ht="16" customHeight="1" spans="1:12">
      <c r="A52" s="109">
        <v>50</v>
      </c>
      <c r="B52" s="109" t="s">
        <v>9954</v>
      </c>
      <c r="C52" s="60" t="s">
        <v>10052</v>
      </c>
      <c r="D52" s="60" t="s">
        <v>10053</v>
      </c>
      <c r="E52" s="102" t="s">
        <v>15</v>
      </c>
      <c r="F52" s="102" t="s">
        <v>15</v>
      </c>
      <c r="G52" s="132" t="s">
        <v>16</v>
      </c>
      <c r="H52" s="109">
        <v>200</v>
      </c>
      <c r="I52" s="109">
        <v>200</v>
      </c>
      <c r="J52" s="109" t="s">
        <v>108</v>
      </c>
      <c r="K52" s="109"/>
      <c r="L52" s="105">
        <v>20201118</v>
      </c>
    </row>
    <row r="53" ht="16" customHeight="1" spans="1:12">
      <c r="A53" s="109">
        <v>51</v>
      </c>
      <c r="B53" s="109" t="s">
        <v>9954</v>
      </c>
      <c r="C53" s="60" t="s">
        <v>10054</v>
      </c>
      <c r="D53" s="60" t="s">
        <v>10055</v>
      </c>
      <c r="E53" s="102" t="s">
        <v>15</v>
      </c>
      <c r="F53" s="102" t="s">
        <v>15</v>
      </c>
      <c r="G53" s="132" t="s">
        <v>16</v>
      </c>
      <c r="H53" s="109">
        <v>200</v>
      </c>
      <c r="I53" s="109">
        <v>200</v>
      </c>
      <c r="J53" s="109"/>
      <c r="K53" s="109"/>
      <c r="L53" s="105">
        <v>20201118</v>
      </c>
    </row>
    <row r="54" ht="16" customHeight="1" spans="1:12">
      <c r="A54" s="109">
        <v>52</v>
      </c>
      <c r="B54" s="109" t="s">
        <v>9954</v>
      </c>
      <c r="C54" s="60" t="s">
        <v>10056</v>
      </c>
      <c r="D54" s="60" t="s">
        <v>10057</v>
      </c>
      <c r="E54" s="102" t="s">
        <v>15</v>
      </c>
      <c r="F54" s="102" t="s">
        <v>15</v>
      </c>
      <c r="G54" s="132" t="s">
        <v>16</v>
      </c>
      <c r="H54" s="109">
        <v>200</v>
      </c>
      <c r="I54" s="109">
        <v>200</v>
      </c>
      <c r="J54" s="109"/>
      <c r="K54" s="109"/>
      <c r="L54" s="105">
        <v>20201118</v>
      </c>
    </row>
    <row r="55" ht="16" customHeight="1" spans="1:12">
      <c r="A55" s="109">
        <v>53</v>
      </c>
      <c r="B55" s="109" t="s">
        <v>9954</v>
      </c>
      <c r="C55" s="60" t="s">
        <v>10058</v>
      </c>
      <c r="D55" s="60" t="s">
        <v>10059</v>
      </c>
      <c r="E55" s="102" t="s">
        <v>15</v>
      </c>
      <c r="F55" s="102" t="s">
        <v>15</v>
      </c>
      <c r="G55" s="132" t="s">
        <v>16</v>
      </c>
      <c r="H55" s="109">
        <v>200</v>
      </c>
      <c r="I55" s="109">
        <v>200</v>
      </c>
      <c r="J55" s="109"/>
      <c r="K55" s="109"/>
      <c r="L55" s="105">
        <v>20201118</v>
      </c>
    </row>
    <row r="56" ht="16" customHeight="1" spans="1:12">
      <c r="A56" s="109">
        <v>54</v>
      </c>
      <c r="B56" s="109" t="s">
        <v>9954</v>
      </c>
      <c r="C56" s="53" t="s">
        <v>10060</v>
      </c>
      <c r="D56" s="53" t="s">
        <v>10061</v>
      </c>
      <c r="E56" s="102" t="s">
        <v>15</v>
      </c>
      <c r="F56" s="102" t="s">
        <v>15</v>
      </c>
      <c r="G56" s="132" t="s">
        <v>16</v>
      </c>
      <c r="H56" s="109">
        <v>200</v>
      </c>
      <c r="I56" s="109">
        <v>200</v>
      </c>
      <c r="J56" s="109"/>
      <c r="K56" s="109"/>
      <c r="L56" s="105">
        <v>20201118</v>
      </c>
    </row>
    <row r="57" ht="16" customHeight="1" spans="1:12">
      <c r="A57" s="109">
        <v>55</v>
      </c>
      <c r="B57" s="109" t="s">
        <v>9954</v>
      </c>
      <c r="C57" s="53" t="s">
        <v>10062</v>
      </c>
      <c r="D57" s="53" t="s">
        <v>10063</v>
      </c>
      <c r="E57" s="102" t="s">
        <v>15</v>
      </c>
      <c r="F57" s="102" t="s">
        <v>15</v>
      </c>
      <c r="G57" s="132" t="s">
        <v>16</v>
      </c>
      <c r="H57" s="109">
        <v>200</v>
      </c>
      <c r="I57" s="109">
        <v>200</v>
      </c>
      <c r="J57" s="109"/>
      <c r="K57" s="109"/>
      <c r="L57" s="105">
        <v>20201118</v>
      </c>
    </row>
    <row r="58" ht="16" customHeight="1" spans="1:12">
      <c r="A58" s="109">
        <v>56</v>
      </c>
      <c r="B58" s="109" t="s">
        <v>9954</v>
      </c>
      <c r="C58" s="3" t="s">
        <v>10064</v>
      </c>
      <c r="D58" s="3" t="s">
        <v>10065</v>
      </c>
      <c r="E58" s="102" t="s">
        <v>15</v>
      </c>
      <c r="F58" s="102" t="s">
        <v>15</v>
      </c>
      <c r="G58" s="132" t="s">
        <v>16</v>
      </c>
      <c r="H58" s="109">
        <v>500</v>
      </c>
      <c r="I58" s="109">
        <v>500</v>
      </c>
      <c r="J58" s="109"/>
      <c r="K58" s="109"/>
      <c r="L58" s="105">
        <v>20201118</v>
      </c>
    </row>
    <row r="59" ht="16" customHeight="1" spans="1:12">
      <c r="A59" s="109">
        <v>57</v>
      </c>
      <c r="B59" s="109" t="s">
        <v>9954</v>
      </c>
      <c r="C59" s="60" t="s">
        <v>10066</v>
      </c>
      <c r="D59" s="60" t="s">
        <v>10067</v>
      </c>
      <c r="E59" s="102" t="s">
        <v>15</v>
      </c>
      <c r="F59" s="102" t="s">
        <v>15</v>
      </c>
      <c r="G59" s="132" t="s">
        <v>16</v>
      </c>
      <c r="H59" s="109">
        <v>1000</v>
      </c>
      <c r="I59" s="109">
        <v>1000</v>
      </c>
      <c r="J59" s="109"/>
      <c r="K59" s="109"/>
      <c r="L59" s="105">
        <v>20201118</v>
      </c>
    </row>
    <row r="60" ht="16" customHeight="1" spans="1:12">
      <c r="A60" s="109">
        <v>58</v>
      </c>
      <c r="B60" s="109" t="s">
        <v>9954</v>
      </c>
      <c r="C60" s="60" t="s">
        <v>10068</v>
      </c>
      <c r="D60" s="60" t="s">
        <v>10069</v>
      </c>
      <c r="E60" s="102" t="s">
        <v>15</v>
      </c>
      <c r="F60" s="102" t="s">
        <v>15</v>
      </c>
      <c r="G60" s="132" t="s">
        <v>16</v>
      </c>
      <c r="H60" s="109">
        <v>1000</v>
      </c>
      <c r="I60" s="109">
        <v>1000</v>
      </c>
      <c r="J60" s="109"/>
      <c r="K60" s="109"/>
      <c r="L60" s="105">
        <v>20201118</v>
      </c>
    </row>
    <row r="61" s="98" customFormat="1" ht="16" customHeight="1" spans="1:12">
      <c r="A61" s="6">
        <v>59</v>
      </c>
      <c r="B61" s="6" t="s">
        <v>9954</v>
      </c>
      <c r="C61" s="60" t="s">
        <v>10070</v>
      </c>
      <c r="D61" s="60" t="s">
        <v>10071</v>
      </c>
      <c r="E61" s="5" t="s">
        <v>15</v>
      </c>
      <c r="F61" s="5" t="s">
        <v>15</v>
      </c>
      <c r="G61" s="14" t="s">
        <v>16</v>
      </c>
      <c r="H61" s="6" t="s">
        <v>4178</v>
      </c>
      <c r="I61" s="6">
        <v>3000</v>
      </c>
      <c r="J61" s="6"/>
      <c r="K61" s="6"/>
      <c r="L61" s="105">
        <v>20201118</v>
      </c>
    </row>
    <row r="62" s="98" customFormat="1" ht="16" customHeight="1" spans="1:12">
      <c r="A62" s="6">
        <v>60</v>
      </c>
      <c r="B62" s="6" t="s">
        <v>9954</v>
      </c>
      <c r="C62" s="53" t="s">
        <v>10072</v>
      </c>
      <c r="D62" s="53" t="s">
        <v>10073</v>
      </c>
      <c r="E62" s="5" t="s">
        <v>15</v>
      </c>
      <c r="F62" s="5" t="s">
        <v>15</v>
      </c>
      <c r="G62" s="14" t="s">
        <v>16</v>
      </c>
      <c r="H62" s="6" t="s">
        <v>4178</v>
      </c>
      <c r="I62" s="6">
        <v>3000</v>
      </c>
      <c r="J62" s="6"/>
      <c r="K62" s="6"/>
      <c r="L62" s="105">
        <v>20201118</v>
      </c>
    </row>
    <row r="63" ht="16" customHeight="1" spans="1:12">
      <c r="A63" s="109">
        <v>61</v>
      </c>
      <c r="B63" s="109" t="s">
        <v>9954</v>
      </c>
      <c r="C63" s="60" t="s">
        <v>10074</v>
      </c>
      <c r="D63" s="60" t="s">
        <v>10075</v>
      </c>
      <c r="E63" s="102" t="s">
        <v>15</v>
      </c>
      <c r="F63" s="102" t="s">
        <v>15</v>
      </c>
      <c r="G63" s="132" t="s">
        <v>16</v>
      </c>
      <c r="H63" s="109">
        <v>1000</v>
      </c>
      <c r="I63" s="109">
        <v>1000</v>
      </c>
      <c r="J63" s="109"/>
      <c r="K63" s="109"/>
      <c r="L63" s="105">
        <v>20201118</v>
      </c>
    </row>
    <row r="64" ht="16" customHeight="1" spans="1:12">
      <c r="A64" s="109">
        <v>62</v>
      </c>
      <c r="B64" s="109" t="s">
        <v>9954</v>
      </c>
      <c r="C64" s="68" t="s">
        <v>10076</v>
      </c>
      <c r="D64" s="68" t="s">
        <v>10077</v>
      </c>
      <c r="E64" s="102" t="s">
        <v>15</v>
      </c>
      <c r="F64" s="102" t="s">
        <v>15</v>
      </c>
      <c r="G64" s="132" t="s">
        <v>16</v>
      </c>
      <c r="H64" s="109">
        <v>200</v>
      </c>
      <c r="I64" s="109">
        <v>200</v>
      </c>
      <c r="J64" s="109"/>
      <c r="K64" s="109"/>
      <c r="L64" s="105">
        <v>20201118</v>
      </c>
    </row>
    <row r="65" ht="16" customHeight="1" spans="1:12">
      <c r="A65" s="109">
        <v>63</v>
      </c>
      <c r="B65" s="109" t="s">
        <v>9954</v>
      </c>
      <c r="C65" s="60" t="s">
        <v>10078</v>
      </c>
      <c r="D65" s="60" t="s">
        <v>10079</v>
      </c>
      <c r="E65" s="102" t="s">
        <v>15</v>
      </c>
      <c r="F65" s="102" t="s">
        <v>15</v>
      </c>
      <c r="G65" s="132" t="s">
        <v>16</v>
      </c>
      <c r="H65" s="109">
        <v>200</v>
      </c>
      <c r="I65" s="109">
        <v>200</v>
      </c>
      <c r="J65" s="109"/>
      <c r="K65" s="109"/>
      <c r="L65" s="105">
        <v>20201118</v>
      </c>
    </row>
    <row r="66" ht="16" customHeight="1" spans="1:12">
      <c r="A66" s="109">
        <v>64</v>
      </c>
      <c r="B66" s="109" t="s">
        <v>9954</v>
      </c>
      <c r="C66" s="60" t="s">
        <v>10080</v>
      </c>
      <c r="D66" s="60" t="s">
        <v>10081</v>
      </c>
      <c r="E66" s="102" t="s">
        <v>15</v>
      </c>
      <c r="F66" s="102" t="s">
        <v>15</v>
      </c>
      <c r="G66" s="132" t="s">
        <v>16</v>
      </c>
      <c r="H66" s="109">
        <v>200</v>
      </c>
      <c r="I66" s="109">
        <v>200</v>
      </c>
      <c r="J66" s="109" t="s">
        <v>108</v>
      </c>
      <c r="K66" s="109"/>
      <c r="L66" s="105">
        <v>20201118</v>
      </c>
    </row>
    <row r="67" ht="16" customHeight="1" spans="1:12">
      <c r="A67" s="109">
        <v>65</v>
      </c>
      <c r="B67" s="109" t="s">
        <v>9954</v>
      </c>
      <c r="C67" s="60" t="s">
        <v>3173</v>
      </c>
      <c r="D67" s="60" t="s">
        <v>10082</v>
      </c>
      <c r="E67" s="102" t="s">
        <v>15</v>
      </c>
      <c r="F67" s="102" t="s">
        <v>15</v>
      </c>
      <c r="G67" s="132" t="s">
        <v>16</v>
      </c>
      <c r="H67" s="109">
        <v>200</v>
      </c>
      <c r="I67" s="109">
        <v>200</v>
      </c>
      <c r="J67" s="109" t="s">
        <v>108</v>
      </c>
      <c r="K67" s="109"/>
      <c r="L67" s="105">
        <v>20201118</v>
      </c>
    </row>
    <row r="68" ht="16" customHeight="1" spans="1:12">
      <c r="A68" s="109">
        <v>66</v>
      </c>
      <c r="B68" s="109" t="s">
        <v>9954</v>
      </c>
      <c r="C68" s="60" t="s">
        <v>10083</v>
      </c>
      <c r="D68" s="60" t="s">
        <v>10084</v>
      </c>
      <c r="E68" s="102" t="s">
        <v>15</v>
      </c>
      <c r="F68" s="102" t="s">
        <v>15</v>
      </c>
      <c r="G68" s="132" t="s">
        <v>16</v>
      </c>
      <c r="H68" s="109">
        <v>200</v>
      </c>
      <c r="I68" s="109">
        <v>200</v>
      </c>
      <c r="J68" s="109"/>
      <c r="K68" s="109"/>
      <c r="L68" s="105">
        <v>20201118</v>
      </c>
    </row>
    <row r="69" ht="16" customHeight="1" spans="1:12">
      <c r="A69" s="109">
        <v>67</v>
      </c>
      <c r="B69" s="109" t="s">
        <v>9954</v>
      </c>
      <c r="C69" s="60" t="s">
        <v>10085</v>
      </c>
      <c r="D69" s="60" t="s">
        <v>10086</v>
      </c>
      <c r="E69" s="102" t="s">
        <v>15</v>
      </c>
      <c r="F69" s="102" t="s">
        <v>15</v>
      </c>
      <c r="G69" s="132" t="s">
        <v>16</v>
      </c>
      <c r="H69" s="109">
        <v>200</v>
      </c>
      <c r="I69" s="109">
        <v>200</v>
      </c>
      <c r="J69" s="109"/>
      <c r="K69" s="109"/>
      <c r="L69" s="105">
        <v>20201118</v>
      </c>
    </row>
    <row r="70" ht="16" customHeight="1" spans="1:12">
      <c r="A70" s="109">
        <v>68</v>
      </c>
      <c r="B70" s="109" t="s">
        <v>9954</v>
      </c>
      <c r="C70" s="60" t="s">
        <v>10087</v>
      </c>
      <c r="D70" s="60" t="s">
        <v>10088</v>
      </c>
      <c r="E70" s="102" t="s">
        <v>15</v>
      </c>
      <c r="F70" s="102" t="s">
        <v>15</v>
      </c>
      <c r="G70" s="132" t="s">
        <v>16</v>
      </c>
      <c r="H70" s="109">
        <v>200</v>
      </c>
      <c r="I70" s="109">
        <v>200</v>
      </c>
      <c r="J70" s="109"/>
      <c r="K70" s="109"/>
      <c r="L70" s="105">
        <v>20201118</v>
      </c>
    </row>
    <row r="71" ht="16" customHeight="1" spans="1:12">
      <c r="A71" s="109">
        <v>69</v>
      </c>
      <c r="B71" s="109" t="s">
        <v>9954</v>
      </c>
      <c r="C71" s="60" t="s">
        <v>10089</v>
      </c>
      <c r="D71" s="60" t="s">
        <v>10090</v>
      </c>
      <c r="E71" s="102" t="s">
        <v>15</v>
      </c>
      <c r="F71" s="102" t="s">
        <v>15</v>
      </c>
      <c r="G71" s="132" t="s">
        <v>16</v>
      </c>
      <c r="H71" s="109">
        <v>200</v>
      </c>
      <c r="I71" s="109">
        <v>200</v>
      </c>
      <c r="J71" s="109"/>
      <c r="K71" s="109"/>
      <c r="L71" s="105">
        <v>20201118</v>
      </c>
    </row>
    <row r="72" ht="16" customHeight="1" spans="1:12">
      <c r="A72" s="109">
        <v>70</v>
      </c>
      <c r="B72" s="109" t="s">
        <v>9954</v>
      </c>
      <c r="C72" s="60" t="s">
        <v>10091</v>
      </c>
      <c r="D72" s="60" t="s">
        <v>10092</v>
      </c>
      <c r="E72" s="102" t="s">
        <v>15</v>
      </c>
      <c r="F72" s="102" t="s">
        <v>15</v>
      </c>
      <c r="G72" s="132" t="s">
        <v>16</v>
      </c>
      <c r="H72" s="109">
        <v>200</v>
      </c>
      <c r="I72" s="109">
        <v>200</v>
      </c>
      <c r="J72" s="109"/>
      <c r="K72" s="109"/>
      <c r="L72" s="105">
        <v>20201118</v>
      </c>
    </row>
    <row r="73" ht="16" customHeight="1" spans="1:12">
      <c r="A73" s="109">
        <v>71</v>
      </c>
      <c r="B73" s="109" t="s">
        <v>9954</v>
      </c>
      <c r="C73" s="60" t="s">
        <v>10093</v>
      </c>
      <c r="D73" s="60" t="s">
        <v>10094</v>
      </c>
      <c r="E73" s="102" t="s">
        <v>15</v>
      </c>
      <c r="F73" s="102" t="s">
        <v>15</v>
      </c>
      <c r="G73" s="132" t="s">
        <v>16</v>
      </c>
      <c r="H73" s="109">
        <v>1000</v>
      </c>
      <c r="I73" s="109">
        <v>1000</v>
      </c>
      <c r="J73" s="109"/>
      <c r="K73" s="109"/>
      <c r="L73" s="105">
        <v>20201118</v>
      </c>
    </row>
    <row r="74" ht="16" customHeight="1" spans="1:12">
      <c r="A74" s="109">
        <v>72</v>
      </c>
      <c r="B74" s="109" t="s">
        <v>9954</v>
      </c>
      <c r="C74" s="60" t="s">
        <v>10095</v>
      </c>
      <c r="D74" s="60" t="s">
        <v>10096</v>
      </c>
      <c r="E74" s="102" t="s">
        <v>15</v>
      </c>
      <c r="F74" s="102" t="s">
        <v>15</v>
      </c>
      <c r="G74" s="132" t="s">
        <v>16</v>
      </c>
      <c r="H74" s="109">
        <v>1000</v>
      </c>
      <c r="I74" s="109">
        <v>1000</v>
      </c>
      <c r="J74" s="109"/>
      <c r="K74" s="109"/>
      <c r="L74" s="105">
        <v>20201118</v>
      </c>
    </row>
    <row r="75" ht="16" customHeight="1" spans="1:12">
      <c r="A75" s="109">
        <v>73</v>
      </c>
      <c r="B75" s="109" t="s">
        <v>9954</v>
      </c>
      <c r="C75" s="60" t="s">
        <v>10097</v>
      </c>
      <c r="D75" s="60" t="s">
        <v>10098</v>
      </c>
      <c r="E75" s="102" t="s">
        <v>15</v>
      </c>
      <c r="F75" s="102" t="s">
        <v>15</v>
      </c>
      <c r="G75" s="132" t="s">
        <v>16</v>
      </c>
      <c r="H75" s="109">
        <v>200</v>
      </c>
      <c r="I75" s="109">
        <v>200</v>
      </c>
      <c r="J75" s="109"/>
      <c r="K75" s="109"/>
      <c r="L75" s="105">
        <v>20201118</v>
      </c>
    </row>
    <row r="76" ht="16" customHeight="1" spans="1:12">
      <c r="A76" s="109">
        <v>74</v>
      </c>
      <c r="B76" s="109" t="s">
        <v>9954</v>
      </c>
      <c r="C76" s="60" t="s">
        <v>10099</v>
      </c>
      <c r="D76" s="60" t="s">
        <v>10100</v>
      </c>
      <c r="E76" s="102" t="s">
        <v>15</v>
      </c>
      <c r="F76" s="102" t="s">
        <v>15</v>
      </c>
      <c r="G76" s="132" t="s">
        <v>16</v>
      </c>
      <c r="H76" s="109">
        <v>200</v>
      </c>
      <c r="I76" s="109">
        <v>200</v>
      </c>
      <c r="J76" s="109"/>
      <c r="K76" s="109"/>
      <c r="L76" s="105">
        <v>20201118</v>
      </c>
    </row>
    <row r="77" ht="16" customHeight="1" spans="1:12">
      <c r="A77" s="109">
        <v>75</v>
      </c>
      <c r="B77" s="109" t="s">
        <v>9954</v>
      </c>
      <c r="C77" s="60" t="s">
        <v>10101</v>
      </c>
      <c r="D77" s="60" t="s">
        <v>10102</v>
      </c>
      <c r="E77" s="102" t="s">
        <v>15</v>
      </c>
      <c r="F77" s="102" t="s">
        <v>15</v>
      </c>
      <c r="G77" s="132" t="s">
        <v>16</v>
      </c>
      <c r="H77" s="109">
        <v>200</v>
      </c>
      <c r="I77" s="109">
        <v>200</v>
      </c>
      <c r="J77" s="109" t="s">
        <v>108</v>
      </c>
      <c r="K77" s="109"/>
      <c r="L77" s="105">
        <v>20201118</v>
      </c>
    </row>
    <row r="78" ht="16" customHeight="1" spans="1:12">
      <c r="A78" s="109">
        <v>76</v>
      </c>
      <c r="B78" s="109" t="s">
        <v>9954</v>
      </c>
      <c r="C78" s="60" t="s">
        <v>10103</v>
      </c>
      <c r="D78" s="60" t="s">
        <v>10104</v>
      </c>
      <c r="E78" s="102" t="s">
        <v>15</v>
      </c>
      <c r="F78" s="102" t="s">
        <v>15</v>
      </c>
      <c r="G78" s="132" t="s">
        <v>16</v>
      </c>
      <c r="H78" s="109">
        <v>200</v>
      </c>
      <c r="I78" s="109">
        <v>200</v>
      </c>
      <c r="J78" s="109" t="s">
        <v>108</v>
      </c>
      <c r="K78" s="109"/>
      <c r="L78" s="105">
        <v>20201118</v>
      </c>
    </row>
    <row r="79" ht="16" customHeight="1" spans="1:12">
      <c r="A79" s="109">
        <v>77</v>
      </c>
      <c r="B79" s="109" t="s">
        <v>9954</v>
      </c>
      <c r="C79" s="3" t="s">
        <v>10105</v>
      </c>
      <c r="D79" s="3" t="s">
        <v>10106</v>
      </c>
      <c r="E79" s="102" t="s">
        <v>15</v>
      </c>
      <c r="F79" s="102" t="s">
        <v>15</v>
      </c>
      <c r="G79" s="132" t="s">
        <v>16</v>
      </c>
      <c r="H79" s="109">
        <v>200</v>
      </c>
      <c r="I79" s="109">
        <v>200</v>
      </c>
      <c r="J79" s="109"/>
      <c r="K79" s="109"/>
      <c r="L79" s="105">
        <v>20201118</v>
      </c>
    </row>
    <row r="80" ht="16" customHeight="1" spans="1:12">
      <c r="A80" s="109">
        <v>78</v>
      </c>
      <c r="B80" s="109" t="s">
        <v>9954</v>
      </c>
      <c r="C80" s="3" t="s">
        <v>10107</v>
      </c>
      <c r="D80" s="3" t="s">
        <v>10108</v>
      </c>
      <c r="E80" s="102" t="s">
        <v>15</v>
      </c>
      <c r="F80" s="102" t="s">
        <v>15</v>
      </c>
      <c r="G80" s="132" t="s">
        <v>16</v>
      </c>
      <c r="H80" s="109">
        <v>200</v>
      </c>
      <c r="I80" s="109">
        <v>200</v>
      </c>
      <c r="J80" s="109"/>
      <c r="K80" s="109"/>
      <c r="L80" s="105">
        <v>20201118</v>
      </c>
    </row>
    <row r="81" ht="16" customHeight="1" spans="1:12">
      <c r="A81" s="109">
        <v>79</v>
      </c>
      <c r="B81" s="109" t="s">
        <v>9954</v>
      </c>
      <c r="C81" s="32" t="s">
        <v>10109</v>
      </c>
      <c r="D81" s="304" t="s">
        <v>10110</v>
      </c>
      <c r="E81" s="102" t="s">
        <v>15</v>
      </c>
      <c r="F81" s="102" t="s">
        <v>15</v>
      </c>
      <c r="G81" s="132" t="s">
        <v>16</v>
      </c>
      <c r="H81" s="109">
        <v>200</v>
      </c>
      <c r="I81" s="109">
        <v>200</v>
      </c>
      <c r="J81" s="109"/>
      <c r="K81" s="109"/>
      <c r="L81" s="105">
        <v>20201118</v>
      </c>
    </row>
    <row r="82" ht="16" customHeight="1" spans="1:12">
      <c r="A82" s="109">
        <v>80</v>
      </c>
      <c r="B82" s="109" t="s">
        <v>9954</v>
      </c>
      <c r="C82" s="32" t="s">
        <v>10111</v>
      </c>
      <c r="D82" s="32" t="s">
        <v>10112</v>
      </c>
      <c r="E82" s="102" t="s">
        <v>15</v>
      </c>
      <c r="F82" s="102" t="s">
        <v>15</v>
      </c>
      <c r="G82" s="132" t="s">
        <v>16</v>
      </c>
      <c r="H82" s="109">
        <v>200</v>
      </c>
      <c r="I82" s="109">
        <v>200</v>
      </c>
      <c r="J82" s="109"/>
      <c r="K82" s="109"/>
      <c r="L82" s="105">
        <v>20201118</v>
      </c>
    </row>
    <row r="83" ht="16" customHeight="1" spans="1:12">
      <c r="A83" s="109">
        <v>81</v>
      </c>
      <c r="B83" s="109" t="s">
        <v>9954</v>
      </c>
      <c r="C83" s="60" t="s">
        <v>10113</v>
      </c>
      <c r="D83" s="60" t="s">
        <v>10114</v>
      </c>
      <c r="E83" s="102" t="s">
        <v>15</v>
      </c>
      <c r="F83" s="102" t="s">
        <v>15</v>
      </c>
      <c r="G83" s="132" t="s">
        <v>16</v>
      </c>
      <c r="H83" s="109">
        <v>200</v>
      </c>
      <c r="I83" s="109">
        <v>200</v>
      </c>
      <c r="J83" s="109"/>
      <c r="K83" s="109"/>
      <c r="L83" s="105">
        <v>20201118</v>
      </c>
    </row>
    <row r="84" ht="16" customHeight="1" spans="1:12">
      <c r="A84" s="109">
        <v>82</v>
      </c>
      <c r="B84" s="109" t="s">
        <v>9954</v>
      </c>
      <c r="C84" s="60" t="s">
        <v>10115</v>
      </c>
      <c r="D84" s="60" t="s">
        <v>10116</v>
      </c>
      <c r="E84" s="102" t="s">
        <v>15</v>
      </c>
      <c r="F84" s="102" t="s">
        <v>15</v>
      </c>
      <c r="G84" s="132" t="s">
        <v>16</v>
      </c>
      <c r="H84" s="109">
        <v>200</v>
      </c>
      <c r="I84" s="109">
        <v>200</v>
      </c>
      <c r="J84" s="109"/>
      <c r="K84" s="109"/>
      <c r="L84" s="105">
        <v>20201118</v>
      </c>
    </row>
    <row r="85" ht="16" customHeight="1" spans="1:12">
      <c r="A85" s="109">
        <v>83</v>
      </c>
      <c r="B85" s="109" t="s">
        <v>9954</v>
      </c>
      <c r="C85" s="60" t="s">
        <v>9027</v>
      </c>
      <c r="D85" s="60" t="s">
        <v>10117</v>
      </c>
      <c r="E85" s="102" t="s">
        <v>15</v>
      </c>
      <c r="F85" s="102" t="s">
        <v>15</v>
      </c>
      <c r="G85" s="132" t="s">
        <v>16</v>
      </c>
      <c r="H85" s="109">
        <v>200</v>
      </c>
      <c r="I85" s="109">
        <v>200</v>
      </c>
      <c r="J85" s="109"/>
      <c r="K85" s="109"/>
      <c r="L85" s="105">
        <v>20201118</v>
      </c>
    </row>
    <row r="86" ht="16" customHeight="1" spans="1:12">
      <c r="A86" s="109">
        <v>84</v>
      </c>
      <c r="B86" s="109" t="s">
        <v>9954</v>
      </c>
      <c r="C86" s="60" t="s">
        <v>10118</v>
      </c>
      <c r="D86" s="60" t="s">
        <v>10119</v>
      </c>
      <c r="E86" s="102" t="s">
        <v>15</v>
      </c>
      <c r="F86" s="102" t="s">
        <v>15</v>
      </c>
      <c r="G86" s="132" t="s">
        <v>16</v>
      </c>
      <c r="H86" s="109">
        <v>200</v>
      </c>
      <c r="I86" s="109">
        <v>200</v>
      </c>
      <c r="J86" s="109"/>
      <c r="K86" s="109"/>
      <c r="L86" s="105">
        <v>20201118</v>
      </c>
    </row>
    <row r="87" ht="16" customHeight="1" spans="1:12">
      <c r="A87" s="109">
        <v>85</v>
      </c>
      <c r="B87" s="109" t="s">
        <v>9954</v>
      </c>
      <c r="C87" s="60" t="s">
        <v>10120</v>
      </c>
      <c r="D87" s="60" t="s">
        <v>10121</v>
      </c>
      <c r="E87" s="102" t="s">
        <v>15</v>
      </c>
      <c r="F87" s="102" t="s">
        <v>15</v>
      </c>
      <c r="G87" s="132" t="s">
        <v>16</v>
      </c>
      <c r="H87" s="109">
        <v>200</v>
      </c>
      <c r="I87" s="109">
        <v>200</v>
      </c>
      <c r="J87" s="109"/>
      <c r="K87" s="109"/>
      <c r="L87" s="105">
        <v>20201118</v>
      </c>
    </row>
    <row r="88" ht="16" customHeight="1" spans="1:12">
      <c r="A88" s="109">
        <v>86</v>
      </c>
      <c r="B88" s="109" t="s">
        <v>9954</v>
      </c>
      <c r="C88" s="60" t="s">
        <v>10122</v>
      </c>
      <c r="D88" s="60" t="s">
        <v>10123</v>
      </c>
      <c r="E88" s="102" t="s">
        <v>15</v>
      </c>
      <c r="F88" s="102" t="s">
        <v>15</v>
      </c>
      <c r="G88" s="132" t="s">
        <v>16</v>
      </c>
      <c r="H88" s="109">
        <v>500</v>
      </c>
      <c r="I88" s="109">
        <v>500</v>
      </c>
      <c r="J88" s="109"/>
      <c r="K88" s="109"/>
      <c r="L88" s="105">
        <v>20201118</v>
      </c>
    </row>
    <row r="89" ht="16" customHeight="1" spans="1:12">
      <c r="A89" s="109">
        <v>87</v>
      </c>
      <c r="B89" s="109" t="s">
        <v>9954</v>
      </c>
      <c r="C89" s="60" t="s">
        <v>10124</v>
      </c>
      <c r="D89" s="60" t="s">
        <v>10125</v>
      </c>
      <c r="E89" s="102" t="s">
        <v>15</v>
      </c>
      <c r="F89" s="102" t="s">
        <v>15</v>
      </c>
      <c r="G89" s="132" t="s">
        <v>16</v>
      </c>
      <c r="H89" s="109">
        <v>500</v>
      </c>
      <c r="I89" s="109">
        <v>500</v>
      </c>
      <c r="J89" s="109"/>
      <c r="K89" s="109"/>
      <c r="L89" s="105">
        <v>20201118</v>
      </c>
    </row>
    <row r="90" ht="16" customHeight="1" spans="1:12">
      <c r="A90" s="109">
        <v>88</v>
      </c>
      <c r="B90" s="109" t="s">
        <v>9954</v>
      </c>
      <c r="C90" s="60" t="s">
        <v>10126</v>
      </c>
      <c r="D90" s="60" t="s">
        <v>10127</v>
      </c>
      <c r="E90" s="102" t="s">
        <v>15</v>
      </c>
      <c r="F90" s="102" t="s">
        <v>15</v>
      </c>
      <c r="G90" s="132" t="s">
        <v>16</v>
      </c>
      <c r="H90" s="109">
        <v>200</v>
      </c>
      <c r="I90" s="109">
        <v>200</v>
      </c>
      <c r="J90" s="109"/>
      <c r="K90" s="109"/>
      <c r="L90" s="105">
        <v>20201118</v>
      </c>
    </row>
    <row r="91" ht="16" customHeight="1" spans="1:12">
      <c r="A91" s="109">
        <v>89</v>
      </c>
      <c r="B91" s="109" t="s">
        <v>9954</v>
      </c>
      <c r="C91" s="60" t="s">
        <v>10128</v>
      </c>
      <c r="D91" s="60" t="s">
        <v>10129</v>
      </c>
      <c r="E91" s="102" t="s">
        <v>15</v>
      </c>
      <c r="F91" s="102" t="s">
        <v>15</v>
      </c>
      <c r="G91" s="132" t="s">
        <v>16</v>
      </c>
      <c r="H91" s="109">
        <v>200</v>
      </c>
      <c r="I91" s="109">
        <v>200</v>
      </c>
      <c r="J91" s="109"/>
      <c r="K91" s="109"/>
      <c r="L91" s="105">
        <v>20201118</v>
      </c>
    </row>
    <row r="92" ht="16" customHeight="1" spans="1:12">
      <c r="A92" s="109">
        <v>90</v>
      </c>
      <c r="B92" s="109" t="s">
        <v>9954</v>
      </c>
      <c r="C92" s="68" t="s">
        <v>10130</v>
      </c>
      <c r="D92" s="68" t="s">
        <v>10131</v>
      </c>
      <c r="E92" s="102" t="s">
        <v>15</v>
      </c>
      <c r="F92" s="102" t="s">
        <v>15</v>
      </c>
      <c r="G92" s="132" t="s">
        <v>16</v>
      </c>
      <c r="H92" s="109">
        <v>200</v>
      </c>
      <c r="I92" s="109">
        <v>200</v>
      </c>
      <c r="J92" s="109"/>
      <c r="K92" s="109"/>
      <c r="L92" s="105">
        <v>20201118</v>
      </c>
    </row>
    <row r="93" ht="16" customHeight="1" spans="1:12">
      <c r="A93" s="109">
        <v>91</v>
      </c>
      <c r="B93" s="109" t="s">
        <v>9954</v>
      </c>
      <c r="C93" s="60" t="s">
        <v>10132</v>
      </c>
      <c r="D93" s="60" t="s">
        <v>10133</v>
      </c>
      <c r="E93" s="102" t="s">
        <v>15</v>
      </c>
      <c r="F93" s="102" t="s">
        <v>15</v>
      </c>
      <c r="G93" s="132" t="s">
        <v>16</v>
      </c>
      <c r="H93" s="109">
        <v>200</v>
      </c>
      <c r="I93" s="109">
        <v>200</v>
      </c>
      <c r="J93" s="109"/>
      <c r="K93" s="109"/>
      <c r="L93" s="105">
        <v>20201118</v>
      </c>
    </row>
    <row r="94" ht="16" customHeight="1" spans="1:12">
      <c r="A94" s="109">
        <v>92</v>
      </c>
      <c r="B94" s="109" t="s">
        <v>9954</v>
      </c>
      <c r="C94" s="60" t="s">
        <v>10134</v>
      </c>
      <c r="D94" s="60" t="s">
        <v>10135</v>
      </c>
      <c r="E94" s="102" t="s">
        <v>15</v>
      </c>
      <c r="F94" s="102" t="s">
        <v>15</v>
      </c>
      <c r="G94" s="132" t="s">
        <v>16</v>
      </c>
      <c r="H94" s="109">
        <v>200</v>
      </c>
      <c r="I94" s="109">
        <v>200</v>
      </c>
      <c r="J94" s="109"/>
      <c r="K94" s="109"/>
      <c r="L94" s="105">
        <v>20201118</v>
      </c>
    </row>
    <row r="95" ht="16" customHeight="1" spans="1:12">
      <c r="A95" s="109">
        <v>93</v>
      </c>
      <c r="B95" s="109" t="s">
        <v>9954</v>
      </c>
      <c r="C95" s="60" t="s">
        <v>10136</v>
      </c>
      <c r="D95" s="60" t="s">
        <v>10137</v>
      </c>
      <c r="E95" s="102" t="s">
        <v>15</v>
      </c>
      <c r="F95" s="102" t="s">
        <v>15</v>
      </c>
      <c r="G95" s="132" t="s">
        <v>16</v>
      </c>
      <c r="H95" s="109">
        <v>200</v>
      </c>
      <c r="I95" s="109">
        <v>200</v>
      </c>
      <c r="J95" s="109"/>
      <c r="K95" s="109"/>
      <c r="L95" s="105">
        <v>20201118</v>
      </c>
    </row>
    <row r="96" ht="16" customHeight="1" spans="1:12">
      <c r="A96" s="109">
        <v>94</v>
      </c>
      <c r="B96" s="109" t="s">
        <v>9954</v>
      </c>
      <c r="C96" s="60" t="s">
        <v>10138</v>
      </c>
      <c r="D96" s="60" t="s">
        <v>10139</v>
      </c>
      <c r="E96" s="102" t="s">
        <v>15</v>
      </c>
      <c r="F96" s="102" t="s">
        <v>15</v>
      </c>
      <c r="G96" s="132" t="s">
        <v>16</v>
      </c>
      <c r="H96" s="109">
        <v>200</v>
      </c>
      <c r="I96" s="109">
        <v>200</v>
      </c>
      <c r="J96" s="109"/>
      <c r="K96" s="109"/>
      <c r="L96" s="105">
        <v>20201118</v>
      </c>
    </row>
    <row r="97" ht="16" customHeight="1" spans="1:12">
      <c r="A97" s="109">
        <v>95</v>
      </c>
      <c r="B97" s="109" t="s">
        <v>9954</v>
      </c>
      <c r="C97" s="60" t="s">
        <v>10140</v>
      </c>
      <c r="D97" s="60" t="s">
        <v>10141</v>
      </c>
      <c r="E97" s="102" t="s">
        <v>15</v>
      </c>
      <c r="F97" s="102" t="s">
        <v>15</v>
      </c>
      <c r="G97" s="132" t="s">
        <v>16</v>
      </c>
      <c r="H97" s="109">
        <v>500</v>
      </c>
      <c r="I97" s="109">
        <v>500</v>
      </c>
      <c r="J97" s="109"/>
      <c r="K97" s="109"/>
      <c r="L97" s="105">
        <v>20201118</v>
      </c>
    </row>
    <row r="98" ht="16" customHeight="1" spans="1:12">
      <c r="A98" s="109">
        <v>96</v>
      </c>
      <c r="B98" s="109" t="s">
        <v>9954</v>
      </c>
      <c r="C98" s="6" t="s">
        <v>10142</v>
      </c>
      <c r="D98" s="6" t="s">
        <v>10143</v>
      </c>
      <c r="E98" s="102" t="s">
        <v>15</v>
      </c>
      <c r="F98" s="102" t="s">
        <v>15</v>
      </c>
      <c r="G98" s="132" t="s">
        <v>16</v>
      </c>
      <c r="H98" s="109">
        <v>1000</v>
      </c>
      <c r="I98" s="109">
        <v>1000</v>
      </c>
      <c r="J98" s="109"/>
      <c r="K98" s="109"/>
      <c r="L98" s="105">
        <v>20201118</v>
      </c>
    </row>
    <row r="99" ht="16" customHeight="1" spans="1:12">
      <c r="A99" s="109">
        <v>97</v>
      </c>
      <c r="B99" s="109" t="s">
        <v>9954</v>
      </c>
      <c r="C99" s="32" t="s">
        <v>10144</v>
      </c>
      <c r="D99" s="32" t="s">
        <v>10145</v>
      </c>
      <c r="E99" s="102" t="s">
        <v>15</v>
      </c>
      <c r="F99" s="102" t="s">
        <v>15</v>
      </c>
      <c r="G99" s="132" t="s">
        <v>16</v>
      </c>
      <c r="H99" s="109">
        <v>200</v>
      </c>
      <c r="I99" s="109">
        <v>200</v>
      </c>
      <c r="J99" s="109"/>
      <c r="K99" s="109"/>
      <c r="L99" s="105">
        <v>20201118</v>
      </c>
    </row>
    <row r="100" ht="16" customHeight="1" spans="1:12">
      <c r="A100" s="109">
        <v>98</v>
      </c>
      <c r="B100" s="109" t="s">
        <v>9954</v>
      </c>
      <c r="C100" s="32" t="s">
        <v>8695</v>
      </c>
      <c r="D100" s="304" t="s">
        <v>10146</v>
      </c>
      <c r="E100" s="102" t="s">
        <v>15</v>
      </c>
      <c r="F100" s="102" t="s">
        <v>15</v>
      </c>
      <c r="G100" s="132" t="s">
        <v>16</v>
      </c>
      <c r="H100" s="109">
        <v>200</v>
      </c>
      <c r="I100" s="109">
        <v>200</v>
      </c>
      <c r="J100" s="109"/>
      <c r="K100" s="109"/>
      <c r="L100" s="105">
        <v>20201118</v>
      </c>
    </row>
    <row r="101" ht="16" customHeight="1" spans="1:12">
      <c r="A101" s="109">
        <v>99</v>
      </c>
      <c r="B101" s="109" t="s">
        <v>9954</v>
      </c>
      <c r="C101" s="32" t="s">
        <v>8653</v>
      </c>
      <c r="D101" s="305" t="s">
        <v>10147</v>
      </c>
      <c r="E101" s="102" t="s">
        <v>15</v>
      </c>
      <c r="F101" s="102" t="s">
        <v>15</v>
      </c>
      <c r="G101" s="132" t="s">
        <v>16</v>
      </c>
      <c r="H101" s="109">
        <v>500</v>
      </c>
      <c r="I101" s="109">
        <v>500</v>
      </c>
      <c r="J101" s="109"/>
      <c r="K101" s="109"/>
      <c r="L101" s="105">
        <v>20201118</v>
      </c>
    </row>
    <row r="102" ht="16" customHeight="1" spans="1:12">
      <c r="A102" s="109">
        <v>100</v>
      </c>
      <c r="B102" s="109" t="s">
        <v>9954</v>
      </c>
      <c r="C102" s="60" t="s">
        <v>10148</v>
      </c>
      <c r="D102" s="60" t="s">
        <v>10149</v>
      </c>
      <c r="E102" s="102" t="s">
        <v>15</v>
      </c>
      <c r="F102" s="102" t="s">
        <v>15</v>
      </c>
      <c r="G102" s="132" t="s">
        <v>16</v>
      </c>
      <c r="H102" s="109">
        <v>200</v>
      </c>
      <c r="I102" s="109">
        <v>200</v>
      </c>
      <c r="J102" s="109"/>
      <c r="K102" s="109"/>
      <c r="L102" s="105">
        <v>20201118</v>
      </c>
    </row>
    <row r="103" ht="16" customHeight="1" spans="1:12">
      <c r="A103" s="109">
        <v>101</v>
      </c>
      <c r="B103" s="109" t="s">
        <v>9954</v>
      </c>
      <c r="C103" s="60" t="s">
        <v>10150</v>
      </c>
      <c r="D103" s="60" t="s">
        <v>10151</v>
      </c>
      <c r="E103" s="102" t="s">
        <v>15</v>
      </c>
      <c r="F103" s="102" t="s">
        <v>15</v>
      </c>
      <c r="G103" s="132" t="s">
        <v>16</v>
      </c>
      <c r="H103" s="109">
        <v>200</v>
      </c>
      <c r="I103" s="109">
        <v>200</v>
      </c>
      <c r="J103" s="109"/>
      <c r="K103" s="109"/>
      <c r="L103" s="105">
        <v>20201118</v>
      </c>
    </row>
    <row r="104" ht="16" customHeight="1" spans="1:12">
      <c r="A104" s="109">
        <v>102</v>
      </c>
      <c r="B104" s="109" t="s">
        <v>9954</v>
      </c>
      <c r="C104" s="60" t="s">
        <v>10152</v>
      </c>
      <c r="D104" s="60" t="s">
        <v>10153</v>
      </c>
      <c r="E104" s="102" t="s">
        <v>15</v>
      </c>
      <c r="F104" s="102" t="s">
        <v>15</v>
      </c>
      <c r="G104" s="132" t="s">
        <v>16</v>
      </c>
      <c r="H104" s="109">
        <v>3000</v>
      </c>
      <c r="I104" s="109">
        <v>3000</v>
      </c>
      <c r="J104" s="109"/>
      <c r="K104" s="109"/>
      <c r="L104" s="105">
        <v>20201118</v>
      </c>
    </row>
    <row r="105" ht="16" customHeight="1" spans="1:12">
      <c r="A105" s="109">
        <v>103</v>
      </c>
      <c r="B105" s="109" t="s">
        <v>9954</v>
      </c>
      <c r="C105" s="53" t="s">
        <v>10154</v>
      </c>
      <c r="D105" s="53" t="s">
        <v>10155</v>
      </c>
      <c r="E105" s="102" t="s">
        <v>15</v>
      </c>
      <c r="F105" s="102" t="s">
        <v>15</v>
      </c>
      <c r="G105" s="132" t="s">
        <v>16</v>
      </c>
      <c r="H105" s="109">
        <v>200</v>
      </c>
      <c r="I105" s="109">
        <v>200</v>
      </c>
      <c r="J105" s="109"/>
      <c r="K105" s="109"/>
      <c r="L105" s="105">
        <v>20201118</v>
      </c>
    </row>
    <row r="106" ht="16" customHeight="1" spans="1:12">
      <c r="A106" s="109">
        <v>104</v>
      </c>
      <c r="B106" s="109" t="s">
        <v>9954</v>
      </c>
      <c r="C106" s="60" t="s">
        <v>10156</v>
      </c>
      <c r="D106" s="60" t="s">
        <v>10157</v>
      </c>
      <c r="E106" s="102" t="s">
        <v>15</v>
      </c>
      <c r="F106" s="102" t="s">
        <v>15</v>
      </c>
      <c r="G106" s="132" t="s">
        <v>16</v>
      </c>
      <c r="H106" s="109">
        <v>200</v>
      </c>
      <c r="I106" s="109">
        <v>200</v>
      </c>
      <c r="J106" s="109" t="s">
        <v>5625</v>
      </c>
      <c r="K106" s="109"/>
      <c r="L106" s="105">
        <v>20201118</v>
      </c>
    </row>
    <row r="107" ht="16" customHeight="1" spans="1:12">
      <c r="A107" s="109">
        <v>105</v>
      </c>
      <c r="B107" s="109" t="s">
        <v>9954</v>
      </c>
      <c r="C107" s="60" t="s">
        <v>10158</v>
      </c>
      <c r="D107" s="60" t="s">
        <v>10159</v>
      </c>
      <c r="E107" s="102" t="s">
        <v>15</v>
      </c>
      <c r="F107" s="102" t="s">
        <v>15</v>
      </c>
      <c r="G107" s="132" t="s">
        <v>16</v>
      </c>
      <c r="H107" s="109">
        <v>200</v>
      </c>
      <c r="I107" s="109">
        <v>200</v>
      </c>
      <c r="J107" s="109" t="s">
        <v>108</v>
      </c>
      <c r="K107" s="109"/>
      <c r="L107" s="105">
        <v>20201118</v>
      </c>
    </row>
    <row r="108" ht="16" customHeight="1" spans="1:12">
      <c r="A108" s="109">
        <v>106</v>
      </c>
      <c r="B108" s="109" t="s">
        <v>9954</v>
      </c>
      <c r="C108" s="60" t="s">
        <v>8040</v>
      </c>
      <c r="D108" s="60" t="s">
        <v>10160</v>
      </c>
      <c r="E108" s="102" t="s">
        <v>15</v>
      </c>
      <c r="F108" s="102" t="s">
        <v>15</v>
      </c>
      <c r="G108" s="132" t="s">
        <v>16</v>
      </c>
      <c r="H108" s="109">
        <v>200</v>
      </c>
      <c r="I108" s="109">
        <v>200</v>
      </c>
      <c r="J108" s="109"/>
      <c r="K108" s="109"/>
      <c r="L108" s="105">
        <v>20201118</v>
      </c>
    </row>
    <row r="109" ht="16" customHeight="1" spans="1:12">
      <c r="A109" s="109">
        <v>107</v>
      </c>
      <c r="B109" s="109" t="s">
        <v>9954</v>
      </c>
      <c r="C109" s="60" t="s">
        <v>10161</v>
      </c>
      <c r="D109" s="60" t="s">
        <v>10162</v>
      </c>
      <c r="E109" s="102" t="s">
        <v>15</v>
      </c>
      <c r="F109" s="102" t="s">
        <v>15</v>
      </c>
      <c r="G109" s="132" t="s">
        <v>16</v>
      </c>
      <c r="H109" s="109">
        <v>200</v>
      </c>
      <c r="I109" s="109">
        <v>200</v>
      </c>
      <c r="J109" s="109"/>
      <c r="K109" s="109"/>
      <c r="L109" s="105">
        <v>20201118</v>
      </c>
    </row>
    <row r="110" ht="16" customHeight="1" spans="1:12">
      <c r="A110" s="109">
        <v>108</v>
      </c>
      <c r="B110" s="109" t="s">
        <v>9954</v>
      </c>
      <c r="C110" s="6" t="s">
        <v>10163</v>
      </c>
      <c r="D110" s="6" t="s">
        <v>10164</v>
      </c>
      <c r="E110" s="102" t="s">
        <v>15</v>
      </c>
      <c r="F110" s="102" t="s">
        <v>15</v>
      </c>
      <c r="G110" s="132" t="s">
        <v>16</v>
      </c>
      <c r="H110" s="109">
        <v>200</v>
      </c>
      <c r="I110" s="109">
        <v>200</v>
      </c>
      <c r="J110" s="109"/>
      <c r="K110" s="109"/>
      <c r="L110" s="105">
        <v>20201118</v>
      </c>
    </row>
    <row r="111" ht="16" customHeight="1" spans="1:12">
      <c r="A111" s="109">
        <v>109</v>
      </c>
      <c r="B111" s="109" t="s">
        <v>9954</v>
      </c>
      <c r="C111" s="60" t="s">
        <v>10165</v>
      </c>
      <c r="D111" s="60" t="s">
        <v>10166</v>
      </c>
      <c r="E111" s="102" t="s">
        <v>15</v>
      </c>
      <c r="F111" s="102" t="s">
        <v>15</v>
      </c>
      <c r="G111" s="132" t="s">
        <v>16</v>
      </c>
      <c r="H111" s="109">
        <v>200</v>
      </c>
      <c r="I111" s="109">
        <v>200</v>
      </c>
      <c r="J111" s="109"/>
      <c r="K111" s="109"/>
      <c r="L111" s="105">
        <v>20201118</v>
      </c>
    </row>
    <row r="112" ht="16" customHeight="1" spans="1:12">
      <c r="A112" s="109">
        <v>110</v>
      </c>
      <c r="B112" s="109" t="s">
        <v>9954</v>
      </c>
      <c r="C112" s="60" t="s">
        <v>10167</v>
      </c>
      <c r="D112" s="60" t="s">
        <v>10168</v>
      </c>
      <c r="E112" s="102" t="s">
        <v>15</v>
      </c>
      <c r="F112" s="102" t="s">
        <v>15</v>
      </c>
      <c r="G112" s="132" t="s">
        <v>16</v>
      </c>
      <c r="H112" s="109">
        <v>200</v>
      </c>
      <c r="I112" s="109">
        <v>200</v>
      </c>
      <c r="J112" s="109"/>
      <c r="K112" s="109"/>
      <c r="L112" s="105">
        <v>20201118</v>
      </c>
    </row>
    <row r="113" ht="16" customHeight="1" spans="1:12">
      <c r="A113" s="109">
        <v>111</v>
      </c>
      <c r="B113" s="109" t="s">
        <v>9954</v>
      </c>
      <c r="C113" s="6" t="s">
        <v>10169</v>
      </c>
      <c r="D113" s="6" t="s">
        <v>10170</v>
      </c>
      <c r="E113" s="102" t="s">
        <v>15</v>
      </c>
      <c r="F113" s="102" t="s">
        <v>15</v>
      </c>
      <c r="G113" s="132" t="s">
        <v>16</v>
      </c>
      <c r="H113" s="109">
        <v>200</v>
      </c>
      <c r="I113" s="109">
        <v>200</v>
      </c>
      <c r="J113" s="109"/>
      <c r="K113" s="109"/>
      <c r="L113" s="105">
        <v>20201118</v>
      </c>
    </row>
    <row r="114" ht="16" customHeight="1" spans="1:12">
      <c r="A114" s="109">
        <v>112</v>
      </c>
      <c r="B114" s="109" t="s">
        <v>9954</v>
      </c>
      <c r="C114" s="53" t="s">
        <v>10171</v>
      </c>
      <c r="D114" s="53" t="s">
        <v>10172</v>
      </c>
      <c r="E114" s="102" t="s">
        <v>15</v>
      </c>
      <c r="F114" s="102" t="s">
        <v>15</v>
      </c>
      <c r="G114" s="132" t="s">
        <v>16</v>
      </c>
      <c r="H114" s="109">
        <v>200</v>
      </c>
      <c r="I114" s="109">
        <v>200</v>
      </c>
      <c r="J114" s="109"/>
      <c r="K114" s="109"/>
      <c r="L114" s="105">
        <v>20201118</v>
      </c>
    </row>
    <row r="115" ht="16" customHeight="1" spans="1:12">
      <c r="A115" s="109">
        <v>113</v>
      </c>
      <c r="B115" s="109" t="s">
        <v>9954</v>
      </c>
      <c r="C115" s="60" t="s">
        <v>10173</v>
      </c>
      <c r="D115" s="60" t="s">
        <v>10174</v>
      </c>
      <c r="E115" s="102" t="s">
        <v>15</v>
      </c>
      <c r="F115" s="102" t="s">
        <v>15</v>
      </c>
      <c r="G115" s="132" t="s">
        <v>16</v>
      </c>
      <c r="H115" s="109">
        <v>200</v>
      </c>
      <c r="I115" s="109">
        <v>200</v>
      </c>
      <c r="J115" s="109" t="s">
        <v>1038</v>
      </c>
      <c r="K115" s="109"/>
      <c r="L115" s="105">
        <v>20201118</v>
      </c>
    </row>
    <row r="116" ht="16" customHeight="1" spans="1:12">
      <c r="A116" s="109">
        <v>114</v>
      </c>
      <c r="B116" s="109" t="s">
        <v>9954</v>
      </c>
      <c r="C116" s="32" t="s">
        <v>10175</v>
      </c>
      <c r="D116" s="304" t="s">
        <v>10176</v>
      </c>
      <c r="E116" s="102" t="s">
        <v>15</v>
      </c>
      <c r="F116" s="102" t="s">
        <v>15</v>
      </c>
      <c r="G116" s="132" t="s">
        <v>16</v>
      </c>
      <c r="H116" s="109">
        <v>200</v>
      </c>
      <c r="I116" s="109">
        <v>200</v>
      </c>
      <c r="J116" s="109"/>
      <c r="K116" s="109"/>
      <c r="L116" s="105">
        <v>20201118</v>
      </c>
    </row>
    <row r="117" ht="16" customHeight="1" spans="1:12">
      <c r="A117" s="109">
        <v>115</v>
      </c>
      <c r="B117" s="109" t="s">
        <v>9954</v>
      </c>
      <c r="C117" s="60" t="s">
        <v>4841</v>
      </c>
      <c r="D117" s="60" t="s">
        <v>10177</v>
      </c>
      <c r="E117" s="102" t="s">
        <v>15</v>
      </c>
      <c r="F117" s="102" t="s">
        <v>15</v>
      </c>
      <c r="G117" s="132" t="s">
        <v>16</v>
      </c>
      <c r="H117" s="109">
        <v>200</v>
      </c>
      <c r="I117" s="109">
        <v>200</v>
      </c>
      <c r="J117" s="109" t="s">
        <v>768</v>
      </c>
      <c r="K117" s="109"/>
      <c r="L117" s="105">
        <v>20201118</v>
      </c>
    </row>
    <row r="118" ht="16" customHeight="1" spans="1:12">
      <c r="A118" s="109">
        <v>116</v>
      </c>
      <c r="B118" s="109" t="s">
        <v>9954</v>
      </c>
      <c r="C118" s="60" t="s">
        <v>10178</v>
      </c>
      <c r="D118" s="60" t="s">
        <v>10179</v>
      </c>
      <c r="E118" s="102" t="s">
        <v>15</v>
      </c>
      <c r="F118" s="102" t="s">
        <v>15</v>
      </c>
      <c r="G118" s="132" t="s">
        <v>16</v>
      </c>
      <c r="H118" s="109">
        <v>200</v>
      </c>
      <c r="I118" s="109">
        <v>200</v>
      </c>
      <c r="J118" s="109"/>
      <c r="K118" s="109"/>
      <c r="L118" s="105">
        <v>20201118</v>
      </c>
    </row>
    <row r="119" ht="16" customHeight="1" spans="1:12">
      <c r="A119" s="109">
        <v>117</v>
      </c>
      <c r="B119" s="109" t="s">
        <v>9954</v>
      </c>
      <c r="C119" s="60" t="s">
        <v>10180</v>
      </c>
      <c r="D119" s="60" t="s">
        <v>10181</v>
      </c>
      <c r="E119" s="102" t="s">
        <v>15</v>
      </c>
      <c r="F119" s="102" t="s">
        <v>15</v>
      </c>
      <c r="G119" s="132" t="s">
        <v>16</v>
      </c>
      <c r="H119" s="109">
        <v>200</v>
      </c>
      <c r="I119" s="109">
        <v>200</v>
      </c>
      <c r="J119" s="109"/>
      <c r="K119" s="109"/>
      <c r="L119" s="105">
        <v>20201118</v>
      </c>
    </row>
    <row r="120" ht="16" customHeight="1" spans="1:12">
      <c r="A120" s="109">
        <v>118</v>
      </c>
      <c r="B120" s="109" t="s">
        <v>9954</v>
      </c>
      <c r="C120" s="60" t="s">
        <v>10182</v>
      </c>
      <c r="D120" s="60" t="s">
        <v>10183</v>
      </c>
      <c r="E120" s="102" t="s">
        <v>15</v>
      </c>
      <c r="F120" s="102" t="s">
        <v>15</v>
      </c>
      <c r="G120" s="132" t="s">
        <v>16</v>
      </c>
      <c r="H120" s="109">
        <v>200</v>
      </c>
      <c r="I120" s="109">
        <v>200</v>
      </c>
      <c r="J120" s="109"/>
      <c r="K120" s="109"/>
      <c r="L120" s="105">
        <v>20201118</v>
      </c>
    </row>
    <row r="121" ht="16" customHeight="1" spans="1:12">
      <c r="A121" s="109">
        <v>119</v>
      </c>
      <c r="B121" s="109" t="s">
        <v>9954</v>
      </c>
      <c r="C121" s="60" t="s">
        <v>10184</v>
      </c>
      <c r="D121" s="60" t="s">
        <v>10185</v>
      </c>
      <c r="E121" s="102" t="s">
        <v>15</v>
      </c>
      <c r="F121" s="102" t="s">
        <v>15</v>
      </c>
      <c r="G121" s="132" t="s">
        <v>16</v>
      </c>
      <c r="H121" s="109">
        <v>500</v>
      </c>
      <c r="I121" s="109">
        <v>500</v>
      </c>
      <c r="J121" s="109"/>
      <c r="K121" s="109"/>
      <c r="L121" s="105">
        <v>20201118</v>
      </c>
    </row>
    <row r="122" ht="16" customHeight="1" spans="1:12">
      <c r="A122" s="109">
        <v>120</v>
      </c>
      <c r="B122" s="109" t="s">
        <v>9954</v>
      </c>
      <c r="C122" s="60" t="s">
        <v>4351</v>
      </c>
      <c r="D122" s="60" t="s">
        <v>10186</v>
      </c>
      <c r="E122" s="102" t="s">
        <v>15</v>
      </c>
      <c r="F122" s="102" t="s">
        <v>15</v>
      </c>
      <c r="G122" s="132" t="s">
        <v>16</v>
      </c>
      <c r="H122" s="109">
        <v>500</v>
      </c>
      <c r="I122" s="109">
        <v>500</v>
      </c>
      <c r="J122" s="109"/>
      <c r="K122" s="109"/>
      <c r="L122" s="105">
        <v>20201118</v>
      </c>
    </row>
    <row r="123" ht="16" customHeight="1" spans="1:12">
      <c r="A123" s="109">
        <v>121</v>
      </c>
      <c r="B123" s="109" t="s">
        <v>9954</v>
      </c>
      <c r="C123" s="60" t="s">
        <v>10187</v>
      </c>
      <c r="D123" s="60" t="s">
        <v>10188</v>
      </c>
      <c r="E123" s="102" t="s">
        <v>15</v>
      </c>
      <c r="F123" s="102" t="s">
        <v>15</v>
      </c>
      <c r="G123" s="132" t="s">
        <v>16</v>
      </c>
      <c r="H123" s="109">
        <v>200</v>
      </c>
      <c r="I123" s="109">
        <v>200</v>
      </c>
      <c r="J123" s="109"/>
      <c r="K123" s="109"/>
      <c r="L123" s="105">
        <v>20201118</v>
      </c>
    </row>
    <row r="124" ht="16" customHeight="1" spans="1:12">
      <c r="A124" s="109">
        <v>122</v>
      </c>
      <c r="B124" s="109" t="s">
        <v>9954</v>
      </c>
      <c r="C124" s="60" t="s">
        <v>10189</v>
      </c>
      <c r="D124" s="60" t="s">
        <v>10190</v>
      </c>
      <c r="E124" s="102" t="s">
        <v>15</v>
      </c>
      <c r="F124" s="102" t="s">
        <v>15</v>
      </c>
      <c r="G124" s="132" t="s">
        <v>16</v>
      </c>
      <c r="H124" s="109">
        <v>200</v>
      </c>
      <c r="I124" s="109">
        <v>200</v>
      </c>
      <c r="J124" s="109"/>
      <c r="K124" s="109"/>
      <c r="L124" s="105">
        <v>20201118</v>
      </c>
    </row>
    <row r="125" ht="16" customHeight="1" spans="1:12">
      <c r="A125" s="109">
        <v>123</v>
      </c>
      <c r="B125" s="109" t="s">
        <v>9954</v>
      </c>
      <c r="C125" s="6" t="s">
        <v>10191</v>
      </c>
      <c r="D125" s="306" t="s">
        <v>10192</v>
      </c>
      <c r="E125" s="102" t="s">
        <v>15</v>
      </c>
      <c r="F125" s="102" t="s">
        <v>15</v>
      </c>
      <c r="G125" s="132" t="s">
        <v>16</v>
      </c>
      <c r="H125" s="109">
        <v>200</v>
      </c>
      <c r="I125" s="109">
        <v>200</v>
      </c>
      <c r="J125" s="109" t="s">
        <v>5625</v>
      </c>
      <c r="K125" s="109"/>
      <c r="L125" s="105">
        <v>20201118</v>
      </c>
    </row>
    <row r="126" ht="16" customHeight="1" spans="1:12">
      <c r="A126" s="109">
        <v>124</v>
      </c>
      <c r="B126" s="109" t="s">
        <v>9954</v>
      </c>
      <c r="C126" s="6" t="s">
        <v>10193</v>
      </c>
      <c r="D126" s="6" t="s">
        <v>10194</v>
      </c>
      <c r="E126" s="102" t="s">
        <v>15</v>
      </c>
      <c r="F126" s="102" t="s">
        <v>15</v>
      </c>
      <c r="G126" s="132" t="s">
        <v>16</v>
      </c>
      <c r="H126" s="109">
        <v>1000</v>
      </c>
      <c r="I126" s="109">
        <v>1000</v>
      </c>
      <c r="J126" s="109"/>
      <c r="K126" s="109"/>
      <c r="L126" s="105">
        <v>20201118</v>
      </c>
    </row>
    <row r="127" ht="16" customHeight="1" spans="1:12">
      <c r="A127" s="109">
        <v>125</v>
      </c>
      <c r="B127" s="109" t="s">
        <v>9954</v>
      </c>
      <c r="C127" s="6" t="s">
        <v>10195</v>
      </c>
      <c r="D127" s="6" t="s">
        <v>10196</v>
      </c>
      <c r="E127" s="102" t="s">
        <v>15</v>
      </c>
      <c r="F127" s="102" t="s">
        <v>15</v>
      </c>
      <c r="G127" s="132" t="s">
        <v>16</v>
      </c>
      <c r="H127" s="109">
        <v>1000</v>
      </c>
      <c r="I127" s="109">
        <v>1000</v>
      </c>
      <c r="J127" s="109"/>
      <c r="K127" s="109"/>
      <c r="L127" s="105">
        <v>20201118</v>
      </c>
    </row>
    <row r="128" ht="16" customHeight="1" spans="1:12">
      <c r="A128" s="109">
        <v>126</v>
      </c>
      <c r="B128" s="109" t="s">
        <v>9954</v>
      </c>
      <c r="C128" s="60" t="s">
        <v>10197</v>
      </c>
      <c r="D128" s="60" t="s">
        <v>10198</v>
      </c>
      <c r="E128" s="102" t="s">
        <v>15</v>
      </c>
      <c r="F128" s="102" t="s">
        <v>15</v>
      </c>
      <c r="G128" s="132" t="s">
        <v>16</v>
      </c>
      <c r="H128" s="109">
        <v>200</v>
      </c>
      <c r="I128" s="109">
        <v>200</v>
      </c>
      <c r="J128" s="109"/>
      <c r="K128" s="109"/>
      <c r="L128" s="105">
        <v>20201118</v>
      </c>
    </row>
    <row r="129" ht="16" customHeight="1" spans="1:12">
      <c r="A129" s="109">
        <v>127</v>
      </c>
      <c r="B129" s="109" t="s">
        <v>9954</v>
      </c>
      <c r="C129" s="60" t="s">
        <v>10199</v>
      </c>
      <c r="D129" s="60" t="s">
        <v>10200</v>
      </c>
      <c r="E129" s="102" t="s">
        <v>15</v>
      </c>
      <c r="F129" s="102" t="s">
        <v>15</v>
      </c>
      <c r="G129" s="132" t="s">
        <v>16</v>
      </c>
      <c r="H129" s="109">
        <v>1000</v>
      </c>
      <c r="I129" s="109">
        <v>1000</v>
      </c>
      <c r="J129" s="109"/>
      <c r="K129" s="109"/>
      <c r="L129" s="105">
        <v>20201118</v>
      </c>
    </row>
    <row r="130" ht="16" customHeight="1" spans="1:12">
      <c r="A130" s="109">
        <v>128</v>
      </c>
      <c r="B130" s="109" t="s">
        <v>9954</v>
      </c>
      <c r="C130" s="60" t="s">
        <v>10201</v>
      </c>
      <c r="D130" s="60" t="s">
        <v>10202</v>
      </c>
      <c r="E130" s="102" t="s">
        <v>15</v>
      </c>
      <c r="F130" s="102" t="s">
        <v>15</v>
      </c>
      <c r="G130" s="132" t="s">
        <v>16</v>
      </c>
      <c r="H130" s="109">
        <v>500</v>
      </c>
      <c r="I130" s="109">
        <v>500</v>
      </c>
      <c r="J130" s="109"/>
      <c r="K130" s="109"/>
      <c r="L130" s="105">
        <v>20201118</v>
      </c>
    </row>
    <row r="131" ht="16" customHeight="1" spans="1:12">
      <c r="A131" s="109">
        <v>129</v>
      </c>
      <c r="B131" s="109" t="s">
        <v>9954</v>
      </c>
      <c r="C131" s="53" t="s">
        <v>10203</v>
      </c>
      <c r="D131" s="53" t="s">
        <v>10204</v>
      </c>
      <c r="E131" s="102" t="s">
        <v>15</v>
      </c>
      <c r="F131" s="102" t="s">
        <v>15</v>
      </c>
      <c r="G131" s="132" t="s">
        <v>16</v>
      </c>
      <c r="H131" s="109">
        <v>500</v>
      </c>
      <c r="I131" s="109">
        <v>500</v>
      </c>
      <c r="J131" s="109"/>
      <c r="K131" s="109"/>
      <c r="L131" s="105">
        <v>20201118</v>
      </c>
    </row>
    <row r="132" ht="16" customHeight="1" spans="1:12">
      <c r="A132" s="109">
        <v>130</v>
      </c>
      <c r="B132" s="109" t="s">
        <v>9954</v>
      </c>
      <c r="C132" s="60" t="s">
        <v>10205</v>
      </c>
      <c r="D132" s="60" t="s">
        <v>10206</v>
      </c>
      <c r="E132" s="102" t="s">
        <v>15</v>
      </c>
      <c r="F132" s="102" t="s">
        <v>15</v>
      </c>
      <c r="G132" s="132" t="s">
        <v>16</v>
      </c>
      <c r="H132" s="109">
        <v>200</v>
      </c>
      <c r="I132" s="109">
        <v>200</v>
      </c>
      <c r="J132" s="109"/>
      <c r="K132" s="109"/>
      <c r="L132" s="105">
        <v>20201118</v>
      </c>
    </row>
    <row r="133" ht="16" customHeight="1" spans="1:12">
      <c r="A133" s="109">
        <v>131</v>
      </c>
      <c r="B133" s="109" t="s">
        <v>9954</v>
      </c>
      <c r="C133" s="60" t="s">
        <v>10207</v>
      </c>
      <c r="D133" s="60" t="s">
        <v>10208</v>
      </c>
      <c r="E133" s="102" t="s">
        <v>15</v>
      </c>
      <c r="F133" s="102" t="s">
        <v>15</v>
      </c>
      <c r="G133" s="132" t="s">
        <v>16</v>
      </c>
      <c r="H133" s="109">
        <v>200</v>
      </c>
      <c r="I133" s="109">
        <v>200</v>
      </c>
      <c r="J133" s="109"/>
      <c r="K133" s="109"/>
      <c r="L133" s="105">
        <v>20201118</v>
      </c>
    </row>
    <row r="134" ht="16" customHeight="1" spans="1:12">
      <c r="A134" s="109">
        <v>132</v>
      </c>
      <c r="B134" s="109" t="s">
        <v>9954</v>
      </c>
      <c r="C134" s="6" t="s">
        <v>10209</v>
      </c>
      <c r="D134" s="6" t="s">
        <v>10210</v>
      </c>
      <c r="E134" s="102" t="s">
        <v>15</v>
      </c>
      <c r="F134" s="102" t="s">
        <v>15</v>
      </c>
      <c r="G134" s="132" t="s">
        <v>16</v>
      </c>
      <c r="H134" s="109">
        <v>500</v>
      </c>
      <c r="I134" s="109">
        <v>500</v>
      </c>
      <c r="J134" s="109"/>
      <c r="K134" s="109"/>
      <c r="L134" s="105">
        <v>20201118</v>
      </c>
    </row>
    <row r="135" ht="16" customHeight="1" spans="1:12">
      <c r="A135" s="109">
        <v>133</v>
      </c>
      <c r="B135" s="109" t="s">
        <v>9954</v>
      </c>
      <c r="C135" s="6" t="s">
        <v>10211</v>
      </c>
      <c r="D135" s="6" t="s">
        <v>10212</v>
      </c>
      <c r="E135" s="102" t="s">
        <v>15</v>
      </c>
      <c r="F135" s="102" t="s">
        <v>15</v>
      </c>
      <c r="G135" s="132" t="s">
        <v>16</v>
      </c>
      <c r="H135" s="109">
        <v>500</v>
      </c>
      <c r="I135" s="109">
        <v>500</v>
      </c>
      <c r="J135" s="109"/>
      <c r="K135" s="109"/>
      <c r="L135" s="105">
        <v>20201118</v>
      </c>
    </row>
    <row r="136" ht="16" customHeight="1" spans="1:12">
      <c r="A136" s="109">
        <v>134</v>
      </c>
      <c r="B136" s="109" t="s">
        <v>9954</v>
      </c>
      <c r="C136" s="3" t="s">
        <v>10213</v>
      </c>
      <c r="D136" s="3" t="s">
        <v>10214</v>
      </c>
      <c r="E136" s="102" t="s">
        <v>15</v>
      </c>
      <c r="F136" s="102" t="s">
        <v>15</v>
      </c>
      <c r="G136" s="132" t="s">
        <v>16</v>
      </c>
      <c r="H136" s="109">
        <v>200</v>
      </c>
      <c r="I136" s="109">
        <v>200</v>
      </c>
      <c r="J136" s="109"/>
      <c r="K136" s="109"/>
      <c r="L136" s="105">
        <v>20201118</v>
      </c>
    </row>
    <row r="137" ht="16" customHeight="1" spans="1:12">
      <c r="A137" s="109">
        <v>135</v>
      </c>
      <c r="B137" s="109" t="s">
        <v>9954</v>
      </c>
      <c r="C137" s="32" t="s">
        <v>10215</v>
      </c>
      <c r="D137" s="32" t="s">
        <v>10216</v>
      </c>
      <c r="E137" s="102" t="s">
        <v>15</v>
      </c>
      <c r="F137" s="102" t="s">
        <v>15</v>
      </c>
      <c r="G137" s="132" t="s">
        <v>16</v>
      </c>
      <c r="H137" s="109">
        <v>200</v>
      </c>
      <c r="I137" s="109">
        <v>200</v>
      </c>
      <c r="J137" s="109"/>
      <c r="K137" s="109"/>
      <c r="L137" s="105">
        <v>20201118</v>
      </c>
    </row>
    <row r="138" ht="16" customHeight="1" spans="1:12">
      <c r="A138" s="109">
        <v>136</v>
      </c>
      <c r="B138" s="109" t="s">
        <v>9954</v>
      </c>
      <c r="C138" s="32" t="s">
        <v>10217</v>
      </c>
      <c r="D138" s="32" t="s">
        <v>10218</v>
      </c>
      <c r="E138" s="102" t="s">
        <v>15</v>
      </c>
      <c r="F138" s="102" t="s">
        <v>15</v>
      </c>
      <c r="G138" s="132" t="s">
        <v>16</v>
      </c>
      <c r="H138" s="109">
        <v>200</v>
      </c>
      <c r="I138" s="109">
        <v>200</v>
      </c>
      <c r="J138" s="109"/>
      <c r="K138" s="109"/>
      <c r="L138" s="105">
        <v>20201118</v>
      </c>
    </row>
    <row r="139" ht="16" customHeight="1" spans="1:12">
      <c r="A139" s="109">
        <v>137</v>
      </c>
      <c r="B139" s="109" t="s">
        <v>9954</v>
      </c>
      <c r="C139" s="60" t="s">
        <v>10219</v>
      </c>
      <c r="D139" s="60" t="s">
        <v>10220</v>
      </c>
      <c r="E139" s="102" t="s">
        <v>15</v>
      </c>
      <c r="F139" s="102" t="s">
        <v>15</v>
      </c>
      <c r="G139" s="132" t="s">
        <v>16</v>
      </c>
      <c r="H139" s="109">
        <v>200</v>
      </c>
      <c r="I139" s="109">
        <v>200</v>
      </c>
      <c r="J139" s="109"/>
      <c r="K139" s="109"/>
      <c r="L139" s="105">
        <v>20201118</v>
      </c>
    </row>
    <row r="140" ht="16" customHeight="1" spans="1:12">
      <c r="A140" s="109">
        <v>138</v>
      </c>
      <c r="B140" s="109" t="s">
        <v>9954</v>
      </c>
      <c r="C140" s="60" t="s">
        <v>10221</v>
      </c>
      <c r="D140" s="60" t="s">
        <v>10222</v>
      </c>
      <c r="E140" s="102" t="s">
        <v>15</v>
      </c>
      <c r="F140" s="102" t="s">
        <v>15</v>
      </c>
      <c r="G140" s="132" t="s">
        <v>16</v>
      </c>
      <c r="H140" s="109">
        <v>200</v>
      </c>
      <c r="I140" s="109">
        <v>200</v>
      </c>
      <c r="J140" s="109"/>
      <c r="K140" s="109"/>
      <c r="L140" s="105">
        <v>20201118</v>
      </c>
    </row>
    <row r="141" ht="16" customHeight="1" spans="1:12">
      <c r="A141" s="109">
        <v>139</v>
      </c>
      <c r="B141" s="111" t="s">
        <v>9954</v>
      </c>
      <c r="C141" s="111" t="s">
        <v>10223</v>
      </c>
      <c r="D141" s="307" t="s">
        <v>10224</v>
      </c>
      <c r="E141" s="104">
        <v>2020</v>
      </c>
      <c r="F141" s="104">
        <v>2020</v>
      </c>
      <c r="G141" s="132" t="s">
        <v>16</v>
      </c>
      <c r="H141" s="111">
        <v>200</v>
      </c>
      <c r="I141" s="111">
        <v>200</v>
      </c>
      <c r="J141" s="104"/>
      <c r="K141" s="104"/>
      <c r="L141" s="105">
        <v>20201224</v>
      </c>
    </row>
    <row r="142" ht="16" customHeight="1" spans="1:12">
      <c r="A142" s="109">
        <v>140</v>
      </c>
      <c r="B142" s="111" t="s">
        <v>9954</v>
      </c>
      <c r="C142" s="111" t="s">
        <v>10225</v>
      </c>
      <c r="D142" s="307" t="s">
        <v>10226</v>
      </c>
      <c r="E142" s="111">
        <v>2020</v>
      </c>
      <c r="F142" s="104">
        <v>2020</v>
      </c>
      <c r="G142" s="132" t="s">
        <v>16</v>
      </c>
      <c r="H142" s="111">
        <v>200</v>
      </c>
      <c r="I142" s="111">
        <v>200</v>
      </c>
      <c r="J142" s="104"/>
      <c r="K142" s="104"/>
      <c r="L142" s="105">
        <v>20201224</v>
      </c>
    </row>
    <row r="143" ht="16" customHeight="1" spans="1:12">
      <c r="A143" s="109">
        <v>141</v>
      </c>
      <c r="B143" s="111" t="s">
        <v>9954</v>
      </c>
      <c r="C143" s="111" t="s">
        <v>10227</v>
      </c>
      <c r="D143" s="308" t="s">
        <v>10228</v>
      </c>
      <c r="E143" s="111">
        <v>2019</v>
      </c>
      <c r="F143" s="104">
        <v>2020</v>
      </c>
      <c r="G143" s="104" t="s">
        <v>289</v>
      </c>
      <c r="H143" s="111">
        <v>200</v>
      </c>
      <c r="I143" s="111">
        <v>400</v>
      </c>
      <c r="J143" s="104"/>
      <c r="K143" s="104"/>
      <c r="L143" s="105">
        <v>20201224</v>
      </c>
    </row>
    <row r="144" ht="16" customHeight="1" spans="1:12">
      <c r="A144" s="109">
        <v>142</v>
      </c>
      <c r="B144" s="111" t="s">
        <v>9954</v>
      </c>
      <c r="C144" s="111" t="s">
        <v>10229</v>
      </c>
      <c r="D144" s="308" t="s">
        <v>10230</v>
      </c>
      <c r="E144" s="111">
        <v>2018</v>
      </c>
      <c r="F144" s="104">
        <v>2020</v>
      </c>
      <c r="G144" s="104" t="s">
        <v>289</v>
      </c>
      <c r="H144" s="111">
        <v>200</v>
      </c>
      <c r="I144" s="111">
        <v>600</v>
      </c>
      <c r="J144" s="104"/>
      <c r="K144" s="104"/>
      <c r="L144" s="105">
        <v>20201224</v>
      </c>
    </row>
    <row r="145" ht="16" customHeight="1" spans="1:12">
      <c r="A145" s="109">
        <v>143</v>
      </c>
      <c r="B145" s="111" t="s">
        <v>9954</v>
      </c>
      <c r="C145" s="111" t="s">
        <v>10231</v>
      </c>
      <c r="D145" s="307" t="s">
        <v>10232</v>
      </c>
      <c r="E145" s="111">
        <v>2020</v>
      </c>
      <c r="F145" s="111">
        <v>2020</v>
      </c>
      <c r="G145" s="132" t="s">
        <v>16</v>
      </c>
      <c r="H145" s="111">
        <v>200</v>
      </c>
      <c r="I145" s="111">
        <v>200</v>
      </c>
      <c r="J145" s="104"/>
      <c r="K145" s="104"/>
      <c r="L145" s="105">
        <v>20201224</v>
      </c>
    </row>
    <row r="146" ht="16" customHeight="1" spans="1:12">
      <c r="A146" s="109">
        <v>144</v>
      </c>
      <c r="B146" s="111" t="s">
        <v>9954</v>
      </c>
      <c r="C146" s="111" t="s">
        <v>10233</v>
      </c>
      <c r="D146" s="307" t="s">
        <v>10234</v>
      </c>
      <c r="E146" s="111">
        <v>2020</v>
      </c>
      <c r="F146" s="111">
        <v>2020</v>
      </c>
      <c r="G146" s="132" t="s">
        <v>16</v>
      </c>
      <c r="H146" s="111">
        <v>1000</v>
      </c>
      <c r="I146" s="111">
        <v>1000</v>
      </c>
      <c r="J146" s="104"/>
      <c r="K146" s="104"/>
      <c r="L146" s="105">
        <v>20201224</v>
      </c>
    </row>
    <row r="147" ht="16" customHeight="1" spans="1:12">
      <c r="A147" s="109">
        <v>145</v>
      </c>
      <c r="B147" s="111" t="s">
        <v>9954</v>
      </c>
      <c r="C147" s="111" t="s">
        <v>10235</v>
      </c>
      <c r="D147" s="309" t="s">
        <v>10236</v>
      </c>
      <c r="E147" s="111">
        <v>2020</v>
      </c>
      <c r="F147" s="111">
        <v>2020</v>
      </c>
      <c r="G147" s="132" t="s">
        <v>16</v>
      </c>
      <c r="H147" s="111">
        <v>200</v>
      </c>
      <c r="I147" s="111">
        <v>200</v>
      </c>
      <c r="J147" s="104"/>
      <c r="K147" s="104"/>
      <c r="L147" s="105">
        <v>20201224</v>
      </c>
    </row>
    <row r="148" ht="16" customHeight="1" spans="1:12">
      <c r="A148" s="109">
        <v>146</v>
      </c>
      <c r="B148" s="111" t="s">
        <v>9954</v>
      </c>
      <c r="C148" s="111" t="s">
        <v>10237</v>
      </c>
      <c r="D148" s="309" t="s">
        <v>10238</v>
      </c>
      <c r="E148" s="111">
        <v>2020</v>
      </c>
      <c r="F148" s="111">
        <v>2020</v>
      </c>
      <c r="G148" s="132" t="s">
        <v>16</v>
      </c>
      <c r="H148" s="111">
        <v>200</v>
      </c>
      <c r="I148" s="111">
        <v>200</v>
      </c>
      <c r="J148" s="104"/>
      <c r="K148" s="104"/>
      <c r="L148" s="105">
        <v>20201224</v>
      </c>
    </row>
    <row r="149" ht="16" customHeight="1" spans="1:12">
      <c r="A149" s="109">
        <v>147</v>
      </c>
      <c r="B149" s="111" t="s">
        <v>9954</v>
      </c>
      <c r="C149" s="111" t="s">
        <v>10239</v>
      </c>
      <c r="D149" s="310" t="s">
        <v>10240</v>
      </c>
      <c r="E149" s="111">
        <v>2016</v>
      </c>
      <c r="F149" s="104">
        <v>2020</v>
      </c>
      <c r="G149" s="104" t="s">
        <v>289</v>
      </c>
      <c r="H149" s="111">
        <v>200</v>
      </c>
      <c r="I149" s="111">
        <v>1000</v>
      </c>
      <c r="J149" s="104"/>
      <c r="K149" s="104"/>
      <c r="L149" s="105">
        <v>20201224</v>
      </c>
    </row>
    <row r="150" spans="1:12">
      <c r="A150" s="105"/>
      <c r="B150" s="105"/>
      <c r="C150" s="105"/>
      <c r="D150" s="105"/>
      <c r="E150" s="105"/>
      <c r="F150" s="105"/>
      <c r="G150" s="105"/>
      <c r="H150" s="105"/>
      <c r="I150" s="105">
        <v>54500</v>
      </c>
      <c r="J150" s="105"/>
      <c r="K150" s="105"/>
      <c r="L150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7"/>
  <sheetViews>
    <sheetView topLeftCell="A119" workbookViewId="0">
      <selection activeCell="A3" sqref="A3:L155"/>
    </sheetView>
  </sheetViews>
  <sheetFormatPr defaultColWidth="9" defaultRowHeight="14.25"/>
  <cols>
    <col min="1" max="1" width="4.5" style="168" customWidth="1"/>
    <col min="2" max="2" width="9.5" style="168" customWidth="1"/>
    <col min="3" max="3" width="18.5" style="169" customWidth="1"/>
    <col min="4" max="4" width="23.25" style="168" customWidth="1"/>
    <col min="5" max="7" width="10.5" style="168" customWidth="1"/>
    <col min="8" max="8" width="11.375" style="168" customWidth="1"/>
    <col min="9" max="9" width="11.25" style="168" customWidth="1"/>
    <col min="10" max="10" width="13.875" style="168" customWidth="1"/>
    <col min="11" max="11" width="7.875" style="168" customWidth="1"/>
    <col min="12" max="12" width="11.75" customWidth="1"/>
    <col min="13" max="13" width="9" style="114"/>
    <col min="14" max="16384" width="9" style="113"/>
  </cols>
  <sheetData>
    <row r="1" s="95" customFormat="1" ht="18.75" spans="1:11">
      <c r="A1" s="99" t="s">
        <v>10241</v>
      </c>
      <c r="B1" s="100"/>
      <c r="C1" s="100"/>
      <c r="D1" s="100"/>
      <c r="E1" s="100"/>
      <c r="F1" s="100"/>
      <c r="G1" s="101"/>
      <c r="H1" s="100"/>
      <c r="I1" s="100"/>
      <c r="J1" s="100"/>
      <c r="K1" s="100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03" t="s">
        <v>10</v>
      </c>
      <c r="L2" s="104" t="s">
        <v>11</v>
      </c>
    </row>
    <row r="3" s="146" customFormat="1" ht="16" customHeight="1" spans="1:12">
      <c r="A3" s="109">
        <v>1</v>
      </c>
      <c r="B3" s="109" t="s">
        <v>10242</v>
      </c>
      <c r="C3" s="9" t="s">
        <v>10243</v>
      </c>
      <c r="D3" s="137" t="s">
        <v>10244</v>
      </c>
      <c r="E3" s="102" t="s">
        <v>10245</v>
      </c>
      <c r="F3" s="149">
        <v>2020</v>
      </c>
      <c r="G3" s="109" t="s">
        <v>16</v>
      </c>
      <c r="H3" s="109">
        <v>200</v>
      </c>
      <c r="I3" s="109">
        <v>200</v>
      </c>
      <c r="J3" s="109"/>
      <c r="K3" s="102"/>
      <c r="L3" s="105">
        <v>20201118</v>
      </c>
    </row>
    <row r="4" s="146" customFormat="1" ht="16" customHeight="1" spans="1:12">
      <c r="A4" s="109">
        <v>2</v>
      </c>
      <c r="B4" s="109" t="s">
        <v>10242</v>
      </c>
      <c r="C4" s="9" t="s">
        <v>10246</v>
      </c>
      <c r="D4" s="137" t="s">
        <v>10247</v>
      </c>
      <c r="E4" s="102" t="s">
        <v>10245</v>
      </c>
      <c r="F4" s="149">
        <v>2020</v>
      </c>
      <c r="G4" s="109" t="s">
        <v>16</v>
      </c>
      <c r="H4" s="109">
        <v>200</v>
      </c>
      <c r="I4" s="109">
        <v>200</v>
      </c>
      <c r="J4" s="109"/>
      <c r="K4" s="102"/>
      <c r="L4" s="105">
        <v>20201118</v>
      </c>
    </row>
    <row r="5" s="146" customFormat="1" ht="16" customHeight="1" spans="1:12">
      <c r="A5" s="109">
        <v>3</v>
      </c>
      <c r="B5" s="109" t="s">
        <v>10242</v>
      </c>
      <c r="C5" s="9" t="s">
        <v>10248</v>
      </c>
      <c r="D5" s="137" t="s">
        <v>10249</v>
      </c>
      <c r="E5" s="102" t="s">
        <v>10250</v>
      </c>
      <c r="F5" s="149">
        <v>2020</v>
      </c>
      <c r="G5" s="109" t="s">
        <v>16</v>
      </c>
      <c r="H5" s="109">
        <v>200</v>
      </c>
      <c r="I5" s="109">
        <v>200</v>
      </c>
      <c r="J5" s="109"/>
      <c r="K5" s="102"/>
      <c r="L5" s="105">
        <v>20201118</v>
      </c>
    </row>
    <row r="6" s="146" customFormat="1" ht="16" customHeight="1" spans="1:12">
      <c r="A6" s="109">
        <v>4</v>
      </c>
      <c r="B6" s="109" t="s">
        <v>10242</v>
      </c>
      <c r="C6" s="9" t="s">
        <v>10251</v>
      </c>
      <c r="D6" s="137" t="s">
        <v>10252</v>
      </c>
      <c r="E6" s="102" t="s">
        <v>10250</v>
      </c>
      <c r="F6" s="149">
        <v>2020</v>
      </c>
      <c r="G6" s="109" t="s">
        <v>16</v>
      </c>
      <c r="H6" s="109">
        <v>200</v>
      </c>
      <c r="I6" s="109">
        <v>200</v>
      </c>
      <c r="J6" s="109"/>
      <c r="K6" s="102"/>
      <c r="L6" s="105">
        <v>20201118</v>
      </c>
    </row>
    <row r="7" s="146" customFormat="1" ht="16" customHeight="1" spans="1:12">
      <c r="A7" s="109">
        <v>5</v>
      </c>
      <c r="B7" s="109" t="s">
        <v>10242</v>
      </c>
      <c r="C7" s="9" t="s">
        <v>10253</v>
      </c>
      <c r="D7" s="137" t="s">
        <v>10254</v>
      </c>
      <c r="E7" s="102" t="s">
        <v>10250</v>
      </c>
      <c r="F7" s="149">
        <v>2020</v>
      </c>
      <c r="G7" s="109" t="s">
        <v>16</v>
      </c>
      <c r="H7" s="109">
        <v>200</v>
      </c>
      <c r="I7" s="109">
        <v>200</v>
      </c>
      <c r="J7" s="109"/>
      <c r="K7" s="102"/>
      <c r="L7" s="105">
        <v>20201118</v>
      </c>
    </row>
    <row r="8" s="146" customFormat="1" ht="16" customHeight="1" spans="1:12">
      <c r="A8" s="109">
        <v>6</v>
      </c>
      <c r="B8" s="109" t="s">
        <v>10242</v>
      </c>
      <c r="C8" s="9" t="s">
        <v>10255</v>
      </c>
      <c r="D8" s="137" t="s">
        <v>10256</v>
      </c>
      <c r="E8" s="102" t="s">
        <v>10250</v>
      </c>
      <c r="F8" s="149">
        <v>2020</v>
      </c>
      <c r="G8" s="109" t="s">
        <v>16</v>
      </c>
      <c r="H8" s="109">
        <v>200</v>
      </c>
      <c r="I8" s="109">
        <v>200</v>
      </c>
      <c r="J8" s="109"/>
      <c r="K8" s="102"/>
      <c r="L8" s="105">
        <v>20201118</v>
      </c>
    </row>
    <row r="9" s="146" customFormat="1" ht="16" customHeight="1" spans="1:12">
      <c r="A9" s="109">
        <v>7</v>
      </c>
      <c r="B9" s="109" t="s">
        <v>10242</v>
      </c>
      <c r="C9" s="9" t="s">
        <v>10257</v>
      </c>
      <c r="D9" s="137" t="s">
        <v>10258</v>
      </c>
      <c r="E9" s="102" t="s">
        <v>10250</v>
      </c>
      <c r="F9" s="149">
        <v>2020</v>
      </c>
      <c r="G9" s="109" t="s">
        <v>16</v>
      </c>
      <c r="H9" s="109">
        <v>200</v>
      </c>
      <c r="I9" s="109">
        <v>200</v>
      </c>
      <c r="J9" s="109"/>
      <c r="K9" s="102"/>
      <c r="L9" s="105">
        <v>20201118</v>
      </c>
    </row>
    <row r="10" s="146" customFormat="1" ht="16" customHeight="1" spans="1:12">
      <c r="A10" s="109">
        <v>8</v>
      </c>
      <c r="B10" s="109" t="s">
        <v>10242</v>
      </c>
      <c r="C10" s="9" t="s">
        <v>10259</v>
      </c>
      <c r="D10" s="137" t="s">
        <v>10260</v>
      </c>
      <c r="E10" s="102" t="s">
        <v>10250</v>
      </c>
      <c r="F10" s="149">
        <v>2020</v>
      </c>
      <c r="G10" s="109" t="s">
        <v>16</v>
      </c>
      <c r="H10" s="109">
        <v>200</v>
      </c>
      <c r="I10" s="109">
        <v>200</v>
      </c>
      <c r="J10" s="109"/>
      <c r="K10" s="102"/>
      <c r="L10" s="105">
        <v>20201118</v>
      </c>
    </row>
    <row r="11" s="146" customFormat="1" ht="16" customHeight="1" spans="1:12">
      <c r="A11" s="109">
        <v>9</v>
      </c>
      <c r="B11" s="109" t="s">
        <v>10242</v>
      </c>
      <c r="C11" s="9" t="s">
        <v>10261</v>
      </c>
      <c r="D11" s="137" t="s">
        <v>10262</v>
      </c>
      <c r="E11" s="102" t="s">
        <v>10250</v>
      </c>
      <c r="F11" s="149">
        <v>2020</v>
      </c>
      <c r="G11" s="109" t="s">
        <v>16</v>
      </c>
      <c r="H11" s="109">
        <v>200</v>
      </c>
      <c r="I11" s="109">
        <v>200</v>
      </c>
      <c r="J11" s="109"/>
      <c r="K11" s="102"/>
      <c r="L11" s="105">
        <v>20201118</v>
      </c>
    </row>
    <row r="12" s="146" customFormat="1" ht="16" customHeight="1" spans="1:12">
      <c r="A12" s="109">
        <v>10</v>
      </c>
      <c r="B12" s="109" t="s">
        <v>10242</v>
      </c>
      <c r="C12" s="9" t="s">
        <v>10263</v>
      </c>
      <c r="D12" s="137" t="s">
        <v>10264</v>
      </c>
      <c r="E12" s="102" t="s">
        <v>10250</v>
      </c>
      <c r="F12" s="149">
        <v>2020</v>
      </c>
      <c r="G12" s="109" t="s">
        <v>16</v>
      </c>
      <c r="H12" s="109">
        <v>200</v>
      </c>
      <c r="I12" s="109">
        <v>200</v>
      </c>
      <c r="J12" s="109"/>
      <c r="K12" s="102"/>
      <c r="L12" s="105">
        <v>20201118</v>
      </c>
    </row>
    <row r="13" s="146" customFormat="1" ht="16" customHeight="1" spans="1:12">
      <c r="A13" s="109">
        <v>11</v>
      </c>
      <c r="B13" s="109" t="s">
        <v>10242</v>
      </c>
      <c r="C13" s="9" t="s">
        <v>10265</v>
      </c>
      <c r="D13" s="137" t="s">
        <v>10266</v>
      </c>
      <c r="E13" s="102" t="s">
        <v>10250</v>
      </c>
      <c r="F13" s="149">
        <v>2020</v>
      </c>
      <c r="G13" s="109" t="s">
        <v>16</v>
      </c>
      <c r="H13" s="109">
        <v>200</v>
      </c>
      <c r="I13" s="109">
        <v>200</v>
      </c>
      <c r="J13" s="109"/>
      <c r="K13" s="102"/>
      <c r="L13" s="105">
        <v>20201118</v>
      </c>
    </row>
    <row r="14" s="146" customFormat="1" ht="16" customHeight="1" spans="1:12">
      <c r="A14" s="109">
        <v>12</v>
      </c>
      <c r="B14" s="109" t="s">
        <v>10242</v>
      </c>
      <c r="C14" s="9" t="s">
        <v>10267</v>
      </c>
      <c r="D14" s="137" t="s">
        <v>10268</v>
      </c>
      <c r="E14" s="102" t="s">
        <v>10250</v>
      </c>
      <c r="F14" s="149">
        <v>2020</v>
      </c>
      <c r="G14" s="109" t="s">
        <v>16</v>
      </c>
      <c r="H14" s="109">
        <v>200</v>
      </c>
      <c r="I14" s="109">
        <v>200</v>
      </c>
      <c r="J14" s="109" t="s">
        <v>108</v>
      </c>
      <c r="K14" s="102"/>
      <c r="L14" s="105">
        <v>20201118</v>
      </c>
    </row>
    <row r="15" s="146" customFormat="1" ht="16" customHeight="1" spans="1:12">
      <c r="A15" s="109">
        <v>13</v>
      </c>
      <c r="B15" s="109" t="s">
        <v>10242</v>
      </c>
      <c r="C15" s="9" t="s">
        <v>4567</v>
      </c>
      <c r="D15" s="137" t="s">
        <v>10269</v>
      </c>
      <c r="E15" s="102" t="s">
        <v>10250</v>
      </c>
      <c r="F15" s="149">
        <v>2020</v>
      </c>
      <c r="G15" s="109" t="s">
        <v>16</v>
      </c>
      <c r="H15" s="109">
        <v>200</v>
      </c>
      <c r="I15" s="109">
        <v>200</v>
      </c>
      <c r="J15" s="109"/>
      <c r="K15" s="102"/>
      <c r="L15" s="105">
        <v>20201118</v>
      </c>
    </row>
    <row r="16" s="146" customFormat="1" ht="16" customHeight="1" spans="1:12">
      <c r="A16" s="109">
        <v>14</v>
      </c>
      <c r="B16" s="109" t="s">
        <v>10242</v>
      </c>
      <c r="C16" s="9" t="s">
        <v>10270</v>
      </c>
      <c r="D16" s="137" t="s">
        <v>10271</v>
      </c>
      <c r="E16" s="102" t="s">
        <v>10250</v>
      </c>
      <c r="F16" s="149">
        <v>2020</v>
      </c>
      <c r="G16" s="109" t="s">
        <v>16</v>
      </c>
      <c r="H16" s="109">
        <v>200</v>
      </c>
      <c r="I16" s="109">
        <v>200</v>
      </c>
      <c r="J16" s="109" t="s">
        <v>108</v>
      </c>
      <c r="K16" s="102"/>
      <c r="L16" s="105">
        <v>20201118</v>
      </c>
    </row>
    <row r="17" s="146" customFormat="1" ht="16" customHeight="1" spans="1:12">
      <c r="A17" s="109">
        <v>15</v>
      </c>
      <c r="B17" s="109" t="s">
        <v>10242</v>
      </c>
      <c r="C17" s="9" t="s">
        <v>10272</v>
      </c>
      <c r="D17" s="137" t="s">
        <v>10273</v>
      </c>
      <c r="E17" s="102" t="s">
        <v>10250</v>
      </c>
      <c r="F17" s="149">
        <v>2020</v>
      </c>
      <c r="G17" s="109" t="s">
        <v>16</v>
      </c>
      <c r="H17" s="109">
        <v>200</v>
      </c>
      <c r="I17" s="109">
        <v>200</v>
      </c>
      <c r="J17" s="109" t="s">
        <v>108</v>
      </c>
      <c r="K17" s="102"/>
      <c r="L17" s="105">
        <v>20201118</v>
      </c>
    </row>
    <row r="18" s="146" customFormat="1" ht="16" customHeight="1" spans="1:12">
      <c r="A18" s="109">
        <v>16</v>
      </c>
      <c r="B18" s="109" t="s">
        <v>10242</v>
      </c>
      <c r="C18" s="9" t="s">
        <v>6997</v>
      </c>
      <c r="D18" s="137" t="s">
        <v>10274</v>
      </c>
      <c r="E18" s="102" t="s">
        <v>10250</v>
      </c>
      <c r="F18" s="149">
        <v>2020</v>
      </c>
      <c r="G18" s="109" t="s">
        <v>16</v>
      </c>
      <c r="H18" s="109">
        <v>200</v>
      </c>
      <c r="I18" s="109">
        <v>200</v>
      </c>
      <c r="J18" s="109"/>
      <c r="K18" s="102"/>
      <c r="L18" s="105">
        <v>20201118</v>
      </c>
    </row>
    <row r="19" s="146" customFormat="1" ht="16" customHeight="1" spans="1:12">
      <c r="A19" s="109">
        <v>17</v>
      </c>
      <c r="B19" s="109" t="s">
        <v>10242</v>
      </c>
      <c r="C19" s="9" t="s">
        <v>10275</v>
      </c>
      <c r="D19" s="137" t="s">
        <v>10276</v>
      </c>
      <c r="E19" s="102" t="s">
        <v>10250</v>
      </c>
      <c r="F19" s="149">
        <v>2020</v>
      </c>
      <c r="G19" s="109" t="s">
        <v>16</v>
      </c>
      <c r="H19" s="109">
        <v>200</v>
      </c>
      <c r="I19" s="109">
        <v>200</v>
      </c>
      <c r="J19" s="109"/>
      <c r="K19" s="102"/>
      <c r="L19" s="105">
        <v>20201118</v>
      </c>
    </row>
    <row r="20" s="146" customFormat="1" ht="16" customHeight="1" spans="1:12">
      <c r="A20" s="109">
        <v>18</v>
      </c>
      <c r="B20" s="109" t="s">
        <v>10242</v>
      </c>
      <c r="C20" s="9" t="s">
        <v>10277</v>
      </c>
      <c r="D20" s="137" t="s">
        <v>10278</v>
      </c>
      <c r="E20" s="102" t="s">
        <v>10250</v>
      </c>
      <c r="F20" s="149">
        <v>2020</v>
      </c>
      <c r="G20" s="109" t="s">
        <v>16</v>
      </c>
      <c r="H20" s="109">
        <v>200</v>
      </c>
      <c r="I20" s="109">
        <v>200</v>
      </c>
      <c r="J20" s="109"/>
      <c r="K20" s="102"/>
      <c r="L20" s="105">
        <v>20201118</v>
      </c>
    </row>
    <row r="21" s="146" customFormat="1" ht="16" customHeight="1" spans="1:12">
      <c r="A21" s="109">
        <v>19</v>
      </c>
      <c r="B21" s="109" t="s">
        <v>10242</v>
      </c>
      <c r="C21" s="9" t="s">
        <v>10279</v>
      </c>
      <c r="D21" s="137" t="s">
        <v>10280</v>
      </c>
      <c r="E21" s="102" t="s">
        <v>10250</v>
      </c>
      <c r="F21" s="149">
        <v>2020</v>
      </c>
      <c r="G21" s="109" t="s">
        <v>16</v>
      </c>
      <c r="H21" s="109">
        <v>200</v>
      </c>
      <c r="I21" s="109">
        <v>200</v>
      </c>
      <c r="J21" s="109"/>
      <c r="K21" s="102"/>
      <c r="L21" s="105">
        <v>20201118</v>
      </c>
    </row>
    <row r="22" s="146" customFormat="1" ht="16" customHeight="1" spans="1:12">
      <c r="A22" s="109">
        <v>20</v>
      </c>
      <c r="B22" s="109" t="s">
        <v>10242</v>
      </c>
      <c r="C22" s="9" t="s">
        <v>10281</v>
      </c>
      <c r="D22" s="137" t="s">
        <v>10282</v>
      </c>
      <c r="E22" s="102" t="s">
        <v>10250</v>
      </c>
      <c r="F22" s="149">
        <v>2020</v>
      </c>
      <c r="G22" s="109" t="s">
        <v>16</v>
      </c>
      <c r="H22" s="109">
        <v>200</v>
      </c>
      <c r="I22" s="109">
        <v>200</v>
      </c>
      <c r="J22" s="109"/>
      <c r="K22" s="102"/>
      <c r="L22" s="105">
        <v>20201118</v>
      </c>
    </row>
    <row r="23" s="146" customFormat="1" ht="16" customHeight="1" spans="1:12">
      <c r="A23" s="109">
        <v>21</v>
      </c>
      <c r="B23" s="109" t="s">
        <v>10242</v>
      </c>
      <c r="C23" s="9" t="s">
        <v>10283</v>
      </c>
      <c r="D23" s="137" t="s">
        <v>10284</v>
      </c>
      <c r="E23" s="102" t="s">
        <v>10250</v>
      </c>
      <c r="F23" s="149">
        <v>2020</v>
      </c>
      <c r="G23" s="109" t="s">
        <v>16</v>
      </c>
      <c r="H23" s="109">
        <v>200</v>
      </c>
      <c r="I23" s="109">
        <v>200</v>
      </c>
      <c r="J23" s="109"/>
      <c r="K23" s="102"/>
      <c r="L23" s="105">
        <v>20201118</v>
      </c>
    </row>
    <row r="24" s="146" customFormat="1" ht="16" customHeight="1" spans="1:12">
      <c r="A24" s="109">
        <v>22</v>
      </c>
      <c r="B24" s="109" t="s">
        <v>10242</v>
      </c>
      <c r="C24" s="9" t="s">
        <v>10285</v>
      </c>
      <c r="D24" s="137" t="s">
        <v>10286</v>
      </c>
      <c r="E24" s="102" t="s">
        <v>10250</v>
      </c>
      <c r="F24" s="149">
        <v>2020</v>
      </c>
      <c r="G24" s="109" t="s">
        <v>16</v>
      </c>
      <c r="H24" s="109">
        <v>200</v>
      </c>
      <c r="I24" s="109">
        <v>200</v>
      </c>
      <c r="J24" s="109"/>
      <c r="K24" s="102"/>
      <c r="L24" s="105">
        <v>20201118</v>
      </c>
    </row>
    <row r="25" s="146" customFormat="1" ht="16" customHeight="1" spans="1:12">
      <c r="A25" s="109">
        <v>23</v>
      </c>
      <c r="B25" s="109" t="s">
        <v>10242</v>
      </c>
      <c r="C25" s="9" t="s">
        <v>1238</v>
      </c>
      <c r="D25" s="137" t="s">
        <v>10287</v>
      </c>
      <c r="E25" s="102" t="s">
        <v>10250</v>
      </c>
      <c r="F25" s="149">
        <v>2020</v>
      </c>
      <c r="G25" s="109" t="s">
        <v>16</v>
      </c>
      <c r="H25" s="109">
        <v>200</v>
      </c>
      <c r="I25" s="109">
        <v>200</v>
      </c>
      <c r="J25" s="109"/>
      <c r="K25" s="102"/>
      <c r="L25" s="105">
        <v>20201118</v>
      </c>
    </row>
    <row r="26" s="146" customFormat="1" ht="16" customHeight="1" spans="1:12">
      <c r="A26" s="109">
        <v>24</v>
      </c>
      <c r="B26" s="109" t="s">
        <v>10242</v>
      </c>
      <c r="C26" s="9" t="s">
        <v>8292</v>
      </c>
      <c r="D26" s="137" t="s">
        <v>10288</v>
      </c>
      <c r="E26" s="102" t="s">
        <v>10250</v>
      </c>
      <c r="F26" s="149">
        <v>2020</v>
      </c>
      <c r="G26" s="109" t="s">
        <v>16</v>
      </c>
      <c r="H26" s="109">
        <v>200</v>
      </c>
      <c r="I26" s="109">
        <v>200</v>
      </c>
      <c r="J26" s="109" t="s">
        <v>768</v>
      </c>
      <c r="K26" s="102"/>
      <c r="L26" s="105">
        <v>20201118</v>
      </c>
    </row>
    <row r="27" s="146" customFormat="1" ht="16" customHeight="1" spans="1:12">
      <c r="A27" s="109">
        <v>25</v>
      </c>
      <c r="B27" s="109" t="s">
        <v>10242</v>
      </c>
      <c r="C27" s="9" t="s">
        <v>10289</v>
      </c>
      <c r="D27" s="137" t="s">
        <v>10290</v>
      </c>
      <c r="E27" s="102" t="s">
        <v>10250</v>
      </c>
      <c r="F27" s="149">
        <v>2020</v>
      </c>
      <c r="G27" s="109" t="s">
        <v>16</v>
      </c>
      <c r="H27" s="109">
        <v>200</v>
      </c>
      <c r="I27" s="109">
        <v>200</v>
      </c>
      <c r="J27" s="109"/>
      <c r="K27" s="102"/>
      <c r="L27" s="105">
        <v>20201118</v>
      </c>
    </row>
    <row r="28" s="146" customFormat="1" ht="16" customHeight="1" spans="1:12">
      <c r="A28" s="109">
        <v>26</v>
      </c>
      <c r="B28" s="109" t="s">
        <v>10242</v>
      </c>
      <c r="C28" s="9" t="s">
        <v>10291</v>
      </c>
      <c r="D28" s="137" t="s">
        <v>10292</v>
      </c>
      <c r="E28" s="102" t="s">
        <v>10250</v>
      </c>
      <c r="F28" s="149">
        <v>2020</v>
      </c>
      <c r="G28" s="109" t="s">
        <v>16</v>
      </c>
      <c r="H28" s="109">
        <v>200</v>
      </c>
      <c r="I28" s="109">
        <v>200</v>
      </c>
      <c r="J28" s="109"/>
      <c r="K28" s="102"/>
      <c r="L28" s="105">
        <v>20201118</v>
      </c>
    </row>
    <row r="29" s="146" customFormat="1" ht="16" customHeight="1" spans="1:12">
      <c r="A29" s="109">
        <v>27</v>
      </c>
      <c r="B29" s="109" t="s">
        <v>10242</v>
      </c>
      <c r="C29" s="9" t="s">
        <v>1333</v>
      </c>
      <c r="D29" s="137" t="s">
        <v>10293</v>
      </c>
      <c r="E29" s="102" t="s">
        <v>10250</v>
      </c>
      <c r="F29" s="149">
        <v>2020</v>
      </c>
      <c r="G29" s="109" t="s">
        <v>16</v>
      </c>
      <c r="H29" s="109">
        <v>200</v>
      </c>
      <c r="I29" s="109">
        <v>200</v>
      </c>
      <c r="J29" s="109"/>
      <c r="K29" s="102"/>
      <c r="L29" s="105">
        <v>20201118</v>
      </c>
    </row>
    <row r="30" s="146" customFormat="1" ht="16" customHeight="1" spans="1:12">
      <c r="A30" s="109">
        <v>28</v>
      </c>
      <c r="B30" s="109" t="s">
        <v>10242</v>
      </c>
      <c r="C30" s="9" t="s">
        <v>10294</v>
      </c>
      <c r="D30" s="137" t="s">
        <v>10295</v>
      </c>
      <c r="E30" s="102" t="s">
        <v>10250</v>
      </c>
      <c r="F30" s="149">
        <v>2020</v>
      </c>
      <c r="G30" s="109" t="s">
        <v>16</v>
      </c>
      <c r="H30" s="109">
        <v>200</v>
      </c>
      <c r="I30" s="109">
        <v>200</v>
      </c>
      <c r="J30" s="109"/>
      <c r="K30" s="102"/>
      <c r="L30" s="105">
        <v>20201118</v>
      </c>
    </row>
    <row r="31" s="146" customFormat="1" ht="16" customHeight="1" spans="1:12">
      <c r="A31" s="109">
        <v>29</v>
      </c>
      <c r="B31" s="109" t="s">
        <v>10242</v>
      </c>
      <c r="C31" s="9" t="s">
        <v>10296</v>
      </c>
      <c r="D31" s="137" t="s">
        <v>10297</v>
      </c>
      <c r="E31" s="102" t="s">
        <v>10250</v>
      </c>
      <c r="F31" s="149">
        <v>2020</v>
      </c>
      <c r="G31" s="109" t="s">
        <v>16</v>
      </c>
      <c r="H31" s="109">
        <v>200</v>
      </c>
      <c r="I31" s="109">
        <v>200</v>
      </c>
      <c r="J31" s="109"/>
      <c r="K31" s="102"/>
      <c r="L31" s="105">
        <v>20201118</v>
      </c>
    </row>
    <row r="32" s="146" customFormat="1" ht="16" customHeight="1" spans="1:12">
      <c r="A32" s="109">
        <v>30</v>
      </c>
      <c r="B32" s="109" t="s">
        <v>10242</v>
      </c>
      <c r="C32" s="9" t="s">
        <v>10298</v>
      </c>
      <c r="D32" s="137" t="s">
        <v>10299</v>
      </c>
      <c r="E32" s="102" t="s">
        <v>10250</v>
      </c>
      <c r="F32" s="149">
        <v>2020</v>
      </c>
      <c r="G32" s="109" t="s">
        <v>16</v>
      </c>
      <c r="H32" s="109">
        <v>200</v>
      </c>
      <c r="I32" s="109">
        <v>200</v>
      </c>
      <c r="J32" s="109"/>
      <c r="K32" s="102"/>
      <c r="L32" s="105">
        <v>20201118</v>
      </c>
    </row>
    <row r="33" s="146" customFormat="1" ht="16" customHeight="1" spans="1:12">
      <c r="A33" s="109">
        <v>31</v>
      </c>
      <c r="B33" s="109" t="s">
        <v>10242</v>
      </c>
      <c r="C33" s="9" t="s">
        <v>10300</v>
      </c>
      <c r="D33" s="137" t="s">
        <v>10301</v>
      </c>
      <c r="E33" s="102" t="s">
        <v>10250</v>
      </c>
      <c r="F33" s="149">
        <v>2020</v>
      </c>
      <c r="G33" s="109" t="s">
        <v>16</v>
      </c>
      <c r="H33" s="109">
        <v>200</v>
      </c>
      <c r="I33" s="109">
        <v>200</v>
      </c>
      <c r="J33" s="109" t="s">
        <v>108</v>
      </c>
      <c r="K33" s="102"/>
      <c r="L33" s="105">
        <v>20201118</v>
      </c>
    </row>
    <row r="34" s="146" customFormat="1" ht="16" customHeight="1" spans="1:12">
      <c r="A34" s="109">
        <v>32</v>
      </c>
      <c r="B34" s="109" t="s">
        <v>10242</v>
      </c>
      <c r="C34" s="9" t="s">
        <v>10302</v>
      </c>
      <c r="D34" s="137" t="s">
        <v>10303</v>
      </c>
      <c r="E34" s="102" t="s">
        <v>10250</v>
      </c>
      <c r="F34" s="149">
        <v>2020</v>
      </c>
      <c r="G34" s="109" t="s">
        <v>16</v>
      </c>
      <c r="H34" s="109">
        <v>200</v>
      </c>
      <c r="I34" s="109">
        <v>200</v>
      </c>
      <c r="J34" s="109"/>
      <c r="K34" s="102"/>
      <c r="L34" s="105">
        <v>20201118</v>
      </c>
    </row>
    <row r="35" s="146" customFormat="1" ht="16" customHeight="1" spans="1:12">
      <c r="A35" s="109">
        <v>33</v>
      </c>
      <c r="B35" s="109" t="s">
        <v>10242</v>
      </c>
      <c r="C35" s="9" t="s">
        <v>10304</v>
      </c>
      <c r="D35" s="137" t="s">
        <v>10305</v>
      </c>
      <c r="E35" s="102" t="s">
        <v>10250</v>
      </c>
      <c r="F35" s="149">
        <v>2020</v>
      </c>
      <c r="G35" s="109" t="s">
        <v>16</v>
      </c>
      <c r="H35" s="109">
        <v>200</v>
      </c>
      <c r="I35" s="109">
        <v>200</v>
      </c>
      <c r="J35" s="109"/>
      <c r="K35" s="102"/>
      <c r="L35" s="105">
        <v>20201118</v>
      </c>
    </row>
    <row r="36" s="146" customFormat="1" ht="16" customHeight="1" spans="1:12">
      <c r="A36" s="109">
        <v>34</v>
      </c>
      <c r="B36" s="109" t="s">
        <v>10242</v>
      </c>
      <c r="C36" s="9" t="s">
        <v>10306</v>
      </c>
      <c r="D36" s="137" t="s">
        <v>10307</v>
      </c>
      <c r="E36" s="102" t="s">
        <v>10250</v>
      </c>
      <c r="F36" s="149">
        <v>2020</v>
      </c>
      <c r="G36" s="109" t="s">
        <v>16</v>
      </c>
      <c r="H36" s="109">
        <v>200</v>
      </c>
      <c r="I36" s="109">
        <v>200</v>
      </c>
      <c r="J36" s="109"/>
      <c r="K36" s="102"/>
      <c r="L36" s="105">
        <v>20201118</v>
      </c>
    </row>
    <row r="37" s="146" customFormat="1" ht="16" customHeight="1" spans="1:12">
      <c r="A37" s="109">
        <v>35</v>
      </c>
      <c r="B37" s="109" t="s">
        <v>10242</v>
      </c>
      <c r="C37" s="9" t="s">
        <v>10308</v>
      </c>
      <c r="D37" s="137" t="s">
        <v>10309</v>
      </c>
      <c r="E37" s="102" t="s">
        <v>10250</v>
      </c>
      <c r="F37" s="149">
        <v>2020</v>
      </c>
      <c r="G37" s="109" t="s">
        <v>16</v>
      </c>
      <c r="H37" s="109">
        <v>200</v>
      </c>
      <c r="I37" s="109">
        <v>200</v>
      </c>
      <c r="J37" s="109"/>
      <c r="K37" s="102"/>
      <c r="L37" s="105">
        <v>20201118</v>
      </c>
    </row>
    <row r="38" s="146" customFormat="1" ht="16" customHeight="1" spans="1:12">
      <c r="A38" s="109">
        <v>36</v>
      </c>
      <c r="B38" s="109" t="s">
        <v>10242</v>
      </c>
      <c r="C38" s="9" t="s">
        <v>10310</v>
      </c>
      <c r="D38" s="137" t="s">
        <v>10311</v>
      </c>
      <c r="E38" s="102" t="s">
        <v>10250</v>
      </c>
      <c r="F38" s="149">
        <v>2020</v>
      </c>
      <c r="G38" s="109" t="s">
        <v>16</v>
      </c>
      <c r="H38" s="109">
        <v>200</v>
      </c>
      <c r="I38" s="109">
        <v>200</v>
      </c>
      <c r="J38" s="109"/>
      <c r="K38" s="102"/>
      <c r="L38" s="105">
        <v>20201118</v>
      </c>
    </row>
    <row r="39" s="146" customFormat="1" ht="16" customHeight="1" spans="1:12">
      <c r="A39" s="109">
        <v>37</v>
      </c>
      <c r="B39" s="109" t="s">
        <v>10242</v>
      </c>
      <c r="C39" s="9" t="s">
        <v>10312</v>
      </c>
      <c r="D39" s="137" t="s">
        <v>10313</v>
      </c>
      <c r="E39" s="102" t="s">
        <v>10250</v>
      </c>
      <c r="F39" s="149">
        <v>2020</v>
      </c>
      <c r="G39" s="109" t="s">
        <v>16</v>
      </c>
      <c r="H39" s="109">
        <v>200</v>
      </c>
      <c r="I39" s="109">
        <v>200</v>
      </c>
      <c r="J39" s="109"/>
      <c r="K39" s="102"/>
      <c r="L39" s="105">
        <v>20201118</v>
      </c>
    </row>
    <row r="40" s="146" customFormat="1" ht="16" customHeight="1" spans="1:12">
      <c r="A40" s="109">
        <v>38</v>
      </c>
      <c r="B40" s="109" t="s">
        <v>10242</v>
      </c>
      <c r="C40" s="9" t="s">
        <v>10314</v>
      </c>
      <c r="D40" s="137" t="s">
        <v>10315</v>
      </c>
      <c r="E40" s="102" t="s">
        <v>10250</v>
      </c>
      <c r="F40" s="149">
        <v>2020</v>
      </c>
      <c r="G40" s="109" t="s">
        <v>16</v>
      </c>
      <c r="H40" s="109">
        <v>200</v>
      </c>
      <c r="I40" s="109">
        <v>200</v>
      </c>
      <c r="J40" s="109" t="s">
        <v>108</v>
      </c>
      <c r="K40" s="102"/>
      <c r="L40" s="105">
        <v>20201118</v>
      </c>
    </row>
    <row r="41" s="146" customFormat="1" ht="16" customHeight="1" spans="1:12">
      <c r="A41" s="109">
        <v>39</v>
      </c>
      <c r="B41" s="109" t="s">
        <v>10242</v>
      </c>
      <c r="C41" s="9" t="s">
        <v>6354</v>
      </c>
      <c r="D41" s="137" t="s">
        <v>10316</v>
      </c>
      <c r="E41" s="102" t="s">
        <v>10250</v>
      </c>
      <c r="F41" s="149">
        <v>2020</v>
      </c>
      <c r="G41" s="109" t="s">
        <v>16</v>
      </c>
      <c r="H41" s="109">
        <v>200</v>
      </c>
      <c r="I41" s="109">
        <v>200</v>
      </c>
      <c r="J41" s="109"/>
      <c r="K41" s="102"/>
      <c r="L41" s="105">
        <v>20201118</v>
      </c>
    </row>
    <row r="42" s="146" customFormat="1" ht="16" customHeight="1" spans="1:12">
      <c r="A42" s="109">
        <v>40</v>
      </c>
      <c r="B42" s="109" t="s">
        <v>10242</v>
      </c>
      <c r="C42" s="9" t="s">
        <v>10317</v>
      </c>
      <c r="D42" s="137" t="s">
        <v>10318</v>
      </c>
      <c r="E42" s="102" t="s">
        <v>10250</v>
      </c>
      <c r="F42" s="149">
        <v>2020</v>
      </c>
      <c r="G42" s="109" t="s">
        <v>16</v>
      </c>
      <c r="H42" s="109">
        <v>200</v>
      </c>
      <c r="I42" s="109">
        <v>200</v>
      </c>
      <c r="J42" s="109"/>
      <c r="K42" s="102"/>
      <c r="L42" s="105">
        <v>20201118</v>
      </c>
    </row>
    <row r="43" s="146" customFormat="1" ht="16" customHeight="1" spans="1:12">
      <c r="A43" s="109">
        <v>41</v>
      </c>
      <c r="B43" s="109" t="s">
        <v>10242</v>
      </c>
      <c r="C43" s="9" t="s">
        <v>10319</v>
      </c>
      <c r="D43" s="137" t="s">
        <v>10320</v>
      </c>
      <c r="E43" s="102" t="s">
        <v>10250</v>
      </c>
      <c r="F43" s="149">
        <v>2020</v>
      </c>
      <c r="G43" s="109" t="s">
        <v>16</v>
      </c>
      <c r="H43" s="109">
        <v>200</v>
      </c>
      <c r="I43" s="109">
        <v>200</v>
      </c>
      <c r="J43" s="109"/>
      <c r="K43" s="102"/>
      <c r="L43" s="105">
        <v>20201118</v>
      </c>
    </row>
    <row r="44" s="146" customFormat="1" ht="16" customHeight="1" spans="1:12">
      <c r="A44" s="109">
        <v>42</v>
      </c>
      <c r="B44" s="109" t="s">
        <v>10242</v>
      </c>
      <c r="C44" s="9" t="s">
        <v>10321</v>
      </c>
      <c r="D44" s="137" t="s">
        <v>10322</v>
      </c>
      <c r="E44" s="102" t="s">
        <v>10250</v>
      </c>
      <c r="F44" s="149">
        <v>2020</v>
      </c>
      <c r="G44" s="109" t="s">
        <v>16</v>
      </c>
      <c r="H44" s="109">
        <v>200</v>
      </c>
      <c r="I44" s="109">
        <v>200</v>
      </c>
      <c r="J44" s="109"/>
      <c r="K44" s="102"/>
      <c r="L44" s="105">
        <v>20201118</v>
      </c>
    </row>
    <row r="45" s="146" customFormat="1" ht="16" customHeight="1" spans="1:12">
      <c r="A45" s="109">
        <v>43</v>
      </c>
      <c r="B45" s="109" t="s">
        <v>10242</v>
      </c>
      <c r="C45" s="9" t="s">
        <v>10323</v>
      </c>
      <c r="D45" s="137" t="s">
        <v>10324</v>
      </c>
      <c r="E45" s="102" t="s">
        <v>10250</v>
      </c>
      <c r="F45" s="149">
        <v>2020</v>
      </c>
      <c r="G45" s="109" t="s">
        <v>16</v>
      </c>
      <c r="H45" s="109">
        <v>200</v>
      </c>
      <c r="I45" s="109">
        <v>200</v>
      </c>
      <c r="J45" s="109"/>
      <c r="K45" s="102"/>
      <c r="L45" s="105">
        <v>20201118</v>
      </c>
    </row>
    <row r="46" s="146" customFormat="1" ht="16" customHeight="1" spans="1:12">
      <c r="A46" s="109">
        <v>44</v>
      </c>
      <c r="B46" s="109" t="s">
        <v>10242</v>
      </c>
      <c r="C46" s="9" t="s">
        <v>1624</v>
      </c>
      <c r="D46" s="137" t="s">
        <v>10325</v>
      </c>
      <c r="E46" s="102" t="s">
        <v>10250</v>
      </c>
      <c r="F46" s="149">
        <v>2020</v>
      </c>
      <c r="G46" s="109" t="s">
        <v>16</v>
      </c>
      <c r="H46" s="109">
        <v>200</v>
      </c>
      <c r="I46" s="109">
        <v>200</v>
      </c>
      <c r="J46" s="109"/>
      <c r="K46" s="102"/>
      <c r="L46" s="105">
        <v>20201118</v>
      </c>
    </row>
    <row r="47" s="146" customFormat="1" ht="16" customHeight="1" spans="1:12">
      <c r="A47" s="109">
        <v>45</v>
      </c>
      <c r="B47" s="109" t="s">
        <v>10242</v>
      </c>
      <c r="C47" s="9" t="s">
        <v>10326</v>
      </c>
      <c r="D47" s="137" t="s">
        <v>10327</v>
      </c>
      <c r="E47" s="102" t="s">
        <v>10250</v>
      </c>
      <c r="F47" s="149">
        <v>2020</v>
      </c>
      <c r="G47" s="109" t="s">
        <v>16</v>
      </c>
      <c r="H47" s="109">
        <v>200</v>
      </c>
      <c r="I47" s="109">
        <v>200</v>
      </c>
      <c r="J47" s="109"/>
      <c r="K47" s="102"/>
      <c r="L47" s="105">
        <v>20201118</v>
      </c>
    </row>
    <row r="48" s="146" customFormat="1" ht="16" customHeight="1" spans="1:12">
      <c r="A48" s="109">
        <v>46</v>
      </c>
      <c r="B48" s="109" t="s">
        <v>10242</v>
      </c>
      <c r="C48" s="9" t="s">
        <v>10328</v>
      </c>
      <c r="D48" s="137" t="s">
        <v>10329</v>
      </c>
      <c r="E48" s="102" t="s">
        <v>10250</v>
      </c>
      <c r="F48" s="149">
        <v>2020</v>
      </c>
      <c r="G48" s="109" t="s">
        <v>16</v>
      </c>
      <c r="H48" s="109">
        <v>200</v>
      </c>
      <c r="I48" s="109">
        <v>200</v>
      </c>
      <c r="J48" s="109"/>
      <c r="K48" s="102"/>
      <c r="L48" s="105">
        <v>20201118</v>
      </c>
    </row>
    <row r="49" s="146" customFormat="1" ht="16" customHeight="1" spans="1:12">
      <c r="A49" s="109">
        <v>47</v>
      </c>
      <c r="B49" s="109" t="s">
        <v>10242</v>
      </c>
      <c r="C49" s="9" t="s">
        <v>10330</v>
      </c>
      <c r="D49" s="137" t="s">
        <v>10331</v>
      </c>
      <c r="E49" s="102" t="s">
        <v>10250</v>
      </c>
      <c r="F49" s="149">
        <v>2020</v>
      </c>
      <c r="G49" s="109" t="s">
        <v>16</v>
      </c>
      <c r="H49" s="109">
        <v>200</v>
      </c>
      <c r="I49" s="109">
        <v>200</v>
      </c>
      <c r="J49" s="109"/>
      <c r="K49" s="102"/>
      <c r="L49" s="105">
        <v>20201118</v>
      </c>
    </row>
    <row r="50" s="146" customFormat="1" ht="16" customHeight="1" spans="1:12">
      <c r="A50" s="109">
        <v>48</v>
      </c>
      <c r="B50" s="109" t="s">
        <v>10242</v>
      </c>
      <c r="C50" s="9" t="s">
        <v>10332</v>
      </c>
      <c r="D50" s="137" t="s">
        <v>10333</v>
      </c>
      <c r="E50" s="102" t="s">
        <v>10250</v>
      </c>
      <c r="F50" s="149">
        <v>2020</v>
      </c>
      <c r="G50" s="109" t="s">
        <v>16</v>
      </c>
      <c r="H50" s="109">
        <v>200</v>
      </c>
      <c r="I50" s="109">
        <v>200</v>
      </c>
      <c r="J50" s="109"/>
      <c r="K50" s="102"/>
      <c r="L50" s="105">
        <v>20201118</v>
      </c>
    </row>
    <row r="51" s="146" customFormat="1" ht="16" customHeight="1" spans="1:12">
      <c r="A51" s="109">
        <v>49</v>
      </c>
      <c r="B51" s="109" t="s">
        <v>10242</v>
      </c>
      <c r="C51" s="9" t="s">
        <v>10334</v>
      </c>
      <c r="D51" s="137" t="s">
        <v>10335</v>
      </c>
      <c r="E51" s="102" t="s">
        <v>10250</v>
      </c>
      <c r="F51" s="149">
        <v>2020</v>
      </c>
      <c r="G51" s="109" t="s">
        <v>16</v>
      </c>
      <c r="H51" s="109">
        <v>200</v>
      </c>
      <c r="I51" s="109">
        <v>200</v>
      </c>
      <c r="J51" s="109"/>
      <c r="K51" s="102"/>
      <c r="L51" s="105">
        <v>20201118</v>
      </c>
    </row>
    <row r="52" s="146" customFormat="1" ht="16" customHeight="1" spans="1:12">
      <c r="A52" s="109">
        <v>50</v>
      </c>
      <c r="B52" s="109" t="s">
        <v>10242</v>
      </c>
      <c r="C52" s="9" t="s">
        <v>10336</v>
      </c>
      <c r="D52" s="137" t="s">
        <v>10337</v>
      </c>
      <c r="E52" s="102" t="s">
        <v>10250</v>
      </c>
      <c r="F52" s="149">
        <v>2020</v>
      </c>
      <c r="G52" s="109" t="s">
        <v>16</v>
      </c>
      <c r="H52" s="109">
        <v>200</v>
      </c>
      <c r="I52" s="109">
        <v>200</v>
      </c>
      <c r="J52" s="109" t="s">
        <v>108</v>
      </c>
      <c r="K52" s="102"/>
      <c r="L52" s="105">
        <v>20201118</v>
      </c>
    </row>
    <row r="53" s="146" customFormat="1" ht="16" customHeight="1" spans="1:12">
      <c r="A53" s="109">
        <v>51</v>
      </c>
      <c r="B53" s="109" t="s">
        <v>10242</v>
      </c>
      <c r="C53" s="9" t="s">
        <v>10338</v>
      </c>
      <c r="D53" s="137" t="s">
        <v>10339</v>
      </c>
      <c r="E53" s="102" t="s">
        <v>10250</v>
      </c>
      <c r="F53" s="149">
        <v>2020</v>
      </c>
      <c r="G53" s="109" t="s">
        <v>16</v>
      </c>
      <c r="H53" s="109">
        <v>200</v>
      </c>
      <c r="I53" s="109">
        <v>200</v>
      </c>
      <c r="J53" s="109"/>
      <c r="K53" s="102"/>
      <c r="L53" s="105">
        <v>20201118</v>
      </c>
    </row>
    <row r="54" s="146" customFormat="1" ht="16" customHeight="1" spans="1:12">
      <c r="A54" s="109">
        <v>52</v>
      </c>
      <c r="B54" s="109" t="s">
        <v>10242</v>
      </c>
      <c r="C54" s="9" t="s">
        <v>10340</v>
      </c>
      <c r="D54" s="137" t="s">
        <v>10341</v>
      </c>
      <c r="E54" s="102" t="s">
        <v>10250</v>
      </c>
      <c r="F54" s="149">
        <v>2020</v>
      </c>
      <c r="G54" s="109" t="s">
        <v>16</v>
      </c>
      <c r="H54" s="109">
        <v>200</v>
      </c>
      <c r="I54" s="109">
        <v>200</v>
      </c>
      <c r="J54" s="109"/>
      <c r="K54" s="102"/>
      <c r="L54" s="105">
        <v>20201118</v>
      </c>
    </row>
    <row r="55" s="146" customFormat="1" ht="16" customHeight="1" spans="1:12">
      <c r="A55" s="109">
        <v>53</v>
      </c>
      <c r="B55" s="109" t="s">
        <v>10242</v>
      </c>
      <c r="C55" s="9" t="s">
        <v>1333</v>
      </c>
      <c r="D55" s="137" t="s">
        <v>10342</v>
      </c>
      <c r="E55" s="102" t="s">
        <v>10250</v>
      </c>
      <c r="F55" s="149">
        <v>2020</v>
      </c>
      <c r="G55" s="109" t="s">
        <v>16</v>
      </c>
      <c r="H55" s="109">
        <v>200</v>
      </c>
      <c r="I55" s="109">
        <v>200</v>
      </c>
      <c r="J55" s="109"/>
      <c r="K55" s="102"/>
      <c r="L55" s="105">
        <v>20201118</v>
      </c>
    </row>
    <row r="56" s="146" customFormat="1" ht="16" customHeight="1" spans="1:12">
      <c r="A56" s="109">
        <v>54</v>
      </c>
      <c r="B56" s="109" t="s">
        <v>10242</v>
      </c>
      <c r="C56" s="9" t="s">
        <v>10343</v>
      </c>
      <c r="D56" s="137" t="s">
        <v>10344</v>
      </c>
      <c r="E56" s="102" t="s">
        <v>10250</v>
      </c>
      <c r="F56" s="149">
        <v>2020</v>
      </c>
      <c r="G56" s="109" t="s">
        <v>16</v>
      </c>
      <c r="H56" s="109">
        <v>200</v>
      </c>
      <c r="I56" s="109">
        <v>200</v>
      </c>
      <c r="J56" s="109"/>
      <c r="K56" s="102"/>
      <c r="L56" s="105">
        <v>20201118</v>
      </c>
    </row>
    <row r="57" s="146" customFormat="1" ht="16" customHeight="1" spans="1:12">
      <c r="A57" s="109">
        <v>55</v>
      </c>
      <c r="B57" s="109" t="s">
        <v>10242</v>
      </c>
      <c r="C57" s="9" t="s">
        <v>10345</v>
      </c>
      <c r="D57" s="137" t="s">
        <v>10346</v>
      </c>
      <c r="E57" s="102" t="s">
        <v>10250</v>
      </c>
      <c r="F57" s="149">
        <v>2020</v>
      </c>
      <c r="G57" s="109" t="s">
        <v>16</v>
      </c>
      <c r="H57" s="109">
        <v>200</v>
      </c>
      <c r="I57" s="109">
        <v>200</v>
      </c>
      <c r="J57" s="109"/>
      <c r="K57" s="102"/>
      <c r="L57" s="105">
        <v>20201118</v>
      </c>
    </row>
    <row r="58" s="146" customFormat="1" ht="16" customHeight="1" spans="1:12">
      <c r="A58" s="109">
        <v>56</v>
      </c>
      <c r="B58" s="109" t="s">
        <v>10242</v>
      </c>
      <c r="C58" s="9" t="s">
        <v>10347</v>
      </c>
      <c r="D58" s="137" t="s">
        <v>10348</v>
      </c>
      <c r="E58" s="102" t="s">
        <v>10250</v>
      </c>
      <c r="F58" s="149">
        <v>2020</v>
      </c>
      <c r="G58" s="109" t="s">
        <v>16</v>
      </c>
      <c r="H58" s="109">
        <v>200</v>
      </c>
      <c r="I58" s="109">
        <v>200</v>
      </c>
      <c r="J58" s="109"/>
      <c r="K58" s="102"/>
      <c r="L58" s="105">
        <v>20201118</v>
      </c>
    </row>
    <row r="59" s="146" customFormat="1" ht="16" customHeight="1" spans="1:12">
      <c r="A59" s="109">
        <v>57</v>
      </c>
      <c r="B59" s="109" t="s">
        <v>10242</v>
      </c>
      <c r="C59" s="9" t="s">
        <v>10349</v>
      </c>
      <c r="D59" s="137" t="s">
        <v>10350</v>
      </c>
      <c r="E59" s="102" t="s">
        <v>10250</v>
      </c>
      <c r="F59" s="149">
        <v>2020</v>
      </c>
      <c r="G59" s="109" t="s">
        <v>16</v>
      </c>
      <c r="H59" s="109">
        <v>200</v>
      </c>
      <c r="I59" s="109">
        <v>200</v>
      </c>
      <c r="J59" s="109"/>
      <c r="K59" s="102"/>
      <c r="L59" s="105">
        <v>20201118</v>
      </c>
    </row>
    <row r="60" s="146" customFormat="1" ht="16" customHeight="1" spans="1:12">
      <c r="A60" s="109">
        <v>58</v>
      </c>
      <c r="B60" s="109" t="s">
        <v>10242</v>
      </c>
      <c r="C60" s="9" t="s">
        <v>10351</v>
      </c>
      <c r="D60" s="137" t="s">
        <v>10352</v>
      </c>
      <c r="E60" s="102" t="s">
        <v>10250</v>
      </c>
      <c r="F60" s="149">
        <v>2020</v>
      </c>
      <c r="G60" s="109" t="s">
        <v>16</v>
      </c>
      <c r="H60" s="109">
        <v>200</v>
      </c>
      <c r="I60" s="109">
        <v>200</v>
      </c>
      <c r="J60" s="109"/>
      <c r="K60" s="102"/>
      <c r="L60" s="105">
        <v>20201118</v>
      </c>
    </row>
    <row r="61" s="146" customFormat="1" ht="16" customHeight="1" spans="1:12">
      <c r="A61" s="109">
        <v>59</v>
      </c>
      <c r="B61" s="109" t="s">
        <v>10242</v>
      </c>
      <c r="C61" s="9" t="s">
        <v>10353</v>
      </c>
      <c r="D61" s="137" t="s">
        <v>10354</v>
      </c>
      <c r="E61" s="102" t="s">
        <v>10250</v>
      </c>
      <c r="F61" s="149">
        <v>2020</v>
      </c>
      <c r="G61" s="109" t="s">
        <v>16</v>
      </c>
      <c r="H61" s="109">
        <v>200</v>
      </c>
      <c r="I61" s="109">
        <v>200</v>
      </c>
      <c r="J61" s="109"/>
      <c r="K61" s="102"/>
      <c r="L61" s="105">
        <v>20201118</v>
      </c>
    </row>
    <row r="62" s="146" customFormat="1" ht="16" customHeight="1" spans="1:12">
      <c r="A62" s="109">
        <v>60</v>
      </c>
      <c r="B62" s="109" t="s">
        <v>10242</v>
      </c>
      <c r="C62" s="9" t="s">
        <v>10355</v>
      </c>
      <c r="D62" s="137" t="s">
        <v>10356</v>
      </c>
      <c r="E62" s="102" t="s">
        <v>10250</v>
      </c>
      <c r="F62" s="149">
        <v>2020</v>
      </c>
      <c r="G62" s="109" t="s">
        <v>16</v>
      </c>
      <c r="H62" s="109">
        <v>200</v>
      </c>
      <c r="I62" s="109">
        <v>200</v>
      </c>
      <c r="J62" s="109"/>
      <c r="K62" s="102"/>
      <c r="L62" s="105">
        <v>20201118</v>
      </c>
    </row>
    <row r="63" s="146" customFormat="1" ht="16" customHeight="1" spans="1:12">
      <c r="A63" s="109">
        <v>61</v>
      </c>
      <c r="B63" s="109" t="s">
        <v>10242</v>
      </c>
      <c r="C63" s="9" t="s">
        <v>10357</v>
      </c>
      <c r="D63" s="137" t="s">
        <v>10358</v>
      </c>
      <c r="E63" s="102" t="s">
        <v>10250</v>
      </c>
      <c r="F63" s="149">
        <v>2020</v>
      </c>
      <c r="G63" s="109" t="s">
        <v>16</v>
      </c>
      <c r="H63" s="109">
        <v>200</v>
      </c>
      <c r="I63" s="109">
        <v>200</v>
      </c>
      <c r="J63" s="109"/>
      <c r="K63" s="102"/>
      <c r="L63" s="105">
        <v>20201118</v>
      </c>
    </row>
    <row r="64" s="146" customFormat="1" ht="16" customHeight="1" spans="1:12">
      <c r="A64" s="109">
        <v>62</v>
      </c>
      <c r="B64" s="109" t="s">
        <v>10242</v>
      </c>
      <c r="C64" s="9" t="s">
        <v>10359</v>
      </c>
      <c r="D64" s="137" t="s">
        <v>10360</v>
      </c>
      <c r="E64" s="102" t="s">
        <v>10250</v>
      </c>
      <c r="F64" s="149">
        <v>2020</v>
      </c>
      <c r="G64" s="109" t="s">
        <v>16</v>
      </c>
      <c r="H64" s="109">
        <v>200</v>
      </c>
      <c r="I64" s="109">
        <v>200</v>
      </c>
      <c r="J64" s="109"/>
      <c r="K64" s="102"/>
      <c r="L64" s="105">
        <v>20201118</v>
      </c>
    </row>
    <row r="65" s="146" customFormat="1" ht="16" customHeight="1" spans="1:12">
      <c r="A65" s="109">
        <v>63</v>
      </c>
      <c r="B65" s="109" t="s">
        <v>10242</v>
      </c>
      <c r="C65" s="9" t="s">
        <v>10361</v>
      </c>
      <c r="D65" s="137" t="s">
        <v>10362</v>
      </c>
      <c r="E65" s="102" t="s">
        <v>10250</v>
      </c>
      <c r="F65" s="149">
        <v>2020</v>
      </c>
      <c r="G65" s="109" t="s">
        <v>16</v>
      </c>
      <c r="H65" s="109">
        <v>200</v>
      </c>
      <c r="I65" s="109">
        <v>200</v>
      </c>
      <c r="J65" s="109"/>
      <c r="K65" s="102"/>
      <c r="L65" s="105">
        <v>20201118</v>
      </c>
    </row>
    <row r="66" s="146" customFormat="1" ht="16" customHeight="1" spans="1:12">
      <c r="A66" s="109">
        <v>64</v>
      </c>
      <c r="B66" s="109" t="s">
        <v>10242</v>
      </c>
      <c r="C66" s="9" t="s">
        <v>10363</v>
      </c>
      <c r="D66" s="137" t="s">
        <v>10364</v>
      </c>
      <c r="E66" s="102" t="s">
        <v>10250</v>
      </c>
      <c r="F66" s="149">
        <v>2020</v>
      </c>
      <c r="G66" s="109" t="s">
        <v>16</v>
      </c>
      <c r="H66" s="109">
        <v>200</v>
      </c>
      <c r="I66" s="109">
        <v>200</v>
      </c>
      <c r="J66" s="109"/>
      <c r="K66" s="102"/>
      <c r="L66" s="105">
        <v>20201118</v>
      </c>
    </row>
    <row r="67" s="146" customFormat="1" ht="16" customHeight="1" spans="1:12">
      <c r="A67" s="109">
        <v>65</v>
      </c>
      <c r="B67" s="109" t="s">
        <v>10242</v>
      </c>
      <c r="C67" s="9" t="s">
        <v>10365</v>
      </c>
      <c r="D67" s="137" t="s">
        <v>10366</v>
      </c>
      <c r="E67" s="102" t="s">
        <v>10250</v>
      </c>
      <c r="F67" s="149">
        <v>2020</v>
      </c>
      <c r="G67" s="109" t="s">
        <v>16</v>
      </c>
      <c r="H67" s="109">
        <v>200</v>
      </c>
      <c r="I67" s="109">
        <v>200</v>
      </c>
      <c r="J67" s="109"/>
      <c r="K67" s="102"/>
      <c r="L67" s="105">
        <v>20201118</v>
      </c>
    </row>
    <row r="68" s="146" customFormat="1" ht="16" customHeight="1" spans="1:12">
      <c r="A68" s="109">
        <v>66</v>
      </c>
      <c r="B68" s="109" t="s">
        <v>10242</v>
      </c>
      <c r="C68" s="9" t="s">
        <v>10367</v>
      </c>
      <c r="D68" s="137" t="s">
        <v>10368</v>
      </c>
      <c r="E68" s="102" t="s">
        <v>10250</v>
      </c>
      <c r="F68" s="149">
        <v>2020</v>
      </c>
      <c r="G68" s="109" t="s">
        <v>16</v>
      </c>
      <c r="H68" s="109">
        <v>200</v>
      </c>
      <c r="I68" s="109">
        <v>200</v>
      </c>
      <c r="J68" s="109"/>
      <c r="K68" s="102"/>
      <c r="L68" s="105">
        <v>20201118</v>
      </c>
    </row>
    <row r="69" s="146" customFormat="1" ht="16" customHeight="1" spans="1:12">
      <c r="A69" s="109">
        <v>67</v>
      </c>
      <c r="B69" s="109" t="s">
        <v>10242</v>
      </c>
      <c r="C69" s="9" t="s">
        <v>10369</v>
      </c>
      <c r="D69" s="137" t="s">
        <v>10370</v>
      </c>
      <c r="E69" s="102" t="s">
        <v>10250</v>
      </c>
      <c r="F69" s="149">
        <v>2020</v>
      </c>
      <c r="G69" s="109" t="s">
        <v>16</v>
      </c>
      <c r="H69" s="109">
        <v>200</v>
      </c>
      <c r="I69" s="109">
        <v>200</v>
      </c>
      <c r="J69" s="109"/>
      <c r="K69" s="102"/>
      <c r="L69" s="105">
        <v>20201118</v>
      </c>
    </row>
    <row r="70" s="146" customFormat="1" ht="16" customHeight="1" spans="1:12">
      <c r="A70" s="109">
        <v>68</v>
      </c>
      <c r="B70" s="109" t="s">
        <v>10242</v>
      </c>
      <c r="C70" s="9" t="s">
        <v>10371</v>
      </c>
      <c r="D70" s="137" t="s">
        <v>10372</v>
      </c>
      <c r="E70" s="102" t="s">
        <v>10250</v>
      </c>
      <c r="F70" s="149">
        <v>2020</v>
      </c>
      <c r="G70" s="109" t="s">
        <v>16</v>
      </c>
      <c r="H70" s="109">
        <v>200</v>
      </c>
      <c r="I70" s="109">
        <v>200</v>
      </c>
      <c r="J70" s="109"/>
      <c r="K70" s="102"/>
      <c r="L70" s="105">
        <v>20201118</v>
      </c>
    </row>
    <row r="71" s="146" customFormat="1" ht="16" customHeight="1" spans="1:12">
      <c r="A71" s="109">
        <v>69</v>
      </c>
      <c r="B71" s="109" t="s">
        <v>10242</v>
      </c>
      <c r="C71" s="9" t="s">
        <v>10373</v>
      </c>
      <c r="D71" s="137" t="s">
        <v>10374</v>
      </c>
      <c r="E71" s="102" t="s">
        <v>10250</v>
      </c>
      <c r="F71" s="149">
        <v>2020</v>
      </c>
      <c r="G71" s="109" t="s">
        <v>16</v>
      </c>
      <c r="H71" s="109">
        <v>200</v>
      </c>
      <c r="I71" s="109">
        <v>200</v>
      </c>
      <c r="J71" s="109"/>
      <c r="K71" s="102"/>
      <c r="L71" s="105">
        <v>20201118</v>
      </c>
    </row>
    <row r="72" s="146" customFormat="1" ht="16" customHeight="1" spans="1:12">
      <c r="A72" s="109">
        <v>70</v>
      </c>
      <c r="B72" s="109" t="s">
        <v>10242</v>
      </c>
      <c r="C72" s="9" t="s">
        <v>10375</v>
      </c>
      <c r="D72" s="137" t="s">
        <v>10376</v>
      </c>
      <c r="E72" s="102" t="s">
        <v>10250</v>
      </c>
      <c r="F72" s="149">
        <v>2020</v>
      </c>
      <c r="G72" s="109" t="s">
        <v>16</v>
      </c>
      <c r="H72" s="109">
        <v>1000</v>
      </c>
      <c r="I72" s="109">
        <v>1000</v>
      </c>
      <c r="J72" s="109"/>
      <c r="K72" s="102"/>
      <c r="L72" s="105">
        <v>20201118</v>
      </c>
    </row>
    <row r="73" s="146" customFormat="1" ht="16" customHeight="1" spans="1:12">
      <c r="A73" s="109">
        <v>71</v>
      </c>
      <c r="B73" s="109" t="s">
        <v>10242</v>
      </c>
      <c r="C73" s="9" t="s">
        <v>10377</v>
      </c>
      <c r="D73" s="137" t="s">
        <v>10378</v>
      </c>
      <c r="E73" s="102" t="s">
        <v>10250</v>
      </c>
      <c r="F73" s="149">
        <v>2020</v>
      </c>
      <c r="G73" s="109" t="s">
        <v>16</v>
      </c>
      <c r="H73" s="109">
        <v>200</v>
      </c>
      <c r="I73" s="109">
        <v>200</v>
      </c>
      <c r="J73" s="109"/>
      <c r="K73" s="102"/>
      <c r="L73" s="105">
        <v>20201118</v>
      </c>
    </row>
    <row r="74" s="146" customFormat="1" ht="16" customHeight="1" spans="1:12">
      <c r="A74" s="109">
        <v>72</v>
      </c>
      <c r="B74" s="109" t="s">
        <v>10242</v>
      </c>
      <c r="C74" s="9" t="s">
        <v>10379</v>
      </c>
      <c r="D74" s="137" t="s">
        <v>10380</v>
      </c>
      <c r="E74" s="102" t="s">
        <v>10250</v>
      </c>
      <c r="F74" s="149">
        <v>2020</v>
      </c>
      <c r="G74" s="109" t="s">
        <v>16</v>
      </c>
      <c r="H74" s="109">
        <v>200</v>
      </c>
      <c r="I74" s="109">
        <v>200</v>
      </c>
      <c r="J74" s="109"/>
      <c r="K74" s="102"/>
      <c r="L74" s="105">
        <v>20201118</v>
      </c>
    </row>
    <row r="75" s="146" customFormat="1" ht="16" customHeight="1" spans="1:12">
      <c r="A75" s="109">
        <v>73</v>
      </c>
      <c r="B75" s="109" t="s">
        <v>10242</v>
      </c>
      <c r="C75" s="9" t="s">
        <v>10381</v>
      </c>
      <c r="D75" s="137" t="s">
        <v>10382</v>
      </c>
      <c r="E75" s="102" t="s">
        <v>10250</v>
      </c>
      <c r="F75" s="149">
        <v>2020</v>
      </c>
      <c r="G75" s="109" t="s">
        <v>16</v>
      </c>
      <c r="H75" s="109">
        <v>200</v>
      </c>
      <c r="I75" s="109">
        <v>200</v>
      </c>
      <c r="J75" s="109"/>
      <c r="K75" s="102"/>
      <c r="L75" s="105">
        <v>20201118</v>
      </c>
    </row>
    <row r="76" s="146" customFormat="1" ht="16" customHeight="1" spans="1:12">
      <c r="A76" s="109">
        <v>74</v>
      </c>
      <c r="B76" s="109" t="s">
        <v>10242</v>
      </c>
      <c r="C76" s="9" t="s">
        <v>10383</v>
      </c>
      <c r="D76" s="137" t="s">
        <v>10384</v>
      </c>
      <c r="E76" s="102" t="s">
        <v>10250</v>
      </c>
      <c r="F76" s="149">
        <v>2020</v>
      </c>
      <c r="G76" s="109" t="s">
        <v>16</v>
      </c>
      <c r="H76" s="109">
        <v>200</v>
      </c>
      <c r="I76" s="109">
        <v>200</v>
      </c>
      <c r="J76" s="109"/>
      <c r="K76" s="102"/>
      <c r="L76" s="105">
        <v>20201118</v>
      </c>
    </row>
    <row r="77" s="146" customFormat="1" ht="16" customHeight="1" spans="1:12">
      <c r="A77" s="109">
        <v>75</v>
      </c>
      <c r="B77" s="109" t="s">
        <v>10242</v>
      </c>
      <c r="C77" s="9" t="s">
        <v>10385</v>
      </c>
      <c r="D77" s="137" t="s">
        <v>10386</v>
      </c>
      <c r="E77" s="102" t="s">
        <v>10250</v>
      </c>
      <c r="F77" s="149">
        <v>2020</v>
      </c>
      <c r="G77" s="109" t="s">
        <v>16</v>
      </c>
      <c r="H77" s="109">
        <v>200</v>
      </c>
      <c r="I77" s="109">
        <v>200</v>
      </c>
      <c r="J77" s="109"/>
      <c r="K77" s="102"/>
      <c r="L77" s="105">
        <v>20201118</v>
      </c>
    </row>
    <row r="78" s="146" customFormat="1" ht="16" customHeight="1" spans="1:12">
      <c r="A78" s="109">
        <v>76</v>
      </c>
      <c r="B78" s="109" t="s">
        <v>10242</v>
      </c>
      <c r="C78" s="9" t="s">
        <v>10387</v>
      </c>
      <c r="D78" s="137" t="s">
        <v>10388</v>
      </c>
      <c r="E78" s="102" t="s">
        <v>10250</v>
      </c>
      <c r="F78" s="149">
        <v>2020</v>
      </c>
      <c r="G78" s="109" t="s">
        <v>16</v>
      </c>
      <c r="H78" s="109">
        <v>200</v>
      </c>
      <c r="I78" s="109">
        <v>200</v>
      </c>
      <c r="J78" s="109"/>
      <c r="K78" s="102"/>
      <c r="L78" s="105">
        <v>20201118</v>
      </c>
    </row>
    <row r="79" s="146" customFormat="1" ht="16" customHeight="1" spans="1:12">
      <c r="A79" s="109">
        <v>77</v>
      </c>
      <c r="B79" s="109" t="s">
        <v>10242</v>
      </c>
      <c r="C79" s="9" t="s">
        <v>4808</v>
      </c>
      <c r="D79" s="137" t="s">
        <v>10389</v>
      </c>
      <c r="E79" s="102" t="s">
        <v>10250</v>
      </c>
      <c r="F79" s="149">
        <v>2020</v>
      </c>
      <c r="G79" s="109" t="s">
        <v>16</v>
      </c>
      <c r="H79" s="109">
        <v>200</v>
      </c>
      <c r="I79" s="109">
        <v>200</v>
      </c>
      <c r="J79" s="109"/>
      <c r="K79" s="102"/>
      <c r="L79" s="105">
        <v>20201118</v>
      </c>
    </row>
    <row r="80" s="146" customFormat="1" ht="16" customHeight="1" spans="1:12">
      <c r="A80" s="109">
        <v>78</v>
      </c>
      <c r="B80" s="109" t="s">
        <v>10242</v>
      </c>
      <c r="C80" s="9" t="s">
        <v>10390</v>
      </c>
      <c r="D80" s="137" t="s">
        <v>10391</v>
      </c>
      <c r="E80" s="102" t="s">
        <v>10250</v>
      </c>
      <c r="F80" s="149">
        <v>2020</v>
      </c>
      <c r="G80" s="109" t="s">
        <v>16</v>
      </c>
      <c r="H80" s="109">
        <v>200</v>
      </c>
      <c r="I80" s="109">
        <v>200</v>
      </c>
      <c r="J80" s="109"/>
      <c r="K80" s="102"/>
      <c r="L80" s="105">
        <v>20201118</v>
      </c>
    </row>
    <row r="81" s="146" customFormat="1" ht="16" customHeight="1" spans="1:12">
      <c r="A81" s="109">
        <v>79</v>
      </c>
      <c r="B81" s="109" t="s">
        <v>10242</v>
      </c>
      <c r="C81" s="9" t="s">
        <v>94</v>
      </c>
      <c r="D81" s="137" t="s">
        <v>10392</v>
      </c>
      <c r="E81" s="102" t="s">
        <v>10250</v>
      </c>
      <c r="F81" s="149">
        <v>2020</v>
      </c>
      <c r="G81" s="109" t="s">
        <v>16</v>
      </c>
      <c r="H81" s="109">
        <v>200</v>
      </c>
      <c r="I81" s="109">
        <v>200</v>
      </c>
      <c r="J81" s="109"/>
      <c r="K81" s="102"/>
      <c r="L81" s="105">
        <v>20201118</v>
      </c>
    </row>
    <row r="82" s="146" customFormat="1" ht="16" customHeight="1" spans="1:12">
      <c r="A82" s="109">
        <v>80</v>
      </c>
      <c r="B82" s="109" t="s">
        <v>10242</v>
      </c>
      <c r="C82" s="9" t="s">
        <v>10393</v>
      </c>
      <c r="D82" s="137" t="s">
        <v>10394</v>
      </c>
      <c r="E82" s="102" t="s">
        <v>10250</v>
      </c>
      <c r="F82" s="149">
        <v>2020</v>
      </c>
      <c r="G82" s="109" t="s">
        <v>16</v>
      </c>
      <c r="H82" s="109">
        <v>200</v>
      </c>
      <c r="I82" s="109">
        <v>200</v>
      </c>
      <c r="J82" s="109"/>
      <c r="K82" s="102"/>
      <c r="L82" s="105">
        <v>20201118</v>
      </c>
    </row>
    <row r="83" s="146" customFormat="1" ht="16" customHeight="1" spans="1:12">
      <c r="A83" s="109">
        <v>81</v>
      </c>
      <c r="B83" s="109" t="s">
        <v>10242</v>
      </c>
      <c r="C83" s="9" t="s">
        <v>10395</v>
      </c>
      <c r="D83" s="137" t="s">
        <v>10396</v>
      </c>
      <c r="E83" s="102" t="s">
        <v>10250</v>
      </c>
      <c r="F83" s="149">
        <v>2020</v>
      </c>
      <c r="G83" s="109" t="s">
        <v>16</v>
      </c>
      <c r="H83" s="109">
        <v>200</v>
      </c>
      <c r="I83" s="109">
        <v>200</v>
      </c>
      <c r="J83" s="109"/>
      <c r="K83" s="102"/>
      <c r="L83" s="105">
        <v>20201118</v>
      </c>
    </row>
    <row r="84" s="146" customFormat="1" ht="16" customHeight="1" spans="1:12">
      <c r="A84" s="109">
        <v>82</v>
      </c>
      <c r="B84" s="109" t="s">
        <v>10242</v>
      </c>
      <c r="C84" s="9" t="s">
        <v>10397</v>
      </c>
      <c r="D84" s="137" t="s">
        <v>10398</v>
      </c>
      <c r="E84" s="102" t="s">
        <v>10250</v>
      </c>
      <c r="F84" s="149">
        <v>2020</v>
      </c>
      <c r="G84" s="109" t="s">
        <v>16</v>
      </c>
      <c r="H84" s="109">
        <v>200</v>
      </c>
      <c r="I84" s="109">
        <v>200</v>
      </c>
      <c r="J84" s="109"/>
      <c r="K84" s="102"/>
      <c r="L84" s="105">
        <v>20201118</v>
      </c>
    </row>
    <row r="85" s="146" customFormat="1" ht="16" customHeight="1" spans="1:12">
      <c r="A85" s="109">
        <v>83</v>
      </c>
      <c r="B85" s="109" t="s">
        <v>10242</v>
      </c>
      <c r="C85" s="9" t="s">
        <v>10399</v>
      </c>
      <c r="D85" s="137" t="s">
        <v>10400</v>
      </c>
      <c r="E85" s="102" t="s">
        <v>10250</v>
      </c>
      <c r="F85" s="149">
        <v>2020</v>
      </c>
      <c r="G85" s="109" t="s">
        <v>16</v>
      </c>
      <c r="H85" s="109">
        <v>200</v>
      </c>
      <c r="I85" s="109">
        <v>200</v>
      </c>
      <c r="J85" s="109" t="s">
        <v>768</v>
      </c>
      <c r="K85" s="102"/>
      <c r="L85" s="105">
        <v>20201118</v>
      </c>
    </row>
    <row r="86" s="146" customFormat="1" ht="16" customHeight="1" spans="1:12">
      <c r="A86" s="109">
        <v>84</v>
      </c>
      <c r="B86" s="109" t="s">
        <v>10242</v>
      </c>
      <c r="C86" s="9" t="s">
        <v>4830</v>
      </c>
      <c r="D86" s="137" t="s">
        <v>10401</v>
      </c>
      <c r="E86" s="102" t="s">
        <v>10250</v>
      </c>
      <c r="F86" s="149">
        <v>2020</v>
      </c>
      <c r="G86" s="109" t="s">
        <v>16</v>
      </c>
      <c r="H86" s="109">
        <v>200</v>
      </c>
      <c r="I86" s="109">
        <v>200</v>
      </c>
      <c r="J86" s="109"/>
      <c r="K86" s="102"/>
      <c r="L86" s="105">
        <v>20201118</v>
      </c>
    </row>
    <row r="87" s="146" customFormat="1" ht="16" customHeight="1" spans="1:12">
      <c r="A87" s="109">
        <v>85</v>
      </c>
      <c r="B87" s="109" t="s">
        <v>10242</v>
      </c>
      <c r="C87" s="9" t="s">
        <v>10402</v>
      </c>
      <c r="D87" s="137" t="s">
        <v>10403</v>
      </c>
      <c r="E87" s="102" t="s">
        <v>10250</v>
      </c>
      <c r="F87" s="149">
        <v>2020</v>
      </c>
      <c r="G87" s="109" t="s">
        <v>16</v>
      </c>
      <c r="H87" s="109">
        <v>200</v>
      </c>
      <c r="I87" s="109">
        <v>200</v>
      </c>
      <c r="J87" s="109"/>
      <c r="K87" s="102"/>
      <c r="L87" s="105">
        <v>20201118</v>
      </c>
    </row>
    <row r="88" s="146" customFormat="1" ht="16" customHeight="1" spans="1:12">
      <c r="A88" s="109">
        <v>86</v>
      </c>
      <c r="B88" s="109" t="s">
        <v>10242</v>
      </c>
      <c r="C88" s="9" t="s">
        <v>10404</v>
      </c>
      <c r="D88" s="137" t="s">
        <v>10405</v>
      </c>
      <c r="E88" s="102" t="s">
        <v>10250</v>
      </c>
      <c r="F88" s="149">
        <v>2020</v>
      </c>
      <c r="G88" s="109" t="s">
        <v>16</v>
      </c>
      <c r="H88" s="109">
        <v>200</v>
      </c>
      <c r="I88" s="109">
        <v>200</v>
      </c>
      <c r="J88" s="109"/>
      <c r="K88" s="102"/>
      <c r="L88" s="105">
        <v>20201118</v>
      </c>
    </row>
    <row r="89" s="146" customFormat="1" ht="16" customHeight="1" spans="1:12">
      <c r="A89" s="109">
        <v>87</v>
      </c>
      <c r="B89" s="109" t="s">
        <v>10242</v>
      </c>
      <c r="C89" s="9" t="s">
        <v>10406</v>
      </c>
      <c r="D89" s="137" t="s">
        <v>10407</v>
      </c>
      <c r="E89" s="102" t="s">
        <v>10250</v>
      </c>
      <c r="F89" s="149">
        <v>2020</v>
      </c>
      <c r="G89" s="109" t="s">
        <v>16</v>
      </c>
      <c r="H89" s="109">
        <v>200</v>
      </c>
      <c r="I89" s="109">
        <v>200</v>
      </c>
      <c r="J89" s="109"/>
      <c r="K89" s="102"/>
      <c r="L89" s="105">
        <v>20201118</v>
      </c>
    </row>
    <row r="90" s="146" customFormat="1" ht="16" customHeight="1" spans="1:12">
      <c r="A90" s="109">
        <v>88</v>
      </c>
      <c r="B90" s="109" t="s">
        <v>10242</v>
      </c>
      <c r="C90" s="9" t="s">
        <v>10408</v>
      </c>
      <c r="D90" s="137" t="s">
        <v>10409</v>
      </c>
      <c r="E90" s="102" t="s">
        <v>10250</v>
      </c>
      <c r="F90" s="149">
        <v>2020</v>
      </c>
      <c r="G90" s="109" t="s">
        <v>16</v>
      </c>
      <c r="H90" s="109">
        <v>200</v>
      </c>
      <c r="I90" s="109">
        <v>200</v>
      </c>
      <c r="J90" s="109"/>
      <c r="K90" s="102"/>
      <c r="L90" s="105">
        <v>20201118</v>
      </c>
    </row>
    <row r="91" s="146" customFormat="1" ht="16" customHeight="1" spans="1:12">
      <c r="A91" s="109">
        <v>89</v>
      </c>
      <c r="B91" s="109" t="s">
        <v>10242</v>
      </c>
      <c r="C91" s="9" t="s">
        <v>10410</v>
      </c>
      <c r="D91" s="137" t="s">
        <v>10411</v>
      </c>
      <c r="E91" s="102" t="s">
        <v>10250</v>
      </c>
      <c r="F91" s="149">
        <v>2020</v>
      </c>
      <c r="G91" s="109" t="s">
        <v>16</v>
      </c>
      <c r="H91" s="109">
        <v>200</v>
      </c>
      <c r="I91" s="109">
        <v>200</v>
      </c>
      <c r="J91" s="109"/>
      <c r="K91" s="102"/>
      <c r="L91" s="105">
        <v>20201118</v>
      </c>
    </row>
    <row r="92" s="146" customFormat="1" ht="16" customHeight="1" spans="1:12">
      <c r="A92" s="109">
        <v>90</v>
      </c>
      <c r="B92" s="109" t="s">
        <v>10242</v>
      </c>
      <c r="C92" s="9" t="s">
        <v>10412</v>
      </c>
      <c r="D92" s="137" t="s">
        <v>10413</v>
      </c>
      <c r="E92" s="102" t="s">
        <v>10250</v>
      </c>
      <c r="F92" s="149">
        <v>2020</v>
      </c>
      <c r="G92" s="109" t="s">
        <v>16</v>
      </c>
      <c r="H92" s="109">
        <v>200</v>
      </c>
      <c r="I92" s="109">
        <v>200</v>
      </c>
      <c r="J92" s="109"/>
      <c r="K92" s="102"/>
      <c r="L92" s="105">
        <v>20201118</v>
      </c>
    </row>
    <row r="93" s="146" customFormat="1" ht="16" customHeight="1" spans="1:12">
      <c r="A93" s="109">
        <v>91</v>
      </c>
      <c r="B93" s="109" t="s">
        <v>10242</v>
      </c>
      <c r="C93" s="9" t="s">
        <v>10414</v>
      </c>
      <c r="D93" s="137" t="s">
        <v>10415</v>
      </c>
      <c r="E93" s="102" t="s">
        <v>10250</v>
      </c>
      <c r="F93" s="149">
        <v>2020</v>
      </c>
      <c r="G93" s="109" t="s">
        <v>16</v>
      </c>
      <c r="H93" s="109">
        <v>200</v>
      </c>
      <c r="I93" s="109">
        <v>200</v>
      </c>
      <c r="J93" s="109" t="s">
        <v>108</v>
      </c>
      <c r="K93" s="102"/>
      <c r="L93" s="105">
        <v>20201118</v>
      </c>
    </row>
    <row r="94" s="146" customFormat="1" ht="16" customHeight="1" spans="1:12">
      <c r="A94" s="109">
        <v>92</v>
      </c>
      <c r="B94" s="109" t="s">
        <v>10242</v>
      </c>
      <c r="C94" s="9" t="s">
        <v>10416</v>
      </c>
      <c r="D94" s="137" t="s">
        <v>10417</v>
      </c>
      <c r="E94" s="102" t="s">
        <v>10250</v>
      </c>
      <c r="F94" s="149">
        <v>2020</v>
      </c>
      <c r="G94" s="109" t="s">
        <v>16</v>
      </c>
      <c r="H94" s="109">
        <v>200</v>
      </c>
      <c r="I94" s="109">
        <v>200</v>
      </c>
      <c r="J94" s="109"/>
      <c r="K94" s="102"/>
      <c r="L94" s="105">
        <v>20201118</v>
      </c>
    </row>
    <row r="95" s="146" customFormat="1" ht="16" customHeight="1" spans="1:12">
      <c r="A95" s="109">
        <v>93</v>
      </c>
      <c r="B95" s="109" t="s">
        <v>10242</v>
      </c>
      <c r="C95" s="9" t="s">
        <v>10418</v>
      </c>
      <c r="D95" s="137" t="s">
        <v>10419</v>
      </c>
      <c r="E95" s="102" t="s">
        <v>10250</v>
      </c>
      <c r="F95" s="149">
        <v>2020</v>
      </c>
      <c r="G95" s="109" t="s">
        <v>16</v>
      </c>
      <c r="H95" s="109">
        <v>200</v>
      </c>
      <c r="I95" s="109">
        <v>200</v>
      </c>
      <c r="J95" s="109" t="s">
        <v>108</v>
      </c>
      <c r="K95" s="102"/>
      <c r="L95" s="105">
        <v>20201118</v>
      </c>
    </row>
    <row r="96" s="146" customFormat="1" ht="16" customHeight="1" spans="1:12">
      <c r="A96" s="109">
        <v>94</v>
      </c>
      <c r="B96" s="109" t="s">
        <v>10242</v>
      </c>
      <c r="C96" s="9" t="s">
        <v>10420</v>
      </c>
      <c r="D96" s="137" t="s">
        <v>10421</v>
      </c>
      <c r="E96" s="102" t="s">
        <v>10250</v>
      </c>
      <c r="F96" s="149">
        <v>2020</v>
      </c>
      <c r="G96" s="109" t="s">
        <v>16</v>
      </c>
      <c r="H96" s="109">
        <v>200</v>
      </c>
      <c r="I96" s="109">
        <v>200</v>
      </c>
      <c r="J96" s="109"/>
      <c r="K96" s="102"/>
      <c r="L96" s="105">
        <v>20201118</v>
      </c>
    </row>
    <row r="97" s="146" customFormat="1" ht="16" customHeight="1" spans="1:12">
      <c r="A97" s="109">
        <v>95</v>
      </c>
      <c r="B97" s="109" t="s">
        <v>10242</v>
      </c>
      <c r="C97" s="9" t="s">
        <v>10422</v>
      </c>
      <c r="D97" s="137" t="s">
        <v>10423</v>
      </c>
      <c r="E97" s="102" t="s">
        <v>10250</v>
      </c>
      <c r="F97" s="149">
        <v>2020</v>
      </c>
      <c r="G97" s="109" t="s">
        <v>16</v>
      </c>
      <c r="H97" s="109">
        <v>200</v>
      </c>
      <c r="I97" s="109">
        <v>200</v>
      </c>
      <c r="J97" s="109"/>
      <c r="K97" s="102"/>
      <c r="L97" s="105">
        <v>20201118</v>
      </c>
    </row>
    <row r="98" s="146" customFormat="1" ht="16" customHeight="1" spans="1:12">
      <c r="A98" s="109">
        <v>96</v>
      </c>
      <c r="B98" s="109" t="s">
        <v>10242</v>
      </c>
      <c r="C98" s="9" t="s">
        <v>10424</v>
      </c>
      <c r="D98" s="137" t="s">
        <v>10425</v>
      </c>
      <c r="E98" s="102" t="s">
        <v>10250</v>
      </c>
      <c r="F98" s="149">
        <v>2020</v>
      </c>
      <c r="G98" s="109" t="s">
        <v>16</v>
      </c>
      <c r="H98" s="109">
        <v>200</v>
      </c>
      <c r="I98" s="109">
        <v>200</v>
      </c>
      <c r="J98" s="109"/>
      <c r="K98" s="102"/>
      <c r="L98" s="105">
        <v>20201118</v>
      </c>
    </row>
    <row r="99" s="146" customFormat="1" ht="16" customHeight="1" spans="1:12">
      <c r="A99" s="109">
        <v>97</v>
      </c>
      <c r="B99" s="109" t="s">
        <v>10242</v>
      </c>
      <c r="C99" s="9" t="s">
        <v>10426</v>
      </c>
      <c r="D99" s="137" t="s">
        <v>10427</v>
      </c>
      <c r="E99" s="102" t="s">
        <v>10250</v>
      </c>
      <c r="F99" s="149">
        <v>2020</v>
      </c>
      <c r="G99" s="109" t="s">
        <v>16</v>
      </c>
      <c r="H99" s="109">
        <v>200</v>
      </c>
      <c r="I99" s="109">
        <v>200</v>
      </c>
      <c r="J99" s="109"/>
      <c r="K99" s="102"/>
      <c r="L99" s="105">
        <v>20201118</v>
      </c>
    </row>
    <row r="100" s="146" customFormat="1" ht="16" customHeight="1" spans="1:12">
      <c r="A100" s="109">
        <v>98</v>
      </c>
      <c r="B100" s="109" t="s">
        <v>10242</v>
      </c>
      <c r="C100" s="9" t="s">
        <v>10428</v>
      </c>
      <c r="D100" s="137" t="s">
        <v>10429</v>
      </c>
      <c r="E100" s="102" t="s">
        <v>10250</v>
      </c>
      <c r="F100" s="149">
        <v>2020</v>
      </c>
      <c r="G100" s="109" t="s">
        <v>16</v>
      </c>
      <c r="H100" s="109">
        <v>200</v>
      </c>
      <c r="I100" s="109">
        <v>200</v>
      </c>
      <c r="J100" s="109"/>
      <c r="K100" s="102"/>
      <c r="L100" s="105">
        <v>20201118</v>
      </c>
    </row>
    <row r="101" s="146" customFormat="1" ht="16" customHeight="1" spans="1:12">
      <c r="A101" s="109">
        <v>99</v>
      </c>
      <c r="B101" s="109" t="s">
        <v>10242</v>
      </c>
      <c r="C101" s="9" t="s">
        <v>10430</v>
      </c>
      <c r="D101" s="137" t="s">
        <v>10431</v>
      </c>
      <c r="E101" s="102" t="s">
        <v>10250</v>
      </c>
      <c r="F101" s="149">
        <v>2020</v>
      </c>
      <c r="G101" s="109" t="s">
        <v>16</v>
      </c>
      <c r="H101" s="109">
        <v>200</v>
      </c>
      <c r="I101" s="109">
        <v>200</v>
      </c>
      <c r="J101" s="109"/>
      <c r="K101" s="102"/>
      <c r="L101" s="105">
        <v>20201118</v>
      </c>
    </row>
    <row r="102" s="146" customFormat="1" ht="16" customHeight="1" spans="1:12">
      <c r="A102" s="109">
        <v>100</v>
      </c>
      <c r="B102" s="109" t="s">
        <v>10242</v>
      </c>
      <c r="C102" s="9" t="s">
        <v>10432</v>
      </c>
      <c r="D102" s="137" t="s">
        <v>10433</v>
      </c>
      <c r="E102" s="102" t="s">
        <v>10250</v>
      </c>
      <c r="F102" s="149">
        <v>2020</v>
      </c>
      <c r="G102" s="109" t="s">
        <v>16</v>
      </c>
      <c r="H102" s="109">
        <v>200</v>
      </c>
      <c r="I102" s="109">
        <v>200</v>
      </c>
      <c r="J102" s="109"/>
      <c r="K102" s="102"/>
      <c r="L102" s="105">
        <v>20201118</v>
      </c>
    </row>
    <row r="103" s="146" customFormat="1" ht="16" customHeight="1" spans="1:12">
      <c r="A103" s="109">
        <v>101</v>
      </c>
      <c r="B103" s="109" t="s">
        <v>10242</v>
      </c>
      <c r="C103" s="9" t="s">
        <v>10434</v>
      </c>
      <c r="D103" s="137" t="s">
        <v>10435</v>
      </c>
      <c r="E103" s="102" t="s">
        <v>10250</v>
      </c>
      <c r="F103" s="149">
        <v>2020</v>
      </c>
      <c r="G103" s="109" t="s">
        <v>16</v>
      </c>
      <c r="H103" s="109">
        <v>200</v>
      </c>
      <c r="I103" s="109">
        <v>200</v>
      </c>
      <c r="J103" s="109"/>
      <c r="K103" s="102"/>
      <c r="L103" s="105">
        <v>20201118</v>
      </c>
    </row>
    <row r="104" s="146" customFormat="1" ht="16" customHeight="1" spans="1:12">
      <c r="A104" s="109">
        <v>102</v>
      </c>
      <c r="B104" s="109" t="s">
        <v>10242</v>
      </c>
      <c r="C104" s="9" t="s">
        <v>10436</v>
      </c>
      <c r="D104" s="137" t="s">
        <v>10437</v>
      </c>
      <c r="E104" s="102" t="s">
        <v>10250</v>
      </c>
      <c r="F104" s="149">
        <v>2020</v>
      </c>
      <c r="G104" s="109" t="s">
        <v>16</v>
      </c>
      <c r="H104" s="109">
        <v>200</v>
      </c>
      <c r="I104" s="109">
        <v>200</v>
      </c>
      <c r="J104" s="109"/>
      <c r="K104" s="102"/>
      <c r="L104" s="105">
        <v>20201118</v>
      </c>
    </row>
    <row r="105" s="146" customFormat="1" ht="16" customHeight="1" spans="1:12">
      <c r="A105" s="109">
        <v>103</v>
      </c>
      <c r="B105" s="109" t="s">
        <v>10242</v>
      </c>
      <c r="C105" s="9" t="s">
        <v>10438</v>
      </c>
      <c r="D105" s="137" t="s">
        <v>10439</v>
      </c>
      <c r="E105" s="102" t="s">
        <v>10250</v>
      </c>
      <c r="F105" s="149">
        <v>2020</v>
      </c>
      <c r="G105" s="109" t="s">
        <v>16</v>
      </c>
      <c r="H105" s="109">
        <v>200</v>
      </c>
      <c r="I105" s="109">
        <v>200</v>
      </c>
      <c r="J105" s="109"/>
      <c r="K105" s="102"/>
      <c r="L105" s="105">
        <v>20201118</v>
      </c>
    </row>
    <row r="106" s="146" customFormat="1" ht="16" customHeight="1" spans="1:12">
      <c r="A106" s="109">
        <v>104</v>
      </c>
      <c r="B106" s="109" t="s">
        <v>10242</v>
      </c>
      <c r="C106" s="9" t="s">
        <v>10440</v>
      </c>
      <c r="D106" s="137" t="s">
        <v>10441</v>
      </c>
      <c r="E106" s="102" t="s">
        <v>10250</v>
      </c>
      <c r="F106" s="149">
        <v>2020</v>
      </c>
      <c r="G106" s="109" t="s">
        <v>16</v>
      </c>
      <c r="H106" s="109">
        <v>200</v>
      </c>
      <c r="I106" s="109">
        <v>200</v>
      </c>
      <c r="J106" s="109"/>
      <c r="K106" s="102"/>
      <c r="L106" s="105">
        <v>20201118</v>
      </c>
    </row>
    <row r="107" s="146" customFormat="1" ht="16" customHeight="1" spans="1:12">
      <c r="A107" s="109">
        <v>105</v>
      </c>
      <c r="B107" s="109" t="s">
        <v>10242</v>
      </c>
      <c r="C107" s="9" t="s">
        <v>10442</v>
      </c>
      <c r="D107" s="137" t="s">
        <v>10443</v>
      </c>
      <c r="E107" s="102" t="s">
        <v>10250</v>
      </c>
      <c r="F107" s="149">
        <v>2020</v>
      </c>
      <c r="G107" s="109" t="s">
        <v>16</v>
      </c>
      <c r="H107" s="109">
        <v>200</v>
      </c>
      <c r="I107" s="109">
        <v>200</v>
      </c>
      <c r="J107" s="109"/>
      <c r="K107" s="102"/>
      <c r="L107" s="105">
        <v>20201118</v>
      </c>
    </row>
    <row r="108" s="146" customFormat="1" ht="16" customHeight="1" spans="1:12">
      <c r="A108" s="109">
        <v>106</v>
      </c>
      <c r="B108" s="109" t="s">
        <v>10242</v>
      </c>
      <c r="C108" s="9" t="s">
        <v>10444</v>
      </c>
      <c r="D108" s="137" t="s">
        <v>10445</v>
      </c>
      <c r="E108" s="102" t="s">
        <v>10250</v>
      </c>
      <c r="F108" s="149">
        <v>2020</v>
      </c>
      <c r="G108" s="109" t="s">
        <v>16</v>
      </c>
      <c r="H108" s="109">
        <v>200</v>
      </c>
      <c r="I108" s="109">
        <v>200</v>
      </c>
      <c r="J108" s="109"/>
      <c r="K108" s="102"/>
      <c r="L108" s="105">
        <v>20201118</v>
      </c>
    </row>
    <row r="109" s="146" customFormat="1" ht="16" customHeight="1" spans="1:12">
      <c r="A109" s="109">
        <v>107</v>
      </c>
      <c r="B109" s="109" t="s">
        <v>10242</v>
      </c>
      <c r="C109" s="9" t="s">
        <v>4351</v>
      </c>
      <c r="D109" s="137" t="s">
        <v>10446</v>
      </c>
      <c r="E109" s="102" t="s">
        <v>10250</v>
      </c>
      <c r="F109" s="149">
        <v>2020</v>
      </c>
      <c r="G109" s="109" t="s">
        <v>16</v>
      </c>
      <c r="H109" s="109">
        <v>200</v>
      </c>
      <c r="I109" s="109">
        <v>200</v>
      </c>
      <c r="J109" s="109"/>
      <c r="K109" s="102"/>
      <c r="L109" s="105">
        <v>20201118</v>
      </c>
    </row>
    <row r="110" s="146" customFormat="1" ht="16" customHeight="1" spans="1:12">
      <c r="A110" s="109">
        <v>108</v>
      </c>
      <c r="B110" s="109" t="s">
        <v>10242</v>
      </c>
      <c r="C110" s="9" t="s">
        <v>10447</v>
      </c>
      <c r="D110" s="137" t="s">
        <v>10448</v>
      </c>
      <c r="E110" s="102" t="s">
        <v>10250</v>
      </c>
      <c r="F110" s="149">
        <v>2020</v>
      </c>
      <c r="G110" s="109" t="s">
        <v>16</v>
      </c>
      <c r="H110" s="109">
        <v>200</v>
      </c>
      <c r="I110" s="109">
        <v>200</v>
      </c>
      <c r="J110" s="109"/>
      <c r="K110" s="102"/>
      <c r="L110" s="105">
        <v>20201118</v>
      </c>
    </row>
    <row r="111" s="146" customFormat="1" ht="16" customHeight="1" spans="1:12">
      <c r="A111" s="109">
        <v>109</v>
      </c>
      <c r="B111" s="109" t="s">
        <v>10242</v>
      </c>
      <c r="C111" s="9" t="s">
        <v>10449</v>
      </c>
      <c r="D111" s="137" t="s">
        <v>10450</v>
      </c>
      <c r="E111" s="102" t="s">
        <v>10250</v>
      </c>
      <c r="F111" s="149">
        <v>2020</v>
      </c>
      <c r="G111" s="109" t="s">
        <v>16</v>
      </c>
      <c r="H111" s="109">
        <v>200</v>
      </c>
      <c r="I111" s="109">
        <v>200</v>
      </c>
      <c r="J111" s="109"/>
      <c r="K111" s="102"/>
      <c r="L111" s="105">
        <v>20201118</v>
      </c>
    </row>
    <row r="112" s="146" customFormat="1" ht="16" customHeight="1" spans="1:12">
      <c r="A112" s="109">
        <v>110</v>
      </c>
      <c r="B112" s="109" t="s">
        <v>10242</v>
      </c>
      <c r="C112" s="9" t="s">
        <v>10451</v>
      </c>
      <c r="D112" s="137" t="s">
        <v>10452</v>
      </c>
      <c r="E112" s="102" t="s">
        <v>10250</v>
      </c>
      <c r="F112" s="149">
        <v>2020</v>
      </c>
      <c r="G112" s="109" t="s">
        <v>16</v>
      </c>
      <c r="H112" s="109">
        <v>200</v>
      </c>
      <c r="I112" s="109">
        <v>200</v>
      </c>
      <c r="J112" s="109"/>
      <c r="K112" s="102"/>
      <c r="L112" s="105">
        <v>20201118</v>
      </c>
    </row>
    <row r="113" s="146" customFormat="1" ht="16" customHeight="1" spans="1:12">
      <c r="A113" s="109">
        <v>111</v>
      </c>
      <c r="B113" s="109" t="s">
        <v>10242</v>
      </c>
      <c r="C113" s="9" t="s">
        <v>10453</v>
      </c>
      <c r="D113" s="137" t="s">
        <v>10454</v>
      </c>
      <c r="E113" s="102" t="s">
        <v>10250</v>
      </c>
      <c r="F113" s="149">
        <v>2020</v>
      </c>
      <c r="G113" s="109" t="s">
        <v>16</v>
      </c>
      <c r="H113" s="109">
        <v>200</v>
      </c>
      <c r="I113" s="109">
        <v>200</v>
      </c>
      <c r="J113" s="109"/>
      <c r="K113" s="102"/>
      <c r="L113" s="105">
        <v>20201118</v>
      </c>
    </row>
    <row r="114" s="146" customFormat="1" ht="16" customHeight="1" spans="1:12">
      <c r="A114" s="109">
        <v>112</v>
      </c>
      <c r="B114" s="109" t="s">
        <v>10242</v>
      </c>
      <c r="C114" s="9" t="s">
        <v>10455</v>
      </c>
      <c r="D114" s="137" t="s">
        <v>10456</v>
      </c>
      <c r="E114" s="102" t="s">
        <v>10250</v>
      </c>
      <c r="F114" s="149">
        <v>2020</v>
      </c>
      <c r="G114" s="109" t="s">
        <v>16</v>
      </c>
      <c r="H114" s="109">
        <v>200</v>
      </c>
      <c r="I114" s="109">
        <v>200</v>
      </c>
      <c r="J114" s="109"/>
      <c r="K114" s="102"/>
      <c r="L114" s="105">
        <v>20201118</v>
      </c>
    </row>
    <row r="115" s="146" customFormat="1" ht="16" customHeight="1" spans="1:12">
      <c r="A115" s="109">
        <v>113</v>
      </c>
      <c r="B115" s="109" t="s">
        <v>10242</v>
      </c>
      <c r="C115" s="9" t="s">
        <v>10457</v>
      </c>
      <c r="D115" s="137" t="s">
        <v>10458</v>
      </c>
      <c r="E115" s="102" t="s">
        <v>10250</v>
      </c>
      <c r="F115" s="149">
        <v>2020</v>
      </c>
      <c r="G115" s="109" t="s">
        <v>16</v>
      </c>
      <c r="H115" s="109">
        <v>200</v>
      </c>
      <c r="I115" s="109">
        <v>200</v>
      </c>
      <c r="J115" s="109"/>
      <c r="K115" s="102"/>
      <c r="L115" s="105">
        <v>20201118</v>
      </c>
    </row>
    <row r="116" s="146" customFormat="1" ht="16" customHeight="1" spans="1:12">
      <c r="A116" s="109">
        <v>114</v>
      </c>
      <c r="B116" s="109" t="s">
        <v>10242</v>
      </c>
      <c r="C116" s="9" t="s">
        <v>10459</v>
      </c>
      <c r="D116" s="137" t="s">
        <v>10460</v>
      </c>
      <c r="E116" s="102" t="s">
        <v>10250</v>
      </c>
      <c r="F116" s="149">
        <v>2020</v>
      </c>
      <c r="G116" s="109" t="s">
        <v>16</v>
      </c>
      <c r="H116" s="109">
        <v>200</v>
      </c>
      <c r="I116" s="109">
        <v>200</v>
      </c>
      <c r="J116" s="109"/>
      <c r="K116" s="102"/>
      <c r="L116" s="105">
        <v>20201118</v>
      </c>
    </row>
    <row r="117" s="146" customFormat="1" ht="16" customHeight="1" spans="1:12">
      <c r="A117" s="109">
        <v>115</v>
      </c>
      <c r="B117" s="109" t="s">
        <v>10242</v>
      </c>
      <c r="C117" s="9" t="s">
        <v>10461</v>
      </c>
      <c r="D117" s="137" t="s">
        <v>10462</v>
      </c>
      <c r="E117" s="102" t="s">
        <v>10250</v>
      </c>
      <c r="F117" s="149">
        <v>2020</v>
      </c>
      <c r="G117" s="109" t="s">
        <v>16</v>
      </c>
      <c r="H117" s="109">
        <v>200</v>
      </c>
      <c r="I117" s="109">
        <v>200</v>
      </c>
      <c r="J117" s="109"/>
      <c r="K117" s="102"/>
      <c r="L117" s="105">
        <v>20201118</v>
      </c>
    </row>
    <row r="118" s="146" customFormat="1" ht="16" customHeight="1" spans="1:12">
      <c r="A118" s="109">
        <v>116</v>
      </c>
      <c r="B118" s="109" t="s">
        <v>10242</v>
      </c>
      <c r="C118" s="9" t="s">
        <v>2485</v>
      </c>
      <c r="D118" s="137" t="s">
        <v>10463</v>
      </c>
      <c r="E118" s="102" t="s">
        <v>10250</v>
      </c>
      <c r="F118" s="149">
        <v>2020</v>
      </c>
      <c r="G118" s="109" t="s">
        <v>16</v>
      </c>
      <c r="H118" s="109">
        <v>200</v>
      </c>
      <c r="I118" s="109">
        <v>200</v>
      </c>
      <c r="J118" s="109"/>
      <c r="K118" s="102"/>
      <c r="L118" s="105">
        <v>20201118</v>
      </c>
    </row>
    <row r="119" s="146" customFormat="1" ht="16" customHeight="1" spans="1:12">
      <c r="A119" s="109">
        <v>117</v>
      </c>
      <c r="B119" s="109" t="s">
        <v>10242</v>
      </c>
      <c r="C119" s="9" t="s">
        <v>10464</v>
      </c>
      <c r="D119" s="137" t="s">
        <v>10465</v>
      </c>
      <c r="E119" s="102" t="s">
        <v>10250</v>
      </c>
      <c r="F119" s="149">
        <v>2020</v>
      </c>
      <c r="G119" s="109" t="s">
        <v>16</v>
      </c>
      <c r="H119" s="109">
        <v>200</v>
      </c>
      <c r="I119" s="109">
        <v>200</v>
      </c>
      <c r="J119" s="109"/>
      <c r="K119" s="102"/>
      <c r="L119" s="105">
        <v>20201118</v>
      </c>
    </row>
    <row r="120" s="146" customFormat="1" ht="16" customHeight="1" spans="1:12">
      <c r="A120" s="109">
        <v>118</v>
      </c>
      <c r="B120" s="109" t="s">
        <v>10242</v>
      </c>
      <c r="C120" s="9" t="s">
        <v>10466</v>
      </c>
      <c r="D120" s="137" t="s">
        <v>10467</v>
      </c>
      <c r="E120" s="102" t="s">
        <v>10250</v>
      </c>
      <c r="F120" s="149">
        <v>2020</v>
      </c>
      <c r="G120" s="109" t="s">
        <v>16</v>
      </c>
      <c r="H120" s="109">
        <v>200</v>
      </c>
      <c r="I120" s="109">
        <v>200</v>
      </c>
      <c r="J120" s="109"/>
      <c r="K120" s="102"/>
      <c r="L120" s="105">
        <v>20201118</v>
      </c>
    </row>
    <row r="121" s="146" customFormat="1" ht="16" customHeight="1" spans="1:12">
      <c r="A121" s="109">
        <v>119</v>
      </c>
      <c r="B121" s="109" t="s">
        <v>10242</v>
      </c>
      <c r="C121" s="9" t="s">
        <v>10468</v>
      </c>
      <c r="D121" s="137" t="s">
        <v>10469</v>
      </c>
      <c r="E121" s="102" t="s">
        <v>10250</v>
      </c>
      <c r="F121" s="149">
        <v>2020</v>
      </c>
      <c r="G121" s="109" t="s">
        <v>16</v>
      </c>
      <c r="H121" s="109">
        <v>200</v>
      </c>
      <c r="I121" s="109">
        <v>200</v>
      </c>
      <c r="J121" s="109"/>
      <c r="K121" s="102"/>
      <c r="L121" s="105">
        <v>20201118</v>
      </c>
    </row>
    <row r="122" s="146" customFormat="1" ht="16" customHeight="1" spans="1:12">
      <c r="A122" s="109">
        <v>120</v>
      </c>
      <c r="B122" s="109" t="s">
        <v>10242</v>
      </c>
      <c r="C122" s="9" t="s">
        <v>10470</v>
      </c>
      <c r="D122" s="137" t="s">
        <v>10471</v>
      </c>
      <c r="E122" s="102" t="s">
        <v>10250</v>
      </c>
      <c r="F122" s="149">
        <v>2020</v>
      </c>
      <c r="G122" s="109" t="s">
        <v>16</v>
      </c>
      <c r="H122" s="109">
        <v>200</v>
      </c>
      <c r="I122" s="109">
        <v>200</v>
      </c>
      <c r="J122" s="109"/>
      <c r="K122" s="102"/>
      <c r="L122" s="105">
        <v>20201118</v>
      </c>
    </row>
    <row r="123" s="146" customFormat="1" ht="16" customHeight="1" spans="1:12">
      <c r="A123" s="109">
        <v>121</v>
      </c>
      <c r="B123" s="109" t="s">
        <v>10242</v>
      </c>
      <c r="C123" s="9" t="s">
        <v>10472</v>
      </c>
      <c r="D123" s="137" t="s">
        <v>10473</v>
      </c>
      <c r="E123" s="102" t="s">
        <v>10250</v>
      </c>
      <c r="F123" s="149">
        <v>2020</v>
      </c>
      <c r="G123" s="109" t="s">
        <v>16</v>
      </c>
      <c r="H123" s="109">
        <v>200</v>
      </c>
      <c r="I123" s="109">
        <v>200</v>
      </c>
      <c r="J123" s="109"/>
      <c r="K123" s="102"/>
      <c r="L123" s="105">
        <v>20201118</v>
      </c>
    </row>
    <row r="124" s="146" customFormat="1" ht="16" customHeight="1" spans="1:12">
      <c r="A124" s="109">
        <v>122</v>
      </c>
      <c r="B124" s="109" t="s">
        <v>10242</v>
      </c>
      <c r="C124" s="9" t="s">
        <v>10474</v>
      </c>
      <c r="D124" s="137" t="s">
        <v>10475</v>
      </c>
      <c r="E124" s="102" t="s">
        <v>10250</v>
      </c>
      <c r="F124" s="149">
        <v>2020</v>
      </c>
      <c r="G124" s="109" t="s">
        <v>16</v>
      </c>
      <c r="H124" s="109">
        <v>1000</v>
      </c>
      <c r="I124" s="109">
        <v>1000</v>
      </c>
      <c r="J124" s="109"/>
      <c r="K124" s="102"/>
      <c r="L124" s="105">
        <v>20201118</v>
      </c>
    </row>
    <row r="125" s="146" customFormat="1" ht="16" customHeight="1" spans="1:12">
      <c r="A125" s="109">
        <v>123</v>
      </c>
      <c r="B125" s="109" t="s">
        <v>10242</v>
      </c>
      <c r="C125" s="9" t="s">
        <v>10476</v>
      </c>
      <c r="D125" s="137" t="s">
        <v>10477</v>
      </c>
      <c r="E125" s="102" t="s">
        <v>10250</v>
      </c>
      <c r="F125" s="149">
        <v>2020</v>
      </c>
      <c r="G125" s="109" t="s">
        <v>16</v>
      </c>
      <c r="H125" s="109">
        <v>200</v>
      </c>
      <c r="I125" s="109">
        <v>200</v>
      </c>
      <c r="J125" s="109"/>
      <c r="K125" s="102"/>
      <c r="L125" s="105">
        <v>20201118</v>
      </c>
    </row>
    <row r="126" s="146" customFormat="1" ht="16" customHeight="1" spans="1:12">
      <c r="A126" s="109">
        <v>124</v>
      </c>
      <c r="B126" s="109" t="s">
        <v>10242</v>
      </c>
      <c r="C126" s="9" t="s">
        <v>10355</v>
      </c>
      <c r="D126" s="137" t="s">
        <v>10478</v>
      </c>
      <c r="E126" s="102" t="s">
        <v>10250</v>
      </c>
      <c r="F126" s="149">
        <v>2020</v>
      </c>
      <c r="G126" s="109" t="s">
        <v>16</v>
      </c>
      <c r="H126" s="109">
        <v>200</v>
      </c>
      <c r="I126" s="109">
        <v>200</v>
      </c>
      <c r="J126" s="109"/>
      <c r="K126" s="102"/>
      <c r="L126" s="105">
        <v>20201118</v>
      </c>
    </row>
    <row r="127" s="146" customFormat="1" ht="16" customHeight="1" spans="1:12">
      <c r="A127" s="109">
        <v>125</v>
      </c>
      <c r="B127" s="109" t="s">
        <v>10242</v>
      </c>
      <c r="C127" s="9" t="s">
        <v>10479</v>
      </c>
      <c r="D127" s="137" t="s">
        <v>10480</v>
      </c>
      <c r="E127" s="102" t="s">
        <v>10250</v>
      </c>
      <c r="F127" s="149">
        <v>2020</v>
      </c>
      <c r="G127" s="109" t="s">
        <v>16</v>
      </c>
      <c r="H127" s="109">
        <v>200</v>
      </c>
      <c r="I127" s="109">
        <v>200</v>
      </c>
      <c r="J127" s="109"/>
      <c r="K127" s="102"/>
      <c r="L127" s="105">
        <v>20201118</v>
      </c>
    </row>
    <row r="128" s="146" customFormat="1" ht="16" customHeight="1" spans="1:12">
      <c r="A128" s="109">
        <v>126</v>
      </c>
      <c r="B128" s="109" t="s">
        <v>10242</v>
      </c>
      <c r="C128" s="9" t="s">
        <v>10481</v>
      </c>
      <c r="D128" s="137" t="s">
        <v>10482</v>
      </c>
      <c r="E128" s="102" t="s">
        <v>10250</v>
      </c>
      <c r="F128" s="149">
        <v>2020</v>
      </c>
      <c r="G128" s="109" t="s">
        <v>16</v>
      </c>
      <c r="H128" s="109">
        <v>200</v>
      </c>
      <c r="I128" s="109">
        <v>200</v>
      </c>
      <c r="J128" s="109"/>
      <c r="K128" s="102"/>
      <c r="L128" s="105">
        <v>20201118</v>
      </c>
    </row>
    <row r="129" s="146" customFormat="1" ht="16" customHeight="1" spans="1:12">
      <c r="A129" s="109">
        <v>127</v>
      </c>
      <c r="B129" s="109" t="s">
        <v>10242</v>
      </c>
      <c r="C129" s="9" t="s">
        <v>10483</v>
      </c>
      <c r="D129" s="137" t="s">
        <v>10484</v>
      </c>
      <c r="E129" s="102" t="s">
        <v>10250</v>
      </c>
      <c r="F129" s="149">
        <v>2020</v>
      </c>
      <c r="G129" s="109" t="s">
        <v>16</v>
      </c>
      <c r="H129" s="109">
        <v>200</v>
      </c>
      <c r="I129" s="109">
        <v>200</v>
      </c>
      <c r="J129" s="109"/>
      <c r="K129" s="102"/>
      <c r="L129" s="105">
        <v>20201118</v>
      </c>
    </row>
    <row r="130" s="146" customFormat="1" ht="16" customHeight="1" spans="1:12">
      <c r="A130" s="109">
        <v>128</v>
      </c>
      <c r="B130" s="109" t="s">
        <v>10242</v>
      </c>
      <c r="C130" s="9" t="s">
        <v>10485</v>
      </c>
      <c r="D130" s="137" t="s">
        <v>10486</v>
      </c>
      <c r="E130" s="102" t="s">
        <v>10250</v>
      </c>
      <c r="F130" s="149">
        <v>2020</v>
      </c>
      <c r="G130" s="109" t="s">
        <v>16</v>
      </c>
      <c r="H130" s="109">
        <v>200</v>
      </c>
      <c r="I130" s="109">
        <v>200</v>
      </c>
      <c r="J130" s="109"/>
      <c r="K130" s="102"/>
      <c r="L130" s="105">
        <v>20201118</v>
      </c>
    </row>
    <row r="131" s="146" customFormat="1" ht="16" customHeight="1" spans="1:12">
      <c r="A131" s="109">
        <v>129</v>
      </c>
      <c r="B131" s="109" t="s">
        <v>10242</v>
      </c>
      <c r="C131" s="9" t="s">
        <v>10487</v>
      </c>
      <c r="D131" s="137" t="s">
        <v>10488</v>
      </c>
      <c r="E131" s="102" t="s">
        <v>10250</v>
      </c>
      <c r="F131" s="149">
        <v>2020</v>
      </c>
      <c r="G131" s="109" t="s">
        <v>16</v>
      </c>
      <c r="H131" s="109">
        <v>200</v>
      </c>
      <c r="I131" s="109">
        <v>200</v>
      </c>
      <c r="J131" s="109"/>
      <c r="K131" s="102"/>
      <c r="L131" s="105">
        <v>20201118</v>
      </c>
    </row>
    <row r="132" s="146" customFormat="1" ht="16" customHeight="1" spans="1:12">
      <c r="A132" s="109">
        <v>130</v>
      </c>
      <c r="B132" s="109" t="s">
        <v>10242</v>
      </c>
      <c r="C132" s="9" t="s">
        <v>10489</v>
      </c>
      <c r="D132" s="137" t="s">
        <v>10490</v>
      </c>
      <c r="E132" s="102" t="s">
        <v>10250</v>
      </c>
      <c r="F132" s="149">
        <v>2020</v>
      </c>
      <c r="G132" s="109" t="s">
        <v>16</v>
      </c>
      <c r="H132" s="109">
        <v>200</v>
      </c>
      <c r="I132" s="109">
        <v>200</v>
      </c>
      <c r="J132" s="109"/>
      <c r="K132" s="102"/>
      <c r="L132" s="105">
        <v>20201118</v>
      </c>
    </row>
    <row r="133" s="146" customFormat="1" ht="16" customHeight="1" spans="1:12">
      <c r="A133" s="109">
        <v>131</v>
      </c>
      <c r="B133" s="109" t="s">
        <v>10242</v>
      </c>
      <c r="C133" s="9" t="s">
        <v>10491</v>
      </c>
      <c r="D133" s="137" t="s">
        <v>10492</v>
      </c>
      <c r="E133" s="102" t="s">
        <v>10250</v>
      </c>
      <c r="F133" s="149">
        <v>2020</v>
      </c>
      <c r="G133" s="109" t="s">
        <v>16</v>
      </c>
      <c r="H133" s="109">
        <v>200</v>
      </c>
      <c r="I133" s="109">
        <v>200</v>
      </c>
      <c r="J133" s="109"/>
      <c r="K133" s="102"/>
      <c r="L133" s="105">
        <v>20201118</v>
      </c>
    </row>
    <row r="134" s="146" customFormat="1" ht="16" customHeight="1" spans="1:12">
      <c r="A134" s="109">
        <v>132</v>
      </c>
      <c r="B134" s="109" t="s">
        <v>10242</v>
      </c>
      <c r="C134" s="9" t="s">
        <v>10493</v>
      </c>
      <c r="D134" s="137" t="s">
        <v>10494</v>
      </c>
      <c r="E134" s="102" t="s">
        <v>10250</v>
      </c>
      <c r="F134" s="149">
        <v>2020</v>
      </c>
      <c r="G134" s="109" t="s">
        <v>16</v>
      </c>
      <c r="H134" s="109">
        <v>200</v>
      </c>
      <c r="I134" s="109">
        <v>200</v>
      </c>
      <c r="J134" s="109"/>
      <c r="K134" s="102"/>
      <c r="L134" s="105">
        <v>20201118</v>
      </c>
    </row>
    <row r="135" s="146" customFormat="1" ht="16" customHeight="1" spans="1:12">
      <c r="A135" s="109">
        <v>133</v>
      </c>
      <c r="B135" s="109" t="s">
        <v>10242</v>
      </c>
      <c r="C135" s="9" t="s">
        <v>10495</v>
      </c>
      <c r="D135" s="137" t="s">
        <v>10496</v>
      </c>
      <c r="E135" s="102" t="s">
        <v>10250</v>
      </c>
      <c r="F135" s="149">
        <v>2020</v>
      </c>
      <c r="G135" s="109" t="s">
        <v>16</v>
      </c>
      <c r="H135" s="109">
        <v>200</v>
      </c>
      <c r="I135" s="109">
        <v>200</v>
      </c>
      <c r="J135" s="109"/>
      <c r="K135" s="102"/>
      <c r="L135" s="105">
        <v>20201118</v>
      </c>
    </row>
    <row r="136" s="146" customFormat="1" ht="16" customHeight="1" spans="1:12">
      <c r="A136" s="109">
        <v>134</v>
      </c>
      <c r="B136" s="109" t="s">
        <v>10242</v>
      </c>
      <c r="C136" s="9" t="s">
        <v>10497</v>
      </c>
      <c r="D136" s="284" t="s">
        <v>10498</v>
      </c>
      <c r="E136" s="102" t="s">
        <v>10250</v>
      </c>
      <c r="F136" s="149">
        <v>2020</v>
      </c>
      <c r="G136" s="109" t="s">
        <v>16</v>
      </c>
      <c r="H136" s="109">
        <v>200</v>
      </c>
      <c r="I136" s="109">
        <v>200</v>
      </c>
      <c r="J136" s="109"/>
      <c r="K136" s="102"/>
      <c r="L136" s="105">
        <v>20201118</v>
      </c>
    </row>
    <row r="137" s="146" customFormat="1" ht="16" customHeight="1" spans="1:12">
      <c r="A137" s="109">
        <v>135</v>
      </c>
      <c r="B137" s="109" t="s">
        <v>10242</v>
      </c>
      <c r="C137" s="9" t="s">
        <v>5492</v>
      </c>
      <c r="D137" s="170" t="s">
        <v>10499</v>
      </c>
      <c r="E137" s="102" t="s">
        <v>10250</v>
      </c>
      <c r="F137" s="149">
        <v>2020</v>
      </c>
      <c r="G137" s="109" t="s">
        <v>16</v>
      </c>
      <c r="H137" s="109">
        <v>200</v>
      </c>
      <c r="I137" s="109">
        <v>200</v>
      </c>
      <c r="J137" s="109"/>
      <c r="K137" s="102"/>
      <c r="L137" s="105">
        <v>20201118</v>
      </c>
    </row>
    <row r="138" s="146" customFormat="1" ht="16" customHeight="1" spans="1:12">
      <c r="A138" s="109">
        <v>136</v>
      </c>
      <c r="B138" s="109" t="s">
        <v>10242</v>
      </c>
      <c r="C138" s="9" t="s">
        <v>10500</v>
      </c>
      <c r="D138" s="171" t="s">
        <v>10501</v>
      </c>
      <c r="E138" s="102" t="s">
        <v>10250</v>
      </c>
      <c r="F138" s="149">
        <v>2020</v>
      </c>
      <c r="G138" s="109" t="s">
        <v>16</v>
      </c>
      <c r="H138" s="109">
        <v>200</v>
      </c>
      <c r="I138" s="109">
        <v>200</v>
      </c>
      <c r="J138" s="109"/>
      <c r="K138" s="102"/>
      <c r="L138" s="105">
        <v>20201118</v>
      </c>
    </row>
    <row r="139" s="146" customFormat="1" ht="16" customHeight="1" spans="1:12">
      <c r="A139" s="109">
        <v>137</v>
      </c>
      <c r="B139" s="109" t="s">
        <v>10242</v>
      </c>
      <c r="C139" s="9" t="s">
        <v>10502</v>
      </c>
      <c r="D139" s="170" t="s">
        <v>10503</v>
      </c>
      <c r="E139" s="102" t="s">
        <v>10250</v>
      </c>
      <c r="F139" s="149">
        <v>2020</v>
      </c>
      <c r="G139" s="109" t="s">
        <v>16</v>
      </c>
      <c r="H139" s="109">
        <v>200</v>
      </c>
      <c r="I139" s="109">
        <v>200</v>
      </c>
      <c r="J139" s="109" t="s">
        <v>108</v>
      </c>
      <c r="K139" s="102"/>
      <c r="L139" s="105">
        <v>20201118</v>
      </c>
    </row>
    <row r="140" s="146" customFormat="1" ht="16" customHeight="1" spans="1:12">
      <c r="A140" s="109">
        <v>138</v>
      </c>
      <c r="B140" s="109" t="s">
        <v>10242</v>
      </c>
      <c r="C140" s="9" t="s">
        <v>6779</v>
      </c>
      <c r="D140" s="171" t="s">
        <v>10504</v>
      </c>
      <c r="E140" s="102" t="s">
        <v>10250</v>
      </c>
      <c r="F140" s="149">
        <v>2020</v>
      </c>
      <c r="G140" s="109" t="s">
        <v>16</v>
      </c>
      <c r="H140" s="109">
        <v>200</v>
      </c>
      <c r="I140" s="109">
        <v>200</v>
      </c>
      <c r="J140" s="109"/>
      <c r="K140" s="102"/>
      <c r="L140" s="105">
        <v>20201118</v>
      </c>
    </row>
    <row r="141" s="146" customFormat="1" ht="16" customHeight="1" spans="1:12">
      <c r="A141" s="109">
        <v>139</v>
      </c>
      <c r="B141" s="109" t="s">
        <v>10242</v>
      </c>
      <c r="C141" s="9" t="s">
        <v>10505</v>
      </c>
      <c r="D141" s="171" t="s">
        <v>10506</v>
      </c>
      <c r="E141" s="102" t="s">
        <v>10250</v>
      </c>
      <c r="F141" s="149">
        <v>2020</v>
      </c>
      <c r="G141" s="109" t="s">
        <v>16</v>
      </c>
      <c r="H141" s="109">
        <v>200</v>
      </c>
      <c r="I141" s="109">
        <v>200</v>
      </c>
      <c r="J141" s="109"/>
      <c r="K141" s="102"/>
      <c r="L141" s="105">
        <v>20201118</v>
      </c>
    </row>
    <row r="142" s="146" customFormat="1" ht="16" customHeight="1" spans="1:12">
      <c r="A142" s="109">
        <v>140</v>
      </c>
      <c r="B142" s="109" t="s">
        <v>10242</v>
      </c>
      <c r="C142" s="9" t="s">
        <v>10507</v>
      </c>
      <c r="D142" s="171" t="s">
        <v>10508</v>
      </c>
      <c r="E142" s="102" t="s">
        <v>10250</v>
      </c>
      <c r="F142" s="149">
        <v>2020</v>
      </c>
      <c r="G142" s="109" t="s">
        <v>16</v>
      </c>
      <c r="H142" s="109">
        <v>200</v>
      </c>
      <c r="I142" s="109">
        <v>200</v>
      </c>
      <c r="J142" s="109"/>
      <c r="K142" s="102"/>
      <c r="L142" s="105">
        <v>20201118</v>
      </c>
    </row>
    <row r="143" s="146" customFormat="1" ht="16" customHeight="1" spans="1:12">
      <c r="A143" s="109">
        <v>141</v>
      </c>
      <c r="B143" s="109" t="s">
        <v>10242</v>
      </c>
      <c r="C143" s="9" t="s">
        <v>10509</v>
      </c>
      <c r="D143" s="171" t="s">
        <v>10510</v>
      </c>
      <c r="E143" s="102" t="s">
        <v>10250</v>
      </c>
      <c r="F143" s="149">
        <v>2020</v>
      </c>
      <c r="G143" s="109" t="s">
        <v>16</v>
      </c>
      <c r="H143" s="109">
        <v>200</v>
      </c>
      <c r="I143" s="109">
        <v>200</v>
      </c>
      <c r="J143" s="109"/>
      <c r="K143" s="102"/>
      <c r="L143" s="105">
        <v>20201118</v>
      </c>
    </row>
    <row r="144" s="146" customFormat="1" ht="16" customHeight="1" spans="1:12">
      <c r="A144" s="109">
        <v>142</v>
      </c>
      <c r="B144" s="109" t="s">
        <v>10242</v>
      </c>
      <c r="C144" s="9" t="s">
        <v>10511</v>
      </c>
      <c r="D144" s="171" t="s">
        <v>10512</v>
      </c>
      <c r="E144" s="102" t="s">
        <v>10250</v>
      </c>
      <c r="F144" s="149">
        <v>2020</v>
      </c>
      <c r="G144" s="109" t="s">
        <v>16</v>
      </c>
      <c r="H144" s="109">
        <v>200</v>
      </c>
      <c r="I144" s="109">
        <v>200</v>
      </c>
      <c r="J144" s="109"/>
      <c r="K144" s="102"/>
      <c r="L144" s="105">
        <v>20201118</v>
      </c>
    </row>
    <row r="145" s="113" customFormat="1" ht="16" customHeight="1" spans="1:12">
      <c r="A145" s="109">
        <v>143</v>
      </c>
      <c r="B145" s="109" t="s">
        <v>10242</v>
      </c>
      <c r="C145" s="9" t="s">
        <v>10513</v>
      </c>
      <c r="D145" s="109" t="s">
        <v>10514</v>
      </c>
      <c r="E145" s="102" t="s">
        <v>10250</v>
      </c>
      <c r="F145" s="149">
        <v>2020</v>
      </c>
      <c r="G145" s="109" t="s">
        <v>16</v>
      </c>
      <c r="H145" s="109">
        <v>200</v>
      </c>
      <c r="I145" s="109">
        <v>200</v>
      </c>
      <c r="J145" s="109"/>
      <c r="K145" s="109"/>
      <c r="L145" s="105">
        <v>20201118</v>
      </c>
    </row>
    <row r="146" s="113" customFormat="1" ht="16" customHeight="1" spans="1:12">
      <c r="A146" s="109">
        <v>144</v>
      </c>
      <c r="B146" s="109" t="s">
        <v>10242</v>
      </c>
      <c r="C146" s="6" t="s">
        <v>10515</v>
      </c>
      <c r="D146" s="109" t="s">
        <v>10516</v>
      </c>
      <c r="E146" s="102" t="s">
        <v>10250</v>
      </c>
      <c r="F146" s="149">
        <v>2020</v>
      </c>
      <c r="G146" s="109" t="s">
        <v>16</v>
      </c>
      <c r="H146" s="109">
        <v>200</v>
      </c>
      <c r="I146" s="109">
        <v>200</v>
      </c>
      <c r="J146" s="109"/>
      <c r="K146" s="109"/>
      <c r="L146" s="105">
        <v>20201118</v>
      </c>
    </row>
    <row r="147" s="148" customFormat="1" ht="16" customHeight="1" spans="1:12">
      <c r="A147" s="109">
        <v>145</v>
      </c>
      <c r="B147" s="109" t="s">
        <v>10242</v>
      </c>
      <c r="C147" s="9" t="s">
        <v>10517</v>
      </c>
      <c r="D147" s="9" t="s">
        <v>10518</v>
      </c>
      <c r="E147" s="5" t="s">
        <v>10250</v>
      </c>
      <c r="F147" s="153">
        <v>2020</v>
      </c>
      <c r="G147" s="6" t="s">
        <v>16</v>
      </c>
      <c r="H147" s="6">
        <v>200</v>
      </c>
      <c r="I147" s="6">
        <v>200</v>
      </c>
      <c r="J147" s="6"/>
      <c r="K147" s="5"/>
      <c r="L147" s="105">
        <v>20201118</v>
      </c>
    </row>
    <row r="148" s="167" customFormat="1" ht="16" customHeight="1" spans="1:12">
      <c r="A148" s="109">
        <v>146</v>
      </c>
      <c r="B148" s="109" t="s">
        <v>10242</v>
      </c>
      <c r="C148" s="16" t="s">
        <v>10519</v>
      </c>
      <c r="D148" s="16" t="s">
        <v>10520</v>
      </c>
      <c r="E148" s="5" t="s">
        <v>10250</v>
      </c>
      <c r="F148" s="153">
        <v>2020</v>
      </c>
      <c r="G148" s="6" t="s">
        <v>16</v>
      </c>
      <c r="H148" s="6">
        <v>200</v>
      </c>
      <c r="I148" s="6">
        <v>200</v>
      </c>
      <c r="J148" s="6"/>
      <c r="K148" s="5"/>
      <c r="L148" s="105">
        <v>20201118</v>
      </c>
    </row>
    <row r="149" s="148" customFormat="1" ht="16" customHeight="1" spans="1:12">
      <c r="A149" s="109">
        <v>147</v>
      </c>
      <c r="B149" s="109" t="s">
        <v>10242</v>
      </c>
      <c r="C149" s="9" t="s">
        <v>10521</v>
      </c>
      <c r="D149" s="9" t="s">
        <v>10522</v>
      </c>
      <c r="E149" s="5" t="s">
        <v>10250</v>
      </c>
      <c r="F149" s="153">
        <v>2020</v>
      </c>
      <c r="G149" s="6" t="s">
        <v>16</v>
      </c>
      <c r="H149" s="6">
        <v>200</v>
      </c>
      <c r="I149" s="6">
        <v>200</v>
      </c>
      <c r="J149" s="6"/>
      <c r="K149" s="5"/>
      <c r="L149" s="105">
        <v>20201118</v>
      </c>
    </row>
    <row r="150" s="148" customFormat="1" ht="16" customHeight="1" spans="1:12">
      <c r="A150" s="109">
        <v>148</v>
      </c>
      <c r="B150" s="109" t="s">
        <v>10242</v>
      </c>
      <c r="C150" s="9" t="s">
        <v>10523</v>
      </c>
      <c r="D150" s="9" t="s">
        <v>10524</v>
      </c>
      <c r="E150" s="5" t="s">
        <v>10250</v>
      </c>
      <c r="F150" s="153">
        <v>2020</v>
      </c>
      <c r="G150" s="6" t="s">
        <v>16</v>
      </c>
      <c r="H150" s="6">
        <v>200</v>
      </c>
      <c r="I150" s="6">
        <v>200</v>
      </c>
      <c r="J150" s="6"/>
      <c r="K150" s="5"/>
      <c r="L150" s="105">
        <v>20201118</v>
      </c>
    </row>
    <row r="151" s="148" customFormat="1" ht="16" customHeight="1" spans="1:12">
      <c r="A151" s="109">
        <v>149</v>
      </c>
      <c r="B151" s="109" t="s">
        <v>10242</v>
      </c>
      <c r="C151" s="9" t="s">
        <v>3036</v>
      </c>
      <c r="D151" s="287" t="s">
        <v>10525</v>
      </c>
      <c r="E151" s="5" t="s">
        <v>10250</v>
      </c>
      <c r="F151" s="153">
        <v>2020</v>
      </c>
      <c r="G151" s="6" t="s">
        <v>295</v>
      </c>
      <c r="H151" s="6">
        <v>200</v>
      </c>
      <c r="I151" s="6">
        <v>200</v>
      </c>
      <c r="J151" s="6"/>
      <c r="K151" s="5"/>
      <c r="L151" s="105">
        <v>20201118</v>
      </c>
    </row>
    <row r="152" s="148" customFormat="1" ht="16" customHeight="1" spans="1:12">
      <c r="A152" s="109">
        <v>150</v>
      </c>
      <c r="B152" s="109" t="s">
        <v>10242</v>
      </c>
      <c r="C152" s="9" t="s">
        <v>10526</v>
      </c>
      <c r="D152" s="9" t="s">
        <v>10527</v>
      </c>
      <c r="E152" s="5" t="s">
        <v>10250</v>
      </c>
      <c r="F152" s="153">
        <v>2020</v>
      </c>
      <c r="G152" s="6" t="s">
        <v>295</v>
      </c>
      <c r="H152" s="6">
        <v>200</v>
      </c>
      <c r="I152" s="6">
        <v>200</v>
      </c>
      <c r="J152" s="6"/>
      <c r="K152" s="5"/>
      <c r="L152" s="105">
        <v>20201118</v>
      </c>
    </row>
    <row r="153" s="148" customFormat="1" ht="16" customHeight="1" spans="1:12">
      <c r="A153" s="109">
        <v>151</v>
      </c>
      <c r="B153" s="109" t="s">
        <v>10242</v>
      </c>
      <c r="C153" s="9" t="s">
        <v>4414</v>
      </c>
      <c r="D153" s="287" t="s">
        <v>10528</v>
      </c>
      <c r="E153" s="5" t="s">
        <v>10250</v>
      </c>
      <c r="F153" s="153">
        <v>2020</v>
      </c>
      <c r="G153" s="6" t="s">
        <v>295</v>
      </c>
      <c r="H153" s="6">
        <v>200</v>
      </c>
      <c r="I153" s="6">
        <v>200</v>
      </c>
      <c r="J153" s="6"/>
      <c r="K153" s="5"/>
      <c r="L153" s="105">
        <v>20201118</v>
      </c>
    </row>
    <row r="154" s="148" customFormat="1" ht="16" customHeight="1" spans="1:12">
      <c r="A154" s="109">
        <v>152</v>
      </c>
      <c r="B154" s="109" t="s">
        <v>10242</v>
      </c>
      <c r="C154" s="9" t="s">
        <v>10529</v>
      </c>
      <c r="D154" s="287" t="s">
        <v>10530</v>
      </c>
      <c r="E154" s="5" t="s">
        <v>1047</v>
      </c>
      <c r="F154" s="153">
        <v>2020</v>
      </c>
      <c r="G154" s="6" t="s">
        <v>295</v>
      </c>
      <c r="H154" s="6">
        <v>200</v>
      </c>
      <c r="I154" s="6">
        <v>400</v>
      </c>
      <c r="J154" s="6"/>
      <c r="K154" s="5"/>
      <c r="L154" s="105">
        <v>20201118</v>
      </c>
    </row>
    <row r="155" s="146" customFormat="1" ht="16" customHeight="1" spans="1:12">
      <c r="A155" s="109">
        <v>153</v>
      </c>
      <c r="B155" s="109" t="s">
        <v>10242</v>
      </c>
      <c r="C155" s="9" t="s">
        <v>10531</v>
      </c>
      <c r="D155" s="284" t="s">
        <v>10532</v>
      </c>
      <c r="E155" s="102" t="s">
        <v>288</v>
      </c>
      <c r="F155" s="149">
        <v>2020</v>
      </c>
      <c r="G155" s="109" t="s">
        <v>2460</v>
      </c>
      <c r="H155" s="109">
        <v>200</v>
      </c>
      <c r="I155" s="109">
        <v>800</v>
      </c>
      <c r="J155" s="109"/>
      <c r="K155" s="102"/>
      <c r="L155" s="105">
        <v>20201118</v>
      </c>
    </row>
    <row r="156" s="113" customFormat="1" spans="1:13">
      <c r="A156" s="172"/>
      <c r="B156" s="172"/>
      <c r="C156" s="74"/>
      <c r="D156" s="172"/>
      <c r="E156" s="172"/>
      <c r="F156" s="172"/>
      <c r="G156" s="172"/>
      <c r="H156" s="172"/>
      <c r="I156" s="172" t="s">
        <v>10533</v>
      </c>
      <c r="J156" s="172"/>
      <c r="K156" s="172"/>
      <c r="L156" s="105"/>
      <c r="M156" s="114"/>
    </row>
    <row r="157" s="113" customFormat="1" spans="1:13">
      <c r="A157" s="168"/>
      <c r="B157" s="168"/>
      <c r="C157" s="169"/>
      <c r="D157" s="168"/>
      <c r="E157" s="168"/>
      <c r="F157" s="168"/>
      <c r="G157" s="168"/>
      <c r="H157" s="168"/>
      <c r="I157" s="168"/>
      <c r="J157" s="168"/>
      <c r="K157" s="168"/>
      <c r="L157"/>
      <c r="M157" s="114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4"/>
  <sheetViews>
    <sheetView topLeftCell="A260" workbookViewId="0">
      <selection activeCell="A3" sqref="A3:L293"/>
    </sheetView>
  </sheetViews>
  <sheetFormatPr defaultColWidth="9" defaultRowHeight="13.5"/>
  <cols>
    <col min="4" max="4" width="22.5" customWidth="1"/>
    <col min="5" max="6" width="10.25" customWidth="1"/>
    <col min="8" max="8" width="11.125" customWidth="1"/>
    <col min="9" max="9" width="14.125" customWidth="1"/>
    <col min="10" max="10" width="13.125" customWidth="1"/>
    <col min="12" max="12" width="11.75" customWidth="1"/>
  </cols>
  <sheetData>
    <row r="1" customFormat="1" ht="18.75" spans="1:12">
      <c r="A1" s="99" t="s">
        <v>10534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ht="16" customHeight="1" spans="1:12">
      <c r="A3" s="14">
        <v>1</v>
      </c>
      <c r="B3" s="33" t="s">
        <v>10535</v>
      </c>
      <c r="C3" s="34" t="s">
        <v>10536</v>
      </c>
      <c r="D3" s="34" t="s">
        <v>10537</v>
      </c>
      <c r="E3" s="165">
        <v>2020</v>
      </c>
      <c r="F3" s="165">
        <v>2020</v>
      </c>
      <c r="G3" s="35" t="s">
        <v>16</v>
      </c>
      <c r="H3" s="34">
        <v>200</v>
      </c>
      <c r="I3" s="34">
        <v>200</v>
      </c>
      <c r="J3" s="49"/>
      <c r="K3" s="104"/>
      <c r="L3" s="105">
        <v>20201118</v>
      </c>
    </row>
    <row r="4" ht="16" customHeight="1" spans="1:12">
      <c r="A4" s="14">
        <v>2</v>
      </c>
      <c r="B4" s="33" t="s">
        <v>10535</v>
      </c>
      <c r="C4" s="34" t="s">
        <v>10538</v>
      </c>
      <c r="D4" s="34" t="s">
        <v>10539</v>
      </c>
      <c r="E4" s="165">
        <v>2020</v>
      </c>
      <c r="F4" s="165">
        <v>2020</v>
      </c>
      <c r="G4" s="35" t="s">
        <v>16</v>
      </c>
      <c r="H4" s="34">
        <v>200</v>
      </c>
      <c r="I4" s="34">
        <v>200</v>
      </c>
      <c r="J4" s="49"/>
      <c r="K4" s="104"/>
      <c r="L4" s="105">
        <v>20201118</v>
      </c>
    </row>
    <row r="5" ht="16" customHeight="1" spans="1:12">
      <c r="A5" s="14">
        <v>3</v>
      </c>
      <c r="B5" s="33" t="s">
        <v>10535</v>
      </c>
      <c r="C5" s="34" t="s">
        <v>10540</v>
      </c>
      <c r="D5" s="34" t="s">
        <v>10541</v>
      </c>
      <c r="E5" s="165">
        <v>2020</v>
      </c>
      <c r="F5" s="165">
        <v>2020</v>
      </c>
      <c r="G5" s="35" t="s">
        <v>16</v>
      </c>
      <c r="H5" s="34">
        <v>200</v>
      </c>
      <c r="I5" s="34">
        <v>200</v>
      </c>
      <c r="J5" s="49"/>
      <c r="K5" s="104"/>
      <c r="L5" s="105">
        <v>20201118</v>
      </c>
    </row>
    <row r="6" ht="16" customHeight="1" spans="1:12">
      <c r="A6" s="14">
        <v>4</v>
      </c>
      <c r="B6" s="33" t="s">
        <v>10535</v>
      </c>
      <c r="C6" s="34" t="s">
        <v>10542</v>
      </c>
      <c r="D6" s="34" t="s">
        <v>10543</v>
      </c>
      <c r="E6" s="165">
        <v>2020</v>
      </c>
      <c r="F6" s="165">
        <v>2020</v>
      </c>
      <c r="G6" s="35" t="s">
        <v>16</v>
      </c>
      <c r="H6" s="34">
        <v>200</v>
      </c>
      <c r="I6" s="34">
        <v>200</v>
      </c>
      <c r="J6" s="49"/>
      <c r="K6" s="104"/>
      <c r="L6" s="105">
        <v>20201118</v>
      </c>
    </row>
    <row r="7" ht="16" customHeight="1" spans="1:12">
      <c r="A7" s="14">
        <v>5</v>
      </c>
      <c r="B7" s="33" t="s">
        <v>10535</v>
      </c>
      <c r="C7" s="34" t="s">
        <v>10544</v>
      </c>
      <c r="D7" s="34" t="s">
        <v>10545</v>
      </c>
      <c r="E7" s="165">
        <v>2020</v>
      </c>
      <c r="F7" s="165">
        <v>2020</v>
      </c>
      <c r="G7" s="35" t="s">
        <v>16</v>
      </c>
      <c r="H7" s="34">
        <v>200</v>
      </c>
      <c r="I7" s="34">
        <v>200</v>
      </c>
      <c r="J7" s="49"/>
      <c r="K7" s="104"/>
      <c r="L7" s="105">
        <v>20201118</v>
      </c>
    </row>
    <row r="8" ht="16" customHeight="1" spans="1:12">
      <c r="A8" s="14">
        <v>6</v>
      </c>
      <c r="B8" s="33" t="s">
        <v>10535</v>
      </c>
      <c r="C8" s="34" t="s">
        <v>10546</v>
      </c>
      <c r="D8" s="34" t="s">
        <v>10547</v>
      </c>
      <c r="E8" s="165">
        <v>2020</v>
      </c>
      <c r="F8" s="165">
        <v>2020</v>
      </c>
      <c r="G8" s="35" t="s">
        <v>16</v>
      </c>
      <c r="H8" s="34">
        <v>200</v>
      </c>
      <c r="I8" s="34">
        <v>200</v>
      </c>
      <c r="J8" s="49"/>
      <c r="K8" s="104"/>
      <c r="L8" s="105">
        <v>20201118</v>
      </c>
    </row>
    <row r="9" ht="16" customHeight="1" spans="1:12">
      <c r="A9" s="14">
        <v>7</v>
      </c>
      <c r="B9" s="33" t="s">
        <v>10535</v>
      </c>
      <c r="C9" s="34" t="s">
        <v>10548</v>
      </c>
      <c r="D9" s="34" t="s">
        <v>10549</v>
      </c>
      <c r="E9" s="165">
        <v>2020</v>
      </c>
      <c r="F9" s="165">
        <v>2020</v>
      </c>
      <c r="G9" s="35" t="s">
        <v>16</v>
      </c>
      <c r="H9" s="34">
        <v>200</v>
      </c>
      <c r="I9" s="34">
        <v>200</v>
      </c>
      <c r="J9" s="49"/>
      <c r="K9" s="104"/>
      <c r="L9" s="105">
        <v>20201118</v>
      </c>
    </row>
    <row r="10" ht="16" customHeight="1" spans="1:12">
      <c r="A10" s="14">
        <v>8</v>
      </c>
      <c r="B10" s="33" t="s">
        <v>10535</v>
      </c>
      <c r="C10" s="34" t="s">
        <v>10550</v>
      </c>
      <c r="D10" s="34" t="s">
        <v>10551</v>
      </c>
      <c r="E10" s="165">
        <v>2020</v>
      </c>
      <c r="F10" s="165">
        <v>2020</v>
      </c>
      <c r="G10" s="35" t="s">
        <v>16</v>
      </c>
      <c r="H10" s="34">
        <v>200</v>
      </c>
      <c r="I10" s="34">
        <v>200</v>
      </c>
      <c r="J10" s="49"/>
      <c r="K10" s="104"/>
      <c r="L10" s="105">
        <v>20201118</v>
      </c>
    </row>
    <row r="11" ht="16" customHeight="1" spans="1:12">
      <c r="A11" s="14">
        <v>9</v>
      </c>
      <c r="B11" s="33" t="s">
        <v>10535</v>
      </c>
      <c r="C11" s="34" t="s">
        <v>3384</v>
      </c>
      <c r="D11" s="34" t="s">
        <v>10552</v>
      </c>
      <c r="E11" s="165">
        <v>2020</v>
      </c>
      <c r="F11" s="165">
        <v>2020</v>
      </c>
      <c r="G11" s="35" t="s">
        <v>16</v>
      </c>
      <c r="H11" s="34">
        <v>200</v>
      </c>
      <c r="I11" s="34">
        <v>200</v>
      </c>
      <c r="J11" s="49"/>
      <c r="K11" s="104"/>
      <c r="L11" s="105">
        <v>20201118</v>
      </c>
    </row>
    <row r="12" ht="16" customHeight="1" spans="1:12">
      <c r="A12" s="14">
        <v>10</v>
      </c>
      <c r="B12" s="33" t="s">
        <v>10535</v>
      </c>
      <c r="C12" s="34" t="s">
        <v>10553</v>
      </c>
      <c r="D12" s="34" t="s">
        <v>10554</v>
      </c>
      <c r="E12" s="165">
        <v>2020</v>
      </c>
      <c r="F12" s="165">
        <v>2020</v>
      </c>
      <c r="G12" s="35" t="s">
        <v>16</v>
      </c>
      <c r="H12" s="34">
        <v>200</v>
      </c>
      <c r="I12" s="34">
        <v>200</v>
      </c>
      <c r="J12" s="49"/>
      <c r="K12" s="104"/>
      <c r="L12" s="105">
        <v>20201118</v>
      </c>
    </row>
    <row r="13" ht="16" customHeight="1" spans="1:12">
      <c r="A13" s="14">
        <v>11</v>
      </c>
      <c r="B13" s="33" t="s">
        <v>10535</v>
      </c>
      <c r="C13" s="34" t="s">
        <v>10555</v>
      </c>
      <c r="D13" s="34" t="s">
        <v>10556</v>
      </c>
      <c r="E13" s="165">
        <v>2020</v>
      </c>
      <c r="F13" s="165">
        <v>2020</v>
      </c>
      <c r="G13" s="35" t="s">
        <v>16</v>
      </c>
      <c r="H13" s="34">
        <v>200</v>
      </c>
      <c r="I13" s="34">
        <v>200</v>
      </c>
      <c r="J13" s="49"/>
      <c r="K13" s="104"/>
      <c r="L13" s="105">
        <v>20201118</v>
      </c>
    </row>
    <row r="14" ht="16" customHeight="1" spans="1:12">
      <c r="A14" s="14">
        <v>12</v>
      </c>
      <c r="B14" s="33" t="s">
        <v>10535</v>
      </c>
      <c r="C14" s="34" t="s">
        <v>5329</v>
      </c>
      <c r="D14" s="34" t="s">
        <v>10557</v>
      </c>
      <c r="E14" s="165">
        <v>2020</v>
      </c>
      <c r="F14" s="165">
        <v>2020</v>
      </c>
      <c r="G14" s="35" t="s">
        <v>16</v>
      </c>
      <c r="H14" s="34">
        <v>200</v>
      </c>
      <c r="I14" s="34">
        <v>200</v>
      </c>
      <c r="J14" s="49"/>
      <c r="K14" s="104"/>
      <c r="L14" s="105">
        <v>20201118</v>
      </c>
    </row>
    <row r="15" ht="16" customHeight="1" spans="1:12">
      <c r="A15" s="14">
        <v>13</v>
      </c>
      <c r="B15" s="33" t="s">
        <v>10535</v>
      </c>
      <c r="C15" s="34" t="s">
        <v>10558</v>
      </c>
      <c r="D15" s="34" t="s">
        <v>10559</v>
      </c>
      <c r="E15" s="165">
        <v>2020</v>
      </c>
      <c r="F15" s="165">
        <v>2020</v>
      </c>
      <c r="G15" s="35" t="s">
        <v>16</v>
      </c>
      <c r="H15" s="34">
        <v>200</v>
      </c>
      <c r="I15" s="34">
        <v>200</v>
      </c>
      <c r="J15" s="49"/>
      <c r="K15" s="104"/>
      <c r="L15" s="105">
        <v>20201118</v>
      </c>
    </row>
    <row r="16" ht="16" customHeight="1" spans="1:12">
      <c r="A16" s="14">
        <v>14</v>
      </c>
      <c r="B16" s="33" t="s">
        <v>10535</v>
      </c>
      <c r="C16" s="34" t="s">
        <v>10560</v>
      </c>
      <c r="D16" s="34" t="s">
        <v>10561</v>
      </c>
      <c r="E16" s="165">
        <v>2020</v>
      </c>
      <c r="F16" s="165">
        <v>2020</v>
      </c>
      <c r="G16" s="35" t="s">
        <v>16</v>
      </c>
      <c r="H16" s="34">
        <v>200</v>
      </c>
      <c r="I16" s="34">
        <v>200</v>
      </c>
      <c r="J16" s="49"/>
      <c r="K16" s="104"/>
      <c r="L16" s="105">
        <v>20201118</v>
      </c>
    </row>
    <row r="17" ht="16" customHeight="1" spans="1:12">
      <c r="A17" s="14">
        <v>15</v>
      </c>
      <c r="B17" s="33" t="s">
        <v>10535</v>
      </c>
      <c r="C17" s="34" t="s">
        <v>10562</v>
      </c>
      <c r="D17" s="34" t="s">
        <v>10563</v>
      </c>
      <c r="E17" s="165">
        <v>2020</v>
      </c>
      <c r="F17" s="165">
        <v>2020</v>
      </c>
      <c r="G17" s="35" t="s">
        <v>16</v>
      </c>
      <c r="H17" s="34">
        <v>200</v>
      </c>
      <c r="I17" s="34">
        <v>200</v>
      </c>
      <c r="J17" s="49"/>
      <c r="K17" s="104"/>
      <c r="L17" s="105">
        <v>20201118</v>
      </c>
    </row>
    <row r="18" ht="16" customHeight="1" spans="1:12">
      <c r="A18" s="14">
        <v>16</v>
      </c>
      <c r="B18" s="33" t="s">
        <v>10535</v>
      </c>
      <c r="C18" s="34" t="s">
        <v>10564</v>
      </c>
      <c r="D18" s="34" t="s">
        <v>10565</v>
      </c>
      <c r="E18" s="165">
        <v>2020</v>
      </c>
      <c r="F18" s="165">
        <v>2020</v>
      </c>
      <c r="G18" s="35" t="s">
        <v>16</v>
      </c>
      <c r="H18" s="34">
        <v>200</v>
      </c>
      <c r="I18" s="34">
        <v>200</v>
      </c>
      <c r="J18" s="49"/>
      <c r="K18" s="104"/>
      <c r="L18" s="105">
        <v>20201118</v>
      </c>
    </row>
    <row r="19" ht="16" customHeight="1" spans="1:12">
      <c r="A19" s="14">
        <v>17</v>
      </c>
      <c r="B19" s="33" t="s">
        <v>10535</v>
      </c>
      <c r="C19" s="34" t="s">
        <v>10566</v>
      </c>
      <c r="D19" s="34" t="s">
        <v>10567</v>
      </c>
      <c r="E19" s="165">
        <v>2020</v>
      </c>
      <c r="F19" s="165">
        <v>2020</v>
      </c>
      <c r="G19" s="35" t="s">
        <v>16</v>
      </c>
      <c r="H19" s="34">
        <v>200</v>
      </c>
      <c r="I19" s="34">
        <v>200</v>
      </c>
      <c r="J19" s="49"/>
      <c r="K19" s="104"/>
      <c r="L19" s="105">
        <v>20201118</v>
      </c>
    </row>
    <row r="20" ht="16" customHeight="1" spans="1:12">
      <c r="A20" s="14">
        <v>18</v>
      </c>
      <c r="B20" s="33" t="s">
        <v>10535</v>
      </c>
      <c r="C20" s="34" t="s">
        <v>10568</v>
      </c>
      <c r="D20" s="34" t="s">
        <v>10569</v>
      </c>
      <c r="E20" s="165">
        <v>2020</v>
      </c>
      <c r="F20" s="165">
        <v>2020</v>
      </c>
      <c r="G20" s="35" t="s">
        <v>16</v>
      </c>
      <c r="H20" s="34">
        <v>200</v>
      </c>
      <c r="I20" s="34">
        <v>200</v>
      </c>
      <c r="J20" s="49"/>
      <c r="K20" s="104"/>
      <c r="L20" s="105">
        <v>20201118</v>
      </c>
    </row>
    <row r="21" ht="16" customHeight="1" spans="1:12">
      <c r="A21" s="14">
        <v>19</v>
      </c>
      <c r="B21" s="33" t="s">
        <v>10535</v>
      </c>
      <c r="C21" s="34" t="s">
        <v>10570</v>
      </c>
      <c r="D21" s="34" t="s">
        <v>10571</v>
      </c>
      <c r="E21" s="165">
        <v>2020</v>
      </c>
      <c r="F21" s="165">
        <v>2020</v>
      </c>
      <c r="G21" s="35" t="s">
        <v>16</v>
      </c>
      <c r="H21" s="34">
        <v>200</v>
      </c>
      <c r="I21" s="34">
        <v>200</v>
      </c>
      <c r="J21" s="49"/>
      <c r="K21" s="104"/>
      <c r="L21" s="105">
        <v>20201118</v>
      </c>
    </row>
    <row r="22" ht="16" customHeight="1" spans="1:12">
      <c r="A22" s="14">
        <v>20</v>
      </c>
      <c r="B22" s="33" t="s">
        <v>10535</v>
      </c>
      <c r="C22" s="34" t="s">
        <v>7644</v>
      </c>
      <c r="D22" s="34" t="s">
        <v>10572</v>
      </c>
      <c r="E22" s="165">
        <v>2020</v>
      </c>
      <c r="F22" s="165">
        <v>2020</v>
      </c>
      <c r="G22" s="35" t="s">
        <v>16</v>
      </c>
      <c r="H22" s="34">
        <v>1000</v>
      </c>
      <c r="I22" s="34">
        <v>1000</v>
      </c>
      <c r="J22" s="49"/>
      <c r="K22" s="104"/>
      <c r="L22" s="105">
        <v>20201118</v>
      </c>
    </row>
    <row r="23" ht="16" customHeight="1" spans="1:12">
      <c r="A23" s="14">
        <v>21</v>
      </c>
      <c r="B23" s="33" t="s">
        <v>10535</v>
      </c>
      <c r="C23" s="34" t="s">
        <v>10573</v>
      </c>
      <c r="D23" s="34" t="s">
        <v>10574</v>
      </c>
      <c r="E23" s="165">
        <v>2020</v>
      </c>
      <c r="F23" s="165">
        <v>2020</v>
      </c>
      <c r="G23" s="35" t="s">
        <v>16</v>
      </c>
      <c r="H23" s="34">
        <v>200</v>
      </c>
      <c r="I23" s="34">
        <v>200</v>
      </c>
      <c r="J23" s="49"/>
      <c r="K23" s="104"/>
      <c r="L23" s="105">
        <v>20201118</v>
      </c>
    </row>
    <row r="24" ht="16" customHeight="1" spans="1:12">
      <c r="A24" s="14">
        <v>22</v>
      </c>
      <c r="B24" s="33" t="s">
        <v>10535</v>
      </c>
      <c r="C24" s="34" t="s">
        <v>10575</v>
      </c>
      <c r="D24" s="34" t="s">
        <v>10576</v>
      </c>
      <c r="E24" s="165">
        <v>2020</v>
      </c>
      <c r="F24" s="165">
        <v>2020</v>
      </c>
      <c r="G24" s="35" t="s">
        <v>16</v>
      </c>
      <c r="H24" s="34">
        <v>200</v>
      </c>
      <c r="I24" s="34">
        <v>200</v>
      </c>
      <c r="J24" s="49"/>
      <c r="K24" s="104"/>
      <c r="L24" s="105">
        <v>20201118</v>
      </c>
    </row>
    <row r="25" ht="16" customHeight="1" spans="1:12">
      <c r="A25" s="14">
        <v>23</v>
      </c>
      <c r="B25" s="33" t="s">
        <v>10535</v>
      </c>
      <c r="C25" s="34" t="s">
        <v>10577</v>
      </c>
      <c r="D25" s="34" t="s">
        <v>10578</v>
      </c>
      <c r="E25" s="165">
        <v>2020</v>
      </c>
      <c r="F25" s="165">
        <v>2020</v>
      </c>
      <c r="G25" s="35" t="s">
        <v>16</v>
      </c>
      <c r="H25" s="34">
        <v>200</v>
      </c>
      <c r="I25" s="34">
        <v>200</v>
      </c>
      <c r="J25" s="49"/>
      <c r="K25" s="104"/>
      <c r="L25" s="105">
        <v>20201118</v>
      </c>
    </row>
    <row r="26" ht="16" customHeight="1" spans="1:12">
      <c r="A26" s="14">
        <v>24</v>
      </c>
      <c r="B26" s="33" t="s">
        <v>10535</v>
      </c>
      <c r="C26" s="34" t="s">
        <v>10579</v>
      </c>
      <c r="D26" s="34" t="s">
        <v>10580</v>
      </c>
      <c r="E26" s="165">
        <v>2020</v>
      </c>
      <c r="F26" s="165">
        <v>2020</v>
      </c>
      <c r="G26" s="35" t="s">
        <v>16</v>
      </c>
      <c r="H26" s="34">
        <v>200</v>
      </c>
      <c r="I26" s="34">
        <v>200</v>
      </c>
      <c r="J26" s="49"/>
      <c r="K26" s="104"/>
      <c r="L26" s="105">
        <v>20201118</v>
      </c>
    </row>
    <row r="27" ht="16" customHeight="1" spans="1:12">
      <c r="A27" s="14">
        <v>25</v>
      </c>
      <c r="B27" s="33" t="s">
        <v>10535</v>
      </c>
      <c r="C27" s="34" t="s">
        <v>10581</v>
      </c>
      <c r="D27" s="34" t="s">
        <v>10582</v>
      </c>
      <c r="E27" s="165">
        <v>2020</v>
      </c>
      <c r="F27" s="165">
        <v>2020</v>
      </c>
      <c r="G27" s="35" t="s">
        <v>16</v>
      </c>
      <c r="H27" s="34">
        <v>200</v>
      </c>
      <c r="I27" s="34">
        <v>200</v>
      </c>
      <c r="J27" s="49"/>
      <c r="K27" s="104"/>
      <c r="L27" s="105">
        <v>20201118</v>
      </c>
    </row>
    <row r="28" ht="16" customHeight="1" spans="1:12">
      <c r="A28" s="14">
        <v>26</v>
      </c>
      <c r="B28" s="33" t="s">
        <v>10535</v>
      </c>
      <c r="C28" s="34" t="s">
        <v>10583</v>
      </c>
      <c r="D28" s="34" t="s">
        <v>10584</v>
      </c>
      <c r="E28" s="165">
        <v>2020</v>
      </c>
      <c r="F28" s="165">
        <v>2020</v>
      </c>
      <c r="G28" s="35" t="s">
        <v>16</v>
      </c>
      <c r="H28" s="34">
        <v>200</v>
      </c>
      <c r="I28" s="34">
        <v>200</v>
      </c>
      <c r="J28" s="49"/>
      <c r="K28" s="104"/>
      <c r="L28" s="105">
        <v>20201118</v>
      </c>
    </row>
    <row r="29" ht="16" customHeight="1" spans="1:12">
      <c r="A29" s="14">
        <v>27</v>
      </c>
      <c r="B29" s="33" t="s">
        <v>10535</v>
      </c>
      <c r="C29" s="34" t="s">
        <v>10585</v>
      </c>
      <c r="D29" s="34" t="s">
        <v>10586</v>
      </c>
      <c r="E29" s="165">
        <v>2020</v>
      </c>
      <c r="F29" s="165">
        <v>2020</v>
      </c>
      <c r="G29" s="35" t="s">
        <v>16</v>
      </c>
      <c r="H29" s="34">
        <v>200</v>
      </c>
      <c r="I29" s="34">
        <v>200</v>
      </c>
      <c r="J29" s="49"/>
      <c r="K29" s="104"/>
      <c r="L29" s="105">
        <v>20201118</v>
      </c>
    </row>
    <row r="30" ht="16" customHeight="1" spans="1:12">
      <c r="A30" s="14">
        <v>28</v>
      </c>
      <c r="B30" s="33" t="s">
        <v>10535</v>
      </c>
      <c r="C30" s="34" t="s">
        <v>10587</v>
      </c>
      <c r="D30" s="64" t="s">
        <v>10588</v>
      </c>
      <c r="E30" s="165">
        <v>2020</v>
      </c>
      <c r="F30" s="165">
        <v>2020</v>
      </c>
      <c r="G30" s="35" t="s">
        <v>16</v>
      </c>
      <c r="H30" s="34">
        <v>200</v>
      </c>
      <c r="I30" s="34">
        <v>200</v>
      </c>
      <c r="J30" s="49"/>
      <c r="K30" s="104"/>
      <c r="L30" s="105">
        <v>20201118</v>
      </c>
    </row>
    <row r="31" ht="16" customHeight="1" spans="1:12">
      <c r="A31" s="14">
        <v>29</v>
      </c>
      <c r="B31" s="33" t="s">
        <v>10535</v>
      </c>
      <c r="C31" s="34" t="s">
        <v>5359</v>
      </c>
      <c r="D31" s="64" t="s">
        <v>10589</v>
      </c>
      <c r="E31" s="165">
        <v>2020</v>
      </c>
      <c r="F31" s="165">
        <v>2020</v>
      </c>
      <c r="G31" s="35" t="s">
        <v>16</v>
      </c>
      <c r="H31" s="34">
        <v>200</v>
      </c>
      <c r="I31" s="34">
        <v>200</v>
      </c>
      <c r="J31" s="49"/>
      <c r="K31" s="104"/>
      <c r="L31" s="105">
        <v>20201118</v>
      </c>
    </row>
    <row r="32" ht="16" customHeight="1" spans="1:12">
      <c r="A32" s="14">
        <v>30</v>
      </c>
      <c r="B32" s="33" t="s">
        <v>10535</v>
      </c>
      <c r="C32" s="34" t="s">
        <v>10590</v>
      </c>
      <c r="D32" s="64" t="s">
        <v>10591</v>
      </c>
      <c r="E32" s="165">
        <v>2020</v>
      </c>
      <c r="F32" s="165">
        <v>2020</v>
      </c>
      <c r="G32" s="35" t="s">
        <v>16</v>
      </c>
      <c r="H32" s="34">
        <v>200</v>
      </c>
      <c r="I32" s="34">
        <v>200</v>
      </c>
      <c r="J32" s="49"/>
      <c r="K32" s="104"/>
      <c r="L32" s="105">
        <v>20201118</v>
      </c>
    </row>
    <row r="33" ht="16" customHeight="1" spans="1:12">
      <c r="A33" s="14">
        <v>31</v>
      </c>
      <c r="B33" s="33" t="s">
        <v>10535</v>
      </c>
      <c r="C33" s="34" t="s">
        <v>10592</v>
      </c>
      <c r="D33" s="34" t="s">
        <v>10593</v>
      </c>
      <c r="E33" s="165">
        <v>2020</v>
      </c>
      <c r="F33" s="165">
        <v>2020</v>
      </c>
      <c r="G33" s="35" t="s">
        <v>16</v>
      </c>
      <c r="H33" s="34">
        <v>1000</v>
      </c>
      <c r="I33" s="34">
        <v>1000</v>
      </c>
      <c r="J33" s="49"/>
      <c r="K33" s="104"/>
      <c r="L33" s="105">
        <v>20201118</v>
      </c>
    </row>
    <row r="34" ht="16" customHeight="1" spans="1:12">
      <c r="A34" s="14">
        <v>32</v>
      </c>
      <c r="B34" s="33" t="s">
        <v>10535</v>
      </c>
      <c r="C34" s="34" t="s">
        <v>10594</v>
      </c>
      <c r="D34" s="34" t="s">
        <v>10595</v>
      </c>
      <c r="E34" s="165">
        <v>2020</v>
      </c>
      <c r="F34" s="165">
        <v>2020</v>
      </c>
      <c r="G34" s="35" t="s">
        <v>16</v>
      </c>
      <c r="H34" s="34">
        <v>200</v>
      </c>
      <c r="I34" s="34">
        <v>200</v>
      </c>
      <c r="J34" s="49"/>
      <c r="K34" s="104"/>
      <c r="L34" s="105">
        <v>20201118</v>
      </c>
    </row>
    <row r="35" ht="16" customHeight="1" spans="1:12">
      <c r="A35" s="14">
        <v>33</v>
      </c>
      <c r="B35" s="33" t="s">
        <v>10535</v>
      </c>
      <c r="C35" s="34" t="s">
        <v>10596</v>
      </c>
      <c r="D35" s="34" t="s">
        <v>10597</v>
      </c>
      <c r="E35" s="165">
        <v>2020</v>
      </c>
      <c r="F35" s="165">
        <v>2020</v>
      </c>
      <c r="G35" s="35" t="s">
        <v>16</v>
      </c>
      <c r="H35" s="34">
        <v>200</v>
      </c>
      <c r="I35" s="34">
        <v>200</v>
      </c>
      <c r="J35" s="49"/>
      <c r="K35" s="104"/>
      <c r="L35" s="105">
        <v>20201118</v>
      </c>
    </row>
    <row r="36" ht="16" customHeight="1" spans="1:12">
      <c r="A36" s="14">
        <v>34</v>
      </c>
      <c r="B36" s="33" t="s">
        <v>10535</v>
      </c>
      <c r="C36" s="34" t="s">
        <v>10598</v>
      </c>
      <c r="D36" s="34" t="s">
        <v>10599</v>
      </c>
      <c r="E36" s="165">
        <v>2020</v>
      </c>
      <c r="F36" s="165">
        <v>2020</v>
      </c>
      <c r="G36" s="35" t="s">
        <v>16</v>
      </c>
      <c r="H36" s="34">
        <v>200</v>
      </c>
      <c r="I36" s="34">
        <v>200</v>
      </c>
      <c r="J36" s="49"/>
      <c r="K36" s="104"/>
      <c r="L36" s="105">
        <v>20201118</v>
      </c>
    </row>
    <row r="37" ht="16" customHeight="1" spans="1:12">
      <c r="A37" s="14">
        <v>35</v>
      </c>
      <c r="B37" s="33" t="s">
        <v>10535</v>
      </c>
      <c r="C37" s="34" t="s">
        <v>10600</v>
      </c>
      <c r="D37" s="34" t="s">
        <v>10601</v>
      </c>
      <c r="E37" s="165">
        <v>2020</v>
      </c>
      <c r="F37" s="165">
        <v>2020</v>
      </c>
      <c r="G37" s="35" t="s">
        <v>16</v>
      </c>
      <c r="H37" s="34">
        <v>200</v>
      </c>
      <c r="I37" s="34">
        <v>200</v>
      </c>
      <c r="J37" s="49"/>
      <c r="K37" s="104"/>
      <c r="L37" s="105">
        <v>20201118</v>
      </c>
    </row>
    <row r="38" ht="16" customHeight="1" spans="1:12">
      <c r="A38" s="14">
        <v>36</v>
      </c>
      <c r="B38" s="33" t="s">
        <v>10535</v>
      </c>
      <c r="C38" s="34" t="s">
        <v>10602</v>
      </c>
      <c r="D38" s="34" t="s">
        <v>10603</v>
      </c>
      <c r="E38" s="165">
        <v>2020</v>
      </c>
      <c r="F38" s="165">
        <v>2020</v>
      </c>
      <c r="G38" s="35" t="s">
        <v>16</v>
      </c>
      <c r="H38" s="34">
        <v>200</v>
      </c>
      <c r="I38" s="34">
        <v>200</v>
      </c>
      <c r="J38" s="49"/>
      <c r="K38" s="104"/>
      <c r="L38" s="105">
        <v>20201118</v>
      </c>
    </row>
    <row r="39" ht="16" customHeight="1" spans="1:12">
      <c r="A39" s="14">
        <v>37</v>
      </c>
      <c r="B39" s="33" t="s">
        <v>10535</v>
      </c>
      <c r="C39" s="34" t="s">
        <v>10604</v>
      </c>
      <c r="D39" s="34" t="s">
        <v>10605</v>
      </c>
      <c r="E39" s="165">
        <v>2020</v>
      </c>
      <c r="F39" s="165">
        <v>2020</v>
      </c>
      <c r="G39" s="35" t="s">
        <v>16</v>
      </c>
      <c r="H39" s="34">
        <v>200</v>
      </c>
      <c r="I39" s="34">
        <v>200</v>
      </c>
      <c r="J39" s="49"/>
      <c r="K39" s="104"/>
      <c r="L39" s="105">
        <v>20201118</v>
      </c>
    </row>
    <row r="40" ht="16" customHeight="1" spans="1:12">
      <c r="A40" s="14">
        <v>38</v>
      </c>
      <c r="B40" s="33" t="s">
        <v>10535</v>
      </c>
      <c r="C40" s="34" t="s">
        <v>10606</v>
      </c>
      <c r="D40" s="34" t="s">
        <v>10607</v>
      </c>
      <c r="E40" s="165">
        <v>2020</v>
      </c>
      <c r="F40" s="165">
        <v>2020</v>
      </c>
      <c r="G40" s="35" t="s">
        <v>16</v>
      </c>
      <c r="H40" s="34">
        <v>200</v>
      </c>
      <c r="I40" s="34">
        <v>200</v>
      </c>
      <c r="J40" s="49"/>
      <c r="K40" s="104"/>
      <c r="L40" s="105">
        <v>20201118</v>
      </c>
    </row>
    <row r="41" ht="16" customHeight="1" spans="1:12">
      <c r="A41" s="14">
        <v>39</v>
      </c>
      <c r="B41" s="33" t="s">
        <v>10535</v>
      </c>
      <c r="C41" s="34" t="s">
        <v>10608</v>
      </c>
      <c r="D41" s="34" t="s">
        <v>10609</v>
      </c>
      <c r="E41" s="165">
        <v>2020</v>
      </c>
      <c r="F41" s="165">
        <v>2020</v>
      </c>
      <c r="G41" s="35" t="s">
        <v>16</v>
      </c>
      <c r="H41" s="34">
        <v>200</v>
      </c>
      <c r="I41" s="34">
        <v>200</v>
      </c>
      <c r="J41" s="49"/>
      <c r="K41" s="104"/>
      <c r="L41" s="105">
        <v>20201118</v>
      </c>
    </row>
    <row r="42" ht="16" customHeight="1" spans="1:12">
      <c r="A42" s="14">
        <v>40</v>
      </c>
      <c r="B42" s="33" t="s">
        <v>10535</v>
      </c>
      <c r="C42" s="34" t="s">
        <v>7463</v>
      </c>
      <c r="D42" s="34" t="s">
        <v>10610</v>
      </c>
      <c r="E42" s="165">
        <v>2020</v>
      </c>
      <c r="F42" s="165">
        <v>2020</v>
      </c>
      <c r="G42" s="35" t="s">
        <v>16</v>
      </c>
      <c r="H42" s="34">
        <v>200</v>
      </c>
      <c r="I42" s="34">
        <v>200</v>
      </c>
      <c r="J42" s="49"/>
      <c r="K42" s="104"/>
      <c r="L42" s="105">
        <v>20201118</v>
      </c>
    </row>
    <row r="43" ht="16" customHeight="1" spans="1:12">
      <c r="A43" s="14">
        <v>41</v>
      </c>
      <c r="B43" s="33" t="s">
        <v>10535</v>
      </c>
      <c r="C43" s="34" t="s">
        <v>10611</v>
      </c>
      <c r="D43" s="34" t="s">
        <v>10612</v>
      </c>
      <c r="E43" s="165">
        <v>2020</v>
      </c>
      <c r="F43" s="165">
        <v>2020</v>
      </c>
      <c r="G43" s="35" t="s">
        <v>16</v>
      </c>
      <c r="H43" s="34">
        <v>200</v>
      </c>
      <c r="I43" s="34">
        <v>200</v>
      </c>
      <c r="J43" s="49"/>
      <c r="K43" s="104"/>
      <c r="L43" s="105">
        <v>20201118</v>
      </c>
    </row>
    <row r="44" ht="16" customHeight="1" spans="1:12">
      <c r="A44" s="14">
        <v>42</v>
      </c>
      <c r="B44" s="33" t="s">
        <v>10535</v>
      </c>
      <c r="C44" s="34" t="s">
        <v>10613</v>
      </c>
      <c r="D44" s="34" t="s">
        <v>10614</v>
      </c>
      <c r="E44" s="165">
        <v>2020</v>
      </c>
      <c r="F44" s="165">
        <v>2020</v>
      </c>
      <c r="G44" s="35" t="s">
        <v>16</v>
      </c>
      <c r="H44" s="34">
        <v>200</v>
      </c>
      <c r="I44" s="34">
        <v>200</v>
      </c>
      <c r="J44" s="49"/>
      <c r="K44" s="104"/>
      <c r="L44" s="105">
        <v>20201118</v>
      </c>
    </row>
    <row r="45" ht="16" customHeight="1" spans="1:12">
      <c r="A45" s="14">
        <v>43</v>
      </c>
      <c r="B45" s="33" t="s">
        <v>10535</v>
      </c>
      <c r="C45" s="34" t="s">
        <v>10615</v>
      </c>
      <c r="D45" s="34" t="s">
        <v>10616</v>
      </c>
      <c r="E45" s="165">
        <v>2020</v>
      </c>
      <c r="F45" s="165">
        <v>2020</v>
      </c>
      <c r="G45" s="35" t="s">
        <v>16</v>
      </c>
      <c r="H45" s="34">
        <v>200</v>
      </c>
      <c r="I45" s="34">
        <v>200</v>
      </c>
      <c r="J45" s="49"/>
      <c r="K45" s="104"/>
      <c r="L45" s="105">
        <v>20201118</v>
      </c>
    </row>
    <row r="46" ht="16" customHeight="1" spans="1:12">
      <c r="A46" s="14">
        <v>44</v>
      </c>
      <c r="B46" s="33" t="s">
        <v>10535</v>
      </c>
      <c r="C46" s="34" t="s">
        <v>10617</v>
      </c>
      <c r="D46" s="34" t="s">
        <v>10618</v>
      </c>
      <c r="E46" s="165">
        <v>2020</v>
      </c>
      <c r="F46" s="165">
        <v>2020</v>
      </c>
      <c r="G46" s="35" t="s">
        <v>16</v>
      </c>
      <c r="H46" s="34">
        <v>200</v>
      </c>
      <c r="I46" s="34">
        <v>200</v>
      </c>
      <c r="J46" s="49"/>
      <c r="K46" s="104"/>
      <c r="L46" s="105">
        <v>20201118</v>
      </c>
    </row>
    <row r="47" ht="16" customHeight="1" spans="1:12">
      <c r="A47" s="14">
        <v>45</v>
      </c>
      <c r="B47" s="33" t="s">
        <v>10535</v>
      </c>
      <c r="C47" s="34" t="s">
        <v>10619</v>
      </c>
      <c r="D47" s="34" t="s">
        <v>10620</v>
      </c>
      <c r="E47" s="165">
        <v>2020</v>
      </c>
      <c r="F47" s="165">
        <v>2020</v>
      </c>
      <c r="G47" s="35" t="s">
        <v>16</v>
      </c>
      <c r="H47" s="34">
        <v>200</v>
      </c>
      <c r="I47" s="34">
        <v>200</v>
      </c>
      <c r="J47" s="49"/>
      <c r="K47" s="104"/>
      <c r="L47" s="105">
        <v>20201118</v>
      </c>
    </row>
    <row r="48" ht="16" customHeight="1" spans="1:12">
      <c r="A48" s="14">
        <v>46</v>
      </c>
      <c r="B48" s="33" t="s">
        <v>10535</v>
      </c>
      <c r="C48" s="34" t="s">
        <v>10621</v>
      </c>
      <c r="D48" s="34" t="s">
        <v>10622</v>
      </c>
      <c r="E48" s="165">
        <v>2020</v>
      </c>
      <c r="F48" s="165">
        <v>2020</v>
      </c>
      <c r="G48" s="35" t="s">
        <v>16</v>
      </c>
      <c r="H48" s="34">
        <v>200</v>
      </c>
      <c r="I48" s="34">
        <v>200</v>
      </c>
      <c r="J48" s="49"/>
      <c r="K48" s="104"/>
      <c r="L48" s="105">
        <v>20201118</v>
      </c>
    </row>
    <row r="49" ht="16" customHeight="1" spans="1:12">
      <c r="A49" s="14">
        <v>47</v>
      </c>
      <c r="B49" s="33" t="s">
        <v>10535</v>
      </c>
      <c r="C49" s="34" t="s">
        <v>10623</v>
      </c>
      <c r="D49" s="34" t="s">
        <v>10624</v>
      </c>
      <c r="E49" s="165">
        <v>2020</v>
      </c>
      <c r="F49" s="165">
        <v>2020</v>
      </c>
      <c r="G49" s="35" t="s">
        <v>16</v>
      </c>
      <c r="H49" s="34">
        <v>200</v>
      </c>
      <c r="I49" s="34">
        <v>200</v>
      </c>
      <c r="J49" s="49"/>
      <c r="K49" s="104"/>
      <c r="L49" s="105">
        <v>20201118</v>
      </c>
    </row>
    <row r="50" ht="16" customHeight="1" spans="1:12">
      <c r="A50" s="14">
        <v>48</v>
      </c>
      <c r="B50" s="33" t="s">
        <v>10535</v>
      </c>
      <c r="C50" s="34" t="s">
        <v>10625</v>
      </c>
      <c r="D50" s="34" t="s">
        <v>10626</v>
      </c>
      <c r="E50" s="165">
        <v>2020</v>
      </c>
      <c r="F50" s="165">
        <v>2020</v>
      </c>
      <c r="G50" s="35" t="s">
        <v>16</v>
      </c>
      <c r="H50" s="34">
        <v>200</v>
      </c>
      <c r="I50" s="34">
        <v>200</v>
      </c>
      <c r="J50" s="49"/>
      <c r="K50" s="104"/>
      <c r="L50" s="105">
        <v>20201118</v>
      </c>
    </row>
    <row r="51" ht="16" customHeight="1" spans="1:12">
      <c r="A51" s="14">
        <v>49</v>
      </c>
      <c r="B51" s="33" t="s">
        <v>10535</v>
      </c>
      <c r="C51" s="34" t="s">
        <v>10627</v>
      </c>
      <c r="D51" s="34" t="s">
        <v>10628</v>
      </c>
      <c r="E51" s="165">
        <v>2020</v>
      </c>
      <c r="F51" s="165">
        <v>2020</v>
      </c>
      <c r="G51" s="35" t="s">
        <v>16</v>
      </c>
      <c r="H51" s="34">
        <v>200</v>
      </c>
      <c r="I51" s="34">
        <v>200</v>
      </c>
      <c r="J51" s="49"/>
      <c r="K51" s="104"/>
      <c r="L51" s="105">
        <v>20201118</v>
      </c>
    </row>
    <row r="52" ht="16" customHeight="1" spans="1:12">
      <c r="A52" s="14">
        <v>50</v>
      </c>
      <c r="B52" s="33" t="s">
        <v>10535</v>
      </c>
      <c r="C52" s="34" t="s">
        <v>10629</v>
      </c>
      <c r="D52" s="34" t="s">
        <v>10630</v>
      </c>
      <c r="E52" s="165">
        <v>2020</v>
      </c>
      <c r="F52" s="165">
        <v>2020</v>
      </c>
      <c r="G52" s="35" t="s">
        <v>16</v>
      </c>
      <c r="H52" s="34">
        <v>200</v>
      </c>
      <c r="I52" s="34">
        <v>200</v>
      </c>
      <c r="J52" s="49"/>
      <c r="K52" s="104"/>
      <c r="L52" s="105">
        <v>20201118</v>
      </c>
    </row>
    <row r="53" ht="16" customHeight="1" spans="1:12">
      <c r="A53" s="14">
        <v>51</v>
      </c>
      <c r="B53" s="33" t="s">
        <v>10535</v>
      </c>
      <c r="C53" s="34" t="s">
        <v>10631</v>
      </c>
      <c r="D53" s="34" t="s">
        <v>10632</v>
      </c>
      <c r="E53" s="165">
        <v>2020</v>
      </c>
      <c r="F53" s="165">
        <v>2020</v>
      </c>
      <c r="G53" s="35" t="s">
        <v>16</v>
      </c>
      <c r="H53" s="34">
        <v>200</v>
      </c>
      <c r="I53" s="34">
        <v>200</v>
      </c>
      <c r="J53" s="49"/>
      <c r="K53" s="104"/>
      <c r="L53" s="105">
        <v>20201118</v>
      </c>
    </row>
    <row r="54" ht="16" customHeight="1" spans="1:12">
      <c r="A54" s="14">
        <v>52</v>
      </c>
      <c r="B54" s="33" t="s">
        <v>10535</v>
      </c>
      <c r="C54" s="34" t="s">
        <v>5209</v>
      </c>
      <c r="D54" s="34" t="s">
        <v>10633</v>
      </c>
      <c r="E54" s="165">
        <v>2020</v>
      </c>
      <c r="F54" s="165">
        <v>2020</v>
      </c>
      <c r="G54" s="35" t="s">
        <v>16</v>
      </c>
      <c r="H54" s="34">
        <v>200</v>
      </c>
      <c r="I54" s="34">
        <v>200</v>
      </c>
      <c r="J54" s="49"/>
      <c r="K54" s="104"/>
      <c r="L54" s="105">
        <v>20201118</v>
      </c>
    </row>
    <row r="55" ht="16" customHeight="1" spans="1:12">
      <c r="A55" s="14">
        <v>53</v>
      </c>
      <c r="B55" s="33" t="s">
        <v>10535</v>
      </c>
      <c r="C55" s="34" t="s">
        <v>10634</v>
      </c>
      <c r="D55" s="34" t="s">
        <v>10635</v>
      </c>
      <c r="E55" s="165">
        <v>2020</v>
      </c>
      <c r="F55" s="165">
        <v>2020</v>
      </c>
      <c r="G55" s="35" t="s">
        <v>16</v>
      </c>
      <c r="H55" s="34">
        <v>200</v>
      </c>
      <c r="I55" s="34">
        <v>200</v>
      </c>
      <c r="J55" s="49"/>
      <c r="K55" s="104"/>
      <c r="L55" s="105">
        <v>20201118</v>
      </c>
    </row>
    <row r="56" ht="16" customHeight="1" spans="1:12">
      <c r="A56" s="14">
        <v>54</v>
      </c>
      <c r="B56" s="33" t="s">
        <v>10535</v>
      </c>
      <c r="C56" s="34" t="s">
        <v>10636</v>
      </c>
      <c r="D56" s="34" t="s">
        <v>10637</v>
      </c>
      <c r="E56" s="165">
        <v>2020</v>
      </c>
      <c r="F56" s="165">
        <v>2020</v>
      </c>
      <c r="G56" s="35" t="s">
        <v>16</v>
      </c>
      <c r="H56" s="34">
        <v>200</v>
      </c>
      <c r="I56" s="34">
        <v>200</v>
      </c>
      <c r="J56" s="49"/>
      <c r="K56" s="104"/>
      <c r="L56" s="105">
        <v>20201118</v>
      </c>
    </row>
    <row r="57" ht="16" customHeight="1" spans="1:12">
      <c r="A57" s="14">
        <v>55</v>
      </c>
      <c r="B57" s="33" t="s">
        <v>10535</v>
      </c>
      <c r="C57" s="34" t="s">
        <v>10638</v>
      </c>
      <c r="D57" s="34" t="s">
        <v>10639</v>
      </c>
      <c r="E57" s="165">
        <v>2020</v>
      </c>
      <c r="F57" s="165">
        <v>2020</v>
      </c>
      <c r="G57" s="35" t="s">
        <v>16</v>
      </c>
      <c r="H57" s="34">
        <v>200</v>
      </c>
      <c r="I57" s="34">
        <v>200</v>
      </c>
      <c r="J57" s="49" t="s">
        <v>108</v>
      </c>
      <c r="K57" s="104"/>
      <c r="L57" s="105">
        <v>20201118</v>
      </c>
    </row>
    <row r="58" ht="16" customHeight="1" spans="1:12">
      <c r="A58" s="14">
        <v>56</v>
      </c>
      <c r="B58" s="33" t="s">
        <v>10535</v>
      </c>
      <c r="C58" s="34" t="s">
        <v>10640</v>
      </c>
      <c r="D58" s="34" t="s">
        <v>10641</v>
      </c>
      <c r="E58" s="165">
        <v>2020</v>
      </c>
      <c r="F58" s="165">
        <v>2020</v>
      </c>
      <c r="G58" s="35" t="s">
        <v>16</v>
      </c>
      <c r="H58" s="34">
        <v>200</v>
      </c>
      <c r="I58" s="34">
        <v>200</v>
      </c>
      <c r="J58" s="49"/>
      <c r="K58" s="104"/>
      <c r="L58" s="105">
        <v>20201118</v>
      </c>
    </row>
    <row r="59" ht="16" customHeight="1" spans="1:12">
      <c r="A59" s="14">
        <v>57</v>
      </c>
      <c r="B59" s="33" t="s">
        <v>10535</v>
      </c>
      <c r="C59" s="34" t="s">
        <v>10642</v>
      </c>
      <c r="D59" s="34" t="s">
        <v>10643</v>
      </c>
      <c r="E59" s="165">
        <v>2020</v>
      </c>
      <c r="F59" s="165">
        <v>2020</v>
      </c>
      <c r="G59" s="35" t="s">
        <v>16</v>
      </c>
      <c r="H59" s="34">
        <v>200</v>
      </c>
      <c r="I59" s="34">
        <v>200</v>
      </c>
      <c r="J59" s="49"/>
      <c r="K59" s="104"/>
      <c r="L59" s="105">
        <v>20201118</v>
      </c>
    </row>
    <row r="60" ht="16" customHeight="1" spans="1:12">
      <c r="A60" s="14">
        <v>58</v>
      </c>
      <c r="B60" s="33" t="s">
        <v>10535</v>
      </c>
      <c r="C60" s="34" t="s">
        <v>8163</v>
      </c>
      <c r="D60" s="34" t="s">
        <v>10644</v>
      </c>
      <c r="E60" s="165">
        <v>2020</v>
      </c>
      <c r="F60" s="165">
        <v>2020</v>
      </c>
      <c r="G60" s="35" t="s">
        <v>16</v>
      </c>
      <c r="H60" s="34">
        <v>200</v>
      </c>
      <c r="I60" s="34">
        <v>200</v>
      </c>
      <c r="J60" s="49"/>
      <c r="K60" s="104"/>
      <c r="L60" s="105">
        <v>20201118</v>
      </c>
    </row>
    <row r="61" ht="16" customHeight="1" spans="1:12">
      <c r="A61" s="14">
        <v>59</v>
      </c>
      <c r="B61" s="33" t="s">
        <v>10535</v>
      </c>
      <c r="C61" s="34" t="s">
        <v>10645</v>
      </c>
      <c r="D61" s="64" t="s">
        <v>10646</v>
      </c>
      <c r="E61" s="165">
        <v>2020</v>
      </c>
      <c r="F61" s="165">
        <v>2020</v>
      </c>
      <c r="G61" s="35" t="s">
        <v>16</v>
      </c>
      <c r="H61" s="34">
        <v>200</v>
      </c>
      <c r="I61" s="34">
        <v>200</v>
      </c>
      <c r="J61" s="49"/>
      <c r="K61" s="104"/>
      <c r="L61" s="105">
        <v>20201118</v>
      </c>
    </row>
    <row r="62" ht="16" customHeight="1" spans="1:12">
      <c r="A62" s="14">
        <v>60</v>
      </c>
      <c r="B62" s="33" t="s">
        <v>10535</v>
      </c>
      <c r="C62" s="34" t="s">
        <v>10647</v>
      </c>
      <c r="D62" s="34" t="s">
        <v>10648</v>
      </c>
      <c r="E62" s="165">
        <v>2020</v>
      </c>
      <c r="F62" s="165">
        <v>2020</v>
      </c>
      <c r="G62" s="35" t="s">
        <v>16</v>
      </c>
      <c r="H62" s="34">
        <v>200</v>
      </c>
      <c r="I62" s="34">
        <v>200</v>
      </c>
      <c r="J62" s="49"/>
      <c r="K62" s="104"/>
      <c r="L62" s="105">
        <v>20201118</v>
      </c>
    </row>
    <row r="63" ht="16" customHeight="1" spans="1:12">
      <c r="A63" s="14">
        <v>61</v>
      </c>
      <c r="B63" s="33" t="s">
        <v>10535</v>
      </c>
      <c r="C63" s="34" t="s">
        <v>10649</v>
      </c>
      <c r="D63" s="34" t="s">
        <v>10650</v>
      </c>
      <c r="E63" s="165">
        <v>2020</v>
      </c>
      <c r="F63" s="165">
        <v>2020</v>
      </c>
      <c r="G63" s="35" t="s">
        <v>16</v>
      </c>
      <c r="H63" s="34">
        <v>200</v>
      </c>
      <c r="I63" s="34">
        <v>200</v>
      </c>
      <c r="J63" s="49"/>
      <c r="K63" s="104"/>
      <c r="L63" s="105">
        <v>20201118</v>
      </c>
    </row>
    <row r="64" ht="16" customHeight="1" spans="1:12">
      <c r="A64" s="14">
        <v>62</v>
      </c>
      <c r="B64" s="33" t="s">
        <v>10535</v>
      </c>
      <c r="C64" s="34" t="s">
        <v>10651</v>
      </c>
      <c r="D64" s="34" t="s">
        <v>10652</v>
      </c>
      <c r="E64" s="165">
        <v>2020</v>
      </c>
      <c r="F64" s="165">
        <v>2020</v>
      </c>
      <c r="G64" s="35" t="s">
        <v>16</v>
      </c>
      <c r="H64" s="34">
        <v>200</v>
      </c>
      <c r="I64" s="34">
        <v>200</v>
      </c>
      <c r="J64" s="49"/>
      <c r="K64" s="104"/>
      <c r="L64" s="105">
        <v>20201118</v>
      </c>
    </row>
    <row r="65" ht="16" customHeight="1" spans="1:12">
      <c r="A65" s="14">
        <v>63</v>
      </c>
      <c r="B65" s="33" t="s">
        <v>10535</v>
      </c>
      <c r="C65" s="34" t="s">
        <v>10653</v>
      </c>
      <c r="D65" s="34" t="s">
        <v>10654</v>
      </c>
      <c r="E65" s="165">
        <v>2020</v>
      </c>
      <c r="F65" s="165">
        <v>2020</v>
      </c>
      <c r="G65" s="35" t="s">
        <v>16</v>
      </c>
      <c r="H65" s="34">
        <v>200</v>
      </c>
      <c r="I65" s="34">
        <v>200</v>
      </c>
      <c r="J65" s="49"/>
      <c r="K65" s="104"/>
      <c r="L65" s="105">
        <v>20201118</v>
      </c>
    </row>
    <row r="66" ht="16" customHeight="1" spans="1:12">
      <c r="A66" s="14">
        <v>64</v>
      </c>
      <c r="B66" s="33" t="s">
        <v>10535</v>
      </c>
      <c r="C66" s="34" t="s">
        <v>10655</v>
      </c>
      <c r="D66" s="34" t="s">
        <v>10656</v>
      </c>
      <c r="E66" s="165">
        <v>2020</v>
      </c>
      <c r="F66" s="165">
        <v>2020</v>
      </c>
      <c r="G66" s="35" t="s">
        <v>16</v>
      </c>
      <c r="H66" s="34">
        <v>200</v>
      </c>
      <c r="I66" s="34">
        <v>200</v>
      </c>
      <c r="J66" s="49"/>
      <c r="K66" s="104"/>
      <c r="L66" s="105">
        <v>20201118</v>
      </c>
    </row>
    <row r="67" ht="16" customHeight="1" spans="1:12">
      <c r="A67" s="14">
        <v>65</v>
      </c>
      <c r="B67" s="33" t="s">
        <v>10535</v>
      </c>
      <c r="C67" s="34" t="s">
        <v>10657</v>
      </c>
      <c r="D67" s="34" t="s">
        <v>10658</v>
      </c>
      <c r="E67" s="165">
        <v>2020</v>
      </c>
      <c r="F67" s="165">
        <v>2020</v>
      </c>
      <c r="G67" s="35" t="s">
        <v>16</v>
      </c>
      <c r="H67" s="34">
        <v>200</v>
      </c>
      <c r="I67" s="34">
        <v>200</v>
      </c>
      <c r="J67" s="49" t="s">
        <v>108</v>
      </c>
      <c r="K67" s="104"/>
      <c r="L67" s="105">
        <v>20201118</v>
      </c>
    </row>
    <row r="68" ht="16" customHeight="1" spans="1:12">
      <c r="A68" s="14">
        <v>66</v>
      </c>
      <c r="B68" s="33" t="s">
        <v>10535</v>
      </c>
      <c r="C68" s="34" t="s">
        <v>10659</v>
      </c>
      <c r="D68" s="34" t="s">
        <v>10660</v>
      </c>
      <c r="E68" s="165">
        <v>2020</v>
      </c>
      <c r="F68" s="165">
        <v>2020</v>
      </c>
      <c r="G68" s="35" t="s">
        <v>16</v>
      </c>
      <c r="H68" s="34">
        <v>200</v>
      </c>
      <c r="I68" s="34">
        <v>200</v>
      </c>
      <c r="J68" s="49"/>
      <c r="K68" s="104"/>
      <c r="L68" s="105">
        <v>20201118</v>
      </c>
    </row>
    <row r="69" ht="16" customHeight="1" spans="1:12">
      <c r="A69" s="14">
        <v>67</v>
      </c>
      <c r="B69" s="33" t="s">
        <v>10535</v>
      </c>
      <c r="C69" s="34" t="s">
        <v>10661</v>
      </c>
      <c r="D69" s="34" t="s">
        <v>10662</v>
      </c>
      <c r="E69" s="165">
        <v>2020</v>
      </c>
      <c r="F69" s="165">
        <v>2020</v>
      </c>
      <c r="G69" s="35" t="s">
        <v>16</v>
      </c>
      <c r="H69" s="34">
        <v>200</v>
      </c>
      <c r="I69" s="34">
        <v>200</v>
      </c>
      <c r="J69" s="49"/>
      <c r="K69" s="104"/>
      <c r="L69" s="105">
        <v>20201118</v>
      </c>
    </row>
    <row r="70" ht="16" customHeight="1" spans="1:12">
      <c r="A70" s="14">
        <v>68</v>
      </c>
      <c r="B70" s="33" t="s">
        <v>10535</v>
      </c>
      <c r="C70" s="34" t="s">
        <v>10663</v>
      </c>
      <c r="D70" s="34" t="s">
        <v>10664</v>
      </c>
      <c r="E70" s="165">
        <v>2020</v>
      </c>
      <c r="F70" s="165">
        <v>2020</v>
      </c>
      <c r="G70" s="35" t="s">
        <v>16</v>
      </c>
      <c r="H70" s="34">
        <v>200</v>
      </c>
      <c r="I70" s="34">
        <v>200</v>
      </c>
      <c r="J70" s="49"/>
      <c r="K70" s="104"/>
      <c r="L70" s="105">
        <v>20201118</v>
      </c>
    </row>
    <row r="71" ht="16" customHeight="1" spans="1:12">
      <c r="A71" s="14">
        <v>69</v>
      </c>
      <c r="B71" s="33" t="s">
        <v>10535</v>
      </c>
      <c r="C71" s="34" t="s">
        <v>10665</v>
      </c>
      <c r="D71" s="34" t="s">
        <v>10666</v>
      </c>
      <c r="E71" s="165">
        <v>2020</v>
      </c>
      <c r="F71" s="165">
        <v>2020</v>
      </c>
      <c r="G71" s="35" t="s">
        <v>16</v>
      </c>
      <c r="H71" s="34">
        <v>200</v>
      </c>
      <c r="I71" s="34">
        <v>200</v>
      </c>
      <c r="J71" s="49" t="s">
        <v>10667</v>
      </c>
      <c r="K71" s="104"/>
      <c r="L71" s="105">
        <v>20201118</v>
      </c>
    </row>
    <row r="72" ht="16" customHeight="1" spans="1:12">
      <c r="A72" s="14">
        <v>70</v>
      </c>
      <c r="B72" s="33" t="s">
        <v>10535</v>
      </c>
      <c r="C72" s="34" t="s">
        <v>10668</v>
      </c>
      <c r="D72" s="34" t="s">
        <v>10669</v>
      </c>
      <c r="E72" s="165">
        <v>2020</v>
      </c>
      <c r="F72" s="165">
        <v>2020</v>
      </c>
      <c r="G72" s="35" t="s">
        <v>16</v>
      </c>
      <c r="H72" s="34">
        <v>200</v>
      </c>
      <c r="I72" s="34">
        <v>200</v>
      </c>
      <c r="J72" s="49"/>
      <c r="K72" s="104"/>
      <c r="L72" s="105">
        <v>20201118</v>
      </c>
    </row>
    <row r="73" ht="16" customHeight="1" spans="1:12">
      <c r="A73" s="14">
        <v>71</v>
      </c>
      <c r="B73" s="33" t="s">
        <v>10535</v>
      </c>
      <c r="C73" s="34" t="s">
        <v>10670</v>
      </c>
      <c r="D73" s="34" t="s">
        <v>10671</v>
      </c>
      <c r="E73" s="165">
        <v>2020</v>
      </c>
      <c r="F73" s="165">
        <v>2020</v>
      </c>
      <c r="G73" s="35" t="s">
        <v>16</v>
      </c>
      <c r="H73" s="34">
        <v>200</v>
      </c>
      <c r="I73" s="34">
        <v>200</v>
      </c>
      <c r="J73" s="49"/>
      <c r="K73" s="104"/>
      <c r="L73" s="105">
        <v>20201118</v>
      </c>
    </row>
    <row r="74" ht="16" customHeight="1" spans="1:12">
      <c r="A74" s="14">
        <v>72</v>
      </c>
      <c r="B74" s="33" t="s">
        <v>10535</v>
      </c>
      <c r="C74" s="34" t="s">
        <v>10672</v>
      </c>
      <c r="D74" s="34" t="s">
        <v>10673</v>
      </c>
      <c r="E74" s="165">
        <v>2020</v>
      </c>
      <c r="F74" s="165">
        <v>2020</v>
      </c>
      <c r="G74" s="35" t="s">
        <v>16</v>
      </c>
      <c r="H74" s="34">
        <v>200</v>
      </c>
      <c r="I74" s="34">
        <v>200</v>
      </c>
      <c r="J74" s="49"/>
      <c r="K74" s="104"/>
      <c r="L74" s="105">
        <v>20201118</v>
      </c>
    </row>
    <row r="75" ht="16" customHeight="1" spans="1:12">
      <c r="A75" s="14">
        <v>73</v>
      </c>
      <c r="B75" s="33" t="s">
        <v>10535</v>
      </c>
      <c r="C75" s="34" t="s">
        <v>10674</v>
      </c>
      <c r="D75" s="34" t="s">
        <v>10675</v>
      </c>
      <c r="E75" s="165">
        <v>2020</v>
      </c>
      <c r="F75" s="165">
        <v>2020</v>
      </c>
      <c r="G75" s="35" t="s">
        <v>16</v>
      </c>
      <c r="H75" s="34">
        <v>200</v>
      </c>
      <c r="I75" s="34">
        <v>200</v>
      </c>
      <c r="J75" s="49"/>
      <c r="K75" s="104"/>
      <c r="L75" s="105">
        <v>20201118</v>
      </c>
    </row>
    <row r="76" ht="16" customHeight="1" spans="1:12">
      <c r="A76" s="14">
        <v>74</v>
      </c>
      <c r="B76" s="33" t="s">
        <v>10535</v>
      </c>
      <c r="C76" s="34" t="s">
        <v>10676</v>
      </c>
      <c r="D76" s="34" t="s">
        <v>10677</v>
      </c>
      <c r="E76" s="165">
        <v>2020</v>
      </c>
      <c r="F76" s="165">
        <v>2020</v>
      </c>
      <c r="G76" s="35" t="s">
        <v>16</v>
      </c>
      <c r="H76" s="34">
        <v>200</v>
      </c>
      <c r="I76" s="34">
        <v>200</v>
      </c>
      <c r="J76" s="49"/>
      <c r="K76" s="104"/>
      <c r="L76" s="105">
        <v>20201118</v>
      </c>
    </row>
    <row r="77" ht="16" customHeight="1" spans="1:12">
      <c r="A77" s="14">
        <v>75</v>
      </c>
      <c r="B77" s="33" t="s">
        <v>10535</v>
      </c>
      <c r="C77" s="34" t="s">
        <v>10678</v>
      </c>
      <c r="D77" s="34" t="s">
        <v>10679</v>
      </c>
      <c r="E77" s="165">
        <v>2020</v>
      </c>
      <c r="F77" s="165">
        <v>2020</v>
      </c>
      <c r="G77" s="35" t="s">
        <v>16</v>
      </c>
      <c r="H77" s="34">
        <v>200</v>
      </c>
      <c r="I77" s="34">
        <v>200</v>
      </c>
      <c r="J77" s="49"/>
      <c r="K77" s="104"/>
      <c r="L77" s="105">
        <v>20201118</v>
      </c>
    </row>
    <row r="78" ht="16" customHeight="1" spans="1:12">
      <c r="A78" s="14">
        <v>76</v>
      </c>
      <c r="B78" s="33" t="s">
        <v>10535</v>
      </c>
      <c r="C78" s="34" t="s">
        <v>10680</v>
      </c>
      <c r="D78" s="34" t="s">
        <v>10681</v>
      </c>
      <c r="E78" s="165">
        <v>2020</v>
      </c>
      <c r="F78" s="165">
        <v>2020</v>
      </c>
      <c r="G78" s="35" t="s">
        <v>16</v>
      </c>
      <c r="H78" s="34">
        <v>200</v>
      </c>
      <c r="I78" s="34">
        <v>200</v>
      </c>
      <c r="J78" s="49"/>
      <c r="K78" s="104"/>
      <c r="L78" s="105">
        <v>20201118</v>
      </c>
    </row>
    <row r="79" ht="16" customHeight="1" spans="1:12">
      <c r="A79" s="14">
        <v>77</v>
      </c>
      <c r="B79" s="33" t="s">
        <v>10535</v>
      </c>
      <c r="C79" s="34" t="s">
        <v>10682</v>
      </c>
      <c r="D79" s="34" t="s">
        <v>10683</v>
      </c>
      <c r="E79" s="165">
        <v>2020</v>
      </c>
      <c r="F79" s="165">
        <v>2020</v>
      </c>
      <c r="G79" s="35" t="s">
        <v>16</v>
      </c>
      <c r="H79" s="34">
        <v>200</v>
      </c>
      <c r="I79" s="34">
        <v>200</v>
      </c>
      <c r="J79" s="49"/>
      <c r="K79" s="104"/>
      <c r="L79" s="105">
        <v>20201118</v>
      </c>
    </row>
    <row r="80" ht="16" customHeight="1" spans="1:12">
      <c r="A80" s="14">
        <v>78</v>
      </c>
      <c r="B80" s="33" t="s">
        <v>10535</v>
      </c>
      <c r="C80" s="34" t="s">
        <v>2657</v>
      </c>
      <c r="D80" s="64" t="s">
        <v>10684</v>
      </c>
      <c r="E80" s="165">
        <v>2020</v>
      </c>
      <c r="F80" s="165">
        <v>2020</v>
      </c>
      <c r="G80" s="35" t="s">
        <v>16</v>
      </c>
      <c r="H80" s="34">
        <v>200</v>
      </c>
      <c r="I80" s="34">
        <v>200</v>
      </c>
      <c r="J80" s="49"/>
      <c r="K80" s="104"/>
      <c r="L80" s="105">
        <v>20201118</v>
      </c>
    </row>
    <row r="81" ht="16" customHeight="1" spans="1:12">
      <c r="A81" s="14">
        <v>79</v>
      </c>
      <c r="B81" s="33" t="s">
        <v>10535</v>
      </c>
      <c r="C81" s="34" t="s">
        <v>10685</v>
      </c>
      <c r="D81" s="34" t="s">
        <v>10686</v>
      </c>
      <c r="E81" s="165">
        <v>2020</v>
      </c>
      <c r="F81" s="165">
        <v>2020</v>
      </c>
      <c r="G81" s="35" t="s">
        <v>16</v>
      </c>
      <c r="H81" s="34">
        <v>200</v>
      </c>
      <c r="I81" s="34">
        <v>200</v>
      </c>
      <c r="J81" s="49"/>
      <c r="K81" s="104"/>
      <c r="L81" s="105">
        <v>20201118</v>
      </c>
    </row>
    <row r="82" ht="16" customHeight="1" spans="1:12">
      <c r="A82" s="14">
        <v>80</v>
      </c>
      <c r="B82" s="33" t="s">
        <v>10535</v>
      </c>
      <c r="C82" s="34" t="s">
        <v>10687</v>
      </c>
      <c r="D82" s="34" t="s">
        <v>10688</v>
      </c>
      <c r="E82" s="165">
        <v>2020</v>
      </c>
      <c r="F82" s="165">
        <v>2020</v>
      </c>
      <c r="G82" s="35" t="s">
        <v>16</v>
      </c>
      <c r="H82" s="34">
        <v>200</v>
      </c>
      <c r="I82" s="34">
        <v>200</v>
      </c>
      <c r="J82" s="49"/>
      <c r="K82" s="104"/>
      <c r="L82" s="105">
        <v>20201118</v>
      </c>
    </row>
    <row r="83" ht="16" customHeight="1" spans="1:12">
      <c r="A83" s="14">
        <v>81</v>
      </c>
      <c r="B83" s="33" t="s">
        <v>10535</v>
      </c>
      <c r="C83" s="34" t="s">
        <v>10689</v>
      </c>
      <c r="D83" s="34" t="s">
        <v>10690</v>
      </c>
      <c r="E83" s="165">
        <v>2020</v>
      </c>
      <c r="F83" s="165">
        <v>2020</v>
      </c>
      <c r="G83" s="35" t="s">
        <v>16</v>
      </c>
      <c r="H83" s="34">
        <v>200</v>
      </c>
      <c r="I83" s="34">
        <v>200</v>
      </c>
      <c r="J83" s="49" t="s">
        <v>10691</v>
      </c>
      <c r="K83" s="104"/>
      <c r="L83" s="105">
        <v>20201118</v>
      </c>
    </row>
    <row r="84" ht="16" customHeight="1" spans="1:12">
      <c r="A84" s="14">
        <v>82</v>
      </c>
      <c r="B84" s="33" t="s">
        <v>10535</v>
      </c>
      <c r="C84" s="34" t="s">
        <v>10692</v>
      </c>
      <c r="D84" s="34" t="s">
        <v>10693</v>
      </c>
      <c r="E84" s="165">
        <v>2020</v>
      </c>
      <c r="F84" s="165">
        <v>2020</v>
      </c>
      <c r="G84" s="35" t="s">
        <v>16</v>
      </c>
      <c r="H84" s="34">
        <v>200</v>
      </c>
      <c r="I84" s="34">
        <v>200</v>
      </c>
      <c r="J84" s="49"/>
      <c r="K84" s="104"/>
      <c r="L84" s="105">
        <v>20201118</v>
      </c>
    </row>
    <row r="85" ht="16" customHeight="1" spans="1:12">
      <c r="A85" s="14">
        <v>83</v>
      </c>
      <c r="B85" s="33" t="s">
        <v>10535</v>
      </c>
      <c r="C85" s="34" t="s">
        <v>10694</v>
      </c>
      <c r="D85" s="34" t="s">
        <v>10695</v>
      </c>
      <c r="E85" s="165">
        <v>2020</v>
      </c>
      <c r="F85" s="165">
        <v>2020</v>
      </c>
      <c r="G85" s="35" t="s">
        <v>16</v>
      </c>
      <c r="H85" s="34">
        <v>200</v>
      </c>
      <c r="I85" s="34">
        <v>200</v>
      </c>
      <c r="J85" s="49"/>
      <c r="K85" s="104"/>
      <c r="L85" s="105">
        <v>20201118</v>
      </c>
    </row>
    <row r="86" ht="16" customHeight="1" spans="1:12">
      <c r="A86" s="14">
        <v>84</v>
      </c>
      <c r="B86" s="33" t="s">
        <v>10535</v>
      </c>
      <c r="C86" s="34" t="s">
        <v>10696</v>
      </c>
      <c r="D86" s="34" t="s">
        <v>10697</v>
      </c>
      <c r="E86" s="165">
        <v>2020</v>
      </c>
      <c r="F86" s="165">
        <v>2020</v>
      </c>
      <c r="G86" s="35" t="s">
        <v>16</v>
      </c>
      <c r="H86" s="34">
        <v>200</v>
      </c>
      <c r="I86" s="34">
        <v>200</v>
      </c>
      <c r="J86" s="49"/>
      <c r="K86" s="104"/>
      <c r="L86" s="105">
        <v>20201118</v>
      </c>
    </row>
    <row r="87" ht="16" customHeight="1" spans="1:12">
      <c r="A87" s="14">
        <v>85</v>
      </c>
      <c r="B87" s="33" t="s">
        <v>10535</v>
      </c>
      <c r="C87" s="34" t="s">
        <v>10698</v>
      </c>
      <c r="D87" s="34" t="s">
        <v>10699</v>
      </c>
      <c r="E87" s="165">
        <v>2020</v>
      </c>
      <c r="F87" s="165">
        <v>2020</v>
      </c>
      <c r="G87" s="35" t="s">
        <v>16</v>
      </c>
      <c r="H87" s="34">
        <v>200</v>
      </c>
      <c r="I87" s="34">
        <v>200</v>
      </c>
      <c r="J87" s="49"/>
      <c r="K87" s="104"/>
      <c r="L87" s="105">
        <v>20201118</v>
      </c>
    </row>
    <row r="88" ht="16" customHeight="1" spans="1:12">
      <c r="A88" s="14">
        <v>86</v>
      </c>
      <c r="B88" s="33" t="s">
        <v>10535</v>
      </c>
      <c r="C88" s="34" t="s">
        <v>10700</v>
      </c>
      <c r="D88" s="34" t="s">
        <v>10701</v>
      </c>
      <c r="E88" s="165">
        <v>2020</v>
      </c>
      <c r="F88" s="165">
        <v>2020</v>
      </c>
      <c r="G88" s="35" t="s">
        <v>16</v>
      </c>
      <c r="H88" s="34">
        <v>200</v>
      </c>
      <c r="I88" s="34">
        <v>200</v>
      </c>
      <c r="J88" s="49"/>
      <c r="K88" s="104"/>
      <c r="L88" s="105">
        <v>20201118</v>
      </c>
    </row>
    <row r="89" ht="16" customHeight="1" spans="1:12">
      <c r="A89" s="14">
        <v>87</v>
      </c>
      <c r="B89" s="33" t="s">
        <v>10535</v>
      </c>
      <c r="C89" s="34" t="s">
        <v>10702</v>
      </c>
      <c r="D89" s="34" t="s">
        <v>10703</v>
      </c>
      <c r="E89" s="165">
        <v>2020</v>
      </c>
      <c r="F89" s="165">
        <v>2020</v>
      </c>
      <c r="G89" s="35" t="s">
        <v>16</v>
      </c>
      <c r="H89" s="34">
        <v>1000</v>
      </c>
      <c r="I89" s="34">
        <v>1000</v>
      </c>
      <c r="J89" s="49"/>
      <c r="K89" s="104"/>
      <c r="L89" s="105">
        <v>20201118</v>
      </c>
    </row>
    <row r="90" ht="16" customHeight="1" spans="1:12">
      <c r="A90" s="14">
        <v>88</v>
      </c>
      <c r="B90" s="33" t="s">
        <v>10535</v>
      </c>
      <c r="C90" s="34" t="s">
        <v>10704</v>
      </c>
      <c r="D90" s="34" t="s">
        <v>10705</v>
      </c>
      <c r="E90" s="165">
        <v>2020</v>
      </c>
      <c r="F90" s="165">
        <v>2020</v>
      </c>
      <c r="G90" s="35" t="s">
        <v>16</v>
      </c>
      <c r="H90" s="34">
        <v>200</v>
      </c>
      <c r="I90" s="34">
        <v>200</v>
      </c>
      <c r="J90" s="49"/>
      <c r="K90" s="104"/>
      <c r="L90" s="105">
        <v>20201118</v>
      </c>
    </row>
    <row r="91" ht="16" customHeight="1" spans="1:12">
      <c r="A91" s="14">
        <v>89</v>
      </c>
      <c r="B91" s="33" t="s">
        <v>10535</v>
      </c>
      <c r="C91" s="34" t="s">
        <v>10706</v>
      </c>
      <c r="D91" s="34" t="s">
        <v>10707</v>
      </c>
      <c r="E91" s="165">
        <v>2020</v>
      </c>
      <c r="F91" s="165">
        <v>2020</v>
      </c>
      <c r="G91" s="35" t="s">
        <v>16</v>
      </c>
      <c r="H91" s="34">
        <v>200</v>
      </c>
      <c r="I91" s="34">
        <v>200</v>
      </c>
      <c r="J91" s="49"/>
      <c r="K91" s="104"/>
      <c r="L91" s="105">
        <v>20201118</v>
      </c>
    </row>
    <row r="92" ht="16" customHeight="1" spans="1:12">
      <c r="A92" s="14">
        <v>90</v>
      </c>
      <c r="B92" s="33" t="s">
        <v>10535</v>
      </c>
      <c r="C92" s="34" t="s">
        <v>10708</v>
      </c>
      <c r="D92" s="34" t="s">
        <v>10709</v>
      </c>
      <c r="E92" s="165">
        <v>2020</v>
      </c>
      <c r="F92" s="165">
        <v>2020</v>
      </c>
      <c r="G92" s="35" t="s">
        <v>16</v>
      </c>
      <c r="H92" s="34">
        <v>200</v>
      </c>
      <c r="I92" s="34">
        <v>200</v>
      </c>
      <c r="J92" s="49"/>
      <c r="K92" s="104"/>
      <c r="L92" s="105">
        <v>20201118</v>
      </c>
    </row>
    <row r="93" ht="16" customHeight="1" spans="1:12">
      <c r="A93" s="14">
        <v>91</v>
      </c>
      <c r="B93" s="33" t="s">
        <v>10535</v>
      </c>
      <c r="C93" s="34" t="s">
        <v>10710</v>
      </c>
      <c r="D93" s="34" t="s">
        <v>10711</v>
      </c>
      <c r="E93" s="165">
        <v>2020</v>
      </c>
      <c r="F93" s="165">
        <v>2020</v>
      </c>
      <c r="G93" s="35" t="s">
        <v>16</v>
      </c>
      <c r="H93" s="34">
        <v>200</v>
      </c>
      <c r="I93" s="34">
        <v>200</v>
      </c>
      <c r="J93" s="49"/>
      <c r="K93" s="104"/>
      <c r="L93" s="105">
        <v>20201118</v>
      </c>
    </row>
    <row r="94" ht="16" customHeight="1" spans="1:12">
      <c r="A94" s="14">
        <v>92</v>
      </c>
      <c r="B94" s="33" t="s">
        <v>10535</v>
      </c>
      <c r="C94" s="34" t="s">
        <v>10712</v>
      </c>
      <c r="D94" s="34" t="s">
        <v>10713</v>
      </c>
      <c r="E94" s="165">
        <v>2020</v>
      </c>
      <c r="F94" s="165">
        <v>2020</v>
      </c>
      <c r="G94" s="35" t="s">
        <v>16</v>
      </c>
      <c r="H94" s="34">
        <v>200</v>
      </c>
      <c r="I94" s="34">
        <v>200</v>
      </c>
      <c r="J94" s="49"/>
      <c r="K94" s="104"/>
      <c r="L94" s="105">
        <v>20201118</v>
      </c>
    </row>
    <row r="95" ht="16" customHeight="1" spans="1:12">
      <c r="A95" s="14">
        <v>93</v>
      </c>
      <c r="B95" s="33" t="s">
        <v>10535</v>
      </c>
      <c r="C95" s="34" t="s">
        <v>10714</v>
      </c>
      <c r="D95" s="34" t="s">
        <v>10715</v>
      </c>
      <c r="E95" s="165">
        <v>2020</v>
      </c>
      <c r="F95" s="165">
        <v>2020</v>
      </c>
      <c r="G95" s="35" t="s">
        <v>16</v>
      </c>
      <c r="H95" s="34">
        <v>200</v>
      </c>
      <c r="I95" s="34">
        <v>200</v>
      </c>
      <c r="J95" s="49"/>
      <c r="K95" s="104"/>
      <c r="L95" s="105">
        <v>20201118</v>
      </c>
    </row>
    <row r="96" ht="16" customHeight="1" spans="1:12">
      <c r="A96" s="14">
        <v>94</v>
      </c>
      <c r="B96" s="33" t="s">
        <v>10535</v>
      </c>
      <c r="C96" s="34" t="s">
        <v>10716</v>
      </c>
      <c r="D96" s="34" t="s">
        <v>10717</v>
      </c>
      <c r="E96" s="165">
        <v>2020</v>
      </c>
      <c r="F96" s="165">
        <v>2020</v>
      </c>
      <c r="G96" s="35" t="s">
        <v>16</v>
      </c>
      <c r="H96" s="34">
        <v>200</v>
      </c>
      <c r="I96" s="34">
        <v>200</v>
      </c>
      <c r="J96" s="49"/>
      <c r="K96" s="104"/>
      <c r="L96" s="105">
        <v>20201118</v>
      </c>
    </row>
    <row r="97" ht="16" customHeight="1" spans="1:12">
      <c r="A97" s="14">
        <v>95</v>
      </c>
      <c r="B97" s="33" t="s">
        <v>10535</v>
      </c>
      <c r="C97" s="34" t="s">
        <v>3040</v>
      </c>
      <c r="D97" s="34" t="s">
        <v>10718</v>
      </c>
      <c r="E97" s="165">
        <v>2020</v>
      </c>
      <c r="F97" s="165">
        <v>2020</v>
      </c>
      <c r="G97" s="35" t="s">
        <v>16</v>
      </c>
      <c r="H97" s="34">
        <v>200</v>
      </c>
      <c r="I97" s="34">
        <v>200</v>
      </c>
      <c r="J97" s="49"/>
      <c r="K97" s="104"/>
      <c r="L97" s="105">
        <v>20201118</v>
      </c>
    </row>
    <row r="98" ht="16" customHeight="1" spans="1:12">
      <c r="A98" s="14">
        <v>96</v>
      </c>
      <c r="B98" s="33" t="s">
        <v>10535</v>
      </c>
      <c r="C98" s="34" t="s">
        <v>10719</v>
      </c>
      <c r="D98" s="34" t="s">
        <v>10720</v>
      </c>
      <c r="E98" s="165">
        <v>2020</v>
      </c>
      <c r="F98" s="165">
        <v>2020</v>
      </c>
      <c r="G98" s="35" t="s">
        <v>16</v>
      </c>
      <c r="H98" s="34">
        <v>200</v>
      </c>
      <c r="I98" s="34">
        <v>200</v>
      </c>
      <c r="J98" s="49"/>
      <c r="K98" s="104"/>
      <c r="L98" s="105">
        <v>20201118</v>
      </c>
    </row>
    <row r="99" ht="16" customHeight="1" spans="1:12">
      <c r="A99" s="14">
        <v>97</v>
      </c>
      <c r="B99" s="33" t="s">
        <v>10535</v>
      </c>
      <c r="C99" s="34" t="s">
        <v>10721</v>
      </c>
      <c r="D99" s="34" t="s">
        <v>10722</v>
      </c>
      <c r="E99" s="165">
        <v>2020</v>
      </c>
      <c r="F99" s="165">
        <v>2020</v>
      </c>
      <c r="G99" s="35" t="s">
        <v>16</v>
      </c>
      <c r="H99" s="34">
        <v>200</v>
      </c>
      <c r="I99" s="34">
        <v>200</v>
      </c>
      <c r="J99" s="49"/>
      <c r="K99" s="104"/>
      <c r="L99" s="105">
        <v>20201118</v>
      </c>
    </row>
    <row r="100" ht="16" customHeight="1" spans="1:12">
      <c r="A100" s="14">
        <v>98</v>
      </c>
      <c r="B100" s="33" t="s">
        <v>10535</v>
      </c>
      <c r="C100" s="34" t="s">
        <v>10723</v>
      </c>
      <c r="D100" s="34" t="s">
        <v>10724</v>
      </c>
      <c r="E100" s="165">
        <v>2020</v>
      </c>
      <c r="F100" s="165">
        <v>2020</v>
      </c>
      <c r="G100" s="35" t="s">
        <v>16</v>
      </c>
      <c r="H100" s="34">
        <v>200</v>
      </c>
      <c r="I100" s="34">
        <v>200</v>
      </c>
      <c r="J100" s="49"/>
      <c r="K100" s="104"/>
      <c r="L100" s="105">
        <v>20201118</v>
      </c>
    </row>
    <row r="101" ht="16" customHeight="1" spans="1:12">
      <c r="A101" s="14">
        <v>99</v>
      </c>
      <c r="B101" s="33" t="s">
        <v>10535</v>
      </c>
      <c r="C101" s="34" t="s">
        <v>10725</v>
      </c>
      <c r="D101" s="64" t="s">
        <v>10726</v>
      </c>
      <c r="E101" s="165">
        <v>2020</v>
      </c>
      <c r="F101" s="165">
        <v>2020</v>
      </c>
      <c r="G101" s="35" t="s">
        <v>16</v>
      </c>
      <c r="H101" s="34">
        <v>200</v>
      </c>
      <c r="I101" s="34">
        <v>200</v>
      </c>
      <c r="J101" s="49"/>
      <c r="K101" s="104"/>
      <c r="L101" s="105">
        <v>20201118</v>
      </c>
    </row>
    <row r="102" ht="16" customHeight="1" spans="1:12">
      <c r="A102" s="14">
        <v>100</v>
      </c>
      <c r="B102" s="33" t="s">
        <v>10535</v>
      </c>
      <c r="C102" s="34" t="s">
        <v>10727</v>
      </c>
      <c r="D102" s="34" t="s">
        <v>10728</v>
      </c>
      <c r="E102" s="165">
        <v>2020</v>
      </c>
      <c r="F102" s="165">
        <v>2020</v>
      </c>
      <c r="G102" s="35" t="s">
        <v>16</v>
      </c>
      <c r="H102" s="34">
        <v>200</v>
      </c>
      <c r="I102" s="34">
        <v>200</v>
      </c>
      <c r="J102" s="49"/>
      <c r="K102" s="104"/>
      <c r="L102" s="105">
        <v>20201118</v>
      </c>
    </row>
    <row r="103" ht="16" customHeight="1" spans="1:12">
      <c r="A103" s="14">
        <v>101</v>
      </c>
      <c r="B103" s="33" t="s">
        <v>10535</v>
      </c>
      <c r="C103" s="34" t="s">
        <v>10729</v>
      </c>
      <c r="D103" s="34" t="s">
        <v>10730</v>
      </c>
      <c r="E103" s="165">
        <v>2020</v>
      </c>
      <c r="F103" s="165">
        <v>2020</v>
      </c>
      <c r="G103" s="35" t="s">
        <v>16</v>
      </c>
      <c r="H103" s="34">
        <v>200</v>
      </c>
      <c r="I103" s="34">
        <v>200</v>
      </c>
      <c r="J103" s="49" t="s">
        <v>10731</v>
      </c>
      <c r="K103" s="104"/>
      <c r="L103" s="105">
        <v>20201118</v>
      </c>
    </row>
    <row r="104" ht="16" customHeight="1" spans="1:12">
      <c r="A104" s="14">
        <v>102</v>
      </c>
      <c r="B104" s="33" t="s">
        <v>10535</v>
      </c>
      <c r="C104" s="34" t="s">
        <v>10732</v>
      </c>
      <c r="D104" s="34" t="s">
        <v>10733</v>
      </c>
      <c r="E104" s="165">
        <v>2020</v>
      </c>
      <c r="F104" s="165">
        <v>2020</v>
      </c>
      <c r="G104" s="35" t="s">
        <v>16</v>
      </c>
      <c r="H104" s="34">
        <v>1000</v>
      </c>
      <c r="I104" s="34">
        <v>1000</v>
      </c>
      <c r="J104" s="49"/>
      <c r="K104" s="104"/>
      <c r="L104" s="105">
        <v>20201118</v>
      </c>
    </row>
    <row r="105" ht="16" customHeight="1" spans="1:12">
      <c r="A105" s="14">
        <v>103</v>
      </c>
      <c r="B105" s="33" t="s">
        <v>10535</v>
      </c>
      <c r="C105" s="34" t="s">
        <v>10734</v>
      </c>
      <c r="D105" s="34" t="s">
        <v>10735</v>
      </c>
      <c r="E105" s="165">
        <v>2020</v>
      </c>
      <c r="F105" s="165">
        <v>2020</v>
      </c>
      <c r="G105" s="35" t="s">
        <v>16</v>
      </c>
      <c r="H105" s="34">
        <v>200</v>
      </c>
      <c r="I105" s="34">
        <v>200</v>
      </c>
      <c r="J105" s="49"/>
      <c r="K105" s="104"/>
      <c r="L105" s="105">
        <v>20201118</v>
      </c>
    </row>
    <row r="106" ht="16" customHeight="1" spans="1:12">
      <c r="A106" s="14">
        <v>104</v>
      </c>
      <c r="B106" s="33" t="s">
        <v>10535</v>
      </c>
      <c r="C106" s="34" t="s">
        <v>3884</v>
      </c>
      <c r="D106" s="34" t="s">
        <v>10736</v>
      </c>
      <c r="E106" s="165">
        <v>2020</v>
      </c>
      <c r="F106" s="165">
        <v>2020</v>
      </c>
      <c r="G106" s="35" t="s">
        <v>16</v>
      </c>
      <c r="H106" s="34">
        <v>200</v>
      </c>
      <c r="I106" s="34">
        <v>200</v>
      </c>
      <c r="J106" s="49"/>
      <c r="K106" s="104"/>
      <c r="L106" s="105">
        <v>20201118</v>
      </c>
    </row>
    <row r="107" ht="16" customHeight="1" spans="1:12">
      <c r="A107" s="14">
        <v>105</v>
      </c>
      <c r="B107" s="33" t="s">
        <v>10535</v>
      </c>
      <c r="C107" s="34" t="s">
        <v>10737</v>
      </c>
      <c r="D107" s="34" t="s">
        <v>10738</v>
      </c>
      <c r="E107" s="165">
        <v>2020</v>
      </c>
      <c r="F107" s="165">
        <v>2020</v>
      </c>
      <c r="G107" s="35" t="s">
        <v>16</v>
      </c>
      <c r="H107" s="34">
        <v>200</v>
      </c>
      <c r="I107" s="34">
        <v>200</v>
      </c>
      <c r="J107" s="49"/>
      <c r="K107" s="104"/>
      <c r="L107" s="105">
        <v>20201118</v>
      </c>
    </row>
    <row r="108" ht="16" customHeight="1" spans="1:12">
      <c r="A108" s="14">
        <v>106</v>
      </c>
      <c r="B108" s="33" t="s">
        <v>10535</v>
      </c>
      <c r="C108" s="34" t="s">
        <v>2820</v>
      </c>
      <c r="D108" s="34" t="s">
        <v>10739</v>
      </c>
      <c r="E108" s="165">
        <v>2020</v>
      </c>
      <c r="F108" s="165">
        <v>2020</v>
      </c>
      <c r="G108" s="35" t="s">
        <v>16</v>
      </c>
      <c r="H108" s="34">
        <v>200</v>
      </c>
      <c r="I108" s="34">
        <v>200</v>
      </c>
      <c r="J108" s="49"/>
      <c r="K108" s="104"/>
      <c r="L108" s="105">
        <v>20201118</v>
      </c>
    </row>
    <row r="109" ht="16" customHeight="1" spans="1:12">
      <c r="A109" s="14">
        <v>107</v>
      </c>
      <c r="B109" s="33" t="s">
        <v>10535</v>
      </c>
      <c r="C109" s="34" t="s">
        <v>10740</v>
      </c>
      <c r="D109" s="34" t="s">
        <v>10741</v>
      </c>
      <c r="E109" s="165">
        <v>2020</v>
      </c>
      <c r="F109" s="165">
        <v>2020</v>
      </c>
      <c r="G109" s="35" t="s">
        <v>16</v>
      </c>
      <c r="H109" s="34">
        <v>200</v>
      </c>
      <c r="I109" s="34">
        <v>200</v>
      </c>
      <c r="J109" s="49"/>
      <c r="K109" s="104"/>
      <c r="L109" s="105">
        <v>20201118</v>
      </c>
    </row>
    <row r="110" ht="16" customHeight="1" spans="1:12">
      <c r="A110" s="14">
        <v>108</v>
      </c>
      <c r="B110" s="33" t="s">
        <v>10535</v>
      </c>
      <c r="C110" s="34" t="s">
        <v>10742</v>
      </c>
      <c r="D110" s="34" t="s">
        <v>10743</v>
      </c>
      <c r="E110" s="165">
        <v>2020</v>
      </c>
      <c r="F110" s="165">
        <v>2020</v>
      </c>
      <c r="G110" s="35" t="s">
        <v>16</v>
      </c>
      <c r="H110" s="34">
        <v>1000</v>
      </c>
      <c r="I110" s="34">
        <v>1000</v>
      </c>
      <c r="J110" s="49"/>
      <c r="K110" s="104"/>
      <c r="L110" s="105">
        <v>20201118</v>
      </c>
    </row>
    <row r="111" ht="16" customHeight="1" spans="1:12">
      <c r="A111" s="14">
        <v>109</v>
      </c>
      <c r="B111" s="33" t="s">
        <v>10535</v>
      </c>
      <c r="C111" s="34" t="s">
        <v>10744</v>
      </c>
      <c r="D111" s="34" t="s">
        <v>10745</v>
      </c>
      <c r="E111" s="165">
        <v>2020</v>
      </c>
      <c r="F111" s="165">
        <v>2020</v>
      </c>
      <c r="G111" s="35" t="s">
        <v>16</v>
      </c>
      <c r="H111" s="34">
        <v>200</v>
      </c>
      <c r="I111" s="34">
        <v>200</v>
      </c>
      <c r="J111" s="49"/>
      <c r="K111" s="104"/>
      <c r="L111" s="105">
        <v>20201118</v>
      </c>
    </row>
    <row r="112" ht="16" customHeight="1" spans="1:12">
      <c r="A112" s="14">
        <v>110</v>
      </c>
      <c r="B112" s="33" t="s">
        <v>10535</v>
      </c>
      <c r="C112" s="34" t="s">
        <v>10746</v>
      </c>
      <c r="D112" s="34" t="s">
        <v>10747</v>
      </c>
      <c r="E112" s="165">
        <v>2020</v>
      </c>
      <c r="F112" s="165">
        <v>2020</v>
      </c>
      <c r="G112" s="35" t="s">
        <v>16</v>
      </c>
      <c r="H112" s="34">
        <v>200</v>
      </c>
      <c r="I112" s="34">
        <v>200</v>
      </c>
      <c r="J112" s="49"/>
      <c r="K112" s="104"/>
      <c r="L112" s="105">
        <v>20201118</v>
      </c>
    </row>
    <row r="113" ht="16" customHeight="1" spans="1:12">
      <c r="A113" s="14">
        <v>111</v>
      </c>
      <c r="B113" s="33" t="s">
        <v>10535</v>
      </c>
      <c r="C113" s="34" t="s">
        <v>10748</v>
      </c>
      <c r="D113" s="34" t="s">
        <v>10749</v>
      </c>
      <c r="E113" s="165">
        <v>2020</v>
      </c>
      <c r="F113" s="165">
        <v>2020</v>
      </c>
      <c r="G113" s="35" t="s">
        <v>16</v>
      </c>
      <c r="H113" s="34">
        <v>200</v>
      </c>
      <c r="I113" s="34">
        <v>200</v>
      </c>
      <c r="J113" s="49"/>
      <c r="K113" s="104"/>
      <c r="L113" s="105">
        <v>20201118</v>
      </c>
    </row>
    <row r="114" ht="16" customHeight="1" spans="1:12">
      <c r="A114" s="14">
        <v>112</v>
      </c>
      <c r="B114" s="33" t="s">
        <v>10535</v>
      </c>
      <c r="C114" s="34" t="s">
        <v>10750</v>
      </c>
      <c r="D114" s="34" t="s">
        <v>10751</v>
      </c>
      <c r="E114" s="165">
        <v>2020</v>
      </c>
      <c r="F114" s="165">
        <v>2020</v>
      </c>
      <c r="G114" s="35" t="s">
        <v>16</v>
      </c>
      <c r="H114" s="34">
        <v>200</v>
      </c>
      <c r="I114" s="34">
        <v>200</v>
      </c>
      <c r="J114" s="49"/>
      <c r="K114" s="104"/>
      <c r="L114" s="105">
        <v>20201118</v>
      </c>
    </row>
    <row r="115" ht="16" customHeight="1" spans="1:12">
      <c r="A115" s="14">
        <v>113</v>
      </c>
      <c r="B115" s="33" t="s">
        <v>10535</v>
      </c>
      <c r="C115" s="34" t="s">
        <v>10752</v>
      </c>
      <c r="D115" s="34" t="s">
        <v>10753</v>
      </c>
      <c r="E115" s="165">
        <v>2020</v>
      </c>
      <c r="F115" s="165">
        <v>2020</v>
      </c>
      <c r="G115" s="35" t="s">
        <v>16</v>
      </c>
      <c r="H115" s="34">
        <v>200</v>
      </c>
      <c r="I115" s="34">
        <v>200</v>
      </c>
      <c r="J115" s="49"/>
      <c r="K115" s="104"/>
      <c r="L115" s="105">
        <v>20201118</v>
      </c>
    </row>
    <row r="116" ht="16" customHeight="1" spans="1:12">
      <c r="A116" s="14">
        <v>114</v>
      </c>
      <c r="B116" s="33" t="s">
        <v>10535</v>
      </c>
      <c r="C116" s="34" t="s">
        <v>5106</v>
      </c>
      <c r="D116" s="34" t="s">
        <v>10754</v>
      </c>
      <c r="E116" s="165">
        <v>2020</v>
      </c>
      <c r="F116" s="165">
        <v>2020</v>
      </c>
      <c r="G116" s="35" t="s">
        <v>16</v>
      </c>
      <c r="H116" s="34">
        <v>200</v>
      </c>
      <c r="I116" s="34">
        <v>200</v>
      </c>
      <c r="J116" s="49"/>
      <c r="K116" s="104"/>
      <c r="L116" s="105">
        <v>20201118</v>
      </c>
    </row>
    <row r="117" ht="16" customHeight="1" spans="1:12">
      <c r="A117" s="14">
        <v>115</v>
      </c>
      <c r="B117" s="33" t="s">
        <v>10535</v>
      </c>
      <c r="C117" s="34" t="s">
        <v>10755</v>
      </c>
      <c r="D117" s="34" t="s">
        <v>10756</v>
      </c>
      <c r="E117" s="165">
        <v>2020</v>
      </c>
      <c r="F117" s="165">
        <v>2020</v>
      </c>
      <c r="G117" s="35" t="s">
        <v>16</v>
      </c>
      <c r="H117" s="34">
        <v>200</v>
      </c>
      <c r="I117" s="34">
        <v>200</v>
      </c>
      <c r="J117" s="49"/>
      <c r="K117" s="104"/>
      <c r="L117" s="105">
        <v>20201118</v>
      </c>
    </row>
    <row r="118" ht="16" customHeight="1" spans="1:12">
      <c r="A118" s="14">
        <v>116</v>
      </c>
      <c r="B118" s="33" t="s">
        <v>10535</v>
      </c>
      <c r="C118" s="34" t="s">
        <v>10757</v>
      </c>
      <c r="D118" s="34" t="s">
        <v>10758</v>
      </c>
      <c r="E118" s="165">
        <v>2020</v>
      </c>
      <c r="F118" s="165">
        <v>2020</v>
      </c>
      <c r="G118" s="35" t="s">
        <v>16</v>
      </c>
      <c r="H118" s="34">
        <v>200</v>
      </c>
      <c r="I118" s="34">
        <v>200</v>
      </c>
      <c r="J118" s="49" t="s">
        <v>108</v>
      </c>
      <c r="K118" s="104"/>
      <c r="L118" s="105">
        <v>20201118</v>
      </c>
    </row>
    <row r="119" ht="16" customHeight="1" spans="1:12">
      <c r="A119" s="14">
        <v>117</v>
      </c>
      <c r="B119" s="33" t="s">
        <v>10535</v>
      </c>
      <c r="C119" s="34" t="s">
        <v>10759</v>
      </c>
      <c r="D119" s="34" t="s">
        <v>10760</v>
      </c>
      <c r="E119" s="165">
        <v>2020</v>
      </c>
      <c r="F119" s="165">
        <v>2020</v>
      </c>
      <c r="G119" s="35" t="s">
        <v>16</v>
      </c>
      <c r="H119" s="34">
        <v>200</v>
      </c>
      <c r="I119" s="34">
        <v>200</v>
      </c>
      <c r="J119" s="49"/>
      <c r="K119" s="104"/>
      <c r="L119" s="105">
        <v>20201118</v>
      </c>
    </row>
    <row r="120" ht="16" customHeight="1" spans="1:12">
      <c r="A120" s="14">
        <v>118</v>
      </c>
      <c r="B120" s="33" t="s">
        <v>10535</v>
      </c>
      <c r="C120" s="34" t="s">
        <v>10761</v>
      </c>
      <c r="D120" s="34" t="s">
        <v>10762</v>
      </c>
      <c r="E120" s="165">
        <v>2020</v>
      </c>
      <c r="F120" s="165">
        <v>2020</v>
      </c>
      <c r="G120" s="35" t="s">
        <v>16</v>
      </c>
      <c r="H120" s="34">
        <v>200</v>
      </c>
      <c r="I120" s="34">
        <v>200</v>
      </c>
      <c r="J120" s="49"/>
      <c r="K120" s="104"/>
      <c r="L120" s="105">
        <v>20201118</v>
      </c>
    </row>
    <row r="121" ht="16" customHeight="1" spans="1:12">
      <c r="A121" s="14">
        <v>119</v>
      </c>
      <c r="B121" s="33" t="s">
        <v>10535</v>
      </c>
      <c r="C121" s="34" t="s">
        <v>10763</v>
      </c>
      <c r="D121" s="34" t="s">
        <v>10764</v>
      </c>
      <c r="E121" s="165">
        <v>2020</v>
      </c>
      <c r="F121" s="165">
        <v>2020</v>
      </c>
      <c r="G121" s="35" t="s">
        <v>16</v>
      </c>
      <c r="H121" s="34">
        <v>200</v>
      </c>
      <c r="I121" s="34">
        <v>200</v>
      </c>
      <c r="J121" s="49" t="s">
        <v>10691</v>
      </c>
      <c r="K121" s="104"/>
      <c r="L121" s="105">
        <v>20201118</v>
      </c>
    </row>
    <row r="122" ht="16" customHeight="1" spans="1:12">
      <c r="A122" s="14">
        <v>120</v>
      </c>
      <c r="B122" s="33" t="s">
        <v>10535</v>
      </c>
      <c r="C122" s="34" t="s">
        <v>10765</v>
      </c>
      <c r="D122" s="34" t="s">
        <v>10766</v>
      </c>
      <c r="E122" s="165">
        <v>2020</v>
      </c>
      <c r="F122" s="165">
        <v>2020</v>
      </c>
      <c r="G122" s="35" t="s">
        <v>16</v>
      </c>
      <c r="H122" s="34">
        <v>200</v>
      </c>
      <c r="I122" s="34">
        <v>200</v>
      </c>
      <c r="J122" s="49"/>
      <c r="K122" s="104"/>
      <c r="L122" s="105">
        <v>20201118</v>
      </c>
    </row>
    <row r="123" ht="16" customHeight="1" spans="1:12">
      <c r="A123" s="14">
        <v>121</v>
      </c>
      <c r="B123" s="33" t="s">
        <v>10535</v>
      </c>
      <c r="C123" s="34" t="s">
        <v>10767</v>
      </c>
      <c r="D123" s="34" t="s">
        <v>10768</v>
      </c>
      <c r="E123" s="165">
        <v>2020</v>
      </c>
      <c r="F123" s="165">
        <v>2020</v>
      </c>
      <c r="G123" s="35" t="s">
        <v>16</v>
      </c>
      <c r="H123" s="34">
        <v>200</v>
      </c>
      <c r="I123" s="34">
        <v>200</v>
      </c>
      <c r="J123" s="49"/>
      <c r="K123" s="104"/>
      <c r="L123" s="105">
        <v>20201118</v>
      </c>
    </row>
    <row r="124" ht="16" customHeight="1" spans="1:12">
      <c r="A124" s="14">
        <v>122</v>
      </c>
      <c r="B124" s="33" t="s">
        <v>10535</v>
      </c>
      <c r="C124" s="34" t="s">
        <v>10769</v>
      </c>
      <c r="D124" s="34" t="s">
        <v>10770</v>
      </c>
      <c r="E124" s="165">
        <v>2020</v>
      </c>
      <c r="F124" s="165">
        <v>2020</v>
      </c>
      <c r="G124" s="35" t="s">
        <v>16</v>
      </c>
      <c r="H124" s="34">
        <v>200</v>
      </c>
      <c r="I124" s="34">
        <v>200</v>
      </c>
      <c r="J124" s="49"/>
      <c r="K124" s="104"/>
      <c r="L124" s="105">
        <v>20201118</v>
      </c>
    </row>
    <row r="125" ht="16" customHeight="1" spans="1:12">
      <c r="A125" s="14">
        <v>123</v>
      </c>
      <c r="B125" s="33" t="s">
        <v>10535</v>
      </c>
      <c r="C125" s="34" t="s">
        <v>10771</v>
      </c>
      <c r="D125" s="34" t="s">
        <v>10772</v>
      </c>
      <c r="E125" s="165">
        <v>2020</v>
      </c>
      <c r="F125" s="165">
        <v>2020</v>
      </c>
      <c r="G125" s="35" t="s">
        <v>16</v>
      </c>
      <c r="H125" s="34">
        <v>200</v>
      </c>
      <c r="I125" s="34">
        <v>200</v>
      </c>
      <c r="J125" s="49"/>
      <c r="K125" s="104"/>
      <c r="L125" s="105">
        <v>20201118</v>
      </c>
    </row>
    <row r="126" ht="16" customHeight="1" spans="1:12">
      <c r="A126" s="14">
        <v>124</v>
      </c>
      <c r="B126" s="33" t="s">
        <v>10535</v>
      </c>
      <c r="C126" s="34" t="s">
        <v>10773</v>
      </c>
      <c r="D126" s="34" t="s">
        <v>10774</v>
      </c>
      <c r="E126" s="165">
        <v>2020</v>
      </c>
      <c r="F126" s="165">
        <v>2020</v>
      </c>
      <c r="G126" s="35" t="s">
        <v>16</v>
      </c>
      <c r="H126" s="34">
        <v>1000</v>
      </c>
      <c r="I126" s="34">
        <v>1000</v>
      </c>
      <c r="J126" s="49"/>
      <c r="K126" s="104"/>
      <c r="L126" s="105">
        <v>20201118</v>
      </c>
    </row>
    <row r="127" ht="16" customHeight="1" spans="1:12">
      <c r="A127" s="14">
        <v>125</v>
      </c>
      <c r="B127" s="33" t="s">
        <v>10535</v>
      </c>
      <c r="C127" s="34" t="s">
        <v>10775</v>
      </c>
      <c r="D127" s="34" t="s">
        <v>10776</v>
      </c>
      <c r="E127" s="165">
        <v>2020</v>
      </c>
      <c r="F127" s="165">
        <v>2020</v>
      </c>
      <c r="G127" s="35" t="s">
        <v>16</v>
      </c>
      <c r="H127" s="34">
        <v>200</v>
      </c>
      <c r="I127" s="34">
        <v>200</v>
      </c>
      <c r="J127" s="49"/>
      <c r="K127" s="104"/>
      <c r="L127" s="105">
        <v>20201118</v>
      </c>
    </row>
    <row r="128" ht="16" customHeight="1" spans="1:12">
      <c r="A128" s="14">
        <v>126</v>
      </c>
      <c r="B128" s="33" t="s">
        <v>10535</v>
      </c>
      <c r="C128" s="34" t="s">
        <v>10777</v>
      </c>
      <c r="D128" s="34" t="s">
        <v>10778</v>
      </c>
      <c r="E128" s="165">
        <v>2020</v>
      </c>
      <c r="F128" s="165">
        <v>2020</v>
      </c>
      <c r="G128" s="35" t="s">
        <v>16</v>
      </c>
      <c r="H128" s="34">
        <v>1000</v>
      </c>
      <c r="I128" s="34">
        <v>1000</v>
      </c>
      <c r="J128" s="49"/>
      <c r="K128" s="104"/>
      <c r="L128" s="105">
        <v>20201118</v>
      </c>
    </row>
    <row r="129" ht="16" customHeight="1" spans="1:12">
      <c r="A129" s="14">
        <v>127</v>
      </c>
      <c r="B129" s="33" t="s">
        <v>10535</v>
      </c>
      <c r="C129" s="34" t="s">
        <v>10779</v>
      </c>
      <c r="D129" s="34" t="s">
        <v>10780</v>
      </c>
      <c r="E129" s="165">
        <v>2020</v>
      </c>
      <c r="F129" s="165">
        <v>2020</v>
      </c>
      <c r="G129" s="35" t="s">
        <v>16</v>
      </c>
      <c r="H129" s="34">
        <v>200</v>
      </c>
      <c r="I129" s="34">
        <v>200</v>
      </c>
      <c r="J129" s="49"/>
      <c r="K129" s="104"/>
      <c r="L129" s="105">
        <v>20201118</v>
      </c>
    </row>
    <row r="130" ht="16" customHeight="1" spans="1:12">
      <c r="A130" s="14">
        <v>128</v>
      </c>
      <c r="B130" s="33" t="s">
        <v>10535</v>
      </c>
      <c r="C130" s="34" t="s">
        <v>10781</v>
      </c>
      <c r="D130" s="34" t="s">
        <v>10782</v>
      </c>
      <c r="E130" s="165">
        <v>2020</v>
      </c>
      <c r="F130" s="165">
        <v>2020</v>
      </c>
      <c r="G130" s="35" t="s">
        <v>16</v>
      </c>
      <c r="H130" s="34">
        <v>200</v>
      </c>
      <c r="I130" s="34">
        <v>200</v>
      </c>
      <c r="J130" s="49"/>
      <c r="K130" s="104"/>
      <c r="L130" s="105">
        <v>20201118</v>
      </c>
    </row>
    <row r="131" ht="16" customHeight="1" spans="1:12">
      <c r="A131" s="14">
        <v>129</v>
      </c>
      <c r="B131" s="33" t="s">
        <v>10535</v>
      </c>
      <c r="C131" s="34" t="s">
        <v>10783</v>
      </c>
      <c r="D131" s="34" t="s">
        <v>10784</v>
      </c>
      <c r="E131" s="165">
        <v>2020</v>
      </c>
      <c r="F131" s="165">
        <v>2020</v>
      </c>
      <c r="G131" s="35" t="s">
        <v>16</v>
      </c>
      <c r="H131" s="34">
        <v>200</v>
      </c>
      <c r="I131" s="34">
        <v>200</v>
      </c>
      <c r="J131" s="49"/>
      <c r="K131" s="104"/>
      <c r="L131" s="105">
        <v>20201118</v>
      </c>
    </row>
    <row r="132" ht="16" customHeight="1" spans="1:12">
      <c r="A132" s="14">
        <v>130</v>
      </c>
      <c r="B132" s="33" t="s">
        <v>10535</v>
      </c>
      <c r="C132" s="34" t="s">
        <v>10785</v>
      </c>
      <c r="D132" s="34" t="s">
        <v>10786</v>
      </c>
      <c r="E132" s="165">
        <v>2020</v>
      </c>
      <c r="F132" s="165">
        <v>2020</v>
      </c>
      <c r="G132" s="35" t="s">
        <v>16</v>
      </c>
      <c r="H132" s="34">
        <v>200</v>
      </c>
      <c r="I132" s="34">
        <v>200</v>
      </c>
      <c r="J132" s="49"/>
      <c r="K132" s="104"/>
      <c r="L132" s="105">
        <v>20201118</v>
      </c>
    </row>
    <row r="133" ht="16" customHeight="1" spans="1:12">
      <c r="A133" s="14">
        <v>131</v>
      </c>
      <c r="B133" s="33" t="s">
        <v>10535</v>
      </c>
      <c r="C133" s="34" t="s">
        <v>10787</v>
      </c>
      <c r="D133" s="34" t="s">
        <v>10788</v>
      </c>
      <c r="E133" s="165">
        <v>2020</v>
      </c>
      <c r="F133" s="165">
        <v>2020</v>
      </c>
      <c r="G133" s="35" t="s">
        <v>16</v>
      </c>
      <c r="H133" s="34">
        <v>200</v>
      </c>
      <c r="I133" s="34">
        <v>200</v>
      </c>
      <c r="J133" s="49"/>
      <c r="K133" s="104"/>
      <c r="L133" s="105">
        <v>20201118</v>
      </c>
    </row>
    <row r="134" ht="16" customHeight="1" spans="1:12">
      <c r="A134" s="14">
        <v>132</v>
      </c>
      <c r="B134" s="33" t="s">
        <v>10535</v>
      </c>
      <c r="C134" s="34" t="s">
        <v>10789</v>
      </c>
      <c r="D134" s="34" t="s">
        <v>10790</v>
      </c>
      <c r="E134" s="165">
        <v>2020</v>
      </c>
      <c r="F134" s="165">
        <v>2020</v>
      </c>
      <c r="G134" s="35" t="s">
        <v>16</v>
      </c>
      <c r="H134" s="34">
        <v>1000</v>
      </c>
      <c r="I134" s="34">
        <v>1000</v>
      </c>
      <c r="J134" s="49"/>
      <c r="K134" s="104"/>
      <c r="L134" s="105">
        <v>20201118</v>
      </c>
    </row>
    <row r="135" ht="16" customHeight="1" spans="1:12">
      <c r="A135" s="14">
        <v>133</v>
      </c>
      <c r="B135" s="33" t="s">
        <v>10535</v>
      </c>
      <c r="C135" s="34" t="s">
        <v>10791</v>
      </c>
      <c r="D135" s="34" t="s">
        <v>10792</v>
      </c>
      <c r="E135" s="165">
        <v>2020</v>
      </c>
      <c r="F135" s="165">
        <v>2020</v>
      </c>
      <c r="G135" s="35" t="s">
        <v>16</v>
      </c>
      <c r="H135" s="34">
        <v>200</v>
      </c>
      <c r="I135" s="34">
        <v>200</v>
      </c>
      <c r="J135" s="49"/>
      <c r="K135" s="104"/>
      <c r="L135" s="105">
        <v>20201118</v>
      </c>
    </row>
    <row r="136" ht="16" customHeight="1" spans="1:12">
      <c r="A136" s="14">
        <v>134</v>
      </c>
      <c r="B136" s="33" t="s">
        <v>10535</v>
      </c>
      <c r="C136" s="34" t="s">
        <v>10793</v>
      </c>
      <c r="D136" s="34" t="s">
        <v>10794</v>
      </c>
      <c r="E136" s="165">
        <v>2020</v>
      </c>
      <c r="F136" s="165">
        <v>2020</v>
      </c>
      <c r="G136" s="35" t="s">
        <v>16</v>
      </c>
      <c r="H136" s="34">
        <v>200</v>
      </c>
      <c r="I136" s="34">
        <v>200</v>
      </c>
      <c r="J136" s="49"/>
      <c r="K136" s="104"/>
      <c r="L136" s="105">
        <v>20201118</v>
      </c>
    </row>
    <row r="137" ht="16" customHeight="1" spans="1:12">
      <c r="A137" s="14">
        <v>135</v>
      </c>
      <c r="B137" s="33" t="s">
        <v>10535</v>
      </c>
      <c r="C137" s="34" t="s">
        <v>10795</v>
      </c>
      <c r="D137" s="34" t="s">
        <v>10796</v>
      </c>
      <c r="E137" s="165">
        <v>2020</v>
      </c>
      <c r="F137" s="165">
        <v>2020</v>
      </c>
      <c r="G137" s="35" t="s">
        <v>16</v>
      </c>
      <c r="H137" s="34">
        <v>200</v>
      </c>
      <c r="I137" s="34">
        <v>200</v>
      </c>
      <c r="J137" s="49"/>
      <c r="K137" s="104"/>
      <c r="L137" s="105">
        <v>20201118</v>
      </c>
    </row>
    <row r="138" ht="16" customHeight="1" spans="1:12">
      <c r="A138" s="14">
        <v>136</v>
      </c>
      <c r="B138" s="33" t="s">
        <v>10535</v>
      </c>
      <c r="C138" s="34" t="s">
        <v>10797</v>
      </c>
      <c r="D138" s="64" t="s">
        <v>10798</v>
      </c>
      <c r="E138" s="165">
        <v>2020</v>
      </c>
      <c r="F138" s="165">
        <v>2020</v>
      </c>
      <c r="G138" s="35" t="s">
        <v>16</v>
      </c>
      <c r="H138" s="34">
        <v>200</v>
      </c>
      <c r="I138" s="34">
        <v>200</v>
      </c>
      <c r="J138" s="49"/>
      <c r="K138" s="104"/>
      <c r="L138" s="105">
        <v>20201118</v>
      </c>
    </row>
    <row r="139" ht="16" customHeight="1" spans="1:12">
      <c r="A139" s="14">
        <v>137</v>
      </c>
      <c r="B139" s="33" t="s">
        <v>10535</v>
      </c>
      <c r="C139" s="34" t="s">
        <v>10799</v>
      </c>
      <c r="D139" s="34" t="s">
        <v>10800</v>
      </c>
      <c r="E139" s="165">
        <v>2020</v>
      </c>
      <c r="F139" s="165">
        <v>2020</v>
      </c>
      <c r="G139" s="35" t="s">
        <v>16</v>
      </c>
      <c r="H139" s="34">
        <v>500</v>
      </c>
      <c r="I139" s="34">
        <v>500</v>
      </c>
      <c r="J139" s="49" t="s">
        <v>10667</v>
      </c>
      <c r="K139" s="104"/>
      <c r="L139" s="105">
        <v>20201118</v>
      </c>
    </row>
    <row r="140" ht="16" customHeight="1" spans="1:12">
      <c r="A140" s="14">
        <v>138</v>
      </c>
      <c r="B140" s="33" t="s">
        <v>10535</v>
      </c>
      <c r="C140" s="34" t="s">
        <v>10801</v>
      </c>
      <c r="D140" s="34" t="s">
        <v>10802</v>
      </c>
      <c r="E140" s="165">
        <v>2020</v>
      </c>
      <c r="F140" s="165">
        <v>2020</v>
      </c>
      <c r="G140" s="35" t="s">
        <v>16</v>
      </c>
      <c r="H140" s="34">
        <v>200</v>
      </c>
      <c r="I140" s="34">
        <v>200</v>
      </c>
      <c r="J140" s="49"/>
      <c r="K140" s="104"/>
      <c r="L140" s="105">
        <v>20201118</v>
      </c>
    </row>
    <row r="141" ht="16" customHeight="1" spans="1:12">
      <c r="A141" s="14">
        <v>139</v>
      </c>
      <c r="B141" s="33" t="s">
        <v>10535</v>
      </c>
      <c r="C141" s="34" t="s">
        <v>10803</v>
      </c>
      <c r="D141" s="34" t="s">
        <v>10804</v>
      </c>
      <c r="E141" s="165">
        <v>2020</v>
      </c>
      <c r="F141" s="165">
        <v>2020</v>
      </c>
      <c r="G141" s="35" t="s">
        <v>16</v>
      </c>
      <c r="H141" s="34">
        <v>200</v>
      </c>
      <c r="I141" s="34">
        <v>200</v>
      </c>
      <c r="J141" s="49"/>
      <c r="K141" s="104"/>
      <c r="L141" s="105">
        <v>20201118</v>
      </c>
    </row>
    <row r="142" ht="16" customHeight="1" spans="1:12">
      <c r="A142" s="14">
        <v>140</v>
      </c>
      <c r="B142" s="33" t="s">
        <v>10535</v>
      </c>
      <c r="C142" s="34" t="s">
        <v>10805</v>
      </c>
      <c r="D142" s="34" t="s">
        <v>10806</v>
      </c>
      <c r="E142" s="165">
        <v>2020</v>
      </c>
      <c r="F142" s="165">
        <v>2020</v>
      </c>
      <c r="G142" s="35" t="s">
        <v>16</v>
      </c>
      <c r="H142" s="34">
        <v>200</v>
      </c>
      <c r="I142" s="34">
        <v>200</v>
      </c>
      <c r="J142" s="49"/>
      <c r="K142" s="104"/>
      <c r="L142" s="105">
        <v>20201118</v>
      </c>
    </row>
    <row r="143" ht="16" customHeight="1" spans="1:12">
      <c r="A143" s="14">
        <v>141</v>
      </c>
      <c r="B143" s="33" t="s">
        <v>10535</v>
      </c>
      <c r="C143" s="34" t="s">
        <v>10807</v>
      </c>
      <c r="D143" s="34" t="s">
        <v>10808</v>
      </c>
      <c r="E143" s="165">
        <v>2020</v>
      </c>
      <c r="F143" s="165">
        <v>2020</v>
      </c>
      <c r="G143" s="35" t="s">
        <v>16</v>
      </c>
      <c r="H143" s="34">
        <v>200</v>
      </c>
      <c r="I143" s="34">
        <v>200</v>
      </c>
      <c r="J143" s="49"/>
      <c r="K143" s="104"/>
      <c r="L143" s="105">
        <v>20201118</v>
      </c>
    </row>
    <row r="144" ht="16" customHeight="1" spans="1:12">
      <c r="A144" s="14">
        <v>142</v>
      </c>
      <c r="B144" s="33" t="s">
        <v>10535</v>
      </c>
      <c r="C144" s="34" t="s">
        <v>10809</v>
      </c>
      <c r="D144" s="34" t="s">
        <v>10810</v>
      </c>
      <c r="E144" s="165">
        <v>2020</v>
      </c>
      <c r="F144" s="165">
        <v>2020</v>
      </c>
      <c r="G144" s="35" t="s">
        <v>16</v>
      </c>
      <c r="H144" s="34">
        <v>200</v>
      </c>
      <c r="I144" s="34">
        <v>200</v>
      </c>
      <c r="J144" s="49"/>
      <c r="K144" s="104"/>
      <c r="L144" s="105">
        <v>20201118</v>
      </c>
    </row>
    <row r="145" ht="16" customHeight="1" spans="1:12">
      <c r="A145" s="14">
        <v>143</v>
      </c>
      <c r="B145" s="33" t="s">
        <v>10535</v>
      </c>
      <c r="C145" s="34" t="s">
        <v>10811</v>
      </c>
      <c r="D145" s="34" t="s">
        <v>10812</v>
      </c>
      <c r="E145" s="165">
        <v>2020</v>
      </c>
      <c r="F145" s="165">
        <v>2020</v>
      </c>
      <c r="G145" s="35" t="s">
        <v>16</v>
      </c>
      <c r="H145" s="34">
        <v>200</v>
      </c>
      <c r="I145" s="34">
        <v>200</v>
      </c>
      <c r="J145" s="49"/>
      <c r="K145" s="104"/>
      <c r="L145" s="105">
        <v>20201118</v>
      </c>
    </row>
    <row r="146" ht="16" customHeight="1" spans="1:12">
      <c r="A146" s="14">
        <v>144</v>
      </c>
      <c r="B146" s="33" t="s">
        <v>10535</v>
      </c>
      <c r="C146" s="34" t="s">
        <v>10813</v>
      </c>
      <c r="D146" s="34" t="s">
        <v>10814</v>
      </c>
      <c r="E146" s="165">
        <v>2020</v>
      </c>
      <c r="F146" s="165">
        <v>2020</v>
      </c>
      <c r="G146" s="35" t="s">
        <v>16</v>
      </c>
      <c r="H146" s="34">
        <v>200</v>
      </c>
      <c r="I146" s="34">
        <v>200</v>
      </c>
      <c r="J146" s="49"/>
      <c r="K146" s="104"/>
      <c r="L146" s="105">
        <v>20201118</v>
      </c>
    </row>
    <row r="147" ht="16" customHeight="1" spans="1:12">
      <c r="A147" s="14">
        <v>145</v>
      </c>
      <c r="B147" s="33" t="s">
        <v>10535</v>
      </c>
      <c r="C147" s="34" t="s">
        <v>10815</v>
      </c>
      <c r="D147" s="34" t="s">
        <v>10816</v>
      </c>
      <c r="E147" s="165">
        <v>2020</v>
      </c>
      <c r="F147" s="165">
        <v>2020</v>
      </c>
      <c r="G147" s="35" t="s">
        <v>16</v>
      </c>
      <c r="H147" s="34">
        <v>500</v>
      </c>
      <c r="I147" s="34">
        <v>500</v>
      </c>
      <c r="J147" s="49"/>
      <c r="K147" s="104"/>
      <c r="L147" s="105">
        <v>20201118</v>
      </c>
    </row>
    <row r="148" ht="16" customHeight="1" spans="1:12">
      <c r="A148" s="14">
        <v>146</v>
      </c>
      <c r="B148" s="33" t="s">
        <v>10535</v>
      </c>
      <c r="C148" s="34" t="s">
        <v>8119</v>
      </c>
      <c r="D148" s="34" t="s">
        <v>10817</v>
      </c>
      <c r="E148" s="165">
        <v>2020</v>
      </c>
      <c r="F148" s="165">
        <v>2020</v>
      </c>
      <c r="G148" s="35" t="s">
        <v>16</v>
      </c>
      <c r="H148" s="34">
        <v>500</v>
      </c>
      <c r="I148" s="34">
        <v>500</v>
      </c>
      <c r="J148" s="49"/>
      <c r="K148" s="104"/>
      <c r="L148" s="105">
        <v>20201118</v>
      </c>
    </row>
    <row r="149" ht="16" customHeight="1" spans="1:12">
      <c r="A149" s="14">
        <v>147</v>
      </c>
      <c r="B149" s="33" t="s">
        <v>10535</v>
      </c>
      <c r="C149" s="34" t="s">
        <v>10818</v>
      </c>
      <c r="D149" s="34" t="s">
        <v>10819</v>
      </c>
      <c r="E149" s="165">
        <v>2020</v>
      </c>
      <c r="F149" s="165">
        <v>2020</v>
      </c>
      <c r="G149" s="35" t="s">
        <v>16</v>
      </c>
      <c r="H149" s="34">
        <v>200</v>
      </c>
      <c r="I149" s="34">
        <v>200</v>
      </c>
      <c r="J149" s="49"/>
      <c r="K149" s="104"/>
      <c r="L149" s="105">
        <v>20201118</v>
      </c>
    </row>
    <row r="150" ht="16" customHeight="1" spans="1:12">
      <c r="A150" s="14">
        <v>148</v>
      </c>
      <c r="B150" s="33" t="s">
        <v>10535</v>
      </c>
      <c r="C150" s="34" t="s">
        <v>10820</v>
      </c>
      <c r="D150" s="34" t="s">
        <v>10821</v>
      </c>
      <c r="E150" s="165">
        <v>2020</v>
      </c>
      <c r="F150" s="165">
        <v>2020</v>
      </c>
      <c r="G150" s="35" t="s">
        <v>16</v>
      </c>
      <c r="H150" s="34">
        <v>200</v>
      </c>
      <c r="I150" s="34">
        <v>200</v>
      </c>
      <c r="J150" s="49"/>
      <c r="K150" s="104"/>
      <c r="L150" s="105">
        <v>20201118</v>
      </c>
    </row>
    <row r="151" ht="16" customHeight="1" spans="1:12">
      <c r="A151" s="14">
        <v>149</v>
      </c>
      <c r="B151" s="33" t="s">
        <v>10535</v>
      </c>
      <c r="C151" s="34" t="s">
        <v>10822</v>
      </c>
      <c r="D151" s="34" t="s">
        <v>10823</v>
      </c>
      <c r="E151" s="165">
        <v>2020</v>
      </c>
      <c r="F151" s="165">
        <v>2020</v>
      </c>
      <c r="G151" s="35" t="s">
        <v>16</v>
      </c>
      <c r="H151" s="34">
        <v>200</v>
      </c>
      <c r="I151" s="34">
        <v>200</v>
      </c>
      <c r="J151" s="49"/>
      <c r="K151" s="104"/>
      <c r="L151" s="105">
        <v>20201118</v>
      </c>
    </row>
    <row r="152" ht="16" customHeight="1" spans="1:12">
      <c r="A152" s="14">
        <v>150</v>
      </c>
      <c r="B152" s="33" t="s">
        <v>10535</v>
      </c>
      <c r="C152" s="34" t="s">
        <v>10824</v>
      </c>
      <c r="D152" s="34" t="s">
        <v>10825</v>
      </c>
      <c r="E152" s="165">
        <v>2020</v>
      </c>
      <c r="F152" s="165">
        <v>2020</v>
      </c>
      <c r="G152" s="35" t="s">
        <v>16</v>
      </c>
      <c r="H152" s="34">
        <v>200</v>
      </c>
      <c r="I152" s="34">
        <v>200</v>
      </c>
      <c r="J152" s="49"/>
      <c r="K152" s="104"/>
      <c r="L152" s="105">
        <v>20201118</v>
      </c>
    </row>
    <row r="153" ht="16" customHeight="1" spans="1:12">
      <c r="A153" s="14">
        <v>151</v>
      </c>
      <c r="B153" s="33" t="s">
        <v>10535</v>
      </c>
      <c r="C153" s="34" t="s">
        <v>10826</v>
      </c>
      <c r="D153" s="34" t="s">
        <v>10827</v>
      </c>
      <c r="E153" s="165">
        <v>2020</v>
      </c>
      <c r="F153" s="165">
        <v>2020</v>
      </c>
      <c r="G153" s="35" t="s">
        <v>16</v>
      </c>
      <c r="H153" s="34">
        <v>200</v>
      </c>
      <c r="I153" s="34">
        <v>200</v>
      </c>
      <c r="J153" s="49"/>
      <c r="K153" s="104"/>
      <c r="L153" s="105">
        <v>20201118</v>
      </c>
    </row>
    <row r="154" ht="16" customHeight="1" spans="1:12">
      <c r="A154" s="14">
        <v>152</v>
      </c>
      <c r="B154" s="33" t="s">
        <v>10535</v>
      </c>
      <c r="C154" s="34" t="s">
        <v>10828</v>
      </c>
      <c r="D154" s="34" t="s">
        <v>10829</v>
      </c>
      <c r="E154" s="165">
        <v>2020</v>
      </c>
      <c r="F154" s="165">
        <v>2020</v>
      </c>
      <c r="G154" s="35" t="s">
        <v>16</v>
      </c>
      <c r="H154" s="34">
        <v>200</v>
      </c>
      <c r="I154" s="34">
        <v>200</v>
      </c>
      <c r="J154" s="49"/>
      <c r="K154" s="104"/>
      <c r="L154" s="105">
        <v>20201118</v>
      </c>
    </row>
    <row r="155" ht="16" customHeight="1" spans="1:12">
      <c r="A155" s="14">
        <v>153</v>
      </c>
      <c r="B155" s="33" t="s">
        <v>10535</v>
      </c>
      <c r="C155" s="34" t="s">
        <v>1624</v>
      </c>
      <c r="D155" s="34" t="s">
        <v>10830</v>
      </c>
      <c r="E155" s="165">
        <v>2020</v>
      </c>
      <c r="F155" s="165">
        <v>2020</v>
      </c>
      <c r="G155" s="35" t="s">
        <v>16</v>
      </c>
      <c r="H155" s="34">
        <v>200</v>
      </c>
      <c r="I155" s="34">
        <v>200</v>
      </c>
      <c r="J155" s="49"/>
      <c r="K155" s="104"/>
      <c r="L155" s="105">
        <v>20201118</v>
      </c>
    </row>
    <row r="156" ht="16" customHeight="1" spans="1:12">
      <c r="A156" s="14">
        <v>154</v>
      </c>
      <c r="B156" s="33" t="s">
        <v>10535</v>
      </c>
      <c r="C156" s="34" t="s">
        <v>10831</v>
      </c>
      <c r="D156" s="34" t="s">
        <v>10832</v>
      </c>
      <c r="E156" s="165">
        <v>2020</v>
      </c>
      <c r="F156" s="165">
        <v>2020</v>
      </c>
      <c r="G156" s="35" t="s">
        <v>16</v>
      </c>
      <c r="H156" s="34">
        <v>200</v>
      </c>
      <c r="I156" s="34">
        <v>200</v>
      </c>
      <c r="J156" s="49"/>
      <c r="K156" s="104"/>
      <c r="L156" s="105">
        <v>20201118</v>
      </c>
    </row>
    <row r="157" ht="16" customHeight="1" spans="1:12">
      <c r="A157" s="14">
        <v>155</v>
      </c>
      <c r="B157" s="33" t="s">
        <v>10535</v>
      </c>
      <c r="C157" s="34" t="s">
        <v>10833</v>
      </c>
      <c r="D157" s="34" t="s">
        <v>10834</v>
      </c>
      <c r="E157" s="165">
        <v>2020</v>
      </c>
      <c r="F157" s="165">
        <v>2020</v>
      </c>
      <c r="G157" s="35" t="s">
        <v>16</v>
      </c>
      <c r="H157" s="34">
        <v>200</v>
      </c>
      <c r="I157" s="34">
        <v>200</v>
      </c>
      <c r="J157" s="49"/>
      <c r="K157" s="104"/>
      <c r="L157" s="105">
        <v>20201118</v>
      </c>
    </row>
    <row r="158" ht="16" customHeight="1" spans="1:12">
      <c r="A158" s="14">
        <v>156</v>
      </c>
      <c r="B158" s="33" t="s">
        <v>10535</v>
      </c>
      <c r="C158" s="34" t="s">
        <v>10835</v>
      </c>
      <c r="D158" s="34" t="s">
        <v>10836</v>
      </c>
      <c r="E158" s="165">
        <v>2020</v>
      </c>
      <c r="F158" s="165">
        <v>2020</v>
      </c>
      <c r="G158" s="35" t="s">
        <v>16</v>
      </c>
      <c r="H158" s="34">
        <v>200</v>
      </c>
      <c r="I158" s="34">
        <v>200</v>
      </c>
      <c r="J158" s="49"/>
      <c r="K158" s="104"/>
      <c r="L158" s="105">
        <v>20201118</v>
      </c>
    </row>
    <row r="159" ht="16" customHeight="1" spans="1:12">
      <c r="A159" s="14">
        <v>157</v>
      </c>
      <c r="B159" s="33" t="s">
        <v>10535</v>
      </c>
      <c r="C159" s="34" t="s">
        <v>10837</v>
      </c>
      <c r="D159" s="34" t="s">
        <v>10838</v>
      </c>
      <c r="E159" s="165">
        <v>2020</v>
      </c>
      <c r="F159" s="165">
        <v>2020</v>
      </c>
      <c r="G159" s="35" t="s">
        <v>16</v>
      </c>
      <c r="H159" s="34">
        <v>200</v>
      </c>
      <c r="I159" s="34">
        <v>200</v>
      </c>
      <c r="J159" s="49"/>
      <c r="K159" s="104"/>
      <c r="L159" s="105">
        <v>20201118</v>
      </c>
    </row>
    <row r="160" ht="16" customHeight="1" spans="1:12">
      <c r="A160" s="14">
        <v>158</v>
      </c>
      <c r="B160" s="33" t="s">
        <v>10535</v>
      </c>
      <c r="C160" s="34" t="s">
        <v>8123</v>
      </c>
      <c r="D160" s="34" t="s">
        <v>10839</v>
      </c>
      <c r="E160" s="165">
        <v>2020</v>
      </c>
      <c r="F160" s="165">
        <v>2020</v>
      </c>
      <c r="G160" s="35" t="s">
        <v>16</v>
      </c>
      <c r="H160" s="34">
        <v>200</v>
      </c>
      <c r="I160" s="34">
        <v>200</v>
      </c>
      <c r="J160" s="49"/>
      <c r="K160" s="104"/>
      <c r="L160" s="105">
        <v>20201118</v>
      </c>
    </row>
    <row r="161" ht="16" customHeight="1" spans="1:12">
      <c r="A161" s="14">
        <v>159</v>
      </c>
      <c r="B161" s="33" t="s">
        <v>10535</v>
      </c>
      <c r="C161" s="34" t="s">
        <v>10840</v>
      </c>
      <c r="D161" s="34" t="s">
        <v>10841</v>
      </c>
      <c r="E161" s="165">
        <v>2020</v>
      </c>
      <c r="F161" s="165">
        <v>2020</v>
      </c>
      <c r="G161" s="35" t="s">
        <v>16</v>
      </c>
      <c r="H161" s="34">
        <v>200</v>
      </c>
      <c r="I161" s="34">
        <v>200</v>
      </c>
      <c r="J161" s="49"/>
      <c r="K161" s="104"/>
      <c r="L161" s="105">
        <v>20201118</v>
      </c>
    </row>
    <row r="162" ht="16" customHeight="1" spans="1:12">
      <c r="A162" s="14">
        <v>160</v>
      </c>
      <c r="B162" s="33" t="s">
        <v>10535</v>
      </c>
      <c r="C162" s="34" t="s">
        <v>10842</v>
      </c>
      <c r="D162" s="34" t="s">
        <v>10843</v>
      </c>
      <c r="E162" s="165">
        <v>2020</v>
      </c>
      <c r="F162" s="165">
        <v>2020</v>
      </c>
      <c r="G162" s="35" t="s">
        <v>16</v>
      </c>
      <c r="H162" s="34">
        <v>200</v>
      </c>
      <c r="I162" s="34">
        <v>200</v>
      </c>
      <c r="J162" s="49"/>
      <c r="K162" s="104"/>
      <c r="L162" s="105">
        <v>20201118</v>
      </c>
    </row>
    <row r="163" ht="16" customHeight="1" spans="1:12">
      <c r="A163" s="14">
        <v>161</v>
      </c>
      <c r="B163" s="33" t="s">
        <v>10535</v>
      </c>
      <c r="C163" s="34" t="s">
        <v>10844</v>
      </c>
      <c r="D163" s="34" t="s">
        <v>10845</v>
      </c>
      <c r="E163" s="165">
        <v>2020</v>
      </c>
      <c r="F163" s="165">
        <v>2020</v>
      </c>
      <c r="G163" s="35" t="s">
        <v>16</v>
      </c>
      <c r="H163" s="34">
        <v>200</v>
      </c>
      <c r="I163" s="34">
        <v>200</v>
      </c>
      <c r="J163" s="49"/>
      <c r="K163" s="104"/>
      <c r="L163" s="105">
        <v>20201118</v>
      </c>
    </row>
    <row r="164" ht="16" customHeight="1" spans="1:12">
      <c r="A164" s="14">
        <v>162</v>
      </c>
      <c r="B164" s="33" t="s">
        <v>10535</v>
      </c>
      <c r="C164" s="34" t="s">
        <v>10846</v>
      </c>
      <c r="D164" s="34" t="s">
        <v>10847</v>
      </c>
      <c r="E164" s="165">
        <v>2020</v>
      </c>
      <c r="F164" s="165">
        <v>2020</v>
      </c>
      <c r="G164" s="35" t="s">
        <v>16</v>
      </c>
      <c r="H164" s="34">
        <v>200</v>
      </c>
      <c r="I164" s="34">
        <v>200</v>
      </c>
      <c r="J164" s="49"/>
      <c r="K164" s="104"/>
      <c r="L164" s="105">
        <v>20201118</v>
      </c>
    </row>
    <row r="165" ht="16" customHeight="1" spans="1:12">
      <c r="A165" s="14">
        <v>163</v>
      </c>
      <c r="B165" s="33" t="s">
        <v>10535</v>
      </c>
      <c r="C165" s="34" t="s">
        <v>10848</v>
      </c>
      <c r="D165" s="34" t="s">
        <v>10849</v>
      </c>
      <c r="E165" s="165">
        <v>2020</v>
      </c>
      <c r="F165" s="165">
        <v>2020</v>
      </c>
      <c r="G165" s="35" t="s">
        <v>16</v>
      </c>
      <c r="H165" s="34">
        <v>200</v>
      </c>
      <c r="I165" s="34">
        <v>200</v>
      </c>
      <c r="J165" s="49"/>
      <c r="K165" s="104"/>
      <c r="L165" s="105">
        <v>20201118</v>
      </c>
    </row>
    <row r="166" ht="16" customHeight="1" spans="1:12">
      <c r="A166" s="14">
        <v>164</v>
      </c>
      <c r="B166" s="33" t="s">
        <v>10535</v>
      </c>
      <c r="C166" s="34" t="s">
        <v>10850</v>
      </c>
      <c r="D166" s="34" t="s">
        <v>10851</v>
      </c>
      <c r="E166" s="165">
        <v>2020</v>
      </c>
      <c r="F166" s="165">
        <v>2020</v>
      </c>
      <c r="G166" s="35" t="s">
        <v>16</v>
      </c>
      <c r="H166" s="34">
        <v>200</v>
      </c>
      <c r="I166" s="34">
        <v>200</v>
      </c>
      <c r="J166" s="49"/>
      <c r="K166" s="104"/>
      <c r="L166" s="105">
        <v>20201118</v>
      </c>
    </row>
    <row r="167" ht="16" customHeight="1" spans="1:12">
      <c r="A167" s="14">
        <v>165</v>
      </c>
      <c r="B167" s="33" t="s">
        <v>10535</v>
      </c>
      <c r="C167" s="34" t="s">
        <v>10852</v>
      </c>
      <c r="D167" s="34" t="s">
        <v>10853</v>
      </c>
      <c r="E167" s="165">
        <v>2020</v>
      </c>
      <c r="F167" s="165">
        <v>2020</v>
      </c>
      <c r="G167" s="35" t="s">
        <v>16</v>
      </c>
      <c r="H167" s="34">
        <v>200</v>
      </c>
      <c r="I167" s="34">
        <v>200</v>
      </c>
      <c r="J167" s="49"/>
      <c r="K167" s="104"/>
      <c r="L167" s="105">
        <v>20201118</v>
      </c>
    </row>
    <row r="168" ht="16" customHeight="1" spans="1:12">
      <c r="A168" s="14">
        <v>166</v>
      </c>
      <c r="B168" s="33" t="s">
        <v>10535</v>
      </c>
      <c r="C168" s="34" t="s">
        <v>2341</v>
      </c>
      <c r="D168" s="34" t="s">
        <v>10854</v>
      </c>
      <c r="E168" s="165">
        <v>2020</v>
      </c>
      <c r="F168" s="165">
        <v>2020</v>
      </c>
      <c r="G168" s="35" t="s">
        <v>16</v>
      </c>
      <c r="H168" s="34">
        <v>200</v>
      </c>
      <c r="I168" s="34">
        <v>200</v>
      </c>
      <c r="J168" s="49"/>
      <c r="K168" s="104"/>
      <c r="L168" s="105">
        <v>20201118</v>
      </c>
    </row>
    <row r="169" ht="16" customHeight="1" spans="1:12">
      <c r="A169" s="14">
        <v>167</v>
      </c>
      <c r="B169" s="33" t="s">
        <v>10535</v>
      </c>
      <c r="C169" s="34" t="s">
        <v>10855</v>
      </c>
      <c r="D169" s="34" t="s">
        <v>10856</v>
      </c>
      <c r="E169" s="165">
        <v>2020</v>
      </c>
      <c r="F169" s="165">
        <v>2020</v>
      </c>
      <c r="G169" s="35" t="s">
        <v>16</v>
      </c>
      <c r="H169" s="34">
        <v>200</v>
      </c>
      <c r="I169" s="34">
        <v>200</v>
      </c>
      <c r="J169" s="49"/>
      <c r="K169" s="104"/>
      <c r="L169" s="105">
        <v>20201118</v>
      </c>
    </row>
    <row r="170" ht="16" customHeight="1" spans="1:12">
      <c r="A170" s="14">
        <v>168</v>
      </c>
      <c r="B170" s="33" t="s">
        <v>10535</v>
      </c>
      <c r="C170" s="34" t="s">
        <v>10857</v>
      </c>
      <c r="D170" s="34" t="s">
        <v>10858</v>
      </c>
      <c r="E170" s="165">
        <v>2020</v>
      </c>
      <c r="F170" s="165">
        <v>2020</v>
      </c>
      <c r="G170" s="35" t="s">
        <v>16</v>
      </c>
      <c r="H170" s="34">
        <v>200</v>
      </c>
      <c r="I170" s="34">
        <v>200</v>
      </c>
      <c r="J170" s="49"/>
      <c r="K170" s="104"/>
      <c r="L170" s="105">
        <v>20201118</v>
      </c>
    </row>
    <row r="171" ht="16" customHeight="1" spans="1:12">
      <c r="A171" s="14">
        <v>169</v>
      </c>
      <c r="B171" s="33" t="s">
        <v>10535</v>
      </c>
      <c r="C171" s="34" t="s">
        <v>10859</v>
      </c>
      <c r="D171" s="34" t="s">
        <v>10860</v>
      </c>
      <c r="E171" s="165">
        <v>2020</v>
      </c>
      <c r="F171" s="165">
        <v>2020</v>
      </c>
      <c r="G171" s="35" t="s">
        <v>16</v>
      </c>
      <c r="H171" s="34">
        <v>200</v>
      </c>
      <c r="I171" s="34">
        <v>200</v>
      </c>
      <c r="J171" s="49"/>
      <c r="K171" s="104"/>
      <c r="L171" s="105">
        <v>20201118</v>
      </c>
    </row>
    <row r="172" ht="16" customHeight="1" spans="1:12">
      <c r="A172" s="14">
        <v>170</v>
      </c>
      <c r="B172" s="33" t="s">
        <v>10535</v>
      </c>
      <c r="C172" s="34" t="s">
        <v>10861</v>
      </c>
      <c r="D172" s="34" t="s">
        <v>10862</v>
      </c>
      <c r="E172" s="165">
        <v>2020</v>
      </c>
      <c r="F172" s="165">
        <v>2020</v>
      </c>
      <c r="G172" s="35" t="s">
        <v>16</v>
      </c>
      <c r="H172" s="34">
        <v>200</v>
      </c>
      <c r="I172" s="34">
        <v>200</v>
      </c>
      <c r="J172" s="49"/>
      <c r="K172" s="104"/>
      <c r="L172" s="105">
        <v>20201118</v>
      </c>
    </row>
    <row r="173" ht="16" customHeight="1" spans="1:12">
      <c r="A173" s="14">
        <v>171</v>
      </c>
      <c r="B173" s="33" t="s">
        <v>10535</v>
      </c>
      <c r="C173" s="34" t="s">
        <v>10863</v>
      </c>
      <c r="D173" s="34" t="s">
        <v>10864</v>
      </c>
      <c r="E173" s="165">
        <v>2020</v>
      </c>
      <c r="F173" s="165">
        <v>2020</v>
      </c>
      <c r="G173" s="35" t="s">
        <v>16</v>
      </c>
      <c r="H173" s="34">
        <v>200</v>
      </c>
      <c r="I173" s="34">
        <v>200</v>
      </c>
      <c r="J173" s="49"/>
      <c r="K173" s="104"/>
      <c r="L173" s="105">
        <v>20201118</v>
      </c>
    </row>
    <row r="174" ht="16" customHeight="1" spans="1:12">
      <c r="A174" s="14">
        <v>172</v>
      </c>
      <c r="B174" s="33" t="s">
        <v>10535</v>
      </c>
      <c r="C174" s="34" t="s">
        <v>10865</v>
      </c>
      <c r="D174" s="34" t="s">
        <v>10866</v>
      </c>
      <c r="E174" s="165">
        <v>2020</v>
      </c>
      <c r="F174" s="165">
        <v>2020</v>
      </c>
      <c r="G174" s="35" t="s">
        <v>16</v>
      </c>
      <c r="H174" s="34">
        <v>3000</v>
      </c>
      <c r="I174" s="34">
        <v>3000</v>
      </c>
      <c r="J174" s="49"/>
      <c r="K174" s="104"/>
      <c r="L174" s="105">
        <v>20201118</v>
      </c>
    </row>
    <row r="175" ht="16" customHeight="1" spans="1:12">
      <c r="A175" s="14">
        <v>173</v>
      </c>
      <c r="B175" s="33" t="s">
        <v>10535</v>
      </c>
      <c r="C175" s="34" t="s">
        <v>8086</v>
      </c>
      <c r="D175" s="34" t="s">
        <v>10867</v>
      </c>
      <c r="E175" s="165">
        <v>2020</v>
      </c>
      <c r="F175" s="165">
        <v>2020</v>
      </c>
      <c r="G175" s="35" t="s">
        <v>16</v>
      </c>
      <c r="H175" s="34">
        <v>200</v>
      </c>
      <c r="I175" s="34">
        <v>200</v>
      </c>
      <c r="J175" s="49"/>
      <c r="K175" s="104"/>
      <c r="L175" s="105">
        <v>20201118</v>
      </c>
    </row>
    <row r="176" ht="16" customHeight="1" spans="1:12">
      <c r="A176" s="14">
        <v>174</v>
      </c>
      <c r="B176" s="33" t="s">
        <v>10535</v>
      </c>
      <c r="C176" s="34" t="s">
        <v>10868</v>
      </c>
      <c r="D176" s="34" t="s">
        <v>10869</v>
      </c>
      <c r="E176" s="165">
        <v>2020</v>
      </c>
      <c r="F176" s="165">
        <v>2020</v>
      </c>
      <c r="G176" s="35" t="s">
        <v>16</v>
      </c>
      <c r="H176" s="34">
        <v>500</v>
      </c>
      <c r="I176" s="34">
        <v>500</v>
      </c>
      <c r="J176" s="49"/>
      <c r="K176" s="104"/>
      <c r="L176" s="105">
        <v>20201118</v>
      </c>
    </row>
    <row r="177" ht="16" customHeight="1" spans="1:12">
      <c r="A177" s="14">
        <v>175</v>
      </c>
      <c r="B177" s="33" t="s">
        <v>10535</v>
      </c>
      <c r="C177" s="34" t="s">
        <v>10870</v>
      </c>
      <c r="D177" s="34" t="s">
        <v>10871</v>
      </c>
      <c r="E177" s="165">
        <v>2020</v>
      </c>
      <c r="F177" s="165">
        <v>2020</v>
      </c>
      <c r="G177" s="35" t="s">
        <v>16</v>
      </c>
      <c r="H177" s="34">
        <v>200</v>
      </c>
      <c r="I177" s="34">
        <v>200</v>
      </c>
      <c r="J177" s="49"/>
      <c r="K177" s="104"/>
      <c r="L177" s="105">
        <v>20201118</v>
      </c>
    </row>
    <row r="178" ht="16" customHeight="1" spans="1:12">
      <c r="A178" s="14">
        <v>176</v>
      </c>
      <c r="B178" s="33" t="s">
        <v>10535</v>
      </c>
      <c r="C178" s="34" t="s">
        <v>3884</v>
      </c>
      <c r="D178" s="34" t="s">
        <v>10872</v>
      </c>
      <c r="E178" s="165">
        <v>2020</v>
      </c>
      <c r="F178" s="165">
        <v>2020</v>
      </c>
      <c r="G178" s="35" t="s">
        <v>16</v>
      </c>
      <c r="H178" s="34">
        <v>200</v>
      </c>
      <c r="I178" s="34">
        <v>200</v>
      </c>
      <c r="J178" s="49"/>
      <c r="K178" s="104"/>
      <c r="L178" s="105">
        <v>20201118</v>
      </c>
    </row>
    <row r="179" ht="16" customHeight="1" spans="1:12">
      <c r="A179" s="14">
        <v>177</v>
      </c>
      <c r="B179" s="33" t="s">
        <v>10535</v>
      </c>
      <c r="C179" s="34" t="s">
        <v>10873</v>
      </c>
      <c r="D179" s="34" t="s">
        <v>10874</v>
      </c>
      <c r="E179" s="165">
        <v>2020</v>
      </c>
      <c r="F179" s="165">
        <v>2020</v>
      </c>
      <c r="G179" s="35" t="s">
        <v>16</v>
      </c>
      <c r="H179" s="34">
        <v>200</v>
      </c>
      <c r="I179" s="34">
        <v>200</v>
      </c>
      <c r="J179" s="49"/>
      <c r="K179" s="104"/>
      <c r="L179" s="105">
        <v>20201118</v>
      </c>
    </row>
    <row r="180" ht="16" customHeight="1" spans="1:12">
      <c r="A180" s="14">
        <v>178</v>
      </c>
      <c r="B180" s="33" t="s">
        <v>10535</v>
      </c>
      <c r="C180" s="34" t="s">
        <v>10875</v>
      </c>
      <c r="D180" s="34" t="s">
        <v>10876</v>
      </c>
      <c r="E180" s="165">
        <v>2020</v>
      </c>
      <c r="F180" s="165">
        <v>2020</v>
      </c>
      <c r="G180" s="35" t="s">
        <v>16</v>
      </c>
      <c r="H180" s="34">
        <v>200</v>
      </c>
      <c r="I180" s="34">
        <v>200</v>
      </c>
      <c r="J180" s="49"/>
      <c r="K180" s="104"/>
      <c r="L180" s="105">
        <v>20201118</v>
      </c>
    </row>
    <row r="181" ht="16" customHeight="1" spans="1:12">
      <c r="A181" s="14">
        <v>179</v>
      </c>
      <c r="B181" s="33" t="s">
        <v>10535</v>
      </c>
      <c r="C181" s="34" t="s">
        <v>10877</v>
      </c>
      <c r="D181" s="34" t="s">
        <v>10878</v>
      </c>
      <c r="E181" s="165">
        <v>2020</v>
      </c>
      <c r="F181" s="165">
        <v>2020</v>
      </c>
      <c r="G181" s="35" t="s">
        <v>16</v>
      </c>
      <c r="H181" s="34">
        <v>200</v>
      </c>
      <c r="I181" s="34">
        <v>200</v>
      </c>
      <c r="J181" s="49"/>
      <c r="K181" s="104"/>
      <c r="L181" s="105">
        <v>20201118</v>
      </c>
    </row>
    <row r="182" ht="16" customHeight="1" spans="1:12">
      <c r="A182" s="14">
        <v>180</v>
      </c>
      <c r="B182" s="33" t="s">
        <v>10535</v>
      </c>
      <c r="C182" s="34" t="s">
        <v>10879</v>
      </c>
      <c r="D182" s="34" t="s">
        <v>10880</v>
      </c>
      <c r="E182" s="165">
        <v>2020</v>
      </c>
      <c r="F182" s="165">
        <v>2020</v>
      </c>
      <c r="G182" s="35" t="s">
        <v>16</v>
      </c>
      <c r="H182" s="34">
        <v>200</v>
      </c>
      <c r="I182" s="34">
        <v>200</v>
      </c>
      <c r="J182" s="49"/>
      <c r="K182" s="104"/>
      <c r="L182" s="105">
        <v>20201118</v>
      </c>
    </row>
    <row r="183" ht="16" customHeight="1" spans="1:12">
      <c r="A183" s="14">
        <v>181</v>
      </c>
      <c r="B183" s="33" t="s">
        <v>10535</v>
      </c>
      <c r="C183" s="34" t="s">
        <v>10881</v>
      </c>
      <c r="D183" s="34" t="s">
        <v>10882</v>
      </c>
      <c r="E183" s="165">
        <v>2020</v>
      </c>
      <c r="F183" s="165">
        <v>2020</v>
      </c>
      <c r="G183" s="35" t="s">
        <v>16</v>
      </c>
      <c r="H183" s="34">
        <v>200</v>
      </c>
      <c r="I183" s="34">
        <v>200</v>
      </c>
      <c r="J183" s="49"/>
      <c r="K183" s="104"/>
      <c r="L183" s="105">
        <v>20201118</v>
      </c>
    </row>
    <row r="184" ht="16" customHeight="1" spans="1:12">
      <c r="A184" s="14">
        <v>182</v>
      </c>
      <c r="B184" s="33" t="s">
        <v>10535</v>
      </c>
      <c r="C184" s="34" t="s">
        <v>10883</v>
      </c>
      <c r="D184" s="34" t="s">
        <v>10884</v>
      </c>
      <c r="E184" s="165">
        <v>2020</v>
      </c>
      <c r="F184" s="165">
        <v>2020</v>
      </c>
      <c r="G184" s="35" t="s">
        <v>16</v>
      </c>
      <c r="H184" s="34">
        <v>200</v>
      </c>
      <c r="I184" s="34">
        <v>200</v>
      </c>
      <c r="J184" s="49"/>
      <c r="K184" s="104"/>
      <c r="L184" s="105">
        <v>20201118</v>
      </c>
    </row>
    <row r="185" ht="16" customHeight="1" spans="1:12">
      <c r="A185" s="14">
        <v>183</v>
      </c>
      <c r="B185" s="33" t="s">
        <v>10535</v>
      </c>
      <c r="C185" s="34" t="s">
        <v>10885</v>
      </c>
      <c r="D185" s="64" t="s">
        <v>10886</v>
      </c>
      <c r="E185" s="165">
        <v>2020</v>
      </c>
      <c r="F185" s="165">
        <v>2020</v>
      </c>
      <c r="G185" s="35" t="s">
        <v>16</v>
      </c>
      <c r="H185" s="34">
        <v>200</v>
      </c>
      <c r="I185" s="34">
        <v>200</v>
      </c>
      <c r="J185" s="49"/>
      <c r="K185" s="104"/>
      <c r="L185" s="105">
        <v>20201118</v>
      </c>
    </row>
    <row r="186" ht="16" customHeight="1" spans="1:12">
      <c r="A186" s="14">
        <v>184</v>
      </c>
      <c r="B186" s="33" t="s">
        <v>10535</v>
      </c>
      <c r="C186" s="34" t="s">
        <v>10887</v>
      </c>
      <c r="D186" s="34" t="s">
        <v>10888</v>
      </c>
      <c r="E186" s="165">
        <v>2020</v>
      </c>
      <c r="F186" s="165">
        <v>2020</v>
      </c>
      <c r="G186" s="35" t="s">
        <v>16</v>
      </c>
      <c r="H186" s="34">
        <v>500</v>
      </c>
      <c r="I186" s="34">
        <v>500</v>
      </c>
      <c r="J186" s="49"/>
      <c r="K186" s="104"/>
      <c r="L186" s="105">
        <v>20201118</v>
      </c>
    </row>
    <row r="187" ht="16" customHeight="1" spans="1:12">
      <c r="A187" s="14">
        <v>185</v>
      </c>
      <c r="B187" s="33" t="s">
        <v>10535</v>
      </c>
      <c r="C187" s="34" t="s">
        <v>10889</v>
      </c>
      <c r="D187" s="34" t="s">
        <v>10890</v>
      </c>
      <c r="E187" s="165">
        <v>2020</v>
      </c>
      <c r="F187" s="165">
        <v>2020</v>
      </c>
      <c r="G187" s="35" t="s">
        <v>16</v>
      </c>
      <c r="H187" s="34">
        <v>200</v>
      </c>
      <c r="I187" s="34">
        <v>200</v>
      </c>
      <c r="J187" s="49"/>
      <c r="K187" s="104"/>
      <c r="L187" s="105">
        <v>20201118</v>
      </c>
    </row>
    <row r="188" ht="16" customHeight="1" spans="1:12">
      <c r="A188" s="14">
        <v>186</v>
      </c>
      <c r="B188" s="33" t="s">
        <v>10535</v>
      </c>
      <c r="C188" s="34" t="s">
        <v>10891</v>
      </c>
      <c r="D188" s="34" t="s">
        <v>10892</v>
      </c>
      <c r="E188" s="165">
        <v>2020</v>
      </c>
      <c r="F188" s="165">
        <v>2020</v>
      </c>
      <c r="G188" s="35" t="s">
        <v>16</v>
      </c>
      <c r="H188" s="34">
        <v>200</v>
      </c>
      <c r="I188" s="34">
        <v>200</v>
      </c>
      <c r="J188" s="49"/>
      <c r="K188" s="104"/>
      <c r="L188" s="105">
        <v>20201118</v>
      </c>
    </row>
    <row r="189" ht="16" customHeight="1" spans="1:12">
      <c r="A189" s="14">
        <v>187</v>
      </c>
      <c r="B189" s="33" t="s">
        <v>10535</v>
      </c>
      <c r="C189" s="34" t="s">
        <v>10893</v>
      </c>
      <c r="D189" s="34" t="s">
        <v>10894</v>
      </c>
      <c r="E189" s="165">
        <v>2020</v>
      </c>
      <c r="F189" s="165">
        <v>2020</v>
      </c>
      <c r="G189" s="35" t="s">
        <v>16</v>
      </c>
      <c r="H189" s="34">
        <v>200</v>
      </c>
      <c r="I189" s="34">
        <v>200</v>
      </c>
      <c r="J189" s="49"/>
      <c r="K189" s="104"/>
      <c r="L189" s="105">
        <v>20201118</v>
      </c>
    </row>
    <row r="190" ht="16" customHeight="1" spans="1:12">
      <c r="A190" s="14">
        <v>188</v>
      </c>
      <c r="B190" s="33" t="s">
        <v>10535</v>
      </c>
      <c r="C190" s="34" t="s">
        <v>10895</v>
      </c>
      <c r="D190" s="34" t="s">
        <v>10896</v>
      </c>
      <c r="E190" s="165">
        <v>2020</v>
      </c>
      <c r="F190" s="165">
        <v>2020</v>
      </c>
      <c r="G190" s="35" t="s">
        <v>16</v>
      </c>
      <c r="H190" s="34">
        <v>200</v>
      </c>
      <c r="I190" s="34">
        <v>200</v>
      </c>
      <c r="J190" s="49"/>
      <c r="K190" s="104"/>
      <c r="L190" s="105">
        <v>20201118</v>
      </c>
    </row>
    <row r="191" ht="16" customHeight="1" spans="1:12">
      <c r="A191" s="14">
        <v>189</v>
      </c>
      <c r="B191" s="33" t="s">
        <v>10535</v>
      </c>
      <c r="C191" s="34" t="s">
        <v>10897</v>
      </c>
      <c r="D191" s="34" t="s">
        <v>10898</v>
      </c>
      <c r="E191" s="165">
        <v>2020</v>
      </c>
      <c r="F191" s="165">
        <v>2020</v>
      </c>
      <c r="G191" s="35" t="s">
        <v>16</v>
      </c>
      <c r="H191" s="34">
        <v>200</v>
      </c>
      <c r="I191" s="34">
        <v>200</v>
      </c>
      <c r="J191" s="49"/>
      <c r="K191" s="104"/>
      <c r="L191" s="105">
        <v>20201118</v>
      </c>
    </row>
    <row r="192" ht="16" customHeight="1" spans="1:12">
      <c r="A192" s="14">
        <v>190</v>
      </c>
      <c r="B192" s="33" t="s">
        <v>10535</v>
      </c>
      <c r="C192" s="34" t="s">
        <v>8205</v>
      </c>
      <c r="D192" s="64" t="s">
        <v>10899</v>
      </c>
      <c r="E192" s="165">
        <v>2020</v>
      </c>
      <c r="F192" s="165">
        <v>2020</v>
      </c>
      <c r="G192" s="35" t="s">
        <v>16</v>
      </c>
      <c r="H192" s="34">
        <v>200</v>
      </c>
      <c r="I192" s="34">
        <v>200</v>
      </c>
      <c r="J192" s="49"/>
      <c r="K192" s="104"/>
      <c r="L192" s="105">
        <v>20201118</v>
      </c>
    </row>
    <row r="193" ht="16" customHeight="1" spans="1:12">
      <c r="A193" s="14">
        <v>191</v>
      </c>
      <c r="B193" s="33" t="s">
        <v>10535</v>
      </c>
      <c r="C193" s="34" t="s">
        <v>10900</v>
      </c>
      <c r="D193" s="34" t="s">
        <v>10901</v>
      </c>
      <c r="E193" s="165">
        <v>2020</v>
      </c>
      <c r="F193" s="165">
        <v>2020</v>
      </c>
      <c r="G193" s="35" t="s">
        <v>16</v>
      </c>
      <c r="H193" s="34">
        <v>200</v>
      </c>
      <c r="I193" s="34">
        <v>200</v>
      </c>
      <c r="J193" s="49"/>
      <c r="K193" s="104"/>
      <c r="L193" s="105">
        <v>20201118</v>
      </c>
    </row>
    <row r="194" ht="16" customHeight="1" spans="1:12">
      <c r="A194" s="14">
        <v>192</v>
      </c>
      <c r="B194" s="33" t="s">
        <v>10535</v>
      </c>
      <c r="C194" s="34" t="s">
        <v>8442</v>
      </c>
      <c r="D194" s="34" t="s">
        <v>10902</v>
      </c>
      <c r="E194" s="165">
        <v>2020</v>
      </c>
      <c r="F194" s="165">
        <v>2020</v>
      </c>
      <c r="G194" s="35" t="s">
        <v>16</v>
      </c>
      <c r="H194" s="34">
        <v>3000</v>
      </c>
      <c r="I194" s="34">
        <v>3000</v>
      </c>
      <c r="J194" s="49"/>
      <c r="K194" s="104"/>
      <c r="L194" s="105">
        <v>20201118</v>
      </c>
    </row>
    <row r="195" ht="16" customHeight="1" spans="1:12">
      <c r="A195" s="14">
        <v>193</v>
      </c>
      <c r="B195" s="33" t="s">
        <v>10535</v>
      </c>
      <c r="C195" s="34" t="s">
        <v>10903</v>
      </c>
      <c r="D195" s="34" t="s">
        <v>10904</v>
      </c>
      <c r="E195" s="165">
        <v>2020</v>
      </c>
      <c r="F195" s="165">
        <v>2020</v>
      </c>
      <c r="G195" s="35" t="s">
        <v>16</v>
      </c>
      <c r="H195" s="34">
        <v>200</v>
      </c>
      <c r="I195" s="34">
        <v>200</v>
      </c>
      <c r="J195" s="49"/>
      <c r="K195" s="104"/>
      <c r="L195" s="105">
        <v>20201118</v>
      </c>
    </row>
    <row r="196" ht="16" customHeight="1" spans="1:12">
      <c r="A196" s="14">
        <v>194</v>
      </c>
      <c r="B196" s="33" t="s">
        <v>10535</v>
      </c>
      <c r="C196" s="34" t="s">
        <v>10905</v>
      </c>
      <c r="D196" s="34" t="s">
        <v>10906</v>
      </c>
      <c r="E196" s="165">
        <v>2020</v>
      </c>
      <c r="F196" s="165">
        <v>2020</v>
      </c>
      <c r="G196" s="35" t="s">
        <v>16</v>
      </c>
      <c r="H196" s="34">
        <v>200</v>
      </c>
      <c r="I196" s="34">
        <v>200</v>
      </c>
      <c r="J196" s="49"/>
      <c r="K196" s="104"/>
      <c r="L196" s="105">
        <v>20201118</v>
      </c>
    </row>
    <row r="197" ht="16" customHeight="1" spans="1:12">
      <c r="A197" s="14">
        <v>195</v>
      </c>
      <c r="B197" s="33" t="s">
        <v>10535</v>
      </c>
      <c r="C197" s="34" t="s">
        <v>10907</v>
      </c>
      <c r="D197" s="34" t="s">
        <v>10908</v>
      </c>
      <c r="E197" s="165">
        <v>2020</v>
      </c>
      <c r="F197" s="165">
        <v>2020</v>
      </c>
      <c r="G197" s="35" t="s">
        <v>16</v>
      </c>
      <c r="H197" s="34">
        <v>200</v>
      </c>
      <c r="I197" s="34">
        <v>200</v>
      </c>
      <c r="J197" s="49"/>
      <c r="K197" s="104"/>
      <c r="L197" s="105">
        <v>20201118</v>
      </c>
    </row>
    <row r="198" ht="16" customHeight="1" spans="1:12">
      <c r="A198" s="14">
        <v>196</v>
      </c>
      <c r="B198" s="33" t="s">
        <v>10535</v>
      </c>
      <c r="C198" s="34" t="s">
        <v>10909</v>
      </c>
      <c r="D198" s="34" t="s">
        <v>10910</v>
      </c>
      <c r="E198" s="165">
        <v>2020</v>
      </c>
      <c r="F198" s="165">
        <v>2020</v>
      </c>
      <c r="G198" s="35" t="s">
        <v>16</v>
      </c>
      <c r="H198" s="34">
        <v>200</v>
      </c>
      <c r="I198" s="34">
        <v>200</v>
      </c>
      <c r="J198" s="49"/>
      <c r="K198" s="104"/>
      <c r="L198" s="105">
        <v>20201118</v>
      </c>
    </row>
    <row r="199" ht="16" customHeight="1" spans="1:12">
      <c r="A199" s="14">
        <v>197</v>
      </c>
      <c r="B199" s="33" t="s">
        <v>10535</v>
      </c>
      <c r="C199" s="34" t="s">
        <v>10911</v>
      </c>
      <c r="D199" s="34" t="s">
        <v>10912</v>
      </c>
      <c r="E199" s="165">
        <v>2020</v>
      </c>
      <c r="F199" s="165">
        <v>2020</v>
      </c>
      <c r="G199" s="35" t="s">
        <v>16</v>
      </c>
      <c r="H199" s="34">
        <v>200</v>
      </c>
      <c r="I199" s="34">
        <v>200</v>
      </c>
      <c r="J199" s="49"/>
      <c r="K199" s="104"/>
      <c r="L199" s="105">
        <v>20201118</v>
      </c>
    </row>
    <row r="200" ht="16" customHeight="1" spans="1:12">
      <c r="A200" s="14">
        <v>198</v>
      </c>
      <c r="B200" s="33" t="s">
        <v>10535</v>
      </c>
      <c r="C200" s="34" t="s">
        <v>10913</v>
      </c>
      <c r="D200" s="34" t="s">
        <v>10914</v>
      </c>
      <c r="E200" s="165">
        <v>2020</v>
      </c>
      <c r="F200" s="165">
        <v>2020</v>
      </c>
      <c r="G200" s="35" t="s">
        <v>16</v>
      </c>
      <c r="H200" s="34">
        <v>200</v>
      </c>
      <c r="I200" s="34">
        <v>200</v>
      </c>
      <c r="J200" s="49"/>
      <c r="K200" s="104"/>
      <c r="L200" s="105">
        <v>20201118</v>
      </c>
    </row>
    <row r="201" ht="16" customHeight="1" spans="1:12">
      <c r="A201" s="14">
        <v>199</v>
      </c>
      <c r="B201" s="33" t="s">
        <v>10535</v>
      </c>
      <c r="C201" s="34" t="s">
        <v>10915</v>
      </c>
      <c r="D201" s="34" t="s">
        <v>10916</v>
      </c>
      <c r="E201" s="165">
        <v>2020</v>
      </c>
      <c r="F201" s="165">
        <v>2020</v>
      </c>
      <c r="G201" s="35" t="s">
        <v>16</v>
      </c>
      <c r="H201" s="34">
        <v>200</v>
      </c>
      <c r="I201" s="34">
        <v>200</v>
      </c>
      <c r="J201" s="49"/>
      <c r="K201" s="104"/>
      <c r="L201" s="105">
        <v>20201118</v>
      </c>
    </row>
    <row r="202" ht="16" customHeight="1" spans="1:12">
      <c r="A202" s="14">
        <v>200</v>
      </c>
      <c r="B202" s="33" t="s">
        <v>10535</v>
      </c>
      <c r="C202" s="34" t="s">
        <v>10917</v>
      </c>
      <c r="D202" s="34" t="s">
        <v>10918</v>
      </c>
      <c r="E202" s="165">
        <v>2020</v>
      </c>
      <c r="F202" s="165">
        <v>2020</v>
      </c>
      <c r="G202" s="35" t="s">
        <v>16</v>
      </c>
      <c r="H202" s="34">
        <v>500</v>
      </c>
      <c r="I202" s="34">
        <v>500</v>
      </c>
      <c r="J202" s="49"/>
      <c r="K202" s="104"/>
      <c r="L202" s="105">
        <v>20201118</v>
      </c>
    </row>
    <row r="203" ht="16" customHeight="1" spans="1:12">
      <c r="A203" s="14">
        <v>201</v>
      </c>
      <c r="B203" s="33" t="s">
        <v>10535</v>
      </c>
      <c r="C203" s="34" t="s">
        <v>10919</v>
      </c>
      <c r="D203" s="34" t="s">
        <v>10920</v>
      </c>
      <c r="E203" s="165">
        <v>2020</v>
      </c>
      <c r="F203" s="165">
        <v>2020</v>
      </c>
      <c r="G203" s="35" t="s">
        <v>16</v>
      </c>
      <c r="H203" s="34">
        <v>200</v>
      </c>
      <c r="I203" s="34">
        <v>200</v>
      </c>
      <c r="J203" s="49"/>
      <c r="K203" s="104"/>
      <c r="L203" s="105">
        <v>20201118</v>
      </c>
    </row>
    <row r="204" ht="16" customHeight="1" spans="1:12">
      <c r="A204" s="14">
        <v>202</v>
      </c>
      <c r="B204" s="33" t="s">
        <v>10535</v>
      </c>
      <c r="C204" s="34" t="s">
        <v>10921</v>
      </c>
      <c r="D204" s="34" t="s">
        <v>10922</v>
      </c>
      <c r="E204" s="165">
        <v>2020</v>
      </c>
      <c r="F204" s="165">
        <v>2020</v>
      </c>
      <c r="G204" s="35" t="s">
        <v>16</v>
      </c>
      <c r="H204" s="34">
        <v>200</v>
      </c>
      <c r="I204" s="34">
        <v>200</v>
      </c>
      <c r="J204" s="49"/>
      <c r="K204" s="104"/>
      <c r="L204" s="105">
        <v>20201118</v>
      </c>
    </row>
    <row r="205" ht="16" customHeight="1" spans="1:12">
      <c r="A205" s="14">
        <v>203</v>
      </c>
      <c r="B205" s="33" t="s">
        <v>10535</v>
      </c>
      <c r="C205" s="34" t="s">
        <v>10923</v>
      </c>
      <c r="D205" s="34" t="s">
        <v>10924</v>
      </c>
      <c r="E205" s="165">
        <v>2020</v>
      </c>
      <c r="F205" s="165">
        <v>2020</v>
      </c>
      <c r="G205" s="35" t="s">
        <v>16</v>
      </c>
      <c r="H205" s="34">
        <v>500</v>
      </c>
      <c r="I205" s="34">
        <v>500</v>
      </c>
      <c r="J205" s="49"/>
      <c r="K205" s="104"/>
      <c r="L205" s="105">
        <v>20201118</v>
      </c>
    </row>
    <row r="206" ht="16" customHeight="1" spans="1:12">
      <c r="A206" s="14">
        <v>204</v>
      </c>
      <c r="B206" s="33" t="s">
        <v>10535</v>
      </c>
      <c r="C206" s="34" t="s">
        <v>10925</v>
      </c>
      <c r="D206" s="34" t="s">
        <v>10926</v>
      </c>
      <c r="E206" s="165">
        <v>2020</v>
      </c>
      <c r="F206" s="165">
        <v>2020</v>
      </c>
      <c r="G206" s="35" t="s">
        <v>16</v>
      </c>
      <c r="H206" s="34">
        <v>200</v>
      </c>
      <c r="I206" s="34">
        <v>200</v>
      </c>
      <c r="J206" s="49"/>
      <c r="K206" s="104"/>
      <c r="L206" s="105">
        <v>20201118</v>
      </c>
    </row>
    <row r="207" ht="16" customHeight="1" spans="1:12">
      <c r="A207" s="14">
        <v>205</v>
      </c>
      <c r="B207" s="33" t="s">
        <v>10535</v>
      </c>
      <c r="C207" s="34" t="s">
        <v>10927</v>
      </c>
      <c r="D207" s="34" t="s">
        <v>10928</v>
      </c>
      <c r="E207" s="165">
        <v>2020</v>
      </c>
      <c r="F207" s="165">
        <v>2020</v>
      </c>
      <c r="G207" s="35" t="s">
        <v>16</v>
      </c>
      <c r="H207" s="34">
        <v>200</v>
      </c>
      <c r="I207" s="34">
        <v>200</v>
      </c>
      <c r="J207" s="49"/>
      <c r="K207" s="104"/>
      <c r="L207" s="105">
        <v>20201118</v>
      </c>
    </row>
    <row r="208" ht="16" customHeight="1" spans="1:12">
      <c r="A208" s="14">
        <v>206</v>
      </c>
      <c r="B208" s="33" t="s">
        <v>10535</v>
      </c>
      <c r="C208" s="34" t="s">
        <v>10929</v>
      </c>
      <c r="D208" s="34" t="s">
        <v>10930</v>
      </c>
      <c r="E208" s="165">
        <v>2020</v>
      </c>
      <c r="F208" s="165">
        <v>2020</v>
      </c>
      <c r="G208" s="35" t="s">
        <v>16</v>
      </c>
      <c r="H208" s="34">
        <v>200</v>
      </c>
      <c r="I208" s="34">
        <v>200</v>
      </c>
      <c r="J208" s="49"/>
      <c r="K208" s="104"/>
      <c r="L208" s="105">
        <v>20201118</v>
      </c>
    </row>
    <row r="209" ht="16" customHeight="1" spans="1:12">
      <c r="A209" s="14">
        <v>207</v>
      </c>
      <c r="B209" s="33" t="s">
        <v>10535</v>
      </c>
      <c r="C209" s="34" t="s">
        <v>10931</v>
      </c>
      <c r="D209" s="34" t="s">
        <v>10932</v>
      </c>
      <c r="E209" s="165">
        <v>2020</v>
      </c>
      <c r="F209" s="165">
        <v>2020</v>
      </c>
      <c r="G209" s="35" t="s">
        <v>16</v>
      </c>
      <c r="H209" s="34">
        <v>200</v>
      </c>
      <c r="I209" s="34">
        <v>200</v>
      </c>
      <c r="J209" s="49"/>
      <c r="K209" s="104"/>
      <c r="L209" s="105">
        <v>20201118</v>
      </c>
    </row>
    <row r="210" ht="16" customHeight="1" spans="1:12">
      <c r="A210" s="14">
        <v>208</v>
      </c>
      <c r="B210" s="33" t="s">
        <v>10535</v>
      </c>
      <c r="C210" s="34" t="s">
        <v>10933</v>
      </c>
      <c r="D210" s="34" t="s">
        <v>10934</v>
      </c>
      <c r="E210" s="165">
        <v>2020</v>
      </c>
      <c r="F210" s="165">
        <v>2020</v>
      </c>
      <c r="G210" s="35" t="s">
        <v>16</v>
      </c>
      <c r="H210" s="34">
        <v>200</v>
      </c>
      <c r="I210" s="34">
        <v>200</v>
      </c>
      <c r="J210" s="49"/>
      <c r="K210" s="104"/>
      <c r="L210" s="105">
        <v>20201118</v>
      </c>
    </row>
    <row r="211" ht="16" customHeight="1" spans="1:12">
      <c r="A211" s="14">
        <v>209</v>
      </c>
      <c r="B211" s="33" t="s">
        <v>10535</v>
      </c>
      <c r="C211" s="34" t="s">
        <v>10935</v>
      </c>
      <c r="D211" s="34" t="s">
        <v>10936</v>
      </c>
      <c r="E211" s="165">
        <v>2020</v>
      </c>
      <c r="F211" s="165">
        <v>2020</v>
      </c>
      <c r="G211" s="35" t="s">
        <v>16</v>
      </c>
      <c r="H211" s="34">
        <v>200</v>
      </c>
      <c r="I211" s="34">
        <v>200</v>
      </c>
      <c r="J211" s="49"/>
      <c r="K211" s="104"/>
      <c r="L211" s="105">
        <v>20201118</v>
      </c>
    </row>
    <row r="212" ht="16" customHeight="1" spans="1:12">
      <c r="A212" s="14">
        <v>210</v>
      </c>
      <c r="B212" s="33" t="s">
        <v>10535</v>
      </c>
      <c r="C212" s="34" t="s">
        <v>10937</v>
      </c>
      <c r="D212" s="34" t="s">
        <v>10938</v>
      </c>
      <c r="E212" s="165">
        <v>2020</v>
      </c>
      <c r="F212" s="165">
        <v>2020</v>
      </c>
      <c r="G212" s="35" t="s">
        <v>16</v>
      </c>
      <c r="H212" s="34">
        <v>200</v>
      </c>
      <c r="I212" s="34">
        <v>200</v>
      </c>
      <c r="J212" s="49"/>
      <c r="K212" s="104"/>
      <c r="L212" s="105">
        <v>20201118</v>
      </c>
    </row>
    <row r="213" ht="16" customHeight="1" spans="1:12">
      <c r="A213" s="14">
        <v>211</v>
      </c>
      <c r="B213" s="33" t="s">
        <v>10535</v>
      </c>
      <c r="C213" s="34" t="s">
        <v>10939</v>
      </c>
      <c r="D213" s="34" t="s">
        <v>10940</v>
      </c>
      <c r="E213" s="165">
        <v>2020</v>
      </c>
      <c r="F213" s="165">
        <v>2020</v>
      </c>
      <c r="G213" s="35" t="s">
        <v>16</v>
      </c>
      <c r="H213" s="34">
        <v>200</v>
      </c>
      <c r="I213" s="34">
        <v>200</v>
      </c>
      <c r="J213" s="49"/>
      <c r="K213" s="104"/>
      <c r="L213" s="105">
        <v>20201118</v>
      </c>
    </row>
    <row r="214" ht="16" customHeight="1" spans="1:12">
      <c r="A214" s="14">
        <v>212</v>
      </c>
      <c r="B214" s="33" t="s">
        <v>10535</v>
      </c>
      <c r="C214" s="34" t="s">
        <v>10941</v>
      </c>
      <c r="D214" s="34" t="s">
        <v>10942</v>
      </c>
      <c r="E214" s="165">
        <v>2020</v>
      </c>
      <c r="F214" s="165">
        <v>2020</v>
      </c>
      <c r="G214" s="35" t="s">
        <v>16</v>
      </c>
      <c r="H214" s="34">
        <v>200</v>
      </c>
      <c r="I214" s="34">
        <v>200</v>
      </c>
      <c r="J214" s="49"/>
      <c r="K214" s="104"/>
      <c r="L214" s="105">
        <v>20201118</v>
      </c>
    </row>
    <row r="215" ht="16" customHeight="1" spans="1:12">
      <c r="A215" s="14">
        <v>213</v>
      </c>
      <c r="B215" s="33" t="s">
        <v>10535</v>
      </c>
      <c r="C215" s="34" t="s">
        <v>10943</v>
      </c>
      <c r="D215" s="34" t="s">
        <v>10944</v>
      </c>
      <c r="E215" s="165">
        <v>2020</v>
      </c>
      <c r="F215" s="165">
        <v>2020</v>
      </c>
      <c r="G215" s="35" t="s">
        <v>16</v>
      </c>
      <c r="H215" s="34">
        <v>200</v>
      </c>
      <c r="I215" s="34">
        <v>200</v>
      </c>
      <c r="J215" s="49"/>
      <c r="K215" s="104"/>
      <c r="L215" s="105">
        <v>20201118</v>
      </c>
    </row>
    <row r="216" ht="16" customHeight="1" spans="1:12">
      <c r="A216" s="14">
        <v>214</v>
      </c>
      <c r="B216" s="33" t="s">
        <v>10535</v>
      </c>
      <c r="C216" s="34" t="s">
        <v>10945</v>
      </c>
      <c r="D216" s="34" t="s">
        <v>10946</v>
      </c>
      <c r="E216" s="165">
        <v>2020</v>
      </c>
      <c r="F216" s="165">
        <v>2020</v>
      </c>
      <c r="G216" s="35" t="s">
        <v>16</v>
      </c>
      <c r="H216" s="34">
        <v>200</v>
      </c>
      <c r="I216" s="34">
        <v>200</v>
      </c>
      <c r="J216" s="49"/>
      <c r="K216" s="104"/>
      <c r="L216" s="105">
        <v>20201118</v>
      </c>
    </row>
    <row r="217" ht="16" customHeight="1" spans="1:12">
      <c r="A217" s="14">
        <v>215</v>
      </c>
      <c r="B217" s="33" t="s">
        <v>10535</v>
      </c>
      <c r="C217" s="34" t="s">
        <v>10947</v>
      </c>
      <c r="D217" s="34" t="s">
        <v>10948</v>
      </c>
      <c r="E217" s="165">
        <v>2020</v>
      </c>
      <c r="F217" s="165">
        <v>2020</v>
      </c>
      <c r="G217" s="35" t="s">
        <v>16</v>
      </c>
      <c r="H217" s="34">
        <v>200</v>
      </c>
      <c r="I217" s="34">
        <v>200</v>
      </c>
      <c r="J217" s="49"/>
      <c r="K217" s="104"/>
      <c r="L217" s="105">
        <v>20201118</v>
      </c>
    </row>
    <row r="218" ht="16" customHeight="1" spans="1:12">
      <c r="A218" s="14">
        <v>216</v>
      </c>
      <c r="B218" s="33" t="s">
        <v>10535</v>
      </c>
      <c r="C218" s="34" t="s">
        <v>10793</v>
      </c>
      <c r="D218" s="34" t="s">
        <v>10949</v>
      </c>
      <c r="E218" s="165">
        <v>2020</v>
      </c>
      <c r="F218" s="165">
        <v>2020</v>
      </c>
      <c r="G218" s="35" t="s">
        <v>16</v>
      </c>
      <c r="H218" s="34">
        <v>200</v>
      </c>
      <c r="I218" s="34">
        <v>200</v>
      </c>
      <c r="J218" s="49"/>
      <c r="K218" s="104"/>
      <c r="L218" s="105">
        <v>20201118</v>
      </c>
    </row>
    <row r="219" ht="16" customHeight="1" spans="1:12">
      <c r="A219" s="14">
        <v>217</v>
      </c>
      <c r="B219" s="33" t="s">
        <v>10535</v>
      </c>
      <c r="C219" s="34" t="s">
        <v>10950</v>
      </c>
      <c r="D219" s="34" t="s">
        <v>10951</v>
      </c>
      <c r="E219" s="165">
        <v>2020</v>
      </c>
      <c r="F219" s="165">
        <v>2020</v>
      </c>
      <c r="G219" s="35" t="s">
        <v>16</v>
      </c>
      <c r="H219" s="34">
        <v>200</v>
      </c>
      <c r="I219" s="34">
        <v>200</v>
      </c>
      <c r="J219" s="49"/>
      <c r="K219" s="104"/>
      <c r="L219" s="105">
        <v>20201118</v>
      </c>
    </row>
    <row r="220" ht="16" customHeight="1" spans="1:12">
      <c r="A220" s="14">
        <v>218</v>
      </c>
      <c r="B220" s="33" t="s">
        <v>10535</v>
      </c>
      <c r="C220" s="34" t="s">
        <v>10952</v>
      </c>
      <c r="D220" s="34" t="s">
        <v>10953</v>
      </c>
      <c r="E220" s="165">
        <v>2020</v>
      </c>
      <c r="F220" s="165">
        <v>2020</v>
      </c>
      <c r="G220" s="35" t="s">
        <v>16</v>
      </c>
      <c r="H220" s="34">
        <v>200</v>
      </c>
      <c r="I220" s="34">
        <v>200</v>
      </c>
      <c r="J220" s="49"/>
      <c r="K220" s="104"/>
      <c r="L220" s="105">
        <v>20201118</v>
      </c>
    </row>
    <row r="221" ht="16" customHeight="1" spans="1:12">
      <c r="A221" s="14">
        <v>219</v>
      </c>
      <c r="B221" s="33" t="s">
        <v>10535</v>
      </c>
      <c r="C221" s="34" t="s">
        <v>10954</v>
      </c>
      <c r="D221" s="34" t="s">
        <v>10955</v>
      </c>
      <c r="E221" s="165">
        <v>2020</v>
      </c>
      <c r="F221" s="165">
        <v>2020</v>
      </c>
      <c r="G221" s="35" t="s">
        <v>16</v>
      </c>
      <c r="H221" s="34">
        <v>200</v>
      </c>
      <c r="I221" s="34">
        <v>200</v>
      </c>
      <c r="J221" s="49"/>
      <c r="K221" s="104"/>
      <c r="L221" s="105">
        <v>20201118</v>
      </c>
    </row>
    <row r="222" ht="16" customHeight="1" spans="1:12">
      <c r="A222" s="14">
        <v>220</v>
      </c>
      <c r="B222" s="33" t="s">
        <v>10535</v>
      </c>
      <c r="C222" s="34" t="s">
        <v>10956</v>
      </c>
      <c r="D222" s="34" t="s">
        <v>10957</v>
      </c>
      <c r="E222" s="165">
        <v>2020</v>
      </c>
      <c r="F222" s="165">
        <v>2020</v>
      </c>
      <c r="G222" s="35" t="s">
        <v>16</v>
      </c>
      <c r="H222" s="34">
        <v>200</v>
      </c>
      <c r="I222" s="34">
        <v>200</v>
      </c>
      <c r="J222" s="49"/>
      <c r="K222" s="104"/>
      <c r="L222" s="105">
        <v>20201118</v>
      </c>
    </row>
    <row r="223" ht="16" customHeight="1" spans="1:12">
      <c r="A223" s="14">
        <v>221</v>
      </c>
      <c r="B223" s="33" t="s">
        <v>10535</v>
      </c>
      <c r="C223" s="34" t="s">
        <v>10958</v>
      </c>
      <c r="D223" s="34" t="s">
        <v>10959</v>
      </c>
      <c r="E223" s="165">
        <v>2020</v>
      </c>
      <c r="F223" s="165">
        <v>2020</v>
      </c>
      <c r="G223" s="35" t="s">
        <v>16</v>
      </c>
      <c r="H223" s="34">
        <v>200</v>
      </c>
      <c r="I223" s="34">
        <v>200</v>
      </c>
      <c r="J223" s="49"/>
      <c r="K223" s="104"/>
      <c r="L223" s="105">
        <v>20201118</v>
      </c>
    </row>
    <row r="224" ht="16" customHeight="1" spans="1:12">
      <c r="A224" s="14">
        <v>222</v>
      </c>
      <c r="B224" s="33" t="s">
        <v>10535</v>
      </c>
      <c r="C224" s="34" t="s">
        <v>7098</v>
      </c>
      <c r="D224" s="34" t="s">
        <v>10960</v>
      </c>
      <c r="E224" s="165">
        <v>2020</v>
      </c>
      <c r="F224" s="165">
        <v>2020</v>
      </c>
      <c r="G224" s="35" t="s">
        <v>16</v>
      </c>
      <c r="H224" s="34">
        <v>200</v>
      </c>
      <c r="I224" s="34">
        <v>200</v>
      </c>
      <c r="J224" s="49"/>
      <c r="K224" s="104"/>
      <c r="L224" s="105">
        <v>20201118</v>
      </c>
    </row>
    <row r="225" ht="16" customHeight="1" spans="1:12">
      <c r="A225" s="14">
        <v>223</v>
      </c>
      <c r="B225" s="33" t="s">
        <v>10535</v>
      </c>
      <c r="C225" s="34" t="s">
        <v>2002</v>
      </c>
      <c r="D225" s="34" t="s">
        <v>10961</v>
      </c>
      <c r="E225" s="165">
        <v>2020</v>
      </c>
      <c r="F225" s="165">
        <v>2020</v>
      </c>
      <c r="G225" s="35" t="s">
        <v>16</v>
      </c>
      <c r="H225" s="34">
        <v>200</v>
      </c>
      <c r="I225" s="34">
        <v>200</v>
      </c>
      <c r="J225" s="49"/>
      <c r="K225" s="104"/>
      <c r="L225" s="105">
        <v>20201118</v>
      </c>
    </row>
    <row r="226" ht="16" customHeight="1" spans="1:12">
      <c r="A226" s="14">
        <v>224</v>
      </c>
      <c r="B226" s="33" t="s">
        <v>10535</v>
      </c>
      <c r="C226" s="34" t="s">
        <v>10962</v>
      </c>
      <c r="D226" s="34" t="s">
        <v>10963</v>
      </c>
      <c r="E226" s="165">
        <v>2020</v>
      </c>
      <c r="F226" s="165">
        <v>2020</v>
      </c>
      <c r="G226" s="35" t="s">
        <v>16</v>
      </c>
      <c r="H226" s="34">
        <v>200</v>
      </c>
      <c r="I226" s="34">
        <v>200</v>
      </c>
      <c r="J226" s="49" t="s">
        <v>10667</v>
      </c>
      <c r="K226" s="104"/>
      <c r="L226" s="105">
        <v>20201118</v>
      </c>
    </row>
    <row r="227" ht="16" customHeight="1" spans="1:12">
      <c r="A227" s="14">
        <v>225</v>
      </c>
      <c r="B227" s="33" t="s">
        <v>10535</v>
      </c>
      <c r="C227" s="34" t="s">
        <v>10964</v>
      </c>
      <c r="D227" s="64" t="s">
        <v>10965</v>
      </c>
      <c r="E227" s="165">
        <v>2020</v>
      </c>
      <c r="F227" s="165">
        <v>2020</v>
      </c>
      <c r="G227" s="35" t="s">
        <v>16</v>
      </c>
      <c r="H227" s="34">
        <v>200</v>
      </c>
      <c r="I227" s="34">
        <v>200</v>
      </c>
      <c r="J227" s="49"/>
      <c r="K227" s="104"/>
      <c r="L227" s="105">
        <v>20201118</v>
      </c>
    </row>
    <row r="228" ht="16" customHeight="1" spans="1:12">
      <c r="A228" s="14">
        <v>226</v>
      </c>
      <c r="B228" s="33" t="s">
        <v>10535</v>
      </c>
      <c r="C228" s="34" t="s">
        <v>10966</v>
      </c>
      <c r="D228" s="34" t="s">
        <v>10967</v>
      </c>
      <c r="E228" s="165">
        <v>2020</v>
      </c>
      <c r="F228" s="165">
        <v>2020</v>
      </c>
      <c r="G228" s="35" t="s">
        <v>16</v>
      </c>
      <c r="H228" s="34">
        <v>200</v>
      </c>
      <c r="I228" s="34">
        <v>200</v>
      </c>
      <c r="J228" s="49"/>
      <c r="K228" s="104"/>
      <c r="L228" s="105">
        <v>20201118</v>
      </c>
    </row>
    <row r="229" ht="16" customHeight="1" spans="1:12">
      <c r="A229" s="14">
        <v>227</v>
      </c>
      <c r="B229" s="33" t="s">
        <v>10535</v>
      </c>
      <c r="C229" s="34" t="s">
        <v>10968</v>
      </c>
      <c r="D229" s="34" t="s">
        <v>10969</v>
      </c>
      <c r="E229" s="165">
        <v>2020</v>
      </c>
      <c r="F229" s="165">
        <v>2020</v>
      </c>
      <c r="G229" s="35" t="s">
        <v>16</v>
      </c>
      <c r="H229" s="34">
        <v>200</v>
      </c>
      <c r="I229" s="34">
        <v>200</v>
      </c>
      <c r="J229" s="49"/>
      <c r="K229" s="104"/>
      <c r="L229" s="105">
        <v>20201118</v>
      </c>
    </row>
    <row r="230" ht="16" customHeight="1" spans="1:12">
      <c r="A230" s="14">
        <v>228</v>
      </c>
      <c r="B230" s="33" t="s">
        <v>10535</v>
      </c>
      <c r="C230" s="34" t="s">
        <v>10970</v>
      </c>
      <c r="D230" s="34" t="s">
        <v>10971</v>
      </c>
      <c r="E230" s="165">
        <v>2020</v>
      </c>
      <c r="F230" s="165">
        <v>2020</v>
      </c>
      <c r="G230" s="35" t="s">
        <v>16</v>
      </c>
      <c r="H230" s="34">
        <v>500</v>
      </c>
      <c r="I230" s="34">
        <v>500</v>
      </c>
      <c r="J230" s="49"/>
      <c r="K230" s="104"/>
      <c r="L230" s="105">
        <v>20201118</v>
      </c>
    </row>
    <row r="231" ht="16" customHeight="1" spans="1:12">
      <c r="A231" s="14">
        <v>229</v>
      </c>
      <c r="B231" s="33" t="s">
        <v>10535</v>
      </c>
      <c r="C231" s="34" t="s">
        <v>10972</v>
      </c>
      <c r="D231" s="34" t="s">
        <v>10973</v>
      </c>
      <c r="E231" s="165">
        <v>2020</v>
      </c>
      <c r="F231" s="165">
        <v>2020</v>
      </c>
      <c r="G231" s="35" t="s">
        <v>16</v>
      </c>
      <c r="H231" s="34">
        <v>200</v>
      </c>
      <c r="I231" s="34">
        <v>200</v>
      </c>
      <c r="J231" s="49"/>
      <c r="K231" s="104"/>
      <c r="L231" s="105">
        <v>20201118</v>
      </c>
    </row>
    <row r="232" ht="16" customHeight="1" spans="1:12">
      <c r="A232" s="14">
        <v>230</v>
      </c>
      <c r="B232" s="33" t="s">
        <v>10535</v>
      </c>
      <c r="C232" s="34" t="s">
        <v>5287</v>
      </c>
      <c r="D232" s="34" t="s">
        <v>10974</v>
      </c>
      <c r="E232" s="165">
        <v>2020</v>
      </c>
      <c r="F232" s="165">
        <v>2020</v>
      </c>
      <c r="G232" s="35" t="s">
        <v>16</v>
      </c>
      <c r="H232" s="34">
        <v>200</v>
      </c>
      <c r="I232" s="34">
        <v>200</v>
      </c>
      <c r="J232" s="49"/>
      <c r="K232" s="104"/>
      <c r="L232" s="105">
        <v>20201118</v>
      </c>
    </row>
    <row r="233" ht="16" customHeight="1" spans="1:12">
      <c r="A233" s="14">
        <v>231</v>
      </c>
      <c r="B233" s="33" t="s">
        <v>10535</v>
      </c>
      <c r="C233" s="34" t="s">
        <v>10975</v>
      </c>
      <c r="D233" s="34" t="s">
        <v>10976</v>
      </c>
      <c r="E233" s="165">
        <v>2020</v>
      </c>
      <c r="F233" s="165">
        <v>2020</v>
      </c>
      <c r="G233" s="35" t="s">
        <v>16</v>
      </c>
      <c r="H233" s="34">
        <v>200</v>
      </c>
      <c r="I233" s="34">
        <v>200</v>
      </c>
      <c r="J233" s="49"/>
      <c r="K233" s="104"/>
      <c r="L233" s="105">
        <v>20201118</v>
      </c>
    </row>
    <row r="234" ht="16" customHeight="1" spans="1:12">
      <c r="A234" s="14">
        <v>232</v>
      </c>
      <c r="B234" s="33" t="s">
        <v>10535</v>
      </c>
      <c r="C234" s="34" t="s">
        <v>10977</v>
      </c>
      <c r="D234" s="34" t="s">
        <v>10978</v>
      </c>
      <c r="E234" s="165">
        <v>2020</v>
      </c>
      <c r="F234" s="165">
        <v>2020</v>
      </c>
      <c r="G234" s="35" t="s">
        <v>16</v>
      </c>
      <c r="H234" s="34">
        <v>200</v>
      </c>
      <c r="I234" s="34">
        <v>200</v>
      </c>
      <c r="J234" s="49"/>
      <c r="K234" s="104"/>
      <c r="L234" s="105">
        <v>20201118</v>
      </c>
    </row>
    <row r="235" ht="16" customHeight="1" spans="1:12">
      <c r="A235" s="14">
        <v>233</v>
      </c>
      <c r="B235" s="33" t="s">
        <v>10535</v>
      </c>
      <c r="C235" s="34" t="s">
        <v>10979</v>
      </c>
      <c r="D235" s="34" t="s">
        <v>10980</v>
      </c>
      <c r="E235" s="165">
        <v>2020</v>
      </c>
      <c r="F235" s="165">
        <v>2020</v>
      </c>
      <c r="G235" s="35" t="s">
        <v>16</v>
      </c>
      <c r="H235" s="34">
        <v>200</v>
      </c>
      <c r="I235" s="34">
        <v>200</v>
      </c>
      <c r="J235" s="49"/>
      <c r="K235" s="104"/>
      <c r="L235" s="105">
        <v>20201118</v>
      </c>
    </row>
    <row r="236" ht="16" customHeight="1" spans="1:12">
      <c r="A236" s="14">
        <v>234</v>
      </c>
      <c r="B236" s="33" t="s">
        <v>10535</v>
      </c>
      <c r="C236" s="34" t="s">
        <v>10981</v>
      </c>
      <c r="D236" s="34" t="s">
        <v>10982</v>
      </c>
      <c r="E236" s="165">
        <v>2020</v>
      </c>
      <c r="F236" s="165">
        <v>2020</v>
      </c>
      <c r="G236" s="35" t="s">
        <v>16</v>
      </c>
      <c r="H236" s="34">
        <v>200</v>
      </c>
      <c r="I236" s="34">
        <v>200</v>
      </c>
      <c r="J236" s="49"/>
      <c r="K236" s="104"/>
      <c r="L236" s="105">
        <v>20201118</v>
      </c>
    </row>
    <row r="237" ht="16" customHeight="1" spans="1:12">
      <c r="A237" s="14">
        <v>235</v>
      </c>
      <c r="B237" s="33" t="s">
        <v>10535</v>
      </c>
      <c r="C237" s="34" t="s">
        <v>5133</v>
      </c>
      <c r="D237" s="34" t="s">
        <v>10983</v>
      </c>
      <c r="E237" s="165">
        <v>2020</v>
      </c>
      <c r="F237" s="165">
        <v>2020</v>
      </c>
      <c r="G237" s="35" t="s">
        <v>16</v>
      </c>
      <c r="H237" s="34">
        <v>200</v>
      </c>
      <c r="I237" s="34">
        <v>200</v>
      </c>
      <c r="J237" s="49"/>
      <c r="K237" s="104"/>
      <c r="L237" s="105">
        <v>20201118</v>
      </c>
    </row>
    <row r="238" ht="16" customHeight="1" spans="1:12">
      <c r="A238" s="14">
        <v>236</v>
      </c>
      <c r="B238" s="33" t="s">
        <v>10535</v>
      </c>
      <c r="C238" s="34" t="s">
        <v>1456</v>
      </c>
      <c r="D238" s="34" t="s">
        <v>10984</v>
      </c>
      <c r="E238" s="165">
        <v>2020</v>
      </c>
      <c r="F238" s="165">
        <v>2020</v>
      </c>
      <c r="G238" s="35" t="s">
        <v>16</v>
      </c>
      <c r="H238" s="34">
        <v>200</v>
      </c>
      <c r="I238" s="34">
        <v>200</v>
      </c>
      <c r="J238" s="49"/>
      <c r="K238" s="104"/>
      <c r="L238" s="105">
        <v>20201118</v>
      </c>
    </row>
    <row r="239" ht="16" customHeight="1" spans="1:12">
      <c r="A239" s="14">
        <v>237</v>
      </c>
      <c r="B239" s="33" t="s">
        <v>10535</v>
      </c>
      <c r="C239" s="34" t="s">
        <v>10985</v>
      </c>
      <c r="D239" s="34" t="s">
        <v>10986</v>
      </c>
      <c r="E239" s="165">
        <v>2020</v>
      </c>
      <c r="F239" s="165">
        <v>2020</v>
      </c>
      <c r="G239" s="35" t="s">
        <v>16</v>
      </c>
      <c r="H239" s="34">
        <v>200</v>
      </c>
      <c r="I239" s="34">
        <v>200</v>
      </c>
      <c r="J239" s="49"/>
      <c r="K239" s="104"/>
      <c r="L239" s="105">
        <v>20201118</v>
      </c>
    </row>
    <row r="240" ht="16" customHeight="1" spans="1:12">
      <c r="A240" s="14">
        <v>238</v>
      </c>
      <c r="B240" s="33" t="s">
        <v>10535</v>
      </c>
      <c r="C240" s="34" t="s">
        <v>10987</v>
      </c>
      <c r="D240" s="34" t="s">
        <v>10988</v>
      </c>
      <c r="E240" s="165">
        <v>2020</v>
      </c>
      <c r="F240" s="165">
        <v>2020</v>
      </c>
      <c r="G240" s="35" t="s">
        <v>16</v>
      </c>
      <c r="H240" s="34">
        <v>200</v>
      </c>
      <c r="I240" s="34">
        <v>200</v>
      </c>
      <c r="J240" s="49"/>
      <c r="K240" s="104"/>
      <c r="L240" s="105">
        <v>20201118</v>
      </c>
    </row>
    <row r="241" ht="16" customHeight="1" spans="1:12">
      <c r="A241" s="14">
        <v>239</v>
      </c>
      <c r="B241" s="33" t="s">
        <v>10535</v>
      </c>
      <c r="C241" s="34" t="s">
        <v>10989</v>
      </c>
      <c r="D241" s="64" t="s">
        <v>10990</v>
      </c>
      <c r="E241" s="165">
        <v>2020</v>
      </c>
      <c r="F241" s="165">
        <v>2020</v>
      </c>
      <c r="G241" s="35" t="s">
        <v>16</v>
      </c>
      <c r="H241" s="34">
        <v>200</v>
      </c>
      <c r="I241" s="34">
        <v>200</v>
      </c>
      <c r="J241" s="49"/>
      <c r="K241" s="104"/>
      <c r="L241" s="105">
        <v>20201118</v>
      </c>
    </row>
    <row r="242" ht="16" customHeight="1" spans="1:12">
      <c r="A242" s="14">
        <v>240</v>
      </c>
      <c r="B242" s="33" t="s">
        <v>10535</v>
      </c>
      <c r="C242" s="34" t="s">
        <v>10991</v>
      </c>
      <c r="D242" s="34" t="s">
        <v>10992</v>
      </c>
      <c r="E242" s="165">
        <v>2020</v>
      </c>
      <c r="F242" s="165">
        <v>2020</v>
      </c>
      <c r="G242" s="35" t="s">
        <v>16</v>
      </c>
      <c r="H242" s="34">
        <v>200</v>
      </c>
      <c r="I242" s="34">
        <v>200</v>
      </c>
      <c r="J242" s="49"/>
      <c r="K242" s="104"/>
      <c r="L242" s="105">
        <v>20201118</v>
      </c>
    </row>
    <row r="243" ht="16" customHeight="1" spans="1:12">
      <c r="A243" s="14">
        <v>241</v>
      </c>
      <c r="B243" s="33" t="s">
        <v>10535</v>
      </c>
      <c r="C243" s="34" t="s">
        <v>10993</v>
      </c>
      <c r="D243" s="34" t="s">
        <v>10994</v>
      </c>
      <c r="E243" s="165">
        <v>2020</v>
      </c>
      <c r="F243" s="165">
        <v>2020</v>
      </c>
      <c r="G243" s="35" t="s">
        <v>16</v>
      </c>
      <c r="H243" s="34">
        <v>200</v>
      </c>
      <c r="I243" s="34">
        <v>200</v>
      </c>
      <c r="J243" s="49"/>
      <c r="K243" s="104"/>
      <c r="L243" s="105">
        <v>20201118</v>
      </c>
    </row>
    <row r="244" ht="16" customHeight="1" spans="1:12">
      <c r="A244" s="14">
        <v>242</v>
      </c>
      <c r="B244" s="33" t="s">
        <v>10535</v>
      </c>
      <c r="C244" s="34" t="s">
        <v>10995</v>
      </c>
      <c r="D244" s="34" t="s">
        <v>10996</v>
      </c>
      <c r="E244" s="165">
        <v>2020</v>
      </c>
      <c r="F244" s="165">
        <v>2020</v>
      </c>
      <c r="G244" s="35" t="s">
        <v>16</v>
      </c>
      <c r="H244" s="34">
        <v>200</v>
      </c>
      <c r="I244" s="34">
        <v>200</v>
      </c>
      <c r="J244" s="49"/>
      <c r="K244" s="104"/>
      <c r="L244" s="105">
        <v>20201118</v>
      </c>
    </row>
    <row r="245" ht="16" customHeight="1" spans="1:12">
      <c r="A245" s="14">
        <v>243</v>
      </c>
      <c r="B245" s="33" t="s">
        <v>10535</v>
      </c>
      <c r="C245" s="34" t="s">
        <v>10997</v>
      </c>
      <c r="D245" s="34" t="s">
        <v>10998</v>
      </c>
      <c r="E245" s="165">
        <v>2020</v>
      </c>
      <c r="F245" s="165">
        <v>2020</v>
      </c>
      <c r="G245" s="35" t="s">
        <v>16</v>
      </c>
      <c r="H245" s="34">
        <v>200</v>
      </c>
      <c r="I245" s="34">
        <v>200</v>
      </c>
      <c r="J245" s="49"/>
      <c r="K245" s="104"/>
      <c r="L245" s="105">
        <v>20201118</v>
      </c>
    </row>
    <row r="246" ht="16" customHeight="1" spans="1:12">
      <c r="A246" s="14">
        <v>244</v>
      </c>
      <c r="B246" s="33" t="s">
        <v>10535</v>
      </c>
      <c r="C246" s="34" t="s">
        <v>10999</v>
      </c>
      <c r="D246" s="34" t="s">
        <v>11000</v>
      </c>
      <c r="E246" s="165">
        <v>2020</v>
      </c>
      <c r="F246" s="165">
        <v>2020</v>
      </c>
      <c r="G246" s="35" t="s">
        <v>16</v>
      </c>
      <c r="H246" s="34">
        <v>200</v>
      </c>
      <c r="I246" s="34">
        <v>200</v>
      </c>
      <c r="J246" s="49"/>
      <c r="K246" s="104"/>
      <c r="L246" s="105">
        <v>20201118</v>
      </c>
    </row>
    <row r="247" ht="16" customHeight="1" spans="1:12">
      <c r="A247" s="14">
        <v>245</v>
      </c>
      <c r="B247" s="33" t="s">
        <v>10535</v>
      </c>
      <c r="C247" s="34" t="s">
        <v>11001</v>
      </c>
      <c r="D247" s="34" t="s">
        <v>11002</v>
      </c>
      <c r="E247" s="165">
        <v>2020</v>
      </c>
      <c r="F247" s="165">
        <v>2020</v>
      </c>
      <c r="G247" s="35" t="s">
        <v>16</v>
      </c>
      <c r="H247" s="34">
        <v>200</v>
      </c>
      <c r="I247" s="34">
        <v>200</v>
      </c>
      <c r="J247" s="49"/>
      <c r="K247" s="104"/>
      <c r="L247" s="105">
        <v>20201118</v>
      </c>
    </row>
    <row r="248" ht="16" customHeight="1" spans="1:12">
      <c r="A248" s="14">
        <v>246</v>
      </c>
      <c r="B248" s="33" t="s">
        <v>10535</v>
      </c>
      <c r="C248" s="34" t="s">
        <v>11003</v>
      </c>
      <c r="D248" s="34" t="s">
        <v>11004</v>
      </c>
      <c r="E248" s="165">
        <v>2020</v>
      </c>
      <c r="F248" s="165">
        <v>2020</v>
      </c>
      <c r="G248" s="35" t="s">
        <v>16</v>
      </c>
      <c r="H248" s="34">
        <v>200</v>
      </c>
      <c r="I248" s="34">
        <v>200</v>
      </c>
      <c r="J248" s="49"/>
      <c r="K248" s="104"/>
      <c r="L248" s="105">
        <v>20201118</v>
      </c>
    </row>
    <row r="249" ht="16" customHeight="1" spans="1:12">
      <c r="A249" s="14">
        <v>247</v>
      </c>
      <c r="B249" s="33" t="s">
        <v>10535</v>
      </c>
      <c r="C249" s="34" t="s">
        <v>11005</v>
      </c>
      <c r="D249" s="64" t="s">
        <v>11006</v>
      </c>
      <c r="E249" s="165">
        <v>2020</v>
      </c>
      <c r="F249" s="165">
        <v>2020</v>
      </c>
      <c r="G249" s="35" t="s">
        <v>16</v>
      </c>
      <c r="H249" s="34">
        <v>500</v>
      </c>
      <c r="I249" s="34">
        <v>500</v>
      </c>
      <c r="J249" s="49"/>
      <c r="K249" s="104"/>
      <c r="L249" s="105">
        <v>20201118</v>
      </c>
    </row>
    <row r="250" ht="16" customHeight="1" spans="1:12">
      <c r="A250" s="14">
        <v>248</v>
      </c>
      <c r="B250" s="33" t="s">
        <v>10535</v>
      </c>
      <c r="C250" s="34" t="s">
        <v>11007</v>
      </c>
      <c r="D250" s="64" t="s">
        <v>11008</v>
      </c>
      <c r="E250" s="165">
        <v>2020</v>
      </c>
      <c r="F250" s="165">
        <v>2020</v>
      </c>
      <c r="G250" s="35" t="s">
        <v>16</v>
      </c>
      <c r="H250" s="34">
        <v>200</v>
      </c>
      <c r="I250" s="34">
        <v>200</v>
      </c>
      <c r="J250" s="49"/>
      <c r="K250" s="104"/>
      <c r="L250" s="105">
        <v>20201118</v>
      </c>
    </row>
    <row r="251" ht="16" customHeight="1" spans="1:12">
      <c r="A251" s="14">
        <v>249</v>
      </c>
      <c r="B251" s="33" t="s">
        <v>10535</v>
      </c>
      <c r="C251" s="34" t="s">
        <v>3150</v>
      </c>
      <c r="D251" s="34" t="s">
        <v>11009</v>
      </c>
      <c r="E251" s="165">
        <v>2020</v>
      </c>
      <c r="F251" s="165">
        <v>2020</v>
      </c>
      <c r="G251" s="35" t="s">
        <v>16</v>
      </c>
      <c r="H251" s="34">
        <v>200</v>
      </c>
      <c r="I251" s="34">
        <v>200</v>
      </c>
      <c r="J251" s="49" t="s">
        <v>10667</v>
      </c>
      <c r="K251" s="104"/>
      <c r="L251" s="105">
        <v>20201118</v>
      </c>
    </row>
    <row r="252" ht="16" customHeight="1" spans="1:12">
      <c r="A252" s="14">
        <v>250</v>
      </c>
      <c r="B252" s="33" t="s">
        <v>10535</v>
      </c>
      <c r="C252" s="34" t="s">
        <v>11010</v>
      </c>
      <c r="D252" s="34" t="s">
        <v>11011</v>
      </c>
      <c r="E252" s="165">
        <v>2020</v>
      </c>
      <c r="F252" s="165">
        <v>2020</v>
      </c>
      <c r="G252" s="35" t="s">
        <v>16</v>
      </c>
      <c r="H252" s="34">
        <v>200</v>
      </c>
      <c r="I252" s="34">
        <v>200</v>
      </c>
      <c r="J252" s="49"/>
      <c r="K252" s="104"/>
      <c r="L252" s="105">
        <v>20201118</v>
      </c>
    </row>
    <row r="253" ht="16" customHeight="1" spans="1:12">
      <c r="A253" s="14">
        <v>251</v>
      </c>
      <c r="B253" s="33" t="s">
        <v>10535</v>
      </c>
      <c r="C253" s="34" t="s">
        <v>11012</v>
      </c>
      <c r="D253" s="34" t="s">
        <v>11013</v>
      </c>
      <c r="E253" s="165">
        <v>2020</v>
      </c>
      <c r="F253" s="165">
        <v>2020</v>
      </c>
      <c r="G253" s="35" t="s">
        <v>16</v>
      </c>
      <c r="H253" s="34">
        <v>200</v>
      </c>
      <c r="I253" s="34">
        <v>200</v>
      </c>
      <c r="J253" s="49"/>
      <c r="K253" s="104"/>
      <c r="L253" s="105">
        <v>20201118</v>
      </c>
    </row>
    <row r="254" ht="16" customHeight="1" spans="1:12">
      <c r="A254" s="14">
        <v>252</v>
      </c>
      <c r="B254" s="33" t="s">
        <v>10535</v>
      </c>
      <c r="C254" s="34" t="s">
        <v>11014</v>
      </c>
      <c r="D254" s="34" t="s">
        <v>11015</v>
      </c>
      <c r="E254" s="165">
        <v>2020</v>
      </c>
      <c r="F254" s="165">
        <v>2020</v>
      </c>
      <c r="G254" s="35" t="s">
        <v>16</v>
      </c>
      <c r="H254" s="34">
        <v>200</v>
      </c>
      <c r="I254" s="34">
        <v>200</v>
      </c>
      <c r="J254" s="49"/>
      <c r="K254" s="104"/>
      <c r="L254" s="105">
        <v>20201118</v>
      </c>
    </row>
    <row r="255" ht="16" customHeight="1" spans="1:12">
      <c r="A255" s="14">
        <v>253</v>
      </c>
      <c r="B255" s="33" t="s">
        <v>10535</v>
      </c>
      <c r="C255" s="34" t="s">
        <v>11016</v>
      </c>
      <c r="D255" s="34" t="s">
        <v>11017</v>
      </c>
      <c r="E255" s="165">
        <v>2020</v>
      </c>
      <c r="F255" s="165">
        <v>2020</v>
      </c>
      <c r="G255" s="35" t="s">
        <v>16</v>
      </c>
      <c r="H255" s="34">
        <v>200</v>
      </c>
      <c r="I255" s="34">
        <v>200</v>
      </c>
      <c r="J255" s="49"/>
      <c r="K255" s="104"/>
      <c r="L255" s="105">
        <v>20201118</v>
      </c>
    </row>
    <row r="256" ht="16" customHeight="1" spans="1:12">
      <c r="A256" s="14">
        <v>254</v>
      </c>
      <c r="B256" s="33" t="s">
        <v>10535</v>
      </c>
      <c r="C256" s="34" t="s">
        <v>11018</v>
      </c>
      <c r="D256" s="34" t="s">
        <v>11019</v>
      </c>
      <c r="E256" s="165">
        <v>2020</v>
      </c>
      <c r="F256" s="165">
        <v>2020</v>
      </c>
      <c r="G256" s="35" t="s">
        <v>16</v>
      </c>
      <c r="H256" s="34">
        <v>200</v>
      </c>
      <c r="I256" s="34">
        <v>200</v>
      </c>
      <c r="J256" s="49"/>
      <c r="K256" s="104"/>
      <c r="L256" s="105">
        <v>20201118</v>
      </c>
    </row>
    <row r="257" ht="16" customHeight="1" spans="1:12">
      <c r="A257" s="14">
        <v>255</v>
      </c>
      <c r="B257" s="33" t="s">
        <v>10535</v>
      </c>
      <c r="C257" s="34" t="s">
        <v>11020</v>
      </c>
      <c r="D257" s="64" t="s">
        <v>11021</v>
      </c>
      <c r="E257" s="165">
        <v>2020</v>
      </c>
      <c r="F257" s="165">
        <v>2020</v>
      </c>
      <c r="G257" s="35" t="s">
        <v>16</v>
      </c>
      <c r="H257" s="34">
        <v>200</v>
      </c>
      <c r="I257" s="34">
        <v>200</v>
      </c>
      <c r="J257" s="49"/>
      <c r="K257" s="104"/>
      <c r="L257" s="105">
        <v>20201118</v>
      </c>
    </row>
    <row r="258" ht="16" customHeight="1" spans="1:12">
      <c r="A258" s="14">
        <v>256</v>
      </c>
      <c r="B258" s="33" t="s">
        <v>10535</v>
      </c>
      <c r="C258" s="34" t="s">
        <v>11022</v>
      </c>
      <c r="D258" s="34" t="s">
        <v>11023</v>
      </c>
      <c r="E258" s="165">
        <v>2020</v>
      </c>
      <c r="F258" s="165">
        <v>2020</v>
      </c>
      <c r="G258" s="35" t="s">
        <v>16</v>
      </c>
      <c r="H258" s="34">
        <v>200</v>
      </c>
      <c r="I258" s="34">
        <v>200</v>
      </c>
      <c r="J258" s="49"/>
      <c r="K258" s="104"/>
      <c r="L258" s="105">
        <v>20201118</v>
      </c>
    </row>
    <row r="259" ht="16" customHeight="1" spans="1:12">
      <c r="A259" s="14">
        <v>257</v>
      </c>
      <c r="B259" s="33" t="s">
        <v>10535</v>
      </c>
      <c r="C259" s="34" t="s">
        <v>11024</v>
      </c>
      <c r="D259" s="34" t="s">
        <v>11025</v>
      </c>
      <c r="E259" s="165">
        <v>2020</v>
      </c>
      <c r="F259" s="165">
        <v>2020</v>
      </c>
      <c r="G259" s="35" t="s">
        <v>16</v>
      </c>
      <c r="H259" s="34">
        <v>500</v>
      </c>
      <c r="I259" s="34">
        <v>500</v>
      </c>
      <c r="J259" s="49"/>
      <c r="K259" s="104"/>
      <c r="L259" s="105">
        <v>20201118</v>
      </c>
    </row>
    <row r="260" ht="16" customHeight="1" spans="1:12">
      <c r="A260" s="14">
        <v>258</v>
      </c>
      <c r="B260" s="33" t="s">
        <v>10535</v>
      </c>
      <c r="C260" s="34" t="s">
        <v>11026</v>
      </c>
      <c r="D260" s="34" t="s">
        <v>11027</v>
      </c>
      <c r="E260" s="165">
        <v>2020</v>
      </c>
      <c r="F260" s="165">
        <v>2020</v>
      </c>
      <c r="G260" s="35" t="s">
        <v>16</v>
      </c>
      <c r="H260" s="34">
        <v>500</v>
      </c>
      <c r="I260" s="34">
        <v>500</v>
      </c>
      <c r="J260" s="49"/>
      <c r="K260" s="104"/>
      <c r="L260" s="105">
        <v>20201118</v>
      </c>
    </row>
    <row r="261" ht="16" customHeight="1" spans="1:12">
      <c r="A261" s="14">
        <v>259</v>
      </c>
      <c r="B261" s="33" t="s">
        <v>10535</v>
      </c>
      <c r="C261" s="34" t="s">
        <v>5273</v>
      </c>
      <c r="D261" s="34" t="s">
        <v>11028</v>
      </c>
      <c r="E261" s="165">
        <v>2020</v>
      </c>
      <c r="F261" s="165">
        <v>2020</v>
      </c>
      <c r="G261" s="35" t="s">
        <v>16</v>
      </c>
      <c r="H261" s="34">
        <v>200</v>
      </c>
      <c r="I261" s="34">
        <v>200</v>
      </c>
      <c r="J261" s="49"/>
      <c r="K261" s="104"/>
      <c r="L261" s="105">
        <v>20201118</v>
      </c>
    </row>
    <row r="262" ht="16" customHeight="1" spans="1:12">
      <c r="A262" s="14">
        <v>260</v>
      </c>
      <c r="B262" s="33" t="s">
        <v>10535</v>
      </c>
      <c r="C262" s="34" t="s">
        <v>8236</v>
      </c>
      <c r="D262" s="34" t="s">
        <v>11029</v>
      </c>
      <c r="E262" s="165">
        <v>2020</v>
      </c>
      <c r="F262" s="165">
        <v>2020</v>
      </c>
      <c r="G262" s="35" t="s">
        <v>16</v>
      </c>
      <c r="H262" s="34">
        <v>200</v>
      </c>
      <c r="I262" s="34">
        <v>200</v>
      </c>
      <c r="J262" s="49"/>
      <c r="K262" s="104"/>
      <c r="L262" s="105">
        <v>20201118</v>
      </c>
    </row>
    <row r="263" ht="16" customHeight="1" spans="1:12">
      <c r="A263" s="14">
        <v>261</v>
      </c>
      <c r="B263" s="33" t="s">
        <v>10535</v>
      </c>
      <c r="C263" s="34" t="s">
        <v>11030</v>
      </c>
      <c r="D263" s="34" t="s">
        <v>11031</v>
      </c>
      <c r="E263" s="165">
        <v>2020</v>
      </c>
      <c r="F263" s="165">
        <v>2020</v>
      </c>
      <c r="G263" s="35" t="s">
        <v>16</v>
      </c>
      <c r="H263" s="34">
        <v>200</v>
      </c>
      <c r="I263" s="34">
        <v>200</v>
      </c>
      <c r="J263" s="49"/>
      <c r="K263" s="104"/>
      <c r="L263" s="105">
        <v>20201118</v>
      </c>
    </row>
    <row r="264" ht="16" customHeight="1" spans="1:12">
      <c r="A264" s="14">
        <v>262</v>
      </c>
      <c r="B264" s="33" t="s">
        <v>10535</v>
      </c>
      <c r="C264" s="34" t="s">
        <v>11032</v>
      </c>
      <c r="D264" s="34" t="s">
        <v>11033</v>
      </c>
      <c r="E264" s="165">
        <v>2020</v>
      </c>
      <c r="F264" s="165">
        <v>2020</v>
      </c>
      <c r="G264" s="35" t="s">
        <v>16</v>
      </c>
      <c r="H264" s="34">
        <v>200</v>
      </c>
      <c r="I264" s="34">
        <v>200</v>
      </c>
      <c r="J264" s="49"/>
      <c r="K264" s="104"/>
      <c r="L264" s="105">
        <v>20201118</v>
      </c>
    </row>
    <row r="265" ht="16" customHeight="1" spans="1:12">
      <c r="A265" s="14">
        <v>263</v>
      </c>
      <c r="B265" s="33" t="s">
        <v>10535</v>
      </c>
      <c r="C265" s="34" t="s">
        <v>11034</v>
      </c>
      <c r="D265" s="34" t="s">
        <v>11035</v>
      </c>
      <c r="E265" s="165">
        <v>2020</v>
      </c>
      <c r="F265" s="165">
        <v>2020</v>
      </c>
      <c r="G265" s="35" t="s">
        <v>16</v>
      </c>
      <c r="H265" s="34">
        <v>200</v>
      </c>
      <c r="I265" s="34">
        <v>200</v>
      </c>
      <c r="J265" s="49"/>
      <c r="K265" s="104"/>
      <c r="L265" s="105">
        <v>20201118</v>
      </c>
    </row>
    <row r="266" ht="16" customHeight="1" spans="1:12">
      <c r="A266" s="14">
        <v>264</v>
      </c>
      <c r="B266" s="33" t="s">
        <v>10535</v>
      </c>
      <c r="C266" s="34" t="s">
        <v>8007</v>
      </c>
      <c r="D266" s="34" t="s">
        <v>11036</v>
      </c>
      <c r="E266" s="165">
        <v>2020</v>
      </c>
      <c r="F266" s="165">
        <v>2020</v>
      </c>
      <c r="G266" s="35" t="s">
        <v>16</v>
      </c>
      <c r="H266" s="34">
        <v>200</v>
      </c>
      <c r="I266" s="34">
        <v>200</v>
      </c>
      <c r="J266" s="49"/>
      <c r="K266" s="104"/>
      <c r="L266" s="105">
        <v>20201118</v>
      </c>
    </row>
    <row r="267" ht="16" customHeight="1" spans="1:12">
      <c r="A267" s="14">
        <v>265</v>
      </c>
      <c r="B267" s="33" t="s">
        <v>10535</v>
      </c>
      <c r="C267" s="34" t="s">
        <v>11037</v>
      </c>
      <c r="D267" s="34" t="s">
        <v>11038</v>
      </c>
      <c r="E267" s="165">
        <v>2020</v>
      </c>
      <c r="F267" s="165">
        <v>2020</v>
      </c>
      <c r="G267" s="35" t="s">
        <v>16</v>
      </c>
      <c r="H267" s="34">
        <v>200</v>
      </c>
      <c r="I267" s="34">
        <v>200</v>
      </c>
      <c r="J267" s="49"/>
      <c r="K267" s="104"/>
      <c r="L267" s="105">
        <v>20201118</v>
      </c>
    </row>
    <row r="268" ht="16" customHeight="1" spans="1:12">
      <c r="A268" s="14">
        <v>266</v>
      </c>
      <c r="B268" s="33" t="s">
        <v>10535</v>
      </c>
      <c r="C268" s="34" t="s">
        <v>11039</v>
      </c>
      <c r="D268" s="34" t="s">
        <v>11040</v>
      </c>
      <c r="E268" s="165">
        <v>2020</v>
      </c>
      <c r="F268" s="165">
        <v>2020</v>
      </c>
      <c r="G268" s="35" t="s">
        <v>16</v>
      </c>
      <c r="H268" s="34">
        <v>200</v>
      </c>
      <c r="I268" s="34">
        <v>200</v>
      </c>
      <c r="J268" s="49"/>
      <c r="K268" s="104"/>
      <c r="L268" s="105">
        <v>20201118</v>
      </c>
    </row>
    <row r="269" ht="16" customHeight="1" spans="1:12">
      <c r="A269" s="14">
        <v>267</v>
      </c>
      <c r="B269" s="33" t="s">
        <v>10535</v>
      </c>
      <c r="C269" s="34" t="s">
        <v>11041</v>
      </c>
      <c r="D269" s="34" t="s">
        <v>11042</v>
      </c>
      <c r="E269" s="165">
        <v>2020</v>
      </c>
      <c r="F269" s="165">
        <v>2020</v>
      </c>
      <c r="G269" s="35" t="s">
        <v>16</v>
      </c>
      <c r="H269" s="34">
        <v>200</v>
      </c>
      <c r="I269" s="34">
        <v>200</v>
      </c>
      <c r="J269" s="49"/>
      <c r="K269" s="104"/>
      <c r="L269" s="105">
        <v>20201118</v>
      </c>
    </row>
    <row r="270" ht="16" customHeight="1" spans="1:12">
      <c r="A270" s="14">
        <v>268</v>
      </c>
      <c r="B270" s="33" t="s">
        <v>10535</v>
      </c>
      <c r="C270" s="34" t="s">
        <v>11043</v>
      </c>
      <c r="D270" s="34" t="s">
        <v>11044</v>
      </c>
      <c r="E270" s="165">
        <v>2020</v>
      </c>
      <c r="F270" s="165">
        <v>2020</v>
      </c>
      <c r="G270" s="35" t="s">
        <v>16</v>
      </c>
      <c r="H270" s="34">
        <v>200</v>
      </c>
      <c r="I270" s="34">
        <v>200</v>
      </c>
      <c r="J270" s="49"/>
      <c r="K270" s="104"/>
      <c r="L270" s="105">
        <v>20201118</v>
      </c>
    </row>
    <row r="271" ht="16" customHeight="1" spans="1:12">
      <c r="A271" s="14">
        <v>269</v>
      </c>
      <c r="B271" s="33" t="s">
        <v>10535</v>
      </c>
      <c r="C271" s="34" t="s">
        <v>11045</v>
      </c>
      <c r="D271" s="34" t="s">
        <v>11046</v>
      </c>
      <c r="E271" s="165">
        <v>2020</v>
      </c>
      <c r="F271" s="165">
        <v>2020</v>
      </c>
      <c r="G271" s="35" t="s">
        <v>16</v>
      </c>
      <c r="H271" s="34">
        <v>200</v>
      </c>
      <c r="I271" s="34">
        <v>200</v>
      </c>
      <c r="J271" s="49"/>
      <c r="K271" s="104"/>
      <c r="L271" s="105">
        <v>20201118</v>
      </c>
    </row>
    <row r="272" ht="16" customHeight="1" spans="1:12">
      <c r="A272" s="14">
        <v>270</v>
      </c>
      <c r="B272" s="33" t="s">
        <v>10535</v>
      </c>
      <c r="C272" s="34" t="s">
        <v>11047</v>
      </c>
      <c r="D272" s="34" t="s">
        <v>11048</v>
      </c>
      <c r="E272" s="165">
        <v>2020</v>
      </c>
      <c r="F272" s="165">
        <v>2020</v>
      </c>
      <c r="G272" s="35" t="s">
        <v>16</v>
      </c>
      <c r="H272" s="34">
        <v>500</v>
      </c>
      <c r="I272" s="34">
        <v>500</v>
      </c>
      <c r="J272" s="49"/>
      <c r="K272" s="104"/>
      <c r="L272" s="105">
        <v>20201118</v>
      </c>
    </row>
    <row r="273" ht="16" customHeight="1" spans="1:12">
      <c r="A273" s="14">
        <v>271</v>
      </c>
      <c r="B273" s="33" t="s">
        <v>10535</v>
      </c>
      <c r="C273" s="34" t="s">
        <v>11049</v>
      </c>
      <c r="D273" s="34" t="s">
        <v>11050</v>
      </c>
      <c r="E273" s="165">
        <v>2020</v>
      </c>
      <c r="F273" s="165">
        <v>2020</v>
      </c>
      <c r="G273" s="35" t="s">
        <v>16</v>
      </c>
      <c r="H273" s="34">
        <v>200</v>
      </c>
      <c r="I273" s="34">
        <v>200</v>
      </c>
      <c r="J273" s="49"/>
      <c r="K273" s="104"/>
      <c r="L273" s="105">
        <v>20201118</v>
      </c>
    </row>
    <row r="274" ht="16" customHeight="1" spans="1:12">
      <c r="A274" s="14">
        <v>272</v>
      </c>
      <c r="B274" s="33" t="s">
        <v>10535</v>
      </c>
      <c r="C274" s="34" t="s">
        <v>11051</v>
      </c>
      <c r="D274" s="34" t="s">
        <v>11052</v>
      </c>
      <c r="E274" s="165">
        <v>2020</v>
      </c>
      <c r="F274" s="165">
        <v>2020</v>
      </c>
      <c r="G274" s="35" t="s">
        <v>16</v>
      </c>
      <c r="H274" s="34">
        <v>500</v>
      </c>
      <c r="I274" s="34">
        <v>500</v>
      </c>
      <c r="J274" s="49"/>
      <c r="K274" s="104"/>
      <c r="L274" s="105">
        <v>20201118</v>
      </c>
    </row>
    <row r="275" ht="16" customHeight="1" spans="1:12">
      <c r="A275" s="14">
        <v>273</v>
      </c>
      <c r="B275" s="33" t="s">
        <v>10535</v>
      </c>
      <c r="C275" s="34" t="s">
        <v>11053</v>
      </c>
      <c r="D275" s="34" t="s">
        <v>11054</v>
      </c>
      <c r="E275" s="165">
        <v>2020</v>
      </c>
      <c r="F275" s="165">
        <v>2020</v>
      </c>
      <c r="G275" s="35" t="s">
        <v>16</v>
      </c>
      <c r="H275" s="34">
        <v>200</v>
      </c>
      <c r="I275" s="34">
        <v>200</v>
      </c>
      <c r="J275" s="49"/>
      <c r="K275" s="104"/>
      <c r="L275" s="105">
        <v>20201118</v>
      </c>
    </row>
    <row r="276" ht="16" customHeight="1" spans="1:12">
      <c r="A276" s="14">
        <v>274</v>
      </c>
      <c r="B276" s="33" t="s">
        <v>10535</v>
      </c>
      <c r="C276" s="34" t="s">
        <v>11055</v>
      </c>
      <c r="D276" s="34" t="s">
        <v>11056</v>
      </c>
      <c r="E276" s="165">
        <v>2020</v>
      </c>
      <c r="F276" s="165">
        <v>2020</v>
      </c>
      <c r="G276" s="35" t="s">
        <v>16</v>
      </c>
      <c r="H276" s="34">
        <v>200</v>
      </c>
      <c r="I276" s="34">
        <v>200</v>
      </c>
      <c r="J276" s="49"/>
      <c r="K276" s="104"/>
      <c r="L276" s="105">
        <v>20201118</v>
      </c>
    </row>
    <row r="277" ht="16" customHeight="1" spans="1:12">
      <c r="A277" s="14">
        <v>275</v>
      </c>
      <c r="B277" s="33" t="s">
        <v>10535</v>
      </c>
      <c r="C277" s="34" t="s">
        <v>11057</v>
      </c>
      <c r="D277" s="34" t="s">
        <v>11058</v>
      </c>
      <c r="E277" s="165">
        <v>2020</v>
      </c>
      <c r="F277" s="165">
        <v>2020</v>
      </c>
      <c r="G277" s="35" t="s">
        <v>16</v>
      </c>
      <c r="H277" s="34">
        <v>200</v>
      </c>
      <c r="I277" s="34">
        <v>200</v>
      </c>
      <c r="J277" s="49"/>
      <c r="K277" s="104"/>
      <c r="L277" s="105">
        <v>20201118</v>
      </c>
    </row>
    <row r="278" ht="16" customHeight="1" spans="1:12">
      <c r="A278" s="14">
        <v>276</v>
      </c>
      <c r="B278" s="33" t="s">
        <v>10535</v>
      </c>
      <c r="C278" s="34" t="s">
        <v>11059</v>
      </c>
      <c r="D278" s="34" t="s">
        <v>11060</v>
      </c>
      <c r="E278" s="165">
        <v>2020</v>
      </c>
      <c r="F278" s="165">
        <v>2020</v>
      </c>
      <c r="G278" s="35" t="s">
        <v>16</v>
      </c>
      <c r="H278" s="34">
        <v>200</v>
      </c>
      <c r="I278" s="34">
        <v>200</v>
      </c>
      <c r="J278" s="49"/>
      <c r="K278" s="104"/>
      <c r="L278" s="105">
        <v>20201118</v>
      </c>
    </row>
    <row r="279" ht="16" customHeight="1" spans="1:12">
      <c r="A279" s="14">
        <v>277</v>
      </c>
      <c r="B279" s="33" t="s">
        <v>10535</v>
      </c>
      <c r="C279" s="34" t="s">
        <v>11061</v>
      </c>
      <c r="D279" s="34" t="s">
        <v>11062</v>
      </c>
      <c r="E279" s="165">
        <v>2020</v>
      </c>
      <c r="F279" s="165">
        <v>2020</v>
      </c>
      <c r="G279" s="35" t="s">
        <v>16</v>
      </c>
      <c r="H279" s="34">
        <v>200</v>
      </c>
      <c r="I279" s="34">
        <v>200</v>
      </c>
      <c r="J279" s="49"/>
      <c r="K279" s="104"/>
      <c r="L279" s="105">
        <v>20201118</v>
      </c>
    </row>
    <row r="280" ht="16" customHeight="1" spans="1:12">
      <c r="A280" s="14">
        <v>278</v>
      </c>
      <c r="B280" s="33" t="s">
        <v>10535</v>
      </c>
      <c r="C280" s="34" t="s">
        <v>11063</v>
      </c>
      <c r="D280" s="34" t="s">
        <v>11064</v>
      </c>
      <c r="E280" s="165">
        <v>2020</v>
      </c>
      <c r="F280" s="165">
        <v>2020</v>
      </c>
      <c r="G280" s="35" t="s">
        <v>16</v>
      </c>
      <c r="H280" s="34">
        <v>1000</v>
      </c>
      <c r="I280" s="34">
        <v>1000</v>
      </c>
      <c r="J280" s="49"/>
      <c r="K280" s="104"/>
      <c r="L280" s="105">
        <v>20201118</v>
      </c>
    </row>
    <row r="281" ht="16" customHeight="1" spans="1:12">
      <c r="A281" s="14">
        <v>279</v>
      </c>
      <c r="B281" s="33" t="s">
        <v>10535</v>
      </c>
      <c r="C281" s="34" t="s">
        <v>11065</v>
      </c>
      <c r="D281" s="34" t="s">
        <v>11066</v>
      </c>
      <c r="E281" s="165">
        <v>2020</v>
      </c>
      <c r="F281" s="165">
        <v>2020</v>
      </c>
      <c r="G281" s="35" t="s">
        <v>16</v>
      </c>
      <c r="H281" s="34">
        <v>200</v>
      </c>
      <c r="I281" s="34">
        <v>200</v>
      </c>
      <c r="J281" s="49"/>
      <c r="K281" s="104"/>
      <c r="L281" s="105">
        <v>20201118</v>
      </c>
    </row>
    <row r="282" ht="16" customHeight="1" spans="1:12">
      <c r="A282" s="14">
        <v>280</v>
      </c>
      <c r="B282" s="33" t="s">
        <v>10535</v>
      </c>
      <c r="C282" s="34" t="s">
        <v>11067</v>
      </c>
      <c r="D282" s="34" t="s">
        <v>11068</v>
      </c>
      <c r="E282" s="165">
        <v>2020</v>
      </c>
      <c r="F282" s="165">
        <v>2020</v>
      </c>
      <c r="G282" s="35" t="s">
        <v>16</v>
      </c>
      <c r="H282" s="34">
        <v>200</v>
      </c>
      <c r="I282" s="34">
        <v>200</v>
      </c>
      <c r="J282" s="49"/>
      <c r="K282" s="104"/>
      <c r="L282" s="105">
        <v>20201118</v>
      </c>
    </row>
    <row r="283" ht="16" customHeight="1" spans="1:12">
      <c r="A283" s="14">
        <v>281</v>
      </c>
      <c r="B283" s="33" t="s">
        <v>10535</v>
      </c>
      <c r="C283" s="34" t="s">
        <v>7066</v>
      </c>
      <c r="D283" s="34" t="s">
        <v>11069</v>
      </c>
      <c r="E283" s="165">
        <v>2020</v>
      </c>
      <c r="F283" s="165">
        <v>2020</v>
      </c>
      <c r="G283" s="35" t="s">
        <v>16</v>
      </c>
      <c r="H283" s="34">
        <v>200</v>
      </c>
      <c r="I283" s="34">
        <v>200</v>
      </c>
      <c r="J283" s="49"/>
      <c r="K283" s="104"/>
      <c r="L283" s="105">
        <v>20201118</v>
      </c>
    </row>
    <row r="284" ht="16" customHeight="1" spans="1:12">
      <c r="A284" s="14">
        <v>282</v>
      </c>
      <c r="B284" s="33" t="s">
        <v>10535</v>
      </c>
      <c r="C284" s="34" t="s">
        <v>11070</v>
      </c>
      <c r="D284" s="34" t="s">
        <v>11071</v>
      </c>
      <c r="E284" s="165">
        <v>2020</v>
      </c>
      <c r="F284" s="165">
        <v>2020</v>
      </c>
      <c r="G284" s="35" t="s">
        <v>16</v>
      </c>
      <c r="H284" s="34">
        <v>200</v>
      </c>
      <c r="I284" s="34">
        <v>200</v>
      </c>
      <c r="J284" s="49"/>
      <c r="K284" s="104"/>
      <c r="L284" s="105">
        <v>20201118</v>
      </c>
    </row>
    <row r="285" ht="16" customHeight="1" spans="1:12">
      <c r="A285" s="14">
        <v>283</v>
      </c>
      <c r="B285" s="33" t="s">
        <v>10535</v>
      </c>
      <c r="C285" s="34" t="s">
        <v>11072</v>
      </c>
      <c r="D285" s="34" t="s">
        <v>11073</v>
      </c>
      <c r="E285" s="165">
        <v>2020</v>
      </c>
      <c r="F285" s="165">
        <v>2020</v>
      </c>
      <c r="G285" s="35" t="s">
        <v>16</v>
      </c>
      <c r="H285" s="34">
        <v>200</v>
      </c>
      <c r="I285" s="34">
        <v>200</v>
      </c>
      <c r="J285" s="49"/>
      <c r="K285" s="104"/>
      <c r="L285" s="105">
        <v>20201118</v>
      </c>
    </row>
    <row r="286" ht="16" customHeight="1" spans="1:12">
      <c r="A286" s="14">
        <v>284</v>
      </c>
      <c r="B286" s="33" t="s">
        <v>10535</v>
      </c>
      <c r="C286" s="34" t="s">
        <v>11074</v>
      </c>
      <c r="D286" s="34" t="s">
        <v>11075</v>
      </c>
      <c r="E286" s="165">
        <v>2020</v>
      </c>
      <c r="F286" s="165">
        <v>2020</v>
      </c>
      <c r="G286" s="35" t="s">
        <v>16</v>
      </c>
      <c r="H286" s="34">
        <v>200</v>
      </c>
      <c r="I286" s="34">
        <v>200</v>
      </c>
      <c r="J286" s="49"/>
      <c r="K286" s="104"/>
      <c r="L286" s="105">
        <v>20201118</v>
      </c>
    </row>
    <row r="287" ht="16" customHeight="1" spans="1:12">
      <c r="A287" s="14">
        <v>285</v>
      </c>
      <c r="B287" s="33" t="s">
        <v>10535</v>
      </c>
      <c r="C287" s="55" t="s">
        <v>7061</v>
      </c>
      <c r="D287" s="55" t="s">
        <v>11076</v>
      </c>
      <c r="E287" s="165">
        <v>2020</v>
      </c>
      <c r="F287" s="165">
        <v>2020</v>
      </c>
      <c r="G287" s="35" t="s">
        <v>16</v>
      </c>
      <c r="H287" s="55">
        <v>1000</v>
      </c>
      <c r="I287" s="55">
        <v>1000</v>
      </c>
      <c r="J287" s="49"/>
      <c r="K287" s="104"/>
      <c r="L287" s="105">
        <v>20201118</v>
      </c>
    </row>
    <row r="288" ht="16" customHeight="1" spans="1:12">
      <c r="A288" s="14">
        <v>286</v>
      </c>
      <c r="B288" s="33" t="s">
        <v>10535</v>
      </c>
      <c r="C288" s="55" t="s">
        <v>11077</v>
      </c>
      <c r="D288" s="55" t="s">
        <v>11078</v>
      </c>
      <c r="E288" s="165">
        <v>2020</v>
      </c>
      <c r="F288" s="165">
        <v>2020</v>
      </c>
      <c r="G288" s="35" t="s">
        <v>16</v>
      </c>
      <c r="H288" s="55">
        <v>200</v>
      </c>
      <c r="I288" s="55">
        <v>200</v>
      </c>
      <c r="J288" s="49"/>
      <c r="K288" s="104"/>
      <c r="L288" s="105">
        <v>20201118</v>
      </c>
    </row>
    <row r="289" ht="16" customHeight="1" spans="1:12">
      <c r="A289" s="14">
        <v>287</v>
      </c>
      <c r="B289" s="33" t="s">
        <v>10535</v>
      </c>
      <c r="C289" s="55" t="s">
        <v>11079</v>
      </c>
      <c r="D289" s="55" t="s">
        <v>11080</v>
      </c>
      <c r="E289" s="165">
        <v>2020</v>
      </c>
      <c r="F289" s="165">
        <v>2020</v>
      </c>
      <c r="G289" s="35" t="s">
        <v>16</v>
      </c>
      <c r="H289" s="55">
        <v>200</v>
      </c>
      <c r="I289" s="55">
        <v>200</v>
      </c>
      <c r="J289" s="49"/>
      <c r="K289" s="104"/>
      <c r="L289" s="105">
        <v>20201118</v>
      </c>
    </row>
    <row r="290" ht="16" customHeight="1" spans="1:12">
      <c r="A290" s="14">
        <v>288</v>
      </c>
      <c r="B290" s="33" t="s">
        <v>10535</v>
      </c>
      <c r="C290" s="55" t="s">
        <v>11081</v>
      </c>
      <c r="D290" s="56" t="s">
        <v>11082</v>
      </c>
      <c r="E290" s="165">
        <v>2020</v>
      </c>
      <c r="F290" s="165">
        <v>2020</v>
      </c>
      <c r="G290" s="35" t="s">
        <v>16</v>
      </c>
      <c r="H290" s="55">
        <v>200</v>
      </c>
      <c r="I290" s="55">
        <v>200</v>
      </c>
      <c r="J290" s="49"/>
      <c r="K290" s="104"/>
      <c r="L290" s="105">
        <v>20201118</v>
      </c>
    </row>
    <row r="291" s="97" customFormat="1" ht="16" customHeight="1" spans="1:12">
      <c r="A291" s="14">
        <v>289</v>
      </c>
      <c r="B291" s="33" t="s">
        <v>10535</v>
      </c>
      <c r="C291" s="55" t="s">
        <v>11083</v>
      </c>
      <c r="D291" s="55" t="s">
        <v>11084</v>
      </c>
      <c r="E291" s="34" t="s">
        <v>292</v>
      </c>
      <c r="F291" s="166" t="s">
        <v>15</v>
      </c>
      <c r="G291" s="166" t="s">
        <v>289</v>
      </c>
      <c r="H291" s="55" t="s">
        <v>311</v>
      </c>
      <c r="I291" s="55">
        <v>1000</v>
      </c>
      <c r="J291" s="49"/>
      <c r="K291" s="104"/>
      <c r="L291" s="105">
        <v>20201118</v>
      </c>
    </row>
    <row r="292" s="97" customFormat="1" ht="16" customHeight="1" spans="1:12">
      <c r="A292" s="14">
        <v>290</v>
      </c>
      <c r="B292" s="33" t="s">
        <v>10535</v>
      </c>
      <c r="C292" s="55" t="s">
        <v>11085</v>
      </c>
      <c r="D292" s="55" t="s">
        <v>11086</v>
      </c>
      <c r="E292" s="34" t="s">
        <v>2472</v>
      </c>
      <c r="F292" s="166" t="s">
        <v>15</v>
      </c>
      <c r="G292" s="166" t="s">
        <v>289</v>
      </c>
      <c r="H292" s="55" t="s">
        <v>311</v>
      </c>
      <c r="I292" s="55">
        <v>1200</v>
      </c>
      <c r="J292" s="49"/>
      <c r="K292" s="104"/>
      <c r="L292" s="105">
        <v>20201118</v>
      </c>
    </row>
    <row r="293" s="97" customFormat="1" ht="16" customHeight="1" spans="1:12">
      <c r="A293" s="14">
        <v>291</v>
      </c>
      <c r="B293" s="33" t="s">
        <v>10535</v>
      </c>
      <c r="C293" s="55" t="s">
        <v>11087</v>
      </c>
      <c r="D293" s="56" t="s">
        <v>11088</v>
      </c>
      <c r="E293" s="34" t="s">
        <v>310</v>
      </c>
      <c r="F293" s="166" t="s">
        <v>15</v>
      </c>
      <c r="G293" s="166" t="s">
        <v>289</v>
      </c>
      <c r="H293" s="55" t="s">
        <v>311</v>
      </c>
      <c r="I293" s="55">
        <v>2000</v>
      </c>
      <c r="J293" s="58"/>
      <c r="K293" s="104"/>
      <c r="L293" s="105">
        <v>20201118</v>
      </c>
    </row>
    <row r="294" spans="1:12">
      <c r="A294" s="105"/>
      <c r="B294" s="105"/>
      <c r="C294" s="105"/>
      <c r="D294" s="105"/>
      <c r="E294" s="105"/>
      <c r="F294" s="105"/>
      <c r="G294" s="105"/>
      <c r="H294" s="105"/>
      <c r="I294" s="105">
        <v>79300</v>
      </c>
      <c r="J294" s="105"/>
      <c r="K294" s="105"/>
      <c r="L294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22"/>
  <sheetViews>
    <sheetView topLeftCell="A579" workbookViewId="0">
      <selection activeCell="A3" sqref="A3:L617"/>
    </sheetView>
  </sheetViews>
  <sheetFormatPr defaultColWidth="9" defaultRowHeight="13.5"/>
  <cols>
    <col min="1" max="2" width="9" style="157"/>
    <col min="3" max="3" width="12.125" style="157" customWidth="1"/>
    <col min="4" max="4" width="23.625" style="157" customWidth="1"/>
    <col min="5" max="5" width="11.125" style="157" customWidth="1"/>
    <col min="6" max="6" width="9.75" style="157" customWidth="1"/>
    <col min="7" max="7" width="10" style="157" customWidth="1"/>
    <col min="8" max="8" width="9" style="157"/>
    <col min="9" max="9" width="10.125" style="157" customWidth="1"/>
    <col min="10" max="10" width="11.875" style="157" customWidth="1"/>
    <col min="11" max="11" width="9" style="133"/>
    <col min="12" max="12" width="11.75" customWidth="1"/>
    <col min="13" max="16384" width="9" style="146"/>
  </cols>
  <sheetData>
    <row r="1" customFormat="1" ht="18.75" spans="1:12">
      <c r="A1" s="99" t="s">
        <v>11089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5.2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s="146" customFormat="1" ht="15.2" customHeight="1" spans="1:12">
      <c r="A3" s="109">
        <v>1</v>
      </c>
      <c r="B3" s="158" t="s">
        <v>11090</v>
      </c>
      <c r="C3" s="158" t="s">
        <v>11091</v>
      </c>
      <c r="D3" s="158" t="s">
        <v>11092</v>
      </c>
      <c r="E3" s="102" t="s">
        <v>15</v>
      </c>
      <c r="F3" s="102" t="s">
        <v>10245</v>
      </c>
      <c r="G3" s="109" t="s">
        <v>16</v>
      </c>
      <c r="H3" s="32">
        <v>200</v>
      </c>
      <c r="I3" s="32">
        <v>200</v>
      </c>
      <c r="J3" s="109"/>
      <c r="K3" s="160"/>
      <c r="L3" s="105">
        <v>20201118</v>
      </c>
    </row>
    <row r="4" s="146" customFormat="1" ht="15.2" customHeight="1" spans="1:12">
      <c r="A4" s="109">
        <v>2</v>
      </c>
      <c r="B4" s="158" t="s">
        <v>11090</v>
      </c>
      <c r="C4" s="158" t="s">
        <v>11093</v>
      </c>
      <c r="D4" s="158" t="s">
        <v>11094</v>
      </c>
      <c r="E4" s="102" t="s">
        <v>15</v>
      </c>
      <c r="F4" s="102" t="s">
        <v>10245</v>
      </c>
      <c r="G4" s="109" t="s">
        <v>16</v>
      </c>
      <c r="H4" s="32">
        <v>200</v>
      </c>
      <c r="I4" s="32">
        <v>200</v>
      </c>
      <c r="J4" s="109" t="s">
        <v>1242</v>
      </c>
      <c r="K4" s="160"/>
      <c r="L4" s="105">
        <v>20201118</v>
      </c>
    </row>
    <row r="5" s="146" customFormat="1" ht="15.2" customHeight="1" spans="1:12">
      <c r="A5" s="109">
        <v>3</v>
      </c>
      <c r="B5" s="158" t="s">
        <v>11090</v>
      </c>
      <c r="C5" s="158" t="s">
        <v>11095</v>
      </c>
      <c r="D5" s="158" t="s">
        <v>11096</v>
      </c>
      <c r="E5" s="102" t="s">
        <v>15</v>
      </c>
      <c r="F5" s="102" t="s">
        <v>10250</v>
      </c>
      <c r="G5" s="109" t="s">
        <v>16</v>
      </c>
      <c r="H5" s="32">
        <v>200</v>
      </c>
      <c r="I5" s="32">
        <v>200</v>
      </c>
      <c r="J5" s="109"/>
      <c r="K5" s="160"/>
      <c r="L5" s="105">
        <v>20201118</v>
      </c>
    </row>
    <row r="6" s="146" customFormat="1" ht="15.2" customHeight="1" spans="1:12">
      <c r="A6" s="109">
        <v>4</v>
      </c>
      <c r="B6" s="158" t="s">
        <v>11090</v>
      </c>
      <c r="C6" s="158" t="s">
        <v>11097</v>
      </c>
      <c r="D6" s="158" t="s">
        <v>11098</v>
      </c>
      <c r="E6" s="102" t="s">
        <v>15</v>
      </c>
      <c r="F6" s="102" t="s">
        <v>10250</v>
      </c>
      <c r="G6" s="109" t="s">
        <v>16</v>
      </c>
      <c r="H6" s="32">
        <v>200</v>
      </c>
      <c r="I6" s="32">
        <v>200</v>
      </c>
      <c r="J6" s="109"/>
      <c r="K6" s="160"/>
      <c r="L6" s="105">
        <v>20201118</v>
      </c>
    </row>
    <row r="7" s="146" customFormat="1" ht="15.2" customHeight="1" spans="1:12">
      <c r="A7" s="109">
        <v>5</v>
      </c>
      <c r="B7" s="158" t="s">
        <v>11090</v>
      </c>
      <c r="C7" s="158" t="s">
        <v>11099</v>
      </c>
      <c r="D7" s="158" t="s">
        <v>11100</v>
      </c>
      <c r="E7" s="102" t="s">
        <v>15</v>
      </c>
      <c r="F7" s="102" t="s">
        <v>10250</v>
      </c>
      <c r="G7" s="109" t="s">
        <v>16</v>
      </c>
      <c r="H7" s="32">
        <v>200</v>
      </c>
      <c r="I7" s="32">
        <v>200</v>
      </c>
      <c r="J7" s="109"/>
      <c r="K7" s="160"/>
      <c r="L7" s="105">
        <v>20201118</v>
      </c>
    </row>
    <row r="8" s="146" customFormat="1" ht="15.2" customHeight="1" spans="1:12">
      <c r="A8" s="109">
        <v>6</v>
      </c>
      <c r="B8" s="158" t="s">
        <v>11090</v>
      </c>
      <c r="C8" s="158" t="s">
        <v>11101</v>
      </c>
      <c r="D8" s="158" t="s">
        <v>11102</v>
      </c>
      <c r="E8" s="102" t="s">
        <v>15</v>
      </c>
      <c r="F8" s="102" t="s">
        <v>10250</v>
      </c>
      <c r="G8" s="109" t="s">
        <v>16</v>
      </c>
      <c r="H8" s="32">
        <v>200</v>
      </c>
      <c r="I8" s="32">
        <v>200</v>
      </c>
      <c r="J8" s="109"/>
      <c r="K8" s="160"/>
      <c r="L8" s="105">
        <v>20201118</v>
      </c>
    </row>
    <row r="9" s="146" customFormat="1" ht="15.2" customHeight="1" spans="1:12">
      <c r="A9" s="109">
        <v>7</v>
      </c>
      <c r="B9" s="158" t="s">
        <v>11090</v>
      </c>
      <c r="C9" s="158" t="s">
        <v>11103</v>
      </c>
      <c r="D9" s="158" t="s">
        <v>11104</v>
      </c>
      <c r="E9" s="102" t="s">
        <v>15</v>
      </c>
      <c r="F9" s="102" t="s">
        <v>10250</v>
      </c>
      <c r="G9" s="109" t="s">
        <v>16</v>
      </c>
      <c r="H9" s="32">
        <v>200</v>
      </c>
      <c r="I9" s="32">
        <v>200</v>
      </c>
      <c r="J9" s="109"/>
      <c r="K9" s="160"/>
      <c r="L9" s="105">
        <v>20201118</v>
      </c>
    </row>
    <row r="10" s="146" customFormat="1" ht="15.2" customHeight="1" spans="1:12">
      <c r="A10" s="109">
        <v>8</v>
      </c>
      <c r="B10" s="158" t="s">
        <v>11090</v>
      </c>
      <c r="C10" s="158" t="s">
        <v>11105</v>
      </c>
      <c r="D10" s="158" t="s">
        <v>11106</v>
      </c>
      <c r="E10" s="102" t="s">
        <v>15</v>
      </c>
      <c r="F10" s="102" t="s">
        <v>10250</v>
      </c>
      <c r="G10" s="109" t="s">
        <v>16</v>
      </c>
      <c r="H10" s="32">
        <v>200</v>
      </c>
      <c r="I10" s="32">
        <v>200</v>
      </c>
      <c r="J10" s="109"/>
      <c r="K10" s="160"/>
      <c r="L10" s="105">
        <v>20201118</v>
      </c>
    </row>
    <row r="11" s="146" customFormat="1" ht="15.2" customHeight="1" spans="1:12">
      <c r="A11" s="109">
        <v>9</v>
      </c>
      <c r="B11" s="158" t="s">
        <v>11090</v>
      </c>
      <c r="C11" s="158" t="s">
        <v>11107</v>
      </c>
      <c r="D11" s="158" t="s">
        <v>11108</v>
      </c>
      <c r="E11" s="102" t="s">
        <v>15</v>
      </c>
      <c r="F11" s="102" t="s">
        <v>10250</v>
      </c>
      <c r="G11" s="109" t="s">
        <v>16</v>
      </c>
      <c r="H11" s="32">
        <v>200</v>
      </c>
      <c r="I11" s="32">
        <v>200</v>
      </c>
      <c r="J11" s="109"/>
      <c r="K11" s="160"/>
      <c r="L11" s="105">
        <v>20201118</v>
      </c>
    </row>
    <row r="12" s="146" customFormat="1" ht="15.2" customHeight="1" spans="1:12">
      <c r="A12" s="109">
        <v>10</v>
      </c>
      <c r="B12" s="158" t="s">
        <v>11090</v>
      </c>
      <c r="C12" s="158" t="s">
        <v>11109</v>
      </c>
      <c r="D12" s="158" t="s">
        <v>11110</v>
      </c>
      <c r="E12" s="102" t="s">
        <v>15</v>
      </c>
      <c r="F12" s="102" t="s">
        <v>10250</v>
      </c>
      <c r="G12" s="109" t="s">
        <v>16</v>
      </c>
      <c r="H12" s="32">
        <v>200</v>
      </c>
      <c r="I12" s="32">
        <v>200</v>
      </c>
      <c r="J12" s="109"/>
      <c r="K12" s="160"/>
      <c r="L12" s="105">
        <v>20201118</v>
      </c>
    </row>
    <row r="13" s="146" customFormat="1" ht="15.2" customHeight="1" spans="1:12">
      <c r="A13" s="109">
        <v>11</v>
      </c>
      <c r="B13" s="158" t="s">
        <v>11090</v>
      </c>
      <c r="C13" s="158" t="s">
        <v>11111</v>
      </c>
      <c r="D13" s="158" t="s">
        <v>11112</v>
      </c>
      <c r="E13" s="102" t="s">
        <v>15</v>
      </c>
      <c r="F13" s="102" t="s">
        <v>10250</v>
      </c>
      <c r="G13" s="109" t="s">
        <v>16</v>
      </c>
      <c r="H13" s="32">
        <v>500</v>
      </c>
      <c r="I13" s="32">
        <v>500</v>
      </c>
      <c r="J13" s="109"/>
      <c r="K13" s="160"/>
      <c r="L13" s="105">
        <v>20201118</v>
      </c>
    </row>
    <row r="14" s="146" customFormat="1" ht="15.2" customHeight="1" spans="1:12">
      <c r="A14" s="109">
        <v>12</v>
      </c>
      <c r="B14" s="158" t="s">
        <v>11090</v>
      </c>
      <c r="C14" s="158" t="s">
        <v>11113</v>
      </c>
      <c r="D14" s="158" t="s">
        <v>11114</v>
      </c>
      <c r="E14" s="102" t="s">
        <v>15</v>
      </c>
      <c r="F14" s="102" t="s">
        <v>10250</v>
      </c>
      <c r="G14" s="109" t="s">
        <v>16</v>
      </c>
      <c r="H14" s="32">
        <v>200</v>
      </c>
      <c r="I14" s="32">
        <v>200</v>
      </c>
      <c r="J14" s="109"/>
      <c r="K14" s="160"/>
      <c r="L14" s="105">
        <v>20201118</v>
      </c>
    </row>
    <row r="15" s="146" customFormat="1" ht="15.2" customHeight="1" spans="1:12">
      <c r="A15" s="109">
        <v>13</v>
      </c>
      <c r="B15" s="158" t="s">
        <v>11090</v>
      </c>
      <c r="C15" s="158" t="s">
        <v>11115</v>
      </c>
      <c r="D15" s="158" t="s">
        <v>11116</v>
      </c>
      <c r="E15" s="102" t="s">
        <v>15</v>
      </c>
      <c r="F15" s="102" t="s">
        <v>10250</v>
      </c>
      <c r="G15" s="109" t="s">
        <v>16</v>
      </c>
      <c r="H15" s="32">
        <v>200</v>
      </c>
      <c r="I15" s="32">
        <v>200</v>
      </c>
      <c r="J15" s="109"/>
      <c r="K15" s="160"/>
      <c r="L15" s="105">
        <v>20201118</v>
      </c>
    </row>
    <row r="16" s="146" customFormat="1" ht="15.2" customHeight="1" spans="1:12">
      <c r="A16" s="109">
        <v>14</v>
      </c>
      <c r="B16" s="158" t="s">
        <v>11090</v>
      </c>
      <c r="C16" s="158" t="s">
        <v>11117</v>
      </c>
      <c r="D16" s="158" t="s">
        <v>11118</v>
      </c>
      <c r="E16" s="102" t="s">
        <v>15</v>
      </c>
      <c r="F16" s="102" t="s">
        <v>10250</v>
      </c>
      <c r="G16" s="109" t="s">
        <v>16</v>
      </c>
      <c r="H16" s="32">
        <v>200</v>
      </c>
      <c r="I16" s="32">
        <v>200</v>
      </c>
      <c r="J16" s="109"/>
      <c r="K16" s="160"/>
      <c r="L16" s="105">
        <v>20201118</v>
      </c>
    </row>
    <row r="17" s="146" customFormat="1" ht="15.2" customHeight="1" spans="1:12">
      <c r="A17" s="109">
        <v>15</v>
      </c>
      <c r="B17" s="158" t="s">
        <v>11090</v>
      </c>
      <c r="C17" s="158" t="s">
        <v>11119</v>
      </c>
      <c r="D17" s="158" t="s">
        <v>11120</v>
      </c>
      <c r="E17" s="102" t="s">
        <v>15</v>
      </c>
      <c r="F17" s="102" t="s">
        <v>10250</v>
      </c>
      <c r="G17" s="109" t="s">
        <v>16</v>
      </c>
      <c r="H17" s="32">
        <v>200</v>
      </c>
      <c r="I17" s="32">
        <v>200</v>
      </c>
      <c r="J17" s="109" t="s">
        <v>6097</v>
      </c>
      <c r="K17" s="160"/>
      <c r="L17" s="105">
        <v>20201118</v>
      </c>
    </row>
    <row r="18" s="146" customFormat="1" ht="15.2" customHeight="1" spans="1:12">
      <c r="A18" s="109">
        <v>16</v>
      </c>
      <c r="B18" s="158" t="s">
        <v>11090</v>
      </c>
      <c r="C18" s="158" t="s">
        <v>11121</v>
      </c>
      <c r="D18" s="158" t="s">
        <v>11122</v>
      </c>
      <c r="E18" s="102" t="s">
        <v>15</v>
      </c>
      <c r="F18" s="102" t="s">
        <v>10250</v>
      </c>
      <c r="G18" s="109" t="s">
        <v>16</v>
      </c>
      <c r="H18" s="32">
        <v>200</v>
      </c>
      <c r="I18" s="32">
        <v>200</v>
      </c>
      <c r="J18" s="109"/>
      <c r="K18" s="160"/>
      <c r="L18" s="105">
        <v>20201118</v>
      </c>
    </row>
    <row r="19" s="146" customFormat="1" ht="15.2" customHeight="1" spans="1:12">
      <c r="A19" s="109">
        <v>17</v>
      </c>
      <c r="B19" s="158" t="s">
        <v>11090</v>
      </c>
      <c r="C19" s="158" t="s">
        <v>11123</v>
      </c>
      <c r="D19" s="158" t="s">
        <v>11124</v>
      </c>
      <c r="E19" s="102" t="s">
        <v>15</v>
      </c>
      <c r="F19" s="102" t="s">
        <v>10250</v>
      </c>
      <c r="G19" s="109" t="s">
        <v>16</v>
      </c>
      <c r="H19" s="32">
        <v>200</v>
      </c>
      <c r="I19" s="32">
        <v>200</v>
      </c>
      <c r="J19" s="109" t="s">
        <v>768</v>
      </c>
      <c r="K19" s="160"/>
      <c r="L19" s="105">
        <v>20201118</v>
      </c>
    </row>
    <row r="20" s="146" customFormat="1" ht="15.2" customHeight="1" spans="1:12">
      <c r="A20" s="109">
        <v>18</v>
      </c>
      <c r="B20" s="158" t="s">
        <v>11090</v>
      </c>
      <c r="C20" s="158" t="s">
        <v>11125</v>
      </c>
      <c r="D20" s="158" t="s">
        <v>11126</v>
      </c>
      <c r="E20" s="102" t="s">
        <v>15</v>
      </c>
      <c r="F20" s="102" t="s">
        <v>10250</v>
      </c>
      <c r="G20" s="109" t="s">
        <v>16</v>
      </c>
      <c r="H20" s="32">
        <v>200</v>
      </c>
      <c r="I20" s="32">
        <v>200</v>
      </c>
      <c r="J20" s="109"/>
      <c r="K20" s="160"/>
      <c r="L20" s="105">
        <v>20201118</v>
      </c>
    </row>
    <row r="21" s="146" customFormat="1" ht="15.2" customHeight="1" spans="1:12">
      <c r="A21" s="109">
        <v>19</v>
      </c>
      <c r="B21" s="158" t="s">
        <v>11090</v>
      </c>
      <c r="C21" s="158" t="s">
        <v>11127</v>
      </c>
      <c r="D21" s="158" t="s">
        <v>11128</v>
      </c>
      <c r="E21" s="102" t="s">
        <v>15</v>
      </c>
      <c r="F21" s="102" t="s">
        <v>10250</v>
      </c>
      <c r="G21" s="109" t="s">
        <v>16</v>
      </c>
      <c r="H21" s="32">
        <v>200</v>
      </c>
      <c r="I21" s="32">
        <v>200</v>
      </c>
      <c r="J21" s="109"/>
      <c r="K21" s="160"/>
      <c r="L21" s="105">
        <v>20201118</v>
      </c>
    </row>
    <row r="22" s="146" customFormat="1" ht="15.2" customHeight="1" spans="1:12">
      <c r="A22" s="109">
        <v>20</v>
      </c>
      <c r="B22" s="158" t="s">
        <v>11090</v>
      </c>
      <c r="C22" s="158" t="s">
        <v>11129</v>
      </c>
      <c r="D22" s="158" t="s">
        <v>11130</v>
      </c>
      <c r="E22" s="102" t="s">
        <v>15</v>
      </c>
      <c r="F22" s="102" t="s">
        <v>10250</v>
      </c>
      <c r="G22" s="109" t="s">
        <v>16</v>
      </c>
      <c r="H22" s="32">
        <v>500</v>
      </c>
      <c r="I22" s="32">
        <v>500</v>
      </c>
      <c r="J22" s="109"/>
      <c r="K22" s="160"/>
      <c r="L22" s="105">
        <v>20201118</v>
      </c>
    </row>
    <row r="23" s="146" customFormat="1" ht="15.2" customHeight="1" spans="1:12">
      <c r="A23" s="109">
        <v>21</v>
      </c>
      <c r="B23" s="158" t="s">
        <v>11090</v>
      </c>
      <c r="C23" s="158" t="s">
        <v>11131</v>
      </c>
      <c r="D23" s="158" t="s">
        <v>11132</v>
      </c>
      <c r="E23" s="102" t="s">
        <v>15</v>
      </c>
      <c r="F23" s="102" t="s">
        <v>10250</v>
      </c>
      <c r="G23" s="109" t="s">
        <v>16</v>
      </c>
      <c r="H23" s="32">
        <v>500</v>
      </c>
      <c r="I23" s="32">
        <v>500</v>
      </c>
      <c r="J23" s="109"/>
      <c r="K23" s="160"/>
      <c r="L23" s="105">
        <v>20201118</v>
      </c>
    </row>
    <row r="24" s="146" customFormat="1" ht="15.2" customHeight="1" spans="1:12">
      <c r="A24" s="109">
        <v>22</v>
      </c>
      <c r="B24" s="158" t="s">
        <v>11090</v>
      </c>
      <c r="C24" s="158" t="s">
        <v>11133</v>
      </c>
      <c r="D24" s="158" t="s">
        <v>11134</v>
      </c>
      <c r="E24" s="102" t="s">
        <v>15</v>
      </c>
      <c r="F24" s="102" t="s">
        <v>10250</v>
      </c>
      <c r="G24" s="109" t="s">
        <v>16</v>
      </c>
      <c r="H24" s="32">
        <v>200</v>
      </c>
      <c r="I24" s="32">
        <v>200</v>
      </c>
      <c r="J24" s="109" t="s">
        <v>11135</v>
      </c>
      <c r="K24" s="160"/>
      <c r="L24" s="105">
        <v>20201118</v>
      </c>
    </row>
    <row r="25" s="146" customFormat="1" ht="15.2" customHeight="1" spans="1:12">
      <c r="A25" s="109">
        <v>23</v>
      </c>
      <c r="B25" s="158" t="s">
        <v>11090</v>
      </c>
      <c r="C25" s="158" t="s">
        <v>11136</v>
      </c>
      <c r="D25" s="158" t="s">
        <v>11137</v>
      </c>
      <c r="E25" s="102" t="s">
        <v>15</v>
      </c>
      <c r="F25" s="102" t="s">
        <v>10250</v>
      </c>
      <c r="G25" s="109" t="s">
        <v>16</v>
      </c>
      <c r="H25" s="32">
        <v>500</v>
      </c>
      <c r="I25" s="32">
        <v>500</v>
      </c>
      <c r="J25" s="109"/>
      <c r="K25" s="160"/>
      <c r="L25" s="105">
        <v>20201118</v>
      </c>
    </row>
    <row r="26" s="146" customFormat="1" ht="15.2" customHeight="1" spans="1:12">
      <c r="A26" s="109">
        <v>24</v>
      </c>
      <c r="B26" s="158" t="s">
        <v>11090</v>
      </c>
      <c r="C26" s="158" t="s">
        <v>11138</v>
      </c>
      <c r="D26" s="158" t="s">
        <v>11139</v>
      </c>
      <c r="E26" s="102" t="s">
        <v>15</v>
      </c>
      <c r="F26" s="102" t="s">
        <v>10250</v>
      </c>
      <c r="G26" s="109" t="s">
        <v>16</v>
      </c>
      <c r="H26" s="32">
        <v>200</v>
      </c>
      <c r="I26" s="32">
        <v>200</v>
      </c>
      <c r="J26" s="109"/>
      <c r="K26" s="160"/>
      <c r="L26" s="105">
        <v>20201118</v>
      </c>
    </row>
    <row r="27" s="146" customFormat="1" ht="15.2" customHeight="1" spans="1:12">
      <c r="A27" s="109">
        <v>25</v>
      </c>
      <c r="B27" s="158" t="s">
        <v>11090</v>
      </c>
      <c r="C27" s="158" t="s">
        <v>11140</v>
      </c>
      <c r="D27" s="158" t="s">
        <v>11141</v>
      </c>
      <c r="E27" s="102" t="s">
        <v>15</v>
      </c>
      <c r="F27" s="102" t="s">
        <v>10250</v>
      </c>
      <c r="G27" s="109" t="s">
        <v>16</v>
      </c>
      <c r="H27" s="32">
        <v>500</v>
      </c>
      <c r="I27" s="32">
        <v>500</v>
      </c>
      <c r="J27" s="109"/>
      <c r="K27" s="160"/>
      <c r="L27" s="105">
        <v>20201118</v>
      </c>
    </row>
    <row r="28" s="146" customFormat="1" ht="15.2" customHeight="1" spans="1:12">
      <c r="A28" s="109">
        <v>26</v>
      </c>
      <c r="B28" s="158" t="s">
        <v>11090</v>
      </c>
      <c r="C28" s="158" t="s">
        <v>11142</v>
      </c>
      <c r="D28" s="158" t="s">
        <v>11143</v>
      </c>
      <c r="E28" s="102" t="s">
        <v>15</v>
      </c>
      <c r="F28" s="102" t="s">
        <v>10250</v>
      </c>
      <c r="G28" s="109" t="s">
        <v>16</v>
      </c>
      <c r="H28" s="32">
        <v>500</v>
      </c>
      <c r="I28" s="32">
        <v>500</v>
      </c>
      <c r="J28" s="109"/>
      <c r="K28" s="160"/>
      <c r="L28" s="105">
        <v>20201118</v>
      </c>
    </row>
    <row r="29" s="146" customFormat="1" ht="15.2" customHeight="1" spans="1:12">
      <c r="A29" s="109">
        <v>27</v>
      </c>
      <c r="B29" s="158" t="s">
        <v>11090</v>
      </c>
      <c r="C29" s="158" t="s">
        <v>11144</v>
      </c>
      <c r="D29" s="158" t="s">
        <v>11145</v>
      </c>
      <c r="E29" s="102" t="s">
        <v>15</v>
      </c>
      <c r="F29" s="102" t="s">
        <v>10250</v>
      </c>
      <c r="G29" s="109" t="s">
        <v>16</v>
      </c>
      <c r="H29" s="32" t="s">
        <v>311</v>
      </c>
      <c r="I29" s="32">
        <v>200</v>
      </c>
      <c r="J29" s="109"/>
      <c r="K29" s="160"/>
      <c r="L29" s="105">
        <v>20201118</v>
      </c>
    </row>
    <row r="30" s="146" customFormat="1" ht="15.2" customHeight="1" spans="1:12">
      <c r="A30" s="109">
        <v>28</v>
      </c>
      <c r="B30" s="158" t="s">
        <v>11090</v>
      </c>
      <c r="C30" s="158" t="s">
        <v>11146</v>
      </c>
      <c r="D30" s="158" t="s">
        <v>11147</v>
      </c>
      <c r="E30" s="102" t="s">
        <v>15</v>
      </c>
      <c r="F30" s="102" t="s">
        <v>10250</v>
      </c>
      <c r="G30" s="109" t="s">
        <v>16</v>
      </c>
      <c r="H30" s="32">
        <v>200</v>
      </c>
      <c r="I30" s="32">
        <v>200</v>
      </c>
      <c r="J30" s="109"/>
      <c r="K30" s="160"/>
      <c r="L30" s="105">
        <v>20201118</v>
      </c>
    </row>
    <row r="31" s="146" customFormat="1" ht="15.2" customHeight="1" spans="1:12">
      <c r="A31" s="109">
        <v>29</v>
      </c>
      <c r="B31" s="158" t="s">
        <v>11090</v>
      </c>
      <c r="C31" s="158" t="s">
        <v>11148</v>
      </c>
      <c r="D31" s="158" t="s">
        <v>11149</v>
      </c>
      <c r="E31" s="102" t="s">
        <v>15</v>
      </c>
      <c r="F31" s="102" t="s">
        <v>10250</v>
      </c>
      <c r="G31" s="109" t="s">
        <v>16</v>
      </c>
      <c r="H31" s="32">
        <v>500</v>
      </c>
      <c r="I31" s="32">
        <v>500</v>
      </c>
      <c r="J31" s="109"/>
      <c r="K31" s="160"/>
      <c r="L31" s="105">
        <v>20201118</v>
      </c>
    </row>
    <row r="32" s="146" customFormat="1" ht="15.2" customHeight="1" spans="1:12">
      <c r="A32" s="109">
        <v>30</v>
      </c>
      <c r="B32" s="158" t="s">
        <v>11090</v>
      </c>
      <c r="C32" s="158" t="s">
        <v>11150</v>
      </c>
      <c r="D32" s="158" t="s">
        <v>11151</v>
      </c>
      <c r="E32" s="102" t="s">
        <v>15</v>
      </c>
      <c r="F32" s="102" t="s">
        <v>10250</v>
      </c>
      <c r="G32" s="109" t="s">
        <v>16</v>
      </c>
      <c r="H32" s="32">
        <v>200</v>
      </c>
      <c r="I32" s="32">
        <v>200</v>
      </c>
      <c r="J32" s="109" t="s">
        <v>6097</v>
      </c>
      <c r="K32" s="160"/>
      <c r="L32" s="105">
        <v>20201118</v>
      </c>
    </row>
    <row r="33" s="146" customFormat="1" ht="15.2" customHeight="1" spans="1:12">
      <c r="A33" s="109">
        <v>31</v>
      </c>
      <c r="B33" s="158" t="s">
        <v>11090</v>
      </c>
      <c r="C33" s="158" t="s">
        <v>11152</v>
      </c>
      <c r="D33" s="158" t="s">
        <v>11153</v>
      </c>
      <c r="E33" s="102" t="s">
        <v>15</v>
      </c>
      <c r="F33" s="102" t="s">
        <v>10250</v>
      </c>
      <c r="G33" s="109" t="s">
        <v>16</v>
      </c>
      <c r="H33" s="32">
        <v>200</v>
      </c>
      <c r="I33" s="32">
        <v>200</v>
      </c>
      <c r="J33" s="109"/>
      <c r="K33" s="160"/>
      <c r="L33" s="105">
        <v>20201118</v>
      </c>
    </row>
    <row r="34" s="146" customFormat="1" ht="15.2" customHeight="1" spans="1:12">
      <c r="A34" s="109">
        <v>32</v>
      </c>
      <c r="B34" s="158" t="s">
        <v>11090</v>
      </c>
      <c r="C34" s="158" t="s">
        <v>11154</v>
      </c>
      <c r="D34" s="158" t="s">
        <v>11155</v>
      </c>
      <c r="E34" s="102" t="s">
        <v>15</v>
      </c>
      <c r="F34" s="102" t="s">
        <v>10250</v>
      </c>
      <c r="G34" s="109" t="s">
        <v>16</v>
      </c>
      <c r="H34" s="32">
        <v>300</v>
      </c>
      <c r="I34" s="32">
        <v>300</v>
      </c>
      <c r="J34" s="109" t="s">
        <v>11156</v>
      </c>
      <c r="K34" s="160"/>
      <c r="L34" s="105">
        <v>20201118</v>
      </c>
    </row>
    <row r="35" s="146" customFormat="1" ht="15.2" customHeight="1" spans="1:12">
      <c r="A35" s="109">
        <v>33</v>
      </c>
      <c r="B35" s="158" t="s">
        <v>11090</v>
      </c>
      <c r="C35" s="158" t="s">
        <v>11157</v>
      </c>
      <c r="D35" s="158" t="s">
        <v>11158</v>
      </c>
      <c r="E35" s="102" t="s">
        <v>15</v>
      </c>
      <c r="F35" s="102" t="s">
        <v>10250</v>
      </c>
      <c r="G35" s="109" t="s">
        <v>16</v>
      </c>
      <c r="H35" s="32">
        <v>200</v>
      </c>
      <c r="I35" s="32">
        <v>200</v>
      </c>
      <c r="J35" s="109"/>
      <c r="K35" s="160"/>
      <c r="L35" s="105">
        <v>20201118</v>
      </c>
    </row>
    <row r="36" s="146" customFormat="1" ht="15.2" customHeight="1" spans="1:12">
      <c r="A36" s="109">
        <v>34</v>
      </c>
      <c r="B36" s="158" t="s">
        <v>11090</v>
      </c>
      <c r="C36" s="158" t="s">
        <v>11159</v>
      </c>
      <c r="D36" s="158" t="s">
        <v>11160</v>
      </c>
      <c r="E36" s="102" t="s">
        <v>15</v>
      </c>
      <c r="F36" s="102" t="s">
        <v>10250</v>
      </c>
      <c r="G36" s="109" t="s">
        <v>16</v>
      </c>
      <c r="H36" s="32">
        <v>200</v>
      </c>
      <c r="I36" s="32">
        <v>200</v>
      </c>
      <c r="J36" s="109"/>
      <c r="K36" s="160"/>
      <c r="L36" s="105">
        <v>20201118</v>
      </c>
    </row>
    <row r="37" s="146" customFormat="1" ht="15.2" customHeight="1" spans="1:12">
      <c r="A37" s="109">
        <v>35</v>
      </c>
      <c r="B37" s="158" t="s">
        <v>11090</v>
      </c>
      <c r="C37" s="158" t="s">
        <v>11161</v>
      </c>
      <c r="D37" s="158" t="s">
        <v>11162</v>
      </c>
      <c r="E37" s="102" t="s">
        <v>15</v>
      </c>
      <c r="F37" s="102" t="s">
        <v>10250</v>
      </c>
      <c r="G37" s="109" t="s">
        <v>16</v>
      </c>
      <c r="H37" s="32">
        <v>200</v>
      </c>
      <c r="I37" s="32">
        <v>200</v>
      </c>
      <c r="J37" s="109" t="s">
        <v>1242</v>
      </c>
      <c r="K37" s="160"/>
      <c r="L37" s="105">
        <v>20201118</v>
      </c>
    </row>
    <row r="38" s="146" customFormat="1" ht="15.2" customHeight="1" spans="1:12">
      <c r="A38" s="109">
        <v>36</v>
      </c>
      <c r="B38" s="158" t="s">
        <v>11090</v>
      </c>
      <c r="C38" s="158" t="s">
        <v>11163</v>
      </c>
      <c r="D38" s="158" t="s">
        <v>11164</v>
      </c>
      <c r="E38" s="102" t="s">
        <v>15</v>
      </c>
      <c r="F38" s="102" t="s">
        <v>10250</v>
      </c>
      <c r="G38" s="109" t="s">
        <v>16</v>
      </c>
      <c r="H38" s="32">
        <v>500</v>
      </c>
      <c r="I38" s="32">
        <v>500</v>
      </c>
      <c r="J38" s="109"/>
      <c r="K38" s="160"/>
      <c r="L38" s="105">
        <v>20201118</v>
      </c>
    </row>
    <row r="39" s="146" customFormat="1" ht="15.2" customHeight="1" spans="1:12">
      <c r="A39" s="109">
        <v>37</v>
      </c>
      <c r="B39" s="158" t="s">
        <v>11090</v>
      </c>
      <c r="C39" s="158" t="s">
        <v>11165</v>
      </c>
      <c r="D39" s="158" t="s">
        <v>11166</v>
      </c>
      <c r="E39" s="102" t="s">
        <v>15</v>
      </c>
      <c r="F39" s="102" t="s">
        <v>10250</v>
      </c>
      <c r="G39" s="109" t="s">
        <v>16</v>
      </c>
      <c r="H39" s="32">
        <v>200</v>
      </c>
      <c r="I39" s="32">
        <v>200</v>
      </c>
      <c r="J39" s="109"/>
      <c r="K39" s="160"/>
      <c r="L39" s="105">
        <v>20201118</v>
      </c>
    </row>
    <row r="40" s="146" customFormat="1" ht="15.2" customHeight="1" spans="1:12">
      <c r="A40" s="109">
        <v>38</v>
      </c>
      <c r="B40" s="158" t="s">
        <v>11090</v>
      </c>
      <c r="C40" s="158" t="s">
        <v>11167</v>
      </c>
      <c r="D40" s="158" t="s">
        <v>11168</v>
      </c>
      <c r="E40" s="102" t="s">
        <v>15</v>
      </c>
      <c r="F40" s="102" t="s">
        <v>10250</v>
      </c>
      <c r="G40" s="109" t="s">
        <v>16</v>
      </c>
      <c r="H40" s="32">
        <v>200</v>
      </c>
      <c r="I40" s="32">
        <v>200</v>
      </c>
      <c r="J40" s="109"/>
      <c r="K40" s="160"/>
      <c r="L40" s="105">
        <v>20201118</v>
      </c>
    </row>
    <row r="41" s="146" customFormat="1" ht="15.2" customHeight="1" spans="1:12">
      <c r="A41" s="109">
        <v>39</v>
      </c>
      <c r="B41" s="158" t="s">
        <v>11090</v>
      </c>
      <c r="C41" s="158" t="s">
        <v>11169</v>
      </c>
      <c r="D41" s="158" t="s">
        <v>11170</v>
      </c>
      <c r="E41" s="102" t="s">
        <v>15</v>
      </c>
      <c r="F41" s="102" t="s">
        <v>10250</v>
      </c>
      <c r="G41" s="109" t="s">
        <v>16</v>
      </c>
      <c r="H41" s="32">
        <v>200</v>
      </c>
      <c r="I41" s="32">
        <v>200</v>
      </c>
      <c r="J41" s="109"/>
      <c r="K41" s="160"/>
      <c r="L41" s="105">
        <v>20201118</v>
      </c>
    </row>
    <row r="42" s="146" customFormat="1" ht="15.2" customHeight="1" spans="1:12">
      <c r="A42" s="109">
        <v>40</v>
      </c>
      <c r="B42" s="158" t="s">
        <v>11090</v>
      </c>
      <c r="C42" s="158" t="s">
        <v>11171</v>
      </c>
      <c r="D42" s="158" t="s">
        <v>11172</v>
      </c>
      <c r="E42" s="102" t="s">
        <v>15</v>
      </c>
      <c r="F42" s="102" t="s">
        <v>10250</v>
      </c>
      <c r="G42" s="109" t="s">
        <v>16</v>
      </c>
      <c r="H42" s="32">
        <v>200</v>
      </c>
      <c r="I42" s="32">
        <v>200</v>
      </c>
      <c r="J42" s="109"/>
      <c r="K42" s="160"/>
      <c r="L42" s="105">
        <v>20201118</v>
      </c>
    </row>
    <row r="43" s="146" customFormat="1" ht="15.2" customHeight="1" spans="1:12">
      <c r="A43" s="109">
        <v>41</v>
      </c>
      <c r="B43" s="158" t="s">
        <v>11090</v>
      </c>
      <c r="C43" s="158" t="s">
        <v>11173</v>
      </c>
      <c r="D43" s="158" t="s">
        <v>11174</v>
      </c>
      <c r="E43" s="102" t="s">
        <v>15</v>
      </c>
      <c r="F43" s="102" t="s">
        <v>10250</v>
      </c>
      <c r="G43" s="109" t="s">
        <v>16</v>
      </c>
      <c r="H43" s="32">
        <v>200</v>
      </c>
      <c r="I43" s="32">
        <v>200</v>
      </c>
      <c r="J43" s="109"/>
      <c r="K43" s="160"/>
      <c r="L43" s="105">
        <v>20201118</v>
      </c>
    </row>
    <row r="44" s="146" customFormat="1" ht="15.2" customHeight="1" spans="1:12">
      <c r="A44" s="109">
        <v>42</v>
      </c>
      <c r="B44" s="158" t="s">
        <v>11090</v>
      </c>
      <c r="C44" s="158" t="s">
        <v>11175</v>
      </c>
      <c r="D44" s="158" t="s">
        <v>11176</v>
      </c>
      <c r="E44" s="102" t="s">
        <v>15</v>
      </c>
      <c r="F44" s="102" t="s">
        <v>10250</v>
      </c>
      <c r="G44" s="109" t="s">
        <v>16</v>
      </c>
      <c r="H44" s="32">
        <v>200</v>
      </c>
      <c r="I44" s="32">
        <v>200</v>
      </c>
      <c r="J44" s="109"/>
      <c r="K44" s="160"/>
      <c r="L44" s="105">
        <v>20201118</v>
      </c>
    </row>
    <row r="45" s="146" customFormat="1" ht="15.2" customHeight="1" spans="1:12">
      <c r="A45" s="109">
        <v>43</v>
      </c>
      <c r="B45" s="158" t="s">
        <v>11090</v>
      </c>
      <c r="C45" s="158" t="s">
        <v>11177</v>
      </c>
      <c r="D45" s="158" t="s">
        <v>11178</v>
      </c>
      <c r="E45" s="102" t="s">
        <v>15</v>
      </c>
      <c r="F45" s="102" t="s">
        <v>10250</v>
      </c>
      <c r="G45" s="109" t="s">
        <v>16</v>
      </c>
      <c r="H45" s="32">
        <v>200</v>
      </c>
      <c r="I45" s="32">
        <v>200</v>
      </c>
      <c r="J45" s="109"/>
      <c r="K45" s="160"/>
      <c r="L45" s="105">
        <v>20201118</v>
      </c>
    </row>
    <row r="46" s="146" customFormat="1" ht="15.2" customHeight="1" spans="1:12">
      <c r="A46" s="109">
        <v>44</v>
      </c>
      <c r="B46" s="158" t="s">
        <v>11090</v>
      </c>
      <c r="C46" s="158" t="s">
        <v>458</v>
      </c>
      <c r="D46" s="158" t="s">
        <v>11179</v>
      </c>
      <c r="E46" s="102" t="s">
        <v>15</v>
      </c>
      <c r="F46" s="102" t="s">
        <v>10250</v>
      </c>
      <c r="G46" s="109" t="s">
        <v>16</v>
      </c>
      <c r="H46" s="32">
        <v>400</v>
      </c>
      <c r="I46" s="32">
        <v>400</v>
      </c>
      <c r="J46" s="109"/>
      <c r="K46" s="160"/>
      <c r="L46" s="105">
        <v>20201118</v>
      </c>
    </row>
    <row r="47" s="146" customFormat="1" ht="15.2" customHeight="1" spans="1:12">
      <c r="A47" s="109">
        <v>45</v>
      </c>
      <c r="B47" s="158" t="s">
        <v>11090</v>
      </c>
      <c r="C47" s="158" t="s">
        <v>11180</v>
      </c>
      <c r="D47" s="158" t="s">
        <v>11181</v>
      </c>
      <c r="E47" s="102" t="s">
        <v>15</v>
      </c>
      <c r="F47" s="102" t="s">
        <v>10250</v>
      </c>
      <c r="G47" s="109" t="s">
        <v>16</v>
      </c>
      <c r="H47" s="32">
        <v>200</v>
      </c>
      <c r="I47" s="32">
        <v>200</v>
      </c>
      <c r="J47" s="109" t="s">
        <v>6097</v>
      </c>
      <c r="K47" s="160"/>
      <c r="L47" s="105">
        <v>20201118</v>
      </c>
    </row>
    <row r="48" s="146" customFormat="1" ht="15.2" customHeight="1" spans="1:12">
      <c r="A48" s="109">
        <v>46</v>
      </c>
      <c r="B48" s="158" t="s">
        <v>11090</v>
      </c>
      <c r="C48" s="158" t="s">
        <v>11182</v>
      </c>
      <c r="D48" s="158" t="s">
        <v>11183</v>
      </c>
      <c r="E48" s="102" t="s">
        <v>15</v>
      </c>
      <c r="F48" s="102" t="s">
        <v>10250</v>
      </c>
      <c r="G48" s="109" t="s">
        <v>16</v>
      </c>
      <c r="H48" s="32">
        <v>200</v>
      </c>
      <c r="I48" s="32">
        <v>200</v>
      </c>
      <c r="J48" s="109"/>
      <c r="K48" s="160"/>
      <c r="L48" s="105">
        <v>20201118</v>
      </c>
    </row>
    <row r="49" s="146" customFormat="1" ht="15.2" customHeight="1" spans="1:12">
      <c r="A49" s="109">
        <v>47</v>
      </c>
      <c r="B49" s="158" t="s">
        <v>11090</v>
      </c>
      <c r="C49" s="158" t="s">
        <v>11184</v>
      </c>
      <c r="D49" s="158" t="s">
        <v>11185</v>
      </c>
      <c r="E49" s="102" t="s">
        <v>15</v>
      </c>
      <c r="F49" s="102" t="s">
        <v>10250</v>
      </c>
      <c r="G49" s="109" t="s">
        <v>16</v>
      </c>
      <c r="H49" s="32">
        <v>200</v>
      </c>
      <c r="I49" s="32">
        <v>200</v>
      </c>
      <c r="J49" s="109"/>
      <c r="K49" s="160"/>
      <c r="L49" s="105">
        <v>20201118</v>
      </c>
    </row>
    <row r="50" s="146" customFormat="1" ht="15.2" customHeight="1" spans="1:12">
      <c r="A50" s="109">
        <v>48</v>
      </c>
      <c r="B50" s="158" t="s">
        <v>11090</v>
      </c>
      <c r="C50" s="158" t="s">
        <v>11186</v>
      </c>
      <c r="D50" s="158" t="s">
        <v>11187</v>
      </c>
      <c r="E50" s="102" t="s">
        <v>15</v>
      </c>
      <c r="F50" s="102" t="s">
        <v>10250</v>
      </c>
      <c r="G50" s="109" t="s">
        <v>16</v>
      </c>
      <c r="H50" s="32">
        <v>1000</v>
      </c>
      <c r="I50" s="32">
        <v>1000</v>
      </c>
      <c r="J50" s="109"/>
      <c r="K50" s="160"/>
      <c r="L50" s="105">
        <v>20201118</v>
      </c>
    </row>
    <row r="51" s="146" customFormat="1" ht="15.2" customHeight="1" spans="1:12">
      <c r="A51" s="109">
        <v>49</v>
      </c>
      <c r="B51" s="158" t="s">
        <v>11090</v>
      </c>
      <c r="C51" s="158" t="s">
        <v>11188</v>
      </c>
      <c r="D51" s="158" t="s">
        <v>11189</v>
      </c>
      <c r="E51" s="102" t="s">
        <v>15</v>
      </c>
      <c r="F51" s="102" t="s">
        <v>10250</v>
      </c>
      <c r="G51" s="109" t="s">
        <v>16</v>
      </c>
      <c r="H51" s="32">
        <v>200</v>
      </c>
      <c r="I51" s="32">
        <v>200</v>
      </c>
      <c r="J51" s="109"/>
      <c r="K51" s="160"/>
      <c r="L51" s="105">
        <v>20201118</v>
      </c>
    </row>
    <row r="52" s="146" customFormat="1" ht="15.2" customHeight="1" spans="1:12">
      <c r="A52" s="109">
        <v>50</v>
      </c>
      <c r="B52" s="158" t="s">
        <v>11090</v>
      </c>
      <c r="C52" s="158" t="s">
        <v>11190</v>
      </c>
      <c r="D52" s="158" t="s">
        <v>11191</v>
      </c>
      <c r="E52" s="102" t="s">
        <v>15</v>
      </c>
      <c r="F52" s="102" t="s">
        <v>10250</v>
      </c>
      <c r="G52" s="109" t="s">
        <v>16</v>
      </c>
      <c r="H52" s="32">
        <v>200</v>
      </c>
      <c r="I52" s="32">
        <v>200</v>
      </c>
      <c r="J52" s="109"/>
      <c r="K52" s="160"/>
      <c r="L52" s="105">
        <v>20201118</v>
      </c>
    </row>
    <row r="53" s="146" customFormat="1" ht="15.2" customHeight="1" spans="1:12">
      <c r="A53" s="109">
        <v>51</v>
      </c>
      <c r="B53" s="158" t="s">
        <v>11090</v>
      </c>
      <c r="C53" s="158" t="s">
        <v>11192</v>
      </c>
      <c r="D53" s="158" t="s">
        <v>11193</v>
      </c>
      <c r="E53" s="102" t="s">
        <v>15</v>
      </c>
      <c r="F53" s="102" t="s">
        <v>10250</v>
      </c>
      <c r="G53" s="109" t="s">
        <v>16</v>
      </c>
      <c r="H53" s="32">
        <v>200</v>
      </c>
      <c r="I53" s="32">
        <v>200</v>
      </c>
      <c r="J53" s="109"/>
      <c r="K53" s="160"/>
      <c r="L53" s="105">
        <v>20201118</v>
      </c>
    </row>
    <row r="54" s="146" customFormat="1" ht="15.2" customHeight="1" spans="1:12">
      <c r="A54" s="109">
        <v>52</v>
      </c>
      <c r="B54" s="158" t="s">
        <v>11090</v>
      </c>
      <c r="C54" s="158" t="s">
        <v>11194</v>
      </c>
      <c r="D54" s="158" t="s">
        <v>11195</v>
      </c>
      <c r="E54" s="102" t="s">
        <v>15</v>
      </c>
      <c r="F54" s="102" t="s">
        <v>10250</v>
      </c>
      <c r="G54" s="109" t="s">
        <v>16</v>
      </c>
      <c r="H54" s="32">
        <v>300</v>
      </c>
      <c r="I54" s="32">
        <v>300</v>
      </c>
      <c r="J54" s="109"/>
      <c r="K54" s="160"/>
      <c r="L54" s="105">
        <v>20201118</v>
      </c>
    </row>
    <row r="55" s="146" customFormat="1" ht="15.2" customHeight="1" spans="1:12">
      <c r="A55" s="109">
        <v>53</v>
      </c>
      <c r="B55" s="158" t="s">
        <v>11090</v>
      </c>
      <c r="C55" s="109" t="s">
        <v>11196</v>
      </c>
      <c r="D55" s="159" t="s">
        <v>11197</v>
      </c>
      <c r="E55" s="102" t="s">
        <v>15</v>
      </c>
      <c r="F55" s="102" t="s">
        <v>10250</v>
      </c>
      <c r="G55" s="109" t="s">
        <v>16</v>
      </c>
      <c r="H55" s="32">
        <v>200</v>
      </c>
      <c r="I55" s="32">
        <v>200</v>
      </c>
      <c r="J55" s="109"/>
      <c r="K55" s="160"/>
      <c r="L55" s="105">
        <v>20201118</v>
      </c>
    </row>
    <row r="56" s="146" customFormat="1" ht="15.2" customHeight="1" spans="1:12">
      <c r="A56" s="109">
        <v>54</v>
      </c>
      <c r="B56" s="158" t="s">
        <v>11090</v>
      </c>
      <c r="C56" s="158" t="s">
        <v>11198</v>
      </c>
      <c r="D56" s="158" t="s">
        <v>11199</v>
      </c>
      <c r="E56" s="102" t="s">
        <v>15</v>
      </c>
      <c r="F56" s="102" t="s">
        <v>10250</v>
      </c>
      <c r="G56" s="109" t="s">
        <v>16</v>
      </c>
      <c r="H56" s="32">
        <v>200</v>
      </c>
      <c r="I56" s="32">
        <v>200</v>
      </c>
      <c r="J56" s="109"/>
      <c r="K56" s="160"/>
      <c r="L56" s="105">
        <v>20201118</v>
      </c>
    </row>
    <row r="57" s="146" customFormat="1" ht="15.2" customHeight="1" spans="1:12">
      <c r="A57" s="109">
        <v>55</v>
      </c>
      <c r="B57" s="158" t="s">
        <v>11090</v>
      </c>
      <c r="C57" s="158" t="s">
        <v>11200</v>
      </c>
      <c r="D57" s="158" t="s">
        <v>11201</v>
      </c>
      <c r="E57" s="102" t="s">
        <v>15</v>
      </c>
      <c r="F57" s="102" t="s">
        <v>10250</v>
      </c>
      <c r="G57" s="109" t="s">
        <v>16</v>
      </c>
      <c r="H57" s="32">
        <v>200</v>
      </c>
      <c r="I57" s="32">
        <v>200</v>
      </c>
      <c r="J57" s="109"/>
      <c r="K57" s="160"/>
      <c r="L57" s="105">
        <v>20201118</v>
      </c>
    </row>
    <row r="58" s="146" customFormat="1" ht="15.2" customHeight="1" spans="1:12">
      <c r="A58" s="109">
        <v>56</v>
      </c>
      <c r="B58" s="158" t="s">
        <v>11090</v>
      </c>
      <c r="C58" s="158" t="s">
        <v>9865</v>
      </c>
      <c r="D58" s="158" t="s">
        <v>11202</v>
      </c>
      <c r="E58" s="102" t="s">
        <v>15</v>
      </c>
      <c r="F58" s="102" t="s">
        <v>10250</v>
      </c>
      <c r="G58" s="109" t="s">
        <v>16</v>
      </c>
      <c r="H58" s="32">
        <v>200</v>
      </c>
      <c r="I58" s="32">
        <v>200</v>
      </c>
      <c r="J58" s="109"/>
      <c r="K58" s="160"/>
      <c r="L58" s="105">
        <v>20201118</v>
      </c>
    </row>
    <row r="59" s="146" customFormat="1" ht="15.2" customHeight="1" spans="1:12">
      <c r="A59" s="109">
        <v>57</v>
      </c>
      <c r="B59" s="158" t="s">
        <v>11090</v>
      </c>
      <c r="C59" s="158" t="s">
        <v>11203</v>
      </c>
      <c r="D59" s="158" t="s">
        <v>11204</v>
      </c>
      <c r="E59" s="102" t="s">
        <v>15</v>
      </c>
      <c r="F59" s="102" t="s">
        <v>10250</v>
      </c>
      <c r="G59" s="109" t="s">
        <v>16</v>
      </c>
      <c r="H59" s="32">
        <v>200</v>
      </c>
      <c r="I59" s="32">
        <v>200</v>
      </c>
      <c r="J59" s="109"/>
      <c r="K59" s="160"/>
      <c r="L59" s="105">
        <v>20201118</v>
      </c>
    </row>
    <row r="60" s="146" customFormat="1" ht="15.2" customHeight="1" spans="1:12">
      <c r="A60" s="109">
        <v>58</v>
      </c>
      <c r="B60" s="158" t="s">
        <v>11090</v>
      </c>
      <c r="C60" s="158" t="s">
        <v>11205</v>
      </c>
      <c r="D60" s="158" t="s">
        <v>11206</v>
      </c>
      <c r="E60" s="102" t="s">
        <v>15</v>
      </c>
      <c r="F60" s="102" t="s">
        <v>10250</v>
      </c>
      <c r="G60" s="109" t="s">
        <v>16</v>
      </c>
      <c r="H60" s="32">
        <v>200</v>
      </c>
      <c r="I60" s="32">
        <v>200</v>
      </c>
      <c r="J60" s="109"/>
      <c r="K60" s="160"/>
      <c r="L60" s="105">
        <v>20201118</v>
      </c>
    </row>
    <row r="61" s="146" customFormat="1" ht="15.2" customHeight="1" spans="1:12">
      <c r="A61" s="109">
        <v>59</v>
      </c>
      <c r="B61" s="158" t="s">
        <v>11090</v>
      </c>
      <c r="C61" s="158" t="s">
        <v>11207</v>
      </c>
      <c r="D61" s="158" t="s">
        <v>11208</v>
      </c>
      <c r="E61" s="102" t="s">
        <v>15</v>
      </c>
      <c r="F61" s="102" t="s">
        <v>10250</v>
      </c>
      <c r="G61" s="109" t="s">
        <v>16</v>
      </c>
      <c r="H61" s="32">
        <v>200</v>
      </c>
      <c r="I61" s="32">
        <v>200</v>
      </c>
      <c r="J61" s="109"/>
      <c r="K61" s="160"/>
      <c r="L61" s="105">
        <v>20201118</v>
      </c>
    </row>
    <row r="62" s="146" customFormat="1" ht="15.2" customHeight="1" spans="1:12">
      <c r="A62" s="109">
        <v>60</v>
      </c>
      <c r="B62" s="158" t="s">
        <v>11090</v>
      </c>
      <c r="C62" s="158" t="s">
        <v>11209</v>
      </c>
      <c r="D62" s="158" t="s">
        <v>11210</v>
      </c>
      <c r="E62" s="102" t="s">
        <v>15</v>
      </c>
      <c r="F62" s="102" t="s">
        <v>10250</v>
      </c>
      <c r="G62" s="109" t="s">
        <v>16</v>
      </c>
      <c r="H62" s="32">
        <v>200</v>
      </c>
      <c r="I62" s="32">
        <v>200</v>
      </c>
      <c r="J62" s="109"/>
      <c r="K62" s="160"/>
      <c r="L62" s="105">
        <v>20201118</v>
      </c>
    </row>
    <row r="63" s="146" customFormat="1" ht="15.2" customHeight="1" spans="1:12">
      <c r="A63" s="109">
        <v>61</v>
      </c>
      <c r="B63" s="158" t="s">
        <v>11090</v>
      </c>
      <c r="C63" s="158" t="s">
        <v>11211</v>
      </c>
      <c r="D63" s="158" t="s">
        <v>11212</v>
      </c>
      <c r="E63" s="102" t="s">
        <v>15</v>
      </c>
      <c r="F63" s="102" t="s">
        <v>10250</v>
      </c>
      <c r="G63" s="109" t="s">
        <v>16</v>
      </c>
      <c r="H63" s="32">
        <v>200</v>
      </c>
      <c r="I63" s="32">
        <v>200</v>
      </c>
      <c r="J63" s="109"/>
      <c r="K63" s="160"/>
      <c r="L63" s="105">
        <v>20201118</v>
      </c>
    </row>
    <row r="64" s="146" customFormat="1" ht="15.2" customHeight="1" spans="1:12">
      <c r="A64" s="109">
        <v>62</v>
      </c>
      <c r="B64" s="158" t="s">
        <v>11090</v>
      </c>
      <c r="C64" s="158" t="s">
        <v>11213</v>
      </c>
      <c r="D64" s="158" t="s">
        <v>11214</v>
      </c>
      <c r="E64" s="102" t="s">
        <v>15</v>
      </c>
      <c r="F64" s="102" t="s">
        <v>10250</v>
      </c>
      <c r="G64" s="109" t="s">
        <v>16</v>
      </c>
      <c r="H64" s="32">
        <v>200</v>
      </c>
      <c r="I64" s="32">
        <v>200</v>
      </c>
      <c r="J64" s="109"/>
      <c r="K64" s="160"/>
      <c r="L64" s="105">
        <v>20201118</v>
      </c>
    </row>
    <row r="65" s="146" customFormat="1" ht="15.2" customHeight="1" spans="1:12">
      <c r="A65" s="109">
        <v>63</v>
      </c>
      <c r="B65" s="158" t="s">
        <v>11090</v>
      </c>
      <c r="C65" s="158" t="s">
        <v>11215</v>
      </c>
      <c r="D65" s="158" t="s">
        <v>11216</v>
      </c>
      <c r="E65" s="102" t="s">
        <v>15</v>
      </c>
      <c r="F65" s="102" t="s">
        <v>10250</v>
      </c>
      <c r="G65" s="109" t="s">
        <v>16</v>
      </c>
      <c r="H65" s="32">
        <v>200</v>
      </c>
      <c r="I65" s="32">
        <v>200</v>
      </c>
      <c r="J65" s="109"/>
      <c r="K65" s="160"/>
      <c r="L65" s="105">
        <v>20201118</v>
      </c>
    </row>
    <row r="66" s="146" customFormat="1" ht="15.2" customHeight="1" spans="1:12">
      <c r="A66" s="109">
        <v>64</v>
      </c>
      <c r="B66" s="158" t="s">
        <v>11090</v>
      </c>
      <c r="C66" s="158" t="s">
        <v>11217</v>
      </c>
      <c r="D66" s="158" t="s">
        <v>11218</v>
      </c>
      <c r="E66" s="102" t="s">
        <v>15</v>
      </c>
      <c r="F66" s="102" t="s">
        <v>10250</v>
      </c>
      <c r="G66" s="109" t="s">
        <v>16</v>
      </c>
      <c r="H66" s="32">
        <v>200</v>
      </c>
      <c r="I66" s="32">
        <v>200</v>
      </c>
      <c r="J66" s="109"/>
      <c r="K66" s="160"/>
      <c r="L66" s="105">
        <v>20201118</v>
      </c>
    </row>
    <row r="67" s="146" customFormat="1" ht="15.2" customHeight="1" spans="1:12">
      <c r="A67" s="109">
        <v>65</v>
      </c>
      <c r="B67" s="158" t="s">
        <v>11090</v>
      </c>
      <c r="C67" s="158" t="s">
        <v>11219</v>
      </c>
      <c r="D67" s="158" t="s">
        <v>11220</v>
      </c>
      <c r="E67" s="102" t="s">
        <v>15</v>
      </c>
      <c r="F67" s="102" t="s">
        <v>10250</v>
      </c>
      <c r="G67" s="109" t="s">
        <v>16</v>
      </c>
      <c r="H67" s="32">
        <v>200</v>
      </c>
      <c r="I67" s="32">
        <v>200</v>
      </c>
      <c r="J67" s="109"/>
      <c r="K67" s="160"/>
      <c r="L67" s="105">
        <v>20201118</v>
      </c>
    </row>
    <row r="68" s="146" customFormat="1" ht="15.2" customHeight="1" spans="1:12">
      <c r="A68" s="109">
        <v>66</v>
      </c>
      <c r="B68" s="158" t="s">
        <v>11090</v>
      </c>
      <c r="C68" s="158" t="s">
        <v>11221</v>
      </c>
      <c r="D68" s="158" t="s">
        <v>11222</v>
      </c>
      <c r="E68" s="102" t="s">
        <v>15</v>
      </c>
      <c r="F68" s="102" t="s">
        <v>10250</v>
      </c>
      <c r="G68" s="109" t="s">
        <v>16</v>
      </c>
      <c r="H68" s="32">
        <v>200</v>
      </c>
      <c r="I68" s="32">
        <v>200</v>
      </c>
      <c r="J68" s="109" t="s">
        <v>6097</v>
      </c>
      <c r="K68" s="160"/>
      <c r="L68" s="105">
        <v>20201118</v>
      </c>
    </row>
    <row r="69" s="146" customFormat="1" ht="15.2" customHeight="1" spans="1:12">
      <c r="A69" s="109">
        <v>67</v>
      </c>
      <c r="B69" s="158" t="s">
        <v>11090</v>
      </c>
      <c r="C69" s="158" t="s">
        <v>11223</v>
      </c>
      <c r="D69" s="158" t="s">
        <v>11224</v>
      </c>
      <c r="E69" s="102" t="s">
        <v>15</v>
      </c>
      <c r="F69" s="102" t="s">
        <v>10250</v>
      </c>
      <c r="G69" s="109" t="s">
        <v>16</v>
      </c>
      <c r="H69" s="32">
        <v>200</v>
      </c>
      <c r="I69" s="32">
        <v>200</v>
      </c>
      <c r="J69" s="109" t="s">
        <v>6097</v>
      </c>
      <c r="K69" s="160"/>
      <c r="L69" s="105">
        <v>20201118</v>
      </c>
    </row>
    <row r="70" s="146" customFormat="1" ht="15.2" customHeight="1" spans="1:12">
      <c r="A70" s="109">
        <v>68</v>
      </c>
      <c r="B70" s="158" t="s">
        <v>11090</v>
      </c>
      <c r="C70" s="158" t="s">
        <v>11225</v>
      </c>
      <c r="D70" s="158" t="s">
        <v>11226</v>
      </c>
      <c r="E70" s="102" t="s">
        <v>15</v>
      </c>
      <c r="F70" s="102" t="s">
        <v>10250</v>
      </c>
      <c r="G70" s="109" t="s">
        <v>16</v>
      </c>
      <c r="H70" s="32">
        <v>200</v>
      </c>
      <c r="I70" s="32">
        <v>200</v>
      </c>
      <c r="J70" s="109" t="s">
        <v>6097</v>
      </c>
      <c r="K70" s="160"/>
      <c r="L70" s="105">
        <v>20201118</v>
      </c>
    </row>
    <row r="71" s="146" customFormat="1" ht="15.2" customHeight="1" spans="1:12">
      <c r="A71" s="109">
        <v>69</v>
      </c>
      <c r="B71" s="158" t="s">
        <v>11090</v>
      </c>
      <c r="C71" s="158" t="s">
        <v>11227</v>
      </c>
      <c r="D71" s="158" t="s">
        <v>11228</v>
      </c>
      <c r="E71" s="102" t="s">
        <v>15</v>
      </c>
      <c r="F71" s="102" t="s">
        <v>10250</v>
      </c>
      <c r="G71" s="109" t="s">
        <v>16</v>
      </c>
      <c r="H71" s="32">
        <v>200</v>
      </c>
      <c r="I71" s="32">
        <v>200</v>
      </c>
      <c r="J71" s="109"/>
      <c r="K71" s="160"/>
      <c r="L71" s="105">
        <v>20201118</v>
      </c>
    </row>
    <row r="72" s="146" customFormat="1" ht="15.2" customHeight="1" spans="1:12">
      <c r="A72" s="109">
        <v>70</v>
      </c>
      <c r="B72" s="158" t="s">
        <v>11090</v>
      </c>
      <c r="C72" s="158" t="s">
        <v>11229</v>
      </c>
      <c r="D72" s="158" t="s">
        <v>11230</v>
      </c>
      <c r="E72" s="102" t="s">
        <v>15</v>
      </c>
      <c r="F72" s="102" t="s">
        <v>10250</v>
      </c>
      <c r="G72" s="109" t="s">
        <v>16</v>
      </c>
      <c r="H72" s="32">
        <v>200</v>
      </c>
      <c r="I72" s="32">
        <v>200</v>
      </c>
      <c r="J72" s="109"/>
      <c r="K72" s="160"/>
      <c r="L72" s="105">
        <v>20201118</v>
      </c>
    </row>
    <row r="73" s="146" customFormat="1" ht="15.2" customHeight="1" spans="1:12">
      <c r="A73" s="109">
        <v>71</v>
      </c>
      <c r="B73" s="158" t="s">
        <v>11090</v>
      </c>
      <c r="C73" s="158" t="s">
        <v>11231</v>
      </c>
      <c r="D73" s="158" t="s">
        <v>11232</v>
      </c>
      <c r="E73" s="102" t="s">
        <v>15</v>
      </c>
      <c r="F73" s="102" t="s">
        <v>10250</v>
      </c>
      <c r="G73" s="109" t="s">
        <v>16</v>
      </c>
      <c r="H73" s="32">
        <v>200</v>
      </c>
      <c r="I73" s="32">
        <v>200</v>
      </c>
      <c r="J73" s="109"/>
      <c r="K73" s="160"/>
      <c r="L73" s="105">
        <v>20201118</v>
      </c>
    </row>
    <row r="74" s="146" customFormat="1" ht="15.2" customHeight="1" spans="1:12">
      <c r="A74" s="109">
        <v>72</v>
      </c>
      <c r="B74" s="158" t="s">
        <v>11090</v>
      </c>
      <c r="C74" s="158" t="s">
        <v>7035</v>
      </c>
      <c r="D74" s="158" t="s">
        <v>11233</v>
      </c>
      <c r="E74" s="102" t="s">
        <v>15</v>
      </c>
      <c r="F74" s="102" t="s">
        <v>10250</v>
      </c>
      <c r="G74" s="109" t="s">
        <v>16</v>
      </c>
      <c r="H74" s="32">
        <v>200</v>
      </c>
      <c r="I74" s="32">
        <v>200</v>
      </c>
      <c r="J74" s="109"/>
      <c r="K74" s="160"/>
      <c r="L74" s="105">
        <v>20201118</v>
      </c>
    </row>
    <row r="75" s="146" customFormat="1" ht="15.2" customHeight="1" spans="1:12">
      <c r="A75" s="109">
        <v>73</v>
      </c>
      <c r="B75" s="158" t="s">
        <v>11090</v>
      </c>
      <c r="C75" s="158" t="s">
        <v>11234</v>
      </c>
      <c r="D75" s="158" t="s">
        <v>11235</v>
      </c>
      <c r="E75" s="102" t="s">
        <v>15</v>
      </c>
      <c r="F75" s="102" t="s">
        <v>10250</v>
      </c>
      <c r="G75" s="109" t="s">
        <v>16</v>
      </c>
      <c r="H75" s="32">
        <v>200</v>
      </c>
      <c r="I75" s="32">
        <v>200</v>
      </c>
      <c r="J75" s="109"/>
      <c r="K75" s="160"/>
      <c r="L75" s="105">
        <v>20201118</v>
      </c>
    </row>
    <row r="76" s="146" customFormat="1" ht="15.2" customHeight="1" spans="1:12">
      <c r="A76" s="109">
        <v>74</v>
      </c>
      <c r="B76" s="158" t="s">
        <v>11090</v>
      </c>
      <c r="C76" s="158" t="s">
        <v>11236</v>
      </c>
      <c r="D76" s="158" t="s">
        <v>11237</v>
      </c>
      <c r="E76" s="102" t="s">
        <v>15</v>
      </c>
      <c r="F76" s="102" t="s">
        <v>10250</v>
      </c>
      <c r="G76" s="109" t="s">
        <v>16</v>
      </c>
      <c r="H76" s="32">
        <v>200</v>
      </c>
      <c r="I76" s="32">
        <v>200</v>
      </c>
      <c r="J76" s="109"/>
      <c r="K76" s="160"/>
      <c r="L76" s="105">
        <v>20201118</v>
      </c>
    </row>
    <row r="77" s="146" customFormat="1" ht="15.2" customHeight="1" spans="1:12">
      <c r="A77" s="109">
        <v>75</v>
      </c>
      <c r="B77" s="158" t="s">
        <v>11090</v>
      </c>
      <c r="C77" s="158" t="s">
        <v>11238</v>
      </c>
      <c r="D77" s="158" t="s">
        <v>11239</v>
      </c>
      <c r="E77" s="102" t="s">
        <v>15</v>
      </c>
      <c r="F77" s="102" t="s">
        <v>10250</v>
      </c>
      <c r="G77" s="109" t="s">
        <v>16</v>
      </c>
      <c r="H77" s="32">
        <v>200</v>
      </c>
      <c r="I77" s="32">
        <v>200</v>
      </c>
      <c r="J77" s="109"/>
      <c r="K77" s="160"/>
      <c r="L77" s="105">
        <v>20201118</v>
      </c>
    </row>
    <row r="78" s="146" customFormat="1" ht="15.2" customHeight="1" spans="1:12">
      <c r="A78" s="109">
        <v>76</v>
      </c>
      <c r="B78" s="158" t="s">
        <v>11090</v>
      </c>
      <c r="C78" s="158" t="s">
        <v>11240</v>
      </c>
      <c r="D78" s="158" t="s">
        <v>11241</v>
      </c>
      <c r="E78" s="102" t="s">
        <v>15</v>
      </c>
      <c r="F78" s="102" t="s">
        <v>10250</v>
      </c>
      <c r="G78" s="109" t="s">
        <v>16</v>
      </c>
      <c r="H78" s="32">
        <v>200</v>
      </c>
      <c r="I78" s="32">
        <v>200</v>
      </c>
      <c r="J78" s="109"/>
      <c r="K78" s="160"/>
      <c r="L78" s="105">
        <v>20201118</v>
      </c>
    </row>
    <row r="79" s="146" customFormat="1" ht="15.2" customHeight="1" spans="1:12">
      <c r="A79" s="109">
        <v>77</v>
      </c>
      <c r="B79" s="158" t="s">
        <v>11090</v>
      </c>
      <c r="C79" s="158" t="s">
        <v>11242</v>
      </c>
      <c r="D79" s="158" t="s">
        <v>11243</v>
      </c>
      <c r="E79" s="102" t="s">
        <v>15</v>
      </c>
      <c r="F79" s="102" t="s">
        <v>10250</v>
      </c>
      <c r="G79" s="109" t="s">
        <v>16</v>
      </c>
      <c r="H79" s="32">
        <v>200</v>
      </c>
      <c r="I79" s="32">
        <v>200</v>
      </c>
      <c r="J79" s="109"/>
      <c r="K79" s="160"/>
      <c r="L79" s="105">
        <v>20201118</v>
      </c>
    </row>
    <row r="80" s="146" customFormat="1" ht="15.2" customHeight="1" spans="1:12">
      <c r="A80" s="109">
        <v>78</v>
      </c>
      <c r="B80" s="158" t="s">
        <v>11090</v>
      </c>
      <c r="C80" s="158" t="s">
        <v>11244</v>
      </c>
      <c r="D80" s="158" t="s">
        <v>11245</v>
      </c>
      <c r="E80" s="102" t="s">
        <v>15</v>
      </c>
      <c r="F80" s="102" t="s">
        <v>10250</v>
      </c>
      <c r="G80" s="109" t="s">
        <v>16</v>
      </c>
      <c r="H80" s="32">
        <v>200</v>
      </c>
      <c r="I80" s="32">
        <v>200</v>
      </c>
      <c r="J80" s="109"/>
      <c r="K80" s="160"/>
      <c r="L80" s="105">
        <v>20201118</v>
      </c>
    </row>
    <row r="81" s="146" customFormat="1" ht="15.2" customHeight="1" spans="1:12">
      <c r="A81" s="109">
        <v>79</v>
      </c>
      <c r="B81" s="158" t="s">
        <v>11090</v>
      </c>
      <c r="C81" s="158" t="s">
        <v>11246</v>
      </c>
      <c r="D81" s="158" t="s">
        <v>11247</v>
      </c>
      <c r="E81" s="102" t="s">
        <v>15</v>
      </c>
      <c r="F81" s="102" t="s">
        <v>10250</v>
      </c>
      <c r="G81" s="109" t="s">
        <v>16</v>
      </c>
      <c r="H81" s="32">
        <v>200</v>
      </c>
      <c r="I81" s="32">
        <v>200</v>
      </c>
      <c r="J81" s="109"/>
      <c r="K81" s="160"/>
      <c r="L81" s="105">
        <v>20201118</v>
      </c>
    </row>
    <row r="82" s="146" customFormat="1" ht="15.2" customHeight="1" spans="1:12">
      <c r="A82" s="109">
        <v>80</v>
      </c>
      <c r="B82" s="158" t="s">
        <v>11090</v>
      </c>
      <c r="C82" s="158" t="s">
        <v>11248</v>
      </c>
      <c r="D82" s="158" t="s">
        <v>11249</v>
      </c>
      <c r="E82" s="102" t="s">
        <v>15</v>
      </c>
      <c r="F82" s="102" t="s">
        <v>10250</v>
      </c>
      <c r="G82" s="109" t="s">
        <v>16</v>
      </c>
      <c r="H82" s="32">
        <v>1000</v>
      </c>
      <c r="I82" s="32">
        <v>1000</v>
      </c>
      <c r="J82" s="109"/>
      <c r="K82" s="160"/>
      <c r="L82" s="105">
        <v>20201118</v>
      </c>
    </row>
    <row r="83" s="146" customFormat="1" ht="15.2" customHeight="1" spans="1:12">
      <c r="A83" s="109">
        <v>81</v>
      </c>
      <c r="B83" s="158" t="s">
        <v>11090</v>
      </c>
      <c r="C83" s="158" t="s">
        <v>11250</v>
      </c>
      <c r="D83" s="158" t="s">
        <v>11251</v>
      </c>
      <c r="E83" s="102" t="s">
        <v>15</v>
      </c>
      <c r="F83" s="102" t="s">
        <v>10250</v>
      </c>
      <c r="G83" s="109" t="s">
        <v>16</v>
      </c>
      <c r="H83" s="32">
        <v>500</v>
      </c>
      <c r="I83" s="32">
        <v>500</v>
      </c>
      <c r="J83" s="109"/>
      <c r="K83" s="160"/>
      <c r="L83" s="105">
        <v>20201118</v>
      </c>
    </row>
    <row r="84" s="146" customFormat="1" ht="15.2" customHeight="1" spans="1:12">
      <c r="A84" s="109">
        <v>82</v>
      </c>
      <c r="B84" s="158" t="s">
        <v>11090</v>
      </c>
      <c r="C84" s="158" t="s">
        <v>11252</v>
      </c>
      <c r="D84" s="158" t="s">
        <v>11253</v>
      </c>
      <c r="E84" s="102" t="s">
        <v>15</v>
      </c>
      <c r="F84" s="102" t="s">
        <v>10250</v>
      </c>
      <c r="G84" s="109" t="s">
        <v>16</v>
      </c>
      <c r="H84" s="32">
        <v>200</v>
      </c>
      <c r="I84" s="32">
        <v>200</v>
      </c>
      <c r="J84" s="109"/>
      <c r="K84" s="160"/>
      <c r="L84" s="105">
        <v>20201118</v>
      </c>
    </row>
    <row r="85" s="146" customFormat="1" ht="15.2" customHeight="1" spans="1:12">
      <c r="A85" s="109">
        <v>83</v>
      </c>
      <c r="B85" s="158" t="s">
        <v>11090</v>
      </c>
      <c r="C85" s="158" t="s">
        <v>11254</v>
      </c>
      <c r="D85" s="158" t="s">
        <v>11255</v>
      </c>
      <c r="E85" s="102" t="s">
        <v>15</v>
      </c>
      <c r="F85" s="102" t="s">
        <v>10250</v>
      </c>
      <c r="G85" s="109" t="s">
        <v>16</v>
      </c>
      <c r="H85" s="32">
        <v>200</v>
      </c>
      <c r="I85" s="32">
        <v>200</v>
      </c>
      <c r="J85" s="109"/>
      <c r="K85" s="160"/>
      <c r="L85" s="105">
        <v>20201118</v>
      </c>
    </row>
    <row r="86" s="146" customFormat="1" ht="15.2" customHeight="1" spans="1:12">
      <c r="A86" s="109">
        <v>84</v>
      </c>
      <c r="B86" s="158" t="s">
        <v>11090</v>
      </c>
      <c r="C86" s="158" t="s">
        <v>1440</v>
      </c>
      <c r="D86" s="158" t="s">
        <v>11256</v>
      </c>
      <c r="E86" s="102" t="s">
        <v>15</v>
      </c>
      <c r="F86" s="102" t="s">
        <v>10250</v>
      </c>
      <c r="G86" s="109" t="s">
        <v>16</v>
      </c>
      <c r="H86" s="32">
        <v>200</v>
      </c>
      <c r="I86" s="32">
        <v>200</v>
      </c>
      <c r="J86" s="109"/>
      <c r="K86" s="160"/>
      <c r="L86" s="105">
        <v>20201118</v>
      </c>
    </row>
    <row r="87" s="146" customFormat="1" ht="15.2" customHeight="1" spans="1:12">
      <c r="A87" s="109">
        <v>85</v>
      </c>
      <c r="B87" s="158" t="s">
        <v>11090</v>
      </c>
      <c r="C87" s="158" t="s">
        <v>11257</v>
      </c>
      <c r="D87" s="158" t="s">
        <v>11258</v>
      </c>
      <c r="E87" s="102" t="s">
        <v>15</v>
      </c>
      <c r="F87" s="102" t="s">
        <v>10250</v>
      </c>
      <c r="G87" s="109" t="s">
        <v>16</v>
      </c>
      <c r="H87" s="32">
        <v>300</v>
      </c>
      <c r="I87" s="32">
        <v>300</v>
      </c>
      <c r="J87" s="109" t="s">
        <v>1242</v>
      </c>
      <c r="K87" s="160"/>
      <c r="L87" s="105">
        <v>20201118</v>
      </c>
    </row>
    <row r="88" s="146" customFormat="1" ht="15.2" customHeight="1" spans="1:12">
      <c r="A88" s="109">
        <v>86</v>
      </c>
      <c r="B88" s="158" t="s">
        <v>11090</v>
      </c>
      <c r="C88" s="158" t="s">
        <v>11259</v>
      </c>
      <c r="D88" s="158" t="s">
        <v>11260</v>
      </c>
      <c r="E88" s="102" t="s">
        <v>15</v>
      </c>
      <c r="F88" s="102" t="s">
        <v>10250</v>
      </c>
      <c r="G88" s="109" t="s">
        <v>16</v>
      </c>
      <c r="H88" s="32">
        <v>500</v>
      </c>
      <c r="I88" s="32">
        <v>500</v>
      </c>
      <c r="J88" s="109"/>
      <c r="K88" s="160"/>
      <c r="L88" s="105">
        <v>20201118</v>
      </c>
    </row>
    <row r="89" s="146" customFormat="1" ht="15.2" customHeight="1" spans="1:12">
      <c r="A89" s="109">
        <v>87</v>
      </c>
      <c r="B89" s="158" t="s">
        <v>11090</v>
      </c>
      <c r="C89" s="158" t="s">
        <v>11261</v>
      </c>
      <c r="D89" s="158" t="s">
        <v>11262</v>
      </c>
      <c r="E89" s="102" t="s">
        <v>15</v>
      </c>
      <c r="F89" s="102" t="s">
        <v>10250</v>
      </c>
      <c r="G89" s="109" t="s">
        <v>16</v>
      </c>
      <c r="H89" s="32">
        <v>200</v>
      </c>
      <c r="I89" s="32">
        <v>200</v>
      </c>
      <c r="J89" s="109" t="s">
        <v>6097</v>
      </c>
      <c r="K89" s="160"/>
      <c r="L89" s="105">
        <v>20201118</v>
      </c>
    </row>
    <row r="90" s="146" customFormat="1" ht="15.2" customHeight="1" spans="1:12">
      <c r="A90" s="109">
        <v>88</v>
      </c>
      <c r="B90" s="158" t="s">
        <v>11090</v>
      </c>
      <c r="C90" s="158" t="s">
        <v>11263</v>
      </c>
      <c r="D90" s="158" t="s">
        <v>11264</v>
      </c>
      <c r="E90" s="102" t="s">
        <v>15</v>
      </c>
      <c r="F90" s="102" t="s">
        <v>10250</v>
      </c>
      <c r="G90" s="109" t="s">
        <v>16</v>
      </c>
      <c r="H90" s="32">
        <v>200</v>
      </c>
      <c r="I90" s="32">
        <v>200</v>
      </c>
      <c r="J90" s="109" t="s">
        <v>6097</v>
      </c>
      <c r="K90" s="160"/>
      <c r="L90" s="105">
        <v>20201118</v>
      </c>
    </row>
    <row r="91" s="146" customFormat="1" ht="15.2" customHeight="1" spans="1:12">
      <c r="A91" s="109">
        <v>89</v>
      </c>
      <c r="B91" s="158" t="s">
        <v>11090</v>
      </c>
      <c r="C91" s="158" t="s">
        <v>11265</v>
      </c>
      <c r="D91" s="158" t="s">
        <v>11266</v>
      </c>
      <c r="E91" s="102" t="s">
        <v>15</v>
      </c>
      <c r="F91" s="102" t="s">
        <v>10250</v>
      </c>
      <c r="G91" s="109" t="s">
        <v>16</v>
      </c>
      <c r="H91" s="32">
        <v>200</v>
      </c>
      <c r="I91" s="32">
        <v>200</v>
      </c>
      <c r="J91" s="109"/>
      <c r="K91" s="160"/>
      <c r="L91" s="105">
        <v>20201118</v>
      </c>
    </row>
    <row r="92" s="146" customFormat="1" ht="15.2" customHeight="1" spans="1:12">
      <c r="A92" s="109">
        <v>90</v>
      </c>
      <c r="B92" s="158" t="s">
        <v>11090</v>
      </c>
      <c r="C92" s="158" t="s">
        <v>11267</v>
      </c>
      <c r="D92" s="158" t="s">
        <v>11268</v>
      </c>
      <c r="E92" s="102" t="s">
        <v>15</v>
      </c>
      <c r="F92" s="102" t="s">
        <v>10250</v>
      </c>
      <c r="G92" s="109" t="s">
        <v>16</v>
      </c>
      <c r="H92" s="32">
        <v>200</v>
      </c>
      <c r="I92" s="32">
        <v>200</v>
      </c>
      <c r="J92" s="109"/>
      <c r="K92" s="160"/>
      <c r="L92" s="105">
        <v>20201118</v>
      </c>
    </row>
    <row r="93" s="146" customFormat="1" ht="15.2" customHeight="1" spans="1:12">
      <c r="A93" s="109">
        <v>91</v>
      </c>
      <c r="B93" s="158" t="s">
        <v>11090</v>
      </c>
      <c r="C93" s="158" t="s">
        <v>11269</v>
      </c>
      <c r="D93" s="158" t="s">
        <v>11270</v>
      </c>
      <c r="E93" s="102" t="s">
        <v>15</v>
      </c>
      <c r="F93" s="102" t="s">
        <v>10250</v>
      </c>
      <c r="G93" s="109" t="s">
        <v>16</v>
      </c>
      <c r="H93" s="32">
        <v>200</v>
      </c>
      <c r="I93" s="32">
        <v>200</v>
      </c>
      <c r="J93" s="109"/>
      <c r="K93" s="160"/>
      <c r="L93" s="105">
        <v>20201118</v>
      </c>
    </row>
    <row r="94" s="146" customFormat="1" ht="15.2" customHeight="1" spans="1:12">
      <c r="A94" s="109">
        <v>92</v>
      </c>
      <c r="B94" s="158" t="s">
        <v>11090</v>
      </c>
      <c r="C94" s="158" t="s">
        <v>11271</v>
      </c>
      <c r="D94" s="158" t="s">
        <v>11272</v>
      </c>
      <c r="E94" s="102" t="s">
        <v>15</v>
      </c>
      <c r="F94" s="102" t="s">
        <v>10250</v>
      </c>
      <c r="G94" s="109" t="s">
        <v>16</v>
      </c>
      <c r="H94" s="32">
        <v>200</v>
      </c>
      <c r="I94" s="32">
        <v>200</v>
      </c>
      <c r="J94" s="109"/>
      <c r="K94" s="160"/>
      <c r="L94" s="105">
        <v>20201118</v>
      </c>
    </row>
    <row r="95" s="146" customFormat="1" ht="15.2" customHeight="1" spans="1:12">
      <c r="A95" s="109">
        <v>93</v>
      </c>
      <c r="B95" s="158" t="s">
        <v>11090</v>
      </c>
      <c r="C95" s="158" t="s">
        <v>11273</v>
      </c>
      <c r="D95" s="158" t="s">
        <v>11274</v>
      </c>
      <c r="E95" s="102" t="s">
        <v>15</v>
      </c>
      <c r="F95" s="102" t="s">
        <v>10250</v>
      </c>
      <c r="G95" s="109" t="s">
        <v>16</v>
      </c>
      <c r="H95" s="32">
        <v>200</v>
      </c>
      <c r="I95" s="32">
        <v>200</v>
      </c>
      <c r="J95" s="109"/>
      <c r="K95" s="160"/>
      <c r="L95" s="105">
        <v>20201118</v>
      </c>
    </row>
    <row r="96" s="146" customFormat="1" ht="15.2" customHeight="1" spans="1:12">
      <c r="A96" s="109">
        <v>94</v>
      </c>
      <c r="B96" s="158" t="s">
        <v>11090</v>
      </c>
      <c r="C96" s="158" t="s">
        <v>11275</v>
      </c>
      <c r="D96" s="158" t="s">
        <v>11276</v>
      </c>
      <c r="E96" s="102" t="s">
        <v>15</v>
      </c>
      <c r="F96" s="102" t="s">
        <v>10250</v>
      </c>
      <c r="G96" s="109" t="s">
        <v>16</v>
      </c>
      <c r="H96" s="32">
        <v>200</v>
      </c>
      <c r="I96" s="32">
        <v>200</v>
      </c>
      <c r="J96" s="109" t="s">
        <v>6097</v>
      </c>
      <c r="K96" s="160"/>
      <c r="L96" s="105">
        <v>20201118</v>
      </c>
    </row>
    <row r="97" s="146" customFormat="1" ht="15.2" customHeight="1" spans="1:12">
      <c r="A97" s="109">
        <v>95</v>
      </c>
      <c r="B97" s="158" t="s">
        <v>11090</v>
      </c>
      <c r="C97" s="158" t="s">
        <v>11277</v>
      </c>
      <c r="D97" s="158" t="s">
        <v>11278</v>
      </c>
      <c r="E97" s="102" t="s">
        <v>15</v>
      </c>
      <c r="F97" s="102" t="s">
        <v>10250</v>
      </c>
      <c r="G97" s="109" t="s">
        <v>16</v>
      </c>
      <c r="H97" s="32">
        <v>200</v>
      </c>
      <c r="I97" s="32">
        <v>200</v>
      </c>
      <c r="J97" s="109"/>
      <c r="K97" s="160"/>
      <c r="L97" s="105">
        <v>20201118</v>
      </c>
    </row>
    <row r="98" s="146" customFormat="1" ht="15.2" customHeight="1" spans="1:12">
      <c r="A98" s="109">
        <v>96</v>
      </c>
      <c r="B98" s="158" t="s">
        <v>11090</v>
      </c>
      <c r="C98" s="158" t="s">
        <v>11279</v>
      </c>
      <c r="D98" s="158" t="s">
        <v>11280</v>
      </c>
      <c r="E98" s="102" t="s">
        <v>15</v>
      </c>
      <c r="F98" s="102" t="s">
        <v>10250</v>
      </c>
      <c r="G98" s="109" t="s">
        <v>16</v>
      </c>
      <c r="H98" s="32">
        <v>200</v>
      </c>
      <c r="I98" s="32">
        <v>200</v>
      </c>
      <c r="J98" s="109"/>
      <c r="K98" s="160"/>
      <c r="L98" s="105">
        <v>20201118</v>
      </c>
    </row>
    <row r="99" s="146" customFormat="1" ht="15.2" customHeight="1" spans="1:12">
      <c r="A99" s="109">
        <v>97</v>
      </c>
      <c r="B99" s="158" t="s">
        <v>11090</v>
      </c>
      <c r="C99" s="158" t="s">
        <v>11281</v>
      </c>
      <c r="D99" s="158" t="s">
        <v>11282</v>
      </c>
      <c r="E99" s="102" t="s">
        <v>15</v>
      </c>
      <c r="F99" s="102" t="s">
        <v>10250</v>
      </c>
      <c r="G99" s="109" t="s">
        <v>16</v>
      </c>
      <c r="H99" s="32">
        <v>500</v>
      </c>
      <c r="I99" s="32">
        <v>500</v>
      </c>
      <c r="J99" s="109"/>
      <c r="K99" s="160"/>
      <c r="L99" s="105">
        <v>20201118</v>
      </c>
    </row>
    <row r="100" s="146" customFormat="1" ht="15.2" customHeight="1" spans="1:12">
      <c r="A100" s="109">
        <v>98</v>
      </c>
      <c r="B100" s="158" t="s">
        <v>11090</v>
      </c>
      <c r="C100" s="158" t="s">
        <v>11283</v>
      </c>
      <c r="D100" s="158" t="s">
        <v>11284</v>
      </c>
      <c r="E100" s="102" t="s">
        <v>15</v>
      </c>
      <c r="F100" s="102" t="s">
        <v>10250</v>
      </c>
      <c r="G100" s="109" t="s">
        <v>16</v>
      </c>
      <c r="H100" s="32">
        <v>200</v>
      </c>
      <c r="I100" s="32">
        <v>200</v>
      </c>
      <c r="J100" s="109"/>
      <c r="K100" s="160"/>
      <c r="L100" s="105">
        <v>20201118</v>
      </c>
    </row>
    <row r="101" s="146" customFormat="1" ht="15.2" customHeight="1" spans="1:12">
      <c r="A101" s="109">
        <v>99</v>
      </c>
      <c r="B101" s="158" t="s">
        <v>11090</v>
      </c>
      <c r="C101" s="158" t="s">
        <v>11285</v>
      </c>
      <c r="D101" s="158" t="s">
        <v>11286</v>
      </c>
      <c r="E101" s="102" t="s">
        <v>15</v>
      </c>
      <c r="F101" s="102" t="s">
        <v>10250</v>
      </c>
      <c r="G101" s="109" t="s">
        <v>16</v>
      </c>
      <c r="H101" s="32">
        <v>200</v>
      </c>
      <c r="I101" s="32">
        <v>200</v>
      </c>
      <c r="J101" s="109"/>
      <c r="K101" s="160"/>
      <c r="L101" s="105">
        <v>20201118</v>
      </c>
    </row>
    <row r="102" s="146" customFormat="1" ht="15.2" customHeight="1" spans="1:12">
      <c r="A102" s="109">
        <v>100</v>
      </c>
      <c r="B102" s="158" t="s">
        <v>11090</v>
      </c>
      <c r="C102" s="158" t="s">
        <v>11287</v>
      </c>
      <c r="D102" s="158" t="s">
        <v>11288</v>
      </c>
      <c r="E102" s="102" t="s">
        <v>15</v>
      </c>
      <c r="F102" s="102" t="s">
        <v>10250</v>
      </c>
      <c r="G102" s="109" t="s">
        <v>16</v>
      </c>
      <c r="H102" s="32">
        <v>200</v>
      </c>
      <c r="I102" s="32">
        <v>200</v>
      </c>
      <c r="J102" s="109" t="s">
        <v>1242</v>
      </c>
      <c r="K102" s="160"/>
      <c r="L102" s="105">
        <v>20201118</v>
      </c>
    </row>
    <row r="103" s="146" customFormat="1" ht="15.2" customHeight="1" spans="1:12">
      <c r="A103" s="109">
        <v>101</v>
      </c>
      <c r="B103" s="158" t="s">
        <v>11090</v>
      </c>
      <c r="C103" s="158" t="s">
        <v>1243</v>
      </c>
      <c r="D103" s="158" t="s">
        <v>11289</v>
      </c>
      <c r="E103" s="102" t="s">
        <v>15</v>
      </c>
      <c r="F103" s="102" t="s">
        <v>10250</v>
      </c>
      <c r="G103" s="109" t="s">
        <v>16</v>
      </c>
      <c r="H103" s="32">
        <v>200</v>
      </c>
      <c r="I103" s="32">
        <v>200</v>
      </c>
      <c r="J103" s="109" t="s">
        <v>1242</v>
      </c>
      <c r="K103" s="160"/>
      <c r="L103" s="105">
        <v>20201118</v>
      </c>
    </row>
    <row r="104" s="146" customFormat="1" ht="15.2" customHeight="1" spans="1:12">
      <c r="A104" s="109">
        <v>102</v>
      </c>
      <c r="B104" s="158" t="s">
        <v>11090</v>
      </c>
      <c r="C104" s="158" t="s">
        <v>3122</v>
      </c>
      <c r="D104" s="158" t="s">
        <v>11290</v>
      </c>
      <c r="E104" s="102" t="s">
        <v>15</v>
      </c>
      <c r="F104" s="102" t="s">
        <v>10250</v>
      </c>
      <c r="G104" s="109" t="s">
        <v>16</v>
      </c>
      <c r="H104" s="32">
        <v>200</v>
      </c>
      <c r="I104" s="32">
        <v>200</v>
      </c>
      <c r="J104" s="109"/>
      <c r="K104" s="160"/>
      <c r="L104" s="105">
        <v>20201118</v>
      </c>
    </row>
    <row r="105" s="146" customFormat="1" ht="15.2" customHeight="1" spans="1:12">
      <c r="A105" s="109">
        <v>103</v>
      </c>
      <c r="B105" s="158" t="s">
        <v>11090</v>
      </c>
      <c r="C105" s="158" t="s">
        <v>11291</v>
      </c>
      <c r="D105" s="158" t="s">
        <v>11292</v>
      </c>
      <c r="E105" s="102" t="s">
        <v>15</v>
      </c>
      <c r="F105" s="102" t="s">
        <v>10250</v>
      </c>
      <c r="G105" s="109" t="s">
        <v>16</v>
      </c>
      <c r="H105" s="32">
        <v>200</v>
      </c>
      <c r="I105" s="32">
        <v>200</v>
      </c>
      <c r="J105" s="109"/>
      <c r="K105" s="160"/>
      <c r="L105" s="105">
        <v>20201118</v>
      </c>
    </row>
    <row r="106" s="146" customFormat="1" ht="15.2" customHeight="1" spans="1:12">
      <c r="A106" s="109">
        <v>104</v>
      </c>
      <c r="B106" s="158" t="s">
        <v>11090</v>
      </c>
      <c r="C106" s="158" t="s">
        <v>11293</v>
      </c>
      <c r="D106" s="158" t="s">
        <v>11294</v>
      </c>
      <c r="E106" s="102" t="s">
        <v>15</v>
      </c>
      <c r="F106" s="102" t="s">
        <v>10250</v>
      </c>
      <c r="G106" s="109" t="s">
        <v>16</v>
      </c>
      <c r="H106" s="32">
        <v>400</v>
      </c>
      <c r="I106" s="32">
        <v>400</v>
      </c>
      <c r="J106" s="109"/>
      <c r="K106" s="160"/>
      <c r="L106" s="105">
        <v>20201118</v>
      </c>
    </row>
    <row r="107" s="146" customFormat="1" ht="15.2" customHeight="1" spans="1:12">
      <c r="A107" s="109">
        <v>105</v>
      </c>
      <c r="B107" s="158" t="s">
        <v>11090</v>
      </c>
      <c r="C107" s="158" t="s">
        <v>11295</v>
      </c>
      <c r="D107" s="158" t="s">
        <v>11296</v>
      </c>
      <c r="E107" s="102" t="s">
        <v>15</v>
      </c>
      <c r="F107" s="102" t="s">
        <v>10250</v>
      </c>
      <c r="G107" s="109" t="s">
        <v>16</v>
      </c>
      <c r="H107" s="32">
        <v>200</v>
      </c>
      <c r="I107" s="32">
        <v>200</v>
      </c>
      <c r="J107" s="109"/>
      <c r="K107" s="160"/>
      <c r="L107" s="105">
        <v>20201118</v>
      </c>
    </row>
    <row r="108" s="146" customFormat="1" ht="15.2" customHeight="1" spans="1:12">
      <c r="A108" s="109">
        <v>106</v>
      </c>
      <c r="B108" s="158" t="s">
        <v>11090</v>
      </c>
      <c r="C108" s="158" t="s">
        <v>11297</v>
      </c>
      <c r="D108" s="158" t="s">
        <v>11298</v>
      </c>
      <c r="E108" s="102" t="s">
        <v>15</v>
      </c>
      <c r="F108" s="102" t="s">
        <v>10250</v>
      </c>
      <c r="G108" s="109" t="s">
        <v>16</v>
      </c>
      <c r="H108" s="32">
        <v>200</v>
      </c>
      <c r="I108" s="32">
        <v>200</v>
      </c>
      <c r="J108" s="109"/>
      <c r="K108" s="160"/>
      <c r="L108" s="105">
        <v>20201118</v>
      </c>
    </row>
    <row r="109" s="146" customFormat="1" ht="15.2" customHeight="1" spans="1:12">
      <c r="A109" s="109">
        <v>107</v>
      </c>
      <c r="B109" s="158" t="s">
        <v>11090</v>
      </c>
      <c r="C109" s="158" t="s">
        <v>11299</v>
      </c>
      <c r="D109" s="158" t="s">
        <v>11300</v>
      </c>
      <c r="E109" s="102" t="s">
        <v>15</v>
      </c>
      <c r="F109" s="102" t="s">
        <v>10250</v>
      </c>
      <c r="G109" s="109" t="s">
        <v>16</v>
      </c>
      <c r="H109" s="32">
        <v>200</v>
      </c>
      <c r="I109" s="32">
        <v>200</v>
      </c>
      <c r="J109" s="109"/>
      <c r="K109" s="160"/>
      <c r="L109" s="105">
        <v>20201118</v>
      </c>
    </row>
    <row r="110" s="146" customFormat="1" ht="15.2" customHeight="1" spans="1:12">
      <c r="A110" s="109">
        <v>108</v>
      </c>
      <c r="B110" s="158" t="s">
        <v>11090</v>
      </c>
      <c r="C110" s="158" t="s">
        <v>11301</v>
      </c>
      <c r="D110" s="158" t="s">
        <v>11302</v>
      </c>
      <c r="E110" s="102" t="s">
        <v>15</v>
      </c>
      <c r="F110" s="102" t="s">
        <v>10250</v>
      </c>
      <c r="G110" s="109" t="s">
        <v>16</v>
      </c>
      <c r="H110" s="32">
        <v>200</v>
      </c>
      <c r="I110" s="32">
        <v>200</v>
      </c>
      <c r="J110" s="109"/>
      <c r="K110" s="160"/>
      <c r="L110" s="105">
        <v>20201118</v>
      </c>
    </row>
    <row r="111" s="146" customFormat="1" ht="15.2" customHeight="1" spans="1:12">
      <c r="A111" s="109">
        <v>109</v>
      </c>
      <c r="B111" s="158" t="s">
        <v>11090</v>
      </c>
      <c r="C111" s="158" t="s">
        <v>11303</v>
      </c>
      <c r="D111" s="158" t="s">
        <v>11304</v>
      </c>
      <c r="E111" s="102" t="s">
        <v>15</v>
      </c>
      <c r="F111" s="102" t="s">
        <v>10250</v>
      </c>
      <c r="G111" s="109" t="s">
        <v>16</v>
      </c>
      <c r="H111" s="32">
        <v>500</v>
      </c>
      <c r="I111" s="32">
        <v>500</v>
      </c>
      <c r="J111" s="109"/>
      <c r="K111" s="160"/>
      <c r="L111" s="105">
        <v>20201118</v>
      </c>
    </row>
    <row r="112" s="146" customFormat="1" ht="15.2" customHeight="1" spans="1:12">
      <c r="A112" s="109">
        <v>110</v>
      </c>
      <c r="B112" s="158" t="s">
        <v>11090</v>
      </c>
      <c r="C112" s="158" t="s">
        <v>11305</v>
      </c>
      <c r="D112" s="158" t="s">
        <v>11306</v>
      </c>
      <c r="E112" s="102" t="s">
        <v>15</v>
      </c>
      <c r="F112" s="102" t="s">
        <v>10250</v>
      </c>
      <c r="G112" s="109" t="s">
        <v>16</v>
      </c>
      <c r="H112" s="32">
        <v>200</v>
      </c>
      <c r="I112" s="32">
        <v>200</v>
      </c>
      <c r="J112" s="109"/>
      <c r="K112" s="160"/>
      <c r="L112" s="105">
        <v>20201118</v>
      </c>
    </row>
    <row r="113" s="146" customFormat="1" ht="15.2" customHeight="1" spans="1:12">
      <c r="A113" s="109">
        <v>111</v>
      </c>
      <c r="B113" s="158" t="s">
        <v>11090</v>
      </c>
      <c r="C113" s="158" t="s">
        <v>11307</v>
      </c>
      <c r="D113" s="158" t="s">
        <v>11308</v>
      </c>
      <c r="E113" s="102" t="s">
        <v>15</v>
      </c>
      <c r="F113" s="102" t="s">
        <v>10250</v>
      </c>
      <c r="G113" s="109" t="s">
        <v>16</v>
      </c>
      <c r="H113" s="32">
        <v>500</v>
      </c>
      <c r="I113" s="32">
        <v>500</v>
      </c>
      <c r="J113" s="109"/>
      <c r="K113" s="160"/>
      <c r="L113" s="105">
        <v>20201118</v>
      </c>
    </row>
    <row r="114" s="146" customFormat="1" ht="15.2" customHeight="1" spans="1:12">
      <c r="A114" s="109">
        <v>112</v>
      </c>
      <c r="B114" s="158" t="s">
        <v>11090</v>
      </c>
      <c r="C114" s="158" t="s">
        <v>11309</v>
      </c>
      <c r="D114" s="158" t="s">
        <v>11310</v>
      </c>
      <c r="E114" s="102" t="s">
        <v>15</v>
      </c>
      <c r="F114" s="102" t="s">
        <v>10250</v>
      </c>
      <c r="G114" s="109" t="s">
        <v>16</v>
      </c>
      <c r="H114" s="32">
        <v>200</v>
      </c>
      <c r="I114" s="32">
        <v>200</v>
      </c>
      <c r="J114" s="109"/>
      <c r="K114" s="160"/>
      <c r="L114" s="105">
        <v>20201118</v>
      </c>
    </row>
    <row r="115" s="146" customFormat="1" ht="15.2" customHeight="1" spans="1:12">
      <c r="A115" s="109">
        <v>113</v>
      </c>
      <c r="B115" s="158" t="s">
        <v>11090</v>
      </c>
      <c r="C115" s="158" t="s">
        <v>11311</v>
      </c>
      <c r="D115" s="158" t="s">
        <v>11312</v>
      </c>
      <c r="E115" s="102" t="s">
        <v>15</v>
      </c>
      <c r="F115" s="102" t="s">
        <v>10250</v>
      </c>
      <c r="G115" s="109" t="s">
        <v>16</v>
      </c>
      <c r="H115" s="32">
        <v>200</v>
      </c>
      <c r="I115" s="32">
        <v>200</v>
      </c>
      <c r="J115" s="109"/>
      <c r="K115" s="160"/>
      <c r="L115" s="105">
        <v>20201118</v>
      </c>
    </row>
    <row r="116" s="146" customFormat="1" ht="15.2" customHeight="1" spans="1:12">
      <c r="A116" s="109">
        <v>114</v>
      </c>
      <c r="B116" s="158" t="s">
        <v>11090</v>
      </c>
      <c r="C116" s="158" t="s">
        <v>11313</v>
      </c>
      <c r="D116" s="158" t="s">
        <v>11314</v>
      </c>
      <c r="E116" s="102" t="s">
        <v>15</v>
      </c>
      <c r="F116" s="102" t="s">
        <v>10250</v>
      </c>
      <c r="G116" s="109" t="s">
        <v>16</v>
      </c>
      <c r="H116" s="32">
        <v>200</v>
      </c>
      <c r="I116" s="32">
        <v>200</v>
      </c>
      <c r="J116" s="109"/>
      <c r="K116" s="160"/>
      <c r="L116" s="105">
        <v>20201118</v>
      </c>
    </row>
    <row r="117" s="146" customFormat="1" ht="15.2" customHeight="1" spans="1:12">
      <c r="A117" s="109">
        <v>115</v>
      </c>
      <c r="B117" s="158" t="s">
        <v>11090</v>
      </c>
      <c r="C117" s="158" t="s">
        <v>11315</v>
      </c>
      <c r="D117" s="158" t="s">
        <v>11316</v>
      </c>
      <c r="E117" s="102" t="s">
        <v>15</v>
      </c>
      <c r="F117" s="102" t="s">
        <v>10250</v>
      </c>
      <c r="G117" s="109" t="s">
        <v>16</v>
      </c>
      <c r="H117" s="32">
        <v>200</v>
      </c>
      <c r="I117" s="32">
        <v>200</v>
      </c>
      <c r="J117" s="109" t="s">
        <v>11317</v>
      </c>
      <c r="K117" s="160"/>
      <c r="L117" s="105">
        <v>20201118</v>
      </c>
    </row>
    <row r="118" s="146" customFormat="1" ht="15.2" customHeight="1" spans="1:12">
      <c r="A118" s="109">
        <v>116</v>
      </c>
      <c r="B118" s="158" t="s">
        <v>11090</v>
      </c>
      <c r="C118" s="158" t="s">
        <v>11318</v>
      </c>
      <c r="D118" s="158" t="s">
        <v>11319</v>
      </c>
      <c r="E118" s="102" t="s">
        <v>15</v>
      </c>
      <c r="F118" s="102" t="s">
        <v>10250</v>
      </c>
      <c r="G118" s="109" t="s">
        <v>16</v>
      </c>
      <c r="H118" s="32">
        <v>200</v>
      </c>
      <c r="I118" s="32">
        <v>200</v>
      </c>
      <c r="J118" s="109"/>
      <c r="K118" s="160"/>
      <c r="L118" s="105">
        <v>20201118</v>
      </c>
    </row>
    <row r="119" s="146" customFormat="1" ht="15.2" customHeight="1" spans="1:12">
      <c r="A119" s="109">
        <v>117</v>
      </c>
      <c r="B119" s="158" t="s">
        <v>11090</v>
      </c>
      <c r="C119" s="158" t="s">
        <v>7919</v>
      </c>
      <c r="D119" s="158" t="s">
        <v>11320</v>
      </c>
      <c r="E119" s="102" t="s">
        <v>15</v>
      </c>
      <c r="F119" s="102" t="s">
        <v>10250</v>
      </c>
      <c r="G119" s="109" t="s">
        <v>16</v>
      </c>
      <c r="H119" s="32">
        <v>200</v>
      </c>
      <c r="I119" s="32">
        <v>200</v>
      </c>
      <c r="J119" s="109"/>
      <c r="K119" s="160"/>
      <c r="L119" s="105">
        <v>20201118</v>
      </c>
    </row>
    <row r="120" s="146" customFormat="1" ht="15.2" customHeight="1" spans="1:12">
      <c r="A120" s="109">
        <v>118</v>
      </c>
      <c r="B120" s="158" t="s">
        <v>11090</v>
      </c>
      <c r="C120" s="158" t="s">
        <v>11321</v>
      </c>
      <c r="D120" s="158" t="s">
        <v>11322</v>
      </c>
      <c r="E120" s="102" t="s">
        <v>15</v>
      </c>
      <c r="F120" s="102" t="s">
        <v>10250</v>
      </c>
      <c r="G120" s="109" t="s">
        <v>16</v>
      </c>
      <c r="H120" s="32">
        <v>200</v>
      </c>
      <c r="I120" s="32">
        <v>200</v>
      </c>
      <c r="J120" s="109"/>
      <c r="K120" s="160"/>
      <c r="L120" s="105">
        <v>20201118</v>
      </c>
    </row>
    <row r="121" s="146" customFormat="1" ht="15.2" customHeight="1" spans="1:12">
      <c r="A121" s="109">
        <v>119</v>
      </c>
      <c r="B121" s="158" t="s">
        <v>11090</v>
      </c>
      <c r="C121" s="158" t="s">
        <v>11323</v>
      </c>
      <c r="D121" s="158" t="s">
        <v>11324</v>
      </c>
      <c r="E121" s="102" t="s">
        <v>15</v>
      </c>
      <c r="F121" s="102" t="s">
        <v>10250</v>
      </c>
      <c r="G121" s="109" t="s">
        <v>16</v>
      </c>
      <c r="H121" s="32">
        <v>200</v>
      </c>
      <c r="I121" s="32">
        <v>200</v>
      </c>
      <c r="J121" s="109"/>
      <c r="K121" s="160"/>
      <c r="L121" s="105">
        <v>20201118</v>
      </c>
    </row>
    <row r="122" s="146" customFormat="1" ht="15.2" customHeight="1" spans="1:12">
      <c r="A122" s="109">
        <v>120</v>
      </c>
      <c r="B122" s="158" t="s">
        <v>11090</v>
      </c>
      <c r="C122" s="158" t="s">
        <v>3118</v>
      </c>
      <c r="D122" s="158" t="s">
        <v>11325</v>
      </c>
      <c r="E122" s="102" t="s">
        <v>15</v>
      </c>
      <c r="F122" s="102" t="s">
        <v>10250</v>
      </c>
      <c r="G122" s="109" t="s">
        <v>16</v>
      </c>
      <c r="H122" s="32">
        <v>200</v>
      </c>
      <c r="I122" s="32">
        <v>200</v>
      </c>
      <c r="J122" s="109"/>
      <c r="K122" s="160"/>
      <c r="L122" s="105">
        <v>20201118</v>
      </c>
    </row>
    <row r="123" s="146" customFormat="1" ht="15.2" customHeight="1" spans="1:12">
      <c r="A123" s="109">
        <v>121</v>
      </c>
      <c r="B123" s="158" t="s">
        <v>11090</v>
      </c>
      <c r="C123" s="158" t="s">
        <v>11326</v>
      </c>
      <c r="D123" s="158" t="s">
        <v>11327</v>
      </c>
      <c r="E123" s="102" t="s">
        <v>15</v>
      </c>
      <c r="F123" s="102" t="s">
        <v>10250</v>
      </c>
      <c r="G123" s="109" t="s">
        <v>16</v>
      </c>
      <c r="H123" s="32">
        <v>200</v>
      </c>
      <c r="I123" s="32">
        <v>200</v>
      </c>
      <c r="J123" s="109"/>
      <c r="K123" s="160"/>
      <c r="L123" s="105">
        <v>20201118</v>
      </c>
    </row>
    <row r="124" s="146" customFormat="1" ht="15.2" customHeight="1" spans="1:12">
      <c r="A124" s="109">
        <v>122</v>
      </c>
      <c r="B124" s="158" t="s">
        <v>11090</v>
      </c>
      <c r="C124" s="158" t="s">
        <v>11328</v>
      </c>
      <c r="D124" s="158" t="s">
        <v>11329</v>
      </c>
      <c r="E124" s="102" t="s">
        <v>15</v>
      </c>
      <c r="F124" s="102" t="s">
        <v>10250</v>
      </c>
      <c r="G124" s="109" t="s">
        <v>16</v>
      </c>
      <c r="H124" s="32">
        <v>200</v>
      </c>
      <c r="I124" s="32">
        <v>200</v>
      </c>
      <c r="J124" s="109"/>
      <c r="K124" s="160"/>
      <c r="L124" s="105">
        <v>20201118</v>
      </c>
    </row>
    <row r="125" s="146" customFormat="1" ht="15.2" customHeight="1" spans="1:12">
      <c r="A125" s="109">
        <v>123</v>
      </c>
      <c r="B125" s="158" t="s">
        <v>11090</v>
      </c>
      <c r="C125" s="158" t="s">
        <v>11330</v>
      </c>
      <c r="D125" s="158" t="s">
        <v>11331</v>
      </c>
      <c r="E125" s="102" t="s">
        <v>15</v>
      </c>
      <c r="F125" s="102" t="s">
        <v>10250</v>
      </c>
      <c r="G125" s="109" t="s">
        <v>16</v>
      </c>
      <c r="H125" s="32">
        <v>200</v>
      </c>
      <c r="I125" s="32">
        <v>200</v>
      </c>
      <c r="J125" s="109"/>
      <c r="K125" s="160"/>
      <c r="L125" s="105">
        <v>20201118</v>
      </c>
    </row>
    <row r="126" s="146" customFormat="1" ht="15.2" customHeight="1" spans="1:12">
      <c r="A126" s="109">
        <v>124</v>
      </c>
      <c r="B126" s="158" t="s">
        <v>11090</v>
      </c>
      <c r="C126" s="158" t="s">
        <v>11332</v>
      </c>
      <c r="D126" s="158" t="s">
        <v>11333</v>
      </c>
      <c r="E126" s="102" t="s">
        <v>15</v>
      </c>
      <c r="F126" s="102" t="s">
        <v>10250</v>
      </c>
      <c r="G126" s="109" t="s">
        <v>16</v>
      </c>
      <c r="H126" s="32">
        <v>200</v>
      </c>
      <c r="I126" s="32">
        <v>200</v>
      </c>
      <c r="J126" s="109" t="s">
        <v>6097</v>
      </c>
      <c r="K126" s="160"/>
      <c r="L126" s="105">
        <v>20201118</v>
      </c>
    </row>
    <row r="127" s="146" customFormat="1" ht="15.2" customHeight="1" spans="1:12">
      <c r="A127" s="109">
        <v>125</v>
      </c>
      <c r="B127" s="158" t="s">
        <v>11090</v>
      </c>
      <c r="C127" s="158" t="s">
        <v>11334</v>
      </c>
      <c r="D127" s="158" t="s">
        <v>11335</v>
      </c>
      <c r="E127" s="102" t="s">
        <v>15</v>
      </c>
      <c r="F127" s="102" t="s">
        <v>10250</v>
      </c>
      <c r="G127" s="109" t="s">
        <v>16</v>
      </c>
      <c r="H127" s="32">
        <v>200</v>
      </c>
      <c r="I127" s="32">
        <v>200</v>
      </c>
      <c r="J127" s="109"/>
      <c r="K127" s="160"/>
      <c r="L127" s="105">
        <v>20201118</v>
      </c>
    </row>
    <row r="128" s="146" customFormat="1" ht="15.2" customHeight="1" spans="1:12">
      <c r="A128" s="109">
        <v>126</v>
      </c>
      <c r="B128" s="158" t="s">
        <v>11090</v>
      </c>
      <c r="C128" s="158" t="s">
        <v>11336</v>
      </c>
      <c r="D128" s="158" t="s">
        <v>11337</v>
      </c>
      <c r="E128" s="102" t="s">
        <v>15</v>
      </c>
      <c r="F128" s="102" t="s">
        <v>10250</v>
      </c>
      <c r="G128" s="109" t="s">
        <v>16</v>
      </c>
      <c r="H128" s="32">
        <v>200</v>
      </c>
      <c r="I128" s="32">
        <v>200</v>
      </c>
      <c r="J128" s="109"/>
      <c r="K128" s="160"/>
      <c r="L128" s="105">
        <v>20201118</v>
      </c>
    </row>
    <row r="129" s="146" customFormat="1" ht="15.2" customHeight="1" spans="1:12">
      <c r="A129" s="109">
        <v>127</v>
      </c>
      <c r="B129" s="158" t="s">
        <v>11090</v>
      </c>
      <c r="C129" s="158" t="s">
        <v>11338</v>
      </c>
      <c r="D129" s="158" t="s">
        <v>11339</v>
      </c>
      <c r="E129" s="102" t="s">
        <v>15</v>
      </c>
      <c r="F129" s="102" t="s">
        <v>10250</v>
      </c>
      <c r="G129" s="109" t="s">
        <v>16</v>
      </c>
      <c r="H129" s="32">
        <v>200</v>
      </c>
      <c r="I129" s="32">
        <v>200</v>
      </c>
      <c r="J129" s="109"/>
      <c r="K129" s="160"/>
      <c r="L129" s="105">
        <v>20201118</v>
      </c>
    </row>
    <row r="130" s="146" customFormat="1" ht="15.2" customHeight="1" spans="1:12">
      <c r="A130" s="109">
        <v>128</v>
      </c>
      <c r="B130" s="158" t="s">
        <v>11090</v>
      </c>
      <c r="C130" s="158" t="s">
        <v>11340</v>
      </c>
      <c r="D130" s="158" t="s">
        <v>11341</v>
      </c>
      <c r="E130" s="102" t="s">
        <v>15</v>
      </c>
      <c r="F130" s="102" t="s">
        <v>10250</v>
      </c>
      <c r="G130" s="109" t="s">
        <v>16</v>
      </c>
      <c r="H130" s="32">
        <v>200</v>
      </c>
      <c r="I130" s="32">
        <v>200</v>
      </c>
      <c r="J130" s="109"/>
      <c r="K130" s="160"/>
      <c r="L130" s="105">
        <v>20201118</v>
      </c>
    </row>
    <row r="131" s="146" customFormat="1" ht="15.2" customHeight="1" spans="1:12">
      <c r="A131" s="109">
        <v>129</v>
      </c>
      <c r="B131" s="158" t="s">
        <v>11090</v>
      </c>
      <c r="C131" s="158" t="s">
        <v>11342</v>
      </c>
      <c r="D131" s="158" t="s">
        <v>11343</v>
      </c>
      <c r="E131" s="102" t="s">
        <v>15</v>
      </c>
      <c r="F131" s="102" t="s">
        <v>10250</v>
      </c>
      <c r="G131" s="109" t="s">
        <v>16</v>
      </c>
      <c r="H131" s="32">
        <v>200</v>
      </c>
      <c r="I131" s="32">
        <v>200</v>
      </c>
      <c r="J131" s="109"/>
      <c r="K131" s="160"/>
      <c r="L131" s="105">
        <v>20201118</v>
      </c>
    </row>
    <row r="132" s="146" customFormat="1" ht="15.2" customHeight="1" spans="1:12">
      <c r="A132" s="109">
        <v>130</v>
      </c>
      <c r="B132" s="158" t="s">
        <v>11090</v>
      </c>
      <c r="C132" s="158" t="s">
        <v>11344</v>
      </c>
      <c r="D132" s="158" t="s">
        <v>11345</v>
      </c>
      <c r="E132" s="102" t="s">
        <v>15</v>
      </c>
      <c r="F132" s="102" t="s">
        <v>10250</v>
      </c>
      <c r="G132" s="109" t="s">
        <v>16</v>
      </c>
      <c r="H132" s="32">
        <v>200</v>
      </c>
      <c r="I132" s="32">
        <v>200</v>
      </c>
      <c r="J132" s="109"/>
      <c r="K132" s="160"/>
      <c r="L132" s="105">
        <v>20201118</v>
      </c>
    </row>
    <row r="133" s="146" customFormat="1" ht="15.2" customHeight="1" spans="1:12">
      <c r="A133" s="109">
        <v>131</v>
      </c>
      <c r="B133" s="158" t="s">
        <v>11090</v>
      </c>
      <c r="C133" s="158" t="s">
        <v>11346</v>
      </c>
      <c r="D133" s="158" t="s">
        <v>11347</v>
      </c>
      <c r="E133" s="102" t="s">
        <v>15</v>
      </c>
      <c r="F133" s="102" t="s">
        <v>10250</v>
      </c>
      <c r="G133" s="109" t="s">
        <v>16</v>
      </c>
      <c r="H133" s="32">
        <v>200</v>
      </c>
      <c r="I133" s="32">
        <v>200</v>
      </c>
      <c r="J133" s="109"/>
      <c r="K133" s="160"/>
      <c r="L133" s="105">
        <v>20201118</v>
      </c>
    </row>
    <row r="134" s="146" customFormat="1" ht="15.2" customHeight="1" spans="1:12">
      <c r="A134" s="109">
        <v>132</v>
      </c>
      <c r="B134" s="158" t="s">
        <v>11090</v>
      </c>
      <c r="C134" s="158" t="s">
        <v>11348</v>
      </c>
      <c r="D134" s="158" t="s">
        <v>11349</v>
      </c>
      <c r="E134" s="102" t="s">
        <v>15</v>
      </c>
      <c r="F134" s="102" t="s">
        <v>10250</v>
      </c>
      <c r="G134" s="109" t="s">
        <v>16</v>
      </c>
      <c r="H134" s="32">
        <v>200</v>
      </c>
      <c r="I134" s="32">
        <v>200</v>
      </c>
      <c r="J134" s="109" t="s">
        <v>6097</v>
      </c>
      <c r="K134" s="160"/>
      <c r="L134" s="105">
        <v>20201118</v>
      </c>
    </row>
    <row r="135" s="146" customFormat="1" ht="15.2" customHeight="1" spans="1:12">
      <c r="A135" s="109">
        <v>133</v>
      </c>
      <c r="B135" s="158" t="s">
        <v>11090</v>
      </c>
      <c r="C135" s="158" t="s">
        <v>1793</v>
      </c>
      <c r="D135" s="158" t="s">
        <v>11350</v>
      </c>
      <c r="E135" s="102" t="s">
        <v>15</v>
      </c>
      <c r="F135" s="102" t="s">
        <v>10250</v>
      </c>
      <c r="G135" s="109" t="s">
        <v>16</v>
      </c>
      <c r="H135" s="32">
        <v>200</v>
      </c>
      <c r="I135" s="32">
        <v>200</v>
      </c>
      <c r="J135" s="109"/>
      <c r="K135" s="160"/>
      <c r="L135" s="105">
        <v>20201118</v>
      </c>
    </row>
    <row r="136" s="146" customFormat="1" ht="15.2" customHeight="1" spans="1:12">
      <c r="A136" s="109">
        <v>134</v>
      </c>
      <c r="B136" s="158" t="s">
        <v>11090</v>
      </c>
      <c r="C136" s="158" t="s">
        <v>11351</v>
      </c>
      <c r="D136" s="158" t="s">
        <v>11352</v>
      </c>
      <c r="E136" s="102" t="s">
        <v>15</v>
      </c>
      <c r="F136" s="102" t="s">
        <v>10250</v>
      </c>
      <c r="G136" s="109" t="s">
        <v>16</v>
      </c>
      <c r="H136" s="32">
        <v>1000</v>
      </c>
      <c r="I136" s="32">
        <v>1000</v>
      </c>
      <c r="J136" s="109"/>
      <c r="K136" s="160"/>
      <c r="L136" s="105">
        <v>20201118</v>
      </c>
    </row>
    <row r="137" s="146" customFormat="1" ht="15.2" customHeight="1" spans="1:12">
      <c r="A137" s="109">
        <v>135</v>
      </c>
      <c r="B137" s="158" t="s">
        <v>11090</v>
      </c>
      <c r="C137" s="158" t="s">
        <v>1095</v>
      </c>
      <c r="D137" s="158" t="s">
        <v>11353</v>
      </c>
      <c r="E137" s="102" t="s">
        <v>15</v>
      </c>
      <c r="F137" s="102" t="s">
        <v>10250</v>
      </c>
      <c r="G137" s="109" t="s">
        <v>16</v>
      </c>
      <c r="H137" s="32">
        <v>500</v>
      </c>
      <c r="I137" s="32">
        <v>500</v>
      </c>
      <c r="J137" s="109"/>
      <c r="K137" s="160"/>
      <c r="L137" s="105">
        <v>20201118</v>
      </c>
    </row>
    <row r="138" s="146" customFormat="1" ht="15.2" customHeight="1" spans="1:12">
      <c r="A138" s="109">
        <v>136</v>
      </c>
      <c r="B138" s="158" t="s">
        <v>11090</v>
      </c>
      <c r="C138" s="158" t="s">
        <v>11354</v>
      </c>
      <c r="D138" s="158" t="s">
        <v>11355</v>
      </c>
      <c r="E138" s="102" t="s">
        <v>15</v>
      </c>
      <c r="F138" s="102" t="s">
        <v>10250</v>
      </c>
      <c r="G138" s="109" t="s">
        <v>16</v>
      </c>
      <c r="H138" s="32">
        <v>200</v>
      </c>
      <c r="I138" s="32">
        <v>200</v>
      </c>
      <c r="J138" s="109"/>
      <c r="K138" s="160"/>
      <c r="L138" s="105">
        <v>20201118</v>
      </c>
    </row>
    <row r="139" s="146" customFormat="1" ht="15.2" customHeight="1" spans="1:12">
      <c r="A139" s="109">
        <v>137</v>
      </c>
      <c r="B139" s="158" t="s">
        <v>11090</v>
      </c>
      <c r="C139" s="158" t="s">
        <v>11356</v>
      </c>
      <c r="D139" s="158" t="s">
        <v>11357</v>
      </c>
      <c r="E139" s="102" t="s">
        <v>15</v>
      </c>
      <c r="F139" s="102" t="s">
        <v>10250</v>
      </c>
      <c r="G139" s="109" t="s">
        <v>16</v>
      </c>
      <c r="H139" s="32">
        <v>200</v>
      </c>
      <c r="I139" s="32">
        <v>200</v>
      </c>
      <c r="J139" s="109"/>
      <c r="K139" s="160"/>
      <c r="L139" s="105">
        <v>20201118</v>
      </c>
    </row>
    <row r="140" s="146" customFormat="1" ht="15.2" customHeight="1" spans="1:12">
      <c r="A140" s="109">
        <v>138</v>
      </c>
      <c r="B140" s="158" t="s">
        <v>11090</v>
      </c>
      <c r="C140" s="158" t="s">
        <v>11358</v>
      </c>
      <c r="D140" s="158" t="s">
        <v>11359</v>
      </c>
      <c r="E140" s="102" t="s">
        <v>15</v>
      </c>
      <c r="F140" s="102" t="s">
        <v>10250</v>
      </c>
      <c r="G140" s="109" t="s">
        <v>16</v>
      </c>
      <c r="H140" s="32">
        <v>500</v>
      </c>
      <c r="I140" s="32">
        <v>500</v>
      </c>
      <c r="J140" s="109"/>
      <c r="K140" s="160"/>
      <c r="L140" s="105">
        <v>20201118</v>
      </c>
    </row>
    <row r="141" s="146" customFormat="1" ht="15.2" customHeight="1" spans="1:12">
      <c r="A141" s="109">
        <v>139</v>
      </c>
      <c r="B141" s="158" t="s">
        <v>11090</v>
      </c>
      <c r="C141" s="158" t="s">
        <v>11360</v>
      </c>
      <c r="D141" s="158" t="s">
        <v>11361</v>
      </c>
      <c r="E141" s="102" t="s">
        <v>15</v>
      </c>
      <c r="F141" s="102" t="s">
        <v>10250</v>
      </c>
      <c r="G141" s="109" t="s">
        <v>16</v>
      </c>
      <c r="H141" s="32">
        <v>200</v>
      </c>
      <c r="I141" s="32">
        <v>200</v>
      </c>
      <c r="J141" s="109"/>
      <c r="K141" s="160"/>
      <c r="L141" s="105">
        <v>20201118</v>
      </c>
    </row>
    <row r="142" s="146" customFormat="1" ht="15.2" customHeight="1" spans="1:12">
      <c r="A142" s="109">
        <v>140</v>
      </c>
      <c r="B142" s="158" t="s">
        <v>11090</v>
      </c>
      <c r="C142" s="158" t="s">
        <v>11362</v>
      </c>
      <c r="D142" s="158" t="s">
        <v>11363</v>
      </c>
      <c r="E142" s="102" t="s">
        <v>15</v>
      </c>
      <c r="F142" s="102" t="s">
        <v>10250</v>
      </c>
      <c r="G142" s="109" t="s">
        <v>16</v>
      </c>
      <c r="H142" s="32">
        <v>200</v>
      </c>
      <c r="I142" s="32">
        <v>200</v>
      </c>
      <c r="J142" s="109"/>
      <c r="K142" s="160"/>
      <c r="L142" s="105">
        <v>20201118</v>
      </c>
    </row>
    <row r="143" s="146" customFormat="1" ht="15.2" customHeight="1" spans="1:12">
      <c r="A143" s="109">
        <v>141</v>
      </c>
      <c r="B143" s="158" t="s">
        <v>11090</v>
      </c>
      <c r="C143" s="158" t="s">
        <v>11364</v>
      </c>
      <c r="D143" s="158" t="s">
        <v>11365</v>
      </c>
      <c r="E143" s="102" t="s">
        <v>15</v>
      </c>
      <c r="F143" s="102" t="s">
        <v>10250</v>
      </c>
      <c r="G143" s="109" t="s">
        <v>16</v>
      </c>
      <c r="H143" s="32">
        <v>200</v>
      </c>
      <c r="I143" s="32">
        <v>200</v>
      </c>
      <c r="J143" s="109"/>
      <c r="K143" s="160"/>
      <c r="L143" s="105">
        <v>20201118</v>
      </c>
    </row>
    <row r="144" s="146" customFormat="1" ht="15.2" customHeight="1" spans="1:12">
      <c r="A144" s="109">
        <v>142</v>
      </c>
      <c r="B144" s="158" t="s">
        <v>11090</v>
      </c>
      <c r="C144" s="158" t="s">
        <v>11366</v>
      </c>
      <c r="D144" s="158" t="s">
        <v>11367</v>
      </c>
      <c r="E144" s="102" t="s">
        <v>15</v>
      </c>
      <c r="F144" s="102" t="s">
        <v>10250</v>
      </c>
      <c r="G144" s="109" t="s">
        <v>16</v>
      </c>
      <c r="H144" s="32">
        <v>200</v>
      </c>
      <c r="I144" s="32">
        <v>200</v>
      </c>
      <c r="J144" s="109"/>
      <c r="K144" s="160"/>
      <c r="L144" s="105">
        <v>20201118</v>
      </c>
    </row>
    <row r="145" s="146" customFormat="1" ht="15.2" customHeight="1" spans="1:12">
      <c r="A145" s="109">
        <v>143</v>
      </c>
      <c r="B145" s="158" t="s">
        <v>11090</v>
      </c>
      <c r="C145" s="158" t="s">
        <v>11368</v>
      </c>
      <c r="D145" s="158" t="s">
        <v>11369</v>
      </c>
      <c r="E145" s="102" t="s">
        <v>15</v>
      </c>
      <c r="F145" s="102" t="s">
        <v>10250</v>
      </c>
      <c r="G145" s="109" t="s">
        <v>16</v>
      </c>
      <c r="H145" s="32">
        <v>200</v>
      </c>
      <c r="I145" s="32">
        <v>200</v>
      </c>
      <c r="J145" s="109"/>
      <c r="K145" s="160"/>
      <c r="L145" s="105">
        <v>20201118</v>
      </c>
    </row>
    <row r="146" s="146" customFormat="1" ht="15.2" customHeight="1" spans="1:12">
      <c r="A146" s="109">
        <v>144</v>
      </c>
      <c r="B146" s="158" t="s">
        <v>11090</v>
      </c>
      <c r="C146" s="158" t="s">
        <v>11370</v>
      </c>
      <c r="D146" s="158" t="s">
        <v>11371</v>
      </c>
      <c r="E146" s="102" t="s">
        <v>15</v>
      </c>
      <c r="F146" s="102" t="s">
        <v>10250</v>
      </c>
      <c r="G146" s="109" t="s">
        <v>16</v>
      </c>
      <c r="H146" s="32">
        <v>300</v>
      </c>
      <c r="I146" s="32">
        <v>300</v>
      </c>
      <c r="J146" s="109"/>
      <c r="K146" s="160"/>
      <c r="L146" s="105">
        <v>20201118</v>
      </c>
    </row>
    <row r="147" s="146" customFormat="1" ht="15.2" customHeight="1" spans="1:12">
      <c r="A147" s="109">
        <v>145</v>
      </c>
      <c r="B147" s="158" t="s">
        <v>11090</v>
      </c>
      <c r="C147" s="158" t="s">
        <v>11372</v>
      </c>
      <c r="D147" s="158" t="s">
        <v>11373</v>
      </c>
      <c r="E147" s="102" t="s">
        <v>15</v>
      </c>
      <c r="F147" s="102" t="s">
        <v>10250</v>
      </c>
      <c r="G147" s="109" t="s">
        <v>16</v>
      </c>
      <c r="H147" s="32">
        <v>200</v>
      </c>
      <c r="I147" s="32">
        <v>200</v>
      </c>
      <c r="J147" s="109"/>
      <c r="K147" s="160"/>
      <c r="L147" s="105">
        <v>20201118</v>
      </c>
    </row>
    <row r="148" s="146" customFormat="1" ht="15.2" customHeight="1" spans="1:12">
      <c r="A148" s="109">
        <v>146</v>
      </c>
      <c r="B148" s="158" t="s">
        <v>11090</v>
      </c>
      <c r="C148" s="158" t="s">
        <v>11374</v>
      </c>
      <c r="D148" s="158" t="s">
        <v>11375</v>
      </c>
      <c r="E148" s="102" t="s">
        <v>15</v>
      </c>
      <c r="F148" s="102" t="s">
        <v>10250</v>
      </c>
      <c r="G148" s="109" t="s">
        <v>16</v>
      </c>
      <c r="H148" s="32">
        <v>200</v>
      </c>
      <c r="I148" s="32">
        <v>200</v>
      </c>
      <c r="J148" s="109"/>
      <c r="K148" s="160"/>
      <c r="L148" s="105">
        <v>20201118</v>
      </c>
    </row>
    <row r="149" s="146" customFormat="1" ht="15.2" customHeight="1" spans="1:12">
      <c r="A149" s="109">
        <v>147</v>
      </c>
      <c r="B149" s="158" t="s">
        <v>11090</v>
      </c>
      <c r="C149" s="158" t="s">
        <v>3154</v>
      </c>
      <c r="D149" s="158" t="s">
        <v>11376</v>
      </c>
      <c r="E149" s="102" t="s">
        <v>15</v>
      </c>
      <c r="F149" s="102" t="s">
        <v>10250</v>
      </c>
      <c r="G149" s="109" t="s">
        <v>16</v>
      </c>
      <c r="H149" s="32">
        <v>200</v>
      </c>
      <c r="I149" s="32">
        <v>200</v>
      </c>
      <c r="J149" s="109"/>
      <c r="K149" s="160"/>
      <c r="L149" s="105">
        <v>20201118</v>
      </c>
    </row>
    <row r="150" s="146" customFormat="1" ht="15.2" customHeight="1" spans="1:12">
      <c r="A150" s="109">
        <v>148</v>
      </c>
      <c r="B150" s="158" t="s">
        <v>11090</v>
      </c>
      <c r="C150" s="109" t="s">
        <v>11377</v>
      </c>
      <c r="D150" s="159" t="s">
        <v>11378</v>
      </c>
      <c r="E150" s="102" t="s">
        <v>15</v>
      </c>
      <c r="F150" s="102" t="s">
        <v>10250</v>
      </c>
      <c r="G150" s="109" t="s">
        <v>16</v>
      </c>
      <c r="H150" s="32">
        <v>200</v>
      </c>
      <c r="I150" s="32">
        <v>200</v>
      </c>
      <c r="J150" s="109"/>
      <c r="K150" s="160"/>
      <c r="L150" s="105">
        <v>20201118</v>
      </c>
    </row>
    <row r="151" s="146" customFormat="1" ht="15.2" customHeight="1" spans="1:12">
      <c r="A151" s="109">
        <v>149</v>
      </c>
      <c r="B151" s="158" t="s">
        <v>11090</v>
      </c>
      <c r="C151" s="158" t="s">
        <v>11379</v>
      </c>
      <c r="D151" s="158" t="s">
        <v>11380</v>
      </c>
      <c r="E151" s="102" t="s">
        <v>15</v>
      </c>
      <c r="F151" s="102" t="s">
        <v>10250</v>
      </c>
      <c r="G151" s="109" t="s">
        <v>16</v>
      </c>
      <c r="H151" s="32">
        <v>200</v>
      </c>
      <c r="I151" s="32">
        <v>200</v>
      </c>
      <c r="J151" s="109"/>
      <c r="K151" s="160"/>
      <c r="L151" s="105">
        <v>20201118</v>
      </c>
    </row>
    <row r="152" s="146" customFormat="1" ht="15.2" customHeight="1" spans="1:12">
      <c r="A152" s="109">
        <v>150</v>
      </c>
      <c r="B152" s="158" t="s">
        <v>11090</v>
      </c>
      <c r="C152" s="158" t="s">
        <v>11381</v>
      </c>
      <c r="D152" s="158" t="s">
        <v>11382</v>
      </c>
      <c r="E152" s="102" t="s">
        <v>15</v>
      </c>
      <c r="F152" s="102" t="s">
        <v>10250</v>
      </c>
      <c r="G152" s="109" t="s">
        <v>16</v>
      </c>
      <c r="H152" s="32">
        <v>200</v>
      </c>
      <c r="I152" s="32">
        <v>200</v>
      </c>
      <c r="J152" s="109"/>
      <c r="K152" s="160"/>
      <c r="L152" s="105">
        <v>20201118</v>
      </c>
    </row>
    <row r="153" s="146" customFormat="1" ht="15.2" customHeight="1" spans="1:12">
      <c r="A153" s="109">
        <v>151</v>
      </c>
      <c r="B153" s="158" t="s">
        <v>11090</v>
      </c>
      <c r="C153" s="158" t="s">
        <v>11383</v>
      </c>
      <c r="D153" s="158" t="s">
        <v>11384</v>
      </c>
      <c r="E153" s="102" t="s">
        <v>15</v>
      </c>
      <c r="F153" s="102" t="s">
        <v>10250</v>
      </c>
      <c r="G153" s="109" t="s">
        <v>16</v>
      </c>
      <c r="H153" s="32">
        <v>200</v>
      </c>
      <c r="I153" s="32">
        <v>200</v>
      </c>
      <c r="J153" s="109"/>
      <c r="K153" s="160"/>
      <c r="L153" s="105">
        <v>20201118</v>
      </c>
    </row>
    <row r="154" s="146" customFormat="1" ht="15.2" customHeight="1" spans="1:12">
      <c r="A154" s="109">
        <v>152</v>
      </c>
      <c r="B154" s="158" t="s">
        <v>11090</v>
      </c>
      <c r="C154" s="158" t="s">
        <v>11385</v>
      </c>
      <c r="D154" s="158" t="s">
        <v>11386</v>
      </c>
      <c r="E154" s="102" t="s">
        <v>15</v>
      </c>
      <c r="F154" s="102" t="s">
        <v>10250</v>
      </c>
      <c r="G154" s="109" t="s">
        <v>16</v>
      </c>
      <c r="H154" s="32">
        <v>200</v>
      </c>
      <c r="I154" s="32">
        <v>200</v>
      </c>
      <c r="J154" s="109"/>
      <c r="K154" s="160"/>
      <c r="L154" s="105">
        <v>20201118</v>
      </c>
    </row>
    <row r="155" s="146" customFormat="1" ht="15.2" customHeight="1" spans="1:12">
      <c r="A155" s="109">
        <v>153</v>
      </c>
      <c r="B155" s="158" t="s">
        <v>11090</v>
      </c>
      <c r="C155" s="158" t="s">
        <v>11387</v>
      </c>
      <c r="D155" s="158" t="s">
        <v>11388</v>
      </c>
      <c r="E155" s="102" t="s">
        <v>15</v>
      </c>
      <c r="F155" s="102" t="s">
        <v>10250</v>
      </c>
      <c r="G155" s="109" t="s">
        <v>16</v>
      </c>
      <c r="H155" s="32">
        <v>200</v>
      </c>
      <c r="I155" s="32">
        <v>200</v>
      </c>
      <c r="J155" s="109"/>
      <c r="K155" s="160"/>
      <c r="L155" s="105">
        <v>20201118</v>
      </c>
    </row>
    <row r="156" s="146" customFormat="1" ht="15.2" customHeight="1" spans="1:12">
      <c r="A156" s="109">
        <v>154</v>
      </c>
      <c r="B156" s="158" t="s">
        <v>11090</v>
      </c>
      <c r="C156" s="158" t="s">
        <v>11389</v>
      </c>
      <c r="D156" s="158" t="s">
        <v>11390</v>
      </c>
      <c r="E156" s="102" t="s">
        <v>15</v>
      </c>
      <c r="F156" s="102" t="s">
        <v>10250</v>
      </c>
      <c r="G156" s="109" t="s">
        <v>16</v>
      </c>
      <c r="H156" s="32">
        <v>500</v>
      </c>
      <c r="I156" s="32">
        <v>500</v>
      </c>
      <c r="J156" s="109"/>
      <c r="K156" s="160"/>
      <c r="L156" s="105">
        <v>20201118</v>
      </c>
    </row>
    <row r="157" s="146" customFormat="1" ht="15.2" customHeight="1" spans="1:12">
      <c r="A157" s="109">
        <v>155</v>
      </c>
      <c r="B157" s="158" t="s">
        <v>11090</v>
      </c>
      <c r="C157" s="158" t="s">
        <v>11391</v>
      </c>
      <c r="D157" s="158" t="s">
        <v>11392</v>
      </c>
      <c r="E157" s="102" t="s">
        <v>15</v>
      </c>
      <c r="F157" s="102" t="s">
        <v>10250</v>
      </c>
      <c r="G157" s="109" t="s">
        <v>16</v>
      </c>
      <c r="H157" s="32">
        <v>300</v>
      </c>
      <c r="I157" s="32">
        <v>300</v>
      </c>
      <c r="J157" s="109" t="s">
        <v>1242</v>
      </c>
      <c r="K157" s="160"/>
      <c r="L157" s="105">
        <v>20201118</v>
      </c>
    </row>
    <row r="158" s="146" customFormat="1" ht="15.2" customHeight="1" spans="1:12">
      <c r="A158" s="109">
        <v>156</v>
      </c>
      <c r="B158" s="158" t="s">
        <v>11090</v>
      </c>
      <c r="C158" s="158" t="s">
        <v>11393</v>
      </c>
      <c r="D158" s="158" t="s">
        <v>11394</v>
      </c>
      <c r="E158" s="102" t="s">
        <v>15</v>
      </c>
      <c r="F158" s="102" t="s">
        <v>10250</v>
      </c>
      <c r="G158" s="109" t="s">
        <v>16</v>
      </c>
      <c r="H158" s="32">
        <v>200</v>
      </c>
      <c r="I158" s="32">
        <v>200</v>
      </c>
      <c r="J158" s="109"/>
      <c r="K158" s="160"/>
      <c r="L158" s="105">
        <v>20201118</v>
      </c>
    </row>
    <row r="159" s="146" customFormat="1" ht="15.2" customHeight="1" spans="1:12">
      <c r="A159" s="109">
        <v>157</v>
      </c>
      <c r="B159" s="158" t="s">
        <v>11090</v>
      </c>
      <c r="C159" s="158" t="s">
        <v>11395</v>
      </c>
      <c r="D159" s="158" t="s">
        <v>11396</v>
      </c>
      <c r="E159" s="102" t="s">
        <v>15</v>
      </c>
      <c r="F159" s="102" t="s">
        <v>10250</v>
      </c>
      <c r="G159" s="109" t="s">
        <v>16</v>
      </c>
      <c r="H159" s="32">
        <v>200</v>
      </c>
      <c r="I159" s="32">
        <v>200</v>
      </c>
      <c r="J159" s="109"/>
      <c r="K159" s="160"/>
      <c r="L159" s="105">
        <v>20201118</v>
      </c>
    </row>
    <row r="160" s="146" customFormat="1" ht="15.2" customHeight="1" spans="1:12">
      <c r="A160" s="109">
        <v>158</v>
      </c>
      <c r="B160" s="158" t="s">
        <v>11090</v>
      </c>
      <c r="C160" s="158" t="s">
        <v>11397</v>
      </c>
      <c r="D160" s="158" t="s">
        <v>11398</v>
      </c>
      <c r="E160" s="102" t="s">
        <v>15</v>
      </c>
      <c r="F160" s="102" t="s">
        <v>10250</v>
      </c>
      <c r="G160" s="109" t="s">
        <v>16</v>
      </c>
      <c r="H160" s="32">
        <v>200</v>
      </c>
      <c r="I160" s="32">
        <v>200</v>
      </c>
      <c r="J160" s="109"/>
      <c r="K160" s="160"/>
      <c r="L160" s="105">
        <v>20201118</v>
      </c>
    </row>
    <row r="161" s="146" customFormat="1" ht="15.2" customHeight="1" spans="1:12">
      <c r="A161" s="109">
        <v>159</v>
      </c>
      <c r="B161" s="158" t="s">
        <v>11090</v>
      </c>
      <c r="C161" s="158" t="s">
        <v>11397</v>
      </c>
      <c r="D161" s="158" t="s">
        <v>11399</v>
      </c>
      <c r="E161" s="102" t="s">
        <v>15</v>
      </c>
      <c r="F161" s="102" t="s">
        <v>10250</v>
      </c>
      <c r="G161" s="109" t="s">
        <v>16</v>
      </c>
      <c r="H161" s="32">
        <v>200</v>
      </c>
      <c r="I161" s="32">
        <v>200</v>
      </c>
      <c r="J161" s="109"/>
      <c r="K161" s="160"/>
      <c r="L161" s="105">
        <v>20201118</v>
      </c>
    </row>
    <row r="162" s="146" customFormat="1" ht="15.2" customHeight="1" spans="1:12">
      <c r="A162" s="109">
        <v>160</v>
      </c>
      <c r="B162" s="158" t="s">
        <v>11090</v>
      </c>
      <c r="C162" s="158" t="s">
        <v>11400</v>
      </c>
      <c r="D162" s="158" t="s">
        <v>11401</v>
      </c>
      <c r="E162" s="102" t="s">
        <v>15</v>
      </c>
      <c r="F162" s="102" t="s">
        <v>10250</v>
      </c>
      <c r="G162" s="109" t="s">
        <v>16</v>
      </c>
      <c r="H162" s="32">
        <v>200</v>
      </c>
      <c r="I162" s="32">
        <v>200</v>
      </c>
      <c r="J162" s="109"/>
      <c r="K162" s="160"/>
      <c r="L162" s="105">
        <v>20201118</v>
      </c>
    </row>
    <row r="163" s="146" customFormat="1" ht="15.2" customHeight="1" spans="1:12">
      <c r="A163" s="109">
        <v>161</v>
      </c>
      <c r="B163" s="158" t="s">
        <v>11090</v>
      </c>
      <c r="C163" s="158" t="s">
        <v>11402</v>
      </c>
      <c r="D163" s="158" t="s">
        <v>11403</v>
      </c>
      <c r="E163" s="102" t="s">
        <v>15</v>
      </c>
      <c r="F163" s="102" t="s">
        <v>10250</v>
      </c>
      <c r="G163" s="109" t="s">
        <v>16</v>
      </c>
      <c r="H163" s="32">
        <v>200</v>
      </c>
      <c r="I163" s="32">
        <v>200</v>
      </c>
      <c r="J163" s="109"/>
      <c r="K163" s="160"/>
      <c r="L163" s="105">
        <v>20201118</v>
      </c>
    </row>
    <row r="164" s="146" customFormat="1" ht="15.2" customHeight="1" spans="1:12">
      <c r="A164" s="109">
        <v>162</v>
      </c>
      <c r="B164" s="158" t="s">
        <v>11090</v>
      </c>
      <c r="C164" s="158" t="s">
        <v>8312</v>
      </c>
      <c r="D164" s="158" t="s">
        <v>11404</v>
      </c>
      <c r="E164" s="102" t="s">
        <v>15</v>
      </c>
      <c r="F164" s="102" t="s">
        <v>10250</v>
      </c>
      <c r="G164" s="109" t="s">
        <v>16</v>
      </c>
      <c r="H164" s="32">
        <v>200</v>
      </c>
      <c r="I164" s="32">
        <v>200</v>
      </c>
      <c r="J164" s="109"/>
      <c r="K164" s="160"/>
      <c r="L164" s="105">
        <v>20201118</v>
      </c>
    </row>
    <row r="165" s="146" customFormat="1" ht="15.2" customHeight="1" spans="1:12">
      <c r="A165" s="109">
        <v>163</v>
      </c>
      <c r="B165" s="158" t="s">
        <v>11090</v>
      </c>
      <c r="C165" s="158" t="s">
        <v>11405</v>
      </c>
      <c r="D165" s="158" t="s">
        <v>11406</v>
      </c>
      <c r="E165" s="102" t="s">
        <v>15</v>
      </c>
      <c r="F165" s="102" t="s">
        <v>10250</v>
      </c>
      <c r="G165" s="109" t="s">
        <v>16</v>
      </c>
      <c r="H165" s="32">
        <v>200</v>
      </c>
      <c r="I165" s="32">
        <v>200</v>
      </c>
      <c r="J165" s="109"/>
      <c r="K165" s="160"/>
      <c r="L165" s="105">
        <v>20201118</v>
      </c>
    </row>
    <row r="166" s="146" customFormat="1" ht="15.2" customHeight="1" spans="1:12">
      <c r="A166" s="109">
        <v>164</v>
      </c>
      <c r="B166" s="158" t="s">
        <v>11090</v>
      </c>
      <c r="C166" s="158" t="s">
        <v>11407</v>
      </c>
      <c r="D166" s="158" t="s">
        <v>11408</v>
      </c>
      <c r="E166" s="102" t="s">
        <v>15</v>
      </c>
      <c r="F166" s="102" t="s">
        <v>10250</v>
      </c>
      <c r="G166" s="109" t="s">
        <v>16</v>
      </c>
      <c r="H166" s="32">
        <v>200</v>
      </c>
      <c r="I166" s="32">
        <v>200</v>
      </c>
      <c r="J166" s="109"/>
      <c r="K166" s="160"/>
      <c r="L166" s="105">
        <v>20201118</v>
      </c>
    </row>
    <row r="167" s="146" customFormat="1" ht="15.2" customHeight="1" spans="1:12">
      <c r="A167" s="109">
        <v>165</v>
      </c>
      <c r="B167" s="158" t="s">
        <v>11090</v>
      </c>
      <c r="C167" s="158" t="s">
        <v>11409</v>
      </c>
      <c r="D167" s="158" t="s">
        <v>11410</v>
      </c>
      <c r="E167" s="102" t="s">
        <v>15</v>
      </c>
      <c r="F167" s="102" t="s">
        <v>10250</v>
      </c>
      <c r="G167" s="109" t="s">
        <v>16</v>
      </c>
      <c r="H167" s="32">
        <v>200</v>
      </c>
      <c r="I167" s="32">
        <v>200</v>
      </c>
      <c r="J167" s="109"/>
      <c r="K167" s="160"/>
      <c r="L167" s="105">
        <v>20201118</v>
      </c>
    </row>
    <row r="168" s="146" customFormat="1" ht="15.2" customHeight="1" spans="1:12">
      <c r="A168" s="109">
        <v>166</v>
      </c>
      <c r="B168" s="158" t="s">
        <v>11090</v>
      </c>
      <c r="C168" s="158" t="s">
        <v>11411</v>
      </c>
      <c r="D168" s="158" t="s">
        <v>11412</v>
      </c>
      <c r="E168" s="102" t="s">
        <v>15</v>
      </c>
      <c r="F168" s="102" t="s">
        <v>10250</v>
      </c>
      <c r="G168" s="109" t="s">
        <v>16</v>
      </c>
      <c r="H168" s="32">
        <v>200</v>
      </c>
      <c r="I168" s="32">
        <v>200</v>
      </c>
      <c r="J168" s="109" t="s">
        <v>6097</v>
      </c>
      <c r="K168" s="160"/>
      <c r="L168" s="105">
        <v>20201118</v>
      </c>
    </row>
    <row r="169" s="146" customFormat="1" ht="15.2" customHeight="1" spans="1:12">
      <c r="A169" s="109">
        <v>167</v>
      </c>
      <c r="B169" s="158" t="s">
        <v>11090</v>
      </c>
      <c r="C169" s="158" t="s">
        <v>11413</v>
      </c>
      <c r="D169" s="158" t="s">
        <v>11414</v>
      </c>
      <c r="E169" s="102" t="s">
        <v>15</v>
      </c>
      <c r="F169" s="102" t="s">
        <v>10250</v>
      </c>
      <c r="G169" s="109" t="s">
        <v>16</v>
      </c>
      <c r="H169" s="32">
        <v>200</v>
      </c>
      <c r="I169" s="32">
        <v>200</v>
      </c>
      <c r="J169" s="109"/>
      <c r="K169" s="160"/>
      <c r="L169" s="105">
        <v>20201118</v>
      </c>
    </row>
    <row r="170" s="146" customFormat="1" ht="15.2" customHeight="1" spans="1:12">
      <c r="A170" s="109">
        <v>168</v>
      </c>
      <c r="B170" s="158" t="s">
        <v>11090</v>
      </c>
      <c r="C170" s="158" t="s">
        <v>11415</v>
      </c>
      <c r="D170" s="158" t="s">
        <v>11416</v>
      </c>
      <c r="E170" s="102" t="s">
        <v>15</v>
      </c>
      <c r="F170" s="102" t="s">
        <v>10250</v>
      </c>
      <c r="G170" s="109" t="s">
        <v>16</v>
      </c>
      <c r="H170" s="32">
        <v>200</v>
      </c>
      <c r="I170" s="32">
        <v>200</v>
      </c>
      <c r="J170" s="109" t="s">
        <v>6097</v>
      </c>
      <c r="K170" s="160"/>
      <c r="L170" s="105">
        <v>20201118</v>
      </c>
    </row>
    <row r="171" s="146" customFormat="1" ht="15.2" customHeight="1" spans="1:12">
      <c r="A171" s="109">
        <v>169</v>
      </c>
      <c r="B171" s="158" t="s">
        <v>11090</v>
      </c>
      <c r="C171" s="158" t="s">
        <v>11417</v>
      </c>
      <c r="D171" s="158" t="s">
        <v>11418</v>
      </c>
      <c r="E171" s="102" t="s">
        <v>15</v>
      </c>
      <c r="F171" s="102" t="s">
        <v>10250</v>
      </c>
      <c r="G171" s="109" t="s">
        <v>16</v>
      </c>
      <c r="H171" s="161">
        <v>200</v>
      </c>
      <c r="I171" s="161">
        <v>200</v>
      </c>
      <c r="J171" s="109"/>
      <c r="K171" s="160"/>
      <c r="L171" s="105">
        <v>20201118</v>
      </c>
    </row>
    <row r="172" s="146" customFormat="1" ht="15.2" customHeight="1" spans="1:12">
      <c r="A172" s="109">
        <v>170</v>
      </c>
      <c r="B172" s="158" t="s">
        <v>11090</v>
      </c>
      <c r="C172" s="158" t="s">
        <v>11419</v>
      </c>
      <c r="D172" s="158" t="s">
        <v>11420</v>
      </c>
      <c r="E172" s="102" t="s">
        <v>15</v>
      </c>
      <c r="F172" s="102" t="s">
        <v>10250</v>
      </c>
      <c r="G172" s="109" t="s">
        <v>16</v>
      </c>
      <c r="H172" s="161">
        <v>500</v>
      </c>
      <c r="I172" s="161">
        <v>500</v>
      </c>
      <c r="J172" s="109"/>
      <c r="K172" s="160"/>
      <c r="L172" s="105">
        <v>20201118</v>
      </c>
    </row>
    <row r="173" s="146" customFormat="1" ht="15.2" customHeight="1" spans="1:12">
      <c r="A173" s="109">
        <v>171</v>
      </c>
      <c r="B173" s="158" t="s">
        <v>11090</v>
      </c>
      <c r="C173" s="158" t="s">
        <v>11421</v>
      </c>
      <c r="D173" s="158" t="s">
        <v>11422</v>
      </c>
      <c r="E173" s="102" t="s">
        <v>15</v>
      </c>
      <c r="F173" s="102" t="s">
        <v>10250</v>
      </c>
      <c r="G173" s="109" t="s">
        <v>16</v>
      </c>
      <c r="H173" s="161">
        <v>200</v>
      </c>
      <c r="I173" s="161">
        <v>200</v>
      </c>
      <c r="J173" s="109"/>
      <c r="K173" s="160"/>
      <c r="L173" s="105">
        <v>20201118</v>
      </c>
    </row>
    <row r="174" s="146" customFormat="1" ht="15.2" customHeight="1" spans="1:12">
      <c r="A174" s="109">
        <v>172</v>
      </c>
      <c r="B174" s="158" t="s">
        <v>11090</v>
      </c>
      <c r="C174" s="158" t="s">
        <v>11423</v>
      </c>
      <c r="D174" s="158" t="s">
        <v>11424</v>
      </c>
      <c r="E174" s="102" t="s">
        <v>15</v>
      </c>
      <c r="F174" s="102" t="s">
        <v>10250</v>
      </c>
      <c r="G174" s="109" t="s">
        <v>16</v>
      </c>
      <c r="H174" s="161">
        <v>200</v>
      </c>
      <c r="I174" s="161">
        <v>200</v>
      </c>
      <c r="J174" s="109"/>
      <c r="K174" s="160"/>
      <c r="L174" s="105">
        <v>20201118</v>
      </c>
    </row>
    <row r="175" s="146" customFormat="1" ht="15.2" customHeight="1" spans="1:12">
      <c r="A175" s="109">
        <v>173</v>
      </c>
      <c r="B175" s="158" t="s">
        <v>11090</v>
      </c>
      <c r="C175" s="158" t="s">
        <v>11425</v>
      </c>
      <c r="D175" s="158" t="s">
        <v>11426</v>
      </c>
      <c r="E175" s="102" t="s">
        <v>15</v>
      </c>
      <c r="F175" s="102" t="s">
        <v>10250</v>
      </c>
      <c r="G175" s="109" t="s">
        <v>16</v>
      </c>
      <c r="H175" s="161">
        <v>200</v>
      </c>
      <c r="I175" s="161">
        <v>200</v>
      </c>
      <c r="J175" s="109"/>
      <c r="K175" s="160"/>
      <c r="L175" s="105">
        <v>20201118</v>
      </c>
    </row>
    <row r="176" s="146" customFormat="1" ht="15.2" customHeight="1" spans="1:12">
      <c r="A176" s="109">
        <v>174</v>
      </c>
      <c r="B176" s="158" t="s">
        <v>11090</v>
      </c>
      <c r="C176" s="158" t="s">
        <v>11427</v>
      </c>
      <c r="D176" s="158" t="s">
        <v>11428</v>
      </c>
      <c r="E176" s="102" t="s">
        <v>15</v>
      </c>
      <c r="F176" s="102" t="s">
        <v>10250</v>
      </c>
      <c r="G176" s="109" t="s">
        <v>16</v>
      </c>
      <c r="H176" s="161">
        <v>500</v>
      </c>
      <c r="I176" s="161">
        <v>500</v>
      </c>
      <c r="J176" s="109"/>
      <c r="K176" s="160"/>
      <c r="L176" s="105">
        <v>20201118</v>
      </c>
    </row>
    <row r="177" s="146" customFormat="1" ht="15.2" customHeight="1" spans="1:12">
      <c r="A177" s="109">
        <v>175</v>
      </c>
      <c r="B177" s="158" t="s">
        <v>11090</v>
      </c>
      <c r="C177" s="158" t="s">
        <v>11429</v>
      </c>
      <c r="D177" s="158" t="s">
        <v>11430</v>
      </c>
      <c r="E177" s="102" t="s">
        <v>15</v>
      </c>
      <c r="F177" s="102" t="s">
        <v>10250</v>
      </c>
      <c r="G177" s="109" t="s">
        <v>16</v>
      </c>
      <c r="H177" s="161">
        <v>200</v>
      </c>
      <c r="I177" s="161">
        <v>200</v>
      </c>
      <c r="J177" s="109"/>
      <c r="K177" s="160"/>
      <c r="L177" s="105">
        <v>20201118</v>
      </c>
    </row>
    <row r="178" s="146" customFormat="1" ht="15.2" customHeight="1" spans="1:12">
      <c r="A178" s="109">
        <v>176</v>
      </c>
      <c r="B178" s="158" t="s">
        <v>11090</v>
      </c>
      <c r="C178" s="158" t="s">
        <v>11431</v>
      </c>
      <c r="D178" s="158" t="s">
        <v>11432</v>
      </c>
      <c r="E178" s="102" t="s">
        <v>15</v>
      </c>
      <c r="F178" s="102" t="s">
        <v>10250</v>
      </c>
      <c r="G178" s="109" t="s">
        <v>16</v>
      </c>
      <c r="H178" s="161">
        <v>500</v>
      </c>
      <c r="I178" s="161">
        <v>500</v>
      </c>
      <c r="J178" s="109"/>
      <c r="K178" s="160"/>
      <c r="L178" s="105">
        <v>20201118</v>
      </c>
    </row>
    <row r="179" s="146" customFormat="1" ht="15.2" customHeight="1" spans="1:12">
      <c r="A179" s="109">
        <v>177</v>
      </c>
      <c r="B179" s="158" t="s">
        <v>11090</v>
      </c>
      <c r="C179" s="158" t="s">
        <v>11433</v>
      </c>
      <c r="D179" s="158" t="s">
        <v>11434</v>
      </c>
      <c r="E179" s="102" t="s">
        <v>15</v>
      </c>
      <c r="F179" s="102" t="s">
        <v>10250</v>
      </c>
      <c r="G179" s="109" t="s">
        <v>16</v>
      </c>
      <c r="H179" s="161">
        <v>200</v>
      </c>
      <c r="I179" s="161">
        <v>200</v>
      </c>
      <c r="J179" s="109"/>
      <c r="K179" s="160"/>
      <c r="L179" s="105">
        <v>20201118</v>
      </c>
    </row>
    <row r="180" s="146" customFormat="1" ht="15.2" customHeight="1" spans="1:12">
      <c r="A180" s="109">
        <v>178</v>
      </c>
      <c r="B180" s="158" t="s">
        <v>11090</v>
      </c>
      <c r="C180" s="158" t="s">
        <v>11435</v>
      </c>
      <c r="D180" s="158" t="s">
        <v>11436</v>
      </c>
      <c r="E180" s="102" t="s">
        <v>15</v>
      </c>
      <c r="F180" s="102" t="s">
        <v>10250</v>
      </c>
      <c r="G180" s="109" t="s">
        <v>16</v>
      </c>
      <c r="H180" s="161">
        <v>500</v>
      </c>
      <c r="I180" s="161">
        <v>500</v>
      </c>
      <c r="J180" s="109"/>
      <c r="K180" s="160"/>
      <c r="L180" s="105">
        <v>20201118</v>
      </c>
    </row>
    <row r="181" s="146" customFormat="1" ht="15.2" customHeight="1" spans="1:12">
      <c r="A181" s="109">
        <v>179</v>
      </c>
      <c r="B181" s="158" t="s">
        <v>11090</v>
      </c>
      <c r="C181" s="158" t="s">
        <v>11437</v>
      </c>
      <c r="D181" s="158" t="s">
        <v>11438</v>
      </c>
      <c r="E181" s="102" t="s">
        <v>15</v>
      </c>
      <c r="F181" s="102" t="s">
        <v>10250</v>
      </c>
      <c r="G181" s="109" t="s">
        <v>16</v>
      </c>
      <c r="H181" s="161">
        <v>200</v>
      </c>
      <c r="I181" s="161">
        <v>200</v>
      </c>
      <c r="J181" s="109"/>
      <c r="K181" s="160"/>
      <c r="L181" s="105">
        <v>20201118</v>
      </c>
    </row>
    <row r="182" s="146" customFormat="1" ht="15.2" customHeight="1" spans="1:12">
      <c r="A182" s="109">
        <v>180</v>
      </c>
      <c r="B182" s="158" t="s">
        <v>11090</v>
      </c>
      <c r="C182" s="158" t="s">
        <v>11439</v>
      </c>
      <c r="D182" s="158" t="s">
        <v>11440</v>
      </c>
      <c r="E182" s="102" t="s">
        <v>15</v>
      </c>
      <c r="F182" s="102" t="s">
        <v>10250</v>
      </c>
      <c r="G182" s="109" t="s">
        <v>16</v>
      </c>
      <c r="H182" s="161">
        <v>200</v>
      </c>
      <c r="I182" s="161">
        <v>200</v>
      </c>
      <c r="J182" s="109"/>
      <c r="K182" s="160"/>
      <c r="L182" s="105">
        <v>20201118</v>
      </c>
    </row>
    <row r="183" s="146" customFormat="1" ht="15.2" customHeight="1" spans="1:12">
      <c r="A183" s="109">
        <v>181</v>
      </c>
      <c r="B183" s="158" t="s">
        <v>11090</v>
      </c>
      <c r="C183" s="158" t="s">
        <v>11441</v>
      </c>
      <c r="D183" s="158" t="s">
        <v>11442</v>
      </c>
      <c r="E183" s="102" t="s">
        <v>15</v>
      </c>
      <c r="F183" s="102" t="s">
        <v>10250</v>
      </c>
      <c r="G183" s="109" t="s">
        <v>16</v>
      </c>
      <c r="H183" s="161">
        <v>200</v>
      </c>
      <c r="I183" s="161">
        <v>200</v>
      </c>
      <c r="J183" s="109"/>
      <c r="K183" s="160"/>
      <c r="L183" s="105">
        <v>20201118</v>
      </c>
    </row>
    <row r="184" s="146" customFormat="1" ht="15.2" customHeight="1" spans="1:12">
      <c r="A184" s="109">
        <v>182</v>
      </c>
      <c r="B184" s="158" t="s">
        <v>11090</v>
      </c>
      <c r="C184" s="158" t="s">
        <v>11443</v>
      </c>
      <c r="D184" s="158" t="s">
        <v>11444</v>
      </c>
      <c r="E184" s="102" t="s">
        <v>15</v>
      </c>
      <c r="F184" s="102" t="s">
        <v>10250</v>
      </c>
      <c r="G184" s="109" t="s">
        <v>16</v>
      </c>
      <c r="H184" s="161">
        <v>200</v>
      </c>
      <c r="I184" s="161">
        <v>200</v>
      </c>
      <c r="J184" s="109"/>
      <c r="K184" s="160"/>
      <c r="L184" s="105">
        <v>20201118</v>
      </c>
    </row>
    <row r="185" s="146" customFormat="1" ht="15.2" customHeight="1" spans="1:12">
      <c r="A185" s="109">
        <v>183</v>
      </c>
      <c r="B185" s="158" t="s">
        <v>11090</v>
      </c>
      <c r="C185" s="158" t="s">
        <v>11445</v>
      </c>
      <c r="D185" s="158" t="s">
        <v>11446</v>
      </c>
      <c r="E185" s="102" t="s">
        <v>15</v>
      </c>
      <c r="F185" s="102" t="s">
        <v>10250</v>
      </c>
      <c r="G185" s="109" t="s">
        <v>16</v>
      </c>
      <c r="H185" s="161">
        <v>200</v>
      </c>
      <c r="I185" s="161">
        <v>200</v>
      </c>
      <c r="J185" s="109"/>
      <c r="K185" s="160"/>
      <c r="L185" s="105">
        <v>20201118</v>
      </c>
    </row>
    <row r="186" s="146" customFormat="1" ht="15.2" customHeight="1" spans="1:12">
      <c r="A186" s="109">
        <v>184</v>
      </c>
      <c r="B186" s="158" t="s">
        <v>11090</v>
      </c>
      <c r="C186" s="158" t="s">
        <v>11447</v>
      </c>
      <c r="D186" s="158" t="s">
        <v>11448</v>
      </c>
      <c r="E186" s="102" t="s">
        <v>15</v>
      </c>
      <c r="F186" s="102" t="s">
        <v>10250</v>
      </c>
      <c r="G186" s="109" t="s">
        <v>16</v>
      </c>
      <c r="H186" s="161">
        <v>200</v>
      </c>
      <c r="I186" s="161">
        <v>200</v>
      </c>
      <c r="J186" s="109"/>
      <c r="K186" s="160"/>
      <c r="L186" s="105">
        <v>20201118</v>
      </c>
    </row>
    <row r="187" s="146" customFormat="1" ht="15.2" customHeight="1" spans="1:12">
      <c r="A187" s="109">
        <v>185</v>
      </c>
      <c r="B187" s="158" t="s">
        <v>11090</v>
      </c>
      <c r="C187" s="158" t="s">
        <v>11449</v>
      </c>
      <c r="D187" s="158" t="s">
        <v>11450</v>
      </c>
      <c r="E187" s="102" t="s">
        <v>15</v>
      </c>
      <c r="F187" s="102" t="s">
        <v>10250</v>
      </c>
      <c r="G187" s="109" t="s">
        <v>16</v>
      </c>
      <c r="H187" s="161">
        <v>200</v>
      </c>
      <c r="I187" s="161">
        <v>200</v>
      </c>
      <c r="J187" s="109" t="s">
        <v>6097</v>
      </c>
      <c r="K187" s="160"/>
      <c r="L187" s="105">
        <v>20201118</v>
      </c>
    </row>
    <row r="188" s="146" customFormat="1" ht="15.2" customHeight="1" spans="1:12">
      <c r="A188" s="109">
        <v>186</v>
      </c>
      <c r="B188" s="158" t="s">
        <v>11090</v>
      </c>
      <c r="C188" s="158" t="s">
        <v>11451</v>
      </c>
      <c r="D188" s="158" t="s">
        <v>11452</v>
      </c>
      <c r="E188" s="102" t="s">
        <v>15</v>
      </c>
      <c r="F188" s="102" t="s">
        <v>10250</v>
      </c>
      <c r="G188" s="109" t="s">
        <v>16</v>
      </c>
      <c r="H188" s="161">
        <v>200</v>
      </c>
      <c r="I188" s="161">
        <v>200</v>
      </c>
      <c r="J188" s="109"/>
      <c r="K188" s="160"/>
      <c r="L188" s="105">
        <v>20201118</v>
      </c>
    </row>
    <row r="189" s="146" customFormat="1" ht="15.2" customHeight="1" spans="1:12">
      <c r="A189" s="109">
        <v>187</v>
      </c>
      <c r="B189" s="158" t="s">
        <v>11090</v>
      </c>
      <c r="C189" s="158" t="s">
        <v>11453</v>
      </c>
      <c r="D189" s="158" t="s">
        <v>11454</v>
      </c>
      <c r="E189" s="102" t="s">
        <v>15</v>
      </c>
      <c r="F189" s="102" t="s">
        <v>10250</v>
      </c>
      <c r="G189" s="109" t="s">
        <v>16</v>
      </c>
      <c r="H189" s="161">
        <v>200</v>
      </c>
      <c r="I189" s="161">
        <v>200</v>
      </c>
      <c r="J189" s="109"/>
      <c r="K189" s="160"/>
      <c r="L189" s="105">
        <v>20201118</v>
      </c>
    </row>
    <row r="190" s="146" customFormat="1" ht="15.2" customHeight="1" spans="1:12">
      <c r="A190" s="109">
        <v>188</v>
      </c>
      <c r="B190" s="158" t="s">
        <v>11090</v>
      </c>
      <c r="C190" s="158" t="s">
        <v>11455</v>
      </c>
      <c r="D190" s="158" t="s">
        <v>11456</v>
      </c>
      <c r="E190" s="102" t="s">
        <v>15</v>
      </c>
      <c r="F190" s="102" t="s">
        <v>10250</v>
      </c>
      <c r="G190" s="109" t="s">
        <v>16</v>
      </c>
      <c r="H190" s="161">
        <v>200</v>
      </c>
      <c r="I190" s="161">
        <v>200</v>
      </c>
      <c r="J190" s="109"/>
      <c r="K190" s="160"/>
      <c r="L190" s="105">
        <v>20201118</v>
      </c>
    </row>
    <row r="191" s="146" customFormat="1" ht="15.2" customHeight="1" spans="1:12">
      <c r="A191" s="109">
        <v>189</v>
      </c>
      <c r="B191" s="158" t="s">
        <v>11090</v>
      </c>
      <c r="C191" s="158" t="s">
        <v>11457</v>
      </c>
      <c r="D191" s="158" t="s">
        <v>11458</v>
      </c>
      <c r="E191" s="102" t="s">
        <v>15</v>
      </c>
      <c r="F191" s="102" t="s">
        <v>10250</v>
      </c>
      <c r="G191" s="109" t="s">
        <v>16</v>
      </c>
      <c r="H191" s="161">
        <v>500</v>
      </c>
      <c r="I191" s="161">
        <v>500</v>
      </c>
      <c r="J191" s="109"/>
      <c r="K191" s="160"/>
      <c r="L191" s="105">
        <v>20201118</v>
      </c>
    </row>
    <row r="192" s="146" customFormat="1" ht="15.2" customHeight="1" spans="1:12">
      <c r="A192" s="109">
        <v>190</v>
      </c>
      <c r="B192" s="158" t="s">
        <v>11090</v>
      </c>
      <c r="C192" s="158" t="s">
        <v>11459</v>
      </c>
      <c r="D192" s="158" t="s">
        <v>11460</v>
      </c>
      <c r="E192" s="102" t="s">
        <v>15</v>
      </c>
      <c r="F192" s="102" t="s">
        <v>10250</v>
      </c>
      <c r="G192" s="109" t="s">
        <v>16</v>
      </c>
      <c r="H192" s="161">
        <v>200</v>
      </c>
      <c r="I192" s="161">
        <v>200</v>
      </c>
      <c r="J192" s="109"/>
      <c r="K192" s="160"/>
      <c r="L192" s="105">
        <v>20201118</v>
      </c>
    </row>
    <row r="193" s="146" customFormat="1" ht="15.2" customHeight="1" spans="1:12">
      <c r="A193" s="109">
        <v>191</v>
      </c>
      <c r="B193" s="158" t="s">
        <v>11090</v>
      </c>
      <c r="C193" s="158" t="s">
        <v>11461</v>
      </c>
      <c r="D193" s="158" t="s">
        <v>11462</v>
      </c>
      <c r="E193" s="102" t="s">
        <v>15</v>
      </c>
      <c r="F193" s="102" t="s">
        <v>10250</v>
      </c>
      <c r="G193" s="109" t="s">
        <v>16</v>
      </c>
      <c r="H193" s="161">
        <v>200</v>
      </c>
      <c r="I193" s="161">
        <v>200</v>
      </c>
      <c r="J193" s="109"/>
      <c r="K193" s="160"/>
      <c r="L193" s="105">
        <v>20201118</v>
      </c>
    </row>
    <row r="194" s="146" customFormat="1" ht="15.2" customHeight="1" spans="1:12">
      <c r="A194" s="109">
        <v>192</v>
      </c>
      <c r="B194" s="158" t="s">
        <v>11090</v>
      </c>
      <c r="C194" s="158" t="s">
        <v>11463</v>
      </c>
      <c r="D194" s="158" t="s">
        <v>11464</v>
      </c>
      <c r="E194" s="102" t="s">
        <v>15</v>
      </c>
      <c r="F194" s="102" t="s">
        <v>10250</v>
      </c>
      <c r="G194" s="109" t="s">
        <v>16</v>
      </c>
      <c r="H194" s="161">
        <v>200</v>
      </c>
      <c r="I194" s="161">
        <v>200</v>
      </c>
      <c r="J194" s="109"/>
      <c r="K194" s="160"/>
      <c r="L194" s="105">
        <v>20201118</v>
      </c>
    </row>
    <row r="195" s="146" customFormat="1" ht="15.2" customHeight="1" spans="1:12">
      <c r="A195" s="109">
        <v>193</v>
      </c>
      <c r="B195" s="158" t="s">
        <v>11090</v>
      </c>
      <c r="C195" s="158" t="s">
        <v>11465</v>
      </c>
      <c r="D195" s="158" t="s">
        <v>11466</v>
      </c>
      <c r="E195" s="102" t="s">
        <v>15</v>
      </c>
      <c r="F195" s="102" t="s">
        <v>10250</v>
      </c>
      <c r="G195" s="109" t="s">
        <v>16</v>
      </c>
      <c r="H195" s="161">
        <v>200</v>
      </c>
      <c r="I195" s="161">
        <v>200</v>
      </c>
      <c r="J195" s="109"/>
      <c r="K195" s="160"/>
      <c r="L195" s="105">
        <v>20201118</v>
      </c>
    </row>
    <row r="196" s="146" customFormat="1" ht="15.2" customHeight="1" spans="1:12">
      <c r="A196" s="109">
        <v>194</v>
      </c>
      <c r="B196" s="158" t="s">
        <v>11090</v>
      </c>
      <c r="C196" s="158" t="s">
        <v>11467</v>
      </c>
      <c r="D196" s="158" t="s">
        <v>11468</v>
      </c>
      <c r="E196" s="102" t="s">
        <v>15</v>
      </c>
      <c r="F196" s="102" t="s">
        <v>10250</v>
      </c>
      <c r="G196" s="109" t="s">
        <v>16</v>
      </c>
      <c r="H196" s="161">
        <v>200</v>
      </c>
      <c r="I196" s="161">
        <v>200</v>
      </c>
      <c r="J196" s="109"/>
      <c r="K196" s="160"/>
      <c r="L196" s="105">
        <v>20201118</v>
      </c>
    </row>
    <row r="197" s="146" customFormat="1" ht="15.2" customHeight="1" spans="1:12">
      <c r="A197" s="109">
        <v>195</v>
      </c>
      <c r="B197" s="158" t="s">
        <v>11090</v>
      </c>
      <c r="C197" s="158" t="s">
        <v>11469</v>
      </c>
      <c r="D197" s="158" t="s">
        <v>11470</v>
      </c>
      <c r="E197" s="102" t="s">
        <v>15</v>
      </c>
      <c r="F197" s="102" t="s">
        <v>10250</v>
      </c>
      <c r="G197" s="109" t="s">
        <v>16</v>
      </c>
      <c r="H197" s="161">
        <v>200</v>
      </c>
      <c r="I197" s="161">
        <v>200</v>
      </c>
      <c r="J197" s="109"/>
      <c r="K197" s="160"/>
      <c r="L197" s="105">
        <v>20201118</v>
      </c>
    </row>
    <row r="198" s="146" customFormat="1" ht="15.2" customHeight="1" spans="1:12">
      <c r="A198" s="109">
        <v>196</v>
      </c>
      <c r="B198" s="158" t="s">
        <v>11090</v>
      </c>
      <c r="C198" s="158" t="s">
        <v>11471</v>
      </c>
      <c r="D198" s="158" t="s">
        <v>11472</v>
      </c>
      <c r="E198" s="102" t="s">
        <v>15</v>
      </c>
      <c r="F198" s="102" t="s">
        <v>10250</v>
      </c>
      <c r="G198" s="109" t="s">
        <v>16</v>
      </c>
      <c r="H198" s="161">
        <v>200</v>
      </c>
      <c r="I198" s="161">
        <v>200</v>
      </c>
      <c r="J198" s="109"/>
      <c r="K198" s="160"/>
      <c r="L198" s="105">
        <v>20201118</v>
      </c>
    </row>
    <row r="199" s="146" customFormat="1" ht="15.2" customHeight="1" spans="1:12">
      <c r="A199" s="109">
        <v>197</v>
      </c>
      <c r="B199" s="158" t="s">
        <v>11090</v>
      </c>
      <c r="C199" s="158" t="s">
        <v>11473</v>
      </c>
      <c r="D199" s="158" t="s">
        <v>11474</v>
      </c>
      <c r="E199" s="102" t="s">
        <v>15</v>
      </c>
      <c r="F199" s="102" t="s">
        <v>10250</v>
      </c>
      <c r="G199" s="109" t="s">
        <v>16</v>
      </c>
      <c r="H199" s="161">
        <v>200</v>
      </c>
      <c r="I199" s="161">
        <v>200</v>
      </c>
      <c r="J199" s="109"/>
      <c r="K199" s="160"/>
      <c r="L199" s="105">
        <v>20201118</v>
      </c>
    </row>
    <row r="200" s="146" customFormat="1" ht="15.2" customHeight="1" spans="1:12">
      <c r="A200" s="109">
        <v>198</v>
      </c>
      <c r="B200" s="158" t="s">
        <v>11090</v>
      </c>
      <c r="C200" s="158" t="s">
        <v>11475</v>
      </c>
      <c r="D200" s="158" t="s">
        <v>11476</v>
      </c>
      <c r="E200" s="102" t="s">
        <v>15</v>
      </c>
      <c r="F200" s="102" t="s">
        <v>10250</v>
      </c>
      <c r="G200" s="109" t="s">
        <v>16</v>
      </c>
      <c r="H200" s="161">
        <v>200</v>
      </c>
      <c r="I200" s="161">
        <v>200</v>
      </c>
      <c r="J200" s="109"/>
      <c r="K200" s="160"/>
      <c r="L200" s="105">
        <v>20201118</v>
      </c>
    </row>
    <row r="201" s="146" customFormat="1" ht="15.2" customHeight="1" spans="1:12">
      <c r="A201" s="109">
        <v>199</v>
      </c>
      <c r="B201" s="158" t="s">
        <v>11090</v>
      </c>
      <c r="C201" s="158" t="s">
        <v>11477</v>
      </c>
      <c r="D201" s="158" t="s">
        <v>11478</v>
      </c>
      <c r="E201" s="102" t="s">
        <v>15</v>
      </c>
      <c r="F201" s="102" t="s">
        <v>10250</v>
      </c>
      <c r="G201" s="109" t="s">
        <v>16</v>
      </c>
      <c r="H201" s="161">
        <v>200</v>
      </c>
      <c r="I201" s="161">
        <v>200</v>
      </c>
      <c r="J201" s="109"/>
      <c r="K201" s="160"/>
      <c r="L201" s="105">
        <v>20201118</v>
      </c>
    </row>
    <row r="202" s="146" customFormat="1" ht="15.2" customHeight="1" spans="1:12">
      <c r="A202" s="109">
        <v>200</v>
      </c>
      <c r="B202" s="158" t="s">
        <v>11090</v>
      </c>
      <c r="C202" s="158" t="s">
        <v>11479</v>
      </c>
      <c r="D202" s="158" t="s">
        <v>11480</v>
      </c>
      <c r="E202" s="102" t="s">
        <v>15</v>
      </c>
      <c r="F202" s="102" t="s">
        <v>10250</v>
      </c>
      <c r="G202" s="109" t="s">
        <v>16</v>
      </c>
      <c r="H202" s="161">
        <v>200</v>
      </c>
      <c r="I202" s="161">
        <v>200</v>
      </c>
      <c r="J202" s="109"/>
      <c r="K202" s="160"/>
      <c r="L202" s="105">
        <v>20201118</v>
      </c>
    </row>
    <row r="203" s="146" customFormat="1" ht="15.2" customHeight="1" spans="1:12">
      <c r="A203" s="109">
        <v>201</v>
      </c>
      <c r="B203" s="158" t="s">
        <v>11090</v>
      </c>
      <c r="C203" s="158" t="s">
        <v>11481</v>
      </c>
      <c r="D203" s="158" t="s">
        <v>11482</v>
      </c>
      <c r="E203" s="102" t="s">
        <v>15</v>
      </c>
      <c r="F203" s="102" t="s">
        <v>10250</v>
      </c>
      <c r="G203" s="109" t="s">
        <v>16</v>
      </c>
      <c r="H203" s="161">
        <v>200</v>
      </c>
      <c r="I203" s="161">
        <v>200</v>
      </c>
      <c r="J203" s="109"/>
      <c r="K203" s="160"/>
      <c r="L203" s="105">
        <v>20201118</v>
      </c>
    </row>
    <row r="204" s="146" customFormat="1" ht="15.2" customHeight="1" spans="1:12">
      <c r="A204" s="109">
        <v>202</v>
      </c>
      <c r="B204" s="158" t="s">
        <v>11090</v>
      </c>
      <c r="C204" s="158" t="s">
        <v>11483</v>
      </c>
      <c r="D204" s="158" t="s">
        <v>11484</v>
      </c>
      <c r="E204" s="102" t="s">
        <v>15</v>
      </c>
      <c r="F204" s="102" t="s">
        <v>10250</v>
      </c>
      <c r="G204" s="109" t="s">
        <v>16</v>
      </c>
      <c r="H204" s="161">
        <v>500</v>
      </c>
      <c r="I204" s="161">
        <v>500</v>
      </c>
      <c r="J204" s="109"/>
      <c r="K204" s="160"/>
      <c r="L204" s="105">
        <v>20201118</v>
      </c>
    </row>
    <row r="205" s="146" customFormat="1" ht="15.2" customHeight="1" spans="1:12">
      <c r="A205" s="109">
        <v>203</v>
      </c>
      <c r="B205" s="158" t="s">
        <v>11090</v>
      </c>
      <c r="C205" s="158" t="s">
        <v>11485</v>
      </c>
      <c r="D205" s="158" t="s">
        <v>11486</v>
      </c>
      <c r="E205" s="102" t="s">
        <v>15</v>
      </c>
      <c r="F205" s="102" t="s">
        <v>10250</v>
      </c>
      <c r="G205" s="109" t="s">
        <v>16</v>
      </c>
      <c r="H205" s="161">
        <v>200</v>
      </c>
      <c r="I205" s="161">
        <v>200</v>
      </c>
      <c r="J205" s="109"/>
      <c r="K205" s="160"/>
      <c r="L205" s="105">
        <v>20201118</v>
      </c>
    </row>
    <row r="206" s="146" customFormat="1" ht="15.2" customHeight="1" spans="1:12">
      <c r="A206" s="109">
        <v>204</v>
      </c>
      <c r="B206" s="158" t="s">
        <v>11090</v>
      </c>
      <c r="C206" s="158" t="s">
        <v>11487</v>
      </c>
      <c r="D206" s="158" t="s">
        <v>11488</v>
      </c>
      <c r="E206" s="102" t="s">
        <v>15</v>
      </c>
      <c r="F206" s="102" t="s">
        <v>10250</v>
      </c>
      <c r="G206" s="109" t="s">
        <v>16</v>
      </c>
      <c r="H206" s="161">
        <v>200</v>
      </c>
      <c r="I206" s="161">
        <v>200</v>
      </c>
      <c r="J206" s="109"/>
      <c r="K206" s="160"/>
      <c r="L206" s="105">
        <v>20201118</v>
      </c>
    </row>
    <row r="207" s="146" customFormat="1" ht="15.2" customHeight="1" spans="1:12">
      <c r="A207" s="109">
        <v>205</v>
      </c>
      <c r="B207" s="158" t="s">
        <v>11090</v>
      </c>
      <c r="C207" s="158" t="s">
        <v>11489</v>
      </c>
      <c r="D207" s="158" t="s">
        <v>11490</v>
      </c>
      <c r="E207" s="102" t="s">
        <v>15</v>
      </c>
      <c r="F207" s="102" t="s">
        <v>10250</v>
      </c>
      <c r="G207" s="109" t="s">
        <v>16</v>
      </c>
      <c r="H207" s="161">
        <v>200</v>
      </c>
      <c r="I207" s="161">
        <v>200</v>
      </c>
      <c r="J207" s="109"/>
      <c r="K207" s="160"/>
      <c r="L207" s="105">
        <v>20201118</v>
      </c>
    </row>
    <row r="208" s="146" customFormat="1" ht="15.2" customHeight="1" spans="1:12">
      <c r="A208" s="109">
        <v>206</v>
      </c>
      <c r="B208" s="158" t="s">
        <v>11090</v>
      </c>
      <c r="C208" s="158" t="s">
        <v>11491</v>
      </c>
      <c r="D208" s="158" t="s">
        <v>11492</v>
      </c>
      <c r="E208" s="102" t="s">
        <v>15</v>
      </c>
      <c r="F208" s="102" t="s">
        <v>10250</v>
      </c>
      <c r="G208" s="109" t="s">
        <v>16</v>
      </c>
      <c r="H208" s="161">
        <v>200</v>
      </c>
      <c r="I208" s="161">
        <v>200</v>
      </c>
      <c r="J208" s="109"/>
      <c r="K208" s="160"/>
      <c r="L208" s="105">
        <v>20201118</v>
      </c>
    </row>
    <row r="209" s="146" customFormat="1" ht="15.2" customHeight="1" spans="1:12">
      <c r="A209" s="109">
        <v>207</v>
      </c>
      <c r="B209" s="158" t="s">
        <v>11090</v>
      </c>
      <c r="C209" s="158" t="s">
        <v>11493</v>
      </c>
      <c r="D209" s="158" t="s">
        <v>11494</v>
      </c>
      <c r="E209" s="102" t="s">
        <v>15</v>
      </c>
      <c r="F209" s="102" t="s">
        <v>10250</v>
      </c>
      <c r="G209" s="109" t="s">
        <v>16</v>
      </c>
      <c r="H209" s="161">
        <v>200</v>
      </c>
      <c r="I209" s="161">
        <v>200</v>
      </c>
      <c r="J209" s="109"/>
      <c r="K209" s="160"/>
      <c r="L209" s="105">
        <v>20201118</v>
      </c>
    </row>
    <row r="210" s="146" customFormat="1" ht="15.2" customHeight="1" spans="1:12">
      <c r="A210" s="109">
        <v>208</v>
      </c>
      <c r="B210" s="158" t="s">
        <v>11090</v>
      </c>
      <c r="C210" s="158" t="s">
        <v>11495</v>
      </c>
      <c r="D210" s="158" t="s">
        <v>11496</v>
      </c>
      <c r="E210" s="102" t="s">
        <v>15</v>
      </c>
      <c r="F210" s="102" t="s">
        <v>10250</v>
      </c>
      <c r="G210" s="109" t="s">
        <v>16</v>
      </c>
      <c r="H210" s="161">
        <v>200</v>
      </c>
      <c r="I210" s="161">
        <v>200</v>
      </c>
      <c r="J210" s="109" t="s">
        <v>6097</v>
      </c>
      <c r="K210" s="160"/>
      <c r="L210" s="105">
        <v>20201118</v>
      </c>
    </row>
    <row r="211" s="146" customFormat="1" ht="15.2" customHeight="1" spans="1:12">
      <c r="A211" s="109">
        <v>209</v>
      </c>
      <c r="B211" s="158" t="s">
        <v>11090</v>
      </c>
      <c r="C211" s="158" t="s">
        <v>11497</v>
      </c>
      <c r="D211" s="158" t="s">
        <v>11498</v>
      </c>
      <c r="E211" s="102" t="s">
        <v>15</v>
      </c>
      <c r="F211" s="102" t="s">
        <v>10250</v>
      </c>
      <c r="G211" s="109" t="s">
        <v>16</v>
      </c>
      <c r="H211" s="161">
        <v>200</v>
      </c>
      <c r="I211" s="161">
        <v>200</v>
      </c>
      <c r="J211" s="109"/>
      <c r="K211" s="160"/>
      <c r="L211" s="105">
        <v>20201118</v>
      </c>
    </row>
    <row r="212" s="146" customFormat="1" ht="15.2" customHeight="1" spans="1:12">
      <c r="A212" s="109">
        <v>210</v>
      </c>
      <c r="B212" s="158" t="s">
        <v>11090</v>
      </c>
      <c r="C212" s="158" t="s">
        <v>11499</v>
      </c>
      <c r="D212" s="162" t="s">
        <v>11500</v>
      </c>
      <c r="E212" s="102" t="s">
        <v>15</v>
      </c>
      <c r="F212" s="102" t="s">
        <v>10250</v>
      </c>
      <c r="G212" s="109" t="s">
        <v>16</v>
      </c>
      <c r="H212" s="161">
        <v>500</v>
      </c>
      <c r="I212" s="161">
        <v>500</v>
      </c>
      <c r="J212" s="109"/>
      <c r="K212" s="160"/>
      <c r="L212" s="105">
        <v>20201118</v>
      </c>
    </row>
    <row r="213" s="146" customFormat="1" ht="15.2" customHeight="1" spans="1:12">
      <c r="A213" s="109">
        <v>211</v>
      </c>
      <c r="B213" s="158" t="s">
        <v>11090</v>
      </c>
      <c r="C213" s="158" t="s">
        <v>11501</v>
      </c>
      <c r="D213" s="158" t="s">
        <v>11502</v>
      </c>
      <c r="E213" s="102" t="s">
        <v>15</v>
      </c>
      <c r="F213" s="102" t="s">
        <v>10250</v>
      </c>
      <c r="G213" s="109" t="s">
        <v>16</v>
      </c>
      <c r="H213" s="161">
        <v>200</v>
      </c>
      <c r="I213" s="161">
        <v>200</v>
      </c>
      <c r="J213" s="109"/>
      <c r="K213" s="160"/>
      <c r="L213" s="105">
        <v>20201118</v>
      </c>
    </row>
    <row r="214" s="146" customFormat="1" ht="15.2" customHeight="1" spans="1:12">
      <c r="A214" s="109">
        <v>212</v>
      </c>
      <c r="B214" s="158" t="s">
        <v>11090</v>
      </c>
      <c r="C214" s="158" t="s">
        <v>11503</v>
      </c>
      <c r="D214" s="158" t="s">
        <v>11504</v>
      </c>
      <c r="E214" s="102" t="s">
        <v>15</v>
      </c>
      <c r="F214" s="102" t="s">
        <v>10250</v>
      </c>
      <c r="G214" s="109" t="s">
        <v>16</v>
      </c>
      <c r="H214" s="161">
        <v>200</v>
      </c>
      <c r="I214" s="161">
        <v>200</v>
      </c>
      <c r="J214" s="109" t="s">
        <v>6097</v>
      </c>
      <c r="K214" s="160"/>
      <c r="L214" s="105">
        <v>20201118</v>
      </c>
    </row>
    <row r="215" s="146" customFormat="1" ht="15.2" customHeight="1" spans="1:12">
      <c r="A215" s="109">
        <v>213</v>
      </c>
      <c r="B215" s="158" t="s">
        <v>11090</v>
      </c>
      <c r="C215" s="158" t="s">
        <v>11505</v>
      </c>
      <c r="D215" s="158" t="s">
        <v>11506</v>
      </c>
      <c r="E215" s="102" t="s">
        <v>15</v>
      </c>
      <c r="F215" s="102" t="s">
        <v>10250</v>
      </c>
      <c r="G215" s="109" t="s">
        <v>16</v>
      </c>
      <c r="H215" s="161">
        <v>200</v>
      </c>
      <c r="I215" s="161">
        <v>200</v>
      </c>
      <c r="J215" s="109"/>
      <c r="K215" s="160"/>
      <c r="L215" s="105">
        <v>20201118</v>
      </c>
    </row>
    <row r="216" s="146" customFormat="1" ht="15.2" customHeight="1" spans="1:12">
      <c r="A216" s="109">
        <v>214</v>
      </c>
      <c r="B216" s="158" t="s">
        <v>11090</v>
      </c>
      <c r="C216" s="158" t="s">
        <v>11507</v>
      </c>
      <c r="D216" s="158" t="s">
        <v>11508</v>
      </c>
      <c r="E216" s="102" t="s">
        <v>15</v>
      </c>
      <c r="F216" s="102" t="s">
        <v>10250</v>
      </c>
      <c r="G216" s="109" t="s">
        <v>16</v>
      </c>
      <c r="H216" s="161">
        <v>200</v>
      </c>
      <c r="I216" s="161">
        <v>200</v>
      </c>
      <c r="J216" s="109"/>
      <c r="K216" s="160"/>
      <c r="L216" s="105">
        <v>20201118</v>
      </c>
    </row>
    <row r="217" s="146" customFormat="1" ht="15.2" customHeight="1" spans="1:12">
      <c r="A217" s="109">
        <v>215</v>
      </c>
      <c r="B217" s="158" t="s">
        <v>11090</v>
      </c>
      <c r="C217" s="158" t="s">
        <v>11509</v>
      </c>
      <c r="D217" s="158" t="s">
        <v>11510</v>
      </c>
      <c r="E217" s="102" t="s">
        <v>15</v>
      </c>
      <c r="F217" s="102" t="s">
        <v>10250</v>
      </c>
      <c r="G217" s="109" t="s">
        <v>16</v>
      </c>
      <c r="H217" s="161">
        <v>500</v>
      </c>
      <c r="I217" s="161">
        <v>500</v>
      </c>
      <c r="J217" s="109"/>
      <c r="K217" s="160"/>
      <c r="L217" s="105">
        <v>20201118</v>
      </c>
    </row>
    <row r="218" s="146" customFormat="1" ht="15.2" customHeight="1" spans="1:12">
      <c r="A218" s="109">
        <v>216</v>
      </c>
      <c r="B218" s="158" t="s">
        <v>11090</v>
      </c>
      <c r="C218" s="158" t="s">
        <v>11511</v>
      </c>
      <c r="D218" s="158" t="s">
        <v>11512</v>
      </c>
      <c r="E218" s="102" t="s">
        <v>15</v>
      </c>
      <c r="F218" s="102" t="s">
        <v>10250</v>
      </c>
      <c r="G218" s="109" t="s">
        <v>16</v>
      </c>
      <c r="H218" s="32">
        <v>200</v>
      </c>
      <c r="I218" s="32">
        <v>200</v>
      </c>
      <c r="J218" s="109"/>
      <c r="K218" s="160"/>
      <c r="L218" s="105">
        <v>20201118</v>
      </c>
    </row>
    <row r="219" s="146" customFormat="1" ht="15.2" customHeight="1" spans="1:12">
      <c r="A219" s="109">
        <v>217</v>
      </c>
      <c r="B219" s="158" t="s">
        <v>11090</v>
      </c>
      <c r="C219" s="158" t="s">
        <v>11513</v>
      </c>
      <c r="D219" s="158" t="s">
        <v>11514</v>
      </c>
      <c r="E219" s="102" t="s">
        <v>15</v>
      </c>
      <c r="F219" s="102" t="s">
        <v>10250</v>
      </c>
      <c r="G219" s="109" t="s">
        <v>16</v>
      </c>
      <c r="H219" s="32">
        <v>200</v>
      </c>
      <c r="I219" s="32">
        <v>200</v>
      </c>
      <c r="J219" s="109"/>
      <c r="K219" s="160"/>
      <c r="L219" s="105">
        <v>20201118</v>
      </c>
    </row>
    <row r="220" s="146" customFormat="1" ht="15.2" customHeight="1" spans="1:12">
      <c r="A220" s="109">
        <v>218</v>
      </c>
      <c r="B220" s="158" t="s">
        <v>11090</v>
      </c>
      <c r="C220" s="158" t="s">
        <v>11515</v>
      </c>
      <c r="D220" s="158" t="s">
        <v>11516</v>
      </c>
      <c r="E220" s="102" t="s">
        <v>15</v>
      </c>
      <c r="F220" s="102" t="s">
        <v>10250</v>
      </c>
      <c r="G220" s="109" t="s">
        <v>16</v>
      </c>
      <c r="H220" s="32">
        <v>500</v>
      </c>
      <c r="I220" s="32">
        <v>500</v>
      </c>
      <c r="J220" s="109"/>
      <c r="K220" s="160"/>
      <c r="L220" s="105">
        <v>20201118</v>
      </c>
    </row>
    <row r="221" s="146" customFormat="1" ht="15.2" customHeight="1" spans="1:12">
      <c r="A221" s="109">
        <v>219</v>
      </c>
      <c r="B221" s="158" t="s">
        <v>11090</v>
      </c>
      <c r="C221" s="158" t="s">
        <v>11517</v>
      </c>
      <c r="D221" s="158" t="s">
        <v>11518</v>
      </c>
      <c r="E221" s="102" t="s">
        <v>15</v>
      </c>
      <c r="F221" s="102" t="s">
        <v>10250</v>
      </c>
      <c r="G221" s="109" t="s">
        <v>16</v>
      </c>
      <c r="H221" s="32">
        <v>200</v>
      </c>
      <c r="I221" s="32">
        <v>200</v>
      </c>
      <c r="J221" s="109"/>
      <c r="K221" s="160"/>
      <c r="L221" s="105">
        <v>20201118</v>
      </c>
    </row>
    <row r="222" s="146" customFormat="1" ht="15.2" customHeight="1" spans="1:12">
      <c r="A222" s="109">
        <v>220</v>
      </c>
      <c r="B222" s="158" t="s">
        <v>11090</v>
      </c>
      <c r="C222" s="158" t="s">
        <v>11519</v>
      </c>
      <c r="D222" s="158" t="s">
        <v>11520</v>
      </c>
      <c r="E222" s="102" t="s">
        <v>15</v>
      </c>
      <c r="F222" s="102" t="s">
        <v>10250</v>
      </c>
      <c r="G222" s="109" t="s">
        <v>16</v>
      </c>
      <c r="H222" s="32">
        <v>200</v>
      </c>
      <c r="I222" s="32">
        <v>200</v>
      </c>
      <c r="J222" s="109"/>
      <c r="K222" s="160"/>
      <c r="L222" s="105">
        <v>20201118</v>
      </c>
    </row>
    <row r="223" s="146" customFormat="1" ht="15.2" customHeight="1" spans="1:12">
      <c r="A223" s="109">
        <v>221</v>
      </c>
      <c r="B223" s="158" t="s">
        <v>11090</v>
      </c>
      <c r="C223" s="158" t="s">
        <v>11521</v>
      </c>
      <c r="D223" s="158" t="s">
        <v>11522</v>
      </c>
      <c r="E223" s="102" t="s">
        <v>15</v>
      </c>
      <c r="F223" s="102" t="s">
        <v>10250</v>
      </c>
      <c r="G223" s="109" t="s">
        <v>16</v>
      </c>
      <c r="H223" s="32">
        <v>200</v>
      </c>
      <c r="I223" s="32">
        <v>200</v>
      </c>
      <c r="J223" s="109"/>
      <c r="K223" s="160"/>
      <c r="L223" s="105">
        <v>20201118</v>
      </c>
    </row>
    <row r="224" s="146" customFormat="1" ht="15.2" customHeight="1" spans="1:12">
      <c r="A224" s="109">
        <v>222</v>
      </c>
      <c r="B224" s="158" t="s">
        <v>11090</v>
      </c>
      <c r="C224" s="158" t="s">
        <v>11523</v>
      </c>
      <c r="D224" s="158" t="s">
        <v>11524</v>
      </c>
      <c r="E224" s="102" t="s">
        <v>15</v>
      </c>
      <c r="F224" s="102" t="s">
        <v>10250</v>
      </c>
      <c r="G224" s="109" t="s">
        <v>16</v>
      </c>
      <c r="H224" s="32">
        <v>200</v>
      </c>
      <c r="I224" s="32">
        <v>200</v>
      </c>
      <c r="J224" s="109"/>
      <c r="K224" s="160"/>
      <c r="L224" s="105">
        <v>20201118</v>
      </c>
    </row>
    <row r="225" s="146" customFormat="1" ht="15.2" customHeight="1" spans="1:12">
      <c r="A225" s="109">
        <v>223</v>
      </c>
      <c r="B225" s="158" t="s">
        <v>11090</v>
      </c>
      <c r="C225" s="158" t="s">
        <v>11525</v>
      </c>
      <c r="D225" s="158" t="s">
        <v>11526</v>
      </c>
      <c r="E225" s="102" t="s">
        <v>15</v>
      </c>
      <c r="F225" s="102" t="s">
        <v>10250</v>
      </c>
      <c r="G225" s="109" t="s">
        <v>16</v>
      </c>
      <c r="H225" s="32">
        <v>200</v>
      </c>
      <c r="I225" s="32">
        <v>200</v>
      </c>
      <c r="J225" s="109" t="s">
        <v>768</v>
      </c>
      <c r="K225" s="160"/>
      <c r="L225" s="105">
        <v>20201118</v>
      </c>
    </row>
    <row r="226" s="146" customFormat="1" ht="15.2" customHeight="1" spans="1:12">
      <c r="A226" s="109">
        <v>224</v>
      </c>
      <c r="B226" s="158" t="s">
        <v>11090</v>
      </c>
      <c r="C226" s="158" t="s">
        <v>11527</v>
      </c>
      <c r="D226" s="158" t="s">
        <v>11528</v>
      </c>
      <c r="E226" s="102" t="s">
        <v>15</v>
      </c>
      <c r="F226" s="102" t="s">
        <v>10250</v>
      </c>
      <c r="G226" s="109" t="s">
        <v>16</v>
      </c>
      <c r="H226" s="32">
        <v>200</v>
      </c>
      <c r="I226" s="32">
        <v>200</v>
      </c>
      <c r="J226" s="109"/>
      <c r="K226" s="160"/>
      <c r="L226" s="105">
        <v>20201118</v>
      </c>
    </row>
    <row r="227" s="146" customFormat="1" ht="15.2" customHeight="1" spans="1:12">
      <c r="A227" s="109">
        <v>225</v>
      </c>
      <c r="B227" s="158" t="s">
        <v>11090</v>
      </c>
      <c r="C227" s="158" t="s">
        <v>11529</v>
      </c>
      <c r="D227" s="158" t="s">
        <v>11530</v>
      </c>
      <c r="E227" s="102" t="s">
        <v>15</v>
      </c>
      <c r="F227" s="102" t="s">
        <v>10250</v>
      </c>
      <c r="G227" s="109" t="s">
        <v>16</v>
      </c>
      <c r="H227" s="32">
        <v>200</v>
      </c>
      <c r="I227" s="32">
        <v>200</v>
      </c>
      <c r="J227" s="109"/>
      <c r="K227" s="160"/>
      <c r="L227" s="105">
        <v>20201118</v>
      </c>
    </row>
    <row r="228" s="146" customFormat="1" ht="15.2" customHeight="1" spans="1:12">
      <c r="A228" s="109">
        <v>226</v>
      </c>
      <c r="B228" s="158" t="s">
        <v>11090</v>
      </c>
      <c r="C228" s="158" t="s">
        <v>11531</v>
      </c>
      <c r="D228" s="158" t="s">
        <v>11532</v>
      </c>
      <c r="E228" s="102" t="s">
        <v>15</v>
      </c>
      <c r="F228" s="102" t="s">
        <v>10250</v>
      </c>
      <c r="G228" s="109" t="s">
        <v>16</v>
      </c>
      <c r="H228" s="32">
        <v>200</v>
      </c>
      <c r="I228" s="32">
        <v>200</v>
      </c>
      <c r="J228" s="109" t="s">
        <v>108</v>
      </c>
      <c r="K228" s="160"/>
      <c r="L228" s="105">
        <v>20201118</v>
      </c>
    </row>
    <row r="229" s="146" customFormat="1" ht="15.2" customHeight="1" spans="1:12">
      <c r="A229" s="109">
        <v>227</v>
      </c>
      <c r="B229" s="158" t="s">
        <v>11090</v>
      </c>
      <c r="C229" s="158" t="s">
        <v>11533</v>
      </c>
      <c r="D229" s="158" t="s">
        <v>11534</v>
      </c>
      <c r="E229" s="102" t="s">
        <v>15</v>
      </c>
      <c r="F229" s="102" t="s">
        <v>10250</v>
      </c>
      <c r="G229" s="109" t="s">
        <v>16</v>
      </c>
      <c r="H229" s="32">
        <v>200</v>
      </c>
      <c r="I229" s="32">
        <v>200</v>
      </c>
      <c r="J229" s="109"/>
      <c r="K229" s="160"/>
      <c r="L229" s="105">
        <v>20201118</v>
      </c>
    </row>
    <row r="230" s="146" customFormat="1" ht="15.2" customHeight="1" spans="1:12">
      <c r="A230" s="109">
        <v>228</v>
      </c>
      <c r="B230" s="158" t="s">
        <v>11090</v>
      </c>
      <c r="C230" s="158" t="s">
        <v>11535</v>
      </c>
      <c r="D230" s="158" t="s">
        <v>11536</v>
      </c>
      <c r="E230" s="102" t="s">
        <v>15</v>
      </c>
      <c r="F230" s="102" t="s">
        <v>10250</v>
      </c>
      <c r="G230" s="109" t="s">
        <v>16</v>
      </c>
      <c r="H230" s="32">
        <v>200</v>
      </c>
      <c r="I230" s="32">
        <v>200</v>
      </c>
      <c r="J230" s="109"/>
      <c r="K230" s="160"/>
      <c r="L230" s="105">
        <v>20201118</v>
      </c>
    </row>
    <row r="231" s="146" customFormat="1" ht="15.2" customHeight="1" spans="1:12">
      <c r="A231" s="109">
        <v>229</v>
      </c>
      <c r="B231" s="158" t="s">
        <v>11090</v>
      </c>
      <c r="C231" s="158" t="s">
        <v>11537</v>
      </c>
      <c r="D231" s="158" t="s">
        <v>11538</v>
      </c>
      <c r="E231" s="102" t="s">
        <v>15</v>
      </c>
      <c r="F231" s="102" t="s">
        <v>10250</v>
      </c>
      <c r="G231" s="109" t="s">
        <v>16</v>
      </c>
      <c r="H231" s="32">
        <v>200</v>
      </c>
      <c r="I231" s="32">
        <v>200</v>
      </c>
      <c r="J231" s="109"/>
      <c r="K231" s="160"/>
      <c r="L231" s="105">
        <v>20201118</v>
      </c>
    </row>
    <row r="232" s="146" customFormat="1" ht="15.2" customHeight="1" spans="1:12">
      <c r="A232" s="109">
        <v>230</v>
      </c>
      <c r="B232" s="158" t="s">
        <v>11090</v>
      </c>
      <c r="C232" s="158" t="s">
        <v>11539</v>
      </c>
      <c r="D232" s="158" t="s">
        <v>11540</v>
      </c>
      <c r="E232" s="102" t="s">
        <v>15</v>
      </c>
      <c r="F232" s="102" t="s">
        <v>10250</v>
      </c>
      <c r="G232" s="109" t="s">
        <v>16</v>
      </c>
      <c r="H232" s="32">
        <v>200</v>
      </c>
      <c r="I232" s="32">
        <v>200</v>
      </c>
      <c r="J232" s="109"/>
      <c r="K232" s="160"/>
      <c r="L232" s="105">
        <v>20201118</v>
      </c>
    </row>
    <row r="233" s="146" customFormat="1" ht="15.2" customHeight="1" spans="1:12">
      <c r="A233" s="109">
        <v>231</v>
      </c>
      <c r="B233" s="158" t="s">
        <v>11090</v>
      </c>
      <c r="C233" s="158" t="s">
        <v>11541</v>
      </c>
      <c r="D233" s="158" t="s">
        <v>11542</v>
      </c>
      <c r="E233" s="102" t="s">
        <v>15</v>
      </c>
      <c r="F233" s="102" t="s">
        <v>10250</v>
      </c>
      <c r="G233" s="109" t="s">
        <v>16</v>
      </c>
      <c r="H233" s="32">
        <v>200</v>
      </c>
      <c r="I233" s="32">
        <v>200</v>
      </c>
      <c r="J233" s="109" t="s">
        <v>11317</v>
      </c>
      <c r="K233" s="160"/>
      <c r="L233" s="105">
        <v>20201118</v>
      </c>
    </row>
    <row r="234" s="146" customFormat="1" ht="15.2" customHeight="1" spans="1:12">
      <c r="A234" s="109">
        <v>232</v>
      </c>
      <c r="B234" s="158" t="s">
        <v>11090</v>
      </c>
      <c r="C234" s="158" t="s">
        <v>11543</v>
      </c>
      <c r="D234" s="158" t="s">
        <v>11544</v>
      </c>
      <c r="E234" s="102" t="s">
        <v>15</v>
      </c>
      <c r="F234" s="102" t="s">
        <v>10250</v>
      </c>
      <c r="G234" s="109" t="s">
        <v>16</v>
      </c>
      <c r="H234" s="32">
        <v>200</v>
      </c>
      <c r="I234" s="32">
        <v>200</v>
      </c>
      <c r="J234" s="109"/>
      <c r="K234" s="160"/>
      <c r="L234" s="105">
        <v>20201118</v>
      </c>
    </row>
    <row r="235" s="146" customFormat="1" ht="15.2" customHeight="1" spans="1:12">
      <c r="A235" s="109">
        <v>233</v>
      </c>
      <c r="B235" s="158" t="s">
        <v>11090</v>
      </c>
      <c r="C235" s="158" t="s">
        <v>11545</v>
      </c>
      <c r="D235" s="158" t="s">
        <v>11546</v>
      </c>
      <c r="E235" s="102" t="s">
        <v>15</v>
      </c>
      <c r="F235" s="102" t="s">
        <v>10250</v>
      </c>
      <c r="G235" s="109" t="s">
        <v>16</v>
      </c>
      <c r="H235" s="32">
        <v>200</v>
      </c>
      <c r="I235" s="32">
        <v>200</v>
      </c>
      <c r="J235" s="109" t="s">
        <v>6097</v>
      </c>
      <c r="K235" s="160"/>
      <c r="L235" s="105">
        <v>20201118</v>
      </c>
    </row>
    <row r="236" s="146" customFormat="1" ht="15.2" customHeight="1" spans="1:12">
      <c r="A236" s="109">
        <v>234</v>
      </c>
      <c r="B236" s="158" t="s">
        <v>11090</v>
      </c>
      <c r="C236" s="158" t="s">
        <v>6485</v>
      </c>
      <c r="D236" s="158" t="s">
        <v>11547</v>
      </c>
      <c r="E236" s="102" t="s">
        <v>15</v>
      </c>
      <c r="F236" s="102" t="s">
        <v>10250</v>
      </c>
      <c r="G236" s="109" t="s">
        <v>16</v>
      </c>
      <c r="H236" s="32">
        <v>200</v>
      </c>
      <c r="I236" s="32">
        <v>200</v>
      </c>
      <c r="J236" s="109"/>
      <c r="K236" s="160"/>
      <c r="L236" s="105">
        <v>20201118</v>
      </c>
    </row>
    <row r="237" s="146" customFormat="1" ht="15.2" customHeight="1" spans="1:12">
      <c r="A237" s="109">
        <v>235</v>
      </c>
      <c r="B237" s="158" t="s">
        <v>11090</v>
      </c>
      <c r="C237" s="158" t="s">
        <v>11548</v>
      </c>
      <c r="D237" s="158" t="s">
        <v>11549</v>
      </c>
      <c r="E237" s="102" t="s">
        <v>15</v>
      </c>
      <c r="F237" s="102" t="s">
        <v>10250</v>
      </c>
      <c r="G237" s="109" t="s">
        <v>16</v>
      </c>
      <c r="H237" s="32">
        <v>200</v>
      </c>
      <c r="I237" s="32">
        <v>200</v>
      </c>
      <c r="J237" s="109" t="s">
        <v>6097</v>
      </c>
      <c r="K237" s="160"/>
      <c r="L237" s="105">
        <v>20201118</v>
      </c>
    </row>
    <row r="238" s="146" customFormat="1" ht="15.2" customHeight="1" spans="1:12">
      <c r="A238" s="109">
        <v>236</v>
      </c>
      <c r="B238" s="158" t="s">
        <v>11090</v>
      </c>
      <c r="C238" s="158" t="s">
        <v>11550</v>
      </c>
      <c r="D238" s="158" t="s">
        <v>11551</v>
      </c>
      <c r="E238" s="102" t="s">
        <v>15</v>
      </c>
      <c r="F238" s="102" t="s">
        <v>10250</v>
      </c>
      <c r="G238" s="109" t="s">
        <v>16</v>
      </c>
      <c r="H238" s="32">
        <v>200</v>
      </c>
      <c r="I238" s="32">
        <v>200</v>
      </c>
      <c r="J238" s="109" t="s">
        <v>6097</v>
      </c>
      <c r="K238" s="160"/>
      <c r="L238" s="105">
        <v>20201118</v>
      </c>
    </row>
    <row r="239" s="146" customFormat="1" ht="15.2" customHeight="1" spans="1:12">
      <c r="A239" s="109">
        <v>237</v>
      </c>
      <c r="B239" s="158" t="s">
        <v>11090</v>
      </c>
      <c r="C239" s="158" t="s">
        <v>11552</v>
      </c>
      <c r="D239" s="158" t="s">
        <v>11553</v>
      </c>
      <c r="E239" s="102" t="s">
        <v>15</v>
      </c>
      <c r="F239" s="102" t="s">
        <v>10250</v>
      </c>
      <c r="G239" s="109" t="s">
        <v>16</v>
      </c>
      <c r="H239" s="32">
        <v>200</v>
      </c>
      <c r="I239" s="32">
        <v>200</v>
      </c>
      <c r="J239" s="109"/>
      <c r="K239" s="160"/>
      <c r="L239" s="105">
        <v>20201118</v>
      </c>
    </row>
    <row r="240" s="146" customFormat="1" ht="15.2" customHeight="1" spans="1:12">
      <c r="A240" s="109">
        <v>238</v>
      </c>
      <c r="B240" s="158" t="s">
        <v>11090</v>
      </c>
      <c r="C240" s="158" t="s">
        <v>11554</v>
      </c>
      <c r="D240" s="158" t="s">
        <v>11555</v>
      </c>
      <c r="E240" s="102" t="s">
        <v>15</v>
      </c>
      <c r="F240" s="102" t="s">
        <v>10250</v>
      </c>
      <c r="G240" s="109" t="s">
        <v>16</v>
      </c>
      <c r="H240" s="32">
        <v>200</v>
      </c>
      <c r="I240" s="32">
        <v>200</v>
      </c>
      <c r="J240" s="109"/>
      <c r="K240" s="160"/>
      <c r="L240" s="105">
        <v>20201118</v>
      </c>
    </row>
    <row r="241" s="146" customFormat="1" ht="15.2" customHeight="1" spans="1:12">
      <c r="A241" s="109">
        <v>239</v>
      </c>
      <c r="B241" s="158" t="s">
        <v>11090</v>
      </c>
      <c r="C241" s="158" t="s">
        <v>11556</v>
      </c>
      <c r="D241" s="158" t="s">
        <v>11557</v>
      </c>
      <c r="E241" s="102" t="s">
        <v>15</v>
      </c>
      <c r="F241" s="102" t="s">
        <v>10250</v>
      </c>
      <c r="G241" s="109" t="s">
        <v>16</v>
      </c>
      <c r="H241" s="32">
        <v>200</v>
      </c>
      <c r="I241" s="32">
        <v>200</v>
      </c>
      <c r="J241" s="109"/>
      <c r="K241" s="160"/>
      <c r="L241" s="105">
        <v>20201118</v>
      </c>
    </row>
    <row r="242" s="146" customFormat="1" ht="15.2" customHeight="1" spans="1:12">
      <c r="A242" s="109">
        <v>240</v>
      </c>
      <c r="B242" s="158" t="s">
        <v>11090</v>
      </c>
      <c r="C242" s="158" t="s">
        <v>11558</v>
      </c>
      <c r="D242" s="158" t="s">
        <v>11559</v>
      </c>
      <c r="E242" s="102" t="s">
        <v>15</v>
      </c>
      <c r="F242" s="102" t="s">
        <v>10250</v>
      </c>
      <c r="G242" s="109" t="s">
        <v>16</v>
      </c>
      <c r="H242" s="32">
        <v>500</v>
      </c>
      <c r="I242" s="32">
        <v>500</v>
      </c>
      <c r="J242" s="109"/>
      <c r="K242" s="160"/>
      <c r="L242" s="105">
        <v>20201118</v>
      </c>
    </row>
    <row r="243" s="146" customFormat="1" ht="15.2" customHeight="1" spans="1:12">
      <c r="A243" s="109">
        <v>241</v>
      </c>
      <c r="B243" s="158" t="s">
        <v>11090</v>
      </c>
      <c r="C243" s="158" t="s">
        <v>11560</v>
      </c>
      <c r="D243" s="158" t="s">
        <v>11561</v>
      </c>
      <c r="E243" s="102" t="s">
        <v>15</v>
      </c>
      <c r="F243" s="102" t="s">
        <v>10250</v>
      </c>
      <c r="G243" s="109" t="s">
        <v>16</v>
      </c>
      <c r="H243" s="32">
        <v>500</v>
      </c>
      <c r="I243" s="32">
        <v>500</v>
      </c>
      <c r="J243" s="109"/>
      <c r="K243" s="160"/>
      <c r="L243" s="105">
        <v>20201118</v>
      </c>
    </row>
    <row r="244" s="146" customFormat="1" ht="15.2" customHeight="1" spans="1:12">
      <c r="A244" s="109">
        <v>242</v>
      </c>
      <c r="B244" s="158" t="s">
        <v>11090</v>
      </c>
      <c r="C244" s="158" t="s">
        <v>11562</v>
      </c>
      <c r="D244" s="158" t="s">
        <v>11563</v>
      </c>
      <c r="E244" s="102" t="s">
        <v>15</v>
      </c>
      <c r="F244" s="102" t="s">
        <v>10250</v>
      </c>
      <c r="G244" s="109" t="s">
        <v>16</v>
      </c>
      <c r="H244" s="32">
        <v>200</v>
      </c>
      <c r="I244" s="32">
        <v>200</v>
      </c>
      <c r="J244" s="109"/>
      <c r="K244" s="160"/>
      <c r="L244" s="105">
        <v>20201118</v>
      </c>
    </row>
    <row r="245" s="146" customFormat="1" ht="15.2" customHeight="1" spans="1:12">
      <c r="A245" s="109">
        <v>243</v>
      </c>
      <c r="B245" s="158" t="s">
        <v>11090</v>
      </c>
      <c r="C245" s="158" t="s">
        <v>11564</v>
      </c>
      <c r="D245" s="158" t="s">
        <v>11565</v>
      </c>
      <c r="E245" s="102" t="s">
        <v>15</v>
      </c>
      <c r="F245" s="102" t="s">
        <v>10250</v>
      </c>
      <c r="G245" s="109" t="s">
        <v>16</v>
      </c>
      <c r="H245" s="32">
        <v>200</v>
      </c>
      <c r="I245" s="32">
        <v>200</v>
      </c>
      <c r="J245" s="109"/>
      <c r="K245" s="160"/>
      <c r="L245" s="105">
        <v>20201118</v>
      </c>
    </row>
    <row r="246" s="146" customFormat="1" ht="15.2" customHeight="1" spans="1:12">
      <c r="A246" s="109">
        <v>244</v>
      </c>
      <c r="B246" s="158" t="s">
        <v>11090</v>
      </c>
      <c r="C246" s="158" t="s">
        <v>11566</v>
      </c>
      <c r="D246" s="158" t="s">
        <v>11567</v>
      </c>
      <c r="E246" s="102" t="s">
        <v>15</v>
      </c>
      <c r="F246" s="102" t="s">
        <v>10250</v>
      </c>
      <c r="G246" s="109" t="s">
        <v>16</v>
      </c>
      <c r="H246" s="32">
        <v>200</v>
      </c>
      <c r="I246" s="32">
        <v>200</v>
      </c>
      <c r="J246" s="109"/>
      <c r="K246" s="160"/>
      <c r="L246" s="105">
        <v>20201118</v>
      </c>
    </row>
    <row r="247" s="146" customFormat="1" ht="15.2" customHeight="1" spans="1:12">
      <c r="A247" s="109">
        <v>245</v>
      </c>
      <c r="B247" s="158" t="s">
        <v>11090</v>
      </c>
      <c r="C247" s="158" t="s">
        <v>11568</v>
      </c>
      <c r="D247" s="158" t="s">
        <v>11569</v>
      </c>
      <c r="E247" s="102" t="s">
        <v>15</v>
      </c>
      <c r="F247" s="102" t="s">
        <v>10250</v>
      </c>
      <c r="G247" s="109" t="s">
        <v>16</v>
      </c>
      <c r="H247" s="161">
        <v>200</v>
      </c>
      <c r="I247" s="161">
        <v>200</v>
      </c>
      <c r="J247" s="109"/>
      <c r="K247" s="160"/>
      <c r="L247" s="105">
        <v>20201118</v>
      </c>
    </row>
    <row r="248" s="146" customFormat="1" ht="15.2" customHeight="1" spans="1:12">
      <c r="A248" s="109">
        <v>246</v>
      </c>
      <c r="B248" s="158" t="s">
        <v>11090</v>
      </c>
      <c r="C248" s="158" t="s">
        <v>11570</v>
      </c>
      <c r="D248" s="158" t="s">
        <v>11571</v>
      </c>
      <c r="E248" s="102" t="s">
        <v>15</v>
      </c>
      <c r="F248" s="102" t="s">
        <v>10250</v>
      </c>
      <c r="G248" s="109" t="s">
        <v>16</v>
      </c>
      <c r="H248" s="32">
        <v>200</v>
      </c>
      <c r="I248" s="32">
        <v>200</v>
      </c>
      <c r="J248" s="109"/>
      <c r="K248" s="160"/>
      <c r="L248" s="105">
        <v>20201118</v>
      </c>
    </row>
    <row r="249" s="146" customFormat="1" ht="15.2" customHeight="1" spans="1:12">
      <c r="A249" s="109">
        <v>247</v>
      </c>
      <c r="B249" s="158" t="s">
        <v>11090</v>
      </c>
      <c r="C249" s="158" t="s">
        <v>11572</v>
      </c>
      <c r="D249" s="158" t="s">
        <v>11573</v>
      </c>
      <c r="E249" s="102" t="s">
        <v>15</v>
      </c>
      <c r="F249" s="102" t="s">
        <v>10250</v>
      </c>
      <c r="G249" s="109" t="s">
        <v>16</v>
      </c>
      <c r="H249" s="32">
        <v>500</v>
      </c>
      <c r="I249" s="32">
        <v>500</v>
      </c>
      <c r="J249" s="109"/>
      <c r="K249" s="160"/>
      <c r="L249" s="105">
        <v>20201118</v>
      </c>
    </row>
    <row r="250" s="146" customFormat="1" ht="15.2" customHeight="1" spans="1:12">
      <c r="A250" s="109">
        <v>248</v>
      </c>
      <c r="B250" s="158" t="s">
        <v>11090</v>
      </c>
      <c r="C250" s="158" t="s">
        <v>11574</v>
      </c>
      <c r="D250" s="158" t="s">
        <v>11575</v>
      </c>
      <c r="E250" s="102" t="s">
        <v>15</v>
      </c>
      <c r="F250" s="102" t="s">
        <v>10250</v>
      </c>
      <c r="G250" s="109" t="s">
        <v>16</v>
      </c>
      <c r="H250" s="32">
        <v>200</v>
      </c>
      <c r="I250" s="32">
        <v>200</v>
      </c>
      <c r="J250" s="109" t="s">
        <v>6097</v>
      </c>
      <c r="K250" s="160"/>
      <c r="L250" s="105">
        <v>20201118</v>
      </c>
    </row>
    <row r="251" s="146" customFormat="1" ht="15.2" customHeight="1" spans="1:12">
      <c r="A251" s="109">
        <v>249</v>
      </c>
      <c r="B251" s="158" t="s">
        <v>11090</v>
      </c>
      <c r="C251" s="158" t="s">
        <v>11576</v>
      </c>
      <c r="D251" s="158" t="s">
        <v>11577</v>
      </c>
      <c r="E251" s="102" t="s">
        <v>15</v>
      </c>
      <c r="F251" s="102" t="s">
        <v>10250</v>
      </c>
      <c r="G251" s="109" t="s">
        <v>16</v>
      </c>
      <c r="H251" s="32">
        <v>200</v>
      </c>
      <c r="I251" s="32">
        <v>200</v>
      </c>
      <c r="J251" s="109"/>
      <c r="K251" s="160"/>
      <c r="L251" s="105">
        <v>20201118</v>
      </c>
    </row>
    <row r="252" s="146" customFormat="1" ht="15.2" customHeight="1" spans="1:12">
      <c r="A252" s="109">
        <v>250</v>
      </c>
      <c r="B252" s="158" t="s">
        <v>11090</v>
      </c>
      <c r="C252" s="158" t="s">
        <v>11578</v>
      </c>
      <c r="D252" s="158" t="s">
        <v>11579</v>
      </c>
      <c r="E252" s="102" t="s">
        <v>15</v>
      </c>
      <c r="F252" s="102" t="s">
        <v>10250</v>
      </c>
      <c r="G252" s="109" t="s">
        <v>16</v>
      </c>
      <c r="H252" s="32">
        <v>200</v>
      </c>
      <c r="I252" s="32">
        <v>200</v>
      </c>
      <c r="J252" s="109"/>
      <c r="K252" s="160"/>
      <c r="L252" s="105">
        <v>20201118</v>
      </c>
    </row>
    <row r="253" s="146" customFormat="1" ht="15.2" customHeight="1" spans="1:12">
      <c r="A253" s="109">
        <v>251</v>
      </c>
      <c r="B253" s="158" t="s">
        <v>11090</v>
      </c>
      <c r="C253" s="158" t="s">
        <v>11580</v>
      </c>
      <c r="D253" s="158" t="s">
        <v>11581</v>
      </c>
      <c r="E253" s="102" t="s">
        <v>15</v>
      </c>
      <c r="F253" s="102" t="s">
        <v>10250</v>
      </c>
      <c r="G253" s="109" t="s">
        <v>16</v>
      </c>
      <c r="H253" s="32">
        <v>200</v>
      </c>
      <c r="I253" s="32">
        <v>200</v>
      </c>
      <c r="J253" s="109"/>
      <c r="K253" s="160"/>
      <c r="L253" s="105">
        <v>20201118</v>
      </c>
    </row>
    <row r="254" s="146" customFormat="1" ht="15.2" customHeight="1" spans="1:12">
      <c r="A254" s="109">
        <v>252</v>
      </c>
      <c r="B254" s="158" t="s">
        <v>11090</v>
      </c>
      <c r="C254" s="158" t="s">
        <v>11582</v>
      </c>
      <c r="D254" s="158" t="s">
        <v>11583</v>
      </c>
      <c r="E254" s="102" t="s">
        <v>15</v>
      </c>
      <c r="F254" s="102" t="s">
        <v>10250</v>
      </c>
      <c r="G254" s="109" t="s">
        <v>16</v>
      </c>
      <c r="H254" s="32">
        <v>200</v>
      </c>
      <c r="I254" s="32">
        <v>200</v>
      </c>
      <c r="J254" s="109"/>
      <c r="K254" s="160"/>
      <c r="L254" s="105">
        <v>20201118</v>
      </c>
    </row>
    <row r="255" s="146" customFormat="1" ht="15.2" customHeight="1" spans="1:12">
      <c r="A255" s="109">
        <v>253</v>
      </c>
      <c r="B255" s="158" t="s">
        <v>11090</v>
      </c>
      <c r="C255" s="158" t="s">
        <v>11584</v>
      </c>
      <c r="D255" s="158" t="s">
        <v>11585</v>
      </c>
      <c r="E255" s="102" t="s">
        <v>15</v>
      </c>
      <c r="F255" s="102" t="s">
        <v>10250</v>
      </c>
      <c r="G255" s="109" t="s">
        <v>16</v>
      </c>
      <c r="H255" s="32">
        <v>200</v>
      </c>
      <c r="I255" s="32">
        <v>200</v>
      </c>
      <c r="J255" s="109"/>
      <c r="K255" s="160"/>
      <c r="L255" s="105">
        <v>20201118</v>
      </c>
    </row>
    <row r="256" s="146" customFormat="1" ht="15.2" customHeight="1" spans="1:12">
      <c r="A256" s="109">
        <v>254</v>
      </c>
      <c r="B256" s="158" t="s">
        <v>11090</v>
      </c>
      <c r="C256" s="158" t="s">
        <v>11586</v>
      </c>
      <c r="D256" s="158" t="s">
        <v>11587</v>
      </c>
      <c r="E256" s="102" t="s">
        <v>15</v>
      </c>
      <c r="F256" s="102" t="s">
        <v>10250</v>
      </c>
      <c r="G256" s="109" t="s">
        <v>16</v>
      </c>
      <c r="H256" s="32">
        <v>200</v>
      </c>
      <c r="I256" s="32">
        <v>200</v>
      </c>
      <c r="J256" s="109"/>
      <c r="K256" s="160"/>
      <c r="L256" s="105">
        <v>20201118</v>
      </c>
    </row>
    <row r="257" s="146" customFormat="1" ht="15.2" customHeight="1" spans="1:12">
      <c r="A257" s="109">
        <v>255</v>
      </c>
      <c r="B257" s="158" t="s">
        <v>11090</v>
      </c>
      <c r="C257" s="158" t="s">
        <v>4975</v>
      </c>
      <c r="D257" s="158" t="s">
        <v>11588</v>
      </c>
      <c r="E257" s="102" t="s">
        <v>15</v>
      </c>
      <c r="F257" s="102" t="s">
        <v>10250</v>
      </c>
      <c r="G257" s="109" t="s">
        <v>16</v>
      </c>
      <c r="H257" s="32">
        <v>200</v>
      </c>
      <c r="I257" s="32">
        <v>200</v>
      </c>
      <c r="J257" s="109"/>
      <c r="K257" s="160"/>
      <c r="L257" s="105">
        <v>20201118</v>
      </c>
    </row>
    <row r="258" s="146" customFormat="1" ht="15.2" customHeight="1" spans="1:12">
      <c r="A258" s="109">
        <v>256</v>
      </c>
      <c r="B258" s="158" t="s">
        <v>11090</v>
      </c>
      <c r="C258" s="158" t="s">
        <v>11589</v>
      </c>
      <c r="D258" s="158" t="s">
        <v>11590</v>
      </c>
      <c r="E258" s="102" t="s">
        <v>15</v>
      </c>
      <c r="F258" s="102" t="s">
        <v>10250</v>
      </c>
      <c r="G258" s="109" t="s">
        <v>16</v>
      </c>
      <c r="H258" s="32">
        <v>200</v>
      </c>
      <c r="I258" s="32">
        <v>200</v>
      </c>
      <c r="J258" s="109"/>
      <c r="K258" s="160"/>
      <c r="L258" s="105">
        <v>20201118</v>
      </c>
    </row>
    <row r="259" s="146" customFormat="1" ht="15.2" customHeight="1" spans="1:12">
      <c r="A259" s="109">
        <v>257</v>
      </c>
      <c r="B259" s="158" t="s">
        <v>11090</v>
      </c>
      <c r="C259" s="158" t="s">
        <v>11591</v>
      </c>
      <c r="D259" s="158" t="s">
        <v>11592</v>
      </c>
      <c r="E259" s="102" t="s">
        <v>15</v>
      </c>
      <c r="F259" s="102" t="s">
        <v>10250</v>
      </c>
      <c r="G259" s="109" t="s">
        <v>16</v>
      </c>
      <c r="H259" s="32">
        <v>200</v>
      </c>
      <c r="I259" s="32">
        <v>200</v>
      </c>
      <c r="J259" s="109"/>
      <c r="K259" s="160"/>
      <c r="L259" s="105">
        <v>20201118</v>
      </c>
    </row>
    <row r="260" s="146" customFormat="1" ht="15.2" customHeight="1" spans="1:12">
      <c r="A260" s="109">
        <v>258</v>
      </c>
      <c r="B260" s="158" t="s">
        <v>11090</v>
      </c>
      <c r="C260" s="158" t="s">
        <v>6539</v>
      </c>
      <c r="D260" s="158" t="s">
        <v>11593</v>
      </c>
      <c r="E260" s="102" t="s">
        <v>15</v>
      </c>
      <c r="F260" s="102" t="s">
        <v>10250</v>
      </c>
      <c r="G260" s="109" t="s">
        <v>16</v>
      </c>
      <c r="H260" s="32">
        <v>500</v>
      </c>
      <c r="I260" s="32">
        <v>500</v>
      </c>
      <c r="J260" s="109"/>
      <c r="K260" s="160"/>
      <c r="L260" s="105">
        <v>20201118</v>
      </c>
    </row>
    <row r="261" s="146" customFormat="1" ht="15.2" customHeight="1" spans="1:12">
      <c r="A261" s="109">
        <v>259</v>
      </c>
      <c r="B261" s="158" t="s">
        <v>11090</v>
      </c>
      <c r="C261" s="158" t="s">
        <v>6112</v>
      </c>
      <c r="D261" s="158" t="s">
        <v>11594</v>
      </c>
      <c r="E261" s="102" t="s">
        <v>15</v>
      </c>
      <c r="F261" s="102" t="s">
        <v>10250</v>
      </c>
      <c r="G261" s="109" t="s">
        <v>16</v>
      </c>
      <c r="H261" s="32">
        <v>200</v>
      </c>
      <c r="I261" s="32">
        <v>200</v>
      </c>
      <c r="J261" s="109"/>
      <c r="K261" s="160"/>
      <c r="L261" s="105">
        <v>20201118</v>
      </c>
    </row>
    <row r="262" s="146" customFormat="1" ht="15.2" customHeight="1" spans="1:12">
      <c r="A262" s="109">
        <v>260</v>
      </c>
      <c r="B262" s="158" t="s">
        <v>11090</v>
      </c>
      <c r="C262" s="158" t="s">
        <v>11595</v>
      </c>
      <c r="D262" s="158" t="s">
        <v>11596</v>
      </c>
      <c r="E262" s="102" t="s">
        <v>15</v>
      </c>
      <c r="F262" s="102" t="s">
        <v>10250</v>
      </c>
      <c r="G262" s="109" t="s">
        <v>16</v>
      </c>
      <c r="H262" s="32">
        <v>200</v>
      </c>
      <c r="I262" s="32">
        <v>200</v>
      </c>
      <c r="J262" s="109"/>
      <c r="K262" s="160"/>
      <c r="L262" s="105">
        <v>20201118</v>
      </c>
    </row>
    <row r="263" s="146" customFormat="1" ht="15.2" customHeight="1" spans="1:12">
      <c r="A263" s="109">
        <v>261</v>
      </c>
      <c r="B263" s="158" t="s">
        <v>11090</v>
      </c>
      <c r="C263" s="158" t="s">
        <v>11597</v>
      </c>
      <c r="D263" s="158" t="s">
        <v>11598</v>
      </c>
      <c r="E263" s="102" t="s">
        <v>15</v>
      </c>
      <c r="F263" s="102" t="s">
        <v>10250</v>
      </c>
      <c r="G263" s="109" t="s">
        <v>16</v>
      </c>
      <c r="H263" s="32">
        <v>200</v>
      </c>
      <c r="I263" s="32">
        <v>200</v>
      </c>
      <c r="J263" s="109"/>
      <c r="K263" s="160"/>
      <c r="L263" s="105">
        <v>20201118</v>
      </c>
    </row>
    <row r="264" s="146" customFormat="1" ht="15.2" customHeight="1" spans="1:12">
      <c r="A264" s="109">
        <v>262</v>
      </c>
      <c r="B264" s="158" t="s">
        <v>11090</v>
      </c>
      <c r="C264" s="158" t="s">
        <v>3206</v>
      </c>
      <c r="D264" s="158" t="s">
        <v>11599</v>
      </c>
      <c r="E264" s="102" t="s">
        <v>15</v>
      </c>
      <c r="F264" s="102" t="s">
        <v>10250</v>
      </c>
      <c r="G264" s="109" t="s">
        <v>16</v>
      </c>
      <c r="H264" s="32">
        <v>200</v>
      </c>
      <c r="I264" s="32">
        <v>200</v>
      </c>
      <c r="J264" s="109"/>
      <c r="K264" s="160"/>
      <c r="L264" s="105">
        <v>20201118</v>
      </c>
    </row>
    <row r="265" s="146" customFormat="1" ht="15.2" customHeight="1" spans="1:12">
      <c r="A265" s="109">
        <v>263</v>
      </c>
      <c r="B265" s="158" t="s">
        <v>11090</v>
      </c>
      <c r="C265" s="158" t="s">
        <v>11043</v>
      </c>
      <c r="D265" s="158" t="s">
        <v>11600</v>
      </c>
      <c r="E265" s="102" t="s">
        <v>15</v>
      </c>
      <c r="F265" s="102" t="s">
        <v>10250</v>
      </c>
      <c r="G265" s="109" t="s">
        <v>16</v>
      </c>
      <c r="H265" s="32">
        <v>200</v>
      </c>
      <c r="I265" s="32">
        <v>200</v>
      </c>
      <c r="J265" s="109"/>
      <c r="K265" s="160"/>
      <c r="L265" s="105">
        <v>20201118</v>
      </c>
    </row>
    <row r="266" s="146" customFormat="1" ht="15.2" customHeight="1" spans="1:12">
      <c r="A266" s="109">
        <v>264</v>
      </c>
      <c r="B266" s="158" t="s">
        <v>11090</v>
      </c>
      <c r="C266" s="158" t="s">
        <v>7131</v>
      </c>
      <c r="D266" s="158" t="s">
        <v>11601</v>
      </c>
      <c r="E266" s="102" t="s">
        <v>15</v>
      </c>
      <c r="F266" s="102" t="s">
        <v>10250</v>
      </c>
      <c r="G266" s="109" t="s">
        <v>16</v>
      </c>
      <c r="H266" s="32">
        <v>200</v>
      </c>
      <c r="I266" s="32">
        <v>200</v>
      </c>
      <c r="J266" s="109"/>
      <c r="K266" s="160"/>
      <c r="L266" s="105">
        <v>20201118</v>
      </c>
    </row>
    <row r="267" s="146" customFormat="1" ht="15.2" customHeight="1" spans="1:12">
      <c r="A267" s="109">
        <v>265</v>
      </c>
      <c r="B267" s="158" t="s">
        <v>11090</v>
      </c>
      <c r="C267" s="158" t="s">
        <v>7131</v>
      </c>
      <c r="D267" s="158" t="s">
        <v>11602</v>
      </c>
      <c r="E267" s="102" t="s">
        <v>15</v>
      </c>
      <c r="F267" s="102" t="s">
        <v>10250</v>
      </c>
      <c r="G267" s="109" t="s">
        <v>16</v>
      </c>
      <c r="H267" s="32">
        <v>200</v>
      </c>
      <c r="I267" s="32">
        <v>200</v>
      </c>
      <c r="J267" s="109"/>
      <c r="K267" s="160"/>
      <c r="L267" s="105">
        <v>20201118</v>
      </c>
    </row>
    <row r="268" s="146" customFormat="1" ht="15.2" customHeight="1" spans="1:12">
      <c r="A268" s="109">
        <v>266</v>
      </c>
      <c r="B268" s="158" t="s">
        <v>11090</v>
      </c>
      <c r="C268" s="158" t="s">
        <v>7131</v>
      </c>
      <c r="D268" s="158" t="s">
        <v>11603</v>
      </c>
      <c r="E268" s="102" t="s">
        <v>15</v>
      </c>
      <c r="F268" s="102" t="s">
        <v>10250</v>
      </c>
      <c r="G268" s="109" t="s">
        <v>16</v>
      </c>
      <c r="H268" s="32">
        <v>200</v>
      </c>
      <c r="I268" s="32">
        <v>200</v>
      </c>
      <c r="J268" s="109"/>
      <c r="K268" s="160"/>
      <c r="L268" s="105">
        <v>20201118</v>
      </c>
    </row>
    <row r="269" s="146" customFormat="1" ht="15.2" customHeight="1" spans="1:12">
      <c r="A269" s="109">
        <v>267</v>
      </c>
      <c r="B269" s="158" t="s">
        <v>11090</v>
      </c>
      <c r="C269" s="158" t="s">
        <v>11604</v>
      </c>
      <c r="D269" s="158" t="s">
        <v>11605</v>
      </c>
      <c r="E269" s="102" t="s">
        <v>15</v>
      </c>
      <c r="F269" s="102" t="s">
        <v>10250</v>
      </c>
      <c r="G269" s="109" t="s">
        <v>16</v>
      </c>
      <c r="H269" s="32">
        <v>200</v>
      </c>
      <c r="I269" s="32">
        <v>200</v>
      </c>
      <c r="J269" s="109"/>
      <c r="K269" s="160"/>
      <c r="L269" s="105">
        <v>20201118</v>
      </c>
    </row>
    <row r="270" s="146" customFormat="1" ht="15.2" customHeight="1" spans="1:12">
      <c r="A270" s="109">
        <v>268</v>
      </c>
      <c r="B270" s="158" t="s">
        <v>11090</v>
      </c>
      <c r="C270" s="158" t="s">
        <v>11606</v>
      </c>
      <c r="D270" s="158" t="s">
        <v>11607</v>
      </c>
      <c r="E270" s="102" t="s">
        <v>15</v>
      </c>
      <c r="F270" s="102" t="s">
        <v>10250</v>
      </c>
      <c r="G270" s="109" t="s">
        <v>16</v>
      </c>
      <c r="H270" s="32">
        <v>200</v>
      </c>
      <c r="I270" s="32">
        <v>200</v>
      </c>
      <c r="J270" s="109"/>
      <c r="K270" s="160"/>
      <c r="L270" s="105">
        <v>20201118</v>
      </c>
    </row>
    <row r="271" s="146" customFormat="1" ht="15.2" customHeight="1" spans="1:12">
      <c r="A271" s="109">
        <v>269</v>
      </c>
      <c r="B271" s="158" t="s">
        <v>11090</v>
      </c>
      <c r="C271" s="158" t="s">
        <v>11608</v>
      </c>
      <c r="D271" s="158" t="s">
        <v>11609</v>
      </c>
      <c r="E271" s="102" t="s">
        <v>15</v>
      </c>
      <c r="F271" s="102" t="s">
        <v>10250</v>
      </c>
      <c r="G271" s="109" t="s">
        <v>16</v>
      </c>
      <c r="H271" s="161">
        <v>200</v>
      </c>
      <c r="I271" s="161">
        <v>200</v>
      </c>
      <c r="J271" s="109"/>
      <c r="K271" s="160"/>
      <c r="L271" s="105">
        <v>20201118</v>
      </c>
    </row>
    <row r="272" s="146" customFormat="1" ht="15.2" customHeight="1" spans="1:12">
      <c r="A272" s="109">
        <v>270</v>
      </c>
      <c r="B272" s="158" t="s">
        <v>11090</v>
      </c>
      <c r="C272" s="158" t="s">
        <v>11610</v>
      </c>
      <c r="D272" s="158" t="s">
        <v>11611</v>
      </c>
      <c r="E272" s="102" t="s">
        <v>15</v>
      </c>
      <c r="F272" s="102" t="s">
        <v>10250</v>
      </c>
      <c r="G272" s="109" t="s">
        <v>16</v>
      </c>
      <c r="H272" s="161">
        <v>200</v>
      </c>
      <c r="I272" s="161">
        <v>200</v>
      </c>
      <c r="J272" s="109"/>
      <c r="K272" s="160"/>
      <c r="L272" s="105">
        <v>20201118</v>
      </c>
    </row>
    <row r="273" s="146" customFormat="1" ht="15.2" customHeight="1" spans="1:12">
      <c r="A273" s="109">
        <v>271</v>
      </c>
      <c r="B273" s="158" t="s">
        <v>11090</v>
      </c>
      <c r="C273" s="158" t="s">
        <v>11612</v>
      </c>
      <c r="D273" s="158" t="s">
        <v>11613</v>
      </c>
      <c r="E273" s="102" t="s">
        <v>15</v>
      </c>
      <c r="F273" s="102" t="s">
        <v>10250</v>
      </c>
      <c r="G273" s="109" t="s">
        <v>16</v>
      </c>
      <c r="H273" s="161">
        <v>200</v>
      </c>
      <c r="I273" s="161">
        <v>200</v>
      </c>
      <c r="J273" s="109"/>
      <c r="K273" s="160"/>
      <c r="L273" s="105">
        <v>20201118</v>
      </c>
    </row>
    <row r="274" s="146" customFormat="1" ht="15.2" customHeight="1" spans="1:12">
      <c r="A274" s="109">
        <v>272</v>
      </c>
      <c r="B274" s="158" t="s">
        <v>11090</v>
      </c>
      <c r="C274" s="158" t="s">
        <v>11612</v>
      </c>
      <c r="D274" s="158" t="s">
        <v>11614</v>
      </c>
      <c r="E274" s="102" t="s">
        <v>15</v>
      </c>
      <c r="F274" s="102" t="s">
        <v>10250</v>
      </c>
      <c r="G274" s="109" t="s">
        <v>16</v>
      </c>
      <c r="H274" s="161">
        <v>200</v>
      </c>
      <c r="I274" s="161">
        <v>200</v>
      </c>
      <c r="J274" s="109"/>
      <c r="K274" s="160"/>
      <c r="L274" s="105">
        <v>20201118</v>
      </c>
    </row>
    <row r="275" s="146" customFormat="1" ht="15.2" customHeight="1" spans="1:12">
      <c r="A275" s="109">
        <v>273</v>
      </c>
      <c r="B275" s="158" t="s">
        <v>11090</v>
      </c>
      <c r="C275" s="158" t="s">
        <v>11615</v>
      </c>
      <c r="D275" s="158" t="s">
        <v>11616</v>
      </c>
      <c r="E275" s="102" t="s">
        <v>15</v>
      </c>
      <c r="F275" s="102" t="s">
        <v>10250</v>
      </c>
      <c r="G275" s="109" t="s">
        <v>16</v>
      </c>
      <c r="H275" s="161">
        <v>200</v>
      </c>
      <c r="I275" s="161">
        <v>200</v>
      </c>
      <c r="J275" s="109"/>
      <c r="K275" s="160"/>
      <c r="L275" s="105">
        <v>20201118</v>
      </c>
    </row>
    <row r="276" s="146" customFormat="1" ht="15.2" customHeight="1" spans="1:12">
      <c r="A276" s="109">
        <v>274</v>
      </c>
      <c r="B276" s="158" t="s">
        <v>11090</v>
      </c>
      <c r="C276" s="158" t="s">
        <v>11617</v>
      </c>
      <c r="D276" s="158" t="s">
        <v>11618</v>
      </c>
      <c r="E276" s="102" t="s">
        <v>15</v>
      </c>
      <c r="F276" s="102" t="s">
        <v>10250</v>
      </c>
      <c r="G276" s="109" t="s">
        <v>16</v>
      </c>
      <c r="H276" s="161">
        <v>200</v>
      </c>
      <c r="I276" s="161">
        <v>200</v>
      </c>
      <c r="J276" s="109"/>
      <c r="K276" s="160"/>
      <c r="L276" s="105">
        <v>20201118</v>
      </c>
    </row>
    <row r="277" s="146" customFormat="1" ht="15.2" customHeight="1" spans="1:12">
      <c r="A277" s="109">
        <v>275</v>
      </c>
      <c r="B277" s="158" t="s">
        <v>11090</v>
      </c>
      <c r="C277" s="158" t="s">
        <v>11619</v>
      </c>
      <c r="D277" s="158" t="s">
        <v>11620</v>
      </c>
      <c r="E277" s="102" t="s">
        <v>15</v>
      </c>
      <c r="F277" s="102" t="s">
        <v>10250</v>
      </c>
      <c r="G277" s="109" t="s">
        <v>16</v>
      </c>
      <c r="H277" s="161">
        <v>200</v>
      </c>
      <c r="I277" s="161">
        <v>200</v>
      </c>
      <c r="J277" s="109"/>
      <c r="K277" s="160"/>
      <c r="L277" s="105">
        <v>20201118</v>
      </c>
    </row>
    <row r="278" s="146" customFormat="1" ht="15.2" customHeight="1" spans="1:12">
      <c r="A278" s="109">
        <v>276</v>
      </c>
      <c r="B278" s="158" t="s">
        <v>11090</v>
      </c>
      <c r="C278" s="158" t="s">
        <v>11621</v>
      </c>
      <c r="D278" s="158" t="s">
        <v>11622</v>
      </c>
      <c r="E278" s="102" t="s">
        <v>15</v>
      </c>
      <c r="F278" s="102" t="s">
        <v>10250</v>
      </c>
      <c r="G278" s="109" t="s">
        <v>16</v>
      </c>
      <c r="H278" s="161">
        <v>200</v>
      </c>
      <c r="I278" s="161">
        <v>200</v>
      </c>
      <c r="J278" s="109"/>
      <c r="K278" s="160"/>
      <c r="L278" s="105">
        <v>20201118</v>
      </c>
    </row>
    <row r="279" s="146" customFormat="1" ht="15.2" customHeight="1" spans="1:12">
      <c r="A279" s="109">
        <v>277</v>
      </c>
      <c r="B279" s="158" t="s">
        <v>11090</v>
      </c>
      <c r="C279" s="158" t="s">
        <v>11623</v>
      </c>
      <c r="D279" s="158" t="s">
        <v>11624</v>
      </c>
      <c r="E279" s="102" t="s">
        <v>15</v>
      </c>
      <c r="F279" s="102" t="s">
        <v>10250</v>
      </c>
      <c r="G279" s="109" t="s">
        <v>16</v>
      </c>
      <c r="H279" s="161">
        <v>300</v>
      </c>
      <c r="I279" s="161">
        <v>300</v>
      </c>
      <c r="J279" s="109"/>
      <c r="K279" s="160"/>
      <c r="L279" s="105">
        <v>20201118</v>
      </c>
    </row>
    <row r="280" s="146" customFormat="1" ht="15.2" customHeight="1" spans="1:12">
      <c r="A280" s="109">
        <v>278</v>
      </c>
      <c r="B280" s="158" t="s">
        <v>11090</v>
      </c>
      <c r="C280" s="158" t="s">
        <v>11625</v>
      </c>
      <c r="D280" s="158" t="s">
        <v>11626</v>
      </c>
      <c r="E280" s="102" t="s">
        <v>15</v>
      </c>
      <c r="F280" s="102" t="s">
        <v>10250</v>
      </c>
      <c r="G280" s="109" t="s">
        <v>16</v>
      </c>
      <c r="H280" s="161">
        <v>200</v>
      </c>
      <c r="I280" s="161">
        <v>200</v>
      </c>
      <c r="J280" s="109"/>
      <c r="K280" s="160"/>
      <c r="L280" s="105">
        <v>20201118</v>
      </c>
    </row>
    <row r="281" s="146" customFormat="1" ht="15.2" customHeight="1" spans="1:12">
      <c r="A281" s="109">
        <v>279</v>
      </c>
      <c r="B281" s="158" t="s">
        <v>11090</v>
      </c>
      <c r="C281" s="158" t="s">
        <v>11627</v>
      </c>
      <c r="D281" s="158" t="s">
        <v>11628</v>
      </c>
      <c r="E281" s="102" t="s">
        <v>15</v>
      </c>
      <c r="F281" s="102" t="s">
        <v>10250</v>
      </c>
      <c r="G281" s="109" t="s">
        <v>16</v>
      </c>
      <c r="H281" s="161">
        <v>200</v>
      </c>
      <c r="I281" s="161">
        <v>200</v>
      </c>
      <c r="J281" s="109"/>
      <c r="K281" s="160"/>
      <c r="L281" s="105">
        <v>20201118</v>
      </c>
    </row>
    <row r="282" s="146" customFormat="1" ht="15.2" customHeight="1" spans="1:12">
      <c r="A282" s="109">
        <v>280</v>
      </c>
      <c r="B282" s="158" t="s">
        <v>11090</v>
      </c>
      <c r="C282" s="158" t="s">
        <v>11629</v>
      </c>
      <c r="D282" s="158" t="s">
        <v>11630</v>
      </c>
      <c r="E282" s="102" t="s">
        <v>15</v>
      </c>
      <c r="F282" s="102" t="s">
        <v>10250</v>
      </c>
      <c r="G282" s="109" t="s">
        <v>16</v>
      </c>
      <c r="H282" s="161">
        <v>200</v>
      </c>
      <c r="I282" s="161">
        <v>200</v>
      </c>
      <c r="J282" s="109"/>
      <c r="K282" s="160"/>
      <c r="L282" s="105">
        <v>20201118</v>
      </c>
    </row>
    <row r="283" s="146" customFormat="1" ht="15.2" customHeight="1" spans="1:12">
      <c r="A283" s="109">
        <v>281</v>
      </c>
      <c r="B283" s="158" t="s">
        <v>11090</v>
      </c>
      <c r="C283" s="158" t="s">
        <v>3808</v>
      </c>
      <c r="D283" s="158" t="s">
        <v>11631</v>
      </c>
      <c r="E283" s="102" t="s">
        <v>15</v>
      </c>
      <c r="F283" s="102" t="s">
        <v>10250</v>
      </c>
      <c r="G283" s="109" t="s">
        <v>16</v>
      </c>
      <c r="H283" s="161">
        <v>200</v>
      </c>
      <c r="I283" s="161">
        <v>200</v>
      </c>
      <c r="J283" s="109"/>
      <c r="K283" s="160"/>
      <c r="L283" s="105">
        <v>20201118</v>
      </c>
    </row>
    <row r="284" s="146" customFormat="1" ht="15.2" customHeight="1" spans="1:12">
      <c r="A284" s="109">
        <v>282</v>
      </c>
      <c r="B284" s="158" t="s">
        <v>11090</v>
      </c>
      <c r="C284" s="158" t="s">
        <v>11632</v>
      </c>
      <c r="D284" s="158" t="s">
        <v>11633</v>
      </c>
      <c r="E284" s="102" t="s">
        <v>15</v>
      </c>
      <c r="F284" s="102" t="s">
        <v>10250</v>
      </c>
      <c r="G284" s="109" t="s">
        <v>16</v>
      </c>
      <c r="H284" s="161">
        <v>500</v>
      </c>
      <c r="I284" s="161">
        <v>500</v>
      </c>
      <c r="J284" s="109"/>
      <c r="K284" s="160"/>
      <c r="L284" s="105">
        <v>20201118</v>
      </c>
    </row>
    <row r="285" s="146" customFormat="1" ht="15.2" customHeight="1" spans="1:12">
      <c r="A285" s="109">
        <v>283</v>
      </c>
      <c r="B285" s="158" t="s">
        <v>11090</v>
      </c>
      <c r="C285" s="158" t="s">
        <v>2814</v>
      </c>
      <c r="D285" s="158" t="s">
        <v>11634</v>
      </c>
      <c r="E285" s="102" t="s">
        <v>15</v>
      </c>
      <c r="F285" s="102" t="s">
        <v>10250</v>
      </c>
      <c r="G285" s="109" t="s">
        <v>16</v>
      </c>
      <c r="H285" s="161">
        <v>200</v>
      </c>
      <c r="I285" s="161">
        <v>200</v>
      </c>
      <c r="J285" s="109"/>
      <c r="K285" s="160"/>
      <c r="L285" s="105">
        <v>20201118</v>
      </c>
    </row>
    <row r="286" s="146" customFormat="1" ht="15.2" customHeight="1" spans="1:12">
      <c r="A286" s="109">
        <v>284</v>
      </c>
      <c r="B286" s="158" t="s">
        <v>11090</v>
      </c>
      <c r="C286" s="158" t="s">
        <v>11635</v>
      </c>
      <c r="D286" s="158" t="s">
        <v>11636</v>
      </c>
      <c r="E286" s="102" t="s">
        <v>15</v>
      </c>
      <c r="F286" s="102" t="s">
        <v>10250</v>
      </c>
      <c r="G286" s="109" t="s">
        <v>16</v>
      </c>
      <c r="H286" s="161">
        <v>200</v>
      </c>
      <c r="I286" s="161">
        <v>200</v>
      </c>
      <c r="J286" s="109"/>
      <c r="K286" s="160"/>
      <c r="L286" s="105">
        <v>20201118</v>
      </c>
    </row>
    <row r="287" s="146" customFormat="1" ht="15.2" customHeight="1" spans="1:12">
      <c r="A287" s="109">
        <v>285</v>
      </c>
      <c r="B287" s="158" t="s">
        <v>11090</v>
      </c>
      <c r="C287" s="158" t="s">
        <v>2934</v>
      </c>
      <c r="D287" s="158" t="s">
        <v>11637</v>
      </c>
      <c r="E287" s="102" t="s">
        <v>15</v>
      </c>
      <c r="F287" s="102" t="s">
        <v>10250</v>
      </c>
      <c r="G287" s="109" t="s">
        <v>16</v>
      </c>
      <c r="H287" s="161">
        <v>200</v>
      </c>
      <c r="I287" s="161">
        <v>200</v>
      </c>
      <c r="J287" s="109"/>
      <c r="K287" s="160"/>
      <c r="L287" s="105">
        <v>20201118</v>
      </c>
    </row>
    <row r="288" s="146" customFormat="1" ht="15.2" customHeight="1" spans="1:12">
      <c r="A288" s="109">
        <v>286</v>
      </c>
      <c r="B288" s="158" t="s">
        <v>11090</v>
      </c>
      <c r="C288" s="158" t="s">
        <v>11638</v>
      </c>
      <c r="D288" s="158" t="s">
        <v>11639</v>
      </c>
      <c r="E288" s="102" t="s">
        <v>15</v>
      </c>
      <c r="F288" s="102" t="s">
        <v>10250</v>
      </c>
      <c r="G288" s="109" t="s">
        <v>16</v>
      </c>
      <c r="H288" s="32">
        <v>200</v>
      </c>
      <c r="I288" s="32">
        <v>200</v>
      </c>
      <c r="J288" s="109"/>
      <c r="K288" s="160"/>
      <c r="L288" s="105">
        <v>20201118</v>
      </c>
    </row>
    <row r="289" s="146" customFormat="1" ht="15.2" customHeight="1" spans="1:12">
      <c r="A289" s="109">
        <v>287</v>
      </c>
      <c r="B289" s="158" t="s">
        <v>11090</v>
      </c>
      <c r="C289" s="158" t="s">
        <v>11640</v>
      </c>
      <c r="D289" s="158" t="s">
        <v>11641</v>
      </c>
      <c r="E289" s="102" t="s">
        <v>15</v>
      </c>
      <c r="F289" s="102" t="s">
        <v>10250</v>
      </c>
      <c r="G289" s="109" t="s">
        <v>16</v>
      </c>
      <c r="H289" s="32">
        <v>200</v>
      </c>
      <c r="I289" s="32">
        <v>200</v>
      </c>
      <c r="J289" s="109"/>
      <c r="K289" s="160"/>
      <c r="L289" s="105">
        <v>20201118</v>
      </c>
    </row>
    <row r="290" s="146" customFormat="1" ht="15.2" customHeight="1" spans="1:12">
      <c r="A290" s="109">
        <v>288</v>
      </c>
      <c r="B290" s="158" t="s">
        <v>11090</v>
      </c>
      <c r="C290" s="158" t="s">
        <v>1731</v>
      </c>
      <c r="D290" s="158" t="s">
        <v>11642</v>
      </c>
      <c r="E290" s="102" t="s">
        <v>15</v>
      </c>
      <c r="F290" s="102" t="s">
        <v>10250</v>
      </c>
      <c r="G290" s="109" t="s">
        <v>16</v>
      </c>
      <c r="H290" s="32">
        <v>200</v>
      </c>
      <c r="I290" s="32">
        <v>200</v>
      </c>
      <c r="J290" s="109"/>
      <c r="K290" s="160"/>
      <c r="L290" s="105">
        <v>20201118</v>
      </c>
    </row>
    <row r="291" s="146" customFormat="1" ht="15.2" customHeight="1" spans="1:12">
      <c r="A291" s="109">
        <v>289</v>
      </c>
      <c r="B291" s="158" t="s">
        <v>11090</v>
      </c>
      <c r="C291" s="158" t="s">
        <v>11643</v>
      </c>
      <c r="D291" s="158" t="s">
        <v>11644</v>
      </c>
      <c r="E291" s="102" t="s">
        <v>15</v>
      </c>
      <c r="F291" s="102" t="s">
        <v>10250</v>
      </c>
      <c r="G291" s="109" t="s">
        <v>16</v>
      </c>
      <c r="H291" s="32">
        <v>200</v>
      </c>
      <c r="I291" s="32">
        <v>200</v>
      </c>
      <c r="J291" s="109" t="s">
        <v>6097</v>
      </c>
      <c r="K291" s="160"/>
      <c r="L291" s="105">
        <v>20201118</v>
      </c>
    </row>
    <row r="292" s="146" customFormat="1" ht="15.2" customHeight="1" spans="1:12">
      <c r="A292" s="109">
        <v>290</v>
      </c>
      <c r="B292" s="158" t="s">
        <v>11090</v>
      </c>
      <c r="C292" s="158" t="s">
        <v>7740</v>
      </c>
      <c r="D292" s="158" t="s">
        <v>11645</v>
      </c>
      <c r="E292" s="102" t="s">
        <v>15</v>
      </c>
      <c r="F292" s="102" t="s">
        <v>10250</v>
      </c>
      <c r="G292" s="109" t="s">
        <v>16</v>
      </c>
      <c r="H292" s="32">
        <v>200</v>
      </c>
      <c r="I292" s="32">
        <v>200</v>
      </c>
      <c r="J292" s="109" t="s">
        <v>6097</v>
      </c>
      <c r="K292" s="160"/>
      <c r="L292" s="105">
        <v>20201118</v>
      </c>
    </row>
    <row r="293" s="146" customFormat="1" ht="15.2" customHeight="1" spans="1:12">
      <c r="A293" s="109">
        <v>291</v>
      </c>
      <c r="B293" s="158" t="s">
        <v>11090</v>
      </c>
      <c r="C293" s="158" t="s">
        <v>11646</v>
      </c>
      <c r="D293" s="158" t="s">
        <v>11647</v>
      </c>
      <c r="E293" s="102" t="s">
        <v>15</v>
      </c>
      <c r="F293" s="102" t="s">
        <v>10250</v>
      </c>
      <c r="G293" s="109" t="s">
        <v>16</v>
      </c>
      <c r="H293" s="32">
        <v>200</v>
      </c>
      <c r="I293" s="32">
        <v>200</v>
      </c>
      <c r="J293" s="109"/>
      <c r="K293" s="160"/>
      <c r="L293" s="105">
        <v>20201118</v>
      </c>
    </row>
    <row r="294" s="146" customFormat="1" ht="15.2" customHeight="1" spans="1:12">
      <c r="A294" s="109">
        <v>292</v>
      </c>
      <c r="B294" s="158" t="s">
        <v>11090</v>
      </c>
      <c r="C294" s="158" t="s">
        <v>11648</v>
      </c>
      <c r="D294" s="158" t="s">
        <v>11649</v>
      </c>
      <c r="E294" s="102" t="s">
        <v>15</v>
      </c>
      <c r="F294" s="102" t="s">
        <v>10250</v>
      </c>
      <c r="G294" s="109" t="s">
        <v>16</v>
      </c>
      <c r="H294" s="32">
        <v>200</v>
      </c>
      <c r="I294" s="32">
        <v>200</v>
      </c>
      <c r="J294" s="109"/>
      <c r="K294" s="160"/>
      <c r="L294" s="105">
        <v>20201118</v>
      </c>
    </row>
    <row r="295" s="146" customFormat="1" ht="15.2" customHeight="1" spans="1:12">
      <c r="A295" s="109">
        <v>293</v>
      </c>
      <c r="B295" s="158" t="s">
        <v>11090</v>
      </c>
      <c r="C295" s="158" t="s">
        <v>11650</v>
      </c>
      <c r="D295" s="158" t="s">
        <v>11651</v>
      </c>
      <c r="E295" s="102" t="s">
        <v>15</v>
      </c>
      <c r="F295" s="102" t="s">
        <v>10250</v>
      </c>
      <c r="G295" s="109" t="s">
        <v>16</v>
      </c>
      <c r="H295" s="32">
        <v>200</v>
      </c>
      <c r="I295" s="32">
        <v>200</v>
      </c>
      <c r="J295" s="109"/>
      <c r="K295" s="160"/>
      <c r="L295" s="105">
        <v>20201118</v>
      </c>
    </row>
    <row r="296" s="146" customFormat="1" ht="15.2" customHeight="1" spans="1:12">
      <c r="A296" s="109">
        <v>294</v>
      </c>
      <c r="B296" s="158" t="s">
        <v>11090</v>
      </c>
      <c r="C296" s="158" t="s">
        <v>11652</v>
      </c>
      <c r="D296" s="158" t="s">
        <v>11653</v>
      </c>
      <c r="E296" s="102" t="s">
        <v>15</v>
      </c>
      <c r="F296" s="102" t="s">
        <v>10250</v>
      </c>
      <c r="G296" s="109" t="s">
        <v>16</v>
      </c>
      <c r="H296" s="32">
        <v>200</v>
      </c>
      <c r="I296" s="32">
        <v>200</v>
      </c>
      <c r="J296" s="109"/>
      <c r="K296" s="160"/>
      <c r="L296" s="105">
        <v>20201118</v>
      </c>
    </row>
    <row r="297" s="146" customFormat="1" ht="15.2" customHeight="1" spans="1:12">
      <c r="A297" s="109">
        <v>295</v>
      </c>
      <c r="B297" s="158" t="s">
        <v>11090</v>
      </c>
      <c r="C297" s="158" t="s">
        <v>11654</v>
      </c>
      <c r="D297" s="158" t="s">
        <v>11655</v>
      </c>
      <c r="E297" s="102" t="s">
        <v>15</v>
      </c>
      <c r="F297" s="102" t="s">
        <v>10250</v>
      </c>
      <c r="G297" s="109" t="s">
        <v>16</v>
      </c>
      <c r="H297" s="32">
        <v>200</v>
      </c>
      <c r="I297" s="32">
        <v>200</v>
      </c>
      <c r="J297" s="109"/>
      <c r="K297" s="160"/>
      <c r="L297" s="105">
        <v>20201118</v>
      </c>
    </row>
    <row r="298" s="146" customFormat="1" ht="15.2" customHeight="1" spans="1:12">
      <c r="A298" s="109">
        <v>296</v>
      </c>
      <c r="B298" s="158" t="s">
        <v>11090</v>
      </c>
      <c r="C298" s="158" t="s">
        <v>11656</v>
      </c>
      <c r="D298" s="158" t="s">
        <v>11657</v>
      </c>
      <c r="E298" s="102" t="s">
        <v>15</v>
      </c>
      <c r="F298" s="102" t="s">
        <v>10250</v>
      </c>
      <c r="G298" s="109" t="s">
        <v>16</v>
      </c>
      <c r="H298" s="32">
        <v>200</v>
      </c>
      <c r="I298" s="32">
        <v>200</v>
      </c>
      <c r="J298" s="109" t="s">
        <v>6097</v>
      </c>
      <c r="K298" s="160"/>
      <c r="L298" s="105">
        <v>20201118</v>
      </c>
    </row>
    <row r="299" s="146" customFormat="1" ht="15.2" customHeight="1" spans="1:12">
      <c r="A299" s="109">
        <v>297</v>
      </c>
      <c r="B299" s="158" t="s">
        <v>11090</v>
      </c>
      <c r="C299" s="158" t="s">
        <v>11658</v>
      </c>
      <c r="D299" s="158" t="s">
        <v>11659</v>
      </c>
      <c r="E299" s="102" t="s">
        <v>15</v>
      </c>
      <c r="F299" s="102" t="s">
        <v>10250</v>
      </c>
      <c r="G299" s="109" t="s">
        <v>16</v>
      </c>
      <c r="H299" s="32">
        <v>200</v>
      </c>
      <c r="I299" s="32">
        <v>200</v>
      </c>
      <c r="J299" s="109"/>
      <c r="K299" s="160"/>
      <c r="L299" s="105">
        <v>20201118</v>
      </c>
    </row>
    <row r="300" s="146" customFormat="1" ht="15.2" customHeight="1" spans="1:12">
      <c r="A300" s="109">
        <v>298</v>
      </c>
      <c r="B300" s="158" t="s">
        <v>11090</v>
      </c>
      <c r="C300" s="158" t="s">
        <v>830</v>
      </c>
      <c r="D300" s="158" t="s">
        <v>11660</v>
      </c>
      <c r="E300" s="102" t="s">
        <v>15</v>
      </c>
      <c r="F300" s="102" t="s">
        <v>10250</v>
      </c>
      <c r="G300" s="109" t="s">
        <v>16</v>
      </c>
      <c r="H300" s="32">
        <v>200</v>
      </c>
      <c r="I300" s="32">
        <v>200</v>
      </c>
      <c r="J300" s="109"/>
      <c r="K300" s="160"/>
      <c r="L300" s="105">
        <v>20201118</v>
      </c>
    </row>
    <row r="301" s="146" customFormat="1" ht="15.2" customHeight="1" spans="1:12">
      <c r="A301" s="109">
        <v>299</v>
      </c>
      <c r="B301" s="158" t="s">
        <v>11090</v>
      </c>
      <c r="C301" s="158" t="s">
        <v>11661</v>
      </c>
      <c r="D301" s="158" t="s">
        <v>11662</v>
      </c>
      <c r="E301" s="102" t="s">
        <v>15</v>
      </c>
      <c r="F301" s="102" t="s">
        <v>10250</v>
      </c>
      <c r="G301" s="109" t="s">
        <v>16</v>
      </c>
      <c r="H301" s="32">
        <v>200</v>
      </c>
      <c r="I301" s="32">
        <v>200</v>
      </c>
      <c r="J301" s="109"/>
      <c r="K301" s="160"/>
      <c r="L301" s="105">
        <v>20201118</v>
      </c>
    </row>
    <row r="302" s="146" customFormat="1" ht="15.2" customHeight="1" spans="1:12">
      <c r="A302" s="109">
        <v>300</v>
      </c>
      <c r="B302" s="158" t="s">
        <v>11090</v>
      </c>
      <c r="C302" s="158" t="s">
        <v>11663</v>
      </c>
      <c r="D302" s="158" t="s">
        <v>11664</v>
      </c>
      <c r="E302" s="102" t="s">
        <v>15</v>
      </c>
      <c r="F302" s="102" t="s">
        <v>10250</v>
      </c>
      <c r="G302" s="109" t="s">
        <v>16</v>
      </c>
      <c r="H302" s="32">
        <v>200</v>
      </c>
      <c r="I302" s="32">
        <v>200</v>
      </c>
      <c r="J302" s="109" t="s">
        <v>6345</v>
      </c>
      <c r="K302" s="160"/>
      <c r="L302" s="105">
        <v>20201118</v>
      </c>
    </row>
    <row r="303" s="146" customFormat="1" ht="15.2" customHeight="1" spans="1:12">
      <c r="A303" s="109">
        <v>301</v>
      </c>
      <c r="B303" s="158" t="s">
        <v>11090</v>
      </c>
      <c r="C303" s="158" t="s">
        <v>11665</v>
      </c>
      <c r="D303" s="158" t="s">
        <v>11666</v>
      </c>
      <c r="E303" s="102" t="s">
        <v>15</v>
      </c>
      <c r="F303" s="102" t="s">
        <v>10250</v>
      </c>
      <c r="G303" s="109" t="s">
        <v>16</v>
      </c>
      <c r="H303" s="32">
        <v>200</v>
      </c>
      <c r="I303" s="32">
        <v>200</v>
      </c>
      <c r="J303" s="109"/>
      <c r="K303" s="160"/>
      <c r="L303" s="105">
        <v>20201118</v>
      </c>
    </row>
    <row r="304" s="146" customFormat="1" ht="15.2" customHeight="1" spans="1:12">
      <c r="A304" s="109">
        <v>302</v>
      </c>
      <c r="B304" s="158" t="s">
        <v>11090</v>
      </c>
      <c r="C304" s="158" t="s">
        <v>11667</v>
      </c>
      <c r="D304" s="158" t="s">
        <v>11668</v>
      </c>
      <c r="E304" s="102" t="s">
        <v>15</v>
      </c>
      <c r="F304" s="102" t="s">
        <v>10250</v>
      </c>
      <c r="G304" s="109" t="s">
        <v>16</v>
      </c>
      <c r="H304" s="32">
        <v>200</v>
      </c>
      <c r="I304" s="32">
        <v>200</v>
      </c>
      <c r="J304" s="109"/>
      <c r="K304" s="160"/>
      <c r="L304" s="105">
        <v>20201118</v>
      </c>
    </row>
    <row r="305" s="146" customFormat="1" ht="15.2" customHeight="1" spans="1:12">
      <c r="A305" s="109">
        <v>303</v>
      </c>
      <c r="B305" s="158" t="s">
        <v>11090</v>
      </c>
      <c r="C305" s="158" t="s">
        <v>11669</v>
      </c>
      <c r="D305" s="158" t="s">
        <v>11670</v>
      </c>
      <c r="E305" s="102" t="s">
        <v>15</v>
      </c>
      <c r="F305" s="102" t="s">
        <v>10250</v>
      </c>
      <c r="G305" s="109" t="s">
        <v>16</v>
      </c>
      <c r="H305" s="32">
        <v>200</v>
      </c>
      <c r="I305" s="32">
        <v>200</v>
      </c>
      <c r="J305" s="109"/>
      <c r="K305" s="160"/>
      <c r="L305" s="105">
        <v>20201118</v>
      </c>
    </row>
    <row r="306" s="146" customFormat="1" ht="15.2" customHeight="1" spans="1:12">
      <c r="A306" s="109">
        <v>304</v>
      </c>
      <c r="B306" s="158" t="s">
        <v>11090</v>
      </c>
      <c r="C306" s="158" t="s">
        <v>11671</v>
      </c>
      <c r="D306" s="158" t="s">
        <v>11672</v>
      </c>
      <c r="E306" s="102" t="s">
        <v>15</v>
      </c>
      <c r="F306" s="102" t="s">
        <v>10250</v>
      </c>
      <c r="G306" s="109" t="s">
        <v>16</v>
      </c>
      <c r="H306" s="32">
        <v>200</v>
      </c>
      <c r="I306" s="32">
        <v>200</v>
      </c>
      <c r="J306" s="109"/>
      <c r="K306" s="160"/>
      <c r="L306" s="105">
        <v>20201118</v>
      </c>
    </row>
    <row r="307" s="146" customFormat="1" ht="15.2" customHeight="1" spans="1:12">
      <c r="A307" s="109">
        <v>305</v>
      </c>
      <c r="B307" s="158" t="s">
        <v>11090</v>
      </c>
      <c r="C307" s="158" t="s">
        <v>11673</v>
      </c>
      <c r="D307" s="158" t="s">
        <v>11674</v>
      </c>
      <c r="E307" s="102" t="s">
        <v>15</v>
      </c>
      <c r="F307" s="102" t="s">
        <v>10250</v>
      </c>
      <c r="G307" s="109" t="s">
        <v>16</v>
      </c>
      <c r="H307" s="161">
        <v>200</v>
      </c>
      <c r="I307" s="161">
        <v>200</v>
      </c>
      <c r="J307" s="109"/>
      <c r="K307" s="160"/>
      <c r="L307" s="105">
        <v>20201118</v>
      </c>
    </row>
    <row r="308" s="146" customFormat="1" ht="15.2" customHeight="1" spans="1:12">
      <c r="A308" s="109">
        <v>306</v>
      </c>
      <c r="B308" s="158" t="s">
        <v>11090</v>
      </c>
      <c r="C308" s="158" t="s">
        <v>11675</v>
      </c>
      <c r="D308" s="158" t="s">
        <v>11676</v>
      </c>
      <c r="E308" s="102" t="s">
        <v>15</v>
      </c>
      <c r="F308" s="102" t="s">
        <v>10250</v>
      </c>
      <c r="G308" s="109" t="s">
        <v>16</v>
      </c>
      <c r="H308" s="161">
        <v>200</v>
      </c>
      <c r="I308" s="161">
        <v>200</v>
      </c>
      <c r="J308" s="109"/>
      <c r="K308" s="160"/>
      <c r="L308" s="105">
        <v>20201118</v>
      </c>
    </row>
    <row r="309" s="146" customFormat="1" ht="15.2" customHeight="1" spans="1:12">
      <c r="A309" s="109">
        <v>307</v>
      </c>
      <c r="B309" s="158" t="s">
        <v>11090</v>
      </c>
      <c r="C309" s="158" t="s">
        <v>11677</v>
      </c>
      <c r="D309" s="158" t="s">
        <v>11678</v>
      </c>
      <c r="E309" s="102" t="s">
        <v>15</v>
      </c>
      <c r="F309" s="102" t="s">
        <v>10250</v>
      </c>
      <c r="G309" s="109" t="s">
        <v>16</v>
      </c>
      <c r="H309" s="161">
        <v>200</v>
      </c>
      <c r="I309" s="161">
        <v>200</v>
      </c>
      <c r="J309" s="109"/>
      <c r="K309" s="160"/>
      <c r="L309" s="105">
        <v>20201118</v>
      </c>
    </row>
    <row r="310" s="146" customFormat="1" ht="15.2" customHeight="1" spans="1:12">
      <c r="A310" s="109">
        <v>308</v>
      </c>
      <c r="B310" s="158" t="s">
        <v>11090</v>
      </c>
      <c r="C310" s="158" t="s">
        <v>11679</v>
      </c>
      <c r="D310" s="158" t="s">
        <v>11680</v>
      </c>
      <c r="E310" s="102" t="s">
        <v>15</v>
      </c>
      <c r="F310" s="102" t="s">
        <v>10250</v>
      </c>
      <c r="G310" s="109" t="s">
        <v>16</v>
      </c>
      <c r="H310" s="161">
        <v>200</v>
      </c>
      <c r="I310" s="161">
        <v>200</v>
      </c>
      <c r="J310" s="109"/>
      <c r="K310" s="160"/>
      <c r="L310" s="105">
        <v>20201118</v>
      </c>
    </row>
    <row r="311" s="146" customFormat="1" ht="15.2" customHeight="1" spans="1:12">
      <c r="A311" s="109">
        <v>309</v>
      </c>
      <c r="B311" s="158" t="s">
        <v>11090</v>
      </c>
      <c r="C311" s="158" t="s">
        <v>11681</v>
      </c>
      <c r="D311" s="158" t="s">
        <v>11682</v>
      </c>
      <c r="E311" s="102" t="s">
        <v>15</v>
      </c>
      <c r="F311" s="102" t="s">
        <v>10250</v>
      </c>
      <c r="G311" s="109" t="s">
        <v>16</v>
      </c>
      <c r="H311" s="161">
        <v>200</v>
      </c>
      <c r="I311" s="161">
        <v>200</v>
      </c>
      <c r="J311" s="109"/>
      <c r="K311" s="160"/>
      <c r="L311" s="105">
        <v>20201118</v>
      </c>
    </row>
    <row r="312" s="146" customFormat="1" ht="15.2" customHeight="1" spans="1:12">
      <c r="A312" s="109">
        <v>310</v>
      </c>
      <c r="B312" s="158" t="s">
        <v>11090</v>
      </c>
      <c r="C312" s="158" t="s">
        <v>11683</v>
      </c>
      <c r="D312" s="158" t="s">
        <v>11684</v>
      </c>
      <c r="E312" s="102" t="s">
        <v>15</v>
      </c>
      <c r="F312" s="102" t="s">
        <v>10250</v>
      </c>
      <c r="G312" s="109" t="s">
        <v>16</v>
      </c>
      <c r="H312" s="161">
        <v>200</v>
      </c>
      <c r="I312" s="161">
        <v>200</v>
      </c>
      <c r="J312" s="109"/>
      <c r="K312" s="160"/>
      <c r="L312" s="105">
        <v>20201118</v>
      </c>
    </row>
    <row r="313" s="146" customFormat="1" ht="15.2" customHeight="1" spans="1:12">
      <c r="A313" s="109">
        <v>311</v>
      </c>
      <c r="B313" s="158" t="s">
        <v>11090</v>
      </c>
      <c r="C313" s="158" t="s">
        <v>11685</v>
      </c>
      <c r="D313" s="158" t="s">
        <v>11686</v>
      </c>
      <c r="E313" s="102" t="s">
        <v>15</v>
      </c>
      <c r="F313" s="102" t="s">
        <v>10250</v>
      </c>
      <c r="G313" s="109" t="s">
        <v>16</v>
      </c>
      <c r="H313" s="161">
        <v>200</v>
      </c>
      <c r="I313" s="161">
        <v>200</v>
      </c>
      <c r="J313" s="109"/>
      <c r="K313" s="160"/>
      <c r="L313" s="105">
        <v>20201118</v>
      </c>
    </row>
    <row r="314" s="146" customFormat="1" ht="15.2" customHeight="1" spans="1:12">
      <c r="A314" s="109">
        <v>312</v>
      </c>
      <c r="B314" s="158" t="s">
        <v>11090</v>
      </c>
      <c r="C314" s="158" t="s">
        <v>11687</v>
      </c>
      <c r="D314" s="158" t="s">
        <v>11688</v>
      </c>
      <c r="E314" s="102" t="s">
        <v>15</v>
      </c>
      <c r="F314" s="102" t="s">
        <v>10250</v>
      </c>
      <c r="G314" s="109" t="s">
        <v>16</v>
      </c>
      <c r="H314" s="161">
        <v>200</v>
      </c>
      <c r="I314" s="161">
        <v>200</v>
      </c>
      <c r="J314" s="109"/>
      <c r="K314" s="160"/>
      <c r="L314" s="105">
        <v>20201118</v>
      </c>
    </row>
    <row r="315" s="146" customFormat="1" ht="15.2" customHeight="1" spans="1:12">
      <c r="A315" s="109">
        <v>313</v>
      </c>
      <c r="B315" s="158" t="s">
        <v>11090</v>
      </c>
      <c r="C315" s="158" t="s">
        <v>11689</v>
      </c>
      <c r="D315" s="158" t="s">
        <v>11690</v>
      </c>
      <c r="E315" s="102" t="s">
        <v>15</v>
      </c>
      <c r="F315" s="102" t="s">
        <v>10250</v>
      </c>
      <c r="G315" s="109" t="s">
        <v>16</v>
      </c>
      <c r="H315" s="161">
        <v>200</v>
      </c>
      <c r="I315" s="161">
        <v>200</v>
      </c>
      <c r="J315" s="109"/>
      <c r="K315" s="160"/>
      <c r="L315" s="105">
        <v>20201118</v>
      </c>
    </row>
    <row r="316" s="146" customFormat="1" ht="15.2" customHeight="1" spans="1:12">
      <c r="A316" s="109">
        <v>314</v>
      </c>
      <c r="B316" s="158" t="s">
        <v>11090</v>
      </c>
      <c r="C316" s="158" t="s">
        <v>11691</v>
      </c>
      <c r="D316" s="158" t="s">
        <v>11692</v>
      </c>
      <c r="E316" s="102" t="s">
        <v>15</v>
      </c>
      <c r="F316" s="102" t="s">
        <v>10250</v>
      </c>
      <c r="G316" s="109" t="s">
        <v>16</v>
      </c>
      <c r="H316" s="161">
        <v>200</v>
      </c>
      <c r="I316" s="161">
        <v>200</v>
      </c>
      <c r="J316" s="109" t="s">
        <v>6097</v>
      </c>
      <c r="K316" s="160"/>
      <c r="L316" s="105">
        <v>20201118</v>
      </c>
    </row>
    <row r="317" s="146" customFormat="1" ht="15.2" customHeight="1" spans="1:12">
      <c r="A317" s="109">
        <v>315</v>
      </c>
      <c r="B317" s="158" t="s">
        <v>11090</v>
      </c>
      <c r="C317" s="158" t="s">
        <v>11693</v>
      </c>
      <c r="D317" s="158" t="s">
        <v>11694</v>
      </c>
      <c r="E317" s="102" t="s">
        <v>15</v>
      </c>
      <c r="F317" s="102" t="s">
        <v>10250</v>
      </c>
      <c r="G317" s="109" t="s">
        <v>16</v>
      </c>
      <c r="H317" s="161">
        <v>200</v>
      </c>
      <c r="I317" s="161">
        <v>200</v>
      </c>
      <c r="J317" s="109"/>
      <c r="K317" s="160"/>
      <c r="L317" s="105">
        <v>20201118</v>
      </c>
    </row>
    <row r="318" s="146" customFormat="1" ht="15.2" customHeight="1" spans="1:12">
      <c r="A318" s="109">
        <v>316</v>
      </c>
      <c r="B318" s="158" t="s">
        <v>11090</v>
      </c>
      <c r="C318" s="158" t="s">
        <v>11695</v>
      </c>
      <c r="D318" s="158" t="s">
        <v>11696</v>
      </c>
      <c r="E318" s="102" t="s">
        <v>15</v>
      </c>
      <c r="F318" s="102" t="s">
        <v>10250</v>
      </c>
      <c r="G318" s="109" t="s">
        <v>16</v>
      </c>
      <c r="H318" s="161">
        <v>200</v>
      </c>
      <c r="I318" s="161">
        <v>200</v>
      </c>
      <c r="J318" s="109"/>
      <c r="K318" s="160"/>
      <c r="L318" s="105">
        <v>20201118</v>
      </c>
    </row>
    <row r="319" s="146" customFormat="1" ht="15.2" customHeight="1" spans="1:12">
      <c r="A319" s="109">
        <v>317</v>
      </c>
      <c r="B319" s="158" t="s">
        <v>11090</v>
      </c>
      <c r="C319" s="158" t="s">
        <v>11697</v>
      </c>
      <c r="D319" s="158" t="s">
        <v>11698</v>
      </c>
      <c r="E319" s="102" t="s">
        <v>15</v>
      </c>
      <c r="F319" s="102" t="s">
        <v>10250</v>
      </c>
      <c r="G319" s="109" t="s">
        <v>16</v>
      </c>
      <c r="H319" s="161">
        <v>200</v>
      </c>
      <c r="I319" s="161">
        <v>200</v>
      </c>
      <c r="J319" s="109" t="s">
        <v>6097</v>
      </c>
      <c r="K319" s="160"/>
      <c r="L319" s="105">
        <v>20201118</v>
      </c>
    </row>
    <row r="320" s="146" customFormat="1" ht="15.2" customHeight="1" spans="1:12">
      <c r="A320" s="109">
        <v>318</v>
      </c>
      <c r="B320" s="158" t="s">
        <v>11090</v>
      </c>
      <c r="C320" s="158" t="s">
        <v>11699</v>
      </c>
      <c r="D320" s="158" t="s">
        <v>11700</v>
      </c>
      <c r="E320" s="102" t="s">
        <v>15</v>
      </c>
      <c r="F320" s="102" t="s">
        <v>10250</v>
      </c>
      <c r="G320" s="109" t="s">
        <v>16</v>
      </c>
      <c r="H320" s="161">
        <v>200</v>
      </c>
      <c r="I320" s="161">
        <v>200</v>
      </c>
      <c r="J320" s="109" t="s">
        <v>6097</v>
      </c>
      <c r="K320" s="160"/>
      <c r="L320" s="105">
        <v>20201118</v>
      </c>
    </row>
    <row r="321" s="146" customFormat="1" ht="15.2" customHeight="1" spans="1:12">
      <c r="A321" s="109">
        <v>319</v>
      </c>
      <c r="B321" s="158" t="s">
        <v>11090</v>
      </c>
      <c r="C321" s="158" t="s">
        <v>11701</v>
      </c>
      <c r="D321" s="158" t="s">
        <v>11702</v>
      </c>
      <c r="E321" s="102" t="s">
        <v>15</v>
      </c>
      <c r="F321" s="102" t="s">
        <v>10250</v>
      </c>
      <c r="G321" s="109" t="s">
        <v>16</v>
      </c>
      <c r="H321" s="161">
        <v>200</v>
      </c>
      <c r="I321" s="161">
        <v>200</v>
      </c>
      <c r="J321" s="109"/>
      <c r="K321" s="160"/>
      <c r="L321" s="105">
        <v>20201118</v>
      </c>
    </row>
    <row r="322" s="146" customFormat="1" ht="15.2" customHeight="1" spans="1:12">
      <c r="A322" s="109">
        <v>320</v>
      </c>
      <c r="B322" s="158" t="s">
        <v>11090</v>
      </c>
      <c r="C322" s="158" t="s">
        <v>11703</v>
      </c>
      <c r="D322" s="158" t="s">
        <v>11704</v>
      </c>
      <c r="E322" s="102" t="s">
        <v>15</v>
      </c>
      <c r="F322" s="102" t="s">
        <v>10250</v>
      </c>
      <c r="G322" s="109" t="s">
        <v>16</v>
      </c>
      <c r="H322" s="161">
        <v>200</v>
      </c>
      <c r="I322" s="161">
        <v>200</v>
      </c>
      <c r="J322" s="109"/>
      <c r="K322" s="160"/>
      <c r="L322" s="105">
        <v>20201118</v>
      </c>
    </row>
    <row r="323" s="146" customFormat="1" ht="15.2" customHeight="1" spans="1:12">
      <c r="A323" s="109">
        <v>321</v>
      </c>
      <c r="B323" s="158" t="s">
        <v>11090</v>
      </c>
      <c r="C323" s="158" t="s">
        <v>11705</v>
      </c>
      <c r="D323" s="158" t="s">
        <v>11706</v>
      </c>
      <c r="E323" s="102" t="s">
        <v>15</v>
      </c>
      <c r="F323" s="102" t="s">
        <v>10250</v>
      </c>
      <c r="G323" s="109" t="s">
        <v>16</v>
      </c>
      <c r="H323" s="161">
        <v>200</v>
      </c>
      <c r="I323" s="161">
        <v>200</v>
      </c>
      <c r="J323" s="109"/>
      <c r="K323" s="160"/>
      <c r="L323" s="105">
        <v>20201118</v>
      </c>
    </row>
    <row r="324" s="146" customFormat="1" ht="15.2" customHeight="1" spans="1:12">
      <c r="A324" s="109">
        <v>322</v>
      </c>
      <c r="B324" s="158" t="s">
        <v>11090</v>
      </c>
      <c r="C324" s="158" t="s">
        <v>11707</v>
      </c>
      <c r="D324" s="158" t="s">
        <v>11708</v>
      </c>
      <c r="E324" s="102" t="s">
        <v>15</v>
      </c>
      <c r="F324" s="102" t="s">
        <v>10250</v>
      </c>
      <c r="G324" s="109" t="s">
        <v>16</v>
      </c>
      <c r="H324" s="161">
        <v>200</v>
      </c>
      <c r="I324" s="161">
        <v>200</v>
      </c>
      <c r="J324" s="109"/>
      <c r="K324" s="160"/>
      <c r="L324" s="105">
        <v>20201118</v>
      </c>
    </row>
    <row r="325" s="146" customFormat="1" ht="15.2" customHeight="1" spans="1:12">
      <c r="A325" s="109">
        <v>323</v>
      </c>
      <c r="B325" s="158" t="s">
        <v>11090</v>
      </c>
      <c r="C325" s="158" t="s">
        <v>11709</v>
      </c>
      <c r="D325" s="158" t="s">
        <v>11710</v>
      </c>
      <c r="E325" s="102" t="s">
        <v>15</v>
      </c>
      <c r="F325" s="102" t="s">
        <v>10250</v>
      </c>
      <c r="G325" s="109" t="s">
        <v>16</v>
      </c>
      <c r="H325" s="161">
        <v>200</v>
      </c>
      <c r="I325" s="161">
        <v>200</v>
      </c>
      <c r="J325" s="109"/>
      <c r="K325" s="160"/>
      <c r="L325" s="105">
        <v>20201118</v>
      </c>
    </row>
    <row r="326" s="146" customFormat="1" ht="15.2" customHeight="1" spans="1:12">
      <c r="A326" s="109">
        <v>324</v>
      </c>
      <c r="B326" s="158" t="s">
        <v>11090</v>
      </c>
      <c r="C326" s="158" t="s">
        <v>11711</v>
      </c>
      <c r="D326" s="158" t="s">
        <v>11712</v>
      </c>
      <c r="E326" s="102" t="s">
        <v>15</v>
      </c>
      <c r="F326" s="102" t="s">
        <v>10250</v>
      </c>
      <c r="G326" s="109" t="s">
        <v>16</v>
      </c>
      <c r="H326" s="161">
        <v>200</v>
      </c>
      <c r="I326" s="161">
        <v>200</v>
      </c>
      <c r="J326" s="109"/>
      <c r="K326" s="160"/>
      <c r="L326" s="105">
        <v>20201118</v>
      </c>
    </row>
    <row r="327" s="146" customFormat="1" ht="15.2" customHeight="1" spans="1:12">
      <c r="A327" s="109">
        <v>325</v>
      </c>
      <c r="B327" s="158" t="s">
        <v>11090</v>
      </c>
      <c r="C327" s="158" t="s">
        <v>11713</v>
      </c>
      <c r="D327" s="158" t="s">
        <v>11714</v>
      </c>
      <c r="E327" s="102" t="s">
        <v>15</v>
      </c>
      <c r="F327" s="102" t="s">
        <v>10250</v>
      </c>
      <c r="G327" s="109" t="s">
        <v>16</v>
      </c>
      <c r="H327" s="161">
        <v>200</v>
      </c>
      <c r="I327" s="161">
        <v>200</v>
      </c>
      <c r="J327" s="109"/>
      <c r="K327" s="160"/>
      <c r="L327" s="105">
        <v>20201118</v>
      </c>
    </row>
    <row r="328" s="146" customFormat="1" ht="15.2" customHeight="1" spans="1:12">
      <c r="A328" s="109">
        <v>326</v>
      </c>
      <c r="B328" s="158" t="s">
        <v>11090</v>
      </c>
      <c r="C328" s="158" t="s">
        <v>11715</v>
      </c>
      <c r="D328" s="158" t="s">
        <v>11716</v>
      </c>
      <c r="E328" s="102" t="s">
        <v>15</v>
      </c>
      <c r="F328" s="102" t="s">
        <v>10250</v>
      </c>
      <c r="G328" s="109" t="s">
        <v>16</v>
      </c>
      <c r="H328" s="161">
        <v>200</v>
      </c>
      <c r="I328" s="161">
        <v>200</v>
      </c>
      <c r="J328" s="109"/>
      <c r="K328" s="160"/>
      <c r="L328" s="105">
        <v>20201118</v>
      </c>
    </row>
    <row r="329" s="146" customFormat="1" ht="15.2" customHeight="1" spans="1:12">
      <c r="A329" s="109">
        <v>327</v>
      </c>
      <c r="B329" s="158" t="s">
        <v>11090</v>
      </c>
      <c r="C329" s="158" t="s">
        <v>11717</v>
      </c>
      <c r="D329" s="158" t="s">
        <v>11718</v>
      </c>
      <c r="E329" s="102" t="s">
        <v>15</v>
      </c>
      <c r="F329" s="102" t="s">
        <v>10250</v>
      </c>
      <c r="G329" s="109" t="s">
        <v>16</v>
      </c>
      <c r="H329" s="161">
        <v>200</v>
      </c>
      <c r="I329" s="161">
        <v>200</v>
      </c>
      <c r="J329" s="109"/>
      <c r="K329" s="160"/>
      <c r="L329" s="105">
        <v>20201118</v>
      </c>
    </row>
    <row r="330" s="146" customFormat="1" ht="15.2" customHeight="1" spans="1:12">
      <c r="A330" s="109">
        <v>328</v>
      </c>
      <c r="B330" s="158" t="s">
        <v>11090</v>
      </c>
      <c r="C330" s="158" t="s">
        <v>2918</v>
      </c>
      <c r="D330" s="158" t="s">
        <v>11719</v>
      </c>
      <c r="E330" s="102" t="s">
        <v>15</v>
      </c>
      <c r="F330" s="102" t="s">
        <v>10250</v>
      </c>
      <c r="G330" s="109" t="s">
        <v>16</v>
      </c>
      <c r="H330" s="161">
        <v>200</v>
      </c>
      <c r="I330" s="161">
        <v>200</v>
      </c>
      <c r="J330" s="109"/>
      <c r="K330" s="160"/>
      <c r="L330" s="105">
        <v>20201118</v>
      </c>
    </row>
    <row r="331" s="146" customFormat="1" ht="15.2" customHeight="1" spans="1:12">
      <c r="A331" s="109">
        <v>329</v>
      </c>
      <c r="B331" s="158" t="s">
        <v>11090</v>
      </c>
      <c r="C331" s="158" t="s">
        <v>11720</v>
      </c>
      <c r="D331" s="158" t="s">
        <v>11721</v>
      </c>
      <c r="E331" s="102" t="s">
        <v>15</v>
      </c>
      <c r="F331" s="102" t="s">
        <v>10250</v>
      </c>
      <c r="G331" s="109" t="s">
        <v>16</v>
      </c>
      <c r="H331" s="161">
        <v>200</v>
      </c>
      <c r="I331" s="161">
        <v>200</v>
      </c>
      <c r="J331" s="109"/>
      <c r="K331" s="160"/>
      <c r="L331" s="105">
        <v>20201118</v>
      </c>
    </row>
    <row r="332" s="146" customFormat="1" ht="15.2" customHeight="1" spans="1:12">
      <c r="A332" s="109">
        <v>330</v>
      </c>
      <c r="B332" s="158" t="s">
        <v>11090</v>
      </c>
      <c r="C332" s="158" t="s">
        <v>10659</v>
      </c>
      <c r="D332" s="158" t="s">
        <v>11722</v>
      </c>
      <c r="E332" s="102" t="s">
        <v>15</v>
      </c>
      <c r="F332" s="102" t="s">
        <v>10250</v>
      </c>
      <c r="G332" s="109" t="s">
        <v>16</v>
      </c>
      <c r="H332" s="161">
        <v>200</v>
      </c>
      <c r="I332" s="161">
        <v>200</v>
      </c>
      <c r="J332" s="109"/>
      <c r="K332" s="160"/>
      <c r="L332" s="105">
        <v>20201118</v>
      </c>
    </row>
    <row r="333" s="146" customFormat="1" ht="15.2" customHeight="1" spans="1:12">
      <c r="A333" s="109">
        <v>331</v>
      </c>
      <c r="B333" s="158" t="s">
        <v>11090</v>
      </c>
      <c r="C333" s="158" t="s">
        <v>11723</v>
      </c>
      <c r="D333" s="158" t="s">
        <v>11724</v>
      </c>
      <c r="E333" s="102" t="s">
        <v>15</v>
      </c>
      <c r="F333" s="102" t="s">
        <v>10250</v>
      </c>
      <c r="G333" s="109" t="s">
        <v>16</v>
      </c>
      <c r="H333" s="161">
        <v>200</v>
      </c>
      <c r="I333" s="161">
        <v>200</v>
      </c>
      <c r="J333" s="109"/>
      <c r="K333" s="160"/>
      <c r="L333" s="105">
        <v>20201118</v>
      </c>
    </row>
    <row r="334" s="146" customFormat="1" ht="15.2" customHeight="1" spans="1:12">
      <c r="A334" s="109">
        <v>332</v>
      </c>
      <c r="B334" s="158" t="s">
        <v>11090</v>
      </c>
      <c r="C334" s="158" t="s">
        <v>11725</v>
      </c>
      <c r="D334" s="158" t="s">
        <v>11726</v>
      </c>
      <c r="E334" s="102" t="s">
        <v>15</v>
      </c>
      <c r="F334" s="102" t="s">
        <v>10250</v>
      </c>
      <c r="G334" s="109" t="s">
        <v>16</v>
      </c>
      <c r="H334" s="161">
        <v>200</v>
      </c>
      <c r="I334" s="161">
        <v>200</v>
      </c>
      <c r="J334" s="109" t="s">
        <v>6097</v>
      </c>
      <c r="K334" s="160"/>
      <c r="L334" s="105">
        <v>20201118</v>
      </c>
    </row>
    <row r="335" s="146" customFormat="1" ht="15.2" customHeight="1" spans="1:12">
      <c r="A335" s="109">
        <v>333</v>
      </c>
      <c r="B335" s="158" t="s">
        <v>11090</v>
      </c>
      <c r="C335" s="158" t="s">
        <v>11727</v>
      </c>
      <c r="D335" s="158" t="s">
        <v>11728</v>
      </c>
      <c r="E335" s="102" t="s">
        <v>15</v>
      </c>
      <c r="F335" s="102" t="s">
        <v>10250</v>
      </c>
      <c r="G335" s="109" t="s">
        <v>16</v>
      </c>
      <c r="H335" s="161">
        <v>200</v>
      </c>
      <c r="I335" s="161">
        <v>200</v>
      </c>
      <c r="J335" s="109"/>
      <c r="K335" s="160"/>
      <c r="L335" s="105">
        <v>20201118</v>
      </c>
    </row>
    <row r="336" s="146" customFormat="1" ht="15.2" customHeight="1" spans="1:12">
      <c r="A336" s="109">
        <v>334</v>
      </c>
      <c r="B336" s="158" t="s">
        <v>11090</v>
      </c>
      <c r="C336" s="158" t="s">
        <v>11729</v>
      </c>
      <c r="D336" s="158" t="s">
        <v>11730</v>
      </c>
      <c r="E336" s="102" t="s">
        <v>15</v>
      </c>
      <c r="F336" s="102" t="s">
        <v>10250</v>
      </c>
      <c r="G336" s="109" t="s">
        <v>16</v>
      </c>
      <c r="H336" s="161">
        <v>200</v>
      </c>
      <c r="I336" s="161">
        <v>200</v>
      </c>
      <c r="J336" s="109"/>
      <c r="K336" s="160"/>
      <c r="L336" s="105">
        <v>20201118</v>
      </c>
    </row>
    <row r="337" s="146" customFormat="1" ht="15.2" customHeight="1" spans="1:12">
      <c r="A337" s="109">
        <v>335</v>
      </c>
      <c r="B337" s="158" t="s">
        <v>11090</v>
      </c>
      <c r="C337" s="158" t="s">
        <v>11731</v>
      </c>
      <c r="D337" s="158" t="s">
        <v>11732</v>
      </c>
      <c r="E337" s="102" t="s">
        <v>15</v>
      </c>
      <c r="F337" s="102" t="s">
        <v>10250</v>
      </c>
      <c r="G337" s="109" t="s">
        <v>16</v>
      </c>
      <c r="H337" s="161">
        <v>200</v>
      </c>
      <c r="I337" s="161">
        <v>200</v>
      </c>
      <c r="J337" s="109"/>
      <c r="K337" s="160"/>
      <c r="L337" s="105">
        <v>20201118</v>
      </c>
    </row>
    <row r="338" s="146" customFormat="1" ht="15.2" customHeight="1" spans="1:12">
      <c r="A338" s="109">
        <v>336</v>
      </c>
      <c r="B338" s="158" t="s">
        <v>11090</v>
      </c>
      <c r="C338" s="158" t="s">
        <v>11733</v>
      </c>
      <c r="D338" s="158" t="s">
        <v>11734</v>
      </c>
      <c r="E338" s="102" t="s">
        <v>15</v>
      </c>
      <c r="F338" s="102" t="s">
        <v>10250</v>
      </c>
      <c r="G338" s="109" t="s">
        <v>16</v>
      </c>
      <c r="H338" s="161">
        <v>200</v>
      </c>
      <c r="I338" s="161">
        <v>200</v>
      </c>
      <c r="J338" s="109"/>
      <c r="K338" s="160"/>
      <c r="L338" s="105">
        <v>20201118</v>
      </c>
    </row>
    <row r="339" s="146" customFormat="1" ht="15.2" customHeight="1" spans="1:12">
      <c r="A339" s="109">
        <v>337</v>
      </c>
      <c r="B339" s="158" t="s">
        <v>11090</v>
      </c>
      <c r="C339" s="158" t="s">
        <v>11735</v>
      </c>
      <c r="D339" s="158" t="s">
        <v>11736</v>
      </c>
      <c r="E339" s="102" t="s">
        <v>15</v>
      </c>
      <c r="F339" s="102" t="s">
        <v>10250</v>
      </c>
      <c r="G339" s="109" t="s">
        <v>16</v>
      </c>
      <c r="H339" s="161">
        <v>200</v>
      </c>
      <c r="I339" s="161">
        <v>200</v>
      </c>
      <c r="J339" s="109"/>
      <c r="K339" s="160"/>
      <c r="L339" s="105">
        <v>20201118</v>
      </c>
    </row>
    <row r="340" s="146" customFormat="1" ht="15.2" customHeight="1" spans="1:12">
      <c r="A340" s="109">
        <v>338</v>
      </c>
      <c r="B340" s="158" t="s">
        <v>11090</v>
      </c>
      <c r="C340" s="158" t="s">
        <v>7140</v>
      </c>
      <c r="D340" s="158" t="s">
        <v>11737</v>
      </c>
      <c r="E340" s="102" t="s">
        <v>15</v>
      </c>
      <c r="F340" s="102" t="s">
        <v>10250</v>
      </c>
      <c r="G340" s="109" t="s">
        <v>16</v>
      </c>
      <c r="H340" s="161">
        <v>200</v>
      </c>
      <c r="I340" s="161">
        <v>200</v>
      </c>
      <c r="J340" s="109"/>
      <c r="K340" s="160"/>
      <c r="L340" s="105">
        <v>20201118</v>
      </c>
    </row>
    <row r="341" s="146" customFormat="1" ht="15.2" customHeight="1" spans="1:12">
      <c r="A341" s="109">
        <v>339</v>
      </c>
      <c r="B341" s="158" t="s">
        <v>11090</v>
      </c>
      <c r="C341" s="158" t="s">
        <v>11738</v>
      </c>
      <c r="D341" s="158" t="s">
        <v>11739</v>
      </c>
      <c r="E341" s="102" t="s">
        <v>15</v>
      </c>
      <c r="F341" s="102" t="s">
        <v>10250</v>
      </c>
      <c r="G341" s="109" t="s">
        <v>16</v>
      </c>
      <c r="H341" s="161">
        <v>500</v>
      </c>
      <c r="I341" s="161">
        <v>500</v>
      </c>
      <c r="J341" s="109"/>
      <c r="K341" s="160"/>
      <c r="L341" s="105">
        <v>20201118</v>
      </c>
    </row>
    <row r="342" s="146" customFormat="1" ht="15.2" customHeight="1" spans="1:12">
      <c r="A342" s="109">
        <v>340</v>
      </c>
      <c r="B342" s="158" t="s">
        <v>11090</v>
      </c>
      <c r="C342" s="158" t="s">
        <v>11740</v>
      </c>
      <c r="D342" s="158" t="s">
        <v>11741</v>
      </c>
      <c r="E342" s="102" t="s">
        <v>15</v>
      </c>
      <c r="F342" s="102" t="s">
        <v>10250</v>
      </c>
      <c r="G342" s="109" t="s">
        <v>16</v>
      </c>
      <c r="H342" s="161">
        <v>200</v>
      </c>
      <c r="I342" s="161">
        <v>200</v>
      </c>
      <c r="J342" s="109"/>
      <c r="K342" s="160"/>
      <c r="L342" s="105">
        <v>20201118</v>
      </c>
    </row>
    <row r="343" s="146" customFormat="1" ht="15.2" customHeight="1" spans="1:12">
      <c r="A343" s="109">
        <v>341</v>
      </c>
      <c r="B343" s="158" t="s">
        <v>11090</v>
      </c>
      <c r="C343" s="158" t="s">
        <v>11742</v>
      </c>
      <c r="D343" s="158" t="s">
        <v>11743</v>
      </c>
      <c r="E343" s="102" t="s">
        <v>15</v>
      </c>
      <c r="F343" s="102" t="s">
        <v>10250</v>
      </c>
      <c r="G343" s="109" t="s">
        <v>16</v>
      </c>
      <c r="H343" s="161">
        <v>200</v>
      </c>
      <c r="I343" s="161">
        <v>200</v>
      </c>
      <c r="J343" s="109" t="s">
        <v>108</v>
      </c>
      <c r="K343" s="160"/>
      <c r="L343" s="105">
        <v>20201118</v>
      </c>
    </row>
    <row r="344" s="146" customFormat="1" ht="15.2" customHeight="1" spans="1:12">
      <c r="A344" s="109">
        <v>342</v>
      </c>
      <c r="B344" s="158" t="s">
        <v>11090</v>
      </c>
      <c r="C344" s="158" t="s">
        <v>11744</v>
      </c>
      <c r="D344" s="158" t="s">
        <v>11745</v>
      </c>
      <c r="E344" s="102" t="s">
        <v>15</v>
      </c>
      <c r="F344" s="102" t="s">
        <v>10250</v>
      </c>
      <c r="G344" s="109" t="s">
        <v>16</v>
      </c>
      <c r="H344" s="161">
        <v>200</v>
      </c>
      <c r="I344" s="161">
        <v>200</v>
      </c>
      <c r="J344" s="109"/>
      <c r="K344" s="160"/>
      <c r="L344" s="105">
        <v>20201118</v>
      </c>
    </row>
    <row r="345" s="146" customFormat="1" ht="15.2" customHeight="1" spans="1:12">
      <c r="A345" s="109">
        <v>343</v>
      </c>
      <c r="B345" s="158" t="s">
        <v>11090</v>
      </c>
      <c r="C345" s="158" t="s">
        <v>11746</v>
      </c>
      <c r="D345" s="158" t="s">
        <v>11747</v>
      </c>
      <c r="E345" s="102" t="s">
        <v>15</v>
      </c>
      <c r="F345" s="102" t="s">
        <v>10250</v>
      </c>
      <c r="G345" s="109" t="s">
        <v>16</v>
      </c>
      <c r="H345" s="161">
        <v>500</v>
      </c>
      <c r="I345" s="161">
        <v>500</v>
      </c>
      <c r="J345" s="109"/>
      <c r="K345" s="160"/>
      <c r="L345" s="105">
        <v>20201118</v>
      </c>
    </row>
    <row r="346" s="146" customFormat="1" ht="15.2" customHeight="1" spans="1:12">
      <c r="A346" s="109">
        <v>344</v>
      </c>
      <c r="B346" s="158" t="s">
        <v>11090</v>
      </c>
      <c r="C346" s="158" t="s">
        <v>11748</v>
      </c>
      <c r="D346" s="158" t="s">
        <v>11749</v>
      </c>
      <c r="E346" s="102" t="s">
        <v>15</v>
      </c>
      <c r="F346" s="102" t="s">
        <v>10250</v>
      </c>
      <c r="G346" s="109" t="s">
        <v>16</v>
      </c>
      <c r="H346" s="161">
        <v>200</v>
      </c>
      <c r="I346" s="161">
        <v>200</v>
      </c>
      <c r="J346" s="109"/>
      <c r="K346" s="160"/>
      <c r="L346" s="105">
        <v>20201118</v>
      </c>
    </row>
    <row r="347" s="146" customFormat="1" ht="15.2" customHeight="1" spans="1:12">
      <c r="A347" s="109">
        <v>345</v>
      </c>
      <c r="B347" s="158" t="s">
        <v>11090</v>
      </c>
      <c r="C347" s="158" t="s">
        <v>11750</v>
      </c>
      <c r="D347" s="158" t="s">
        <v>11751</v>
      </c>
      <c r="E347" s="102" t="s">
        <v>15</v>
      </c>
      <c r="F347" s="102" t="s">
        <v>10250</v>
      </c>
      <c r="G347" s="109" t="s">
        <v>16</v>
      </c>
      <c r="H347" s="161">
        <v>200</v>
      </c>
      <c r="I347" s="161">
        <v>200</v>
      </c>
      <c r="J347" s="109"/>
      <c r="K347" s="160"/>
      <c r="L347" s="105">
        <v>20201118</v>
      </c>
    </row>
    <row r="348" s="146" customFormat="1" ht="15.2" customHeight="1" spans="1:12">
      <c r="A348" s="109">
        <v>346</v>
      </c>
      <c r="B348" s="158" t="s">
        <v>11090</v>
      </c>
      <c r="C348" s="158" t="s">
        <v>11752</v>
      </c>
      <c r="D348" s="158" t="s">
        <v>11753</v>
      </c>
      <c r="E348" s="102" t="s">
        <v>15</v>
      </c>
      <c r="F348" s="102" t="s">
        <v>10250</v>
      </c>
      <c r="G348" s="109" t="s">
        <v>16</v>
      </c>
      <c r="H348" s="161">
        <v>200</v>
      </c>
      <c r="I348" s="161">
        <v>200</v>
      </c>
      <c r="J348" s="109"/>
      <c r="K348" s="160"/>
      <c r="L348" s="105">
        <v>20201118</v>
      </c>
    </row>
    <row r="349" s="146" customFormat="1" ht="15.2" customHeight="1" spans="1:12">
      <c r="A349" s="109">
        <v>347</v>
      </c>
      <c r="B349" s="158" t="s">
        <v>11090</v>
      </c>
      <c r="C349" s="158" t="s">
        <v>11754</v>
      </c>
      <c r="D349" s="158" t="s">
        <v>11755</v>
      </c>
      <c r="E349" s="102" t="s">
        <v>15</v>
      </c>
      <c r="F349" s="102" t="s">
        <v>10250</v>
      </c>
      <c r="G349" s="109" t="s">
        <v>16</v>
      </c>
      <c r="H349" s="161">
        <v>200</v>
      </c>
      <c r="I349" s="161">
        <v>200</v>
      </c>
      <c r="J349" s="109" t="s">
        <v>6097</v>
      </c>
      <c r="K349" s="160"/>
      <c r="L349" s="105">
        <v>20201118</v>
      </c>
    </row>
    <row r="350" s="146" customFormat="1" ht="15.2" customHeight="1" spans="1:12">
      <c r="A350" s="109">
        <v>348</v>
      </c>
      <c r="B350" s="158" t="s">
        <v>11090</v>
      </c>
      <c r="C350" s="158" t="s">
        <v>11756</v>
      </c>
      <c r="D350" s="158" t="s">
        <v>11757</v>
      </c>
      <c r="E350" s="102" t="s">
        <v>15</v>
      </c>
      <c r="F350" s="102" t="s">
        <v>10250</v>
      </c>
      <c r="G350" s="109" t="s">
        <v>16</v>
      </c>
      <c r="H350" s="161">
        <v>1000</v>
      </c>
      <c r="I350" s="161">
        <v>1000</v>
      </c>
      <c r="J350" s="109"/>
      <c r="K350" s="160"/>
      <c r="L350" s="105">
        <v>20201118</v>
      </c>
    </row>
    <row r="351" s="146" customFormat="1" ht="15.2" customHeight="1" spans="1:12">
      <c r="A351" s="109">
        <v>349</v>
      </c>
      <c r="B351" s="158" t="s">
        <v>11090</v>
      </c>
      <c r="C351" s="158" t="s">
        <v>7286</v>
      </c>
      <c r="D351" s="158" t="s">
        <v>11758</v>
      </c>
      <c r="E351" s="102" t="s">
        <v>15</v>
      </c>
      <c r="F351" s="102" t="s">
        <v>10250</v>
      </c>
      <c r="G351" s="109" t="s">
        <v>16</v>
      </c>
      <c r="H351" s="161">
        <v>200</v>
      </c>
      <c r="I351" s="161">
        <v>200</v>
      </c>
      <c r="J351" s="109"/>
      <c r="K351" s="160"/>
      <c r="L351" s="105">
        <v>20201118</v>
      </c>
    </row>
    <row r="352" s="146" customFormat="1" ht="15.2" customHeight="1" spans="1:12">
      <c r="A352" s="109">
        <v>350</v>
      </c>
      <c r="B352" s="158" t="s">
        <v>11090</v>
      </c>
      <c r="C352" s="158" t="s">
        <v>678</v>
      </c>
      <c r="D352" s="158" t="s">
        <v>11759</v>
      </c>
      <c r="E352" s="102" t="s">
        <v>15</v>
      </c>
      <c r="F352" s="102" t="s">
        <v>10250</v>
      </c>
      <c r="G352" s="109" t="s">
        <v>16</v>
      </c>
      <c r="H352" s="161">
        <v>200</v>
      </c>
      <c r="I352" s="161">
        <v>200</v>
      </c>
      <c r="J352" s="109"/>
      <c r="K352" s="160"/>
      <c r="L352" s="105">
        <v>20201118</v>
      </c>
    </row>
    <row r="353" s="146" customFormat="1" ht="15.2" customHeight="1" spans="1:12">
      <c r="A353" s="109">
        <v>351</v>
      </c>
      <c r="B353" s="158" t="s">
        <v>11090</v>
      </c>
      <c r="C353" s="158" t="s">
        <v>11760</v>
      </c>
      <c r="D353" s="158" t="s">
        <v>11761</v>
      </c>
      <c r="E353" s="102" t="s">
        <v>15</v>
      </c>
      <c r="F353" s="102" t="s">
        <v>10250</v>
      </c>
      <c r="G353" s="109" t="s">
        <v>16</v>
      </c>
      <c r="H353" s="161">
        <v>500</v>
      </c>
      <c r="I353" s="161">
        <v>500</v>
      </c>
      <c r="J353" s="109"/>
      <c r="K353" s="160"/>
      <c r="L353" s="105">
        <v>20201118</v>
      </c>
    </row>
    <row r="354" s="146" customFormat="1" ht="15.2" customHeight="1" spans="1:12">
      <c r="A354" s="109">
        <v>352</v>
      </c>
      <c r="B354" s="158" t="s">
        <v>11090</v>
      </c>
      <c r="C354" s="158" t="s">
        <v>11762</v>
      </c>
      <c r="D354" s="158" t="s">
        <v>11763</v>
      </c>
      <c r="E354" s="102" t="s">
        <v>15</v>
      </c>
      <c r="F354" s="102" t="s">
        <v>10250</v>
      </c>
      <c r="G354" s="109" t="s">
        <v>16</v>
      </c>
      <c r="H354" s="161">
        <v>500</v>
      </c>
      <c r="I354" s="161">
        <v>500</v>
      </c>
      <c r="J354" s="109"/>
      <c r="K354" s="160"/>
      <c r="L354" s="105">
        <v>20201118</v>
      </c>
    </row>
    <row r="355" s="146" customFormat="1" ht="15.2" customHeight="1" spans="1:12">
      <c r="A355" s="109">
        <v>353</v>
      </c>
      <c r="B355" s="158" t="s">
        <v>11090</v>
      </c>
      <c r="C355" s="158" t="s">
        <v>11764</v>
      </c>
      <c r="D355" s="158" t="s">
        <v>11765</v>
      </c>
      <c r="E355" s="102" t="s">
        <v>15</v>
      </c>
      <c r="F355" s="102" t="s">
        <v>10250</v>
      </c>
      <c r="G355" s="109" t="s">
        <v>16</v>
      </c>
      <c r="H355" s="161">
        <v>200</v>
      </c>
      <c r="I355" s="161">
        <v>200</v>
      </c>
      <c r="J355" s="109"/>
      <c r="K355" s="160"/>
      <c r="L355" s="105">
        <v>20201118</v>
      </c>
    </row>
    <row r="356" s="146" customFormat="1" ht="15.2" customHeight="1" spans="1:12">
      <c r="A356" s="109">
        <v>354</v>
      </c>
      <c r="B356" s="158" t="s">
        <v>11090</v>
      </c>
      <c r="C356" s="158" t="s">
        <v>902</v>
      </c>
      <c r="D356" s="158" t="s">
        <v>11766</v>
      </c>
      <c r="E356" s="102" t="s">
        <v>15</v>
      </c>
      <c r="F356" s="102" t="s">
        <v>10250</v>
      </c>
      <c r="G356" s="109" t="s">
        <v>16</v>
      </c>
      <c r="H356" s="161">
        <v>200</v>
      </c>
      <c r="I356" s="161">
        <v>200</v>
      </c>
      <c r="J356" s="109"/>
      <c r="K356" s="160"/>
      <c r="L356" s="105">
        <v>20201118</v>
      </c>
    </row>
    <row r="357" s="146" customFormat="1" ht="15.2" customHeight="1" spans="1:12">
      <c r="A357" s="109">
        <v>355</v>
      </c>
      <c r="B357" s="158" t="s">
        <v>11090</v>
      </c>
      <c r="C357" s="158" t="s">
        <v>11767</v>
      </c>
      <c r="D357" s="158" t="s">
        <v>11768</v>
      </c>
      <c r="E357" s="102" t="s">
        <v>15</v>
      </c>
      <c r="F357" s="102" t="s">
        <v>10250</v>
      </c>
      <c r="G357" s="109" t="s">
        <v>16</v>
      </c>
      <c r="H357" s="161">
        <v>200</v>
      </c>
      <c r="I357" s="161">
        <v>200</v>
      </c>
      <c r="J357" s="109"/>
      <c r="K357" s="160"/>
      <c r="L357" s="105">
        <v>20201118</v>
      </c>
    </row>
    <row r="358" s="146" customFormat="1" ht="15.2" customHeight="1" spans="1:12">
      <c r="A358" s="109">
        <v>356</v>
      </c>
      <c r="B358" s="158" t="s">
        <v>11090</v>
      </c>
      <c r="C358" s="158" t="s">
        <v>11769</v>
      </c>
      <c r="D358" s="158" t="s">
        <v>11770</v>
      </c>
      <c r="E358" s="102" t="s">
        <v>15</v>
      </c>
      <c r="F358" s="102" t="s">
        <v>10250</v>
      </c>
      <c r="G358" s="109" t="s">
        <v>16</v>
      </c>
      <c r="H358" s="161">
        <v>200</v>
      </c>
      <c r="I358" s="161">
        <v>200</v>
      </c>
      <c r="J358" s="109"/>
      <c r="K358" s="160"/>
      <c r="L358" s="105">
        <v>20201118</v>
      </c>
    </row>
    <row r="359" s="146" customFormat="1" ht="15.2" customHeight="1" spans="1:12">
      <c r="A359" s="109">
        <v>357</v>
      </c>
      <c r="B359" s="158" t="s">
        <v>11090</v>
      </c>
      <c r="C359" s="158" t="s">
        <v>11771</v>
      </c>
      <c r="D359" s="158" t="s">
        <v>11772</v>
      </c>
      <c r="E359" s="102" t="s">
        <v>15</v>
      </c>
      <c r="F359" s="102" t="s">
        <v>10250</v>
      </c>
      <c r="G359" s="109" t="s">
        <v>16</v>
      </c>
      <c r="H359" s="161">
        <v>200</v>
      </c>
      <c r="I359" s="161">
        <v>200</v>
      </c>
      <c r="J359" s="109"/>
      <c r="K359" s="160"/>
      <c r="L359" s="105">
        <v>20201118</v>
      </c>
    </row>
    <row r="360" s="146" customFormat="1" ht="15.2" customHeight="1" spans="1:12">
      <c r="A360" s="109">
        <v>358</v>
      </c>
      <c r="B360" s="158" t="s">
        <v>11090</v>
      </c>
      <c r="C360" s="158" t="s">
        <v>1291</v>
      </c>
      <c r="D360" s="158" t="s">
        <v>11773</v>
      </c>
      <c r="E360" s="102" t="s">
        <v>15</v>
      </c>
      <c r="F360" s="102" t="s">
        <v>10250</v>
      </c>
      <c r="G360" s="109" t="s">
        <v>16</v>
      </c>
      <c r="H360" s="161">
        <v>200</v>
      </c>
      <c r="I360" s="161">
        <v>200</v>
      </c>
      <c r="J360" s="109" t="s">
        <v>11135</v>
      </c>
      <c r="K360" s="160"/>
      <c r="L360" s="105">
        <v>20201118</v>
      </c>
    </row>
    <row r="361" s="146" customFormat="1" ht="15.2" customHeight="1" spans="1:12">
      <c r="A361" s="109">
        <v>359</v>
      </c>
      <c r="B361" s="158" t="s">
        <v>11090</v>
      </c>
      <c r="C361" s="158" t="s">
        <v>10842</v>
      </c>
      <c r="D361" s="158" t="s">
        <v>11774</v>
      </c>
      <c r="E361" s="102" t="s">
        <v>15</v>
      </c>
      <c r="F361" s="102" t="s">
        <v>10250</v>
      </c>
      <c r="G361" s="109" t="s">
        <v>16</v>
      </c>
      <c r="H361" s="161">
        <v>500</v>
      </c>
      <c r="I361" s="161">
        <v>500</v>
      </c>
      <c r="J361" s="109"/>
      <c r="K361" s="160"/>
      <c r="L361" s="105">
        <v>20201118</v>
      </c>
    </row>
    <row r="362" s="146" customFormat="1" ht="15.2" customHeight="1" spans="1:12">
      <c r="A362" s="109">
        <v>360</v>
      </c>
      <c r="B362" s="158" t="s">
        <v>11090</v>
      </c>
      <c r="C362" s="158" t="s">
        <v>11775</v>
      </c>
      <c r="D362" s="158" t="s">
        <v>11776</v>
      </c>
      <c r="E362" s="102" t="s">
        <v>15</v>
      </c>
      <c r="F362" s="102" t="s">
        <v>10250</v>
      </c>
      <c r="G362" s="109" t="s">
        <v>16</v>
      </c>
      <c r="H362" s="161">
        <v>500</v>
      </c>
      <c r="I362" s="161">
        <v>500</v>
      </c>
      <c r="J362" s="109"/>
      <c r="K362" s="160"/>
      <c r="L362" s="105">
        <v>20201118</v>
      </c>
    </row>
    <row r="363" s="146" customFormat="1" ht="15.2" customHeight="1" spans="1:12">
      <c r="A363" s="109">
        <v>361</v>
      </c>
      <c r="B363" s="158" t="s">
        <v>11090</v>
      </c>
      <c r="C363" s="158" t="s">
        <v>11777</v>
      </c>
      <c r="D363" s="158" t="s">
        <v>11778</v>
      </c>
      <c r="E363" s="102" t="s">
        <v>15</v>
      </c>
      <c r="F363" s="102" t="s">
        <v>10250</v>
      </c>
      <c r="G363" s="109" t="s">
        <v>16</v>
      </c>
      <c r="H363" s="161">
        <v>200</v>
      </c>
      <c r="I363" s="161">
        <v>200</v>
      </c>
      <c r="J363" s="109"/>
      <c r="K363" s="160"/>
      <c r="L363" s="105">
        <v>20201118</v>
      </c>
    </row>
    <row r="364" s="146" customFormat="1" ht="15.2" customHeight="1" spans="1:12">
      <c r="A364" s="109">
        <v>362</v>
      </c>
      <c r="B364" s="158" t="s">
        <v>11090</v>
      </c>
      <c r="C364" s="158" t="s">
        <v>11779</v>
      </c>
      <c r="D364" s="158" t="s">
        <v>11780</v>
      </c>
      <c r="E364" s="102" t="s">
        <v>15</v>
      </c>
      <c r="F364" s="102" t="s">
        <v>10250</v>
      </c>
      <c r="G364" s="109" t="s">
        <v>16</v>
      </c>
      <c r="H364" s="32">
        <v>200</v>
      </c>
      <c r="I364" s="32">
        <v>200</v>
      </c>
      <c r="J364" s="109"/>
      <c r="K364" s="160"/>
      <c r="L364" s="105">
        <v>20201118</v>
      </c>
    </row>
    <row r="365" s="146" customFormat="1" ht="15.2" customHeight="1" spans="1:12">
      <c r="A365" s="109">
        <v>363</v>
      </c>
      <c r="B365" s="158" t="s">
        <v>11090</v>
      </c>
      <c r="C365" s="158" t="s">
        <v>4404</v>
      </c>
      <c r="D365" s="158" t="s">
        <v>11781</v>
      </c>
      <c r="E365" s="102" t="s">
        <v>15</v>
      </c>
      <c r="F365" s="102" t="s">
        <v>10250</v>
      </c>
      <c r="G365" s="109" t="s">
        <v>16</v>
      </c>
      <c r="H365" s="32">
        <v>200</v>
      </c>
      <c r="I365" s="32">
        <v>200</v>
      </c>
      <c r="J365" s="109"/>
      <c r="K365" s="160"/>
      <c r="L365" s="105">
        <v>20201118</v>
      </c>
    </row>
    <row r="366" s="146" customFormat="1" ht="15.2" customHeight="1" spans="1:12">
      <c r="A366" s="109">
        <v>364</v>
      </c>
      <c r="B366" s="158" t="s">
        <v>11090</v>
      </c>
      <c r="C366" s="158" t="s">
        <v>9635</v>
      </c>
      <c r="D366" s="158" t="s">
        <v>11782</v>
      </c>
      <c r="E366" s="102" t="s">
        <v>15</v>
      </c>
      <c r="F366" s="102" t="s">
        <v>10250</v>
      </c>
      <c r="G366" s="109" t="s">
        <v>16</v>
      </c>
      <c r="H366" s="32">
        <v>200</v>
      </c>
      <c r="I366" s="32">
        <v>200</v>
      </c>
      <c r="J366" s="109"/>
      <c r="K366" s="160"/>
      <c r="L366" s="105">
        <v>20201118</v>
      </c>
    </row>
    <row r="367" s="146" customFormat="1" ht="15.2" customHeight="1" spans="1:12">
      <c r="A367" s="109">
        <v>365</v>
      </c>
      <c r="B367" s="158" t="s">
        <v>11090</v>
      </c>
      <c r="C367" s="158" t="s">
        <v>5129</v>
      </c>
      <c r="D367" s="158" t="s">
        <v>11783</v>
      </c>
      <c r="E367" s="102" t="s">
        <v>15</v>
      </c>
      <c r="F367" s="102" t="s">
        <v>10250</v>
      </c>
      <c r="G367" s="109" t="s">
        <v>16</v>
      </c>
      <c r="H367" s="32">
        <v>200</v>
      </c>
      <c r="I367" s="32">
        <v>200</v>
      </c>
      <c r="J367" s="109"/>
      <c r="K367" s="160"/>
      <c r="L367" s="105">
        <v>20201118</v>
      </c>
    </row>
    <row r="368" s="146" customFormat="1" ht="15.2" customHeight="1" spans="1:12">
      <c r="A368" s="109">
        <v>366</v>
      </c>
      <c r="B368" s="158" t="s">
        <v>11090</v>
      </c>
      <c r="C368" s="158" t="s">
        <v>11784</v>
      </c>
      <c r="D368" s="158" t="s">
        <v>11785</v>
      </c>
      <c r="E368" s="102" t="s">
        <v>15</v>
      </c>
      <c r="F368" s="102" t="s">
        <v>10250</v>
      </c>
      <c r="G368" s="109" t="s">
        <v>16</v>
      </c>
      <c r="H368" s="32">
        <v>200</v>
      </c>
      <c r="I368" s="32">
        <v>200</v>
      </c>
      <c r="J368" s="109"/>
      <c r="K368" s="160"/>
      <c r="L368" s="105">
        <v>20201118</v>
      </c>
    </row>
    <row r="369" s="146" customFormat="1" ht="15.2" customHeight="1" spans="1:12">
      <c r="A369" s="109">
        <v>367</v>
      </c>
      <c r="B369" s="158" t="s">
        <v>11090</v>
      </c>
      <c r="C369" s="158" t="s">
        <v>11786</v>
      </c>
      <c r="D369" s="158" t="s">
        <v>11787</v>
      </c>
      <c r="E369" s="102" t="s">
        <v>15</v>
      </c>
      <c r="F369" s="102" t="s">
        <v>10250</v>
      </c>
      <c r="G369" s="109" t="s">
        <v>16</v>
      </c>
      <c r="H369" s="32">
        <v>200</v>
      </c>
      <c r="I369" s="32">
        <v>200</v>
      </c>
      <c r="J369" s="109"/>
      <c r="K369" s="160"/>
      <c r="L369" s="105">
        <v>20201118</v>
      </c>
    </row>
    <row r="370" s="146" customFormat="1" ht="15.2" customHeight="1" spans="1:12">
      <c r="A370" s="109">
        <v>368</v>
      </c>
      <c r="B370" s="158" t="s">
        <v>11090</v>
      </c>
      <c r="C370" s="158" t="s">
        <v>11788</v>
      </c>
      <c r="D370" s="158" t="s">
        <v>11789</v>
      </c>
      <c r="E370" s="102" t="s">
        <v>15</v>
      </c>
      <c r="F370" s="102" t="s">
        <v>10250</v>
      </c>
      <c r="G370" s="109" t="s">
        <v>16</v>
      </c>
      <c r="H370" s="32">
        <v>200</v>
      </c>
      <c r="I370" s="32">
        <v>200</v>
      </c>
      <c r="J370" s="109"/>
      <c r="K370" s="160"/>
      <c r="L370" s="105">
        <v>20201118</v>
      </c>
    </row>
    <row r="371" s="146" customFormat="1" ht="15.2" customHeight="1" spans="1:12">
      <c r="A371" s="109">
        <v>369</v>
      </c>
      <c r="B371" s="158" t="s">
        <v>11090</v>
      </c>
      <c r="C371" s="158" t="s">
        <v>11790</v>
      </c>
      <c r="D371" s="158" t="s">
        <v>11791</v>
      </c>
      <c r="E371" s="102" t="s">
        <v>15</v>
      </c>
      <c r="F371" s="102" t="s">
        <v>10250</v>
      </c>
      <c r="G371" s="109" t="s">
        <v>16</v>
      </c>
      <c r="H371" s="32">
        <v>200</v>
      </c>
      <c r="I371" s="32">
        <v>200</v>
      </c>
      <c r="J371" s="109"/>
      <c r="K371" s="160"/>
      <c r="L371" s="105">
        <v>20201118</v>
      </c>
    </row>
    <row r="372" s="146" customFormat="1" ht="15.2" customHeight="1" spans="1:12">
      <c r="A372" s="109">
        <v>370</v>
      </c>
      <c r="B372" s="158" t="s">
        <v>11090</v>
      </c>
      <c r="C372" s="158" t="s">
        <v>11792</v>
      </c>
      <c r="D372" s="158" t="s">
        <v>11793</v>
      </c>
      <c r="E372" s="102" t="s">
        <v>15</v>
      </c>
      <c r="F372" s="102" t="s">
        <v>10250</v>
      </c>
      <c r="G372" s="109" t="s">
        <v>16</v>
      </c>
      <c r="H372" s="32">
        <v>200</v>
      </c>
      <c r="I372" s="32">
        <v>200</v>
      </c>
      <c r="J372" s="109"/>
      <c r="K372" s="160"/>
      <c r="L372" s="105">
        <v>20201118</v>
      </c>
    </row>
    <row r="373" s="146" customFormat="1" ht="15.2" customHeight="1" spans="1:12">
      <c r="A373" s="109">
        <v>371</v>
      </c>
      <c r="B373" s="158" t="s">
        <v>11090</v>
      </c>
      <c r="C373" s="158" t="s">
        <v>11794</v>
      </c>
      <c r="D373" s="158" t="s">
        <v>11795</v>
      </c>
      <c r="E373" s="102" t="s">
        <v>15</v>
      </c>
      <c r="F373" s="102" t="s">
        <v>10250</v>
      </c>
      <c r="G373" s="109" t="s">
        <v>16</v>
      </c>
      <c r="H373" s="32">
        <v>200</v>
      </c>
      <c r="I373" s="32">
        <v>200</v>
      </c>
      <c r="J373" s="109"/>
      <c r="K373" s="160"/>
      <c r="L373" s="105">
        <v>20201118</v>
      </c>
    </row>
    <row r="374" s="146" customFormat="1" ht="15.2" customHeight="1" spans="1:12">
      <c r="A374" s="109">
        <v>372</v>
      </c>
      <c r="B374" s="158" t="s">
        <v>11090</v>
      </c>
      <c r="C374" s="158" t="s">
        <v>8324</v>
      </c>
      <c r="D374" s="158" t="s">
        <v>11796</v>
      </c>
      <c r="E374" s="102" t="s">
        <v>15</v>
      </c>
      <c r="F374" s="102" t="s">
        <v>10250</v>
      </c>
      <c r="G374" s="109" t="s">
        <v>16</v>
      </c>
      <c r="H374" s="32">
        <v>200</v>
      </c>
      <c r="I374" s="32">
        <v>200</v>
      </c>
      <c r="J374" s="109" t="s">
        <v>6097</v>
      </c>
      <c r="K374" s="160"/>
      <c r="L374" s="105">
        <v>20201118</v>
      </c>
    </row>
    <row r="375" s="146" customFormat="1" ht="15.2" customHeight="1" spans="1:12">
      <c r="A375" s="109">
        <v>373</v>
      </c>
      <c r="B375" s="158" t="s">
        <v>11090</v>
      </c>
      <c r="C375" s="158" t="s">
        <v>11797</v>
      </c>
      <c r="D375" s="158" t="s">
        <v>11798</v>
      </c>
      <c r="E375" s="102" t="s">
        <v>15</v>
      </c>
      <c r="F375" s="102" t="s">
        <v>10250</v>
      </c>
      <c r="G375" s="109" t="s">
        <v>16</v>
      </c>
      <c r="H375" s="32">
        <v>500</v>
      </c>
      <c r="I375" s="32">
        <v>500</v>
      </c>
      <c r="J375" s="109"/>
      <c r="K375" s="160"/>
      <c r="L375" s="105">
        <v>20201118</v>
      </c>
    </row>
    <row r="376" s="146" customFormat="1" ht="15.2" customHeight="1" spans="1:12">
      <c r="A376" s="109">
        <v>374</v>
      </c>
      <c r="B376" s="158" t="s">
        <v>11090</v>
      </c>
      <c r="C376" s="158" t="s">
        <v>11799</v>
      </c>
      <c r="D376" s="158" t="s">
        <v>11800</v>
      </c>
      <c r="E376" s="102" t="s">
        <v>15</v>
      </c>
      <c r="F376" s="102" t="s">
        <v>10250</v>
      </c>
      <c r="G376" s="109" t="s">
        <v>16</v>
      </c>
      <c r="H376" s="32">
        <v>200</v>
      </c>
      <c r="I376" s="32">
        <v>200</v>
      </c>
      <c r="J376" s="109"/>
      <c r="K376" s="160"/>
      <c r="L376" s="105">
        <v>20201118</v>
      </c>
    </row>
    <row r="377" s="146" customFormat="1" ht="15.2" customHeight="1" spans="1:12">
      <c r="A377" s="109">
        <v>375</v>
      </c>
      <c r="B377" s="158" t="s">
        <v>11090</v>
      </c>
      <c r="C377" s="158" t="s">
        <v>11801</v>
      </c>
      <c r="D377" s="158" t="s">
        <v>11802</v>
      </c>
      <c r="E377" s="102" t="s">
        <v>15</v>
      </c>
      <c r="F377" s="102" t="s">
        <v>10250</v>
      </c>
      <c r="G377" s="109" t="s">
        <v>16</v>
      </c>
      <c r="H377" s="32">
        <v>200</v>
      </c>
      <c r="I377" s="32">
        <v>200</v>
      </c>
      <c r="J377" s="109" t="s">
        <v>108</v>
      </c>
      <c r="K377" s="160"/>
      <c r="L377" s="105">
        <v>20201118</v>
      </c>
    </row>
    <row r="378" s="146" customFormat="1" ht="15.2" customHeight="1" spans="1:12">
      <c r="A378" s="109">
        <v>376</v>
      </c>
      <c r="B378" s="158" t="s">
        <v>11090</v>
      </c>
      <c r="C378" s="158" t="s">
        <v>11803</v>
      </c>
      <c r="D378" s="158" t="s">
        <v>11804</v>
      </c>
      <c r="E378" s="102" t="s">
        <v>15</v>
      </c>
      <c r="F378" s="102" t="s">
        <v>10250</v>
      </c>
      <c r="G378" s="109" t="s">
        <v>16</v>
      </c>
      <c r="H378" s="32">
        <v>200</v>
      </c>
      <c r="I378" s="32">
        <v>200</v>
      </c>
      <c r="J378" s="109"/>
      <c r="K378" s="160"/>
      <c r="L378" s="105">
        <v>20201118</v>
      </c>
    </row>
    <row r="379" s="146" customFormat="1" ht="15.2" customHeight="1" spans="1:12">
      <c r="A379" s="109">
        <v>377</v>
      </c>
      <c r="B379" s="158" t="s">
        <v>11090</v>
      </c>
      <c r="C379" s="158" t="s">
        <v>11805</v>
      </c>
      <c r="D379" s="158" t="s">
        <v>11806</v>
      </c>
      <c r="E379" s="102" t="s">
        <v>15</v>
      </c>
      <c r="F379" s="102" t="s">
        <v>10250</v>
      </c>
      <c r="G379" s="109" t="s">
        <v>16</v>
      </c>
      <c r="H379" s="32">
        <v>200</v>
      </c>
      <c r="I379" s="32">
        <v>200</v>
      </c>
      <c r="J379" s="109"/>
      <c r="K379" s="160"/>
      <c r="L379" s="105">
        <v>20201118</v>
      </c>
    </row>
    <row r="380" s="146" customFormat="1" ht="15.2" customHeight="1" spans="1:12">
      <c r="A380" s="109">
        <v>378</v>
      </c>
      <c r="B380" s="158" t="s">
        <v>11090</v>
      </c>
      <c r="C380" s="158" t="s">
        <v>11807</v>
      </c>
      <c r="D380" s="158" t="s">
        <v>11808</v>
      </c>
      <c r="E380" s="102" t="s">
        <v>15</v>
      </c>
      <c r="F380" s="102" t="s">
        <v>10250</v>
      </c>
      <c r="G380" s="109" t="s">
        <v>16</v>
      </c>
      <c r="H380" s="32">
        <v>200</v>
      </c>
      <c r="I380" s="32">
        <v>200</v>
      </c>
      <c r="J380" s="109"/>
      <c r="K380" s="160"/>
      <c r="L380" s="105">
        <v>20201118</v>
      </c>
    </row>
    <row r="381" s="146" customFormat="1" ht="15.2" customHeight="1" spans="1:12">
      <c r="A381" s="109">
        <v>379</v>
      </c>
      <c r="B381" s="158" t="s">
        <v>11090</v>
      </c>
      <c r="C381" s="158" t="s">
        <v>11809</v>
      </c>
      <c r="D381" s="158" t="s">
        <v>11810</v>
      </c>
      <c r="E381" s="102" t="s">
        <v>15</v>
      </c>
      <c r="F381" s="102" t="s">
        <v>10250</v>
      </c>
      <c r="G381" s="109" t="s">
        <v>16</v>
      </c>
      <c r="H381" s="32">
        <v>200</v>
      </c>
      <c r="I381" s="32">
        <v>200</v>
      </c>
      <c r="J381" s="109"/>
      <c r="K381" s="160"/>
      <c r="L381" s="105">
        <v>20201118</v>
      </c>
    </row>
    <row r="382" s="146" customFormat="1" ht="15.2" customHeight="1" spans="1:12">
      <c r="A382" s="109">
        <v>380</v>
      </c>
      <c r="B382" s="158" t="s">
        <v>11090</v>
      </c>
      <c r="C382" s="158" t="s">
        <v>11811</v>
      </c>
      <c r="D382" s="158" t="s">
        <v>11812</v>
      </c>
      <c r="E382" s="102" t="s">
        <v>15</v>
      </c>
      <c r="F382" s="102" t="s">
        <v>10250</v>
      </c>
      <c r="G382" s="109" t="s">
        <v>16</v>
      </c>
      <c r="H382" s="32">
        <v>200</v>
      </c>
      <c r="I382" s="32">
        <v>200</v>
      </c>
      <c r="J382" s="109"/>
      <c r="K382" s="160"/>
      <c r="L382" s="105">
        <v>20201118</v>
      </c>
    </row>
    <row r="383" s="146" customFormat="1" ht="15.2" customHeight="1" spans="1:12">
      <c r="A383" s="109">
        <v>381</v>
      </c>
      <c r="B383" s="158" t="s">
        <v>11090</v>
      </c>
      <c r="C383" s="158" t="s">
        <v>11813</v>
      </c>
      <c r="D383" s="158" t="s">
        <v>11814</v>
      </c>
      <c r="E383" s="102" t="s">
        <v>15</v>
      </c>
      <c r="F383" s="102" t="s">
        <v>10250</v>
      </c>
      <c r="G383" s="109" t="s">
        <v>16</v>
      </c>
      <c r="H383" s="32">
        <v>200</v>
      </c>
      <c r="I383" s="32">
        <v>200</v>
      </c>
      <c r="J383" s="109"/>
      <c r="K383" s="160"/>
      <c r="L383" s="105">
        <v>20201118</v>
      </c>
    </row>
    <row r="384" s="146" customFormat="1" ht="15.2" customHeight="1" spans="1:12">
      <c r="A384" s="109">
        <v>382</v>
      </c>
      <c r="B384" s="158" t="s">
        <v>11090</v>
      </c>
      <c r="C384" s="158" t="s">
        <v>5762</v>
      </c>
      <c r="D384" s="158" t="s">
        <v>11815</v>
      </c>
      <c r="E384" s="102" t="s">
        <v>15</v>
      </c>
      <c r="F384" s="102" t="s">
        <v>10250</v>
      </c>
      <c r="G384" s="109" t="s">
        <v>16</v>
      </c>
      <c r="H384" s="32">
        <v>200</v>
      </c>
      <c r="I384" s="32">
        <v>200</v>
      </c>
      <c r="J384" s="109"/>
      <c r="K384" s="160"/>
      <c r="L384" s="105">
        <v>20201118</v>
      </c>
    </row>
    <row r="385" s="146" customFormat="1" ht="15.2" customHeight="1" spans="1:12">
      <c r="A385" s="109">
        <v>383</v>
      </c>
      <c r="B385" s="158" t="s">
        <v>11090</v>
      </c>
      <c r="C385" s="158" t="s">
        <v>10822</v>
      </c>
      <c r="D385" s="158" t="s">
        <v>11816</v>
      </c>
      <c r="E385" s="102" t="s">
        <v>15</v>
      </c>
      <c r="F385" s="102" t="s">
        <v>10250</v>
      </c>
      <c r="G385" s="109" t="s">
        <v>16</v>
      </c>
      <c r="H385" s="161">
        <v>500</v>
      </c>
      <c r="I385" s="161">
        <v>500</v>
      </c>
      <c r="J385" s="109"/>
      <c r="K385" s="160"/>
      <c r="L385" s="105">
        <v>20201118</v>
      </c>
    </row>
    <row r="386" s="146" customFormat="1" ht="15.2" customHeight="1" spans="1:12">
      <c r="A386" s="109">
        <v>384</v>
      </c>
      <c r="B386" s="158" t="s">
        <v>11090</v>
      </c>
      <c r="C386" s="158" t="s">
        <v>7880</v>
      </c>
      <c r="D386" s="158" t="s">
        <v>11817</v>
      </c>
      <c r="E386" s="102" t="s">
        <v>15</v>
      </c>
      <c r="F386" s="102" t="s">
        <v>10250</v>
      </c>
      <c r="G386" s="109" t="s">
        <v>16</v>
      </c>
      <c r="H386" s="32">
        <v>200</v>
      </c>
      <c r="I386" s="32">
        <v>200</v>
      </c>
      <c r="J386" s="109"/>
      <c r="K386" s="160"/>
      <c r="L386" s="105">
        <v>20201118</v>
      </c>
    </row>
    <row r="387" s="146" customFormat="1" ht="15.2" customHeight="1" spans="1:12">
      <c r="A387" s="109">
        <v>385</v>
      </c>
      <c r="B387" s="158" t="s">
        <v>11090</v>
      </c>
      <c r="C387" s="158" t="s">
        <v>11818</v>
      </c>
      <c r="D387" s="158" t="s">
        <v>11819</v>
      </c>
      <c r="E387" s="102" t="s">
        <v>15</v>
      </c>
      <c r="F387" s="102" t="s">
        <v>10250</v>
      </c>
      <c r="G387" s="109" t="s">
        <v>16</v>
      </c>
      <c r="H387" s="32">
        <v>200</v>
      </c>
      <c r="I387" s="32">
        <v>200</v>
      </c>
      <c r="J387" s="109"/>
      <c r="K387" s="160"/>
      <c r="L387" s="105">
        <v>20201118</v>
      </c>
    </row>
    <row r="388" s="146" customFormat="1" ht="15.2" customHeight="1" spans="1:12">
      <c r="A388" s="109">
        <v>386</v>
      </c>
      <c r="B388" s="158" t="s">
        <v>11090</v>
      </c>
      <c r="C388" s="158" t="s">
        <v>11820</v>
      </c>
      <c r="D388" s="158" t="s">
        <v>11821</v>
      </c>
      <c r="E388" s="102" t="s">
        <v>15</v>
      </c>
      <c r="F388" s="102" t="s">
        <v>10250</v>
      </c>
      <c r="G388" s="109" t="s">
        <v>16</v>
      </c>
      <c r="H388" s="32">
        <v>500</v>
      </c>
      <c r="I388" s="32">
        <v>500</v>
      </c>
      <c r="J388" s="109"/>
      <c r="K388" s="160"/>
      <c r="L388" s="105">
        <v>20201118</v>
      </c>
    </row>
    <row r="389" s="146" customFormat="1" ht="15.2" customHeight="1" spans="1:12">
      <c r="A389" s="109">
        <v>387</v>
      </c>
      <c r="B389" s="158" t="s">
        <v>11090</v>
      </c>
      <c r="C389" s="158" t="s">
        <v>5998</v>
      </c>
      <c r="D389" s="158" t="s">
        <v>11822</v>
      </c>
      <c r="E389" s="102" t="s">
        <v>15</v>
      </c>
      <c r="F389" s="102" t="s">
        <v>10250</v>
      </c>
      <c r="G389" s="109" t="s">
        <v>16</v>
      </c>
      <c r="H389" s="32">
        <v>200</v>
      </c>
      <c r="I389" s="32">
        <v>200</v>
      </c>
      <c r="J389" s="109"/>
      <c r="K389" s="160"/>
      <c r="L389" s="105">
        <v>20201118</v>
      </c>
    </row>
    <row r="390" s="146" customFormat="1" ht="15.2" customHeight="1" spans="1:12">
      <c r="A390" s="109">
        <v>388</v>
      </c>
      <c r="B390" s="158" t="s">
        <v>11090</v>
      </c>
      <c r="C390" s="158" t="s">
        <v>11823</v>
      </c>
      <c r="D390" s="158" t="s">
        <v>11824</v>
      </c>
      <c r="E390" s="102" t="s">
        <v>15</v>
      </c>
      <c r="F390" s="102" t="s">
        <v>10250</v>
      </c>
      <c r="G390" s="109" t="s">
        <v>16</v>
      </c>
      <c r="H390" s="32">
        <v>200</v>
      </c>
      <c r="I390" s="32">
        <v>200</v>
      </c>
      <c r="J390" s="109"/>
      <c r="K390" s="160"/>
      <c r="L390" s="105">
        <v>20201118</v>
      </c>
    </row>
    <row r="391" s="146" customFormat="1" ht="15.2" customHeight="1" spans="1:12">
      <c r="A391" s="109">
        <v>389</v>
      </c>
      <c r="B391" s="158" t="s">
        <v>11090</v>
      </c>
      <c r="C391" s="158" t="s">
        <v>2611</v>
      </c>
      <c r="D391" s="158" t="s">
        <v>11825</v>
      </c>
      <c r="E391" s="102" t="s">
        <v>15</v>
      </c>
      <c r="F391" s="102" t="s">
        <v>10250</v>
      </c>
      <c r="G391" s="109" t="s">
        <v>16</v>
      </c>
      <c r="H391" s="32">
        <v>200</v>
      </c>
      <c r="I391" s="32">
        <v>200</v>
      </c>
      <c r="J391" s="109"/>
      <c r="K391" s="160"/>
      <c r="L391" s="105">
        <v>20201118</v>
      </c>
    </row>
    <row r="392" s="146" customFormat="1" ht="15.2" customHeight="1" spans="1:12">
      <c r="A392" s="109">
        <v>390</v>
      </c>
      <c r="B392" s="158" t="s">
        <v>11090</v>
      </c>
      <c r="C392" s="158" t="s">
        <v>11826</v>
      </c>
      <c r="D392" s="158" t="s">
        <v>11827</v>
      </c>
      <c r="E392" s="102" t="s">
        <v>15</v>
      </c>
      <c r="F392" s="102" t="s">
        <v>10250</v>
      </c>
      <c r="G392" s="109" t="s">
        <v>16</v>
      </c>
      <c r="H392" s="32">
        <v>200</v>
      </c>
      <c r="I392" s="32">
        <v>200</v>
      </c>
      <c r="J392" s="109"/>
      <c r="K392" s="160"/>
      <c r="L392" s="105">
        <v>20201118</v>
      </c>
    </row>
    <row r="393" s="146" customFormat="1" ht="15.2" customHeight="1" spans="1:12">
      <c r="A393" s="109">
        <v>391</v>
      </c>
      <c r="B393" s="158" t="s">
        <v>11090</v>
      </c>
      <c r="C393" s="158" t="s">
        <v>11828</v>
      </c>
      <c r="D393" s="158" t="s">
        <v>11829</v>
      </c>
      <c r="E393" s="102" t="s">
        <v>15</v>
      </c>
      <c r="F393" s="102" t="s">
        <v>10250</v>
      </c>
      <c r="G393" s="109" t="s">
        <v>16</v>
      </c>
      <c r="H393" s="32">
        <v>200</v>
      </c>
      <c r="I393" s="32">
        <v>200</v>
      </c>
      <c r="J393" s="109"/>
      <c r="K393" s="160"/>
      <c r="L393" s="105">
        <v>20201118</v>
      </c>
    </row>
    <row r="394" s="146" customFormat="1" ht="15.2" customHeight="1" spans="1:12">
      <c r="A394" s="109">
        <v>392</v>
      </c>
      <c r="B394" s="158" t="s">
        <v>11090</v>
      </c>
      <c r="C394" s="158" t="s">
        <v>11830</v>
      </c>
      <c r="D394" s="158" t="s">
        <v>11831</v>
      </c>
      <c r="E394" s="102" t="s">
        <v>15</v>
      </c>
      <c r="F394" s="102" t="s">
        <v>10250</v>
      </c>
      <c r="G394" s="109" t="s">
        <v>16</v>
      </c>
      <c r="H394" s="32">
        <v>200</v>
      </c>
      <c r="I394" s="32">
        <v>200</v>
      </c>
      <c r="J394" s="109"/>
      <c r="K394" s="160"/>
      <c r="L394" s="105">
        <v>20201118</v>
      </c>
    </row>
    <row r="395" s="146" customFormat="1" ht="15.2" customHeight="1" spans="1:12">
      <c r="A395" s="109">
        <v>393</v>
      </c>
      <c r="B395" s="158" t="s">
        <v>11090</v>
      </c>
      <c r="C395" s="158" t="s">
        <v>11832</v>
      </c>
      <c r="D395" s="158" t="s">
        <v>11833</v>
      </c>
      <c r="E395" s="102" t="s">
        <v>15</v>
      </c>
      <c r="F395" s="102" t="s">
        <v>10250</v>
      </c>
      <c r="G395" s="109" t="s">
        <v>16</v>
      </c>
      <c r="H395" s="32">
        <v>200</v>
      </c>
      <c r="I395" s="32">
        <v>200</v>
      </c>
      <c r="J395" s="109"/>
      <c r="K395" s="160"/>
      <c r="L395" s="105">
        <v>20201118</v>
      </c>
    </row>
    <row r="396" s="146" customFormat="1" ht="15.2" customHeight="1" spans="1:12">
      <c r="A396" s="109">
        <v>394</v>
      </c>
      <c r="B396" s="158" t="s">
        <v>11090</v>
      </c>
      <c r="C396" s="158" t="s">
        <v>11834</v>
      </c>
      <c r="D396" s="158" t="s">
        <v>11835</v>
      </c>
      <c r="E396" s="102" t="s">
        <v>15</v>
      </c>
      <c r="F396" s="102" t="s">
        <v>10250</v>
      </c>
      <c r="G396" s="109" t="s">
        <v>16</v>
      </c>
      <c r="H396" s="32">
        <v>200</v>
      </c>
      <c r="I396" s="32">
        <v>200</v>
      </c>
      <c r="J396" s="109"/>
      <c r="K396" s="160"/>
      <c r="L396" s="105">
        <v>20201118</v>
      </c>
    </row>
    <row r="397" s="146" customFormat="1" ht="15.2" customHeight="1" spans="1:12">
      <c r="A397" s="109">
        <v>395</v>
      </c>
      <c r="B397" s="158" t="s">
        <v>11090</v>
      </c>
      <c r="C397" s="158" t="s">
        <v>11836</v>
      </c>
      <c r="D397" s="158" t="s">
        <v>11837</v>
      </c>
      <c r="E397" s="102" t="s">
        <v>15</v>
      </c>
      <c r="F397" s="102" t="s">
        <v>10250</v>
      </c>
      <c r="G397" s="109" t="s">
        <v>16</v>
      </c>
      <c r="H397" s="32">
        <v>200</v>
      </c>
      <c r="I397" s="32">
        <v>200</v>
      </c>
      <c r="J397" s="109"/>
      <c r="K397" s="160"/>
      <c r="L397" s="105">
        <v>20201118</v>
      </c>
    </row>
    <row r="398" s="146" customFormat="1" ht="15.2" customHeight="1" spans="1:12">
      <c r="A398" s="109">
        <v>396</v>
      </c>
      <c r="B398" s="158" t="s">
        <v>11090</v>
      </c>
      <c r="C398" s="158" t="s">
        <v>11838</v>
      </c>
      <c r="D398" s="158" t="s">
        <v>11839</v>
      </c>
      <c r="E398" s="102" t="s">
        <v>15</v>
      </c>
      <c r="F398" s="102" t="s">
        <v>10250</v>
      </c>
      <c r="G398" s="109" t="s">
        <v>16</v>
      </c>
      <c r="H398" s="32">
        <v>200</v>
      </c>
      <c r="I398" s="32">
        <v>200</v>
      </c>
      <c r="J398" s="109"/>
      <c r="K398" s="160"/>
      <c r="L398" s="105">
        <v>20201118</v>
      </c>
    </row>
    <row r="399" s="146" customFormat="1" ht="15.2" customHeight="1" spans="1:12">
      <c r="A399" s="109">
        <v>397</v>
      </c>
      <c r="B399" s="158" t="s">
        <v>11090</v>
      </c>
      <c r="C399" s="158" t="s">
        <v>11840</v>
      </c>
      <c r="D399" s="158" t="s">
        <v>11841</v>
      </c>
      <c r="E399" s="102" t="s">
        <v>15</v>
      </c>
      <c r="F399" s="102" t="s">
        <v>10250</v>
      </c>
      <c r="G399" s="109" t="s">
        <v>16</v>
      </c>
      <c r="H399" s="32">
        <v>200</v>
      </c>
      <c r="I399" s="32">
        <v>200</v>
      </c>
      <c r="J399" s="109"/>
      <c r="K399" s="160"/>
      <c r="L399" s="105">
        <v>20201118</v>
      </c>
    </row>
    <row r="400" s="146" customFormat="1" ht="15.2" customHeight="1" spans="1:12">
      <c r="A400" s="109">
        <v>398</v>
      </c>
      <c r="B400" s="158" t="s">
        <v>11090</v>
      </c>
      <c r="C400" s="158" t="s">
        <v>11842</v>
      </c>
      <c r="D400" s="158" t="s">
        <v>11843</v>
      </c>
      <c r="E400" s="102" t="s">
        <v>15</v>
      </c>
      <c r="F400" s="102" t="s">
        <v>10250</v>
      </c>
      <c r="G400" s="109" t="s">
        <v>16</v>
      </c>
      <c r="H400" s="32">
        <v>200</v>
      </c>
      <c r="I400" s="32">
        <v>200</v>
      </c>
      <c r="J400" s="109"/>
      <c r="K400" s="160"/>
      <c r="L400" s="105">
        <v>20201118</v>
      </c>
    </row>
    <row r="401" s="146" customFormat="1" ht="15.2" customHeight="1" spans="1:12">
      <c r="A401" s="109">
        <v>399</v>
      </c>
      <c r="B401" s="158" t="s">
        <v>11090</v>
      </c>
      <c r="C401" s="158" t="s">
        <v>11844</v>
      </c>
      <c r="D401" s="158" t="s">
        <v>11845</v>
      </c>
      <c r="E401" s="102" t="s">
        <v>15</v>
      </c>
      <c r="F401" s="102" t="s">
        <v>10250</v>
      </c>
      <c r="G401" s="109" t="s">
        <v>16</v>
      </c>
      <c r="H401" s="32">
        <v>200</v>
      </c>
      <c r="I401" s="32">
        <v>200</v>
      </c>
      <c r="J401" s="109"/>
      <c r="K401" s="160"/>
      <c r="L401" s="105">
        <v>20201118</v>
      </c>
    </row>
    <row r="402" s="146" customFormat="1" ht="15.2" customHeight="1" spans="1:12">
      <c r="A402" s="109">
        <v>400</v>
      </c>
      <c r="B402" s="158" t="s">
        <v>11090</v>
      </c>
      <c r="C402" s="158" t="s">
        <v>11846</v>
      </c>
      <c r="D402" s="158" t="s">
        <v>11847</v>
      </c>
      <c r="E402" s="102" t="s">
        <v>15</v>
      </c>
      <c r="F402" s="102" t="s">
        <v>10250</v>
      </c>
      <c r="G402" s="109" t="s">
        <v>16</v>
      </c>
      <c r="H402" s="32">
        <v>500</v>
      </c>
      <c r="I402" s="32">
        <v>500</v>
      </c>
      <c r="J402" s="109"/>
      <c r="K402" s="160"/>
      <c r="L402" s="105">
        <v>20201118</v>
      </c>
    </row>
    <row r="403" s="146" customFormat="1" ht="15.2" customHeight="1" spans="1:12">
      <c r="A403" s="109">
        <v>401</v>
      </c>
      <c r="B403" s="158" t="s">
        <v>11090</v>
      </c>
      <c r="C403" s="158" t="s">
        <v>11848</v>
      </c>
      <c r="D403" s="158" t="s">
        <v>11849</v>
      </c>
      <c r="E403" s="102" t="s">
        <v>15</v>
      </c>
      <c r="F403" s="102" t="s">
        <v>10250</v>
      </c>
      <c r="G403" s="109" t="s">
        <v>16</v>
      </c>
      <c r="H403" s="161">
        <v>200</v>
      </c>
      <c r="I403" s="161">
        <v>200</v>
      </c>
      <c r="J403" s="109"/>
      <c r="K403" s="160"/>
      <c r="L403" s="105">
        <v>20201118</v>
      </c>
    </row>
    <row r="404" s="146" customFormat="1" ht="15.2" customHeight="1" spans="1:12">
      <c r="A404" s="109">
        <v>402</v>
      </c>
      <c r="B404" s="158" t="s">
        <v>11090</v>
      </c>
      <c r="C404" s="158" t="s">
        <v>11850</v>
      </c>
      <c r="D404" s="158" t="s">
        <v>11851</v>
      </c>
      <c r="E404" s="102" t="s">
        <v>15</v>
      </c>
      <c r="F404" s="102" t="s">
        <v>10250</v>
      </c>
      <c r="G404" s="109" t="s">
        <v>16</v>
      </c>
      <c r="H404" s="161">
        <v>200</v>
      </c>
      <c r="I404" s="161">
        <v>200</v>
      </c>
      <c r="J404" s="109" t="s">
        <v>6097</v>
      </c>
      <c r="K404" s="160"/>
      <c r="L404" s="105">
        <v>20201118</v>
      </c>
    </row>
    <row r="405" s="146" customFormat="1" ht="15.2" customHeight="1" spans="1:12">
      <c r="A405" s="109">
        <v>403</v>
      </c>
      <c r="B405" s="158" t="s">
        <v>11090</v>
      </c>
      <c r="C405" s="158" t="s">
        <v>11852</v>
      </c>
      <c r="D405" s="158" t="s">
        <v>11853</v>
      </c>
      <c r="E405" s="102" t="s">
        <v>15</v>
      </c>
      <c r="F405" s="102" t="s">
        <v>10250</v>
      </c>
      <c r="G405" s="109" t="s">
        <v>16</v>
      </c>
      <c r="H405" s="161">
        <v>200</v>
      </c>
      <c r="I405" s="161">
        <v>200</v>
      </c>
      <c r="J405" s="109"/>
      <c r="K405" s="160"/>
      <c r="L405" s="105">
        <v>20201118</v>
      </c>
    </row>
    <row r="406" s="146" customFormat="1" ht="15.2" customHeight="1" spans="1:12">
      <c r="A406" s="109">
        <v>404</v>
      </c>
      <c r="B406" s="158" t="s">
        <v>11090</v>
      </c>
      <c r="C406" s="158" t="s">
        <v>9051</v>
      </c>
      <c r="D406" s="158" t="s">
        <v>11854</v>
      </c>
      <c r="E406" s="102" t="s">
        <v>15</v>
      </c>
      <c r="F406" s="102" t="s">
        <v>10250</v>
      </c>
      <c r="G406" s="109" t="s">
        <v>16</v>
      </c>
      <c r="H406" s="161">
        <v>200</v>
      </c>
      <c r="I406" s="161">
        <v>200</v>
      </c>
      <c r="J406" s="109"/>
      <c r="K406" s="160"/>
      <c r="L406" s="105">
        <v>20201118</v>
      </c>
    </row>
    <row r="407" s="146" customFormat="1" ht="15.2" customHeight="1" spans="1:12">
      <c r="A407" s="109">
        <v>405</v>
      </c>
      <c r="B407" s="158" t="s">
        <v>11090</v>
      </c>
      <c r="C407" s="158" t="s">
        <v>11855</v>
      </c>
      <c r="D407" s="158" t="s">
        <v>11856</v>
      </c>
      <c r="E407" s="102" t="s">
        <v>15</v>
      </c>
      <c r="F407" s="102" t="s">
        <v>10250</v>
      </c>
      <c r="G407" s="109" t="s">
        <v>16</v>
      </c>
      <c r="H407" s="161">
        <v>200</v>
      </c>
      <c r="I407" s="161">
        <v>200</v>
      </c>
      <c r="J407" s="109"/>
      <c r="K407" s="160"/>
      <c r="L407" s="105">
        <v>20201118</v>
      </c>
    </row>
    <row r="408" s="146" customFormat="1" ht="15.2" customHeight="1" spans="1:12">
      <c r="A408" s="109">
        <v>406</v>
      </c>
      <c r="B408" s="158" t="s">
        <v>11090</v>
      </c>
      <c r="C408" s="158" t="s">
        <v>11857</v>
      </c>
      <c r="D408" s="158" t="s">
        <v>11858</v>
      </c>
      <c r="E408" s="102" t="s">
        <v>15</v>
      </c>
      <c r="F408" s="102" t="s">
        <v>10250</v>
      </c>
      <c r="G408" s="109" t="s">
        <v>16</v>
      </c>
      <c r="H408" s="161">
        <v>200</v>
      </c>
      <c r="I408" s="161">
        <v>200</v>
      </c>
      <c r="J408" s="109" t="s">
        <v>6097</v>
      </c>
      <c r="K408" s="160"/>
      <c r="L408" s="105">
        <v>20201118</v>
      </c>
    </row>
    <row r="409" s="146" customFormat="1" ht="15.2" customHeight="1" spans="1:12">
      <c r="A409" s="109">
        <v>407</v>
      </c>
      <c r="B409" s="158" t="s">
        <v>11090</v>
      </c>
      <c r="C409" s="158" t="s">
        <v>11859</v>
      </c>
      <c r="D409" s="158" t="s">
        <v>11860</v>
      </c>
      <c r="E409" s="102" t="s">
        <v>15</v>
      </c>
      <c r="F409" s="102" t="s">
        <v>10250</v>
      </c>
      <c r="G409" s="109" t="s">
        <v>16</v>
      </c>
      <c r="H409" s="161">
        <v>200</v>
      </c>
      <c r="I409" s="161">
        <v>200</v>
      </c>
      <c r="J409" s="109"/>
      <c r="K409" s="160"/>
      <c r="L409" s="105">
        <v>20201118</v>
      </c>
    </row>
    <row r="410" s="146" customFormat="1" ht="15.2" customHeight="1" spans="1:12">
      <c r="A410" s="109">
        <v>408</v>
      </c>
      <c r="B410" s="158" t="s">
        <v>11090</v>
      </c>
      <c r="C410" s="158" t="s">
        <v>11861</v>
      </c>
      <c r="D410" s="158" t="s">
        <v>11862</v>
      </c>
      <c r="E410" s="102" t="s">
        <v>15</v>
      </c>
      <c r="F410" s="102" t="s">
        <v>10250</v>
      </c>
      <c r="G410" s="109" t="s">
        <v>16</v>
      </c>
      <c r="H410" s="161">
        <v>200</v>
      </c>
      <c r="I410" s="161">
        <v>200</v>
      </c>
      <c r="J410" s="109"/>
      <c r="K410" s="160"/>
      <c r="L410" s="105">
        <v>20201118</v>
      </c>
    </row>
    <row r="411" s="146" customFormat="1" ht="15.2" customHeight="1" spans="1:12">
      <c r="A411" s="109">
        <v>409</v>
      </c>
      <c r="B411" s="158" t="s">
        <v>11090</v>
      </c>
      <c r="C411" s="158" t="s">
        <v>11863</v>
      </c>
      <c r="D411" s="158" t="s">
        <v>11864</v>
      </c>
      <c r="E411" s="102" t="s">
        <v>15</v>
      </c>
      <c r="F411" s="102" t="s">
        <v>10250</v>
      </c>
      <c r="G411" s="109" t="s">
        <v>16</v>
      </c>
      <c r="H411" s="161">
        <v>200</v>
      </c>
      <c r="I411" s="161">
        <v>200</v>
      </c>
      <c r="J411" s="109" t="s">
        <v>6097</v>
      </c>
      <c r="K411" s="160"/>
      <c r="L411" s="105">
        <v>20201118</v>
      </c>
    </row>
    <row r="412" s="146" customFormat="1" ht="15.2" customHeight="1" spans="1:12">
      <c r="A412" s="109">
        <v>410</v>
      </c>
      <c r="B412" s="158" t="s">
        <v>11090</v>
      </c>
      <c r="C412" s="158" t="s">
        <v>11865</v>
      </c>
      <c r="D412" s="158" t="s">
        <v>11866</v>
      </c>
      <c r="E412" s="102" t="s">
        <v>15</v>
      </c>
      <c r="F412" s="102" t="s">
        <v>10250</v>
      </c>
      <c r="G412" s="109" t="s">
        <v>16</v>
      </c>
      <c r="H412" s="32">
        <v>500</v>
      </c>
      <c r="I412" s="32">
        <v>500</v>
      </c>
      <c r="J412" s="109"/>
      <c r="K412" s="160"/>
      <c r="L412" s="105">
        <v>20201118</v>
      </c>
    </row>
    <row r="413" s="146" customFormat="1" ht="15.2" customHeight="1" spans="1:12">
      <c r="A413" s="109">
        <v>411</v>
      </c>
      <c r="B413" s="158" t="s">
        <v>11090</v>
      </c>
      <c r="C413" s="158" t="s">
        <v>11867</v>
      </c>
      <c r="D413" s="158" t="s">
        <v>11868</v>
      </c>
      <c r="E413" s="102" t="s">
        <v>15</v>
      </c>
      <c r="F413" s="102" t="s">
        <v>10250</v>
      </c>
      <c r="G413" s="109" t="s">
        <v>16</v>
      </c>
      <c r="H413" s="161">
        <v>200</v>
      </c>
      <c r="I413" s="161">
        <v>200</v>
      </c>
      <c r="J413" s="109" t="s">
        <v>6097</v>
      </c>
      <c r="K413" s="160"/>
      <c r="L413" s="105">
        <v>20201118</v>
      </c>
    </row>
    <row r="414" s="146" customFormat="1" ht="15.2" customHeight="1" spans="1:12">
      <c r="A414" s="109">
        <v>412</v>
      </c>
      <c r="B414" s="158" t="s">
        <v>11090</v>
      </c>
      <c r="C414" s="158" t="s">
        <v>11869</v>
      </c>
      <c r="D414" s="158" t="s">
        <v>11870</v>
      </c>
      <c r="E414" s="102" t="s">
        <v>15</v>
      </c>
      <c r="F414" s="102" t="s">
        <v>10250</v>
      </c>
      <c r="G414" s="109" t="s">
        <v>16</v>
      </c>
      <c r="H414" s="161">
        <v>200</v>
      </c>
      <c r="I414" s="161">
        <v>200</v>
      </c>
      <c r="J414" s="109"/>
      <c r="K414" s="160"/>
      <c r="L414" s="105">
        <v>20201118</v>
      </c>
    </row>
    <row r="415" s="146" customFormat="1" ht="15.2" customHeight="1" spans="1:12">
      <c r="A415" s="109">
        <v>413</v>
      </c>
      <c r="B415" s="158" t="s">
        <v>11090</v>
      </c>
      <c r="C415" s="158" t="s">
        <v>11871</v>
      </c>
      <c r="D415" s="158" t="s">
        <v>11872</v>
      </c>
      <c r="E415" s="102" t="s">
        <v>15</v>
      </c>
      <c r="F415" s="102" t="s">
        <v>10250</v>
      </c>
      <c r="G415" s="109" t="s">
        <v>16</v>
      </c>
      <c r="H415" s="161">
        <v>200</v>
      </c>
      <c r="I415" s="161">
        <v>200</v>
      </c>
      <c r="J415" s="109" t="s">
        <v>6097</v>
      </c>
      <c r="K415" s="160"/>
      <c r="L415" s="105">
        <v>20201118</v>
      </c>
    </row>
    <row r="416" s="146" customFormat="1" ht="15.2" customHeight="1" spans="1:12">
      <c r="A416" s="109">
        <v>414</v>
      </c>
      <c r="B416" s="158" t="s">
        <v>11090</v>
      </c>
      <c r="C416" s="158" t="s">
        <v>11873</v>
      </c>
      <c r="D416" s="158" t="s">
        <v>11874</v>
      </c>
      <c r="E416" s="102" t="s">
        <v>15</v>
      </c>
      <c r="F416" s="102" t="s">
        <v>10250</v>
      </c>
      <c r="G416" s="109" t="s">
        <v>16</v>
      </c>
      <c r="H416" s="161">
        <v>200</v>
      </c>
      <c r="I416" s="161">
        <v>200</v>
      </c>
      <c r="J416" s="109"/>
      <c r="K416" s="160"/>
      <c r="L416" s="105">
        <v>20201118</v>
      </c>
    </row>
    <row r="417" s="146" customFormat="1" ht="15.2" customHeight="1" spans="1:12">
      <c r="A417" s="109">
        <v>415</v>
      </c>
      <c r="B417" s="158" t="s">
        <v>11090</v>
      </c>
      <c r="C417" s="158" t="s">
        <v>11875</v>
      </c>
      <c r="D417" s="158" t="s">
        <v>11876</v>
      </c>
      <c r="E417" s="102" t="s">
        <v>15</v>
      </c>
      <c r="F417" s="102" t="s">
        <v>10250</v>
      </c>
      <c r="G417" s="109" t="s">
        <v>16</v>
      </c>
      <c r="H417" s="161">
        <v>200</v>
      </c>
      <c r="I417" s="161">
        <v>200</v>
      </c>
      <c r="J417" s="109"/>
      <c r="K417" s="160"/>
      <c r="L417" s="105">
        <v>20201118</v>
      </c>
    </row>
    <row r="418" s="146" customFormat="1" ht="15.2" customHeight="1" spans="1:12">
      <c r="A418" s="109">
        <v>416</v>
      </c>
      <c r="B418" s="158" t="s">
        <v>11090</v>
      </c>
      <c r="C418" s="158" t="s">
        <v>11877</v>
      </c>
      <c r="D418" s="158" t="s">
        <v>11878</v>
      </c>
      <c r="E418" s="102" t="s">
        <v>15</v>
      </c>
      <c r="F418" s="102" t="s">
        <v>10250</v>
      </c>
      <c r="G418" s="109" t="s">
        <v>16</v>
      </c>
      <c r="H418" s="161">
        <v>200</v>
      </c>
      <c r="I418" s="161">
        <v>200</v>
      </c>
      <c r="J418" s="109"/>
      <c r="K418" s="160"/>
      <c r="L418" s="105">
        <v>20201118</v>
      </c>
    </row>
    <row r="419" s="146" customFormat="1" ht="15.2" customHeight="1" spans="1:12">
      <c r="A419" s="109">
        <v>417</v>
      </c>
      <c r="B419" s="158" t="s">
        <v>11090</v>
      </c>
      <c r="C419" s="158" t="s">
        <v>11879</v>
      </c>
      <c r="D419" s="158" t="s">
        <v>11880</v>
      </c>
      <c r="E419" s="102" t="s">
        <v>15</v>
      </c>
      <c r="F419" s="102" t="s">
        <v>10250</v>
      </c>
      <c r="G419" s="109" t="s">
        <v>16</v>
      </c>
      <c r="H419" s="161">
        <v>200</v>
      </c>
      <c r="I419" s="161">
        <v>200</v>
      </c>
      <c r="J419" s="109"/>
      <c r="K419" s="160"/>
      <c r="L419" s="105">
        <v>20201118</v>
      </c>
    </row>
    <row r="420" s="146" customFormat="1" ht="15.2" customHeight="1" spans="1:12">
      <c r="A420" s="109">
        <v>418</v>
      </c>
      <c r="B420" s="158" t="s">
        <v>11090</v>
      </c>
      <c r="C420" s="158" t="s">
        <v>7757</v>
      </c>
      <c r="D420" s="158" t="s">
        <v>11881</v>
      </c>
      <c r="E420" s="102" t="s">
        <v>15</v>
      </c>
      <c r="F420" s="102" t="s">
        <v>10250</v>
      </c>
      <c r="G420" s="109" t="s">
        <v>16</v>
      </c>
      <c r="H420" s="161">
        <v>200</v>
      </c>
      <c r="I420" s="161">
        <v>200</v>
      </c>
      <c r="J420" s="109"/>
      <c r="K420" s="160"/>
      <c r="L420" s="105">
        <v>20201118</v>
      </c>
    </row>
    <row r="421" s="146" customFormat="1" ht="15.2" customHeight="1" spans="1:12">
      <c r="A421" s="109">
        <v>419</v>
      </c>
      <c r="B421" s="158" t="s">
        <v>11090</v>
      </c>
      <c r="C421" s="158" t="s">
        <v>7147</v>
      </c>
      <c r="D421" s="158" t="s">
        <v>11882</v>
      </c>
      <c r="E421" s="102" t="s">
        <v>15</v>
      </c>
      <c r="F421" s="102" t="s">
        <v>10250</v>
      </c>
      <c r="G421" s="109" t="s">
        <v>16</v>
      </c>
      <c r="H421" s="161">
        <v>200</v>
      </c>
      <c r="I421" s="161">
        <v>200</v>
      </c>
      <c r="J421" s="109"/>
      <c r="K421" s="160"/>
      <c r="L421" s="105">
        <v>20201118</v>
      </c>
    </row>
    <row r="422" s="146" customFormat="1" ht="15.2" customHeight="1" spans="1:12">
      <c r="A422" s="109">
        <v>420</v>
      </c>
      <c r="B422" s="158" t="s">
        <v>11090</v>
      </c>
      <c r="C422" s="158" t="s">
        <v>11883</v>
      </c>
      <c r="D422" s="158" t="s">
        <v>11884</v>
      </c>
      <c r="E422" s="102" t="s">
        <v>15</v>
      </c>
      <c r="F422" s="102" t="s">
        <v>10250</v>
      </c>
      <c r="G422" s="109" t="s">
        <v>16</v>
      </c>
      <c r="H422" s="161">
        <v>200</v>
      </c>
      <c r="I422" s="161">
        <v>200</v>
      </c>
      <c r="J422" s="109"/>
      <c r="K422" s="160"/>
      <c r="L422" s="105">
        <v>20201118</v>
      </c>
    </row>
    <row r="423" s="146" customFormat="1" ht="15.2" customHeight="1" spans="1:12">
      <c r="A423" s="109">
        <v>421</v>
      </c>
      <c r="B423" s="158" t="s">
        <v>11090</v>
      </c>
      <c r="C423" s="158" t="s">
        <v>11885</v>
      </c>
      <c r="D423" s="158" t="s">
        <v>11886</v>
      </c>
      <c r="E423" s="102" t="s">
        <v>15</v>
      </c>
      <c r="F423" s="102" t="s">
        <v>10250</v>
      </c>
      <c r="G423" s="109" t="s">
        <v>16</v>
      </c>
      <c r="H423" s="161">
        <v>200</v>
      </c>
      <c r="I423" s="161">
        <v>200</v>
      </c>
      <c r="J423" s="109"/>
      <c r="K423" s="160"/>
      <c r="L423" s="105">
        <v>20201118</v>
      </c>
    </row>
    <row r="424" s="146" customFormat="1" ht="15.2" customHeight="1" spans="1:12">
      <c r="A424" s="109">
        <v>422</v>
      </c>
      <c r="B424" s="158" t="s">
        <v>11090</v>
      </c>
      <c r="C424" s="158" t="s">
        <v>11887</v>
      </c>
      <c r="D424" s="158" t="s">
        <v>11888</v>
      </c>
      <c r="E424" s="102" t="s">
        <v>15</v>
      </c>
      <c r="F424" s="102" t="s">
        <v>10250</v>
      </c>
      <c r="G424" s="109" t="s">
        <v>16</v>
      </c>
      <c r="H424" s="161">
        <v>200</v>
      </c>
      <c r="I424" s="161">
        <v>200</v>
      </c>
      <c r="J424" s="109"/>
      <c r="K424" s="160"/>
      <c r="L424" s="105">
        <v>20201118</v>
      </c>
    </row>
    <row r="425" s="146" customFormat="1" ht="15.2" customHeight="1" spans="1:12">
      <c r="A425" s="109">
        <v>423</v>
      </c>
      <c r="B425" s="158" t="s">
        <v>11090</v>
      </c>
      <c r="C425" s="158" t="s">
        <v>11889</v>
      </c>
      <c r="D425" s="158" t="s">
        <v>11890</v>
      </c>
      <c r="E425" s="102" t="s">
        <v>15</v>
      </c>
      <c r="F425" s="102" t="s">
        <v>10250</v>
      </c>
      <c r="G425" s="109" t="s">
        <v>16</v>
      </c>
      <c r="H425" s="161">
        <v>200</v>
      </c>
      <c r="I425" s="161">
        <v>200</v>
      </c>
      <c r="J425" s="109"/>
      <c r="K425" s="160"/>
      <c r="L425" s="105">
        <v>20201118</v>
      </c>
    </row>
    <row r="426" s="146" customFormat="1" ht="15.2" customHeight="1" spans="1:12">
      <c r="A426" s="109">
        <v>424</v>
      </c>
      <c r="B426" s="158" t="s">
        <v>11090</v>
      </c>
      <c r="C426" s="158" t="s">
        <v>11891</v>
      </c>
      <c r="D426" s="158" t="s">
        <v>11892</v>
      </c>
      <c r="E426" s="102" t="s">
        <v>15</v>
      </c>
      <c r="F426" s="102" t="s">
        <v>10250</v>
      </c>
      <c r="G426" s="109" t="s">
        <v>16</v>
      </c>
      <c r="H426" s="161">
        <v>200</v>
      </c>
      <c r="I426" s="161">
        <v>200</v>
      </c>
      <c r="J426" s="109"/>
      <c r="K426" s="160"/>
      <c r="L426" s="105">
        <v>20201118</v>
      </c>
    </row>
    <row r="427" s="146" customFormat="1" ht="15.2" customHeight="1" spans="1:12">
      <c r="A427" s="109">
        <v>425</v>
      </c>
      <c r="B427" s="158" t="s">
        <v>11090</v>
      </c>
      <c r="C427" s="158" t="s">
        <v>11893</v>
      </c>
      <c r="D427" s="158" t="s">
        <v>11894</v>
      </c>
      <c r="E427" s="102" t="s">
        <v>15</v>
      </c>
      <c r="F427" s="102" t="s">
        <v>10250</v>
      </c>
      <c r="G427" s="109" t="s">
        <v>16</v>
      </c>
      <c r="H427" s="161">
        <v>200</v>
      </c>
      <c r="I427" s="161">
        <v>200</v>
      </c>
      <c r="J427" s="109"/>
      <c r="K427" s="160"/>
      <c r="L427" s="105">
        <v>20201118</v>
      </c>
    </row>
    <row r="428" s="146" customFormat="1" ht="15.2" customHeight="1" spans="1:12">
      <c r="A428" s="109">
        <v>426</v>
      </c>
      <c r="B428" s="158" t="s">
        <v>11090</v>
      </c>
      <c r="C428" s="158" t="s">
        <v>11895</v>
      </c>
      <c r="D428" s="158" t="s">
        <v>11896</v>
      </c>
      <c r="E428" s="102" t="s">
        <v>15</v>
      </c>
      <c r="F428" s="102" t="s">
        <v>10250</v>
      </c>
      <c r="G428" s="109" t="s">
        <v>16</v>
      </c>
      <c r="H428" s="161">
        <v>200</v>
      </c>
      <c r="I428" s="161">
        <v>200</v>
      </c>
      <c r="J428" s="109"/>
      <c r="K428" s="160"/>
      <c r="L428" s="105">
        <v>20201118</v>
      </c>
    </row>
    <row r="429" s="146" customFormat="1" ht="15.2" customHeight="1" spans="1:12">
      <c r="A429" s="109">
        <v>427</v>
      </c>
      <c r="B429" s="158" t="s">
        <v>11090</v>
      </c>
      <c r="C429" s="109" t="s">
        <v>11897</v>
      </c>
      <c r="D429" s="281" t="s">
        <v>11898</v>
      </c>
      <c r="E429" s="102" t="s">
        <v>15</v>
      </c>
      <c r="F429" s="102" t="s">
        <v>10250</v>
      </c>
      <c r="G429" s="109" t="s">
        <v>16</v>
      </c>
      <c r="H429" s="161">
        <v>200</v>
      </c>
      <c r="I429" s="161">
        <v>200</v>
      </c>
      <c r="J429" s="109"/>
      <c r="K429" s="160"/>
      <c r="L429" s="105">
        <v>20201118</v>
      </c>
    </row>
    <row r="430" s="146" customFormat="1" ht="15.2" customHeight="1" spans="1:12">
      <c r="A430" s="109">
        <v>428</v>
      </c>
      <c r="B430" s="158" t="s">
        <v>11090</v>
      </c>
      <c r="C430" s="6" t="s">
        <v>11899</v>
      </c>
      <c r="D430" s="281" t="s">
        <v>11900</v>
      </c>
      <c r="E430" s="102" t="s">
        <v>15</v>
      </c>
      <c r="F430" s="102" t="s">
        <v>10250</v>
      </c>
      <c r="G430" s="109" t="s">
        <v>16</v>
      </c>
      <c r="H430" s="161">
        <v>200</v>
      </c>
      <c r="I430" s="161">
        <v>200</v>
      </c>
      <c r="J430" s="109"/>
      <c r="K430" s="160"/>
      <c r="L430" s="105">
        <v>20201118</v>
      </c>
    </row>
    <row r="431" s="146" customFormat="1" ht="15.2" customHeight="1" spans="1:12">
      <c r="A431" s="109">
        <v>429</v>
      </c>
      <c r="B431" s="158" t="s">
        <v>11090</v>
      </c>
      <c r="C431" s="109" t="s">
        <v>11901</v>
      </c>
      <c r="D431" s="281" t="s">
        <v>11902</v>
      </c>
      <c r="E431" s="102" t="s">
        <v>15</v>
      </c>
      <c r="F431" s="102" t="s">
        <v>10250</v>
      </c>
      <c r="G431" s="109" t="s">
        <v>16</v>
      </c>
      <c r="H431" s="161">
        <v>200</v>
      </c>
      <c r="I431" s="161">
        <v>200</v>
      </c>
      <c r="J431" s="109"/>
      <c r="K431" s="160"/>
      <c r="L431" s="105">
        <v>20201118</v>
      </c>
    </row>
    <row r="432" s="146" customFormat="1" ht="15.2" customHeight="1" spans="1:12">
      <c r="A432" s="109">
        <v>430</v>
      </c>
      <c r="B432" s="158" t="s">
        <v>11090</v>
      </c>
      <c r="C432" s="109" t="s">
        <v>11903</v>
      </c>
      <c r="D432" s="109" t="s">
        <v>11904</v>
      </c>
      <c r="E432" s="102" t="s">
        <v>15</v>
      </c>
      <c r="F432" s="102" t="s">
        <v>10250</v>
      </c>
      <c r="G432" s="109" t="s">
        <v>16</v>
      </c>
      <c r="H432" s="161">
        <v>500</v>
      </c>
      <c r="I432" s="161">
        <v>500</v>
      </c>
      <c r="J432" s="109"/>
      <c r="K432" s="160"/>
      <c r="L432" s="105">
        <v>20201118</v>
      </c>
    </row>
    <row r="433" s="146" customFormat="1" ht="15.2" customHeight="1" spans="1:12">
      <c r="A433" s="109">
        <v>431</v>
      </c>
      <c r="B433" s="158" t="s">
        <v>11090</v>
      </c>
      <c r="C433" s="109" t="s">
        <v>11905</v>
      </c>
      <c r="D433" s="109" t="s">
        <v>11906</v>
      </c>
      <c r="E433" s="102" t="s">
        <v>15</v>
      </c>
      <c r="F433" s="102" t="s">
        <v>10250</v>
      </c>
      <c r="G433" s="109" t="s">
        <v>16</v>
      </c>
      <c r="H433" s="161">
        <v>500</v>
      </c>
      <c r="I433" s="161">
        <v>500</v>
      </c>
      <c r="J433" s="109" t="s">
        <v>108</v>
      </c>
      <c r="K433" s="160"/>
      <c r="L433" s="105">
        <v>20201118</v>
      </c>
    </row>
    <row r="434" s="146" customFormat="1" ht="15.2" customHeight="1" spans="1:12">
      <c r="A434" s="109">
        <v>432</v>
      </c>
      <c r="B434" s="158" t="s">
        <v>11090</v>
      </c>
      <c r="C434" s="109" t="s">
        <v>11907</v>
      </c>
      <c r="D434" s="281" t="s">
        <v>11908</v>
      </c>
      <c r="E434" s="102" t="s">
        <v>15</v>
      </c>
      <c r="F434" s="102" t="s">
        <v>10250</v>
      </c>
      <c r="G434" s="109" t="s">
        <v>16</v>
      </c>
      <c r="H434" s="161">
        <v>200</v>
      </c>
      <c r="I434" s="161">
        <v>200</v>
      </c>
      <c r="J434" s="109"/>
      <c r="K434" s="160"/>
      <c r="L434" s="105">
        <v>20201118</v>
      </c>
    </row>
    <row r="435" s="146" customFormat="1" ht="15.2" customHeight="1" spans="1:12">
      <c r="A435" s="109">
        <v>433</v>
      </c>
      <c r="B435" s="158" t="s">
        <v>11090</v>
      </c>
      <c r="C435" s="109" t="s">
        <v>11909</v>
      </c>
      <c r="D435" s="281" t="s">
        <v>11910</v>
      </c>
      <c r="E435" s="102" t="s">
        <v>15</v>
      </c>
      <c r="F435" s="102" t="s">
        <v>10250</v>
      </c>
      <c r="G435" s="109" t="s">
        <v>16</v>
      </c>
      <c r="H435" s="161">
        <v>200</v>
      </c>
      <c r="I435" s="161">
        <v>200</v>
      </c>
      <c r="J435" s="109"/>
      <c r="K435" s="160"/>
      <c r="L435" s="105">
        <v>20201118</v>
      </c>
    </row>
    <row r="436" s="146" customFormat="1" ht="15.2" customHeight="1" spans="1:12">
      <c r="A436" s="109">
        <v>434</v>
      </c>
      <c r="B436" s="158" t="s">
        <v>11090</v>
      </c>
      <c r="C436" s="109" t="s">
        <v>11911</v>
      </c>
      <c r="D436" s="281" t="s">
        <v>11912</v>
      </c>
      <c r="E436" s="102" t="s">
        <v>15</v>
      </c>
      <c r="F436" s="102" t="s">
        <v>10250</v>
      </c>
      <c r="G436" s="109" t="s">
        <v>16</v>
      </c>
      <c r="H436" s="161">
        <v>500</v>
      </c>
      <c r="I436" s="161">
        <v>500</v>
      </c>
      <c r="J436" s="109"/>
      <c r="K436" s="160"/>
      <c r="L436" s="105">
        <v>20201118</v>
      </c>
    </row>
    <row r="437" s="146" customFormat="1" ht="15.2" customHeight="1" spans="1:12">
      <c r="A437" s="109">
        <v>435</v>
      </c>
      <c r="B437" s="158" t="s">
        <v>11090</v>
      </c>
      <c r="C437" s="109" t="s">
        <v>11913</v>
      </c>
      <c r="D437" s="281" t="s">
        <v>11914</v>
      </c>
      <c r="E437" s="102" t="s">
        <v>15</v>
      </c>
      <c r="F437" s="102" t="s">
        <v>10250</v>
      </c>
      <c r="G437" s="109" t="s">
        <v>16</v>
      </c>
      <c r="H437" s="161">
        <v>500</v>
      </c>
      <c r="I437" s="161">
        <v>500</v>
      </c>
      <c r="J437" s="109"/>
      <c r="K437" s="160"/>
      <c r="L437" s="105">
        <v>20201118</v>
      </c>
    </row>
    <row r="438" s="146" customFormat="1" ht="15.2" customHeight="1" spans="1:12">
      <c r="A438" s="109">
        <v>436</v>
      </c>
      <c r="B438" s="158" t="s">
        <v>11090</v>
      </c>
      <c r="C438" s="109" t="s">
        <v>11915</v>
      </c>
      <c r="D438" s="281" t="s">
        <v>11916</v>
      </c>
      <c r="E438" s="102" t="s">
        <v>15</v>
      </c>
      <c r="F438" s="102" t="s">
        <v>10250</v>
      </c>
      <c r="G438" s="109" t="s">
        <v>16</v>
      </c>
      <c r="H438" s="161">
        <v>200</v>
      </c>
      <c r="I438" s="161">
        <v>200</v>
      </c>
      <c r="J438" s="109"/>
      <c r="K438" s="160"/>
      <c r="L438" s="105">
        <v>20201118</v>
      </c>
    </row>
    <row r="439" s="146" customFormat="1" ht="15.2" customHeight="1" spans="1:12">
      <c r="A439" s="109">
        <v>437</v>
      </c>
      <c r="B439" s="158" t="s">
        <v>11090</v>
      </c>
      <c r="C439" s="109" t="s">
        <v>11917</v>
      </c>
      <c r="D439" s="281" t="s">
        <v>11918</v>
      </c>
      <c r="E439" s="102" t="s">
        <v>15</v>
      </c>
      <c r="F439" s="102" t="s">
        <v>10250</v>
      </c>
      <c r="G439" s="109" t="s">
        <v>16</v>
      </c>
      <c r="H439" s="161">
        <v>200</v>
      </c>
      <c r="I439" s="161">
        <v>200</v>
      </c>
      <c r="J439" s="109"/>
      <c r="K439" s="160"/>
      <c r="L439" s="105">
        <v>20201118</v>
      </c>
    </row>
    <row r="440" s="146" customFormat="1" ht="15.2" customHeight="1" spans="1:12">
      <c r="A440" s="109">
        <v>438</v>
      </c>
      <c r="B440" s="158" t="s">
        <v>11090</v>
      </c>
      <c r="C440" s="109" t="s">
        <v>8040</v>
      </c>
      <c r="D440" s="281" t="s">
        <v>11919</v>
      </c>
      <c r="E440" s="102" t="s">
        <v>15</v>
      </c>
      <c r="F440" s="102" t="s">
        <v>10250</v>
      </c>
      <c r="G440" s="109" t="s">
        <v>16</v>
      </c>
      <c r="H440" s="161">
        <v>500</v>
      </c>
      <c r="I440" s="161">
        <v>500</v>
      </c>
      <c r="J440" s="109"/>
      <c r="K440" s="160"/>
      <c r="L440" s="105">
        <v>20201118</v>
      </c>
    </row>
    <row r="441" s="146" customFormat="1" ht="15.2" customHeight="1" spans="1:12">
      <c r="A441" s="109">
        <v>439</v>
      </c>
      <c r="B441" s="158" t="s">
        <v>11090</v>
      </c>
      <c r="C441" s="109" t="s">
        <v>11920</v>
      </c>
      <c r="D441" s="281" t="s">
        <v>11921</v>
      </c>
      <c r="E441" s="102" t="s">
        <v>15</v>
      </c>
      <c r="F441" s="102" t="s">
        <v>10250</v>
      </c>
      <c r="G441" s="109" t="s">
        <v>16</v>
      </c>
      <c r="H441" s="161">
        <v>500</v>
      </c>
      <c r="I441" s="161">
        <v>500</v>
      </c>
      <c r="J441" s="109"/>
      <c r="K441" s="160"/>
      <c r="L441" s="105">
        <v>20201118</v>
      </c>
    </row>
    <row r="442" s="146" customFormat="1" ht="15.2" customHeight="1" spans="1:12">
      <c r="A442" s="109">
        <v>440</v>
      </c>
      <c r="B442" s="158" t="s">
        <v>11090</v>
      </c>
      <c r="C442" s="109" t="s">
        <v>11922</v>
      </c>
      <c r="D442" s="281" t="s">
        <v>11923</v>
      </c>
      <c r="E442" s="102" t="s">
        <v>15</v>
      </c>
      <c r="F442" s="102" t="s">
        <v>10250</v>
      </c>
      <c r="G442" s="109" t="s">
        <v>16</v>
      </c>
      <c r="H442" s="161">
        <v>200</v>
      </c>
      <c r="I442" s="161">
        <v>200</v>
      </c>
      <c r="J442" s="109"/>
      <c r="K442" s="160"/>
      <c r="L442" s="105">
        <v>20201118</v>
      </c>
    </row>
    <row r="443" s="146" customFormat="1" ht="15.2" customHeight="1" spans="1:12">
      <c r="A443" s="109">
        <v>441</v>
      </c>
      <c r="B443" s="158" t="s">
        <v>11090</v>
      </c>
      <c r="C443" s="109" t="s">
        <v>11924</v>
      </c>
      <c r="D443" s="109" t="s">
        <v>11925</v>
      </c>
      <c r="E443" s="102" t="s">
        <v>15</v>
      </c>
      <c r="F443" s="102" t="s">
        <v>10250</v>
      </c>
      <c r="G443" s="109" t="s">
        <v>16</v>
      </c>
      <c r="H443" s="161">
        <v>200</v>
      </c>
      <c r="I443" s="161">
        <v>200</v>
      </c>
      <c r="J443" s="109"/>
      <c r="K443" s="160"/>
      <c r="L443" s="105">
        <v>20201118</v>
      </c>
    </row>
    <row r="444" s="146" customFormat="1" ht="15.2" customHeight="1" spans="1:12">
      <c r="A444" s="109">
        <v>442</v>
      </c>
      <c r="B444" s="158" t="s">
        <v>11090</v>
      </c>
      <c r="C444" s="109" t="s">
        <v>11926</v>
      </c>
      <c r="D444" s="281" t="s">
        <v>11927</v>
      </c>
      <c r="E444" s="102" t="s">
        <v>15</v>
      </c>
      <c r="F444" s="102" t="s">
        <v>10250</v>
      </c>
      <c r="G444" s="109" t="s">
        <v>16</v>
      </c>
      <c r="H444" s="161">
        <v>200</v>
      </c>
      <c r="I444" s="161">
        <v>200</v>
      </c>
      <c r="J444" s="109"/>
      <c r="K444" s="160"/>
      <c r="L444" s="105">
        <v>20201118</v>
      </c>
    </row>
    <row r="445" s="146" customFormat="1" ht="15.2" customHeight="1" spans="1:12">
      <c r="A445" s="109">
        <v>443</v>
      </c>
      <c r="B445" s="158" t="s">
        <v>11090</v>
      </c>
      <c r="C445" s="109" t="s">
        <v>11928</v>
      </c>
      <c r="D445" s="281" t="s">
        <v>11929</v>
      </c>
      <c r="E445" s="102" t="s">
        <v>15</v>
      </c>
      <c r="F445" s="102" t="s">
        <v>10250</v>
      </c>
      <c r="G445" s="109" t="s">
        <v>16</v>
      </c>
      <c r="H445" s="161">
        <v>200</v>
      </c>
      <c r="I445" s="161">
        <v>200</v>
      </c>
      <c r="J445" s="109"/>
      <c r="K445" s="160"/>
      <c r="L445" s="105">
        <v>20201118</v>
      </c>
    </row>
    <row r="446" s="146" customFormat="1" ht="15.2" customHeight="1" spans="1:12">
      <c r="A446" s="109">
        <v>444</v>
      </c>
      <c r="B446" s="158" t="s">
        <v>11090</v>
      </c>
      <c r="C446" s="109" t="s">
        <v>11930</v>
      </c>
      <c r="D446" s="281" t="s">
        <v>11931</v>
      </c>
      <c r="E446" s="102" t="s">
        <v>15</v>
      </c>
      <c r="F446" s="102" t="s">
        <v>10250</v>
      </c>
      <c r="G446" s="109" t="s">
        <v>16</v>
      </c>
      <c r="H446" s="161">
        <v>200</v>
      </c>
      <c r="I446" s="161">
        <v>200</v>
      </c>
      <c r="J446" s="109"/>
      <c r="K446" s="160"/>
      <c r="L446" s="105">
        <v>20201118</v>
      </c>
    </row>
    <row r="447" s="146" customFormat="1" ht="15.2" customHeight="1" spans="1:12">
      <c r="A447" s="109">
        <v>445</v>
      </c>
      <c r="B447" s="158" t="s">
        <v>11090</v>
      </c>
      <c r="C447" s="109" t="s">
        <v>9335</v>
      </c>
      <c r="D447" s="281" t="s">
        <v>11932</v>
      </c>
      <c r="E447" s="102" t="s">
        <v>15</v>
      </c>
      <c r="F447" s="102" t="s">
        <v>10250</v>
      </c>
      <c r="G447" s="109" t="s">
        <v>16</v>
      </c>
      <c r="H447" s="32">
        <v>200</v>
      </c>
      <c r="I447" s="32">
        <v>200</v>
      </c>
      <c r="J447" s="109"/>
      <c r="K447" s="160"/>
      <c r="L447" s="105">
        <v>20201118</v>
      </c>
    </row>
    <row r="448" s="146" customFormat="1" ht="15.2" customHeight="1" spans="1:12">
      <c r="A448" s="109">
        <v>446</v>
      </c>
      <c r="B448" s="158" t="s">
        <v>11090</v>
      </c>
      <c r="C448" s="109" t="s">
        <v>11933</v>
      </c>
      <c r="D448" s="281" t="s">
        <v>11934</v>
      </c>
      <c r="E448" s="102" t="s">
        <v>15</v>
      </c>
      <c r="F448" s="102" t="s">
        <v>10250</v>
      </c>
      <c r="G448" s="109" t="s">
        <v>16</v>
      </c>
      <c r="H448" s="32">
        <v>200</v>
      </c>
      <c r="I448" s="32">
        <v>200</v>
      </c>
      <c r="J448" s="109"/>
      <c r="K448" s="160"/>
      <c r="L448" s="105">
        <v>20201118</v>
      </c>
    </row>
    <row r="449" s="146" customFormat="1" ht="15.2" customHeight="1" spans="1:12">
      <c r="A449" s="109">
        <v>447</v>
      </c>
      <c r="B449" s="158" t="s">
        <v>11090</v>
      </c>
      <c r="C449" s="109" t="s">
        <v>11935</v>
      </c>
      <c r="D449" s="281" t="s">
        <v>11936</v>
      </c>
      <c r="E449" s="102" t="s">
        <v>15</v>
      </c>
      <c r="F449" s="102" t="s">
        <v>10250</v>
      </c>
      <c r="G449" s="109" t="s">
        <v>16</v>
      </c>
      <c r="H449" s="161">
        <v>200</v>
      </c>
      <c r="I449" s="161">
        <v>200</v>
      </c>
      <c r="J449" s="109"/>
      <c r="K449" s="160"/>
      <c r="L449" s="105">
        <v>20201118</v>
      </c>
    </row>
    <row r="450" s="146" customFormat="1" ht="15.2" customHeight="1" spans="1:12">
      <c r="A450" s="109">
        <v>448</v>
      </c>
      <c r="B450" s="158" t="s">
        <v>11090</v>
      </c>
      <c r="C450" s="158" t="s">
        <v>11937</v>
      </c>
      <c r="D450" s="158" t="s">
        <v>11938</v>
      </c>
      <c r="E450" s="102" t="s">
        <v>15</v>
      </c>
      <c r="F450" s="102" t="s">
        <v>10250</v>
      </c>
      <c r="G450" s="109" t="s">
        <v>16</v>
      </c>
      <c r="H450" s="161">
        <v>200</v>
      </c>
      <c r="I450" s="161">
        <v>200</v>
      </c>
      <c r="J450" s="109"/>
      <c r="K450" s="160"/>
      <c r="L450" s="105">
        <v>20201118</v>
      </c>
    </row>
    <row r="451" s="146" customFormat="1" ht="15.2" customHeight="1" spans="1:12">
      <c r="A451" s="109">
        <v>449</v>
      </c>
      <c r="B451" s="158" t="s">
        <v>11090</v>
      </c>
      <c r="C451" s="109" t="s">
        <v>11939</v>
      </c>
      <c r="D451" s="109" t="s">
        <v>11940</v>
      </c>
      <c r="E451" s="102" t="s">
        <v>15</v>
      </c>
      <c r="F451" s="102" t="s">
        <v>10250</v>
      </c>
      <c r="G451" s="109" t="s">
        <v>16</v>
      </c>
      <c r="H451" s="161">
        <v>200</v>
      </c>
      <c r="I451" s="161">
        <v>200</v>
      </c>
      <c r="J451" s="109"/>
      <c r="K451" s="160"/>
      <c r="L451" s="105">
        <v>20201118</v>
      </c>
    </row>
    <row r="452" s="146" customFormat="1" ht="15.2" customHeight="1" spans="1:12">
      <c r="A452" s="109">
        <v>450</v>
      </c>
      <c r="B452" s="158" t="s">
        <v>11090</v>
      </c>
      <c r="C452" s="109" t="s">
        <v>11941</v>
      </c>
      <c r="D452" s="288" t="s">
        <v>11942</v>
      </c>
      <c r="E452" s="102" t="s">
        <v>15</v>
      </c>
      <c r="F452" s="102" t="s">
        <v>10250</v>
      </c>
      <c r="G452" s="109" t="s">
        <v>16</v>
      </c>
      <c r="H452" s="161">
        <v>200</v>
      </c>
      <c r="I452" s="161">
        <v>200</v>
      </c>
      <c r="J452" s="109" t="s">
        <v>6345</v>
      </c>
      <c r="K452" s="160"/>
      <c r="L452" s="105">
        <v>20201118</v>
      </c>
    </row>
    <row r="453" s="146" customFormat="1" ht="15.2" customHeight="1" spans="1:12">
      <c r="A453" s="109">
        <v>451</v>
      </c>
      <c r="B453" s="158" t="s">
        <v>11090</v>
      </c>
      <c r="C453" s="109" t="s">
        <v>11943</v>
      </c>
      <c r="D453" s="288" t="s">
        <v>11944</v>
      </c>
      <c r="E453" s="102" t="s">
        <v>15</v>
      </c>
      <c r="F453" s="102" t="s">
        <v>10250</v>
      </c>
      <c r="G453" s="109" t="s">
        <v>16</v>
      </c>
      <c r="H453" s="161">
        <v>200</v>
      </c>
      <c r="I453" s="161">
        <v>200</v>
      </c>
      <c r="J453" s="109" t="s">
        <v>6345</v>
      </c>
      <c r="K453" s="160"/>
      <c r="L453" s="105">
        <v>20201118</v>
      </c>
    </row>
    <row r="454" s="146" customFormat="1" ht="15.2" customHeight="1" spans="1:12">
      <c r="A454" s="109">
        <v>452</v>
      </c>
      <c r="B454" s="158" t="s">
        <v>11090</v>
      </c>
      <c r="C454" s="109" t="s">
        <v>11945</v>
      </c>
      <c r="D454" s="288" t="s">
        <v>11946</v>
      </c>
      <c r="E454" s="102" t="s">
        <v>15</v>
      </c>
      <c r="F454" s="102" t="s">
        <v>10250</v>
      </c>
      <c r="G454" s="109" t="s">
        <v>16</v>
      </c>
      <c r="H454" s="161">
        <v>200</v>
      </c>
      <c r="I454" s="161">
        <v>200</v>
      </c>
      <c r="J454" s="109"/>
      <c r="K454" s="160"/>
      <c r="L454" s="105">
        <v>20201118</v>
      </c>
    </row>
    <row r="455" s="146" customFormat="1" ht="15.2" customHeight="1" spans="1:12">
      <c r="A455" s="109">
        <v>453</v>
      </c>
      <c r="B455" s="158" t="s">
        <v>11090</v>
      </c>
      <c r="C455" s="109" t="s">
        <v>11947</v>
      </c>
      <c r="D455" s="288" t="s">
        <v>11948</v>
      </c>
      <c r="E455" s="102" t="s">
        <v>15</v>
      </c>
      <c r="F455" s="102" t="s">
        <v>10250</v>
      </c>
      <c r="G455" s="109" t="s">
        <v>16</v>
      </c>
      <c r="H455" s="161">
        <v>200</v>
      </c>
      <c r="I455" s="161">
        <v>200</v>
      </c>
      <c r="J455" s="109"/>
      <c r="K455" s="160"/>
      <c r="L455" s="105">
        <v>20201118</v>
      </c>
    </row>
    <row r="456" s="146" customFormat="1" ht="15.2" customHeight="1" spans="1:12">
      <c r="A456" s="109">
        <v>454</v>
      </c>
      <c r="B456" s="158" t="s">
        <v>11090</v>
      </c>
      <c r="C456" s="109" t="s">
        <v>11949</v>
      </c>
      <c r="D456" s="109" t="s">
        <v>11950</v>
      </c>
      <c r="E456" s="102" t="s">
        <v>15</v>
      </c>
      <c r="F456" s="102" t="s">
        <v>10250</v>
      </c>
      <c r="G456" s="109" t="s">
        <v>16</v>
      </c>
      <c r="H456" s="161">
        <v>1000</v>
      </c>
      <c r="I456" s="161">
        <v>1000</v>
      </c>
      <c r="J456" s="109"/>
      <c r="K456" s="160"/>
      <c r="L456" s="105">
        <v>20201118</v>
      </c>
    </row>
    <row r="457" s="146" customFormat="1" ht="15.2" customHeight="1" spans="1:12">
      <c r="A457" s="109">
        <v>455</v>
      </c>
      <c r="B457" s="158" t="s">
        <v>11090</v>
      </c>
      <c r="C457" s="109" t="s">
        <v>11951</v>
      </c>
      <c r="D457" s="288" t="s">
        <v>11952</v>
      </c>
      <c r="E457" s="102" t="s">
        <v>15</v>
      </c>
      <c r="F457" s="102" t="s">
        <v>10250</v>
      </c>
      <c r="G457" s="109" t="s">
        <v>16</v>
      </c>
      <c r="H457" s="161">
        <v>1000</v>
      </c>
      <c r="I457" s="161">
        <v>1000</v>
      </c>
      <c r="J457" s="109"/>
      <c r="K457" s="160"/>
      <c r="L457" s="105">
        <v>20201118</v>
      </c>
    </row>
    <row r="458" s="146" customFormat="1" ht="15.2" customHeight="1" spans="1:12">
      <c r="A458" s="109">
        <v>456</v>
      </c>
      <c r="B458" s="158" t="s">
        <v>11090</v>
      </c>
      <c r="C458" s="109" t="s">
        <v>11953</v>
      </c>
      <c r="D458" s="288" t="s">
        <v>11954</v>
      </c>
      <c r="E458" s="102" t="s">
        <v>15</v>
      </c>
      <c r="F458" s="102" t="s">
        <v>10250</v>
      </c>
      <c r="G458" s="109" t="s">
        <v>16</v>
      </c>
      <c r="H458" s="32">
        <v>200</v>
      </c>
      <c r="I458" s="32">
        <v>200</v>
      </c>
      <c r="J458" s="109"/>
      <c r="K458" s="160"/>
      <c r="L458" s="105">
        <v>20201118</v>
      </c>
    </row>
    <row r="459" s="146" customFormat="1" ht="15.2" customHeight="1" spans="1:12">
      <c r="A459" s="109">
        <v>457</v>
      </c>
      <c r="B459" s="158" t="s">
        <v>11090</v>
      </c>
      <c r="C459" s="109" t="s">
        <v>11955</v>
      </c>
      <c r="D459" s="288" t="s">
        <v>11956</v>
      </c>
      <c r="E459" s="102" t="s">
        <v>15</v>
      </c>
      <c r="F459" s="102" t="s">
        <v>10250</v>
      </c>
      <c r="G459" s="109" t="s">
        <v>16</v>
      </c>
      <c r="H459" s="32">
        <v>200</v>
      </c>
      <c r="I459" s="32">
        <v>200</v>
      </c>
      <c r="J459" s="109"/>
      <c r="K459" s="160"/>
      <c r="L459" s="105">
        <v>20201118</v>
      </c>
    </row>
    <row r="460" s="146" customFormat="1" ht="15.2" customHeight="1" spans="1:12">
      <c r="A460" s="109">
        <v>458</v>
      </c>
      <c r="B460" s="158" t="s">
        <v>11090</v>
      </c>
      <c r="C460" s="109" t="s">
        <v>11957</v>
      </c>
      <c r="D460" s="288" t="s">
        <v>11958</v>
      </c>
      <c r="E460" s="102" t="s">
        <v>15</v>
      </c>
      <c r="F460" s="102" t="s">
        <v>10250</v>
      </c>
      <c r="G460" s="109" t="s">
        <v>16</v>
      </c>
      <c r="H460" s="161">
        <v>200</v>
      </c>
      <c r="I460" s="161">
        <v>200</v>
      </c>
      <c r="J460" s="109"/>
      <c r="K460" s="160"/>
      <c r="L460" s="105">
        <v>20201118</v>
      </c>
    </row>
    <row r="461" s="146" customFormat="1" ht="15.2" customHeight="1" spans="1:12">
      <c r="A461" s="109">
        <v>459</v>
      </c>
      <c r="B461" s="158" t="s">
        <v>11090</v>
      </c>
      <c r="C461" s="109" t="s">
        <v>11959</v>
      </c>
      <c r="D461" s="288" t="s">
        <v>11960</v>
      </c>
      <c r="E461" s="102" t="s">
        <v>15</v>
      </c>
      <c r="F461" s="102" t="s">
        <v>10250</v>
      </c>
      <c r="G461" s="109" t="s">
        <v>16</v>
      </c>
      <c r="H461" s="161">
        <v>200</v>
      </c>
      <c r="I461" s="161">
        <v>200</v>
      </c>
      <c r="J461" s="109"/>
      <c r="K461" s="160"/>
      <c r="L461" s="105">
        <v>20201118</v>
      </c>
    </row>
    <row r="462" s="146" customFormat="1" ht="15.2" customHeight="1" spans="1:12">
      <c r="A462" s="109">
        <v>460</v>
      </c>
      <c r="B462" s="158" t="s">
        <v>11090</v>
      </c>
      <c r="C462" s="109" t="s">
        <v>11961</v>
      </c>
      <c r="D462" s="288" t="s">
        <v>11962</v>
      </c>
      <c r="E462" s="102" t="s">
        <v>15</v>
      </c>
      <c r="F462" s="102" t="s">
        <v>10250</v>
      </c>
      <c r="G462" s="109" t="s">
        <v>16</v>
      </c>
      <c r="H462" s="161">
        <v>200</v>
      </c>
      <c r="I462" s="161">
        <v>200</v>
      </c>
      <c r="J462" s="109"/>
      <c r="K462" s="160"/>
      <c r="L462" s="105">
        <v>20201118</v>
      </c>
    </row>
    <row r="463" s="146" customFormat="1" ht="15.2" customHeight="1" spans="1:12">
      <c r="A463" s="109">
        <v>461</v>
      </c>
      <c r="B463" s="158" t="s">
        <v>11090</v>
      </c>
      <c r="C463" s="161" t="s">
        <v>11963</v>
      </c>
      <c r="D463" s="122" t="s">
        <v>11964</v>
      </c>
      <c r="E463" s="102" t="s">
        <v>15</v>
      </c>
      <c r="F463" s="102" t="s">
        <v>10250</v>
      </c>
      <c r="G463" s="109" t="s">
        <v>16</v>
      </c>
      <c r="H463" s="161">
        <v>200</v>
      </c>
      <c r="I463" s="161">
        <v>200</v>
      </c>
      <c r="J463" s="109" t="s">
        <v>11317</v>
      </c>
      <c r="K463" s="160"/>
      <c r="L463" s="105">
        <v>20201118</v>
      </c>
    </row>
    <row r="464" s="146" customFormat="1" ht="15.2" customHeight="1" spans="1:12">
      <c r="A464" s="109">
        <v>462</v>
      </c>
      <c r="B464" s="158" t="s">
        <v>11090</v>
      </c>
      <c r="C464" s="161" t="s">
        <v>11965</v>
      </c>
      <c r="D464" s="122" t="s">
        <v>11966</v>
      </c>
      <c r="E464" s="102" t="s">
        <v>15</v>
      </c>
      <c r="F464" s="102" t="s">
        <v>10250</v>
      </c>
      <c r="G464" s="109" t="s">
        <v>16</v>
      </c>
      <c r="H464" s="161">
        <v>200</v>
      </c>
      <c r="I464" s="161">
        <v>200</v>
      </c>
      <c r="J464" s="109"/>
      <c r="K464" s="160"/>
      <c r="L464" s="105">
        <v>20201118</v>
      </c>
    </row>
    <row r="465" s="146" customFormat="1" ht="15.2" customHeight="1" spans="1:12">
      <c r="A465" s="109">
        <v>463</v>
      </c>
      <c r="B465" s="158" t="s">
        <v>11090</v>
      </c>
      <c r="C465" s="161" t="s">
        <v>11967</v>
      </c>
      <c r="D465" s="122" t="s">
        <v>11968</v>
      </c>
      <c r="E465" s="102" t="s">
        <v>15</v>
      </c>
      <c r="F465" s="102" t="s">
        <v>10250</v>
      </c>
      <c r="G465" s="109" t="s">
        <v>16</v>
      </c>
      <c r="H465" s="161">
        <v>200</v>
      </c>
      <c r="I465" s="161">
        <v>200</v>
      </c>
      <c r="J465" s="109"/>
      <c r="K465" s="160"/>
      <c r="L465" s="105">
        <v>20201118</v>
      </c>
    </row>
    <row r="466" s="146" customFormat="1" ht="15.2" customHeight="1" spans="1:12">
      <c r="A466" s="109">
        <v>464</v>
      </c>
      <c r="B466" s="158" t="s">
        <v>11090</v>
      </c>
      <c r="C466" s="161" t="s">
        <v>11969</v>
      </c>
      <c r="D466" s="122" t="s">
        <v>11970</v>
      </c>
      <c r="E466" s="102" t="s">
        <v>15</v>
      </c>
      <c r="F466" s="102" t="s">
        <v>10250</v>
      </c>
      <c r="G466" s="109" t="s">
        <v>16</v>
      </c>
      <c r="H466" s="161">
        <v>200</v>
      </c>
      <c r="I466" s="161">
        <v>200</v>
      </c>
      <c r="J466" s="109" t="s">
        <v>6097</v>
      </c>
      <c r="K466" s="160"/>
      <c r="L466" s="105">
        <v>20201118</v>
      </c>
    </row>
    <row r="467" s="146" customFormat="1" ht="15.2" customHeight="1" spans="1:12">
      <c r="A467" s="109">
        <v>465</v>
      </c>
      <c r="B467" s="158" t="s">
        <v>11090</v>
      </c>
      <c r="C467" s="161" t="s">
        <v>11971</v>
      </c>
      <c r="D467" s="130" t="s">
        <v>11972</v>
      </c>
      <c r="E467" s="102" t="s">
        <v>15</v>
      </c>
      <c r="F467" s="102" t="s">
        <v>10250</v>
      </c>
      <c r="G467" s="109" t="s">
        <v>16</v>
      </c>
      <c r="H467" s="161">
        <v>200</v>
      </c>
      <c r="I467" s="161">
        <v>200</v>
      </c>
      <c r="J467" s="109" t="s">
        <v>6097</v>
      </c>
      <c r="K467" s="160"/>
      <c r="L467" s="105">
        <v>20201118</v>
      </c>
    </row>
    <row r="468" s="146" customFormat="1" ht="15.2" customHeight="1" spans="1:12">
      <c r="A468" s="109">
        <v>466</v>
      </c>
      <c r="B468" s="158" t="s">
        <v>11090</v>
      </c>
      <c r="C468" s="161" t="s">
        <v>11973</v>
      </c>
      <c r="D468" s="122" t="s">
        <v>11974</v>
      </c>
      <c r="E468" s="102" t="s">
        <v>15</v>
      </c>
      <c r="F468" s="102" t="s">
        <v>10250</v>
      </c>
      <c r="G468" s="109" t="s">
        <v>16</v>
      </c>
      <c r="H468" s="161">
        <v>200</v>
      </c>
      <c r="I468" s="161">
        <v>200</v>
      </c>
      <c r="J468" s="109"/>
      <c r="K468" s="160"/>
      <c r="L468" s="105">
        <v>20201118</v>
      </c>
    </row>
    <row r="469" s="146" customFormat="1" ht="15.2" customHeight="1" spans="1:12">
      <c r="A469" s="109">
        <v>467</v>
      </c>
      <c r="B469" s="158" t="s">
        <v>11090</v>
      </c>
      <c r="C469" s="161" t="s">
        <v>11975</v>
      </c>
      <c r="D469" s="122" t="s">
        <v>11976</v>
      </c>
      <c r="E469" s="102" t="s">
        <v>15</v>
      </c>
      <c r="F469" s="102" t="s">
        <v>10250</v>
      </c>
      <c r="G469" s="109" t="s">
        <v>16</v>
      </c>
      <c r="H469" s="161">
        <v>200</v>
      </c>
      <c r="I469" s="161">
        <v>200</v>
      </c>
      <c r="J469" s="109"/>
      <c r="K469" s="160"/>
      <c r="L469" s="105">
        <v>20201118</v>
      </c>
    </row>
    <row r="470" s="146" customFormat="1" ht="15.2" customHeight="1" spans="1:12">
      <c r="A470" s="109">
        <v>468</v>
      </c>
      <c r="B470" s="158" t="s">
        <v>11090</v>
      </c>
      <c r="C470" s="161" t="s">
        <v>11977</v>
      </c>
      <c r="D470" s="122" t="s">
        <v>11978</v>
      </c>
      <c r="E470" s="102" t="s">
        <v>15</v>
      </c>
      <c r="F470" s="102" t="s">
        <v>10250</v>
      </c>
      <c r="G470" s="109" t="s">
        <v>16</v>
      </c>
      <c r="H470" s="161">
        <v>200</v>
      </c>
      <c r="I470" s="161">
        <v>200</v>
      </c>
      <c r="J470" s="109"/>
      <c r="K470" s="160"/>
      <c r="L470" s="105">
        <v>20201118</v>
      </c>
    </row>
    <row r="471" s="146" customFormat="1" ht="15.2" customHeight="1" spans="1:12">
      <c r="A471" s="109">
        <v>469</v>
      </c>
      <c r="B471" s="158" t="s">
        <v>11090</v>
      </c>
      <c r="C471" s="161" t="s">
        <v>11979</v>
      </c>
      <c r="D471" s="122" t="s">
        <v>11980</v>
      </c>
      <c r="E471" s="102" t="s">
        <v>15</v>
      </c>
      <c r="F471" s="102" t="s">
        <v>10250</v>
      </c>
      <c r="G471" s="109" t="s">
        <v>16</v>
      </c>
      <c r="H471" s="161">
        <v>200</v>
      </c>
      <c r="I471" s="161">
        <v>200</v>
      </c>
      <c r="J471" s="109"/>
      <c r="K471" s="160"/>
      <c r="L471" s="105">
        <v>20201118</v>
      </c>
    </row>
    <row r="472" s="146" customFormat="1" ht="15.2" customHeight="1" spans="1:12">
      <c r="A472" s="109">
        <v>470</v>
      </c>
      <c r="B472" s="158" t="s">
        <v>11090</v>
      </c>
      <c r="C472" s="161" t="s">
        <v>11981</v>
      </c>
      <c r="D472" s="122" t="s">
        <v>11982</v>
      </c>
      <c r="E472" s="102" t="s">
        <v>15</v>
      </c>
      <c r="F472" s="102" t="s">
        <v>10250</v>
      </c>
      <c r="G472" s="109" t="s">
        <v>16</v>
      </c>
      <c r="H472" s="161">
        <v>200</v>
      </c>
      <c r="I472" s="161">
        <v>200</v>
      </c>
      <c r="J472" s="109"/>
      <c r="K472" s="160"/>
      <c r="L472" s="105">
        <v>20201118</v>
      </c>
    </row>
    <row r="473" s="146" customFormat="1" ht="15.2" customHeight="1" spans="1:12">
      <c r="A473" s="109">
        <v>471</v>
      </c>
      <c r="B473" s="158" t="s">
        <v>11090</v>
      </c>
      <c r="C473" s="161" t="s">
        <v>11983</v>
      </c>
      <c r="D473" s="122" t="s">
        <v>11984</v>
      </c>
      <c r="E473" s="102" t="s">
        <v>15</v>
      </c>
      <c r="F473" s="102" t="s">
        <v>10250</v>
      </c>
      <c r="G473" s="109" t="s">
        <v>16</v>
      </c>
      <c r="H473" s="161">
        <v>200</v>
      </c>
      <c r="I473" s="161">
        <v>200</v>
      </c>
      <c r="J473" s="109"/>
      <c r="K473" s="160"/>
      <c r="L473" s="105">
        <v>20201118</v>
      </c>
    </row>
    <row r="474" s="146" customFormat="1" ht="15.2" customHeight="1" spans="1:12">
      <c r="A474" s="109">
        <v>472</v>
      </c>
      <c r="B474" s="158" t="s">
        <v>11090</v>
      </c>
      <c r="C474" s="161" t="s">
        <v>11985</v>
      </c>
      <c r="D474" s="122" t="s">
        <v>11986</v>
      </c>
      <c r="E474" s="102" t="s">
        <v>15</v>
      </c>
      <c r="F474" s="102" t="s">
        <v>10250</v>
      </c>
      <c r="G474" s="109" t="s">
        <v>16</v>
      </c>
      <c r="H474" s="161">
        <v>200</v>
      </c>
      <c r="I474" s="161">
        <v>200</v>
      </c>
      <c r="J474" s="109"/>
      <c r="K474" s="160"/>
      <c r="L474" s="105">
        <v>20201118</v>
      </c>
    </row>
    <row r="475" s="146" customFormat="1" ht="15.2" customHeight="1" spans="1:12">
      <c r="A475" s="109">
        <v>473</v>
      </c>
      <c r="B475" s="158" t="s">
        <v>11090</v>
      </c>
      <c r="C475" s="161" t="s">
        <v>11987</v>
      </c>
      <c r="D475" s="122" t="s">
        <v>11988</v>
      </c>
      <c r="E475" s="102" t="s">
        <v>15</v>
      </c>
      <c r="F475" s="102" t="s">
        <v>10250</v>
      </c>
      <c r="G475" s="109" t="s">
        <v>16</v>
      </c>
      <c r="H475" s="161">
        <v>200</v>
      </c>
      <c r="I475" s="161">
        <v>200</v>
      </c>
      <c r="J475" s="109"/>
      <c r="K475" s="160"/>
      <c r="L475" s="105">
        <v>20201118</v>
      </c>
    </row>
    <row r="476" s="146" customFormat="1" ht="15.2" customHeight="1" spans="1:12">
      <c r="A476" s="109">
        <v>474</v>
      </c>
      <c r="B476" s="158" t="s">
        <v>11090</v>
      </c>
      <c r="C476" s="161" t="s">
        <v>11989</v>
      </c>
      <c r="D476" s="122" t="s">
        <v>11990</v>
      </c>
      <c r="E476" s="102" t="s">
        <v>15</v>
      </c>
      <c r="F476" s="102" t="s">
        <v>10250</v>
      </c>
      <c r="G476" s="109" t="s">
        <v>16</v>
      </c>
      <c r="H476" s="161">
        <v>200</v>
      </c>
      <c r="I476" s="161">
        <v>200</v>
      </c>
      <c r="J476" s="109"/>
      <c r="K476" s="160"/>
      <c r="L476" s="105">
        <v>20201118</v>
      </c>
    </row>
    <row r="477" s="146" customFormat="1" ht="15.2" customHeight="1" spans="1:12">
      <c r="A477" s="109">
        <v>475</v>
      </c>
      <c r="B477" s="158" t="s">
        <v>11090</v>
      </c>
      <c r="C477" s="161" t="s">
        <v>11991</v>
      </c>
      <c r="D477" s="122" t="s">
        <v>11992</v>
      </c>
      <c r="E477" s="102" t="s">
        <v>15</v>
      </c>
      <c r="F477" s="102" t="s">
        <v>10250</v>
      </c>
      <c r="G477" s="109" t="s">
        <v>16</v>
      </c>
      <c r="H477" s="161">
        <v>200</v>
      </c>
      <c r="I477" s="161">
        <v>200</v>
      </c>
      <c r="J477" s="109"/>
      <c r="K477" s="160"/>
      <c r="L477" s="105">
        <v>20201118</v>
      </c>
    </row>
    <row r="478" s="146" customFormat="1" ht="15.2" customHeight="1" spans="1:12">
      <c r="A478" s="109">
        <v>476</v>
      </c>
      <c r="B478" s="158" t="s">
        <v>11090</v>
      </c>
      <c r="C478" s="161" t="s">
        <v>11993</v>
      </c>
      <c r="D478" s="122" t="s">
        <v>11994</v>
      </c>
      <c r="E478" s="102" t="s">
        <v>15</v>
      </c>
      <c r="F478" s="102" t="s">
        <v>10250</v>
      </c>
      <c r="G478" s="109" t="s">
        <v>16</v>
      </c>
      <c r="H478" s="161">
        <v>200</v>
      </c>
      <c r="I478" s="161">
        <v>200</v>
      </c>
      <c r="J478" s="109"/>
      <c r="K478" s="160"/>
      <c r="L478" s="105">
        <v>20201118</v>
      </c>
    </row>
    <row r="479" s="146" customFormat="1" ht="15.2" customHeight="1" spans="1:12">
      <c r="A479" s="109">
        <v>477</v>
      </c>
      <c r="B479" s="158" t="s">
        <v>11090</v>
      </c>
      <c r="C479" s="161" t="s">
        <v>11995</v>
      </c>
      <c r="D479" s="122" t="s">
        <v>11996</v>
      </c>
      <c r="E479" s="102" t="s">
        <v>15</v>
      </c>
      <c r="F479" s="102" t="s">
        <v>10250</v>
      </c>
      <c r="G479" s="109" t="s">
        <v>16</v>
      </c>
      <c r="H479" s="161">
        <v>200</v>
      </c>
      <c r="I479" s="161">
        <v>200</v>
      </c>
      <c r="J479" s="109"/>
      <c r="K479" s="160"/>
      <c r="L479" s="105">
        <v>20201118</v>
      </c>
    </row>
    <row r="480" s="146" customFormat="1" ht="15.2" customHeight="1" spans="1:12">
      <c r="A480" s="109">
        <v>478</v>
      </c>
      <c r="B480" s="158" t="s">
        <v>11090</v>
      </c>
      <c r="C480" s="161" t="s">
        <v>10412</v>
      </c>
      <c r="D480" s="122" t="s">
        <v>11997</v>
      </c>
      <c r="E480" s="102" t="s">
        <v>15</v>
      </c>
      <c r="F480" s="102" t="s">
        <v>10250</v>
      </c>
      <c r="G480" s="109" t="s">
        <v>16</v>
      </c>
      <c r="H480" s="161">
        <v>200</v>
      </c>
      <c r="I480" s="161">
        <v>200</v>
      </c>
      <c r="J480" s="109"/>
      <c r="K480" s="160"/>
      <c r="L480" s="105">
        <v>20201118</v>
      </c>
    </row>
    <row r="481" s="146" customFormat="1" ht="15.2" customHeight="1" spans="1:12">
      <c r="A481" s="109">
        <v>479</v>
      </c>
      <c r="B481" s="158" t="s">
        <v>11090</v>
      </c>
      <c r="C481" s="161" t="s">
        <v>11998</v>
      </c>
      <c r="D481" s="122" t="s">
        <v>11999</v>
      </c>
      <c r="E481" s="102" t="s">
        <v>15</v>
      </c>
      <c r="F481" s="102" t="s">
        <v>10250</v>
      </c>
      <c r="G481" s="109" t="s">
        <v>16</v>
      </c>
      <c r="H481" s="161">
        <v>200</v>
      </c>
      <c r="I481" s="161">
        <v>200</v>
      </c>
      <c r="J481" s="109"/>
      <c r="K481" s="160"/>
      <c r="L481" s="105">
        <v>20201118</v>
      </c>
    </row>
    <row r="482" s="146" customFormat="1" ht="15.2" customHeight="1" spans="1:12">
      <c r="A482" s="109">
        <v>480</v>
      </c>
      <c r="B482" s="158" t="s">
        <v>11090</v>
      </c>
      <c r="C482" s="161" t="s">
        <v>12000</v>
      </c>
      <c r="D482" s="122" t="s">
        <v>12001</v>
      </c>
      <c r="E482" s="102" t="s">
        <v>15</v>
      </c>
      <c r="F482" s="102" t="s">
        <v>10250</v>
      </c>
      <c r="G482" s="109" t="s">
        <v>16</v>
      </c>
      <c r="H482" s="161">
        <v>200</v>
      </c>
      <c r="I482" s="161">
        <v>200</v>
      </c>
      <c r="J482" s="109"/>
      <c r="K482" s="160"/>
      <c r="L482" s="105">
        <v>20201118</v>
      </c>
    </row>
    <row r="483" s="146" customFormat="1" ht="15.2" customHeight="1" spans="1:12">
      <c r="A483" s="109">
        <v>481</v>
      </c>
      <c r="B483" s="158" t="s">
        <v>11090</v>
      </c>
      <c r="C483" s="161" t="s">
        <v>12002</v>
      </c>
      <c r="D483" s="122" t="s">
        <v>12003</v>
      </c>
      <c r="E483" s="102" t="s">
        <v>15</v>
      </c>
      <c r="F483" s="102" t="s">
        <v>10250</v>
      </c>
      <c r="G483" s="109" t="s">
        <v>16</v>
      </c>
      <c r="H483" s="161">
        <v>200</v>
      </c>
      <c r="I483" s="161">
        <v>200</v>
      </c>
      <c r="J483" s="109"/>
      <c r="K483" s="160"/>
      <c r="L483" s="105">
        <v>20201118</v>
      </c>
    </row>
    <row r="484" s="146" customFormat="1" ht="15.2" customHeight="1" spans="1:12">
      <c r="A484" s="109">
        <v>482</v>
      </c>
      <c r="B484" s="158" t="s">
        <v>11090</v>
      </c>
      <c r="C484" s="161" t="s">
        <v>12004</v>
      </c>
      <c r="D484" s="122" t="s">
        <v>12005</v>
      </c>
      <c r="E484" s="102" t="s">
        <v>15</v>
      </c>
      <c r="F484" s="102" t="s">
        <v>10250</v>
      </c>
      <c r="G484" s="109" t="s">
        <v>16</v>
      </c>
      <c r="H484" s="161">
        <v>200</v>
      </c>
      <c r="I484" s="161">
        <v>200</v>
      </c>
      <c r="J484" s="109"/>
      <c r="K484" s="160"/>
      <c r="L484" s="105">
        <v>20201118</v>
      </c>
    </row>
    <row r="485" s="146" customFormat="1" ht="15.2" customHeight="1" spans="1:12">
      <c r="A485" s="109">
        <v>483</v>
      </c>
      <c r="B485" s="158" t="s">
        <v>11090</v>
      </c>
      <c r="C485" s="161" t="s">
        <v>12006</v>
      </c>
      <c r="D485" s="122" t="s">
        <v>12007</v>
      </c>
      <c r="E485" s="102" t="s">
        <v>15</v>
      </c>
      <c r="F485" s="102" t="s">
        <v>10250</v>
      </c>
      <c r="G485" s="109" t="s">
        <v>16</v>
      </c>
      <c r="H485" s="161">
        <v>200</v>
      </c>
      <c r="I485" s="161">
        <v>200</v>
      </c>
      <c r="J485" s="109"/>
      <c r="K485" s="160"/>
      <c r="L485" s="105">
        <v>20201118</v>
      </c>
    </row>
    <row r="486" s="146" customFormat="1" ht="15.2" customHeight="1" spans="1:12">
      <c r="A486" s="109">
        <v>484</v>
      </c>
      <c r="B486" s="158" t="s">
        <v>11090</v>
      </c>
      <c r="C486" s="161" t="s">
        <v>12008</v>
      </c>
      <c r="D486" s="130" t="s">
        <v>12009</v>
      </c>
      <c r="E486" s="102" t="s">
        <v>15</v>
      </c>
      <c r="F486" s="102" t="s">
        <v>10250</v>
      </c>
      <c r="G486" s="109" t="s">
        <v>16</v>
      </c>
      <c r="H486" s="161">
        <v>200</v>
      </c>
      <c r="I486" s="161">
        <v>200</v>
      </c>
      <c r="J486" s="109"/>
      <c r="K486" s="160"/>
      <c r="L486" s="105">
        <v>20201118</v>
      </c>
    </row>
    <row r="487" s="146" customFormat="1" ht="15.2" customHeight="1" spans="1:12">
      <c r="A487" s="109">
        <v>485</v>
      </c>
      <c r="B487" s="158" t="s">
        <v>11090</v>
      </c>
      <c r="C487" s="161" t="s">
        <v>12010</v>
      </c>
      <c r="D487" s="122" t="s">
        <v>12011</v>
      </c>
      <c r="E487" s="102" t="s">
        <v>15</v>
      </c>
      <c r="F487" s="102" t="s">
        <v>10250</v>
      </c>
      <c r="G487" s="109" t="s">
        <v>16</v>
      </c>
      <c r="H487" s="161">
        <v>200</v>
      </c>
      <c r="I487" s="161">
        <v>200</v>
      </c>
      <c r="J487" s="109"/>
      <c r="K487" s="160"/>
      <c r="L487" s="105">
        <v>20201118</v>
      </c>
    </row>
    <row r="488" s="146" customFormat="1" ht="15.2" customHeight="1" spans="1:12">
      <c r="A488" s="109">
        <v>486</v>
      </c>
      <c r="B488" s="158" t="s">
        <v>11090</v>
      </c>
      <c r="C488" s="161" t="s">
        <v>12012</v>
      </c>
      <c r="D488" s="122" t="s">
        <v>12013</v>
      </c>
      <c r="E488" s="102" t="s">
        <v>15</v>
      </c>
      <c r="F488" s="102" t="s">
        <v>10250</v>
      </c>
      <c r="G488" s="109" t="s">
        <v>16</v>
      </c>
      <c r="H488" s="161">
        <v>200</v>
      </c>
      <c r="I488" s="161">
        <v>200</v>
      </c>
      <c r="J488" s="109" t="s">
        <v>108</v>
      </c>
      <c r="K488" s="160"/>
      <c r="L488" s="105">
        <v>20201118</v>
      </c>
    </row>
    <row r="489" s="146" customFormat="1" ht="15.2" customHeight="1" spans="1:12">
      <c r="A489" s="109">
        <v>487</v>
      </c>
      <c r="B489" s="158" t="s">
        <v>11090</v>
      </c>
      <c r="C489" s="161" t="s">
        <v>12014</v>
      </c>
      <c r="D489" s="122" t="s">
        <v>12015</v>
      </c>
      <c r="E489" s="102" t="s">
        <v>15</v>
      </c>
      <c r="F489" s="102" t="s">
        <v>10250</v>
      </c>
      <c r="G489" s="109" t="s">
        <v>16</v>
      </c>
      <c r="H489" s="161">
        <v>200</v>
      </c>
      <c r="I489" s="161">
        <v>200</v>
      </c>
      <c r="J489" s="109"/>
      <c r="K489" s="160"/>
      <c r="L489" s="105">
        <v>20201118</v>
      </c>
    </row>
    <row r="490" s="146" customFormat="1" ht="15.2" customHeight="1" spans="1:12">
      <c r="A490" s="109">
        <v>488</v>
      </c>
      <c r="B490" s="158" t="s">
        <v>11090</v>
      </c>
      <c r="C490" s="161" t="s">
        <v>12016</v>
      </c>
      <c r="D490" s="130" t="s">
        <v>12017</v>
      </c>
      <c r="E490" s="102" t="s">
        <v>15</v>
      </c>
      <c r="F490" s="102" t="s">
        <v>10250</v>
      </c>
      <c r="G490" s="109" t="s">
        <v>16</v>
      </c>
      <c r="H490" s="161">
        <v>200</v>
      </c>
      <c r="I490" s="161">
        <v>200</v>
      </c>
      <c r="J490" s="109"/>
      <c r="K490" s="160"/>
      <c r="L490" s="105">
        <v>20201118</v>
      </c>
    </row>
    <row r="491" s="146" customFormat="1" ht="15.2" customHeight="1" spans="1:12">
      <c r="A491" s="109">
        <v>489</v>
      </c>
      <c r="B491" s="158" t="s">
        <v>11090</v>
      </c>
      <c r="C491" s="161" t="s">
        <v>12018</v>
      </c>
      <c r="D491" s="130" t="s">
        <v>12019</v>
      </c>
      <c r="E491" s="102" t="s">
        <v>15</v>
      </c>
      <c r="F491" s="102" t="s">
        <v>10250</v>
      </c>
      <c r="G491" s="109" t="s">
        <v>16</v>
      </c>
      <c r="H491" s="161">
        <v>200</v>
      </c>
      <c r="I491" s="161">
        <v>200</v>
      </c>
      <c r="J491" s="102"/>
      <c r="K491" s="160"/>
      <c r="L491" s="105">
        <v>20201118</v>
      </c>
    </row>
    <row r="492" s="146" customFormat="1" ht="15.2" customHeight="1" spans="1:12">
      <c r="A492" s="109">
        <v>490</v>
      </c>
      <c r="B492" s="158" t="s">
        <v>11090</v>
      </c>
      <c r="C492" s="161" t="s">
        <v>12020</v>
      </c>
      <c r="D492" s="122" t="s">
        <v>12021</v>
      </c>
      <c r="E492" s="102" t="s">
        <v>15</v>
      </c>
      <c r="F492" s="102" t="s">
        <v>10250</v>
      </c>
      <c r="G492" s="109" t="s">
        <v>16</v>
      </c>
      <c r="H492" s="161">
        <v>200</v>
      </c>
      <c r="I492" s="161">
        <v>200</v>
      </c>
      <c r="J492" s="102"/>
      <c r="K492" s="160"/>
      <c r="L492" s="105">
        <v>20201118</v>
      </c>
    </row>
    <row r="493" s="146" customFormat="1" ht="15.2" customHeight="1" spans="1:12">
      <c r="A493" s="109">
        <v>491</v>
      </c>
      <c r="B493" s="158" t="s">
        <v>11090</v>
      </c>
      <c r="C493" s="161" t="s">
        <v>1440</v>
      </c>
      <c r="D493" s="122" t="s">
        <v>12022</v>
      </c>
      <c r="E493" s="102" t="s">
        <v>15</v>
      </c>
      <c r="F493" s="102" t="s">
        <v>10250</v>
      </c>
      <c r="G493" s="109" t="s">
        <v>16</v>
      </c>
      <c r="H493" s="161">
        <v>200</v>
      </c>
      <c r="I493" s="161">
        <v>200</v>
      </c>
      <c r="J493" s="102"/>
      <c r="K493" s="160"/>
      <c r="L493" s="105">
        <v>20201118</v>
      </c>
    </row>
    <row r="494" s="146" customFormat="1" ht="15.2" customHeight="1" spans="1:12">
      <c r="A494" s="109">
        <v>492</v>
      </c>
      <c r="B494" s="158" t="s">
        <v>11090</v>
      </c>
      <c r="C494" s="161" t="s">
        <v>12023</v>
      </c>
      <c r="D494" s="122" t="s">
        <v>12024</v>
      </c>
      <c r="E494" s="102" t="s">
        <v>15</v>
      </c>
      <c r="F494" s="102" t="s">
        <v>10250</v>
      </c>
      <c r="G494" s="109" t="s">
        <v>16</v>
      </c>
      <c r="H494" s="161">
        <v>200</v>
      </c>
      <c r="I494" s="161">
        <v>200</v>
      </c>
      <c r="J494" s="102"/>
      <c r="K494" s="160"/>
      <c r="L494" s="105">
        <v>20201118</v>
      </c>
    </row>
    <row r="495" s="146" customFormat="1" ht="15.2" customHeight="1" spans="1:12">
      <c r="A495" s="109">
        <v>493</v>
      </c>
      <c r="B495" s="158" t="s">
        <v>11090</v>
      </c>
      <c r="C495" s="161" t="s">
        <v>12025</v>
      </c>
      <c r="D495" s="122" t="s">
        <v>12026</v>
      </c>
      <c r="E495" s="102" t="s">
        <v>15</v>
      </c>
      <c r="F495" s="102" t="s">
        <v>10250</v>
      </c>
      <c r="G495" s="109" t="s">
        <v>16</v>
      </c>
      <c r="H495" s="161">
        <v>200</v>
      </c>
      <c r="I495" s="161">
        <v>200</v>
      </c>
      <c r="J495" s="102"/>
      <c r="K495" s="160"/>
      <c r="L495" s="105">
        <v>20201118</v>
      </c>
    </row>
    <row r="496" s="146" customFormat="1" ht="15.2" customHeight="1" spans="1:12">
      <c r="A496" s="109">
        <v>494</v>
      </c>
      <c r="B496" s="158" t="s">
        <v>11090</v>
      </c>
      <c r="C496" s="161" t="s">
        <v>12027</v>
      </c>
      <c r="D496" s="122" t="s">
        <v>12028</v>
      </c>
      <c r="E496" s="102" t="s">
        <v>15</v>
      </c>
      <c r="F496" s="102" t="s">
        <v>10250</v>
      </c>
      <c r="G496" s="109" t="s">
        <v>16</v>
      </c>
      <c r="H496" s="161">
        <v>200</v>
      </c>
      <c r="I496" s="161">
        <v>200</v>
      </c>
      <c r="J496" s="102"/>
      <c r="K496" s="160"/>
      <c r="L496" s="105">
        <v>20201118</v>
      </c>
    </row>
    <row r="497" s="146" customFormat="1" ht="15.2" customHeight="1" spans="1:12">
      <c r="A497" s="109">
        <v>495</v>
      </c>
      <c r="B497" s="158" t="s">
        <v>11090</v>
      </c>
      <c r="C497" s="161" t="s">
        <v>12029</v>
      </c>
      <c r="D497" s="122" t="s">
        <v>12030</v>
      </c>
      <c r="E497" s="102" t="s">
        <v>15</v>
      </c>
      <c r="F497" s="102" t="s">
        <v>10250</v>
      </c>
      <c r="G497" s="109" t="s">
        <v>16</v>
      </c>
      <c r="H497" s="161">
        <v>200</v>
      </c>
      <c r="I497" s="161">
        <v>200</v>
      </c>
      <c r="J497" s="102"/>
      <c r="K497" s="160"/>
      <c r="L497" s="105">
        <v>20201118</v>
      </c>
    </row>
    <row r="498" s="146" customFormat="1" ht="15.2" customHeight="1" spans="1:12">
      <c r="A498" s="109">
        <v>496</v>
      </c>
      <c r="B498" s="158" t="s">
        <v>11090</v>
      </c>
      <c r="C498" s="161" t="s">
        <v>12031</v>
      </c>
      <c r="D498" s="122" t="s">
        <v>12032</v>
      </c>
      <c r="E498" s="102" t="s">
        <v>15</v>
      </c>
      <c r="F498" s="102" t="s">
        <v>10250</v>
      </c>
      <c r="G498" s="109" t="s">
        <v>16</v>
      </c>
      <c r="H498" s="161">
        <v>200</v>
      </c>
      <c r="I498" s="161">
        <v>200</v>
      </c>
      <c r="J498" s="102"/>
      <c r="K498" s="160"/>
      <c r="L498" s="105">
        <v>20201118</v>
      </c>
    </row>
    <row r="499" s="146" customFormat="1" ht="15.2" customHeight="1" spans="1:12">
      <c r="A499" s="109">
        <v>497</v>
      </c>
      <c r="B499" s="158" t="s">
        <v>11090</v>
      </c>
      <c r="C499" s="161" t="s">
        <v>12033</v>
      </c>
      <c r="D499" s="122" t="s">
        <v>12034</v>
      </c>
      <c r="E499" s="102" t="s">
        <v>15</v>
      </c>
      <c r="F499" s="102" t="s">
        <v>10250</v>
      </c>
      <c r="G499" s="109" t="s">
        <v>16</v>
      </c>
      <c r="H499" s="161">
        <v>200</v>
      </c>
      <c r="I499" s="161">
        <v>200</v>
      </c>
      <c r="J499" s="102"/>
      <c r="K499" s="160"/>
      <c r="L499" s="105">
        <v>20201118</v>
      </c>
    </row>
    <row r="500" s="146" customFormat="1" ht="15.2" customHeight="1" spans="1:12">
      <c r="A500" s="109">
        <v>498</v>
      </c>
      <c r="B500" s="158" t="s">
        <v>11090</v>
      </c>
      <c r="C500" s="161" t="s">
        <v>12035</v>
      </c>
      <c r="D500" s="122" t="s">
        <v>12036</v>
      </c>
      <c r="E500" s="102" t="s">
        <v>15</v>
      </c>
      <c r="F500" s="102" t="s">
        <v>10250</v>
      </c>
      <c r="G500" s="109" t="s">
        <v>16</v>
      </c>
      <c r="H500" s="161">
        <v>200</v>
      </c>
      <c r="I500" s="161">
        <v>200</v>
      </c>
      <c r="J500" s="102"/>
      <c r="K500" s="160"/>
      <c r="L500" s="105">
        <v>20201118</v>
      </c>
    </row>
    <row r="501" s="146" customFormat="1" ht="15.2" customHeight="1" spans="1:12">
      <c r="A501" s="109">
        <v>499</v>
      </c>
      <c r="B501" s="158" t="s">
        <v>11090</v>
      </c>
      <c r="C501" s="161" t="s">
        <v>4481</v>
      </c>
      <c r="D501" s="122" t="s">
        <v>12037</v>
      </c>
      <c r="E501" s="102" t="s">
        <v>15</v>
      </c>
      <c r="F501" s="102" t="s">
        <v>10250</v>
      </c>
      <c r="G501" s="109" t="s">
        <v>16</v>
      </c>
      <c r="H501" s="161">
        <v>200</v>
      </c>
      <c r="I501" s="161">
        <v>200</v>
      </c>
      <c r="J501" s="102"/>
      <c r="K501" s="160"/>
      <c r="L501" s="105">
        <v>20201118</v>
      </c>
    </row>
    <row r="502" s="146" customFormat="1" ht="15.2" customHeight="1" spans="1:12">
      <c r="A502" s="109">
        <v>500</v>
      </c>
      <c r="B502" s="158" t="s">
        <v>11090</v>
      </c>
      <c r="C502" s="161" t="s">
        <v>12038</v>
      </c>
      <c r="D502" s="122" t="s">
        <v>12039</v>
      </c>
      <c r="E502" s="102" t="s">
        <v>15</v>
      </c>
      <c r="F502" s="102" t="s">
        <v>10250</v>
      </c>
      <c r="G502" s="109" t="s">
        <v>16</v>
      </c>
      <c r="H502" s="161">
        <v>200</v>
      </c>
      <c r="I502" s="161">
        <v>200</v>
      </c>
      <c r="J502" s="102"/>
      <c r="K502" s="160"/>
      <c r="L502" s="105">
        <v>20201118</v>
      </c>
    </row>
    <row r="503" s="146" customFormat="1" ht="15.2" customHeight="1" spans="1:12">
      <c r="A503" s="109">
        <v>501</v>
      </c>
      <c r="B503" s="158" t="s">
        <v>11090</v>
      </c>
      <c r="C503" s="161" t="s">
        <v>4981</v>
      </c>
      <c r="D503" s="122" t="s">
        <v>12040</v>
      </c>
      <c r="E503" s="102" t="s">
        <v>15</v>
      </c>
      <c r="F503" s="102" t="s">
        <v>10250</v>
      </c>
      <c r="G503" s="109" t="s">
        <v>16</v>
      </c>
      <c r="H503" s="161">
        <v>200</v>
      </c>
      <c r="I503" s="161">
        <v>200</v>
      </c>
      <c r="J503" s="102"/>
      <c r="K503" s="160"/>
      <c r="L503" s="105">
        <v>20201118</v>
      </c>
    </row>
    <row r="504" s="146" customFormat="1" ht="15.2" customHeight="1" spans="1:12">
      <c r="A504" s="109">
        <v>502</v>
      </c>
      <c r="B504" s="158" t="s">
        <v>11090</v>
      </c>
      <c r="C504" s="161" t="s">
        <v>12041</v>
      </c>
      <c r="D504" s="122" t="s">
        <v>12042</v>
      </c>
      <c r="E504" s="102" t="s">
        <v>15</v>
      </c>
      <c r="F504" s="102" t="s">
        <v>10250</v>
      </c>
      <c r="G504" s="109" t="s">
        <v>16</v>
      </c>
      <c r="H504" s="161">
        <v>200</v>
      </c>
      <c r="I504" s="161">
        <v>200</v>
      </c>
      <c r="J504" s="102"/>
      <c r="K504" s="160"/>
      <c r="L504" s="105">
        <v>20201118</v>
      </c>
    </row>
    <row r="505" s="146" customFormat="1" ht="15.2" customHeight="1" spans="1:12">
      <c r="A505" s="109">
        <v>503</v>
      </c>
      <c r="B505" s="158" t="s">
        <v>11090</v>
      </c>
      <c r="C505" s="161" t="s">
        <v>12043</v>
      </c>
      <c r="D505" s="122" t="s">
        <v>12044</v>
      </c>
      <c r="E505" s="102" t="s">
        <v>15</v>
      </c>
      <c r="F505" s="102" t="s">
        <v>10250</v>
      </c>
      <c r="G505" s="109" t="s">
        <v>16</v>
      </c>
      <c r="H505" s="161">
        <v>200</v>
      </c>
      <c r="I505" s="161">
        <v>200</v>
      </c>
      <c r="J505" s="102"/>
      <c r="K505" s="160"/>
      <c r="L505" s="105">
        <v>20201118</v>
      </c>
    </row>
    <row r="506" s="146" customFormat="1" ht="15.2" customHeight="1" spans="1:12">
      <c r="A506" s="109">
        <v>504</v>
      </c>
      <c r="B506" s="158" t="s">
        <v>11090</v>
      </c>
      <c r="C506" s="161" t="s">
        <v>12045</v>
      </c>
      <c r="D506" s="122" t="s">
        <v>12046</v>
      </c>
      <c r="E506" s="102" t="s">
        <v>15</v>
      </c>
      <c r="F506" s="102" t="s">
        <v>10250</v>
      </c>
      <c r="G506" s="109" t="s">
        <v>16</v>
      </c>
      <c r="H506" s="161">
        <v>200</v>
      </c>
      <c r="I506" s="161">
        <v>200</v>
      </c>
      <c r="J506" s="102"/>
      <c r="K506" s="160"/>
      <c r="L506" s="105">
        <v>20201118</v>
      </c>
    </row>
    <row r="507" s="146" customFormat="1" ht="15.2" customHeight="1" spans="1:12">
      <c r="A507" s="109">
        <v>505</v>
      </c>
      <c r="B507" s="158" t="s">
        <v>11090</v>
      </c>
      <c r="C507" s="161" t="s">
        <v>12047</v>
      </c>
      <c r="D507" s="122" t="s">
        <v>12048</v>
      </c>
      <c r="E507" s="102" t="s">
        <v>15</v>
      </c>
      <c r="F507" s="102" t="s">
        <v>10250</v>
      </c>
      <c r="G507" s="109" t="s">
        <v>16</v>
      </c>
      <c r="H507" s="161">
        <v>200</v>
      </c>
      <c r="I507" s="161">
        <v>200</v>
      </c>
      <c r="J507" s="102"/>
      <c r="K507" s="160"/>
      <c r="L507" s="105">
        <v>20201118</v>
      </c>
    </row>
    <row r="508" s="146" customFormat="1" ht="15.2" customHeight="1" spans="1:12">
      <c r="A508" s="109">
        <v>506</v>
      </c>
      <c r="B508" s="158" t="s">
        <v>11090</v>
      </c>
      <c r="C508" s="161" t="s">
        <v>12049</v>
      </c>
      <c r="D508" s="122" t="s">
        <v>12050</v>
      </c>
      <c r="E508" s="102" t="s">
        <v>15</v>
      </c>
      <c r="F508" s="102" t="s">
        <v>10250</v>
      </c>
      <c r="G508" s="109" t="s">
        <v>16</v>
      </c>
      <c r="H508" s="161">
        <v>200</v>
      </c>
      <c r="I508" s="161">
        <v>200</v>
      </c>
      <c r="J508" s="102"/>
      <c r="K508" s="160"/>
      <c r="L508" s="105">
        <v>20201118</v>
      </c>
    </row>
    <row r="509" s="146" customFormat="1" ht="15.2" customHeight="1" spans="1:12">
      <c r="A509" s="109">
        <v>507</v>
      </c>
      <c r="B509" s="158" t="s">
        <v>11090</v>
      </c>
      <c r="C509" s="161" t="s">
        <v>12051</v>
      </c>
      <c r="D509" s="122" t="s">
        <v>12052</v>
      </c>
      <c r="E509" s="102" t="s">
        <v>15</v>
      </c>
      <c r="F509" s="102" t="s">
        <v>10250</v>
      </c>
      <c r="G509" s="109" t="s">
        <v>16</v>
      </c>
      <c r="H509" s="161">
        <v>200</v>
      </c>
      <c r="I509" s="161">
        <v>200</v>
      </c>
      <c r="J509" s="102"/>
      <c r="K509" s="160"/>
      <c r="L509" s="105">
        <v>20201118</v>
      </c>
    </row>
    <row r="510" s="146" customFormat="1" ht="15.2" customHeight="1" spans="1:12">
      <c r="A510" s="109">
        <v>508</v>
      </c>
      <c r="B510" s="158" t="s">
        <v>11090</v>
      </c>
      <c r="C510" s="161" t="s">
        <v>12053</v>
      </c>
      <c r="D510" s="122" t="s">
        <v>12054</v>
      </c>
      <c r="E510" s="102" t="s">
        <v>15</v>
      </c>
      <c r="F510" s="102" t="s">
        <v>10250</v>
      </c>
      <c r="G510" s="109" t="s">
        <v>16</v>
      </c>
      <c r="H510" s="161">
        <v>200</v>
      </c>
      <c r="I510" s="161">
        <v>200</v>
      </c>
      <c r="J510" s="102"/>
      <c r="K510" s="160"/>
      <c r="L510" s="105">
        <v>20201118</v>
      </c>
    </row>
    <row r="511" s="146" customFormat="1" ht="15.2" customHeight="1" spans="1:12">
      <c r="A511" s="109">
        <v>509</v>
      </c>
      <c r="B511" s="158" t="s">
        <v>11090</v>
      </c>
      <c r="C511" s="161" t="s">
        <v>12055</v>
      </c>
      <c r="D511" s="122" t="s">
        <v>12056</v>
      </c>
      <c r="E511" s="102" t="s">
        <v>15</v>
      </c>
      <c r="F511" s="102" t="s">
        <v>10250</v>
      </c>
      <c r="G511" s="109" t="s">
        <v>16</v>
      </c>
      <c r="H511" s="161">
        <v>200</v>
      </c>
      <c r="I511" s="161">
        <v>200</v>
      </c>
      <c r="J511" s="102"/>
      <c r="K511" s="160"/>
      <c r="L511" s="105">
        <v>20201118</v>
      </c>
    </row>
    <row r="512" s="146" customFormat="1" ht="15.2" customHeight="1" spans="1:12">
      <c r="A512" s="109">
        <v>510</v>
      </c>
      <c r="B512" s="158" t="s">
        <v>11090</v>
      </c>
      <c r="C512" s="161" t="s">
        <v>12057</v>
      </c>
      <c r="D512" s="122" t="s">
        <v>12058</v>
      </c>
      <c r="E512" s="102" t="s">
        <v>15</v>
      </c>
      <c r="F512" s="102" t="s">
        <v>10250</v>
      </c>
      <c r="G512" s="109" t="s">
        <v>16</v>
      </c>
      <c r="H512" s="161">
        <v>200</v>
      </c>
      <c r="I512" s="161">
        <v>200</v>
      </c>
      <c r="J512" s="102"/>
      <c r="K512" s="160"/>
      <c r="L512" s="105">
        <v>20201118</v>
      </c>
    </row>
    <row r="513" s="146" customFormat="1" ht="15.2" customHeight="1" spans="1:12">
      <c r="A513" s="109">
        <v>511</v>
      </c>
      <c r="B513" s="158" t="s">
        <v>11090</v>
      </c>
      <c r="C513" s="161" t="s">
        <v>12059</v>
      </c>
      <c r="D513" s="122" t="s">
        <v>12060</v>
      </c>
      <c r="E513" s="102" t="s">
        <v>15</v>
      </c>
      <c r="F513" s="102" t="s">
        <v>10250</v>
      </c>
      <c r="G513" s="109" t="s">
        <v>16</v>
      </c>
      <c r="H513" s="32">
        <v>200</v>
      </c>
      <c r="I513" s="32">
        <v>200</v>
      </c>
      <c r="J513" s="102"/>
      <c r="K513" s="160"/>
      <c r="L513" s="105">
        <v>20201118</v>
      </c>
    </row>
    <row r="514" s="146" customFormat="1" ht="15.2" customHeight="1" spans="1:12">
      <c r="A514" s="109">
        <v>512</v>
      </c>
      <c r="B514" s="158" t="s">
        <v>11090</v>
      </c>
      <c r="C514" s="161" t="s">
        <v>12061</v>
      </c>
      <c r="D514" s="122" t="s">
        <v>12062</v>
      </c>
      <c r="E514" s="102" t="s">
        <v>15</v>
      </c>
      <c r="F514" s="102" t="s">
        <v>10250</v>
      </c>
      <c r="G514" s="109" t="s">
        <v>16</v>
      </c>
      <c r="H514" s="161">
        <v>200</v>
      </c>
      <c r="I514" s="161">
        <v>200</v>
      </c>
      <c r="J514" s="102"/>
      <c r="K514" s="160"/>
      <c r="L514" s="105">
        <v>20201118</v>
      </c>
    </row>
    <row r="515" s="146" customFormat="1" ht="15.2" customHeight="1" spans="1:12">
      <c r="A515" s="109">
        <v>513</v>
      </c>
      <c r="B515" s="158" t="s">
        <v>11090</v>
      </c>
      <c r="C515" s="161" t="s">
        <v>12063</v>
      </c>
      <c r="D515" s="122" t="s">
        <v>12064</v>
      </c>
      <c r="E515" s="102" t="s">
        <v>15</v>
      </c>
      <c r="F515" s="102" t="s">
        <v>10250</v>
      </c>
      <c r="G515" s="109" t="s">
        <v>16</v>
      </c>
      <c r="H515" s="161">
        <v>200</v>
      </c>
      <c r="I515" s="161">
        <v>200</v>
      </c>
      <c r="J515" s="102"/>
      <c r="K515" s="160"/>
      <c r="L515" s="105">
        <v>20201118</v>
      </c>
    </row>
    <row r="516" s="146" customFormat="1" ht="15.2" customHeight="1" spans="1:12">
      <c r="A516" s="109">
        <v>514</v>
      </c>
      <c r="B516" s="158" t="s">
        <v>11090</v>
      </c>
      <c r="C516" s="161" t="s">
        <v>12065</v>
      </c>
      <c r="D516" s="122" t="s">
        <v>12066</v>
      </c>
      <c r="E516" s="102" t="s">
        <v>15</v>
      </c>
      <c r="F516" s="102" t="s">
        <v>10250</v>
      </c>
      <c r="G516" s="109" t="s">
        <v>16</v>
      </c>
      <c r="H516" s="161">
        <v>200</v>
      </c>
      <c r="I516" s="161">
        <v>200</v>
      </c>
      <c r="J516" s="102"/>
      <c r="K516" s="160"/>
      <c r="L516" s="105">
        <v>20201118</v>
      </c>
    </row>
    <row r="517" s="146" customFormat="1" ht="15.2" customHeight="1" spans="1:12">
      <c r="A517" s="109">
        <v>515</v>
      </c>
      <c r="B517" s="158" t="s">
        <v>11090</v>
      </c>
      <c r="C517" s="161" t="s">
        <v>12067</v>
      </c>
      <c r="D517" s="122" t="s">
        <v>12068</v>
      </c>
      <c r="E517" s="102" t="s">
        <v>15</v>
      </c>
      <c r="F517" s="102" t="s">
        <v>10250</v>
      </c>
      <c r="G517" s="109" t="s">
        <v>16</v>
      </c>
      <c r="H517" s="161">
        <v>200</v>
      </c>
      <c r="I517" s="161">
        <v>200</v>
      </c>
      <c r="J517" s="102"/>
      <c r="K517" s="160"/>
      <c r="L517" s="105">
        <v>20201118</v>
      </c>
    </row>
    <row r="518" s="146" customFormat="1" ht="15.2" customHeight="1" spans="1:12">
      <c r="A518" s="109">
        <v>516</v>
      </c>
      <c r="B518" s="158" t="s">
        <v>11090</v>
      </c>
      <c r="C518" s="161" t="s">
        <v>12069</v>
      </c>
      <c r="D518" s="122" t="s">
        <v>12070</v>
      </c>
      <c r="E518" s="102" t="s">
        <v>15</v>
      </c>
      <c r="F518" s="102" t="s">
        <v>10250</v>
      </c>
      <c r="G518" s="109" t="s">
        <v>16</v>
      </c>
      <c r="H518" s="161">
        <v>200</v>
      </c>
      <c r="I518" s="161">
        <v>200</v>
      </c>
      <c r="J518" s="102"/>
      <c r="K518" s="160"/>
      <c r="L518" s="105">
        <v>20201118</v>
      </c>
    </row>
    <row r="519" s="146" customFormat="1" ht="15.2" customHeight="1" spans="1:12">
      <c r="A519" s="109">
        <v>517</v>
      </c>
      <c r="B519" s="158" t="s">
        <v>11090</v>
      </c>
      <c r="C519" s="161" t="s">
        <v>12071</v>
      </c>
      <c r="D519" s="122" t="s">
        <v>12072</v>
      </c>
      <c r="E519" s="102" t="s">
        <v>15</v>
      </c>
      <c r="F519" s="102" t="s">
        <v>10250</v>
      </c>
      <c r="G519" s="109" t="s">
        <v>16</v>
      </c>
      <c r="H519" s="161">
        <v>200</v>
      </c>
      <c r="I519" s="161">
        <v>200</v>
      </c>
      <c r="J519" s="102"/>
      <c r="K519" s="160"/>
      <c r="L519" s="105">
        <v>20201118</v>
      </c>
    </row>
    <row r="520" s="146" customFormat="1" ht="15.2" customHeight="1" spans="1:12">
      <c r="A520" s="109">
        <v>518</v>
      </c>
      <c r="B520" s="158" t="s">
        <v>11090</v>
      </c>
      <c r="C520" s="161" t="s">
        <v>12073</v>
      </c>
      <c r="D520" s="122" t="s">
        <v>12074</v>
      </c>
      <c r="E520" s="102" t="s">
        <v>15</v>
      </c>
      <c r="F520" s="102" t="s">
        <v>10250</v>
      </c>
      <c r="G520" s="109" t="s">
        <v>16</v>
      </c>
      <c r="H520" s="161">
        <v>200</v>
      </c>
      <c r="I520" s="161">
        <v>200</v>
      </c>
      <c r="J520" s="102"/>
      <c r="K520" s="160"/>
      <c r="L520" s="105">
        <v>20201118</v>
      </c>
    </row>
    <row r="521" s="146" customFormat="1" ht="15.2" customHeight="1" spans="1:12">
      <c r="A521" s="109">
        <v>519</v>
      </c>
      <c r="B521" s="158" t="s">
        <v>11090</v>
      </c>
      <c r="C521" s="161" t="s">
        <v>12075</v>
      </c>
      <c r="D521" s="122" t="s">
        <v>12076</v>
      </c>
      <c r="E521" s="102" t="s">
        <v>15</v>
      </c>
      <c r="F521" s="102" t="s">
        <v>10250</v>
      </c>
      <c r="G521" s="109" t="s">
        <v>16</v>
      </c>
      <c r="H521" s="161">
        <v>200</v>
      </c>
      <c r="I521" s="161">
        <v>200</v>
      </c>
      <c r="J521" s="102"/>
      <c r="K521" s="160"/>
      <c r="L521" s="105">
        <v>20201118</v>
      </c>
    </row>
    <row r="522" s="146" customFormat="1" ht="15.2" customHeight="1" spans="1:12">
      <c r="A522" s="109">
        <v>520</v>
      </c>
      <c r="B522" s="158" t="s">
        <v>11090</v>
      </c>
      <c r="C522" s="161" t="s">
        <v>12077</v>
      </c>
      <c r="D522" s="122" t="s">
        <v>12078</v>
      </c>
      <c r="E522" s="102" t="s">
        <v>15</v>
      </c>
      <c r="F522" s="102" t="s">
        <v>10250</v>
      </c>
      <c r="G522" s="109" t="s">
        <v>16</v>
      </c>
      <c r="H522" s="161">
        <v>200</v>
      </c>
      <c r="I522" s="161">
        <v>200</v>
      </c>
      <c r="J522" s="102"/>
      <c r="K522" s="160"/>
      <c r="L522" s="105">
        <v>20201118</v>
      </c>
    </row>
    <row r="523" s="146" customFormat="1" ht="15.2" customHeight="1" spans="1:12">
      <c r="A523" s="109">
        <v>521</v>
      </c>
      <c r="B523" s="158" t="s">
        <v>11090</v>
      </c>
      <c r="C523" s="161" t="s">
        <v>12079</v>
      </c>
      <c r="D523" s="122" t="s">
        <v>12080</v>
      </c>
      <c r="E523" s="102" t="s">
        <v>15</v>
      </c>
      <c r="F523" s="102" t="s">
        <v>10250</v>
      </c>
      <c r="G523" s="109" t="s">
        <v>16</v>
      </c>
      <c r="H523" s="161">
        <v>200</v>
      </c>
      <c r="I523" s="161">
        <v>200</v>
      </c>
      <c r="J523" s="102"/>
      <c r="K523" s="160"/>
      <c r="L523" s="105">
        <v>20201118</v>
      </c>
    </row>
    <row r="524" s="146" customFormat="1" ht="15.2" customHeight="1" spans="1:12">
      <c r="A524" s="109">
        <v>522</v>
      </c>
      <c r="B524" s="158" t="s">
        <v>11090</v>
      </c>
      <c r="C524" s="161" t="s">
        <v>12081</v>
      </c>
      <c r="D524" s="130" t="s">
        <v>12082</v>
      </c>
      <c r="E524" s="102" t="s">
        <v>15</v>
      </c>
      <c r="F524" s="102" t="s">
        <v>10250</v>
      </c>
      <c r="G524" s="109" t="s">
        <v>16</v>
      </c>
      <c r="H524" s="161">
        <v>200</v>
      </c>
      <c r="I524" s="161">
        <v>200</v>
      </c>
      <c r="J524" s="102"/>
      <c r="K524" s="160"/>
      <c r="L524" s="105">
        <v>20201118</v>
      </c>
    </row>
    <row r="525" s="146" customFormat="1" ht="15.2" customHeight="1" spans="1:12">
      <c r="A525" s="109">
        <v>523</v>
      </c>
      <c r="B525" s="158" t="s">
        <v>11090</v>
      </c>
      <c r="C525" s="161" t="s">
        <v>12083</v>
      </c>
      <c r="D525" s="122" t="s">
        <v>12084</v>
      </c>
      <c r="E525" s="102" t="s">
        <v>15</v>
      </c>
      <c r="F525" s="102" t="s">
        <v>10250</v>
      </c>
      <c r="G525" s="109" t="s">
        <v>16</v>
      </c>
      <c r="H525" s="161">
        <v>200</v>
      </c>
      <c r="I525" s="161">
        <v>200</v>
      </c>
      <c r="J525" s="102"/>
      <c r="K525" s="160"/>
      <c r="L525" s="105">
        <v>20201118</v>
      </c>
    </row>
    <row r="526" s="146" customFormat="1" ht="15.2" customHeight="1" spans="1:12">
      <c r="A526" s="109">
        <v>524</v>
      </c>
      <c r="B526" s="158" t="s">
        <v>11090</v>
      </c>
      <c r="C526" s="161" t="s">
        <v>12085</v>
      </c>
      <c r="D526" s="122" t="s">
        <v>12086</v>
      </c>
      <c r="E526" s="102" t="s">
        <v>15</v>
      </c>
      <c r="F526" s="102" t="s">
        <v>10250</v>
      </c>
      <c r="G526" s="109" t="s">
        <v>16</v>
      </c>
      <c r="H526" s="161">
        <v>200</v>
      </c>
      <c r="I526" s="161">
        <v>200</v>
      </c>
      <c r="J526" s="102"/>
      <c r="K526" s="160"/>
      <c r="L526" s="105">
        <v>20201118</v>
      </c>
    </row>
    <row r="527" s="146" customFormat="1" ht="15.2" customHeight="1" spans="1:12">
      <c r="A527" s="109">
        <v>525</v>
      </c>
      <c r="B527" s="158" t="s">
        <v>11090</v>
      </c>
      <c r="C527" s="161" t="s">
        <v>12087</v>
      </c>
      <c r="D527" s="122" t="s">
        <v>12088</v>
      </c>
      <c r="E527" s="102" t="s">
        <v>15</v>
      </c>
      <c r="F527" s="102" t="s">
        <v>10250</v>
      </c>
      <c r="G527" s="109" t="s">
        <v>16</v>
      </c>
      <c r="H527" s="161">
        <v>200</v>
      </c>
      <c r="I527" s="161">
        <v>200</v>
      </c>
      <c r="J527" s="102"/>
      <c r="K527" s="160"/>
      <c r="L527" s="105">
        <v>20201118</v>
      </c>
    </row>
    <row r="528" s="146" customFormat="1" ht="15.2" customHeight="1" spans="1:12">
      <c r="A528" s="109">
        <v>526</v>
      </c>
      <c r="B528" s="158" t="s">
        <v>11090</v>
      </c>
      <c r="C528" s="161" t="s">
        <v>12089</v>
      </c>
      <c r="D528" s="122" t="s">
        <v>12090</v>
      </c>
      <c r="E528" s="102" t="s">
        <v>15</v>
      </c>
      <c r="F528" s="102" t="s">
        <v>10250</v>
      </c>
      <c r="G528" s="109" t="s">
        <v>16</v>
      </c>
      <c r="H528" s="161">
        <v>200</v>
      </c>
      <c r="I528" s="161">
        <v>200</v>
      </c>
      <c r="J528" s="102"/>
      <c r="K528" s="160"/>
      <c r="L528" s="105">
        <v>20201118</v>
      </c>
    </row>
    <row r="529" s="146" customFormat="1" ht="15.2" customHeight="1" spans="1:12">
      <c r="A529" s="109">
        <v>527</v>
      </c>
      <c r="B529" s="158" t="s">
        <v>11090</v>
      </c>
      <c r="C529" s="161" t="s">
        <v>12091</v>
      </c>
      <c r="D529" s="122" t="s">
        <v>12092</v>
      </c>
      <c r="E529" s="102" t="s">
        <v>15</v>
      </c>
      <c r="F529" s="102" t="s">
        <v>10250</v>
      </c>
      <c r="G529" s="109" t="s">
        <v>16</v>
      </c>
      <c r="H529" s="161">
        <v>200</v>
      </c>
      <c r="I529" s="161">
        <v>200</v>
      </c>
      <c r="J529" s="102"/>
      <c r="K529" s="160"/>
      <c r="L529" s="105">
        <v>20201118</v>
      </c>
    </row>
    <row r="530" s="146" customFormat="1" ht="15.2" customHeight="1" spans="1:12">
      <c r="A530" s="109">
        <v>528</v>
      </c>
      <c r="B530" s="158" t="s">
        <v>11090</v>
      </c>
      <c r="C530" s="161" t="s">
        <v>12093</v>
      </c>
      <c r="D530" s="122" t="s">
        <v>12094</v>
      </c>
      <c r="E530" s="102" t="s">
        <v>15</v>
      </c>
      <c r="F530" s="102" t="s">
        <v>10250</v>
      </c>
      <c r="G530" s="109" t="s">
        <v>16</v>
      </c>
      <c r="H530" s="161">
        <v>200</v>
      </c>
      <c r="I530" s="161">
        <v>200</v>
      </c>
      <c r="J530" s="102" t="s">
        <v>11317</v>
      </c>
      <c r="K530" s="160"/>
      <c r="L530" s="105">
        <v>20201118</v>
      </c>
    </row>
    <row r="531" s="146" customFormat="1" ht="15.2" customHeight="1" spans="1:12">
      <c r="A531" s="109">
        <v>529</v>
      </c>
      <c r="B531" s="158" t="s">
        <v>11090</v>
      </c>
      <c r="C531" s="161" t="s">
        <v>12095</v>
      </c>
      <c r="D531" s="122" t="s">
        <v>12096</v>
      </c>
      <c r="E531" s="102" t="s">
        <v>15</v>
      </c>
      <c r="F531" s="102" t="s">
        <v>10250</v>
      </c>
      <c r="G531" s="109" t="s">
        <v>16</v>
      </c>
      <c r="H531" s="161">
        <v>200</v>
      </c>
      <c r="I531" s="161">
        <v>200</v>
      </c>
      <c r="J531" s="102"/>
      <c r="K531" s="160"/>
      <c r="L531" s="105">
        <v>20201118</v>
      </c>
    </row>
    <row r="532" s="146" customFormat="1" ht="15.2" customHeight="1" spans="1:12">
      <c r="A532" s="109">
        <v>530</v>
      </c>
      <c r="B532" s="158" t="s">
        <v>11090</v>
      </c>
      <c r="C532" s="161" t="s">
        <v>12097</v>
      </c>
      <c r="D532" s="122" t="s">
        <v>12098</v>
      </c>
      <c r="E532" s="102" t="s">
        <v>15</v>
      </c>
      <c r="F532" s="102" t="s">
        <v>10250</v>
      </c>
      <c r="G532" s="109" t="s">
        <v>16</v>
      </c>
      <c r="H532" s="161">
        <v>200</v>
      </c>
      <c r="I532" s="161">
        <v>200</v>
      </c>
      <c r="J532" s="102"/>
      <c r="K532" s="160"/>
      <c r="L532" s="105">
        <v>20201118</v>
      </c>
    </row>
    <row r="533" s="146" customFormat="1" ht="15.2" customHeight="1" spans="1:12">
      <c r="A533" s="109">
        <v>531</v>
      </c>
      <c r="B533" s="158" t="s">
        <v>11090</v>
      </c>
      <c r="C533" s="161" t="s">
        <v>12099</v>
      </c>
      <c r="D533" s="122" t="s">
        <v>12100</v>
      </c>
      <c r="E533" s="102" t="s">
        <v>15</v>
      </c>
      <c r="F533" s="102" t="s">
        <v>10250</v>
      </c>
      <c r="G533" s="109" t="s">
        <v>16</v>
      </c>
      <c r="H533" s="161">
        <v>200</v>
      </c>
      <c r="I533" s="161">
        <v>200</v>
      </c>
      <c r="J533" s="102"/>
      <c r="K533" s="160"/>
      <c r="L533" s="105">
        <v>20201118</v>
      </c>
    </row>
    <row r="534" s="146" customFormat="1" ht="15.2" customHeight="1" spans="1:12">
      <c r="A534" s="109">
        <v>532</v>
      </c>
      <c r="B534" s="158" t="s">
        <v>11090</v>
      </c>
      <c r="C534" s="161" t="s">
        <v>12101</v>
      </c>
      <c r="D534" s="122" t="s">
        <v>12102</v>
      </c>
      <c r="E534" s="102" t="s">
        <v>15</v>
      </c>
      <c r="F534" s="102" t="s">
        <v>10250</v>
      </c>
      <c r="G534" s="109" t="s">
        <v>16</v>
      </c>
      <c r="H534" s="161">
        <v>200</v>
      </c>
      <c r="I534" s="161">
        <v>200</v>
      </c>
      <c r="J534" s="102"/>
      <c r="K534" s="160"/>
      <c r="L534" s="105">
        <v>20201118</v>
      </c>
    </row>
    <row r="535" s="146" customFormat="1" ht="15.2" customHeight="1" spans="1:12">
      <c r="A535" s="109">
        <v>533</v>
      </c>
      <c r="B535" s="158" t="s">
        <v>11090</v>
      </c>
      <c r="C535" s="161" t="s">
        <v>12103</v>
      </c>
      <c r="D535" s="122" t="s">
        <v>12104</v>
      </c>
      <c r="E535" s="102" t="s">
        <v>15</v>
      </c>
      <c r="F535" s="102" t="s">
        <v>10250</v>
      </c>
      <c r="G535" s="109" t="s">
        <v>16</v>
      </c>
      <c r="H535" s="161">
        <v>200</v>
      </c>
      <c r="I535" s="161">
        <v>200</v>
      </c>
      <c r="J535" s="102"/>
      <c r="K535" s="160"/>
      <c r="L535" s="105">
        <v>20201118</v>
      </c>
    </row>
    <row r="536" s="146" customFormat="1" ht="15.2" customHeight="1" spans="1:12">
      <c r="A536" s="109">
        <v>534</v>
      </c>
      <c r="B536" s="158" t="s">
        <v>11090</v>
      </c>
      <c r="C536" s="161" t="s">
        <v>12105</v>
      </c>
      <c r="D536" s="122" t="s">
        <v>12106</v>
      </c>
      <c r="E536" s="102" t="s">
        <v>15</v>
      </c>
      <c r="F536" s="102" t="s">
        <v>10250</v>
      </c>
      <c r="G536" s="109" t="s">
        <v>16</v>
      </c>
      <c r="H536" s="161">
        <v>200</v>
      </c>
      <c r="I536" s="161">
        <v>200</v>
      </c>
      <c r="J536" s="102"/>
      <c r="K536" s="160"/>
      <c r="L536" s="105">
        <v>20201118</v>
      </c>
    </row>
    <row r="537" s="146" customFormat="1" ht="15.2" customHeight="1" spans="1:12">
      <c r="A537" s="109">
        <v>535</v>
      </c>
      <c r="B537" s="158" t="s">
        <v>11090</v>
      </c>
      <c r="C537" s="161" t="s">
        <v>12107</v>
      </c>
      <c r="D537" s="122" t="s">
        <v>12108</v>
      </c>
      <c r="E537" s="102" t="s">
        <v>15</v>
      </c>
      <c r="F537" s="102" t="s">
        <v>10250</v>
      </c>
      <c r="G537" s="109" t="s">
        <v>16</v>
      </c>
      <c r="H537" s="161">
        <v>200</v>
      </c>
      <c r="I537" s="161">
        <v>200</v>
      </c>
      <c r="J537" s="102"/>
      <c r="K537" s="160"/>
      <c r="L537" s="105">
        <v>20201118</v>
      </c>
    </row>
    <row r="538" s="146" customFormat="1" ht="15.2" customHeight="1" spans="1:12">
      <c r="A538" s="109">
        <v>536</v>
      </c>
      <c r="B538" s="158" t="s">
        <v>11090</v>
      </c>
      <c r="C538" s="161" t="s">
        <v>12109</v>
      </c>
      <c r="D538" s="122" t="s">
        <v>12110</v>
      </c>
      <c r="E538" s="102" t="s">
        <v>15</v>
      </c>
      <c r="F538" s="102" t="s">
        <v>10250</v>
      </c>
      <c r="G538" s="109" t="s">
        <v>16</v>
      </c>
      <c r="H538" s="161">
        <v>200</v>
      </c>
      <c r="I538" s="161">
        <v>200</v>
      </c>
      <c r="J538" s="102"/>
      <c r="K538" s="160"/>
      <c r="L538" s="105">
        <v>20201118</v>
      </c>
    </row>
    <row r="539" s="146" customFormat="1" ht="15.2" customHeight="1" spans="1:12">
      <c r="A539" s="109">
        <v>537</v>
      </c>
      <c r="B539" s="158" t="s">
        <v>11090</v>
      </c>
      <c r="C539" s="161" t="s">
        <v>12111</v>
      </c>
      <c r="D539" s="311" t="s">
        <v>12112</v>
      </c>
      <c r="E539" s="102" t="s">
        <v>15</v>
      </c>
      <c r="F539" s="102" t="s">
        <v>10250</v>
      </c>
      <c r="G539" s="109" t="s">
        <v>16</v>
      </c>
      <c r="H539" s="161">
        <v>200</v>
      </c>
      <c r="I539" s="161">
        <v>200</v>
      </c>
      <c r="J539" s="102"/>
      <c r="K539" s="160"/>
      <c r="L539" s="105">
        <v>20201118</v>
      </c>
    </row>
    <row r="540" s="146" customFormat="1" ht="15.2" customHeight="1" spans="1:12">
      <c r="A540" s="109">
        <v>538</v>
      </c>
      <c r="B540" s="158" t="s">
        <v>11090</v>
      </c>
      <c r="C540" s="161" t="s">
        <v>12113</v>
      </c>
      <c r="D540" s="122" t="s">
        <v>12114</v>
      </c>
      <c r="E540" s="102" t="s">
        <v>15</v>
      </c>
      <c r="F540" s="102" t="s">
        <v>10250</v>
      </c>
      <c r="G540" s="109" t="s">
        <v>16</v>
      </c>
      <c r="H540" s="161">
        <v>200</v>
      </c>
      <c r="I540" s="161">
        <v>200</v>
      </c>
      <c r="J540" s="109" t="s">
        <v>6345</v>
      </c>
      <c r="K540" s="160"/>
      <c r="L540" s="105">
        <v>20201118</v>
      </c>
    </row>
    <row r="541" s="146" customFormat="1" ht="15.2" customHeight="1" spans="1:12">
      <c r="A541" s="109">
        <v>539</v>
      </c>
      <c r="B541" s="158" t="s">
        <v>11090</v>
      </c>
      <c r="C541" s="161" t="s">
        <v>12115</v>
      </c>
      <c r="D541" s="122" t="s">
        <v>12116</v>
      </c>
      <c r="E541" s="102" t="s">
        <v>15</v>
      </c>
      <c r="F541" s="102" t="s">
        <v>10250</v>
      </c>
      <c r="G541" s="109" t="s">
        <v>16</v>
      </c>
      <c r="H541" s="161">
        <v>200</v>
      </c>
      <c r="I541" s="161">
        <v>200</v>
      </c>
      <c r="J541" s="109" t="s">
        <v>6345</v>
      </c>
      <c r="K541" s="160"/>
      <c r="L541" s="105">
        <v>20201118</v>
      </c>
    </row>
    <row r="542" s="146" customFormat="1" ht="15.2" customHeight="1" spans="1:12">
      <c r="A542" s="109">
        <v>540</v>
      </c>
      <c r="B542" s="158" t="s">
        <v>11090</v>
      </c>
      <c r="C542" s="161" t="s">
        <v>12117</v>
      </c>
      <c r="D542" s="122" t="s">
        <v>12118</v>
      </c>
      <c r="E542" s="102" t="s">
        <v>15</v>
      </c>
      <c r="F542" s="102" t="s">
        <v>10250</v>
      </c>
      <c r="G542" s="109" t="s">
        <v>16</v>
      </c>
      <c r="H542" s="161">
        <v>200</v>
      </c>
      <c r="I542" s="161">
        <v>200</v>
      </c>
      <c r="J542" s="102"/>
      <c r="K542" s="160"/>
      <c r="L542" s="105">
        <v>20201118</v>
      </c>
    </row>
    <row r="543" s="146" customFormat="1" ht="15.2" customHeight="1" spans="1:12">
      <c r="A543" s="109">
        <v>541</v>
      </c>
      <c r="B543" s="158" t="s">
        <v>11090</v>
      </c>
      <c r="C543" s="161" t="s">
        <v>12119</v>
      </c>
      <c r="D543" s="122" t="s">
        <v>12120</v>
      </c>
      <c r="E543" s="102" t="s">
        <v>15</v>
      </c>
      <c r="F543" s="102" t="s">
        <v>10250</v>
      </c>
      <c r="G543" s="109" t="s">
        <v>16</v>
      </c>
      <c r="H543" s="161">
        <v>200</v>
      </c>
      <c r="I543" s="161">
        <v>200</v>
      </c>
      <c r="J543" s="102"/>
      <c r="K543" s="160"/>
      <c r="L543" s="105">
        <v>20201118</v>
      </c>
    </row>
    <row r="544" s="146" customFormat="1" ht="15.2" customHeight="1" spans="1:12">
      <c r="A544" s="109">
        <v>542</v>
      </c>
      <c r="B544" s="158" t="s">
        <v>11090</v>
      </c>
      <c r="C544" s="161" t="s">
        <v>12121</v>
      </c>
      <c r="D544" s="122" t="s">
        <v>12122</v>
      </c>
      <c r="E544" s="102" t="s">
        <v>15</v>
      </c>
      <c r="F544" s="102" t="s">
        <v>10250</v>
      </c>
      <c r="G544" s="109" t="s">
        <v>16</v>
      </c>
      <c r="H544" s="161">
        <v>200</v>
      </c>
      <c r="I544" s="161">
        <v>200</v>
      </c>
      <c r="J544" s="102"/>
      <c r="K544" s="160"/>
      <c r="L544" s="105">
        <v>20201118</v>
      </c>
    </row>
    <row r="545" s="146" customFormat="1" ht="15.2" customHeight="1" spans="1:12">
      <c r="A545" s="109">
        <v>543</v>
      </c>
      <c r="B545" s="158" t="s">
        <v>11090</v>
      </c>
      <c r="C545" s="161" t="s">
        <v>12123</v>
      </c>
      <c r="D545" s="122" t="s">
        <v>12124</v>
      </c>
      <c r="E545" s="102" t="s">
        <v>15</v>
      </c>
      <c r="F545" s="102" t="s">
        <v>10250</v>
      </c>
      <c r="G545" s="109" t="s">
        <v>16</v>
      </c>
      <c r="H545" s="161">
        <v>200</v>
      </c>
      <c r="I545" s="161">
        <v>200</v>
      </c>
      <c r="J545" s="102"/>
      <c r="K545" s="160"/>
      <c r="L545" s="105">
        <v>20201118</v>
      </c>
    </row>
    <row r="546" s="146" customFormat="1" ht="15.2" customHeight="1" spans="1:12">
      <c r="A546" s="109">
        <v>544</v>
      </c>
      <c r="B546" s="158" t="s">
        <v>11090</v>
      </c>
      <c r="C546" s="161" t="s">
        <v>12125</v>
      </c>
      <c r="D546" s="122" t="s">
        <v>12126</v>
      </c>
      <c r="E546" s="102" t="s">
        <v>15</v>
      </c>
      <c r="F546" s="102" t="s">
        <v>10250</v>
      </c>
      <c r="G546" s="109" t="s">
        <v>16</v>
      </c>
      <c r="H546" s="161">
        <v>200</v>
      </c>
      <c r="I546" s="161">
        <v>200</v>
      </c>
      <c r="J546" s="102" t="s">
        <v>6097</v>
      </c>
      <c r="K546" s="160"/>
      <c r="L546" s="105">
        <v>20201118</v>
      </c>
    </row>
    <row r="547" s="146" customFormat="1" ht="15.2" customHeight="1" spans="1:12">
      <c r="A547" s="109">
        <v>545</v>
      </c>
      <c r="B547" s="158" t="s">
        <v>11090</v>
      </c>
      <c r="C547" s="161" t="s">
        <v>12127</v>
      </c>
      <c r="D547" s="161" t="s">
        <v>12128</v>
      </c>
      <c r="E547" s="102" t="s">
        <v>15</v>
      </c>
      <c r="F547" s="102" t="s">
        <v>10250</v>
      </c>
      <c r="G547" s="109" t="s">
        <v>16</v>
      </c>
      <c r="H547" s="161">
        <v>200</v>
      </c>
      <c r="I547" s="161">
        <v>200</v>
      </c>
      <c r="J547" s="102"/>
      <c r="K547" s="160"/>
      <c r="L547" s="105">
        <v>20201118</v>
      </c>
    </row>
    <row r="548" s="146" customFormat="1" ht="15.2" customHeight="1" spans="1:12">
      <c r="A548" s="109">
        <v>546</v>
      </c>
      <c r="B548" s="158" t="s">
        <v>11090</v>
      </c>
      <c r="C548" s="161" t="s">
        <v>12129</v>
      </c>
      <c r="D548" s="122" t="s">
        <v>12130</v>
      </c>
      <c r="E548" s="102" t="s">
        <v>15</v>
      </c>
      <c r="F548" s="102" t="s">
        <v>10250</v>
      </c>
      <c r="G548" s="109" t="s">
        <v>16</v>
      </c>
      <c r="H548" s="161">
        <v>200</v>
      </c>
      <c r="I548" s="161">
        <v>200</v>
      </c>
      <c r="J548" s="102"/>
      <c r="K548" s="160"/>
      <c r="L548" s="105">
        <v>20201118</v>
      </c>
    </row>
    <row r="549" s="146" customFormat="1" ht="15.2" customHeight="1" spans="1:12">
      <c r="A549" s="109">
        <v>547</v>
      </c>
      <c r="B549" s="158" t="s">
        <v>11090</v>
      </c>
      <c r="C549" s="161" t="s">
        <v>12131</v>
      </c>
      <c r="D549" s="122" t="s">
        <v>12132</v>
      </c>
      <c r="E549" s="102" t="s">
        <v>15</v>
      </c>
      <c r="F549" s="102" t="s">
        <v>10250</v>
      </c>
      <c r="G549" s="109" t="s">
        <v>16</v>
      </c>
      <c r="H549" s="161">
        <v>200</v>
      </c>
      <c r="I549" s="161">
        <v>200</v>
      </c>
      <c r="J549" s="102"/>
      <c r="K549" s="160"/>
      <c r="L549" s="105">
        <v>20201118</v>
      </c>
    </row>
    <row r="550" s="146" customFormat="1" ht="15.2" customHeight="1" spans="1:12">
      <c r="A550" s="109">
        <v>548</v>
      </c>
      <c r="B550" s="158" t="s">
        <v>11090</v>
      </c>
      <c r="C550" s="161" t="s">
        <v>12133</v>
      </c>
      <c r="D550" s="122" t="s">
        <v>12134</v>
      </c>
      <c r="E550" s="102" t="s">
        <v>15</v>
      </c>
      <c r="F550" s="102" t="s">
        <v>10250</v>
      </c>
      <c r="G550" s="109" t="s">
        <v>16</v>
      </c>
      <c r="H550" s="161">
        <v>200</v>
      </c>
      <c r="I550" s="161">
        <v>200</v>
      </c>
      <c r="J550" s="102"/>
      <c r="K550" s="160"/>
      <c r="L550" s="105">
        <v>20201118</v>
      </c>
    </row>
    <row r="551" s="146" customFormat="1" ht="15.2" customHeight="1" spans="1:12">
      <c r="A551" s="109">
        <v>549</v>
      </c>
      <c r="B551" s="158" t="s">
        <v>11090</v>
      </c>
      <c r="C551" s="161" t="s">
        <v>12135</v>
      </c>
      <c r="D551" s="122" t="s">
        <v>12136</v>
      </c>
      <c r="E551" s="102" t="s">
        <v>15</v>
      </c>
      <c r="F551" s="102" t="s">
        <v>10250</v>
      </c>
      <c r="G551" s="109" t="s">
        <v>16</v>
      </c>
      <c r="H551" s="161">
        <v>200</v>
      </c>
      <c r="I551" s="161">
        <v>200</v>
      </c>
      <c r="J551" s="102"/>
      <c r="K551" s="160"/>
      <c r="L551" s="105">
        <v>20201118</v>
      </c>
    </row>
    <row r="552" s="146" customFormat="1" ht="15.2" customHeight="1" spans="1:12">
      <c r="A552" s="109">
        <v>550</v>
      </c>
      <c r="B552" s="158" t="s">
        <v>11090</v>
      </c>
      <c r="C552" s="161" t="s">
        <v>12137</v>
      </c>
      <c r="D552" s="122" t="s">
        <v>12138</v>
      </c>
      <c r="E552" s="102" t="s">
        <v>15</v>
      </c>
      <c r="F552" s="102" t="s">
        <v>10250</v>
      </c>
      <c r="G552" s="109" t="s">
        <v>16</v>
      </c>
      <c r="H552" s="161">
        <v>200</v>
      </c>
      <c r="I552" s="161">
        <v>200</v>
      </c>
      <c r="J552" s="102"/>
      <c r="K552" s="160"/>
      <c r="L552" s="105">
        <v>20201118</v>
      </c>
    </row>
    <row r="553" s="146" customFormat="1" ht="15.2" customHeight="1" spans="1:12">
      <c r="A553" s="109">
        <v>551</v>
      </c>
      <c r="B553" s="158" t="s">
        <v>11090</v>
      </c>
      <c r="C553" s="161" t="s">
        <v>12139</v>
      </c>
      <c r="D553" s="130" t="s">
        <v>12140</v>
      </c>
      <c r="E553" s="102" t="s">
        <v>15</v>
      </c>
      <c r="F553" s="102" t="s">
        <v>10250</v>
      </c>
      <c r="G553" s="109" t="s">
        <v>16</v>
      </c>
      <c r="H553" s="161">
        <v>200</v>
      </c>
      <c r="I553" s="161">
        <v>200</v>
      </c>
      <c r="J553" s="102"/>
      <c r="K553" s="160"/>
      <c r="L553" s="105">
        <v>20201118</v>
      </c>
    </row>
    <row r="554" s="146" customFormat="1" ht="15.2" customHeight="1" spans="1:12">
      <c r="A554" s="109">
        <v>552</v>
      </c>
      <c r="B554" s="158" t="s">
        <v>11090</v>
      </c>
      <c r="C554" s="161" t="s">
        <v>12141</v>
      </c>
      <c r="D554" s="122" t="s">
        <v>12142</v>
      </c>
      <c r="E554" s="102" t="s">
        <v>15</v>
      </c>
      <c r="F554" s="102" t="s">
        <v>10250</v>
      </c>
      <c r="G554" s="109" t="s">
        <v>16</v>
      </c>
      <c r="H554" s="161">
        <v>200</v>
      </c>
      <c r="I554" s="161">
        <v>200</v>
      </c>
      <c r="J554" s="102"/>
      <c r="K554" s="160"/>
      <c r="L554" s="105">
        <v>20201118</v>
      </c>
    </row>
    <row r="555" s="146" customFormat="1" ht="15.2" customHeight="1" spans="1:12">
      <c r="A555" s="109">
        <v>553</v>
      </c>
      <c r="B555" s="158" t="s">
        <v>11090</v>
      </c>
      <c r="C555" s="161" t="s">
        <v>12143</v>
      </c>
      <c r="D555" s="122" t="s">
        <v>12144</v>
      </c>
      <c r="E555" s="102" t="s">
        <v>15</v>
      </c>
      <c r="F555" s="102" t="s">
        <v>10250</v>
      </c>
      <c r="G555" s="109" t="s">
        <v>16</v>
      </c>
      <c r="H555" s="161">
        <v>200</v>
      </c>
      <c r="I555" s="161">
        <v>200</v>
      </c>
      <c r="J555" s="102"/>
      <c r="K555" s="160"/>
      <c r="L555" s="105">
        <v>20201118</v>
      </c>
    </row>
    <row r="556" s="146" customFormat="1" ht="15.2" customHeight="1" spans="1:12">
      <c r="A556" s="109">
        <v>554</v>
      </c>
      <c r="B556" s="158" t="s">
        <v>11090</v>
      </c>
      <c r="C556" s="161" t="s">
        <v>12145</v>
      </c>
      <c r="D556" s="122" t="s">
        <v>12146</v>
      </c>
      <c r="E556" s="102" t="s">
        <v>15</v>
      </c>
      <c r="F556" s="102" t="s">
        <v>10250</v>
      </c>
      <c r="G556" s="109" t="s">
        <v>16</v>
      </c>
      <c r="H556" s="161">
        <v>200</v>
      </c>
      <c r="I556" s="161">
        <v>200</v>
      </c>
      <c r="J556" s="102"/>
      <c r="K556" s="160"/>
      <c r="L556" s="105">
        <v>20201118</v>
      </c>
    </row>
    <row r="557" s="146" customFormat="1" ht="15.2" customHeight="1" spans="1:12">
      <c r="A557" s="109">
        <v>555</v>
      </c>
      <c r="B557" s="158" t="s">
        <v>11090</v>
      </c>
      <c r="C557" s="161" t="s">
        <v>12147</v>
      </c>
      <c r="D557" s="122" t="s">
        <v>12148</v>
      </c>
      <c r="E557" s="102" t="s">
        <v>15</v>
      </c>
      <c r="F557" s="102" t="s">
        <v>10250</v>
      </c>
      <c r="G557" s="109" t="s">
        <v>16</v>
      </c>
      <c r="H557" s="161">
        <v>200</v>
      </c>
      <c r="I557" s="161">
        <v>200</v>
      </c>
      <c r="J557" s="102"/>
      <c r="K557" s="160"/>
      <c r="L557" s="105">
        <v>20201118</v>
      </c>
    </row>
    <row r="558" s="146" customFormat="1" ht="15.2" customHeight="1" spans="1:12">
      <c r="A558" s="109">
        <v>556</v>
      </c>
      <c r="B558" s="158" t="s">
        <v>11090</v>
      </c>
      <c r="C558" s="161" t="s">
        <v>12149</v>
      </c>
      <c r="D558" s="122" t="s">
        <v>12150</v>
      </c>
      <c r="E558" s="102" t="s">
        <v>15</v>
      </c>
      <c r="F558" s="102" t="s">
        <v>10250</v>
      </c>
      <c r="G558" s="109" t="s">
        <v>16</v>
      </c>
      <c r="H558" s="161">
        <v>200</v>
      </c>
      <c r="I558" s="161">
        <v>200</v>
      </c>
      <c r="J558" s="102"/>
      <c r="K558" s="160"/>
      <c r="L558" s="105">
        <v>20201118</v>
      </c>
    </row>
    <row r="559" s="146" customFormat="1" ht="15.2" customHeight="1" spans="1:12">
      <c r="A559" s="109">
        <v>557</v>
      </c>
      <c r="B559" s="158" t="s">
        <v>11090</v>
      </c>
      <c r="C559" s="161" t="s">
        <v>12151</v>
      </c>
      <c r="D559" s="122" t="s">
        <v>12152</v>
      </c>
      <c r="E559" s="102" t="s">
        <v>15</v>
      </c>
      <c r="F559" s="102" t="s">
        <v>10250</v>
      </c>
      <c r="G559" s="109" t="s">
        <v>16</v>
      </c>
      <c r="H559" s="161">
        <v>200</v>
      </c>
      <c r="I559" s="161">
        <v>200</v>
      </c>
      <c r="J559" s="102"/>
      <c r="K559" s="160"/>
      <c r="L559" s="105">
        <v>20201118</v>
      </c>
    </row>
    <row r="560" s="146" customFormat="1" ht="15.2" customHeight="1" spans="1:12">
      <c r="A560" s="109">
        <v>558</v>
      </c>
      <c r="B560" s="158" t="s">
        <v>11090</v>
      </c>
      <c r="C560" s="161" t="s">
        <v>12153</v>
      </c>
      <c r="D560" s="122" t="s">
        <v>12154</v>
      </c>
      <c r="E560" s="102" t="s">
        <v>15</v>
      </c>
      <c r="F560" s="102" t="s">
        <v>10250</v>
      </c>
      <c r="G560" s="109" t="s">
        <v>16</v>
      </c>
      <c r="H560" s="161">
        <v>200</v>
      </c>
      <c r="I560" s="161">
        <v>200</v>
      </c>
      <c r="J560" s="102"/>
      <c r="K560" s="160"/>
      <c r="L560" s="105">
        <v>20201118</v>
      </c>
    </row>
    <row r="561" s="146" customFormat="1" ht="15.2" customHeight="1" spans="1:12">
      <c r="A561" s="109">
        <v>559</v>
      </c>
      <c r="B561" s="158" t="s">
        <v>11090</v>
      </c>
      <c r="C561" s="161" t="s">
        <v>12155</v>
      </c>
      <c r="D561" s="122" t="s">
        <v>12156</v>
      </c>
      <c r="E561" s="102" t="s">
        <v>15</v>
      </c>
      <c r="F561" s="102" t="s">
        <v>10250</v>
      </c>
      <c r="G561" s="109" t="s">
        <v>16</v>
      </c>
      <c r="H561" s="161">
        <v>200</v>
      </c>
      <c r="I561" s="161">
        <v>200</v>
      </c>
      <c r="J561" s="102"/>
      <c r="K561" s="160"/>
      <c r="L561" s="105">
        <v>20201118</v>
      </c>
    </row>
    <row r="562" s="146" customFormat="1" ht="15.2" customHeight="1" spans="1:12">
      <c r="A562" s="109">
        <v>560</v>
      </c>
      <c r="B562" s="158" t="s">
        <v>11090</v>
      </c>
      <c r="C562" s="161" t="s">
        <v>12157</v>
      </c>
      <c r="D562" s="122" t="s">
        <v>12158</v>
      </c>
      <c r="E562" s="102" t="s">
        <v>15</v>
      </c>
      <c r="F562" s="102" t="s">
        <v>10250</v>
      </c>
      <c r="G562" s="109" t="s">
        <v>16</v>
      </c>
      <c r="H562" s="161">
        <v>200</v>
      </c>
      <c r="I562" s="161">
        <v>200</v>
      </c>
      <c r="J562" s="102"/>
      <c r="K562" s="160"/>
      <c r="L562" s="105">
        <v>20201118</v>
      </c>
    </row>
    <row r="563" s="146" customFormat="1" ht="15.2" customHeight="1" spans="1:12">
      <c r="A563" s="109">
        <v>561</v>
      </c>
      <c r="B563" s="158" t="s">
        <v>11090</v>
      </c>
      <c r="C563" s="161" t="s">
        <v>12159</v>
      </c>
      <c r="D563" s="122" t="s">
        <v>12160</v>
      </c>
      <c r="E563" s="102" t="s">
        <v>15</v>
      </c>
      <c r="F563" s="102" t="s">
        <v>10250</v>
      </c>
      <c r="G563" s="109" t="s">
        <v>16</v>
      </c>
      <c r="H563" s="161">
        <v>200</v>
      </c>
      <c r="I563" s="161">
        <v>200</v>
      </c>
      <c r="J563" s="102"/>
      <c r="K563" s="160"/>
      <c r="L563" s="105">
        <v>20201118</v>
      </c>
    </row>
    <row r="564" s="146" customFormat="1" ht="15.2" customHeight="1" spans="1:12">
      <c r="A564" s="109">
        <v>562</v>
      </c>
      <c r="B564" s="158" t="s">
        <v>11090</v>
      </c>
      <c r="C564" s="161" t="s">
        <v>12161</v>
      </c>
      <c r="D564" s="122" t="s">
        <v>12162</v>
      </c>
      <c r="E564" s="102" t="s">
        <v>15</v>
      </c>
      <c r="F564" s="102" t="s">
        <v>10250</v>
      </c>
      <c r="G564" s="109" t="s">
        <v>16</v>
      </c>
      <c r="H564" s="161">
        <v>200</v>
      </c>
      <c r="I564" s="161">
        <v>200</v>
      </c>
      <c r="J564" s="102"/>
      <c r="K564" s="160"/>
      <c r="L564" s="105">
        <v>20201118</v>
      </c>
    </row>
    <row r="565" s="146" customFormat="1" ht="15.2" customHeight="1" spans="1:12">
      <c r="A565" s="109">
        <v>563</v>
      </c>
      <c r="B565" s="158" t="s">
        <v>11090</v>
      </c>
      <c r="C565" s="161" t="s">
        <v>12163</v>
      </c>
      <c r="D565" s="122" t="s">
        <v>12164</v>
      </c>
      <c r="E565" s="102" t="s">
        <v>15</v>
      </c>
      <c r="F565" s="102" t="s">
        <v>10250</v>
      </c>
      <c r="G565" s="109" t="s">
        <v>16</v>
      </c>
      <c r="H565" s="161">
        <v>200</v>
      </c>
      <c r="I565" s="161">
        <v>200</v>
      </c>
      <c r="J565" s="102"/>
      <c r="K565" s="160"/>
      <c r="L565" s="105">
        <v>20201118</v>
      </c>
    </row>
    <row r="566" s="146" customFormat="1" ht="15.2" customHeight="1" spans="1:12">
      <c r="A566" s="109">
        <v>564</v>
      </c>
      <c r="B566" s="158" t="s">
        <v>11090</v>
      </c>
      <c r="C566" s="161" t="s">
        <v>12165</v>
      </c>
      <c r="D566" s="312" t="s">
        <v>12166</v>
      </c>
      <c r="E566" s="102" t="s">
        <v>15</v>
      </c>
      <c r="F566" s="102" t="s">
        <v>10250</v>
      </c>
      <c r="G566" s="109" t="s">
        <v>16</v>
      </c>
      <c r="H566" s="161">
        <v>200</v>
      </c>
      <c r="I566" s="161">
        <v>200</v>
      </c>
      <c r="J566" s="102"/>
      <c r="K566" s="160"/>
      <c r="L566" s="105">
        <v>20201118</v>
      </c>
    </row>
    <row r="567" s="146" customFormat="1" ht="15.2" customHeight="1" spans="1:12">
      <c r="A567" s="109">
        <v>565</v>
      </c>
      <c r="B567" s="158" t="s">
        <v>11090</v>
      </c>
      <c r="C567" s="161" t="s">
        <v>5281</v>
      </c>
      <c r="D567" s="122" t="s">
        <v>12167</v>
      </c>
      <c r="E567" s="102" t="s">
        <v>15</v>
      </c>
      <c r="F567" s="102" t="s">
        <v>10250</v>
      </c>
      <c r="G567" s="109" t="s">
        <v>16</v>
      </c>
      <c r="H567" s="161">
        <v>200</v>
      </c>
      <c r="I567" s="161">
        <v>200</v>
      </c>
      <c r="J567" s="102" t="s">
        <v>6097</v>
      </c>
      <c r="K567" s="160"/>
      <c r="L567" s="105">
        <v>20201118</v>
      </c>
    </row>
    <row r="568" s="146" customFormat="1" ht="15.2" customHeight="1" spans="1:12">
      <c r="A568" s="109">
        <v>566</v>
      </c>
      <c r="B568" s="158" t="s">
        <v>11090</v>
      </c>
      <c r="C568" s="161" t="s">
        <v>12168</v>
      </c>
      <c r="D568" s="122" t="s">
        <v>12169</v>
      </c>
      <c r="E568" s="102" t="s">
        <v>15</v>
      </c>
      <c r="F568" s="102" t="s">
        <v>10250</v>
      </c>
      <c r="G568" s="109" t="s">
        <v>16</v>
      </c>
      <c r="H568" s="161">
        <v>200</v>
      </c>
      <c r="I568" s="161">
        <v>200</v>
      </c>
      <c r="J568" s="102" t="s">
        <v>6097</v>
      </c>
      <c r="K568" s="160"/>
      <c r="L568" s="105">
        <v>20201118</v>
      </c>
    </row>
    <row r="569" s="146" customFormat="1" ht="15.2" customHeight="1" spans="1:12">
      <c r="A569" s="109">
        <v>567</v>
      </c>
      <c r="B569" s="158" t="s">
        <v>11090</v>
      </c>
      <c r="C569" s="161" t="s">
        <v>12170</v>
      </c>
      <c r="D569" s="122" t="s">
        <v>12171</v>
      </c>
      <c r="E569" s="102" t="s">
        <v>15</v>
      </c>
      <c r="F569" s="102" t="s">
        <v>10250</v>
      </c>
      <c r="G569" s="109" t="s">
        <v>16</v>
      </c>
      <c r="H569" s="161">
        <v>200</v>
      </c>
      <c r="I569" s="161">
        <v>200</v>
      </c>
      <c r="J569" s="102"/>
      <c r="K569" s="160"/>
      <c r="L569" s="105">
        <v>20201118</v>
      </c>
    </row>
    <row r="570" s="146" customFormat="1" ht="15.2" customHeight="1" spans="1:12">
      <c r="A570" s="109">
        <v>568</v>
      </c>
      <c r="B570" s="158" t="s">
        <v>11090</v>
      </c>
      <c r="C570" s="161" t="s">
        <v>12172</v>
      </c>
      <c r="D570" s="122" t="s">
        <v>12173</v>
      </c>
      <c r="E570" s="102" t="s">
        <v>15</v>
      </c>
      <c r="F570" s="102" t="s">
        <v>10250</v>
      </c>
      <c r="G570" s="109" t="s">
        <v>16</v>
      </c>
      <c r="H570" s="161">
        <v>200</v>
      </c>
      <c r="I570" s="161">
        <v>200</v>
      </c>
      <c r="J570" s="102"/>
      <c r="K570" s="160"/>
      <c r="L570" s="105">
        <v>20201118</v>
      </c>
    </row>
    <row r="571" s="146" customFormat="1" ht="15.2" customHeight="1" spans="1:12">
      <c r="A571" s="109">
        <v>569</v>
      </c>
      <c r="B571" s="158" t="s">
        <v>11090</v>
      </c>
      <c r="C571" s="161" t="s">
        <v>12174</v>
      </c>
      <c r="D571" s="122" t="s">
        <v>12175</v>
      </c>
      <c r="E571" s="102" t="s">
        <v>15</v>
      </c>
      <c r="F571" s="102" t="s">
        <v>10250</v>
      </c>
      <c r="G571" s="109" t="s">
        <v>16</v>
      </c>
      <c r="H571" s="32">
        <v>200</v>
      </c>
      <c r="I571" s="32">
        <v>200</v>
      </c>
      <c r="J571" s="102"/>
      <c r="K571" s="160"/>
      <c r="L571" s="105">
        <v>20201118</v>
      </c>
    </row>
    <row r="572" s="146" customFormat="1" ht="15.2" customHeight="1" spans="1:12">
      <c r="A572" s="109">
        <v>570</v>
      </c>
      <c r="B572" s="158" t="s">
        <v>11090</v>
      </c>
      <c r="C572" s="161" t="s">
        <v>12176</v>
      </c>
      <c r="D572" s="122" t="s">
        <v>12177</v>
      </c>
      <c r="E572" s="102" t="s">
        <v>15</v>
      </c>
      <c r="F572" s="102" t="s">
        <v>10250</v>
      </c>
      <c r="G572" s="109" t="s">
        <v>16</v>
      </c>
      <c r="H572" s="161">
        <v>200</v>
      </c>
      <c r="I572" s="161">
        <v>200</v>
      </c>
      <c r="J572" s="102"/>
      <c r="K572" s="160"/>
      <c r="L572" s="105">
        <v>20201118</v>
      </c>
    </row>
    <row r="573" s="146" customFormat="1" ht="15.2" customHeight="1" spans="1:12">
      <c r="A573" s="109">
        <v>571</v>
      </c>
      <c r="B573" s="158" t="s">
        <v>11090</v>
      </c>
      <c r="C573" s="161" t="s">
        <v>12178</v>
      </c>
      <c r="D573" s="122" t="s">
        <v>12179</v>
      </c>
      <c r="E573" s="102" t="s">
        <v>15</v>
      </c>
      <c r="F573" s="102" t="s">
        <v>10250</v>
      </c>
      <c r="G573" s="109" t="s">
        <v>16</v>
      </c>
      <c r="H573" s="161">
        <v>200</v>
      </c>
      <c r="I573" s="161">
        <v>200</v>
      </c>
      <c r="J573" s="102"/>
      <c r="K573" s="160"/>
      <c r="L573" s="105">
        <v>20201118</v>
      </c>
    </row>
    <row r="574" s="146" customFormat="1" ht="15.2" customHeight="1" spans="1:12">
      <c r="A574" s="109">
        <v>572</v>
      </c>
      <c r="B574" s="158" t="s">
        <v>11090</v>
      </c>
      <c r="C574" s="161" t="s">
        <v>12180</v>
      </c>
      <c r="D574" s="122" t="s">
        <v>12181</v>
      </c>
      <c r="E574" s="102" t="s">
        <v>15</v>
      </c>
      <c r="F574" s="102" t="s">
        <v>10250</v>
      </c>
      <c r="G574" s="109" t="s">
        <v>16</v>
      </c>
      <c r="H574" s="161">
        <v>200</v>
      </c>
      <c r="I574" s="161">
        <v>200</v>
      </c>
      <c r="J574" s="102"/>
      <c r="K574" s="160"/>
      <c r="L574" s="105">
        <v>20201118</v>
      </c>
    </row>
    <row r="575" s="146" customFormat="1" ht="15.2" customHeight="1" spans="1:12">
      <c r="A575" s="109">
        <v>573</v>
      </c>
      <c r="B575" s="158" t="s">
        <v>11090</v>
      </c>
      <c r="C575" s="161" t="s">
        <v>12182</v>
      </c>
      <c r="D575" s="122" t="s">
        <v>12183</v>
      </c>
      <c r="E575" s="102" t="s">
        <v>15</v>
      </c>
      <c r="F575" s="102" t="s">
        <v>10250</v>
      </c>
      <c r="G575" s="109" t="s">
        <v>16</v>
      </c>
      <c r="H575" s="161">
        <v>200</v>
      </c>
      <c r="I575" s="161">
        <v>200</v>
      </c>
      <c r="J575" s="102"/>
      <c r="K575" s="160"/>
      <c r="L575" s="105">
        <v>20201118</v>
      </c>
    </row>
    <row r="576" s="146" customFormat="1" ht="15.2" customHeight="1" spans="1:12">
      <c r="A576" s="109">
        <v>574</v>
      </c>
      <c r="B576" s="158" t="s">
        <v>11090</v>
      </c>
      <c r="C576" s="161" t="s">
        <v>3040</v>
      </c>
      <c r="D576" s="122" t="s">
        <v>12184</v>
      </c>
      <c r="E576" s="102" t="s">
        <v>15</v>
      </c>
      <c r="F576" s="102" t="s">
        <v>10250</v>
      </c>
      <c r="G576" s="109" t="s">
        <v>16</v>
      </c>
      <c r="H576" s="161">
        <v>200</v>
      </c>
      <c r="I576" s="161">
        <v>200</v>
      </c>
      <c r="J576" s="102"/>
      <c r="K576" s="160"/>
      <c r="L576" s="105">
        <v>20201118</v>
      </c>
    </row>
    <row r="577" s="146" customFormat="1" ht="15.2" customHeight="1" spans="1:12">
      <c r="A577" s="109">
        <v>575</v>
      </c>
      <c r="B577" s="158" t="s">
        <v>11090</v>
      </c>
      <c r="C577" s="161" t="s">
        <v>12185</v>
      </c>
      <c r="D577" s="122" t="s">
        <v>12186</v>
      </c>
      <c r="E577" s="102" t="s">
        <v>15</v>
      </c>
      <c r="F577" s="102" t="s">
        <v>10250</v>
      </c>
      <c r="G577" s="109" t="s">
        <v>16</v>
      </c>
      <c r="H577" s="161">
        <v>200</v>
      </c>
      <c r="I577" s="161">
        <v>200</v>
      </c>
      <c r="J577" s="102"/>
      <c r="K577" s="160"/>
      <c r="L577" s="105">
        <v>20201118</v>
      </c>
    </row>
    <row r="578" s="146" customFormat="1" ht="15.2" customHeight="1" spans="1:12">
      <c r="A578" s="109">
        <v>576</v>
      </c>
      <c r="B578" s="158" t="s">
        <v>11090</v>
      </c>
      <c r="C578" s="161" t="s">
        <v>12187</v>
      </c>
      <c r="D578" s="122" t="s">
        <v>12188</v>
      </c>
      <c r="E578" s="102" t="s">
        <v>15</v>
      </c>
      <c r="F578" s="102" t="s">
        <v>10250</v>
      </c>
      <c r="G578" s="109" t="s">
        <v>16</v>
      </c>
      <c r="H578" s="161">
        <v>200</v>
      </c>
      <c r="I578" s="161">
        <v>200</v>
      </c>
      <c r="J578" s="102"/>
      <c r="K578" s="160"/>
      <c r="L578" s="105">
        <v>20201118</v>
      </c>
    </row>
    <row r="579" s="146" customFormat="1" ht="15.2" customHeight="1" spans="1:12">
      <c r="A579" s="109">
        <v>577</v>
      </c>
      <c r="B579" s="158" t="s">
        <v>11090</v>
      </c>
      <c r="C579" s="161" t="s">
        <v>3054</v>
      </c>
      <c r="D579" s="122" t="s">
        <v>12189</v>
      </c>
      <c r="E579" s="102" t="s">
        <v>15</v>
      </c>
      <c r="F579" s="102" t="s">
        <v>10250</v>
      </c>
      <c r="G579" s="109" t="s">
        <v>16</v>
      </c>
      <c r="H579" s="161">
        <v>200</v>
      </c>
      <c r="I579" s="161">
        <v>200</v>
      </c>
      <c r="J579" s="102"/>
      <c r="K579" s="160"/>
      <c r="L579" s="105">
        <v>20201118</v>
      </c>
    </row>
    <row r="580" s="146" customFormat="1" ht="15.2" customHeight="1" spans="1:12">
      <c r="A580" s="109">
        <v>578</v>
      </c>
      <c r="B580" s="158" t="s">
        <v>11090</v>
      </c>
      <c r="C580" s="161" t="s">
        <v>12190</v>
      </c>
      <c r="D580" s="122" t="s">
        <v>12191</v>
      </c>
      <c r="E580" s="102" t="s">
        <v>15</v>
      </c>
      <c r="F580" s="102" t="s">
        <v>10250</v>
      </c>
      <c r="G580" s="109" t="s">
        <v>16</v>
      </c>
      <c r="H580" s="161">
        <v>200</v>
      </c>
      <c r="I580" s="161">
        <v>200</v>
      </c>
      <c r="J580" s="102"/>
      <c r="K580" s="160"/>
      <c r="L580" s="105">
        <v>20201118</v>
      </c>
    </row>
    <row r="581" s="146" customFormat="1" ht="15.2" customHeight="1" spans="1:12">
      <c r="A581" s="109">
        <v>579</v>
      </c>
      <c r="B581" s="158" t="s">
        <v>11090</v>
      </c>
      <c r="C581" s="161" t="s">
        <v>2991</v>
      </c>
      <c r="D581" s="122" t="s">
        <v>12192</v>
      </c>
      <c r="E581" s="102" t="s">
        <v>15</v>
      </c>
      <c r="F581" s="102" t="s">
        <v>10250</v>
      </c>
      <c r="G581" s="109" t="s">
        <v>16</v>
      </c>
      <c r="H581" s="161">
        <v>200</v>
      </c>
      <c r="I581" s="161">
        <v>200</v>
      </c>
      <c r="J581" s="102"/>
      <c r="K581" s="160"/>
      <c r="L581" s="105">
        <v>20201118</v>
      </c>
    </row>
    <row r="582" s="146" customFormat="1" ht="15.2" customHeight="1" spans="1:12">
      <c r="A582" s="109">
        <v>580</v>
      </c>
      <c r="B582" s="158" t="s">
        <v>11090</v>
      </c>
      <c r="C582" s="161" t="s">
        <v>12193</v>
      </c>
      <c r="D582" s="122" t="s">
        <v>12194</v>
      </c>
      <c r="E582" s="102" t="s">
        <v>15</v>
      </c>
      <c r="F582" s="102" t="s">
        <v>10250</v>
      </c>
      <c r="G582" s="163" t="s">
        <v>295</v>
      </c>
      <c r="H582" s="161">
        <v>200</v>
      </c>
      <c r="I582" s="161">
        <v>200</v>
      </c>
      <c r="J582" s="102"/>
      <c r="K582" s="160"/>
      <c r="L582" s="105">
        <v>20201118</v>
      </c>
    </row>
    <row r="583" s="146" customFormat="1" ht="15.2" customHeight="1" spans="1:12">
      <c r="A583" s="109">
        <v>581</v>
      </c>
      <c r="B583" s="158" t="s">
        <v>11090</v>
      </c>
      <c r="C583" s="109" t="s">
        <v>12195</v>
      </c>
      <c r="D583" s="122" t="s">
        <v>12196</v>
      </c>
      <c r="E583" s="102" t="s">
        <v>15</v>
      </c>
      <c r="F583" s="102" t="s">
        <v>10250</v>
      </c>
      <c r="G583" s="109" t="s">
        <v>16</v>
      </c>
      <c r="H583" s="161">
        <v>200</v>
      </c>
      <c r="I583" s="161">
        <v>200</v>
      </c>
      <c r="J583" s="102"/>
      <c r="K583" s="160"/>
      <c r="L583" s="105">
        <v>20201118</v>
      </c>
    </row>
    <row r="584" s="146" customFormat="1" ht="15.2" customHeight="1" spans="1:12">
      <c r="A584" s="109">
        <v>582</v>
      </c>
      <c r="B584" s="158" t="s">
        <v>11090</v>
      </c>
      <c r="C584" s="109" t="s">
        <v>12197</v>
      </c>
      <c r="D584" s="122" t="s">
        <v>12198</v>
      </c>
      <c r="E584" s="102" t="s">
        <v>15</v>
      </c>
      <c r="F584" s="102" t="s">
        <v>10250</v>
      </c>
      <c r="G584" s="109" t="s">
        <v>16</v>
      </c>
      <c r="H584" s="161">
        <v>200</v>
      </c>
      <c r="I584" s="161">
        <v>200</v>
      </c>
      <c r="J584" s="102"/>
      <c r="K584" s="160"/>
      <c r="L584" s="105">
        <v>20201118</v>
      </c>
    </row>
    <row r="585" s="146" customFormat="1" ht="15.2" customHeight="1" spans="1:12">
      <c r="A585" s="109">
        <v>583</v>
      </c>
      <c r="B585" s="158" t="s">
        <v>11090</v>
      </c>
      <c r="C585" s="109" t="s">
        <v>12199</v>
      </c>
      <c r="D585" s="122" t="s">
        <v>12200</v>
      </c>
      <c r="E585" s="102" t="s">
        <v>15</v>
      </c>
      <c r="F585" s="102" t="s">
        <v>10250</v>
      </c>
      <c r="G585" s="109" t="s">
        <v>16</v>
      </c>
      <c r="H585" s="161">
        <v>200</v>
      </c>
      <c r="I585" s="161">
        <v>200</v>
      </c>
      <c r="J585" s="102" t="s">
        <v>6097</v>
      </c>
      <c r="K585" s="160"/>
      <c r="L585" s="105">
        <v>20201118</v>
      </c>
    </row>
    <row r="586" s="146" customFormat="1" ht="15.2" customHeight="1" spans="1:12">
      <c r="A586" s="109">
        <v>584</v>
      </c>
      <c r="B586" s="158" t="s">
        <v>11090</v>
      </c>
      <c r="C586" s="109" t="s">
        <v>12201</v>
      </c>
      <c r="D586" s="122" t="s">
        <v>12202</v>
      </c>
      <c r="E586" s="102" t="s">
        <v>15</v>
      </c>
      <c r="F586" s="102" t="s">
        <v>10250</v>
      </c>
      <c r="G586" s="109" t="s">
        <v>16</v>
      </c>
      <c r="H586" s="161">
        <v>200</v>
      </c>
      <c r="I586" s="161">
        <v>200</v>
      </c>
      <c r="J586" s="102" t="s">
        <v>6097</v>
      </c>
      <c r="K586" s="160"/>
      <c r="L586" s="105">
        <v>20201118</v>
      </c>
    </row>
    <row r="587" s="146" customFormat="1" ht="15.2" customHeight="1" spans="1:12">
      <c r="A587" s="109">
        <v>585</v>
      </c>
      <c r="B587" s="158" t="s">
        <v>11090</v>
      </c>
      <c r="C587" s="109" t="s">
        <v>12203</v>
      </c>
      <c r="D587" s="122" t="s">
        <v>12204</v>
      </c>
      <c r="E587" s="102" t="s">
        <v>15</v>
      </c>
      <c r="F587" s="102" t="s">
        <v>10250</v>
      </c>
      <c r="G587" s="109" t="s">
        <v>16</v>
      </c>
      <c r="H587" s="161">
        <v>200</v>
      </c>
      <c r="I587" s="161">
        <v>200</v>
      </c>
      <c r="J587" s="102" t="s">
        <v>6097</v>
      </c>
      <c r="K587" s="160"/>
      <c r="L587" s="105">
        <v>20201118</v>
      </c>
    </row>
    <row r="588" s="146" customFormat="1" ht="15.2" customHeight="1" spans="1:12">
      <c r="A588" s="109">
        <v>586</v>
      </c>
      <c r="B588" s="158" t="s">
        <v>11090</v>
      </c>
      <c r="C588" s="109" t="s">
        <v>12205</v>
      </c>
      <c r="D588" s="122" t="s">
        <v>12206</v>
      </c>
      <c r="E588" s="102" t="s">
        <v>15</v>
      </c>
      <c r="F588" s="102" t="s">
        <v>10250</v>
      </c>
      <c r="G588" s="109" t="s">
        <v>16</v>
      </c>
      <c r="H588" s="161">
        <v>200</v>
      </c>
      <c r="I588" s="161">
        <v>200</v>
      </c>
      <c r="J588" s="102" t="s">
        <v>6097</v>
      </c>
      <c r="K588" s="160"/>
      <c r="L588" s="105">
        <v>20201118</v>
      </c>
    </row>
    <row r="589" s="146" customFormat="1" ht="15.2" customHeight="1" spans="1:12">
      <c r="A589" s="109">
        <v>587</v>
      </c>
      <c r="B589" s="158" t="s">
        <v>11090</v>
      </c>
      <c r="C589" s="109" t="s">
        <v>12207</v>
      </c>
      <c r="D589" s="122" t="s">
        <v>12208</v>
      </c>
      <c r="E589" s="102" t="s">
        <v>15</v>
      </c>
      <c r="F589" s="102" t="s">
        <v>10250</v>
      </c>
      <c r="G589" s="109" t="s">
        <v>16</v>
      </c>
      <c r="H589" s="161">
        <v>200</v>
      </c>
      <c r="I589" s="161">
        <v>200</v>
      </c>
      <c r="J589" s="102" t="s">
        <v>6097</v>
      </c>
      <c r="K589" s="160"/>
      <c r="L589" s="105">
        <v>20201118</v>
      </c>
    </row>
    <row r="590" s="146" customFormat="1" ht="15.2" customHeight="1" spans="1:12">
      <c r="A590" s="109">
        <v>588</v>
      </c>
      <c r="B590" s="158" t="s">
        <v>11090</v>
      </c>
      <c r="C590" s="109" t="s">
        <v>12209</v>
      </c>
      <c r="D590" s="122" t="s">
        <v>12210</v>
      </c>
      <c r="E590" s="102" t="s">
        <v>15</v>
      </c>
      <c r="F590" s="102" t="s">
        <v>10250</v>
      </c>
      <c r="G590" s="109" t="s">
        <v>16</v>
      </c>
      <c r="H590" s="161">
        <v>200</v>
      </c>
      <c r="I590" s="161">
        <v>200</v>
      </c>
      <c r="J590" s="102"/>
      <c r="K590" s="160"/>
      <c r="L590" s="105">
        <v>20201118</v>
      </c>
    </row>
    <row r="591" s="146" customFormat="1" ht="15.2" customHeight="1" spans="1:12">
      <c r="A591" s="109">
        <v>589</v>
      </c>
      <c r="B591" s="158" t="s">
        <v>11090</v>
      </c>
      <c r="C591" s="109" t="s">
        <v>11521</v>
      </c>
      <c r="D591" s="122" t="s">
        <v>12211</v>
      </c>
      <c r="E591" s="102" t="s">
        <v>15</v>
      </c>
      <c r="F591" s="102" t="s">
        <v>10250</v>
      </c>
      <c r="G591" s="109" t="s">
        <v>16</v>
      </c>
      <c r="H591" s="161">
        <v>200</v>
      </c>
      <c r="I591" s="161">
        <v>200</v>
      </c>
      <c r="J591" s="102"/>
      <c r="K591" s="160"/>
      <c r="L591" s="105">
        <v>20201118</v>
      </c>
    </row>
    <row r="592" s="146" customFormat="1" ht="15.2" customHeight="1" spans="1:12">
      <c r="A592" s="109">
        <v>590</v>
      </c>
      <c r="B592" s="158" t="s">
        <v>11090</v>
      </c>
      <c r="C592" s="109" t="s">
        <v>12212</v>
      </c>
      <c r="D592" s="122" t="s">
        <v>12213</v>
      </c>
      <c r="E592" s="102" t="s">
        <v>15</v>
      </c>
      <c r="F592" s="102" t="s">
        <v>10250</v>
      </c>
      <c r="G592" s="109" t="s">
        <v>16</v>
      </c>
      <c r="H592" s="161">
        <v>200</v>
      </c>
      <c r="I592" s="161">
        <v>200</v>
      </c>
      <c r="J592" s="102"/>
      <c r="K592" s="160"/>
      <c r="L592" s="105">
        <v>20201118</v>
      </c>
    </row>
    <row r="593" s="146" customFormat="1" ht="15.2" customHeight="1" spans="1:12">
      <c r="A593" s="109">
        <v>591</v>
      </c>
      <c r="B593" s="158" t="s">
        <v>11090</v>
      </c>
      <c r="C593" s="109" t="s">
        <v>12214</v>
      </c>
      <c r="D593" s="122" t="s">
        <v>12215</v>
      </c>
      <c r="E593" s="102" t="s">
        <v>15</v>
      </c>
      <c r="F593" s="102" t="s">
        <v>10250</v>
      </c>
      <c r="G593" s="109" t="s">
        <v>16</v>
      </c>
      <c r="H593" s="161">
        <v>200</v>
      </c>
      <c r="I593" s="161">
        <v>200</v>
      </c>
      <c r="J593" s="102"/>
      <c r="K593" s="160"/>
      <c r="L593" s="105">
        <v>20201118</v>
      </c>
    </row>
    <row r="594" s="146" customFormat="1" ht="15.2" customHeight="1" spans="1:12">
      <c r="A594" s="109">
        <v>592</v>
      </c>
      <c r="B594" s="158" t="s">
        <v>11090</v>
      </c>
      <c r="C594" s="161" t="s">
        <v>12216</v>
      </c>
      <c r="D594" s="122" t="s">
        <v>12217</v>
      </c>
      <c r="E594" s="102" t="s">
        <v>15</v>
      </c>
      <c r="F594" s="102" t="s">
        <v>10250</v>
      </c>
      <c r="G594" s="109" t="s">
        <v>16</v>
      </c>
      <c r="H594" s="161">
        <v>200</v>
      </c>
      <c r="I594" s="161">
        <v>200</v>
      </c>
      <c r="J594" s="102"/>
      <c r="K594" s="160"/>
      <c r="L594" s="105">
        <v>20201118</v>
      </c>
    </row>
    <row r="595" s="146" customFormat="1" ht="15.2" customHeight="1" spans="1:12">
      <c r="A595" s="109">
        <v>593</v>
      </c>
      <c r="B595" s="158" t="s">
        <v>11090</v>
      </c>
      <c r="C595" s="161" t="s">
        <v>12218</v>
      </c>
      <c r="D595" s="122" t="s">
        <v>12219</v>
      </c>
      <c r="E595" s="102" t="s">
        <v>15</v>
      </c>
      <c r="F595" s="102" t="s">
        <v>10250</v>
      </c>
      <c r="G595" s="109" t="s">
        <v>16</v>
      </c>
      <c r="H595" s="161">
        <v>200</v>
      </c>
      <c r="I595" s="161">
        <v>200</v>
      </c>
      <c r="J595" s="102"/>
      <c r="K595" s="160"/>
      <c r="L595" s="105">
        <v>20201118</v>
      </c>
    </row>
    <row r="596" s="146" customFormat="1" ht="15.2" customHeight="1" spans="1:12">
      <c r="A596" s="109">
        <v>594</v>
      </c>
      <c r="B596" s="158" t="s">
        <v>11090</v>
      </c>
      <c r="C596" s="161" t="s">
        <v>12220</v>
      </c>
      <c r="D596" s="122" t="s">
        <v>12221</v>
      </c>
      <c r="E596" s="102" t="s">
        <v>15</v>
      </c>
      <c r="F596" s="102" t="s">
        <v>10250</v>
      </c>
      <c r="G596" s="109" t="s">
        <v>16</v>
      </c>
      <c r="H596" s="161">
        <v>200</v>
      </c>
      <c r="I596" s="161">
        <v>200</v>
      </c>
      <c r="J596" s="102"/>
      <c r="K596" s="160"/>
      <c r="L596" s="105">
        <v>20201118</v>
      </c>
    </row>
    <row r="597" s="146" customFormat="1" ht="15.2" customHeight="1" spans="1:12">
      <c r="A597" s="109">
        <v>595</v>
      </c>
      <c r="B597" s="158" t="s">
        <v>11090</v>
      </c>
      <c r="C597" s="161" t="s">
        <v>12222</v>
      </c>
      <c r="D597" s="122" t="s">
        <v>12223</v>
      </c>
      <c r="E597" s="102" t="s">
        <v>15</v>
      </c>
      <c r="F597" s="102" t="s">
        <v>10250</v>
      </c>
      <c r="G597" s="109" t="s">
        <v>16</v>
      </c>
      <c r="H597" s="161">
        <v>200</v>
      </c>
      <c r="I597" s="161">
        <v>200</v>
      </c>
      <c r="J597" s="102"/>
      <c r="K597" s="160"/>
      <c r="L597" s="105">
        <v>20201118</v>
      </c>
    </row>
    <row r="598" s="146" customFormat="1" ht="15.2" customHeight="1" spans="1:12">
      <c r="A598" s="109">
        <v>596</v>
      </c>
      <c r="B598" s="158" t="s">
        <v>11090</v>
      </c>
      <c r="C598" s="161" t="s">
        <v>12224</v>
      </c>
      <c r="D598" s="122" t="s">
        <v>12225</v>
      </c>
      <c r="E598" s="102" t="s">
        <v>15</v>
      </c>
      <c r="F598" s="102" t="s">
        <v>10250</v>
      </c>
      <c r="G598" s="109" t="s">
        <v>16</v>
      </c>
      <c r="H598" s="161">
        <v>200</v>
      </c>
      <c r="I598" s="161">
        <v>200</v>
      </c>
      <c r="J598" s="102"/>
      <c r="K598" s="160"/>
      <c r="L598" s="105">
        <v>20201118</v>
      </c>
    </row>
    <row r="599" s="146" customFormat="1" ht="15.2" customHeight="1" spans="1:12">
      <c r="A599" s="109">
        <v>597</v>
      </c>
      <c r="B599" s="158" t="s">
        <v>11090</v>
      </c>
      <c r="C599" s="161" t="s">
        <v>12226</v>
      </c>
      <c r="D599" s="122" t="s">
        <v>12227</v>
      </c>
      <c r="E599" s="102" t="s">
        <v>15</v>
      </c>
      <c r="F599" s="102" t="s">
        <v>10250</v>
      </c>
      <c r="G599" s="109" t="s">
        <v>16</v>
      </c>
      <c r="H599" s="161">
        <v>200</v>
      </c>
      <c r="I599" s="161">
        <v>200</v>
      </c>
      <c r="J599" s="102"/>
      <c r="K599" s="160"/>
      <c r="L599" s="105">
        <v>20201118</v>
      </c>
    </row>
    <row r="600" s="146" customFormat="1" ht="15.2" customHeight="1" spans="1:12">
      <c r="A600" s="109">
        <v>598</v>
      </c>
      <c r="B600" s="158" t="s">
        <v>11090</v>
      </c>
      <c r="C600" s="161" t="s">
        <v>12228</v>
      </c>
      <c r="D600" s="122" t="s">
        <v>12229</v>
      </c>
      <c r="E600" s="102" t="s">
        <v>15</v>
      </c>
      <c r="F600" s="102" t="s">
        <v>10250</v>
      </c>
      <c r="G600" s="109" t="s">
        <v>16</v>
      </c>
      <c r="H600" s="161">
        <v>200</v>
      </c>
      <c r="I600" s="161">
        <v>200</v>
      </c>
      <c r="J600" s="102"/>
      <c r="K600" s="160"/>
      <c r="L600" s="105">
        <v>20201118</v>
      </c>
    </row>
    <row r="601" s="146" customFormat="1" ht="15.2" customHeight="1" spans="1:12">
      <c r="A601" s="109">
        <v>599</v>
      </c>
      <c r="B601" s="158" t="s">
        <v>11090</v>
      </c>
      <c r="C601" s="161" t="s">
        <v>12218</v>
      </c>
      <c r="D601" s="122" t="s">
        <v>12230</v>
      </c>
      <c r="E601" s="102" t="s">
        <v>15</v>
      </c>
      <c r="F601" s="102" t="s">
        <v>10250</v>
      </c>
      <c r="G601" s="109" t="s">
        <v>16</v>
      </c>
      <c r="H601" s="161">
        <v>200</v>
      </c>
      <c r="I601" s="161">
        <v>200</v>
      </c>
      <c r="J601" s="102"/>
      <c r="K601" s="160"/>
      <c r="L601" s="105">
        <v>20201118</v>
      </c>
    </row>
    <row r="602" s="146" customFormat="1" ht="15.2" customHeight="1" spans="1:12">
      <c r="A602" s="109">
        <v>600</v>
      </c>
      <c r="B602" s="158" t="s">
        <v>11090</v>
      </c>
      <c r="C602" s="161" t="s">
        <v>12231</v>
      </c>
      <c r="D602" s="122" t="s">
        <v>12232</v>
      </c>
      <c r="E602" s="102" t="s">
        <v>15</v>
      </c>
      <c r="F602" s="102" t="s">
        <v>10250</v>
      </c>
      <c r="G602" s="109" t="s">
        <v>16</v>
      </c>
      <c r="H602" s="161">
        <v>200</v>
      </c>
      <c r="I602" s="161">
        <v>200</v>
      </c>
      <c r="J602" s="102" t="s">
        <v>6097</v>
      </c>
      <c r="K602" s="160"/>
      <c r="L602" s="105">
        <v>20201118</v>
      </c>
    </row>
    <row r="603" s="146" customFormat="1" ht="15.2" customHeight="1" spans="1:12">
      <c r="A603" s="109">
        <v>601</v>
      </c>
      <c r="B603" s="158" t="s">
        <v>11090</v>
      </c>
      <c r="C603" s="161" t="s">
        <v>12233</v>
      </c>
      <c r="D603" s="122" t="s">
        <v>12234</v>
      </c>
      <c r="E603" s="102" t="s">
        <v>15</v>
      </c>
      <c r="F603" s="102" t="s">
        <v>10250</v>
      </c>
      <c r="G603" s="109" t="s">
        <v>16</v>
      </c>
      <c r="H603" s="161">
        <v>200</v>
      </c>
      <c r="I603" s="161">
        <v>200</v>
      </c>
      <c r="J603" s="102"/>
      <c r="K603" s="160"/>
      <c r="L603" s="105">
        <v>20201118</v>
      </c>
    </row>
    <row r="604" s="146" customFormat="1" ht="15.2" customHeight="1" spans="1:12">
      <c r="A604" s="109">
        <v>602</v>
      </c>
      <c r="B604" s="158" t="s">
        <v>11090</v>
      </c>
      <c r="C604" s="161" t="s">
        <v>12235</v>
      </c>
      <c r="D604" s="122" t="s">
        <v>12236</v>
      </c>
      <c r="E604" s="102" t="s">
        <v>15</v>
      </c>
      <c r="F604" s="102" t="s">
        <v>10250</v>
      </c>
      <c r="G604" s="109" t="s">
        <v>16</v>
      </c>
      <c r="H604" s="161">
        <v>200</v>
      </c>
      <c r="I604" s="161">
        <v>200</v>
      </c>
      <c r="J604" s="102" t="s">
        <v>6097</v>
      </c>
      <c r="K604" s="160"/>
      <c r="L604" s="105">
        <v>20201118</v>
      </c>
    </row>
    <row r="605" s="146" customFormat="1" ht="15.2" customHeight="1" spans="1:12">
      <c r="A605" s="109">
        <v>603</v>
      </c>
      <c r="B605" s="158" t="s">
        <v>11090</v>
      </c>
      <c r="C605" s="161" t="s">
        <v>8284</v>
      </c>
      <c r="D605" s="312" t="s">
        <v>12237</v>
      </c>
      <c r="E605" s="102" t="s">
        <v>15</v>
      </c>
      <c r="F605" s="102" t="s">
        <v>10250</v>
      </c>
      <c r="G605" s="109" t="s">
        <v>16</v>
      </c>
      <c r="H605" s="161">
        <v>200</v>
      </c>
      <c r="I605" s="161">
        <v>200</v>
      </c>
      <c r="J605" s="102"/>
      <c r="K605" s="160"/>
      <c r="L605" s="105">
        <v>20201118</v>
      </c>
    </row>
    <row r="606" s="146" customFormat="1" ht="15.2" customHeight="1" spans="1:12">
      <c r="A606" s="109">
        <v>604</v>
      </c>
      <c r="B606" s="158" t="s">
        <v>11090</v>
      </c>
      <c r="C606" s="161" t="s">
        <v>506</v>
      </c>
      <c r="D606" s="122" t="s">
        <v>12238</v>
      </c>
      <c r="E606" s="102" t="s">
        <v>15</v>
      </c>
      <c r="F606" s="102" t="s">
        <v>10250</v>
      </c>
      <c r="G606" s="109" t="s">
        <v>16</v>
      </c>
      <c r="H606" s="161">
        <v>200</v>
      </c>
      <c r="I606" s="161">
        <v>200</v>
      </c>
      <c r="J606" s="102"/>
      <c r="K606" s="160"/>
      <c r="L606" s="105">
        <v>20201118</v>
      </c>
    </row>
    <row r="607" s="146" customFormat="1" ht="15.2" customHeight="1" spans="1:12">
      <c r="A607" s="109">
        <v>605</v>
      </c>
      <c r="B607" s="158" t="s">
        <v>11090</v>
      </c>
      <c r="C607" s="161" t="s">
        <v>12239</v>
      </c>
      <c r="D607" s="122" t="s">
        <v>12240</v>
      </c>
      <c r="E607" s="102" t="s">
        <v>15</v>
      </c>
      <c r="F607" s="102" t="s">
        <v>10250</v>
      </c>
      <c r="G607" s="161" t="s">
        <v>12241</v>
      </c>
      <c r="H607" s="161">
        <v>200</v>
      </c>
      <c r="I607" s="161">
        <v>200</v>
      </c>
      <c r="J607" s="102"/>
      <c r="K607" s="160"/>
      <c r="L607" s="105">
        <v>20201118</v>
      </c>
    </row>
    <row r="608" s="146" customFormat="1" ht="15.2" customHeight="1" spans="1:12">
      <c r="A608" s="109">
        <v>606</v>
      </c>
      <c r="B608" s="158" t="s">
        <v>11090</v>
      </c>
      <c r="C608" s="161" t="s">
        <v>12242</v>
      </c>
      <c r="D608" s="312" t="s">
        <v>12243</v>
      </c>
      <c r="E608" s="102" t="s">
        <v>15</v>
      </c>
      <c r="F608" s="102" t="s">
        <v>10250</v>
      </c>
      <c r="G608" s="161" t="s">
        <v>12241</v>
      </c>
      <c r="H608" s="161">
        <v>200</v>
      </c>
      <c r="I608" s="161">
        <v>200</v>
      </c>
      <c r="J608" s="102"/>
      <c r="K608" s="160"/>
      <c r="L608" s="105">
        <v>20201118</v>
      </c>
    </row>
    <row r="609" s="146" customFormat="1" ht="15.2" customHeight="1" spans="1:12">
      <c r="A609" s="109">
        <v>607</v>
      </c>
      <c r="B609" s="158" t="s">
        <v>11090</v>
      </c>
      <c r="C609" s="161" t="s">
        <v>12244</v>
      </c>
      <c r="D609" s="122" t="s">
        <v>12245</v>
      </c>
      <c r="E609" s="102" t="s">
        <v>15</v>
      </c>
      <c r="F609" s="102" t="s">
        <v>10250</v>
      </c>
      <c r="G609" s="161" t="s">
        <v>12241</v>
      </c>
      <c r="H609" s="161">
        <v>200</v>
      </c>
      <c r="I609" s="161">
        <v>200</v>
      </c>
      <c r="J609" s="102"/>
      <c r="K609" s="160"/>
      <c r="L609" s="105">
        <v>20201118</v>
      </c>
    </row>
    <row r="610" s="146" customFormat="1" ht="15.2" customHeight="1" spans="1:12">
      <c r="A610" s="109">
        <v>608</v>
      </c>
      <c r="B610" s="158" t="s">
        <v>11090</v>
      </c>
      <c r="C610" s="161" t="s">
        <v>12246</v>
      </c>
      <c r="D610" s="122" t="s">
        <v>12247</v>
      </c>
      <c r="E610" s="102" t="s">
        <v>15</v>
      </c>
      <c r="F610" s="102" t="s">
        <v>10250</v>
      </c>
      <c r="G610" s="161" t="s">
        <v>12241</v>
      </c>
      <c r="H610" s="161">
        <v>200</v>
      </c>
      <c r="I610" s="161">
        <v>200</v>
      </c>
      <c r="J610" s="102"/>
      <c r="K610" s="160"/>
      <c r="L610" s="105">
        <v>20201118</v>
      </c>
    </row>
    <row r="611" s="146" customFormat="1" ht="15.2" customHeight="1" spans="1:12">
      <c r="A611" s="109">
        <v>609</v>
      </c>
      <c r="B611" s="158" t="s">
        <v>11090</v>
      </c>
      <c r="C611" s="161" t="s">
        <v>12248</v>
      </c>
      <c r="D611" s="122" t="s">
        <v>12249</v>
      </c>
      <c r="E611" s="102" t="s">
        <v>15</v>
      </c>
      <c r="F611" s="102" t="s">
        <v>10250</v>
      </c>
      <c r="G611" s="161" t="s">
        <v>12241</v>
      </c>
      <c r="H611" s="161">
        <v>200</v>
      </c>
      <c r="I611" s="161">
        <v>200</v>
      </c>
      <c r="J611" s="102"/>
      <c r="K611" s="160"/>
      <c r="L611" s="105">
        <v>20201118</v>
      </c>
    </row>
    <row r="612" s="146" customFormat="1" ht="15.2" customHeight="1" spans="1:12">
      <c r="A612" s="109">
        <v>610</v>
      </c>
      <c r="B612" s="158" t="s">
        <v>11090</v>
      </c>
      <c r="C612" s="161" t="s">
        <v>12250</v>
      </c>
      <c r="D612" s="122" t="s">
        <v>12251</v>
      </c>
      <c r="E612" s="102" t="s">
        <v>15</v>
      </c>
      <c r="F612" s="102" t="s">
        <v>10250</v>
      </c>
      <c r="G612" s="161" t="s">
        <v>12241</v>
      </c>
      <c r="H612" s="161">
        <v>200</v>
      </c>
      <c r="I612" s="161">
        <v>200</v>
      </c>
      <c r="J612" s="102"/>
      <c r="K612" s="160"/>
      <c r="L612" s="105">
        <v>20201118</v>
      </c>
    </row>
    <row r="613" s="146" customFormat="1" ht="15.2" customHeight="1" spans="1:12">
      <c r="A613" s="109">
        <v>611</v>
      </c>
      <c r="B613" s="158" t="s">
        <v>11090</v>
      </c>
      <c r="C613" s="161" t="s">
        <v>12252</v>
      </c>
      <c r="D613" s="122" t="s">
        <v>12253</v>
      </c>
      <c r="E613" s="141" t="s">
        <v>1047</v>
      </c>
      <c r="F613" s="141" t="s">
        <v>10250</v>
      </c>
      <c r="G613" s="161" t="s">
        <v>289</v>
      </c>
      <c r="H613" s="161">
        <v>200</v>
      </c>
      <c r="I613" s="161">
        <v>400</v>
      </c>
      <c r="J613" s="102"/>
      <c r="K613" s="160"/>
      <c r="L613" s="105">
        <v>20201118</v>
      </c>
    </row>
    <row r="614" s="146" customFormat="1" ht="15.2" customHeight="1" spans="1:12">
      <c r="A614" s="109">
        <v>612</v>
      </c>
      <c r="B614" s="158" t="s">
        <v>11090</v>
      </c>
      <c r="C614" s="161" t="s">
        <v>11809</v>
      </c>
      <c r="D614" s="122" t="s">
        <v>12254</v>
      </c>
      <c r="E614" s="141" t="s">
        <v>1047</v>
      </c>
      <c r="F614" s="141" t="s">
        <v>10250</v>
      </c>
      <c r="G614" s="161" t="s">
        <v>289</v>
      </c>
      <c r="H614" s="161" t="s">
        <v>311</v>
      </c>
      <c r="I614" s="161">
        <v>400</v>
      </c>
      <c r="J614" s="102"/>
      <c r="K614" s="160"/>
      <c r="L614" s="105">
        <v>20201118</v>
      </c>
    </row>
    <row r="615" s="146" customFormat="1" ht="15.2" customHeight="1" spans="1:12">
      <c r="A615" s="109">
        <v>613</v>
      </c>
      <c r="B615" s="158" t="s">
        <v>11090</v>
      </c>
      <c r="C615" s="161" t="s">
        <v>12255</v>
      </c>
      <c r="D615" s="122" t="s">
        <v>12256</v>
      </c>
      <c r="E615" s="141" t="s">
        <v>310</v>
      </c>
      <c r="F615" s="141" t="s">
        <v>10250</v>
      </c>
      <c r="G615" s="161" t="s">
        <v>2460</v>
      </c>
      <c r="H615" s="161" t="s">
        <v>311</v>
      </c>
      <c r="I615" s="161">
        <v>2000</v>
      </c>
      <c r="J615" s="102"/>
      <c r="K615" s="160"/>
      <c r="L615" s="105">
        <v>20201118</v>
      </c>
    </row>
    <row r="616" s="146" customFormat="1" ht="15.2" customHeight="1" spans="1:12">
      <c r="A616" s="109">
        <v>614</v>
      </c>
      <c r="B616" s="158" t="s">
        <v>11090</v>
      </c>
      <c r="C616" s="161" t="s">
        <v>12257</v>
      </c>
      <c r="D616" s="122" t="s">
        <v>12258</v>
      </c>
      <c r="E616" s="141" t="s">
        <v>310</v>
      </c>
      <c r="F616" s="141" t="s">
        <v>10250</v>
      </c>
      <c r="G616" s="161" t="s">
        <v>2460</v>
      </c>
      <c r="H616" s="161" t="s">
        <v>311</v>
      </c>
      <c r="I616" s="161">
        <v>2000</v>
      </c>
      <c r="J616" s="102"/>
      <c r="K616" s="160"/>
      <c r="L616" s="105">
        <v>20201118</v>
      </c>
    </row>
    <row r="617" s="146" customFormat="1" ht="15.2" customHeight="1" spans="1:12">
      <c r="A617" s="109">
        <v>615</v>
      </c>
      <c r="B617" s="158" t="s">
        <v>11090</v>
      </c>
      <c r="C617" s="161" t="s">
        <v>12259</v>
      </c>
      <c r="D617" s="158" t="s">
        <v>12260</v>
      </c>
      <c r="E617" s="102" t="s">
        <v>15</v>
      </c>
      <c r="F617" s="102" t="s">
        <v>10250</v>
      </c>
      <c r="G617" s="109" t="s">
        <v>16</v>
      </c>
      <c r="H617" s="161">
        <v>200</v>
      </c>
      <c r="I617" s="161">
        <v>200</v>
      </c>
      <c r="J617" s="102"/>
      <c r="K617" s="160"/>
      <c r="L617" s="105">
        <v>20201118</v>
      </c>
    </row>
    <row r="618" s="146" customFormat="1" spans="1:12">
      <c r="A618" s="149"/>
      <c r="B618" s="149"/>
      <c r="C618" s="149"/>
      <c r="D618" s="149"/>
      <c r="E618" s="149"/>
      <c r="F618" s="149"/>
      <c r="G618" s="149"/>
      <c r="H618" s="149"/>
      <c r="I618" s="149" t="s">
        <v>12261</v>
      </c>
      <c r="J618" s="149"/>
      <c r="K618" s="164"/>
      <c r="L618" s="105"/>
    </row>
    <row r="619" s="146" customFormat="1" spans="1:12">
      <c r="A619" s="157"/>
      <c r="B619" s="157"/>
      <c r="C619" s="157"/>
      <c r="D619" s="157"/>
      <c r="E619" s="157"/>
      <c r="F619" s="157"/>
      <c r="G619" s="157"/>
      <c r="H619" s="157"/>
      <c r="I619" s="157"/>
      <c r="J619" s="157"/>
      <c r="K619" s="133"/>
      <c r="L619"/>
    </row>
    <row r="620" s="146" customFormat="1" spans="1:12">
      <c r="A620" s="157"/>
      <c r="B620" s="157"/>
      <c r="C620" s="157"/>
      <c r="D620" s="157"/>
      <c r="E620" s="157"/>
      <c r="F620" s="157"/>
      <c r="G620" s="157"/>
      <c r="H620" s="157"/>
      <c r="I620" s="157"/>
      <c r="J620" s="157"/>
      <c r="K620" s="133"/>
      <c r="L620"/>
    </row>
    <row r="621" s="146" customFormat="1" spans="1:12">
      <c r="A621" s="157"/>
      <c r="B621" s="157"/>
      <c r="C621" s="157"/>
      <c r="D621" s="157"/>
      <c r="E621" s="157"/>
      <c r="F621" s="157"/>
      <c r="G621" s="157"/>
      <c r="H621" s="157"/>
      <c r="I621" s="157"/>
      <c r="J621" s="157"/>
      <c r="K621" s="133"/>
      <c r="L621"/>
    </row>
    <row r="622" s="146" customFormat="1" spans="1:12">
      <c r="A622" s="157"/>
      <c r="B622" s="157"/>
      <c r="C622" s="157"/>
      <c r="D622" s="157"/>
      <c r="E622" s="157"/>
      <c r="F622" s="157"/>
      <c r="G622" s="157"/>
      <c r="H622" s="157"/>
      <c r="I622" s="157"/>
      <c r="J622" s="157"/>
      <c r="K622" s="133"/>
      <c r="L622"/>
    </row>
  </sheetData>
  <mergeCells count="2">
    <mergeCell ref="A1:K1"/>
    <mergeCell ref="E2:F2"/>
  </mergeCells>
  <conditionalFormatting sqref="D467">
    <cfRule type="cellIs" dxfId="0" priority="6" stopIfTrue="1" operator="equal">
      <formula>"人员减少"</formula>
    </cfRule>
  </conditionalFormatting>
  <conditionalFormatting sqref="D486">
    <cfRule type="cellIs" dxfId="0" priority="5" stopIfTrue="1" operator="equal">
      <formula>"人员减少"</formula>
    </cfRule>
  </conditionalFormatting>
  <conditionalFormatting sqref="D490">
    <cfRule type="cellIs" dxfId="0" priority="4" stopIfTrue="1" operator="equal">
      <formula>"人员减少"</formula>
    </cfRule>
  </conditionalFormatting>
  <conditionalFormatting sqref="D491">
    <cfRule type="cellIs" dxfId="0" priority="3" stopIfTrue="1" operator="equal">
      <formula>"人员减少"</formula>
    </cfRule>
  </conditionalFormatting>
  <conditionalFormatting sqref="D524">
    <cfRule type="cellIs" dxfId="0" priority="2" stopIfTrue="1" operator="equal">
      <formula>"人员减少"</formula>
    </cfRule>
  </conditionalFormatting>
  <conditionalFormatting sqref="D553">
    <cfRule type="cellIs" dxfId="0" priority="1" stopIfTrue="1" operator="equal">
      <formula>"人员减少"</formula>
    </cfRule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2"/>
  <sheetViews>
    <sheetView topLeftCell="A209" workbookViewId="0">
      <selection activeCell="A3" sqref="A3:L241"/>
    </sheetView>
  </sheetViews>
  <sheetFormatPr defaultColWidth="9" defaultRowHeight="13.5"/>
  <cols>
    <col min="4" max="4" width="21.375" customWidth="1"/>
    <col min="12" max="12" width="13.125" customWidth="1"/>
  </cols>
  <sheetData>
    <row r="1" ht="18.75" spans="1:11">
      <c r="A1" s="99" t="s">
        <v>315</v>
      </c>
      <c r="B1" s="99"/>
      <c r="C1" s="100"/>
      <c r="D1" s="100"/>
      <c r="E1" s="100"/>
      <c r="F1" s="100"/>
      <c r="G1" s="100"/>
      <c r="H1" s="100"/>
      <c r="I1" s="100"/>
      <c r="J1" s="100"/>
      <c r="K1" s="100"/>
    </row>
    <row r="2" s="96" customFormat="1" ht="15.5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10" t="s">
        <v>11</v>
      </c>
    </row>
    <row r="3" s="1" customFormat="1" ht="15.5" customHeight="1" spans="1:12">
      <c r="A3" s="154" t="s">
        <v>316</v>
      </c>
      <c r="B3" s="154" t="s">
        <v>317</v>
      </c>
      <c r="C3" s="154" t="s">
        <v>318</v>
      </c>
      <c r="D3" s="154" t="s">
        <v>319</v>
      </c>
      <c r="E3" s="265">
        <v>2013</v>
      </c>
      <c r="F3" s="154" t="s">
        <v>320</v>
      </c>
      <c r="G3" s="130" t="s">
        <v>289</v>
      </c>
      <c r="H3" s="154" t="s">
        <v>311</v>
      </c>
      <c r="I3" s="156">
        <v>200</v>
      </c>
      <c r="K3" s="109"/>
      <c r="L3" s="154" t="s">
        <v>321</v>
      </c>
    </row>
    <row r="4" s="96" customFormat="1" ht="15.5" customHeight="1" spans="1:12">
      <c r="A4" s="44" t="s">
        <v>322</v>
      </c>
      <c r="B4" s="111" t="s">
        <v>317</v>
      </c>
      <c r="C4" s="111" t="s">
        <v>323</v>
      </c>
      <c r="D4" s="280" t="s">
        <v>324</v>
      </c>
      <c r="E4" s="111">
        <v>2013</v>
      </c>
      <c r="F4" s="2" t="s">
        <v>320</v>
      </c>
      <c r="G4" s="130" t="s">
        <v>289</v>
      </c>
      <c r="H4" s="154" t="s">
        <v>311</v>
      </c>
      <c r="I4" s="156">
        <v>200</v>
      </c>
      <c r="K4" s="110"/>
      <c r="L4" s="2" t="s">
        <v>325</v>
      </c>
    </row>
    <row r="5" ht="15.5" customHeight="1" spans="1:12">
      <c r="A5" s="132" t="s">
        <v>326</v>
      </c>
      <c r="B5" s="132" t="s">
        <v>327</v>
      </c>
      <c r="C5" s="132" t="s">
        <v>328</v>
      </c>
      <c r="D5" s="132" t="s">
        <v>329</v>
      </c>
      <c r="E5" s="102">
        <v>2020</v>
      </c>
      <c r="F5" s="102">
        <v>2020</v>
      </c>
      <c r="G5" s="132" t="s">
        <v>16</v>
      </c>
      <c r="H5" s="132">
        <v>200</v>
      </c>
      <c r="I5" s="132">
        <v>200</v>
      </c>
      <c r="K5" s="104"/>
      <c r="L5" s="260" t="s">
        <v>330</v>
      </c>
    </row>
    <row r="6" ht="15.5" customHeight="1" spans="1:12">
      <c r="A6" s="154" t="s">
        <v>331</v>
      </c>
      <c r="B6" s="132" t="s">
        <v>327</v>
      </c>
      <c r="C6" s="132" t="s">
        <v>332</v>
      </c>
      <c r="D6" s="132" t="s">
        <v>333</v>
      </c>
      <c r="E6" s="102">
        <v>2020</v>
      </c>
      <c r="F6" s="102">
        <v>2020</v>
      </c>
      <c r="G6" s="132" t="s">
        <v>16</v>
      </c>
      <c r="H6" s="132">
        <v>200</v>
      </c>
      <c r="I6" s="132">
        <v>200</v>
      </c>
      <c r="K6" s="104"/>
      <c r="L6" s="132" t="s">
        <v>330</v>
      </c>
    </row>
    <row r="7" ht="15.5" customHeight="1" spans="1:12">
      <c r="A7" s="44" t="s">
        <v>334</v>
      </c>
      <c r="B7" s="132" t="s">
        <v>327</v>
      </c>
      <c r="C7" s="132" t="s">
        <v>335</v>
      </c>
      <c r="D7" s="132" t="s">
        <v>336</v>
      </c>
      <c r="E7" s="102">
        <v>2020</v>
      </c>
      <c r="F7" s="102">
        <v>2020</v>
      </c>
      <c r="G7" s="132" t="s">
        <v>16</v>
      </c>
      <c r="H7" s="132">
        <v>200</v>
      </c>
      <c r="I7" s="132">
        <v>200</v>
      </c>
      <c r="J7" s="132"/>
      <c r="K7" s="104"/>
      <c r="L7" s="260" t="s">
        <v>330</v>
      </c>
    </row>
    <row r="8" ht="15.5" customHeight="1" spans="1:12">
      <c r="A8" s="132" t="s">
        <v>337</v>
      </c>
      <c r="B8" s="132" t="s">
        <v>327</v>
      </c>
      <c r="C8" s="132" t="s">
        <v>338</v>
      </c>
      <c r="D8" s="132" t="s">
        <v>339</v>
      </c>
      <c r="E8" s="102">
        <v>2020</v>
      </c>
      <c r="F8" s="102">
        <v>2020</v>
      </c>
      <c r="G8" s="132" t="s">
        <v>16</v>
      </c>
      <c r="H8" s="132">
        <v>200</v>
      </c>
      <c r="I8" s="132">
        <v>200</v>
      </c>
      <c r="J8" s="132"/>
      <c r="K8" s="104"/>
      <c r="L8" s="132" t="s">
        <v>330</v>
      </c>
    </row>
    <row r="9" ht="15.5" customHeight="1" spans="1:12">
      <c r="A9" s="154" t="s">
        <v>340</v>
      </c>
      <c r="B9" s="132" t="s">
        <v>327</v>
      </c>
      <c r="C9" s="132" t="s">
        <v>341</v>
      </c>
      <c r="D9" s="132" t="s">
        <v>342</v>
      </c>
      <c r="E9" s="102">
        <v>2020</v>
      </c>
      <c r="F9" s="102">
        <v>2020</v>
      </c>
      <c r="G9" s="132" t="s">
        <v>16</v>
      </c>
      <c r="H9" s="132">
        <v>200</v>
      </c>
      <c r="I9" s="132">
        <v>200</v>
      </c>
      <c r="J9" s="132"/>
      <c r="K9" s="104"/>
      <c r="L9" s="260" t="s">
        <v>330</v>
      </c>
    </row>
    <row r="10" ht="15.5" customHeight="1" spans="1:12">
      <c r="A10" s="44" t="s">
        <v>343</v>
      </c>
      <c r="B10" s="132" t="s">
        <v>327</v>
      </c>
      <c r="C10" s="132" t="s">
        <v>344</v>
      </c>
      <c r="D10" s="132" t="s">
        <v>345</v>
      </c>
      <c r="E10" s="102">
        <v>2020</v>
      </c>
      <c r="F10" s="102">
        <v>2020</v>
      </c>
      <c r="G10" s="132" t="s">
        <v>16</v>
      </c>
      <c r="H10" s="132">
        <v>200</v>
      </c>
      <c r="I10" s="132">
        <v>200</v>
      </c>
      <c r="J10" s="132"/>
      <c r="K10" s="104"/>
      <c r="L10" s="132" t="s">
        <v>330</v>
      </c>
    </row>
    <row r="11" ht="15.5" customHeight="1" spans="1:12">
      <c r="A11" s="132" t="s">
        <v>346</v>
      </c>
      <c r="B11" s="132" t="s">
        <v>327</v>
      </c>
      <c r="C11" s="132" t="s">
        <v>347</v>
      </c>
      <c r="D11" s="132" t="s">
        <v>348</v>
      </c>
      <c r="E11" s="102">
        <v>2020</v>
      </c>
      <c r="F11" s="102">
        <v>2020</v>
      </c>
      <c r="G11" s="132" t="s">
        <v>16</v>
      </c>
      <c r="H11" s="132">
        <v>200</v>
      </c>
      <c r="I11" s="132">
        <v>200</v>
      </c>
      <c r="J11" s="132"/>
      <c r="K11" s="104"/>
      <c r="L11" s="260" t="s">
        <v>330</v>
      </c>
    </row>
    <row r="12" ht="15.5" customHeight="1" spans="1:12">
      <c r="A12" s="154" t="s">
        <v>349</v>
      </c>
      <c r="B12" s="132" t="s">
        <v>327</v>
      </c>
      <c r="C12" s="132" t="s">
        <v>350</v>
      </c>
      <c r="D12" s="132" t="s">
        <v>351</v>
      </c>
      <c r="E12" s="102">
        <v>2020</v>
      </c>
      <c r="F12" s="102">
        <v>2020</v>
      </c>
      <c r="G12" s="132" t="s">
        <v>16</v>
      </c>
      <c r="H12" s="132">
        <v>200</v>
      </c>
      <c r="I12" s="132">
        <v>200</v>
      </c>
      <c r="J12" s="132"/>
      <c r="K12" s="104"/>
      <c r="L12" s="132" t="s">
        <v>330</v>
      </c>
    </row>
    <row r="13" ht="15.5" customHeight="1" spans="1:12">
      <c r="A13" s="44" t="s">
        <v>352</v>
      </c>
      <c r="B13" s="132" t="s">
        <v>327</v>
      </c>
      <c r="C13" s="132" t="s">
        <v>353</v>
      </c>
      <c r="D13" s="132" t="s">
        <v>354</v>
      </c>
      <c r="E13" s="102">
        <v>2020</v>
      </c>
      <c r="F13" s="102">
        <v>2020</v>
      </c>
      <c r="G13" s="132" t="s">
        <v>16</v>
      </c>
      <c r="H13" s="132">
        <v>200</v>
      </c>
      <c r="I13" s="132">
        <v>200</v>
      </c>
      <c r="J13" s="132"/>
      <c r="K13" s="104"/>
      <c r="L13" s="260" t="s">
        <v>330</v>
      </c>
    </row>
    <row r="14" ht="15.5" customHeight="1" spans="1:12">
      <c r="A14" s="132" t="s">
        <v>355</v>
      </c>
      <c r="B14" s="132" t="s">
        <v>327</v>
      </c>
      <c r="C14" s="132" t="s">
        <v>356</v>
      </c>
      <c r="D14" s="132" t="s">
        <v>357</v>
      </c>
      <c r="E14" s="102">
        <v>2020</v>
      </c>
      <c r="F14" s="102">
        <v>2020</v>
      </c>
      <c r="G14" s="132" t="s">
        <v>16</v>
      </c>
      <c r="H14" s="132">
        <v>200</v>
      </c>
      <c r="I14" s="132">
        <v>200</v>
      </c>
      <c r="J14" s="132"/>
      <c r="K14" s="104"/>
      <c r="L14" s="132" t="s">
        <v>330</v>
      </c>
    </row>
    <row r="15" ht="15.5" customHeight="1" spans="1:12">
      <c r="A15" s="154" t="s">
        <v>358</v>
      </c>
      <c r="B15" s="132" t="s">
        <v>327</v>
      </c>
      <c r="C15" s="132" t="s">
        <v>359</v>
      </c>
      <c r="D15" s="132" t="s">
        <v>360</v>
      </c>
      <c r="E15" s="102">
        <v>2020</v>
      </c>
      <c r="F15" s="102">
        <v>2020</v>
      </c>
      <c r="G15" s="132" t="s">
        <v>16</v>
      </c>
      <c r="H15" s="132">
        <v>200</v>
      </c>
      <c r="I15" s="132">
        <v>200</v>
      </c>
      <c r="J15" s="132"/>
      <c r="K15" s="104"/>
      <c r="L15" s="260" t="s">
        <v>330</v>
      </c>
    </row>
    <row r="16" ht="15.5" customHeight="1" spans="1:12">
      <c r="A16" s="44" t="s">
        <v>361</v>
      </c>
      <c r="B16" s="132" t="s">
        <v>327</v>
      </c>
      <c r="C16" s="132" t="s">
        <v>362</v>
      </c>
      <c r="D16" s="132" t="s">
        <v>363</v>
      </c>
      <c r="E16" s="102">
        <v>2020</v>
      </c>
      <c r="F16" s="102">
        <v>2020</v>
      </c>
      <c r="G16" s="132" t="s">
        <v>16</v>
      </c>
      <c r="H16" s="132">
        <v>200</v>
      </c>
      <c r="I16" s="132">
        <v>200</v>
      </c>
      <c r="J16" s="132"/>
      <c r="K16" s="104"/>
      <c r="L16" s="132" t="s">
        <v>330</v>
      </c>
    </row>
    <row r="17" ht="15.5" customHeight="1" spans="1:12">
      <c r="A17" s="132" t="s">
        <v>364</v>
      </c>
      <c r="B17" s="132" t="s">
        <v>327</v>
      </c>
      <c r="C17" s="132" t="s">
        <v>365</v>
      </c>
      <c r="D17" s="132" t="s">
        <v>366</v>
      </c>
      <c r="E17" s="102">
        <v>2020</v>
      </c>
      <c r="F17" s="102">
        <v>2020</v>
      </c>
      <c r="G17" s="132" t="s">
        <v>16</v>
      </c>
      <c r="H17" s="132">
        <v>200</v>
      </c>
      <c r="I17" s="132">
        <v>200</v>
      </c>
      <c r="J17" s="132" t="s">
        <v>108</v>
      </c>
      <c r="K17" s="104"/>
      <c r="L17" s="260" t="s">
        <v>330</v>
      </c>
    </row>
    <row r="18" ht="15.5" customHeight="1" spans="1:12">
      <c r="A18" s="154" t="s">
        <v>367</v>
      </c>
      <c r="B18" s="132" t="s">
        <v>327</v>
      </c>
      <c r="C18" s="132" t="s">
        <v>368</v>
      </c>
      <c r="D18" s="132" t="s">
        <v>369</v>
      </c>
      <c r="E18" s="102">
        <v>2020</v>
      </c>
      <c r="F18" s="102">
        <v>2020</v>
      </c>
      <c r="G18" s="132" t="s">
        <v>16</v>
      </c>
      <c r="H18" s="132">
        <v>200</v>
      </c>
      <c r="I18" s="132">
        <v>200</v>
      </c>
      <c r="J18" s="132"/>
      <c r="K18" s="104"/>
      <c r="L18" s="132" t="s">
        <v>330</v>
      </c>
    </row>
    <row r="19" ht="15.5" customHeight="1" spans="1:12">
      <c r="A19" s="44" t="s">
        <v>370</v>
      </c>
      <c r="B19" s="132" t="s">
        <v>327</v>
      </c>
      <c r="C19" s="132" t="s">
        <v>371</v>
      </c>
      <c r="D19" s="132" t="s">
        <v>372</v>
      </c>
      <c r="E19" s="102">
        <v>2020</v>
      </c>
      <c r="F19" s="102">
        <v>2020</v>
      </c>
      <c r="G19" s="132" t="s">
        <v>16</v>
      </c>
      <c r="H19" s="132">
        <v>200</v>
      </c>
      <c r="I19" s="132">
        <v>200</v>
      </c>
      <c r="J19" s="132"/>
      <c r="K19" s="104"/>
      <c r="L19" s="260" t="s">
        <v>330</v>
      </c>
    </row>
    <row r="20" ht="15.5" customHeight="1" spans="1:12">
      <c r="A20" s="132" t="s">
        <v>373</v>
      </c>
      <c r="B20" s="132" t="s">
        <v>327</v>
      </c>
      <c r="C20" s="132" t="s">
        <v>374</v>
      </c>
      <c r="D20" s="132" t="s">
        <v>375</v>
      </c>
      <c r="E20" s="102">
        <v>2020</v>
      </c>
      <c r="F20" s="102">
        <v>2020</v>
      </c>
      <c r="G20" s="132" t="s">
        <v>16</v>
      </c>
      <c r="H20" s="132">
        <v>200</v>
      </c>
      <c r="I20" s="132">
        <v>200</v>
      </c>
      <c r="J20" s="132"/>
      <c r="K20" s="104"/>
      <c r="L20" s="132" t="s">
        <v>330</v>
      </c>
    </row>
    <row r="21" ht="15.5" customHeight="1" spans="1:12">
      <c r="A21" s="154" t="s">
        <v>376</v>
      </c>
      <c r="B21" s="132" t="s">
        <v>327</v>
      </c>
      <c r="C21" s="132" t="s">
        <v>377</v>
      </c>
      <c r="D21" s="132" t="s">
        <v>378</v>
      </c>
      <c r="E21" s="102">
        <v>2020</v>
      </c>
      <c r="F21" s="102">
        <v>2020</v>
      </c>
      <c r="G21" s="132" t="s">
        <v>16</v>
      </c>
      <c r="H21" s="132">
        <v>200</v>
      </c>
      <c r="I21" s="132">
        <v>200</v>
      </c>
      <c r="J21" s="132"/>
      <c r="K21" s="104"/>
      <c r="L21" s="260" t="s">
        <v>330</v>
      </c>
    </row>
    <row r="22" ht="15.5" customHeight="1" spans="1:12">
      <c r="A22" s="44" t="s">
        <v>379</v>
      </c>
      <c r="B22" s="132" t="s">
        <v>327</v>
      </c>
      <c r="C22" s="132" t="s">
        <v>380</v>
      </c>
      <c r="D22" s="132" t="s">
        <v>381</v>
      </c>
      <c r="E22" s="102">
        <v>2020</v>
      </c>
      <c r="F22" s="102">
        <v>2020</v>
      </c>
      <c r="G22" s="132" t="s">
        <v>16</v>
      </c>
      <c r="H22" s="132">
        <v>200</v>
      </c>
      <c r="I22" s="132">
        <v>200</v>
      </c>
      <c r="J22" s="132"/>
      <c r="K22" s="104"/>
      <c r="L22" s="132" t="s">
        <v>330</v>
      </c>
    </row>
    <row r="23" ht="15.5" customHeight="1" spans="1:12">
      <c r="A23" s="132" t="s">
        <v>382</v>
      </c>
      <c r="B23" s="132" t="s">
        <v>327</v>
      </c>
      <c r="C23" s="132" t="s">
        <v>383</v>
      </c>
      <c r="D23" s="132" t="s">
        <v>384</v>
      </c>
      <c r="E23" s="102">
        <v>2020</v>
      </c>
      <c r="F23" s="102">
        <v>2020</v>
      </c>
      <c r="G23" s="132" t="s">
        <v>16</v>
      </c>
      <c r="H23" s="132">
        <v>200</v>
      </c>
      <c r="I23" s="132">
        <v>200</v>
      </c>
      <c r="J23" s="132"/>
      <c r="K23" s="104"/>
      <c r="L23" s="260" t="s">
        <v>330</v>
      </c>
    </row>
    <row r="24" ht="15.5" customHeight="1" spans="1:12">
      <c r="A24" s="154" t="s">
        <v>385</v>
      </c>
      <c r="B24" s="132" t="s">
        <v>327</v>
      </c>
      <c r="C24" s="132" t="s">
        <v>386</v>
      </c>
      <c r="D24" s="132" t="s">
        <v>387</v>
      </c>
      <c r="E24" s="102">
        <v>2020</v>
      </c>
      <c r="F24" s="102">
        <v>2020</v>
      </c>
      <c r="G24" s="132" t="s">
        <v>16</v>
      </c>
      <c r="H24" s="132">
        <v>200</v>
      </c>
      <c r="I24" s="132">
        <v>200</v>
      </c>
      <c r="J24" s="132"/>
      <c r="K24" s="104"/>
      <c r="L24" s="132" t="s">
        <v>330</v>
      </c>
    </row>
    <row r="25" ht="15.5" customHeight="1" spans="1:12">
      <c r="A25" s="44" t="s">
        <v>388</v>
      </c>
      <c r="B25" s="132" t="s">
        <v>327</v>
      </c>
      <c r="C25" s="132" t="s">
        <v>389</v>
      </c>
      <c r="D25" s="132" t="s">
        <v>390</v>
      </c>
      <c r="E25" s="102">
        <v>2020</v>
      </c>
      <c r="F25" s="102">
        <v>2020</v>
      </c>
      <c r="G25" s="132" t="s">
        <v>16</v>
      </c>
      <c r="H25" s="132">
        <v>200</v>
      </c>
      <c r="I25" s="132">
        <v>200</v>
      </c>
      <c r="J25" s="132"/>
      <c r="K25" s="104"/>
      <c r="L25" s="260" t="s">
        <v>330</v>
      </c>
    </row>
    <row r="26" ht="15.5" customHeight="1" spans="1:12">
      <c r="A26" s="132" t="s">
        <v>391</v>
      </c>
      <c r="B26" s="132" t="s">
        <v>327</v>
      </c>
      <c r="C26" s="132" t="s">
        <v>392</v>
      </c>
      <c r="D26" s="132" t="s">
        <v>393</v>
      </c>
      <c r="E26" s="102">
        <v>2020</v>
      </c>
      <c r="F26" s="102">
        <v>2020</v>
      </c>
      <c r="G26" s="132" t="s">
        <v>16</v>
      </c>
      <c r="H26" s="132">
        <v>200</v>
      </c>
      <c r="I26" s="132">
        <v>200</v>
      </c>
      <c r="J26" s="132"/>
      <c r="K26" s="104"/>
      <c r="L26" s="132" t="s">
        <v>330</v>
      </c>
    </row>
    <row r="27" ht="15.5" customHeight="1" spans="1:12">
      <c r="A27" s="154" t="s">
        <v>394</v>
      </c>
      <c r="B27" s="132" t="s">
        <v>327</v>
      </c>
      <c r="C27" s="132" t="s">
        <v>395</v>
      </c>
      <c r="D27" s="132" t="s">
        <v>396</v>
      </c>
      <c r="E27" s="102">
        <v>2020</v>
      </c>
      <c r="F27" s="102">
        <v>2020</v>
      </c>
      <c r="G27" s="132" t="s">
        <v>16</v>
      </c>
      <c r="H27" s="132">
        <v>200</v>
      </c>
      <c r="I27" s="132">
        <v>200</v>
      </c>
      <c r="J27" s="132"/>
      <c r="K27" s="104"/>
      <c r="L27" s="260" t="s">
        <v>330</v>
      </c>
    </row>
    <row r="28" ht="15.5" customHeight="1" spans="1:12">
      <c r="A28" s="44" t="s">
        <v>397</v>
      </c>
      <c r="B28" s="132" t="s">
        <v>327</v>
      </c>
      <c r="C28" s="132" t="s">
        <v>398</v>
      </c>
      <c r="D28" s="132" t="s">
        <v>399</v>
      </c>
      <c r="E28" s="102">
        <v>2020</v>
      </c>
      <c r="F28" s="102">
        <v>2020</v>
      </c>
      <c r="G28" s="132" t="s">
        <v>16</v>
      </c>
      <c r="H28" s="132">
        <v>200</v>
      </c>
      <c r="I28" s="132">
        <v>200</v>
      </c>
      <c r="J28" s="132"/>
      <c r="K28" s="104"/>
      <c r="L28" s="132" t="s">
        <v>330</v>
      </c>
    </row>
    <row r="29" ht="15.5" customHeight="1" spans="1:12">
      <c r="A29" s="132" t="s">
        <v>400</v>
      </c>
      <c r="B29" s="132" t="s">
        <v>327</v>
      </c>
      <c r="C29" s="132" t="s">
        <v>401</v>
      </c>
      <c r="D29" s="132" t="s">
        <v>402</v>
      </c>
      <c r="E29" s="102">
        <v>2020</v>
      </c>
      <c r="F29" s="102">
        <v>2020</v>
      </c>
      <c r="G29" s="132" t="s">
        <v>16</v>
      </c>
      <c r="H29" s="132">
        <v>200</v>
      </c>
      <c r="I29" s="132">
        <v>200</v>
      </c>
      <c r="J29" s="132"/>
      <c r="K29" s="104"/>
      <c r="L29" s="260" t="s">
        <v>330</v>
      </c>
    </row>
    <row r="30" ht="15.5" customHeight="1" spans="1:12">
      <c r="A30" s="154" t="s">
        <v>403</v>
      </c>
      <c r="B30" s="132" t="s">
        <v>327</v>
      </c>
      <c r="C30" s="132" t="s">
        <v>404</v>
      </c>
      <c r="D30" s="132" t="s">
        <v>405</v>
      </c>
      <c r="E30" s="102">
        <v>2020</v>
      </c>
      <c r="F30" s="102">
        <v>2020</v>
      </c>
      <c r="G30" s="132" t="s">
        <v>16</v>
      </c>
      <c r="H30" s="132">
        <v>200</v>
      </c>
      <c r="I30" s="132">
        <v>200</v>
      </c>
      <c r="J30" s="132"/>
      <c r="K30" s="104"/>
      <c r="L30" s="132" t="s">
        <v>330</v>
      </c>
    </row>
    <row r="31" ht="15.5" customHeight="1" spans="1:12">
      <c r="A31" s="44" t="s">
        <v>406</v>
      </c>
      <c r="B31" s="132" t="s">
        <v>327</v>
      </c>
      <c r="C31" s="132" t="s">
        <v>407</v>
      </c>
      <c r="D31" s="132" t="s">
        <v>408</v>
      </c>
      <c r="E31" s="102">
        <v>2020</v>
      </c>
      <c r="F31" s="102">
        <v>2020</v>
      </c>
      <c r="G31" s="132" t="s">
        <v>16</v>
      </c>
      <c r="H31" s="132">
        <v>200</v>
      </c>
      <c r="I31" s="132">
        <v>200</v>
      </c>
      <c r="J31" s="132"/>
      <c r="K31" s="104"/>
      <c r="L31" s="260" t="s">
        <v>330</v>
      </c>
    </row>
    <row r="32" ht="15.5" customHeight="1" spans="1:12">
      <c r="A32" s="132" t="s">
        <v>409</v>
      </c>
      <c r="B32" s="132" t="s">
        <v>327</v>
      </c>
      <c r="C32" s="132" t="s">
        <v>410</v>
      </c>
      <c r="D32" s="132" t="s">
        <v>411</v>
      </c>
      <c r="E32" s="102">
        <v>2020</v>
      </c>
      <c r="F32" s="102">
        <v>2020</v>
      </c>
      <c r="G32" s="132" t="s">
        <v>16</v>
      </c>
      <c r="H32" s="132">
        <v>200</v>
      </c>
      <c r="I32" s="132">
        <v>200</v>
      </c>
      <c r="J32" s="132"/>
      <c r="K32" s="104"/>
      <c r="L32" s="132" t="s">
        <v>330</v>
      </c>
    </row>
    <row r="33" ht="15.5" customHeight="1" spans="1:12">
      <c r="A33" s="154" t="s">
        <v>412</v>
      </c>
      <c r="B33" s="132" t="s">
        <v>327</v>
      </c>
      <c r="C33" s="106" t="s">
        <v>413</v>
      </c>
      <c r="D33" s="132" t="s">
        <v>414</v>
      </c>
      <c r="E33" s="102">
        <v>2020</v>
      </c>
      <c r="F33" s="102">
        <v>2020</v>
      </c>
      <c r="G33" s="132" t="s">
        <v>16</v>
      </c>
      <c r="H33" s="132">
        <v>200</v>
      </c>
      <c r="I33" s="132">
        <v>200</v>
      </c>
      <c r="J33" s="132"/>
      <c r="K33" s="104"/>
      <c r="L33" s="260" t="s">
        <v>330</v>
      </c>
    </row>
    <row r="34" ht="15.5" customHeight="1" spans="1:12">
      <c r="A34" s="44" t="s">
        <v>415</v>
      </c>
      <c r="B34" s="132" t="s">
        <v>327</v>
      </c>
      <c r="C34" s="132" t="s">
        <v>416</v>
      </c>
      <c r="D34" s="132" t="s">
        <v>417</v>
      </c>
      <c r="E34" s="102">
        <v>2020</v>
      </c>
      <c r="F34" s="102">
        <v>2020</v>
      </c>
      <c r="G34" s="132" t="s">
        <v>16</v>
      </c>
      <c r="H34" s="132">
        <v>200</v>
      </c>
      <c r="I34" s="132">
        <v>200</v>
      </c>
      <c r="J34" s="132"/>
      <c r="K34" s="104"/>
      <c r="L34" s="132" t="s">
        <v>330</v>
      </c>
    </row>
    <row r="35" ht="15.5" customHeight="1" spans="1:12">
      <c r="A35" s="132" t="s">
        <v>418</v>
      </c>
      <c r="B35" s="132" t="s">
        <v>327</v>
      </c>
      <c r="C35" s="132" t="s">
        <v>419</v>
      </c>
      <c r="D35" s="132" t="s">
        <v>420</v>
      </c>
      <c r="E35" s="102">
        <v>2020</v>
      </c>
      <c r="F35" s="102">
        <v>2020</v>
      </c>
      <c r="G35" s="132" t="s">
        <v>16</v>
      </c>
      <c r="H35" s="132">
        <v>200</v>
      </c>
      <c r="I35" s="132">
        <v>200</v>
      </c>
      <c r="J35" s="132"/>
      <c r="K35" s="104"/>
      <c r="L35" s="260" t="s">
        <v>330</v>
      </c>
    </row>
    <row r="36" ht="15.5" customHeight="1" spans="1:12">
      <c r="A36" s="154" t="s">
        <v>421</v>
      </c>
      <c r="B36" s="132" t="s">
        <v>327</v>
      </c>
      <c r="C36" s="132" t="s">
        <v>422</v>
      </c>
      <c r="D36" s="132" t="s">
        <v>423</v>
      </c>
      <c r="E36" s="102">
        <v>2020</v>
      </c>
      <c r="F36" s="102">
        <v>2020</v>
      </c>
      <c r="G36" s="132" t="s">
        <v>16</v>
      </c>
      <c r="H36" s="132">
        <v>200</v>
      </c>
      <c r="I36" s="132">
        <v>200</v>
      </c>
      <c r="J36" s="132"/>
      <c r="K36" s="104"/>
      <c r="L36" s="132" t="s">
        <v>330</v>
      </c>
    </row>
    <row r="37" ht="15.5" customHeight="1" spans="1:12">
      <c r="A37" s="44" t="s">
        <v>424</v>
      </c>
      <c r="B37" s="132" t="s">
        <v>327</v>
      </c>
      <c r="C37" s="132" t="s">
        <v>425</v>
      </c>
      <c r="D37" s="132" t="s">
        <v>426</v>
      </c>
      <c r="E37" s="102">
        <v>2020</v>
      </c>
      <c r="F37" s="102">
        <v>2020</v>
      </c>
      <c r="G37" s="132" t="s">
        <v>16</v>
      </c>
      <c r="H37" s="132">
        <v>200</v>
      </c>
      <c r="I37" s="132">
        <v>200</v>
      </c>
      <c r="J37" s="132"/>
      <c r="K37" s="104"/>
      <c r="L37" s="260" t="s">
        <v>330</v>
      </c>
    </row>
    <row r="38" ht="15.5" customHeight="1" spans="1:12">
      <c r="A38" s="132" t="s">
        <v>427</v>
      </c>
      <c r="B38" s="132" t="s">
        <v>327</v>
      </c>
      <c r="C38" s="132" t="s">
        <v>428</v>
      </c>
      <c r="D38" s="132" t="s">
        <v>429</v>
      </c>
      <c r="E38" s="102">
        <v>2020</v>
      </c>
      <c r="F38" s="102">
        <v>2020</v>
      </c>
      <c r="G38" s="132" t="s">
        <v>16</v>
      </c>
      <c r="H38" s="132">
        <v>200</v>
      </c>
      <c r="I38" s="132">
        <v>200</v>
      </c>
      <c r="J38" s="132"/>
      <c r="K38" s="104"/>
      <c r="L38" s="132" t="s">
        <v>330</v>
      </c>
    </row>
    <row r="39" ht="15.5" customHeight="1" spans="1:12">
      <c r="A39" s="154" t="s">
        <v>430</v>
      </c>
      <c r="B39" s="132" t="s">
        <v>327</v>
      </c>
      <c r="C39" s="132" t="s">
        <v>431</v>
      </c>
      <c r="D39" s="132" t="s">
        <v>432</v>
      </c>
      <c r="E39" s="102">
        <v>2020</v>
      </c>
      <c r="F39" s="102">
        <v>2020</v>
      </c>
      <c r="G39" s="132" t="s">
        <v>16</v>
      </c>
      <c r="H39" s="132">
        <v>200</v>
      </c>
      <c r="I39" s="132">
        <v>200</v>
      </c>
      <c r="J39" s="132"/>
      <c r="K39" s="104"/>
      <c r="L39" s="260" t="s">
        <v>330</v>
      </c>
    </row>
    <row r="40" ht="15.5" customHeight="1" spans="1:12">
      <c r="A40" s="44" t="s">
        <v>433</v>
      </c>
      <c r="B40" s="132" t="s">
        <v>327</v>
      </c>
      <c r="C40" s="132" t="s">
        <v>434</v>
      </c>
      <c r="D40" s="132" t="s">
        <v>435</v>
      </c>
      <c r="E40" s="102">
        <v>2020</v>
      </c>
      <c r="F40" s="102">
        <v>2020</v>
      </c>
      <c r="G40" s="132" t="s">
        <v>16</v>
      </c>
      <c r="H40" s="132">
        <v>200</v>
      </c>
      <c r="I40" s="132">
        <v>200</v>
      </c>
      <c r="J40" s="132"/>
      <c r="K40" s="104"/>
      <c r="L40" s="132" t="s">
        <v>330</v>
      </c>
    </row>
    <row r="41" ht="15.5" customHeight="1" spans="1:12">
      <c r="A41" s="132" t="s">
        <v>436</v>
      </c>
      <c r="B41" s="132" t="s">
        <v>327</v>
      </c>
      <c r="C41" s="132" t="s">
        <v>437</v>
      </c>
      <c r="D41" s="132" t="s">
        <v>438</v>
      </c>
      <c r="E41" s="102">
        <v>2020</v>
      </c>
      <c r="F41" s="102">
        <v>2020</v>
      </c>
      <c r="G41" s="132" t="s">
        <v>16</v>
      </c>
      <c r="H41" s="132">
        <v>200</v>
      </c>
      <c r="I41" s="132">
        <v>200</v>
      </c>
      <c r="J41" s="132"/>
      <c r="K41" s="104"/>
      <c r="L41" s="260" t="s">
        <v>330</v>
      </c>
    </row>
    <row r="42" ht="15.5" customHeight="1" spans="1:12">
      <c r="A42" s="154" t="s">
        <v>439</v>
      </c>
      <c r="B42" s="132" t="s">
        <v>327</v>
      </c>
      <c r="C42" s="132" t="s">
        <v>440</v>
      </c>
      <c r="D42" s="132" t="s">
        <v>441</v>
      </c>
      <c r="E42" s="102">
        <v>2020</v>
      </c>
      <c r="F42" s="102">
        <v>2020</v>
      </c>
      <c r="G42" s="132" t="s">
        <v>16</v>
      </c>
      <c r="H42" s="132">
        <v>200</v>
      </c>
      <c r="I42" s="132">
        <v>200</v>
      </c>
      <c r="J42" s="132"/>
      <c r="K42" s="104"/>
      <c r="L42" s="132" t="s">
        <v>330</v>
      </c>
    </row>
    <row r="43" ht="15.5" customHeight="1" spans="1:12">
      <c r="A43" s="44" t="s">
        <v>442</v>
      </c>
      <c r="B43" s="132" t="s">
        <v>327</v>
      </c>
      <c r="C43" s="132" t="s">
        <v>443</v>
      </c>
      <c r="D43" s="132" t="s">
        <v>444</v>
      </c>
      <c r="E43" s="102">
        <v>2020</v>
      </c>
      <c r="F43" s="102">
        <v>2020</v>
      </c>
      <c r="G43" s="132" t="s">
        <v>16</v>
      </c>
      <c r="H43" s="132">
        <v>200</v>
      </c>
      <c r="I43" s="132">
        <v>200</v>
      </c>
      <c r="J43" s="132"/>
      <c r="K43" s="104"/>
      <c r="L43" s="260" t="s">
        <v>330</v>
      </c>
    </row>
    <row r="44" ht="15.5" customHeight="1" spans="1:12">
      <c r="A44" s="132" t="s">
        <v>445</v>
      </c>
      <c r="B44" s="132" t="s">
        <v>327</v>
      </c>
      <c r="C44" s="132" t="s">
        <v>446</v>
      </c>
      <c r="D44" s="132" t="s">
        <v>447</v>
      </c>
      <c r="E44" s="102">
        <v>2020</v>
      </c>
      <c r="F44" s="102">
        <v>2020</v>
      </c>
      <c r="G44" s="132" t="s">
        <v>16</v>
      </c>
      <c r="H44" s="132">
        <v>200</v>
      </c>
      <c r="I44" s="132">
        <v>200</v>
      </c>
      <c r="J44" s="132"/>
      <c r="K44" s="104"/>
      <c r="L44" s="132" t="s">
        <v>330</v>
      </c>
    </row>
    <row r="45" ht="15.5" customHeight="1" spans="1:12">
      <c r="A45" s="154" t="s">
        <v>448</v>
      </c>
      <c r="B45" s="132" t="s">
        <v>327</v>
      </c>
      <c r="C45" s="132" t="s">
        <v>449</v>
      </c>
      <c r="D45" s="132" t="s">
        <v>450</v>
      </c>
      <c r="E45" s="102">
        <v>2020</v>
      </c>
      <c r="F45" s="102">
        <v>2020</v>
      </c>
      <c r="G45" s="132" t="s">
        <v>16</v>
      </c>
      <c r="H45" s="132">
        <v>200</v>
      </c>
      <c r="I45" s="132">
        <v>200</v>
      </c>
      <c r="J45" s="132"/>
      <c r="K45" s="104"/>
      <c r="L45" s="260" t="s">
        <v>330</v>
      </c>
    </row>
    <row r="46" ht="15.5" customHeight="1" spans="1:12">
      <c r="A46" s="44" t="s">
        <v>451</v>
      </c>
      <c r="B46" s="132" t="s">
        <v>327</v>
      </c>
      <c r="C46" s="132" t="s">
        <v>452</v>
      </c>
      <c r="D46" s="132" t="s">
        <v>453</v>
      </c>
      <c r="E46" s="102">
        <v>2020</v>
      </c>
      <c r="F46" s="102">
        <v>2020</v>
      </c>
      <c r="G46" s="132" t="s">
        <v>16</v>
      </c>
      <c r="H46" s="132">
        <v>200</v>
      </c>
      <c r="I46" s="132">
        <v>200</v>
      </c>
      <c r="J46" s="132"/>
      <c r="K46" s="104"/>
      <c r="L46" s="132" t="s">
        <v>330</v>
      </c>
    </row>
    <row r="47" ht="15.5" customHeight="1" spans="1:12">
      <c r="A47" s="132" t="s">
        <v>454</v>
      </c>
      <c r="B47" s="132" t="s">
        <v>327</v>
      </c>
      <c r="C47" s="132" t="s">
        <v>455</v>
      </c>
      <c r="D47" s="132" t="s">
        <v>456</v>
      </c>
      <c r="E47" s="102">
        <v>2020</v>
      </c>
      <c r="F47" s="102">
        <v>2020</v>
      </c>
      <c r="G47" s="132" t="s">
        <v>16</v>
      </c>
      <c r="H47" s="132">
        <v>200</v>
      </c>
      <c r="I47" s="132">
        <v>200</v>
      </c>
      <c r="J47" s="132"/>
      <c r="K47" s="104"/>
      <c r="L47" s="260" t="s">
        <v>330</v>
      </c>
    </row>
    <row r="48" ht="15.5" customHeight="1" spans="1:12">
      <c r="A48" s="154" t="s">
        <v>457</v>
      </c>
      <c r="B48" s="132" t="s">
        <v>327</v>
      </c>
      <c r="C48" s="132" t="s">
        <v>458</v>
      </c>
      <c r="D48" s="132" t="s">
        <v>459</v>
      </c>
      <c r="E48" s="102">
        <v>2020</v>
      </c>
      <c r="F48" s="102">
        <v>2020</v>
      </c>
      <c r="G48" s="132" t="s">
        <v>16</v>
      </c>
      <c r="H48" s="132">
        <v>200</v>
      </c>
      <c r="I48" s="132">
        <v>200</v>
      </c>
      <c r="J48" s="132"/>
      <c r="K48" s="104"/>
      <c r="L48" s="132" t="s">
        <v>330</v>
      </c>
    </row>
    <row r="49" ht="15.5" customHeight="1" spans="1:12">
      <c r="A49" s="44" t="s">
        <v>460</v>
      </c>
      <c r="B49" s="132" t="s">
        <v>327</v>
      </c>
      <c r="C49" s="132" t="s">
        <v>461</v>
      </c>
      <c r="D49" s="132" t="s">
        <v>462</v>
      </c>
      <c r="E49" s="102">
        <v>2020</v>
      </c>
      <c r="F49" s="102">
        <v>2020</v>
      </c>
      <c r="G49" s="132" t="s">
        <v>16</v>
      </c>
      <c r="H49" s="132">
        <v>200</v>
      </c>
      <c r="I49" s="132">
        <v>200</v>
      </c>
      <c r="J49" s="132"/>
      <c r="K49" s="104"/>
      <c r="L49" s="260" t="s">
        <v>330</v>
      </c>
    </row>
    <row r="50" ht="15.5" customHeight="1" spans="1:12">
      <c r="A50" s="132" t="s">
        <v>463</v>
      </c>
      <c r="B50" s="132" t="s">
        <v>327</v>
      </c>
      <c r="C50" s="132" t="s">
        <v>464</v>
      </c>
      <c r="D50" s="132" t="s">
        <v>465</v>
      </c>
      <c r="E50" s="102">
        <v>2020</v>
      </c>
      <c r="F50" s="102">
        <v>2020</v>
      </c>
      <c r="G50" s="132" t="s">
        <v>16</v>
      </c>
      <c r="H50" s="132">
        <v>200</v>
      </c>
      <c r="I50" s="132">
        <v>200</v>
      </c>
      <c r="J50" s="132"/>
      <c r="K50" s="104"/>
      <c r="L50" s="132" t="s">
        <v>330</v>
      </c>
    </row>
    <row r="51" ht="15.5" customHeight="1" spans="1:12">
      <c r="A51" s="154" t="s">
        <v>466</v>
      </c>
      <c r="B51" s="132" t="s">
        <v>327</v>
      </c>
      <c r="C51" s="132" t="s">
        <v>467</v>
      </c>
      <c r="D51" s="132" t="s">
        <v>468</v>
      </c>
      <c r="E51" s="102">
        <v>2020</v>
      </c>
      <c r="F51" s="102">
        <v>2020</v>
      </c>
      <c r="G51" s="132" t="s">
        <v>16</v>
      </c>
      <c r="H51" s="132">
        <v>200</v>
      </c>
      <c r="I51" s="132">
        <v>200</v>
      </c>
      <c r="J51" s="132"/>
      <c r="K51" s="104"/>
      <c r="L51" s="260" t="s">
        <v>330</v>
      </c>
    </row>
    <row r="52" ht="15.5" customHeight="1" spans="1:12">
      <c r="A52" s="44" t="s">
        <v>469</v>
      </c>
      <c r="B52" s="132" t="s">
        <v>327</v>
      </c>
      <c r="C52" s="132" t="s">
        <v>470</v>
      </c>
      <c r="D52" s="132" t="s">
        <v>471</v>
      </c>
      <c r="E52" s="102">
        <v>2020</v>
      </c>
      <c r="F52" s="102">
        <v>2020</v>
      </c>
      <c r="G52" s="132" t="s">
        <v>16</v>
      </c>
      <c r="H52" s="132">
        <v>200</v>
      </c>
      <c r="I52" s="132">
        <v>200</v>
      </c>
      <c r="J52" s="132"/>
      <c r="K52" s="104"/>
      <c r="L52" s="132" t="s">
        <v>330</v>
      </c>
    </row>
    <row r="53" ht="15.5" customHeight="1" spans="1:12">
      <c r="A53" s="132" t="s">
        <v>472</v>
      </c>
      <c r="B53" s="132" t="s">
        <v>327</v>
      </c>
      <c r="C53" s="132" t="s">
        <v>473</v>
      </c>
      <c r="D53" s="132" t="s">
        <v>474</v>
      </c>
      <c r="E53" s="102">
        <v>2020</v>
      </c>
      <c r="F53" s="102">
        <v>2020</v>
      </c>
      <c r="G53" s="132" t="s">
        <v>16</v>
      </c>
      <c r="H53" s="132">
        <v>200</v>
      </c>
      <c r="I53" s="132">
        <v>200</v>
      </c>
      <c r="J53" s="132"/>
      <c r="K53" s="104"/>
      <c r="L53" s="260" t="s">
        <v>330</v>
      </c>
    </row>
    <row r="54" ht="15.5" customHeight="1" spans="1:12">
      <c r="A54" s="154" t="s">
        <v>475</v>
      </c>
      <c r="B54" s="132" t="s">
        <v>327</v>
      </c>
      <c r="C54" s="132" t="s">
        <v>476</v>
      </c>
      <c r="D54" s="132" t="s">
        <v>477</v>
      </c>
      <c r="E54" s="102">
        <v>2020</v>
      </c>
      <c r="F54" s="102">
        <v>2020</v>
      </c>
      <c r="G54" s="132" t="s">
        <v>16</v>
      </c>
      <c r="H54" s="132">
        <v>200</v>
      </c>
      <c r="I54" s="132">
        <v>200</v>
      </c>
      <c r="J54" s="132"/>
      <c r="K54" s="104"/>
      <c r="L54" s="132" t="s">
        <v>330</v>
      </c>
    </row>
    <row r="55" ht="15.5" customHeight="1" spans="1:12">
      <c r="A55" s="44" t="s">
        <v>478</v>
      </c>
      <c r="B55" s="132" t="s">
        <v>327</v>
      </c>
      <c r="C55" s="132" t="s">
        <v>479</v>
      </c>
      <c r="D55" s="132" t="s">
        <v>480</v>
      </c>
      <c r="E55" s="102">
        <v>2020</v>
      </c>
      <c r="F55" s="102">
        <v>2020</v>
      </c>
      <c r="G55" s="132" t="s">
        <v>16</v>
      </c>
      <c r="H55" s="132">
        <v>200</v>
      </c>
      <c r="I55" s="132">
        <v>200</v>
      </c>
      <c r="J55" s="132"/>
      <c r="K55" s="104"/>
      <c r="L55" s="260" t="s">
        <v>330</v>
      </c>
    </row>
    <row r="56" ht="15.5" customHeight="1" spans="1:12">
      <c r="A56" s="132" t="s">
        <v>481</v>
      </c>
      <c r="B56" s="132" t="s">
        <v>327</v>
      </c>
      <c r="C56" s="132" t="s">
        <v>482</v>
      </c>
      <c r="D56" s="132" t="s">
        <v>483</v>
      </c>
      <c r="E56" s="102">
        <v>2020</v>
      </c>
      <c r="F56" s="102">
        <v>2020</v>
      </c>
      <c r="G56" s="132" t="s">
        <v>16</v>
      </c>
      <c r="H56" s="132">
        <v>200</v>
      </c>
      <c r="I56" s="132">
        <v>200</v>
      </c>
      <c r="J56" s="132"/>
      <c r="K56" s="104"/>
      <c r="L56" s="132" t="s">
        <v>330</v>
      </c>
    </row>
    <row r="57" ht="15.5" customHeight="1" spans="1:12">
      <c r="A57" s="154" t="s">
        <v>484</v>
      </c>
      <c r="B57" s="132" t="s">
        <v>327</v>
      </c>
      <c r="C57" s="132" t="s">
        <v>485</v>
      </c>
      <c r="D57" s="132" t="s">
        <v>486</v>
      </c>
      <c r="E57" s="102">
        <v>2020</v>
      </c>
      <c r="F57" s="102">
        <v>2020</v>
      </c>
      <c r="G57" s="132" t="s">
        <v>16</v>
      </c>
      <c r="H57" s="132">
        <v>200</v>
      </c>
      <c r="I57" s="132">
        <v>200</v>
      </c>
      <c r="J57" s="132"/>
      <c r="K57" s="104"/>
      <c r="L57" s="260" t="s">
        <v>330</v>
      </c>
    </row>
    <row r="58" ht="15.5" customHeight="1" spans="1:12">
      <c r="A58" s="44" t="s">
        <v>487</v>
      </c>
      <c r="B58" s="132" t="s">
        <v>327</v>
      </c>
      <c r="C58" s="132" t="s">
        <v>488</v>
      </c>
      <c r="D58" s="132" t="s">
        <v>489</v>
      </c>
      <c r="E58" s="102">
        <v>2020</v>
      </c>
      <c r="F58" s="102">
        <v>2020</v>
      </c>
      <c r="G58" s="132" t="s">
        <v>16</v>
      </c>
      <c r="H58" s="132">
        <v>200</v>
      </c>
      <c r="I58" s="132">
        <v>200</v>
      </c>
      <c r="J58" s="132"/>
      <c r="K58" s="104"/>
      <c r="L58" s="132" t="s">
        <v>330</v>
      </c>
    </row>
    <row r="59" ht="15.5" customHeight="1" spans="1:12">
      <c r="A59" s="132" t="s">
        <v>490</v>
      </c>
      <c r="B59" s="132" t="s">
        <v>327</v>
      </c>
      <c r="C59" s="132" t="s">
        <v>491</v>
      </c>
      <c r="D59" s="132" t="s">
        <v>492</v>
      </c>
      <c r="E59" s="102">
        <v>2020</v>
      </c>
      <c r="F59" s="102">
        <v>2020</v>
      </c>
      <c r="G59" s="132" t="s">
        <v>16</v>
      </c>
      <c r="H59" s="132">
        <v>200</v>
      </c>
      <c r="I59" s="132">
        <v>200</v>
      </c>
      <c r="J59" s="132"/>
      <c r="K59" s="104"/>
      <c r="L59" s="260" t="s">
        <v>330</v>
      </c>
    </row>
    <row r="60" ht="15.5" customHeight="1" spans="1:12">
      <c r="A60" s="154" t="s">
        <v>493</v>
      </c>
      <c r="B60" s="132" t="s">
        <v>327</v>
      </c>
      <c r="C60" s="132" t="s">
        <v>494</v>
      </c>
      <c r="D60" s="132" t="s">
        <v>495</v>
      </c>
      <c r="E60" s="102">
        <v>2020</v>
      </c>
      <c r="F60" s="102">
        <v>2020</v>
      </c>
      <c r="G60" s="132" t="s">
        <v>16</v>
      </c>
      <c r="H60" s="132">
        <v>200</v>
      </c>
      <c r="I60" s="132">
        <v>200</v>
      </c>
      <c r="J60" s="132"/>
      <c r="K60" s="104"/>
      <c r="L60" s="132" t="s">
        <v>330</v>
      </c>
    </row>
    <row r="61" ht="15.5" customHeight="1" spans="1:12">
      <c r="A61" s="44" t="s">
        <v>496</v>
      </c>
      <c r="B61" s="132" t="s">
        <v>327</v>
      </c>
      <c r="C61" s="132" t="s">
        <v>497</v>
      </c>
      <c r="D61" s="132" t="s">
        <v>498</v>
      </c>
      <c r="E61" s="102">
        <v>2020</v>
      </c>
      <c r="F61" s="102">
        <v>2020</v>
      </c>
      <c r="G61" s="132" t="s">
        <v>16</v>
      </c>
      <c r="H61" s="132">
        <v>200</v>
      </c>
      <c r="I61" s="132">
        <v>200</v>
      </c>
      <c r="J61" s="132"/>
      <c r="K61" s="104"/>
      <c r="L61" s="260" t="s">
        <v>330</v>
      </c>
    </row>
    <row r="62" ht="15.5" customHeight="1" spans="1:12">
      <c r="A62" s="132" t="s">
        <v>499</v>
      </c>
      <c r="B62" s="132" t="s">
        <v>327</v>
      </c>
      <c r="C62" s="132" t="s">
        <v>500</v>
      </c>
      <c r="D62" s="132" t="s">
        <v>501</v>
      </c>
      <c r="E62" s="102">
        <v>2020</v>
      </c>
      <c r="F62" s="102">
        <v>2020</v>
      </c>
      <c r="G62" s="132" t="s">
        <v>16</v>
      </c>
      <c r="H62" s="132">
        <v>200</v>
      </c>
      <c r="I62" s="132">
        <v>200</v>
      </c>
      <c r="J62" s="132"/>
      <c r="K62" s="104"/>
      <c r="L62" s="132" t="s">
        <v>330</v>
      </c>
    </row>
    <row r="63" ht="15.5" customHeight="1" spans="1:12">
      <c r="A63" s="154" t="s">
        <v>502</v>
      </c>
      <c r="B63" s="132" t="s">
        <v>327</v>
      </c>
      <c r="C63" s="132" t="s">
        <v>503</v>
      </c>
      <c r="D63" s="132" t="s">
        <v>504</v>
      </c>
      <c r="E63" s="102">
        <v>2020</v>
      </c>
      <c r="F63" s="102">
        <v>2020</v>
      </c>
      <c r="G63" s="132" t="s">
        <v>16</v>
      </c>
      <c r="H63" s="132">
        <v>200</v>
      </c>
      <c r="I63" s="132">
        <v>200</v>
      </c>
      <c r="J63" s="132"/>
      <c r="K63" s="104"/>
      <c r="L63" s="260" t="s">
        <v>330</v>
      </c>
    </row>
    <row r="64" ht="15.5" customHeight="1" spans="1:12">
      <c r="A64" s="44" t="s">
        <v>505</v>
      </c>
      <c r="B64" s="132" t="s">
        <v>327</v>
      </c>
      <c r="C64" s="132" t="s">
        <v>506</v>
      </c>
      <c r="D64" s="132" t="s">
        <v>507</v>
      </c>
      <c r="E64" s="102">
        <v>2020</v>
      </c>
      <c r="F64" s="102">
        <v>2020</v>
      </c>
      <c r="G64" s="132" t="s">
        <v>16</v>
      </c>
      <c r="H64" s="132">
        <v>200</v>
      </c>
      <c r="I64" s="132">
        <v>200</v>
      </c>
      <c r="J64" s="132"/>
      <c r="K64" s="104"/>
      <c r="L64" s="132" t="s">
        <v>330</v>
      </c>
    </row>
    <row r="65" ht="15.5" customHeight="1" spans="1:12">
      <c r="A65" s="132" t="s">
        <v>508</v>
      </c>
      <c r="B65" s="132" t="s">
        <v>327</v>
      </c>
      <c r="C65" s="132" t="s">
        <v>509</v>
      </c>
      <c r="D65" s="132" t="s">
        <v>510</v>
      </c>
      <c r="E65" s="102">
        <v>2020</v>
      </c>
      <c r="F65" s="102">
        <v>2020</v>
      </c>
      <c r="G65" s="132" t="s">
        <v>16</v>
      </c>
      <c r="H65" s="267">
        <v>200</v>
      </c>
      <c r="I65" s="132">
        <v>200</v>
      </c>
      <c r="J65" s="132"/>
      <c r="K65" s="104"/>
      <c r="L65" s="260" t="s">
        <v>330</v>
      </c>
    </row>
    <row r="66" ht="15.5" customHeight="1" spans="1:12">
      <c r="A66" s="154" t="s">
        <v>511</v>
      </c>
      <c r="B66" s="132" t="s">
        <v>327</v>
      </c>
      <c r="C66" s="132" t="s">
        <v>512</v>
      </c>
      <c r="D66" s="132" t="s">
        <v>513</v>
      </c>
      <c r="E66" s="102">
        <v>2020</v>
      </c>
      <c r="F66" s="102">
        <v>2020</v>
      </c>
      <c r="G66" s="132" t="s">
        <v>16</v>
      </c>
      <c r="H66" s="267">
        <v>200</v>
      </c>
      <c r="I66" s="132">
        <v>200</v>
      </c>
      <c r="J66" s="132"/>
      <c r="K66" s="104"/>
      <c r="L66" s="132" t="s">
        <v>330</v>
      </c>
    </row>
    <row r="67" ht="15.5" customHeight="1" spans="1:12">
      <c r="A67" s="44" t="s">
        <v>514</v>
      </c>
      <c r="B67" s="132" t="s">
        <v>327</v>
      </c>
      <c r="C67" s="132" t="s">
        <v>515</v>
      </c>
      <c r="D67" s="132" t="s">
        <v>516</v>
      </c>
      <c r="E67" s="102">
        <v>2020</v>
      </c>
      <c r="F67" s="102">
        <v>2020</v>
      </c>
      <c r="G67" s="132" t="s">
        <v>16</v>
      </c>
      <c r="H67" s="267">
        <v>200</v>
      </c>
      <c r="I67" s="132">
        <v>200</v>
      </c>
      <c r="J67" s="132"/>
      <c r="K67" s="104"/>
      <c r="L67" s="260" t="s">
        <v>330</v>
      </c>
    </row>
    <row r="68" ht="15.5" customHeight="1" spans="1:12">
      <c r="A68" s="132" t="s">
        <v>517</v>
      </c>
      <c r="B68" s="132" t="s">
        <v>327</v>
      </c>
      <c r="C68" s="132" t="s">
        <v>323</v>
      </c>
      <c r="D68" s="132" t="s">
        <v>324</v>
      </c>
      <c r="E68" s="102">
        <v>2020</v>
      </c>
      <c r="F68" s="102">
        <v>2020</v>
      </c>
      <c r="G68" s="132" t="s">
        <v>16</v>
      </c>
      <c r="H68" s="267">
        <v>200</v>
      </c>
      <c r="I68" s="132">
        <v>200</v>
      </c>
      <c r="J68" s="132"/>
      <c r="K68" s="104"/>
      <c r="L68" s="132" t="s">
        <v>330</v>
      </c>
    </row>
    <row r="69" ht="15.5" customHeight="1" spans="1:12">
      <c r="A69" s="154" t="s">
        <v>518</v>
      </c>
      <c r="B69" s="132" t="s">
        <v>327</v>
      </c>
      <c r="C69" s="132" t="s">
        <v>519</v>
      </c>
      <c r="D69" s="132" t="s">
        <v>520</v>
      </c>
      <c r="E69" s="102">
        <v>2020</v>
      </c>
      <c r="F69" s="102">
        <v>2020</v>
      </c>
      <c r="G69" s="132" t="s">
        <v>16</v>
      </c>
      <c r="H69" s="267">
        <v>200</v>
      </c>
      <c r="I69" s="132">
        <v>200</v>
      </c>
      <c r="J69" s="132"/>
      <c r="K69" s="104"/>
      <c r="L69" s="260" t="s">
        <v>330</v>
      </c>
    </row>
    <row r="70" ht="15.5" customHeight="1" spans="1:12">
      <c r="A70" s="44" t="s">
        <v>521</v>
      </c>
      <c r="B70" s="132" t="s">
        <v>327</v>
      </c>
      <c r="C70" s="132" t="s">
        <v>522</v>
      </c>
      <c r="D70" s="132" t="s">
        <v>523</v>
      </c>
      <c r="E70" s="102">
        <v>2020</v>
      </c>
      <c r="F70" s="102">
        <v>2020</v>
      </c>
      <c r="G70" s="132" t="s">
        <v>16</v>
      </c>
      <c r="H70" s="267">
        <v>200</v>
      </c>
      <c r="I70" s="132">
        <v>200</v>
      </c>
      <c r="J70" s="132"/>
      <c r="K70" s="104"/>
      <c r="L70" s="132" t="s">
        <v>330</v>
      </c>
    </row>
    <row r="71" ht="15.5" customHeight="1" spans="1:12">
      <c r="A71" s="132" t="s">
        <v>524</v>
      </c>
      <c r="B71" s="132" t="s">
        <v>327</v>
      </c>
      <c r="C71" s="132" t="s">
        <v>525</v>
      </c>
      <c r="D71" s="132" t="s">
        <v>526</v>
      </c>
      <c r="E71" s="102">
        <v>2020</v>
      </c>
      <c r="F71" s="102">
        <v>2020</v>
      </c>
      <c r="G71" s="132" t="s">
        <v>16</v>
      </c>
      <c r="H71" s="267">
        <v>200</v>
      </c>
      <c r="I71" s="132">
        <v>200</v>
      </c>
      <c r="J71" s="132"/>
      <c r="K71" s="104"/>
      <c r="L71" s="260" t="s">
        <v>330</v>
      </c>
    </row>
    <row r="72" ht="15.5" customHeight="1" spans="1:12">
      <c r="A72" s="154" t="s">
        <v>527</v>
      </c>
      <c r="B72" s="132" t="s">
        <v>327</v>
      </c>
      <c r="C72" s="132" t="s">
        <v>528</v>
      </c>
      <c r="D72" s="132" t="s">
        <v>529</v>
      </c>
      <c r="E72" s="102">
        <v>2020</v>
      </c>
      <c r="F72" s="102">
        <v>2020</v>
      </c>
      <c r="G72" s="132" t="s">
        <v>16</v>
      </c>
      <c r="H72" s="267">
        <v>200</v>
      </c>
      <c r="I72" s="132">
        <v>200</v>
      </c>
      <c r="J72" s="132"/>
      <c r="K72" s="104"/>
      <c r="L72" s="132" t="s">
        <v>330</v>
      </c>
    </row>
    <row r="73" ht="15.5" customHeight="1" spans="1:12">
      <c r="A73" s="44" t="s">
        <v>530</v>
      </c>
      <c r="B73" s="132" t="s">
        <v>327</v>
      </c>
      <c r="C73" s="132" t="s">
        <v>531</v>
      </c>
      <c r="D73" s="132" t="s">
        <v>532</v>
      </c>
      <c r="E73" s="102">
        <v>2020</v>
      </c>
      <c r="F73" s="102">
        <v>2020</v>
      </c>
      <c r="G73" s="132" t="s">
        <v>16</v>
      </c>
      <c r="H73" s="267">
        <v>200</v>
      </c>
      <c r="I73" s="132">
        <v>200</v>
      </c>
      <c r="J73" s="132"/>
      <c r="K73" s="104"/>
      <c r="L73" s="260" t="s">
        <v>330</v>
      </c>
    </row>
    <row r="74" ht="15.5" customHeight="1" spans="1:12">
      <c r="A74" s="132" t="s">
        <v>533</v>
      </c>
      <c r="B74" s="132" t="s">
        <v>327</v>
      </c>
      <c r="C74" s="132" t="s">
        <v>534</v>
      </c>
      <c r="D74" s="132" t="s">
        <v>535</v>
      </c>
      <c r="E74" s="102">
        <v>2020</v>
      </c>
      <c r="F74" s="102">
        <v>2020</v>
      </c>
      <c r="G74" s="132" t="s">
        <v>16</v>
      </c>
      <c r="H74" s="132">
        <v>400</v>
      </c>
      <c r="I74" s="132">
        <v>400</v>
      </c>
      <c r="J74" s="132"/>
      <c r="K74" s="104"/>
      <c r="L74" s="132" t="s">
        <v>330</v>
      </c>
    </row>
    <row r="75" ht="15.5" customHeight="1" spans="1:12">
      <c r="A75" s="154" t="s">
        <v>536</v>
      </c>
      <c r="B75" s="132" t="s">
        <v>327</v>
      </c>
      <c r="C75" s="132" t="s">
        <v>537</v>
      </c>
      <c r="D75" s="132" t="s">
        <v>538</v>
      </c>
      <c r="E75" s="102">
        <v>2020</v>
      </c>
      <c r="F75" s="102">
        <v>2020</v>
      </c>
      <c r="G75" s="132" t="s">
        <v>16</v>
      </c>
      <c r="H75" s="132">
        <v>500</v>
      </c>
      <c r="I75" s="132">
        <v>500</v>
      </c>
      <c r="J75" s="132"/>
      <c r="K75" s="104"/>
      <c r="L75" s="260" t="s">
        <v>330</v>
      </c>
    </row>
    <row r="76" ht="15.5" customHeight="1" spans="1:12">
      <c r="A76" s="44" t="s">
        <v>539</v>
      </c>
      <c r="B76" s="132" t="s">
        <v>327</v>
      </c>
      <c r="C76" s="132" t="s">
        <v>540</v>
      </c>
      <c r="D76" s="132" t="s">
        <v>541</v>
      </c>
      <c r="E76" s="102">
        <v>2020</v>
      </c>
      <c r="F76" s="102">
        <v>2020</v>
      </c>
      <c r="G76" s="132" t="s">
        <v>16</v>
      </c>
      <c r="H76" s="132">
        <v>400</v>
      </c>
      <c r="I76" s="132">
        <v>400</v>
      </c>
      <c r="J76" s="132"/>
      <c r="K76" s="104"/>
      <c r="L76" s="132" t="s">
        <v>330</v>
      </c>
    </row>
    <row r="77" ht="15.5" customHeight="1" spans="1:12">
      <c r="A77" s="132" t="s">
        <v>542</v>
      </c>
      <c r="B77" s="132" t="s">
        <v>327</v>
      </c>
      <c r="C77" s="132" t="s">
        <v>543</v>
      </c>
      <c r="D77" s="132" t="s">
        <v>544</v>
      </c>
      <c r="E77" s="102">
        <v>2020</v>
      </c>
      <c r="F77" s="102">
        <v>2020</v>
      </c>
      <c r="G77" s="132" t="s">
        <v>16</v>
      </c>
      <c r="H77" s="132">
        <v>200</v>
      </c>
      <c r="I77" s="132">
        <v>200</v>
      </c>
      <c r="J77" s="132"/>
      <c r="K77" s="104"/>
      <c r="L77" s="260" t="s">
        <v>330</v>
      </c>
    </row>
    <row r="78" ht="15.5" customHeight="1" spans="1:12">
      <c r="A78" s="154" t="s">
        <v>545</v>
      </c>
      <c r="B78" s="132" t="s">
        <v>327</v>
      </c>
      <c r="C78" s="132" t="s">
        <v>546</v>
      </c>
      <c r="D78" s="132" t="s">
        <v>547</v>
      </c>
      <c r="E78" s="102">
        <v>2020</v>
      </c>
      <c r="F78" s="102">
        <v>2020</v>
      </c>
      <c r="G78" s="132" t="s">
        <v>16</v>
      </c>
      <c r="H78" s="132">
        <v>200</v>
      </c>
      <c r="I78" s="132">
        <v>200</v>
      </c>
      <c r="J78" s="132"/>
      <c r="K78" s="104"/>
      <c r="L78" s="132" t="s">
        <v>330</v>
      </c>
    </row>
    <row r="79" ht="15.5" customHeight="1" spans="1:12">
      <c r="A79" s="44" t="s">
        <v>548</v>
      </c>
      <c r="B79" s="132" t="s">
        <v>327</v>
      </c>
      <c r="C79" s="132" t="s">
        <v>549</v>
      </c>
      <c r="D79" s="132" t="s">
        <v>550</v>
      </c>
      <c r="E79" s="102">
        <v>2020</v>
      </c>
      <c r="F79" s="102">
        <v>2020</v>
      </c>
      <c r="G79" s="132" t="s">
        <v>16</v>
      </c>
      <c r="H79" s="132">
        <v>200</v>
      </c>
      <c r="I79" s="132">
        <v>200</v>
      </c>
      <c r="J79" s="132"/>
      <c r="K79" s="104"/>
      <c r="L79" s="260" t="s">
        <v>330</v>
      </c>
    </row>
    <row r="80" ht="15.5" customHeight="1" spans="1:12">
      <c r="A80" s="132" t="s">
        <v>551</v>
      </c>
      <c r="B80" s="132" t="s">
        <v>327</v>
      </c>
      <c r="C80" s="132" t="s">
        <v>552</v>
      </c>
      <c r="D80" s="132" t="s">
        <v>553</v>
      </c>
      <c r="E80" s="102">
        <v>2020</v>
      </c>
      <c r="F80" s="102">
        <v>2020</v>
      </c>
      <c r="G80" s="132" t="s">
        <v>16</v>
      </c>
      <c r="H80" s="132">
        <v>200</v>
      </c>
      <c r="I80" s="132">
        <v>200</v>
      </c>
      <c r="J80" s="132"/>
      <c r="K80" s="104"/>
      <c r="L80" s="132" t="s">
        <v>330</v>
      </c>
    </row>
    <row r="81" ht="15.5" customHeight="1" spans="1:12">
      <c r="A81" s="154" t="s">
        <v>554</v>
      </c>
      <c r="B81" s="132" t="s">
        <v>327</v>
      </c>
      <c r="C81" s="132" t="s">
        <v>555</v>
      </c>
      <c r="D81" s="132" t="s">
        <v>556</v>
      </c>
      <c r="E81" s="102">
        <v>2020</v>
      </c>
      <c r="F81" s="102">
        <v>2020</v>
      </c>
      <c r="G81" s="132" t="s">
        <v>16</v>
      </c>
      <c r="H81" s="132">
        <v>200</v>
      </c>
      <c r="I81" s="132">
        <v>200</v>
      </c>
      <c r="J81" s="132"/>
      <c r="K81" s="104"/>
      <c r="L81" s="260" t="s">
        <v>330</v>
      </c>
    </row>
    <row r="82" ht="15.5" customHeight="1" spans="1:12">
      <c r="A82" s="44" t="s">
        <v>557</v>
      </c>
      <c r="B82" s="132" t="s">
        <v>327</v>
      </c>
      <c r="C82" s="132" t="s">
        <v>558</v>
      </c>
      <c r="D82" s="132" t="s">
        <v>559</v>
      </c>
      <c r="E82" s="102">
        <v>2020</v>
      </c>
      <c r="F82" s="102">
        <v>2020</v>
      </c>
      <c r="G82" s="132" t="s">
        <v>16</v>
      </c>
      <c r="H82" s="132">
        <v>200</v>
      </c>
      <c r="I82" s="132">
        <v>200</v>
      </c>
      <c r="J82" s="132"/>
      <c r="K82" s="104"/>
      <c r="L82" s="132" t="s">
        <v>330</v>
      </c>
    </row>
    <row r="83" ht="15.5" customHeight="1" spans="1:12">
      <c r="A83" s="132" t="s">
        <v>560</v>
      </c>
      <c r="B83" s="132" t="s">
        <v>327</v>
      </c>
      <c r="C83" s="132" t="s">
        <v>561</v>
      </c>
      <c r="D83" s="132" t="s">
        <v>562</v>
      </c>
      <c r="E83" s="102">
        <v>2020</v>
      </c>
      <c r="F83" s="102">
        <v>2020</v>
      </c>
      <c r="G83" s="132" t="s">
        <v>16</v>
      </c>
      <c r="H83" s="132">
        <v>200</v>
      </c>
      <c r="I83" s="132">
        <v>200</v>
      </c>
      <c r="J83" s="132"/>
      <c r="K83" s="104"/>
      <c r="L83" s="260" t="s">
        <v>330</v>
      </c>
    </row>
    <row r="84" ht="15.5" customHeight="1" spans="1:12">
      <c r="A84" s="154" t="s">
        <v>563</v>
      </c>
      <c r="B84" s="132" t="s">
        <v>327</v>
      </c>
      <c r="C84" s="132" t="s">
        <v>564</v>
      </c>
      <c r="D84" s="132" t="s">
        <v>565</v>
      </c>
      <c r="E84" s="102">
        <v>2020</v>
      </c>
      <c r="F84" s="102">
        <v>2020</v>
      </c>
      <c r="G84" s="132" t="s">
        <v>16</v>
      </c>
      <c r="H84" s="132">
        <v>200</v>
      </c>
      <c r="I84" s="132">
        <v>200</v>
      </c>
      <c r="J84" s="132"/>
      <c r="K84" s="104"/>
      <c r="L84" s="132" t="s">
        <v>330</v>
      </c>
    </row>
    <row r="85" ht="15.5" customHeight="1" spans="1:12">
      <c r="A85" s="44" t="s">
        <v>566</v>
      </c>
      <c r="B85" s="132" t="s">
        <v>327</v>
      </c>
      <c r="C85" s="132" t="s">
        <v>567</v>
      </c>
      <c r="D85" s="132" t="s">
        <v>568</v>
      </c>
      <c r="E85" s="102">
        <v>2020</v>
      </c>
      <c r="F85" s="102">
        <v>2020</v>
      </c>
      <c r="G85" s="132" t="s">
        <v>16</v>
      </c>
      <c r="H85" s="132">
        <v>500</v>
      </c>
      <c r="I85" s="132">
        <v>500</v>
      </c>
      <c r="J85" s="132"/>
      <c r="K85" s="104"/>
      <c r="L85" s="260" t="s">
        <v>330</v>
      </c>
    </row>
    <row r="86" ht="15.5" customHeight="1" spans="1:12">
      <c r="A86" s="132" t="s">
        <v>569</v>
      </c>
      <c r="B86" s="132" t="s">
        <v>327</v>
      </c>
      <c r="C86" s="132" t="s">
        <v>570</v>
      </c>
      <c r="D86" s="132" t="s">
        <v>571</v>
      </c>
      <c r="E86" s="102">
        <v>2020</v>
      </c>
      <c r="F86" s="102">
        <v>2020</v>
      </c>
      <c r="G86" s="132" t="s">
        <v>16</v>
      </c>
      <c r="H86" s="132">
        <v>200</v>
      </c>
      <c r="I86" s="132">
        <v>200</v>
      </c>
      <c r="J86" s="132"/>
      <c r="K86" s="104"/>
      <c r="L86" s="132" t="s">
        <v>330</v>
      </c>
    </row>
    <row r="87" ht="15.5" customHeight="1" spans="1:12">
      <c r="A87" s="154" t="s">
        <v>572</v>
      </c>
      <c r="B87" s="132" t="s">
        <v>327</v>
      </c>
      <c r="C87" s="132" t="s">
        <v>573</v>
      </c>
      <c r="D87" s="132" t="s">
        <v>574</v>
      </c>
      <c r="E87" s="102">
        <v>2020</v>
      </c>
      <c r="F87" s="102">
        <v>2020</v>
      </c>
      <c r="G87" s="132" t="s">
        <v>16</v>
      </c>
      <c r="H87" s="132">
        <v>200</v>
      </c>
      <c r="I87" s="132">
        <v>200</v>
      </c>
      <c r="J87" s="132"/>
      <c r="K87" s="104"/>
      <c r="L87" s="260" t="s">
        <v>330</v>
      </c>
    </row>
    <row r="88" ht="15.5" customHeight="1" spans="1:12">
      <c r="A88" s="44" t="s">
        <v>575</v>
      </c>
      <c r="B88" s="132" t="s">
        <v>327</v>
      </c>
      <c r="C88" s="132" t="s">
        <v>576</v>
      </c>
      <c r="D88" s="132" t="s">
        <v>577</v>
      </c>
      <c r="E88" s="102">
        <v>2020</v>
      </c>
      <c r="F88" s="102">
        <v>2020</v>
      </c>
      <c r="G88" s="132" t="s">
        <v>16</v>
      </c>
      <c r="H88" s="132">
        <v>200</v>
      </c>
      <c r="I88" s="132">
        <v>200</v>
      </c>
      <c r="J88" s="132"/>
      <c r="K88" s="104"/>
      <c r="L88" s="132" t="s">
        <v>330</v>
      </c>
    </row>
    <row r="89" ht="15.5" customHeight="1" spans="1:12">
      <c r="A89" s="132" t="s">
        <v>578</v>
      </c>
      <c r="B89" s="132" t="s">
        <v>327</v>
      </c>
      <c r="C89" s="132" t="s">
        <v>579</v>
      </c>
      <c r="D89" s="132" t="s">
        <v>580</v>
      </c>
      <c r="E89" s="102">
        <v>2020</v>
      </c>
      <c r="F89" s="102">
        <v>2020</v>
      </c>
      <c r="G89" s="132" t="s">
        <v>16</v>
      </c>
      <c r="H89" s="132">
        <v>200</v>
      </c>
      <c r="I89" s="132">
        <v>200</v>
      </c>
      <c r="J89" s="132"/>
      <c r="K89" s="104"/>
      <c r="L89" s="260" t="s">
        <v>330</v>
      </c>
    </row>
    <row r="90" ht="15.5" customHeight="1" spans="1:12">
      <c r="A90" s="154" t="s">
        <v>581</v>
      </c>
      <c r="B90" s="132" t="s">
        <v>327</v>
      </c>
      <c r="C90" s="132" t="s">
        <v>582</v>
      </c>
      <c r="D90" s="132" t="s">
        <v>583</v>
      </c>
      <c r="E90" s="102">
        <v>2020</v>
      </c>
      <c r="F90" s="102">
        <v>2020</v>
      </c>
      <c r="G90" s="132" t="s">
        <v>16</v>
      </c>
      <c r="H90" s="132">
        <v>200</v>
      </c>
      <c r="I90" s="132">
        <v>200</v>
      </c>
      <c r="J90" s="132"/>
      <c r="K90" s="104"/>
      <c r="L90" s="132" t="s">
        <v>330</v>
      </c>
    </row>
    <row r="91" ht="15.5" customHeight="1" spans="1:12">
      <c r="A91" s="44" t="s">
        <v>584</v>
      </c>
      <c r="B91" s="132" t="s">
        <v>327</v>
      </c>
      <c r="C91" s="132" t="s">
        <v>585</v>
      </c>
      <c r="D91" s="132" t="s">
        <v>586</v>
      </c>
      <c r="E91" s="102">
        <v>2020</v>
      </c>
      <c r="F91" s="102">
        <v>2020</v>
      </c>
      <c r="G91" s="132" t="s">
        <v>16</v>
      </c>
      <c r="H91" s="132">
        <v>200</v>
      </c>
      <c r="I91" s="132">
        <v>200</v>
      </c>
      <c r="J91" s="132"/>
      <c r="K91" s="104"/>
      <c r="L91" s="260" t="s">
        <v>330</v>
      </c>
    </row>
    <row r="92" ht="15.5" customHeight="1" spans="1:12">
      <c r="A92" s="132" t="s">
        <v>587</v>
      </c>
      <c r="B92" s="132" t="s">
        <v>327</v>
      </c>
      <c r="C92" s="132" t="s">
        <v>588</v>
      </c>
      <c r="D92" s="132" t="s">
        <v>589</v>
      </c>
      <c r="E92" s="102">
        <v>2020</v>
      </c>
      <c r="F92" s="102">
        <v>2020</v>
      </c>
      <c r="G92" s="132" t="s">
        <v>16</v>
      </c>
      <c r="H92" s="132">
        <v>200</v>
      </c>
      <c r="I92" s="132">
        <v>200</v>
      </c>
      <c r="J92" s="132"/>
      <c r="K92" s="104"/>
      <c r="L92" s="132" t="s">
        <v>330</v>
      </c>
    </row>
    <row r="93" ht="15.5" customHeight="1" spans="1:12">
      <c r="A93" s="154" t="s">
        <v>590</v>
      </c>
      <c r="B93" s="132" t="s">
        <v>327</v>
      </c>
      <c r="C93" s="132" t="s">
        <v>591</v>
      </c>
      <c r="D93" s="132" t="s">
        <v>592</v>
      </c>
      <c r="E93" s="102">
        <v>2020</v>
      </c>
      <c r="F93" s="102">
        <v>2020</v>
      </c>
      <c r="G93" s="132" t="s">
        <v>16</v>
      </c>
      <c r="H93" s="132">
        <v>500</v>
      </c>
      <c r="I93" s="132">
        <v>500</v>
      </c>
      <c r="J93" s="132"/>
      <c r="K93" s="104"/>
      <c r="L93" s="260" t="s">
        <v>330</v>
      </c>
    </row>
    <row r="94" ht="15.5" customHeight="1" spans="1:12">
      <c r="A94" s="44" t="s">
        <v>593</v>
      </c>
      <c r="B94" s="132" t="s">
        <v>327</v>
      </c>
      <c r="C94" s="132" t="s">
        <v>594</v>
      </c>
      <c r="D94" s="132" t="s">
        <v>595</v>
      </c>
      <c r="E94" s="102">
        <v>2020</v>
      </c>
      <c r="F94" s="102">
        <v>2020</v>
      </c>
      <c r="G94" s="132" t="s">
        <v>16</v>
      </c>
      <c r="H94" s="132">
        <v>200</v>
      </c>
      <c r="I94" s="132">
        <v>200</v>
      </c>
      <c r="J94" s="132"/>
      <c r="K94" s="104"/>
      <c r="L94" s="132" t="s">
        <v>330</v>
      </c>
    </row>
    <row r="95" ht="15.5" customHeight="1" spans="1:12">
      <c r="A95" s="132" t="s">
        <v>596</v>
      </c>
      <c r="B95" s="132" t="s">
        <v>327</v>
      </c>
      <c r="C95" s="132" t="s">
        <v>597</v>
      </c>
      <c r="D95" s="132" t="s">
        <v>598</v>
      </c>
      <c r="E95" s="102">
        <v>2020</v>
      </c>
      <c r="F95" s="102">
        <v>2020</v>
      </c>
      <c r="G95" s="132" t="s">
        <v>16</v>
      </c>
      <c r="H95" s="132">
        <v>200</v>
      </c>
      <c r="I95" s="132">
        <v>200</v>
      </c>
      <c r="J95" s="132"/>
      <c r="K95" s="104"/>
      <c r="L95" s="260" t="s">
        <v>330</v>
      </c>
    </row>
    <row r="96" ht="15.5" customHeight="1" spans="1:12">
      <c r="A96" s="154" t="s">
        <v>599</v>
      </c>
      <c r="B96" s="132" t="s">
        <v>327</v>
      </c>
      <c r="C96" s="132" t="s">
        <v>600</v>
      </c>
      <c r="D96" s="132" t="s">
        <v>601</v>
      </c>
      <c r="E96" s="102">
        <v>2020</v>
      </c>
      <c r="F96" s="102">
        <v>2020</v>
      </c>
      <c r="G96" s="132" t="s">
        <v>16</v>
      </c>
      <c r="H96" s="132">
        <v>200</v>
      </c>
      <c r="I96" s="132">
        <v>200</v>
      </c>
      <c r="J96" s="132"/>
      <c r="K96" s="104"/>
      <c r="L96" s="132" t="s">
        <v>330</v>
      </c>
    </row>
    <row r="97" ht="15.5" customHeight="1" spans="1:12">
      <c r="A97" s="44" t="s">
        <v>602</v>
      </c>
      <c r="B97" s="132" t="s">
        <v>327</v>
      </c>
      <c r="C97" s="132" t="s">
        <v>603</v>
      </c>
      <c r="D97" s="132" t="s">
        <v>604</v>
      </c>
      <c r="E97" s="102">
        <v>2020</v>
      </c>
      <c r="F97" s="102">
        <v>2020</v>
      </c>
      <c r="G97" s="132" t="s">
        <v>16</v>
      </c>
      <c r="H97" s="132">
        <v>500</v>
      </c>
      <c r="I97" s="132">
        <v>500</v>
      </c>
      <c r="J97" s="132"/>
      <c r="K97" s="104"/>
      <c r="L97" s="260" t="s">
        <v>330</v>
      </c>
    </row>
    <row r="98" ht="15.5" customHeight="1" spans="1:12">
      <c r="A98" s="132" t="s">
        <v>605</v>
      </c>
      <c r="B98" s="132" t="s">
        <v>327</v>
      </c>
      <c r="C98" s="132" t="s">
        <v>606</v>
      </c>
      <c r="D98" s="132" t="s">
        <v>607</v>
      </c>
      <c r="E98" s="102">
        <v>2020</v>
      </c>
      <c r="F98" s="102">
        <v>2020</v>
      </c>
      <c r="G98" s="132" t="s">
        <v>16</v>
      </c>
      <c r="H98" s="132">
        <v>200</v>
      </c>
      <c r="I98" s="132">
        <v>200</v>
      </c>
      <c r="J98" s="132"/>
      <c r="K98" s="104"/>
      <c r="L98" s="132" t="s">
        <v>330</v>
      </c>
    </row>
    <row r="99" ht="15.5" customHeight="1" spans="1:12">
      <c r="A99" s="154" t="s">
        <v>608</v>
      </c>
      <c r="B99" s="132" t="s">
        <v>327</v>
      </c>
      <c r="C99" s="132" t="s">
        <v>609</v>
      </c>
      <c r="D99" s="132" t="s">
        <v>610</v>
      </c>
      <c r="E99" s="102">
        <v>2020</v>
      </c>
      <c r="F99" s="102">
        <v>2020</v>
      </c>
      <c r="G99" s="132" t="s">
        <v>16</v>
      </c>
      <c r="H99" s="132">
        <v>200</v>
      </c>
      <c r="I99" s="132">
        <v>200</v>
      </c>
      <c r="J99" s="132"/>
      <c r="K99" s="104"/>
      <c r="L99" s="260" t="s">
        <v>330</v>
      </c>
    </row>
    <row r="100" ht="15.5" customHeight="1" spans="1:12">
      <c r="A100" s="44" t="s">
        <v>611</v>
      </c>
      <c r="B100" s="132" t="s">
        <v>327</v>
      </c>
      <c r="C100" s="132" t="s">
        <v>612</v>
      </c>
      <c r="D100" s="132" t="s">
        <v>613</v>
      </c>
      <c r="E100" s="102">
        <v>2020</v>
      </c>
      <c r="F100" s="102">
        <v>2020</v>
      </c>
      <c r="G100" s="132" t="s">
        <v>16</v>
      </c>
      <c r="H100" s="132">
        <v>200</v>
      </c>
      <c r="I100" s="132">
        <v>200</v>
      </c>
      <c r="J100" s="132"/>
      <c r="K100" s="104"/>
      <c r="L100" s="132" t="s">
        <v>330</v>
      </c>
    </row>
    <row r="101" ht="15.5" customHeight="1" spans="1:12">
      <c r="A101" s="132" t="s">
        <v>614</v>
      </c>
      <c r="B101" s="132" t="s">
        <v>327</v>
      </c>
      <c r="C101" s="132" t="s">
        <v>615</v>
      </c>
      <c r="D101" s="132" t="s">
        <v>616</v>
      </c>
      <c r="E101" s="102">
        <v>2020</v>
      </c>
      <c r="F101" s="102">
        <v>2020</v>
      </c>
      <c r="G101" s="132" t="s">
        <v>16</v>
      </c>
      <c r="H101" s="132">
        <v>200</v>
      </c>
      <c r="I101" s="132">
        <v>200</v>
      </c>
      <c r="J101" s="132"/>
      <c r="K101" s="104"/>
      <c r="L101" s="260" t="s">
        <v>330</v>
      </c>
    </row>
    <row r="102" ht="15.5" customHeight="1" spans="1:12">
      <c r="A102" s="154" t="s">
        <v>617</v>
      </c>
      <c r="B102" s="132" t="s">
        <v>327</v>
      </c>
      <c r="C102" s="132" t="s">
        <v>618</v>
      </c>
      <c r="D102" s="132" t="s">
        <v>619</v>
      </c>
      <c r="E102" s="102">
        <v>2020</v>
      </c>
      <c r="F102" s="102">
        <v>2020</v>
      </c>
      <c r="G102" s="132" t="s">
        <v>16</v>
      </c>
      <c r="H102" s="132">
        <v>200</v>
      </c>
      <c r="I102" s="132">
        <v>200</v>
      </c>
      <c r="J102" s="128"/>
      <c r="K102" s="104"/>
      <c r="L102" s="132" t="s">
        <v>330</v>
      </c>
    </row>
    <row r="103" ht="15.5" customHeight="1" spans="1:12">
      <c r="A103" s="44" t="s">
        <v>620</v>
      </c>
      <c r="B103" s="132" t="s">
        <v>327</v>
      </c>
      <c r="C103" s="132" t="s">
        <v>621</v>
      </c>
      <c r="D103" s="132" t="s">
        <v>622</v>
      </c>
      <c r="E103" s="102">
        <v>2020</v>
      </c>
      <c r="F103" s="102">
        <v>2020</v>
      </c>
      <c r="G103" s="132" t="s">
        <v>16</v>
      </c>
      <c r="H103" s="132">
        <v>200</v>
      </c>
      <c r="I103" s="132">
        <v>200</v>
      </c>
      <c r="J103" s="128"/>
      <c r="K103" s="104"/>
      <c r="L103" s="260" t="s">
        <v>330</v>
      </c>
    </row>
    <row r="104" ht="15.5" customHeight="1" spans="1:12">
      <c r="A104" s="132" t="s">
        <v>623</v>
      </c>
      <c r="B104" s="132" t="s">
        <v>327</v>
      </c>
      <c r="C104" s="132" t="s">
        <v>624</v>
      </c>
      <c r="D104" s="132" t="s">
        <v>625</v>
      </c>
      <c r="E104" s="102">
        <v>2020</v>
      </c>
      <c r="F104" s="102">
        <v>2020</v>
      </c>
      <c r="G104" s="132" t="s">
        <v>16</v>
      </c>
      <c r="H104" s="132">
        <v>200</v>
      </c>
      <c r="I104" s="132">
        <v>200</v>
      </c>
      <c r="J104" s="128"/>
      <c r="K104" s="104"/>
      <c r="L104" s="132" t="s">
        <v>330</v>
      </c>
    </row>
    <row r="105" ht="15.5" customHeight="1" spans="1:12">
      <c r="A105" s="154" t="s">
        <v>626</v>
      </c>
      <c r="B105" s="132" t="s">
        <v>327</v>
      </c>
      <c r="C105" s="132" t="s">
        <v>627</v>
      </c>
      <c r="D105" s="132" t="s">
        <v>628</v>
      </c>
      <c r="E105" s="102">
        <v>2020</v>
      </c>
      <c r="F105" s="102">
        <v>2020</v>
      </c>
      <c r="G105" s="132" t="s">
        <v>16</v>
      </c>
      <c r="H105" s="132">
        <v>200</v>
      </c>
      <c r="I105" s="132">
        <v>200</v>
      </c>
      <c r="J105" s="128"/>
      <c r="K105" s="104"/>
      <c r="L105" s="260" t="s">
        <v>330</v>
      </c>
    </row>
    <row r="106" ht="15.5" customHeight="1" spans="1:12">
      <c r="A106" s="44" t="s">
        <v>629</v>
      </c>
      <c r="B106" s="132" t="s">
        <v>327</v>
      </c>
      <c r="C106" s="132" t="s">
        <v>630</v>
      </c>
      <c r="D106" s="132" t="s">
        <v>631</v>
      </c>
      <c r="E106" s="102">
        <v>2020</v>
      </c>
      <c r="F106" s="102">
        <v>2020</v>
      </c>
      <c r="G106" s="132" t="s">
        <v>16</v>
      </c>
      <c r="H106" s="132">
        <v>200</v>
      </c>
      <c r="I106" s="132">
        <v>200</v>
      </c>
      <c r="J106" s="128"/>
      <c r="K106" s="104"/>
      <c r="L106" s="132" t="s">
        <v>330</v>
      </c>
    </row>
    <row r="107" ht="15.5" customHeight="1" spans="1:12">
      <c r="A107" s="132" t="s">
        <v>632</v>
      </c>
      <c r="B107" s="132" t="s">
        <v>327</v>
      </c>
      <c r="C107" s="132" t="s">
        <v>633</v>
      </c>
      <c r="D107" s="132" t="s">
        <v>634</v>
      </c>
      <c r="E107" s="102">
        <v>2020</v>
      </c>
      <c r="F107" s="102">
        <v>2020</v>
      </c>
      <c r="G107" s="132" t="s">
        <v>16</v>
      </c>
      <c r="H107" s="132">
        <v>200</v>
      </c>
      <c r="I107" s="132">
        <v>200</v>
      </c>
      <c r="J107" s="128"/>
      <c r="K107" s="104"/>
      <c r="L107" s="260" t="s">
        <v>330</v>
      </c>
    </row>
    <row r="108" ht="15.5" customHeight="1" spans="1:12">
      <c r="A108" s="154" t="s">
        <v>635</v>
      </c>
      <c r="B108" s="132" t="s">
        <v>327</v>
      </c>
      <c r="C108" s="268" t="s">
        <v>636</v>
      </c>
      <c r="D108" s="268" t="s">
        <v>637</v>
      </c>
      <c r="E108" s="102">
        <v>2020</v>
      </c>
      <c r="F108" s="102">
        <v>2020</v>
      </c>
      <c r="G108" s="132" t="s">
        <v>16</v>
      </c>
      <c r="H108" s="132">
        <v>200</v>
      </c>
      <c r="I108" s="132">
        <v>200</v>
      </c>
      <c r="J108" s="128"/>
      <c r="K108" s="104"/>
      <c r="L108" s="132" t="s">
        <v>330</v>
      </c>
    </row>
    <row r="109" ht="15.5" customHeight="1" spans="1:12">
      <c r="A109" s="44" t="s">
        <v>638</v>
      </c>
      <c r="B109" s="132" t="s">
        <v>327</v>
      </c>
      <c r="C109" s="268" t="s">
        <v>639</v>
      </c>
      <c r="D109" s="268" t="s">
        <v>640</v>
      </c>
      <c r="E109" s="102">
        <v>2020</v>
      </c>
      <c r="F109" s="102">
        <v>2020</v>
      </c>
      <c r="G109" s="132" t="s">
        <v>16</v>
      </c>
      <c r="H109" s="132">
        <v>200</v>
      </c>
      <c r="I109" s="132">
        <v>200</v>
      </c>
      <c r="J109" s="128"/>
      <c r="K109" s="104"/>
      <c r="L109" s="260" t="s">
        <v>330</v>
      </c>
    </row>
    <row r="110" ht="15.5" customHeight="1" spans="1:12">
      <c r="A110" s="132" t="s">
        <v>641</v>
      </c>
      <c r="B110" s="132" t="s">
        <v>327</v>
      </c>
      <c r="C110" s="128" t="s">
        <v>642</v>
      </c>
      <c r="D110" s="281" t="s">
        <v>643</v>
      </c>
      <c r="E110" s="102">
        <v>2020</v>
      </c>
      <c r="F110" s="102">
        <v>2020</v>
      </c>
      <c r="G110" s="132" t="s">
        <v>16</v>
      </c>
      <c r="H110" s="132">
        <v>200</v>
      </c>
      <c r="I110" s="132">
        <v>200</v>
      </c>
      <c r="J110" s="128"/>
      <c r="K110" s="104"/>
      <c r="L110" s="132" t="s">
        <v>330</v>
      </c>
    </row>
    <row r="111" ht="15.5" customHeight="1" spans="1:12">
      <c r="A111" s="154" t="s">
        <v>644</v>
      </c>
      <c r="B111" s="132" t="s">
        <v>327</v>
      </c>
      <c r="C111" s="128" t="s">
        <v>645</v>
      </c>
      <c r="D111" s="281" t="s">
        <v>646</v>
      </c>
      <c r="E111" s="102">
        <v>2020</v>
      </c>
      <c r="F111" s="102">
        <v>2020</v>
      </c>
      <c r="G111" s="132" t="s">
        <v>16</v>
      </c>
      <c r="H111" s="132">
        <v>200</v>
      </c>
      <c r="I111" s="132">
        <v>200</v>
      </c>
      <c r="J111" s="128"/>
      <c r="K111" s="104"/>
      <c r="L111" s="260" t="s">
        <v>330</v>
      </c>
    </row>
    <row r="112" ht="15.5" customHeight="1" spans="1:12">
      <c r="A112" s="44" t="s">
        <v>647</v>
      </c>
      <c r="B112" s="132" t="s">
        <v>327</v>
      </c>
      <c r="C112" s="128" t="s">
        <v>648</v>
      </c>
      <c r="D112" s="128" t="s">
        <v>649</v>
      </c>
      <c r="E112" s="102">
        <v>2020</v>
      </c>
      <c r="F112" s="102">
        <v>2020</v>
      </c>
      <c r="G112" s="132" t="s">
        <v>16</v>
      </c>
      <c r="H112" s="132">
        <v>200</v>
      </c>
      <c r="I112" s="132">
        <v>200</v>
      </c>
      <c r="J112" s="128"/>
      <c r="K112" s="104"/>
      <c r="L112" s="132" t="s">
        <v>330</v>
      </c>
    </row>
    <row r="113" ht="15.5" customHeight="1" spans="1:12">
      <c r="A113" s="132" t="s">
        <v>650</v>
      </c>
      <c r="B113" s="132" t="s">
        <v>327</v>
      </c>
      <c r="C113" s="128" t="s">
        <v>651</v>
      </c>
      <c r="D113" s="128" t="s">
        <v>652</v>
      </c>
      <c r="E113" s="102">
        <v>2020</v>
      </c>
      <c r="F113" s="102">
        <v>2020</v>
      </c>
      <c r="G113" s="132" t="s">
        <v>16</v>
      </c>
      <c r="H113" s="132">
        <v>200</v>
      </c>
      <c r="I113" s="132">
        <v>200</v>
      </c>
      <c r="J113" s="128"/>
      <c r="K113" s="104"/>
      <c r="L113" s="260" t="s">
        <v>330</v>
      </c>
    </row>
    <row r="114" ht="15.5" customHeight="1" spans="1:12">
      <c r="A114" s="154" t="s">
        <v>653</v>
      </c>
      <c r="B114" s="132" t="s">
        <v>327</v>
      </c>
      <c r="C114" s="128" t="s">
        <v>654</v>
      </c>
      <c r="D114" s="128" t="s">
        <v>655</v>
      </c>
      <c r="E114" s="102">
        <v>2020</v>
      </c>
      <c r="F114" s="102">
        <v>2020</v>
      </c>
      <c r="G114" s="132" t="s">
        <v>16</v>
      </c>
      <c r="H114" s="128">
        <v>200</v>
      </c>
      <c r="I114" s="128">
        <v>200</v>
      </c>
      <c r="J114" s="128"/>
      <c r="K114" s="104"/>
      <c r="L114" s="132" t="s">
        <v>330</v>
      </c>
    </row>
    <row r="115" ht="15.5" customHeight="1" spans="1:12">
      <c r="A115" s="44" t="s">
        <v>656</v>
      </c>
      <c r="B115" s="132" t="s">
        <v>327</v>
      </c>
      <c r="C115" s="128" t="s">
        <v>657</v>
      </c>
      <c r="D115" s="128" t="s">
        <v>658</v>
      </c>
      <c r="E115" s="102">
        <v>2020</v>
      </c>
      <c r="F115" s="102">
        <v>2020</v>
      </c>
      <c r="G115" s="132" t="s">
        <v>16</v>
      </c>
      <c r="H115" s="132">
        <v>200</v>
      </c>
      <c r="I115" s="128">
        <v>200</v>
      </c>
      <c r="J115" s="128"/>
      <c r="K115" s="104"/>
      <c r="L115" s="260" t="s">
        <v>330</v>
      </c>
    </row>
    <row r="116" ht="15.5" customHeight="1" spans="1:12">
      <c r="A116" s="132" t="s">
        <v>659</v>
      </c>
      <c r="B116" s="132" t="s">
        <v>327</v>
      </c>
      <c r="C116" s="128" t="s">
        <v>660</v>
      </c>
      <c r="D116" s="128" t="s">
        <v>661</v>
      </c>
      <c r="E116" s="102">
        <v>2020</v>
      </c>
      <c r="F116" s="102">
        <v>2020</v>
      </c>
      <c r="G116" s="132" t="s">
        <v>16</v>
      </c>
      <c r="H116" s="128">
        <v>200</v>
      </c>
      <c r="I116" s="128">
        <v>200</v>
      </c>
      <c r="J116" s="128"/>
      <c r="K116" s="104"/>
      <c r="L116" s="132" t="s">
        <v>330</v>
      </c>
    </row>
    <row r="117" ht="15.5" customHeight="1" spans="1:12">
      <c r="A117" s="154" t="s">
        <v>662</v>
      </c>
      <c r="B117" s="132" t="s">
        <v>327</v>
      </c>
      <c r="C117" s="128" t="s">
        <v>663</v>
      </c>
      <c r="D117" s="128" t="s">
        <v>664</v>
      </c>
      <c r="E117" s="102">
        <v>2020</v>
      </c>
      <c r="F117" s="102">
        <v>2020</v>
      </c>
      <c r="G117" s="132" t="s">
        <v>16</v>
      </c>
      <c r="H117" s="132">
        <v>200</v>
      </c>
      <c r="I117" s="128">
        <v>200</v>
      </c>
      <c r="J117" s="128"/>
      <c r="K117" s="104"/>
      <c r="L117" s="260" t="s">
        <v>330</v>
      </c>
    </row>
    <row r="118" ht="15.5" customHeight="1" spans="1:12">
      <c r="A118" s="44" t="s">
        <v>665</v>
      </c>
      <c r="B118" s="132" t="s">
        <v>327</v>
      </c>
      <c r="C118" s="128" t="s">
        <v>666</v>
      </c>
      <c r="D118" s="128" t="s">
        <v>667</v>
      </c>
      <c r="E118" s="102">
        <v>2020</v>
      </c>
      <c r="F118" s="102">
        <v>2020</v>
      </c>
      <c r="G118" s="132" t="s">
        <v>16</v>
      </c>
      <c r="H118" s="128">
        <v>200</v>
      </c>
      <c r="I118" s="128">
        <v>200</v>
      </c>
      <c r="J118" s="128"/>
      <c r="K118" s="104"/>
      <c r="L118" s="132" t="s">
        <v>330</v>
      </c>
    </row>
    <row r="119" ht="15.5" customHeight="1" spans="1:12">
      <c r="A119" s="132" t="s">
        <v>668</v>
      </c>
      <c r="B119" s="132" t="s">
        <v>327</v>
      </c>
      <c r="C119" s="128" t="s">
        <v>669</v>
      </c>
      <c r="D119" s="128" t="s">
        <v>670</v>
      </c>
      <c r="E119" s="102">
        <v>2020</v>
      </c>
      <c r="F119" s="102">
        <v>2020</v>
      </c>
      <c r="G119" s="132" t="s">
        <v>16</v>
      </c>
      <c r="H119" s="132">
        <v>200</v>
      </c>
      <c r="I119" s="128">
        <v>200</v>
      </c>
      <c r="J119" s="128"/>
      <c r="K119" s="104"/>
      <c r="L119" s="260" t="s">
        <v>330</v>
      </c>
    </row>
    <row r="120" ht="15.5" customHeight="1" spans="1:12">
      <c r="A120" s="154" t="s">
        <v>671</v>
      </c>
      <c r="B120" s="132" t="s">
        <v>327</v>
      </c>
      <c r="C120" s="128" t="s">
        <v>672</v>
      </c>
      <c r="D120" s="128" t="s">
        <v>673</v>
      </c>
      <c r="E120" s="102">
        <v>2020</v>
      </c>
      <c r="F120" s="102">
        <v>2020</v>
      </c>
      <c r="G120" s="132" t="s">
        <v>16</v>
      </c>
      <c r="H120" s="128">
        <v>200</v>
      </c>
      <c r="I120" s="128">
        <v>200</v>
      </c>
      <c r="J120" s="128"/>
      <c r="K120" s="104"/>
      <c r="L120" s="132" t="s">
        <v>330</v>
      </c>
    </row>
    <row r="121" ht="15.5" customHeight="1" spans="1:12">
      <c r="A121" s="44" t="s">
        <v>674</v>
      </c>
      <c r="B121" s="132" t="s">
        <v>327</v>
      </c>
      <c r="C121" s="128" t="s">
        <v>675</v>
      </c>
      <c r="D121" s="128" t="s">
        <v>676</v>
      </c>
      <c r="E121" s="102">
        <v>2020</v>
      </c>
      <c r="F121" s="102">
        <v>2020</v>
      </c>
      <c r="G121" s="132" t="s">
        <v>16</v>
      </c>
      <c r="H121" s="132">
        <v>200</v>
      </c>
      <c r="I121" s="128">
        <v>200</v>
      </c>
      <c r="J121" s="128"/>
      <c r="K121" s="104"/>
      <c r="L121" s="260" t="s">
        <v>330</v>
      </c>
    </row>
    <row r="122" ht="15.5" customHeight="1" spans="1:12">
      <c r="A122" s="132" t="s">
        <v>677</v>
      </c>
      <c r="B122" s="132" t="s">
        <v>327</v>
      </c>
      <c r="C122" s="128" t="s">
        <v>678</v>
      </c>
      <c r="D122" s="128" t="s">
        <v>679</v>
      </c>
      <c r="E122" s="102">
        <v>2020</v>
      </c>
      <c r="F122" s="102">
        <v>2020</v>
      </c>
      <c r="G122" s="132" t="s">
        <v>16</v>
      </c>
      <c r="H122" s="128">
        <v>500</v>
      </c>
      <c r="I122" s="128">
        <v>500</v>
      </c>
      <c r="J122" s="128"/>
      <c r="K122" s="104"/>
      <c r="L122" s="132" t="s">
        <v>330</v>
      </c>
    </row>
    <row r="123" ht="15.5" customHeight="1" spans="1:12">
      <c r="A123" s="154" t="s">
        <v>680</v>
      </c>
      <c r="B123" s="132" t="s">
        <v>327</v>
      </c>
      <c r="C123" s="128" t="s">
        <v>681</v>
      </c>
      <c r="D123" s="128" t="s">
        <v>682</v>
      </c>
      <c r="E123" s="102">
        <v>2020</v>
      </c>
      <c r="F123" s="102">
        <v>2020</v>
      </c>
      <c r="G123" s="132" t="s">
        <v>16</v>
      </c>
      <c r="H123" s="128">
        <v>200</v>
      </c>
      <c r="I123" s="128">
        <v>200</v>
      </c>
      <c r="J123" s="128"/>
      <c r="K123" s="104"/>
      <c r="L123" s="260" t="s">
        <v>330</v>
      </c>
    </row>
    <row r="124" ht="15.5" customHeight="1" spans="1:12">
      <c r="A124" s="44" t="s">
        <v>683</v>
      </c>
      <c r="B124" s="132" t="s">
        <v>327</v>
      </c>
      <c r="C124" s="128" t="s">
        <v>684</v>
      </c>
      <c r="D124" s="128" t="s">
        <v>685</v>
      </c>
      <c r="E124" s="102">
        <v>2020</v>
      </c>
      <c r="F124" s="102">
        <v>2020</v>
      </c>
      <c r="G124" s="132" t="s">
        <v>16</v>
      </c>
      <c r="H124" s="128">
        <v>200</v>
      </c>
      <c r="I124" s="128">
        <v>200</v>
      </c>
      <c r="J124" s="128"/>
      <c r="K124" s="104"/>
      <c r="L124" s="132" t="s">
        <v>330</v>
      </c>
    </row>
    <row r="125" ht="15.5" customHeight="1" spans="1:12">
      <c r="A125" s="132" t="s">
        <v>686</v>
      </c>
      <c r="B125" s="132" t="s">
        <v>327</v>
      </c>
      <c r="C125" s="128" t="s">
        <v>687</v>
      </c>
      <c r="D125" s="128" t="s">
        <v>688</v>
      </c>
      <c r="E125" s="102">
        <v>2020</v>
      </c>
      <c r="F125" s="102">
        <v>2020</v>
      </c>
      <c r="G125" s="132" t="s">
        <v>16</v>
      </c>
      <c r="H125" s="128">
        <v>200</v>
      </c>
      <c r="I125" s="128">
        <v>200</v>
      </c>
      <c r="J125" s="128"/>
      <c r="K125" s="104"/>
      <c r="L125" s="260" t="s">
        <v>330</v>
      </c>
    </row>
    <row r="126" ht="15.5" customHeight="1" spans="1:12">
      <c r="A126" s="154" t="s">
        <v>689</v>
      </c>
      <c r="B126" s="132" t="s">
        <v>327</v>
      </c>
      <c r="C126" s="128" t="s">
        <v>690</v>
      </c>
      <c r="D126" s="128" t="s">
        <v>691</v>
      </c>
      <c r="E126" s="102">
        <v>2020</v>
      </c>
      <c r="F126" s="102">
        <v>2020</v>
      </c>
      <c r="G126" s="132" t="s">
        <v>16</v>
      </c>
      <c r="H126" s="128">
        <v>200</v>
      </c>
      <c r="I126" s="128">
        <v>200</v>
      </c>
      <c r="J126" s="128"/>
      <c r="K126" s="104"/>
      <c r="L126" s="132" t="s">
        <v>330</v>
      </c>
    </row>
    <row r="127" ht="15.5" customHeight="1" spans="1:12">
      <c r="A127" s="44" t="s">
        <v>692</v>
      </c>
      <c r="B127" s="132" t="s">
        <v>327</v>
      </c>
      <c r="C127" s="269" t="s">
        <v>693</v>
      </c>
      <c r="D127" s="269" t="s">
        <v>694</v>
      </c>
      <c r="E127" s="102">
        <v>2020</v>
      </c>
      <c r="F127" s="102">
        <v>2020</v>
      </c>
      <c r="G127" s="132" t="s">
        <v>16</v>
      </c>
      <c r="H127" s="269">
        <v>300</v>
      </c>
      <c r="I127" s="269">
        <v>300</v>
      </c>
      <c r="J127" s="128"/>
      <c r="K127" s="104"/>
      <c r="L127" s="260" t="s">
        <v>330</v>
      </c>
    </row>
    <row r="128" ht="15.5" customHeight="1" spans="1:12">
      <c r="A128" s="132" t="s">
        <v>695</v>
      </c>
      <c r="B128" s="132" t="s">
        <v>327</v>
      </c>
      <c r="C128" s="128" t="s">
        <v>696</v>
      </c>
      <c r="D128" s="281" t="s">
        <v>697</v>
      </c>
      <c r="E128" s="102">
        <v>2020</v>
      </c>
      <c r="F128" s="102">
        <v>2020</v>
      </c>
      <c r="G128" s="132" t="s">
        <v>16</v>
      </c>
      <c r="H128" s="128">
        <v>200</v>
      </c>
      <c r="I128" s="128">
        <v>200</v>
      </c>
      <c r="J128" s="269"/>
      <c r="K128" s="104"/>
      <c r="L128" s="132" t="s">
        <v>330</v>
      </c>
    </row>
    <row r="129" ht="15.5" customHeight="1" spans="1:12">
      <c r="A129" s="154" t="s">
        <v>698</v>
      </c>
      <c r="B129" s="132" t="s">
        <v>327</v>
      </c>
      <c r="C129" s="128" t="s">
        <v>699</v>
      </c>
      <c r="D129" s="281" t="s">
        <v>700</v>
      </c>
      <c r="E129" s="102">
        <v>2020</v>
      </c>
      <c r="F129" s="102">
        <v>2020</v>
      </c>
      <c r="G129" s="132" t="s">
        <v>16</v>
      </c>
      <c r="H129" s="128">
        <v>200</v>
      </c>
      <c r="I129" s="128">
        <v>200</v>
      </c>
      <c r="J129" s="128"/>
      <c r="K129" s="104"/>
      <c r="L129" s="260" t="s">
        <v>330</v>
      </c>
    </row>
    <row r="130" ht="15.5" customHeight="1" spans="1:12">
      <c r="A130" s="44" t="s">
        <v>701</v>
      </c>
      <c r="B130" s="132" t="s">
        <v>327</v>
      </c>
      <c r="C130" s="128" t="s">
        <v>702</v>
      </c>
      <c r="D130" s="281" t="s">
        <v>703</v>
      </c>
      <c r="E130" s="102">
        <v>2020</v>
      </c>
      <c r="F130" s="102">
        <v>2020</v>
      </c>
      <c r="G130" s="132" t="s">
        <v>16</v>
      </c>
      <c r="H130" s="128">
        <v>200</v>
      </c>
      <c r="I130" s="128">
        <v>200</v>
      </c>
      <c r="J130" s="128"/>
      <c r="K130" s="104"/>
      <c r="L130" s="132" t="s">
        <v>330</v>
      </c>
    </row>
    <row r="131" ht="15.5" customHeight="1" spans="1:12">
      <c r="A131" s="132" t="s">
        <v>704</v>
      </c>
      <c r="B131" s="132" t="s">
        <v>327</v>
      </c>
      <c r="C131" s="128" t="s">
        <v>705</v>
      </c>
      <c r="D131" s="281" t="s">
        <v>706</v>
      </c>
      <c r="E131" s="102">
        <v>2020</v>
      </c>
      <c r="F131" s="102">
        <v>2020</v>
      </c>
      <c r="G131" s="132" t="s">
        <v>16</v>
      </c>
      <c r="H131" s="128">
        <v>200</v>
      </c>
      <c r="I131" s="128">
        <v>200</v>
      </c>
      <c r="J131" s="128"/>
      <c r="K131" s="104"/>
      <c r="L131" s="260" t="s">
        <v>330</v>
      </c>
    </row>
    <row r="132" ht="15.5" customHeight="1" spans="1:12">
      <c r="A132" s="154" t="s">
        <v>707</v>
      </c>
      <c r="B132" s="132" t="s">
        <v>327</v>
      </c>
      <c r="C132" s="128" t="s">
        <v>708</v>
      </c>
      <c r="D132" s="281" t="s">
        <v>709</v>
      </c>
      <c r="E132" s="102">
        <v>2020</v>
      </c>
      <c r="F132" s="102">
        <v>2020</v>
      </c>
      <c r="G132" s="132" t="s">
        <v>16</v>
      </c>
      <c r="H132" s="128">
        <v>200</v>
      </c>
      <c r="I132" s="128">
        <v>200</v>
      </c>
      <c r="J132" s="128"/>
      <c r="K132" s="104"/>
      <c r="L132" s="132" t="s">
        <v>330</v>
      </c>
    </row>
    <row r="133" ht="15.5" customHeight="1" spans="1:12">
      <c r="A133" s="44" t="s">
        <v>710</v>
      </c>
      <c r="B133" s="132" t="s">
        <v>327</v>
      </c>
      <c r="C133" s="128" t="s">
        <v>711</v>
      </c>
      <c r="D133" s="128" t="s">
        <v>712</v>
      </c>
      <c r="E133" s="102">
        <v>2020</v>
      </c>
      <c r="F133" s="102">
        <v>2020</v>
      </c>
      <c r="G133" s="132" t="s">
        <v>16</v>
      </c>
      <c r="H133" s="128">
        <v>200</v>
      </c>
      <c r="I133" s="128">
        <v>200</v>
      </c>
      <c r="J133" s="128"/>
      <c r="K133" s="104"/>
      <c r="L133" s="260" t="s">
        <v>330</v>
      </c>
    </row>
    <row r="134" ht="15.5" customHeight="1" spans="1:12">
      <c r="A134" s="132" t="s">
        <v>713</v>
      </c>
      <c r="B134" s="132" t="s">
        <v>327</v>
      </c>
      <c r="C134" s="128" t="s">
        <v>714</v>
      </c>
      <c r="D134" s="281" t="s">
        <v>715</v>
      </c>
      <c r="E134" s="102">
        <v>2020</v>
      </c>
      <c r="F134" s="102">
        <v>2020</v>
      </c>
      <c r="G134" s="132" t="s">
        <v>16</v>
      </c>
      <c r="H134" s="128">
        <v>200</v>
      </c>
      <c r="I134" s="128">
        <v>200</v>
      </c>
      <c r="J134" s="128"/>
      <c r="K134" s="104"/>
      <c r="L134" s="132" t="s">
        <v>330</v>
      </c>
    </row>
    <row r="135" ht="15.5" customHeight="1" spans="1:12">
      <c r="A135" s="154" t="s">
        <v>716</v>
      </c>
      <c r="B135" s="132" t="s">
        <v>327</v>
      </c>
      <c r="C135" s="128" t="s">
        <v>717</v>
      </c>
      <c r="D135" s="281" t="s">
        <v>718</v>
      </c>
      <c r="E135" s="102">
        <v>2020</v>
      </c>
      <c r="F135" s="102">
        <v>2020</v>
      </c>
      <c r="G135" s="132" t="s">
        <v>16</v>
      </c>
      <c r="H135" s="128">
        <v>200</v>
      </c>
      <c r="I135" s="128">
        <v>200</v>
      </c>
      <c r="J135" s="128"/>
      <c r="K135" s="104"/>
      <c r="L135" s="260" t="s">
        <v>330</v>
      </c>
    </row>
    <row r="136" ht="15.5" customHeight="1" spans="1:12">
      <c r="A136" s="44" t="s">
        <v>719</v>
      </c>
      <c r="B136" s="132" t="s">
        <v>327</v>
      </c>
      <c r="C136" s="128" t="s">
        <v>720</v>
      </c>
      <c r="D136" s="128" t="s">
        <v>721</v>
      </c>
      <c r="E136" s="102">
        <v>2020</v>
      </c>
      <c r="F136" s="102">
        <v>2020</v>
      </c>
      <c r="G136" s="132" t="s">
        <v>16</v>
      </c>
      <c r="H136" s="128">
        <v>200</v>
      </c>
      <c r="I136" s="128">
        <v>200</v>
      </c>
      <c r="J136" s="128"/>
      <c r="K136" s="104"/>
      <c r="L136" s="132" t="s">
        <v>330</v>
      </c>
    </row>
    <row r="137" ht="15.5" customHeight="1" spans="1:12">
      <c r="A137" s="132" t="s">
        <v>722</v>
      </c>
      <c r="B137" s="132" t="s">
        <v>327</v>
      </c>
      <c r="C137" s="128" t="s">
        <v>723</v>
      </c>
      <c r="D137" s="281" t="s">
        <v>724</v>
      </c>
      <c r="E137" s="102">
        <v>2020</v>
      </c>
      <c r="F137" s="102">
        <v>2020</v>
      </c>
      <c r="G137" s="132" t="s">
        <v>16</v>
      </c>
      <c r="H137" s="128">
        <v>200</v>
      </c>
      <c r="I137" s="128">
        <v>200</v>
      </c>
      <c r="J137" s="128"/>
      <c r="K137" s="104"/>
      <c r="L137" s="260" t="s">
        <v>330</v>
      </c>
    </row>
    <row r="138" ht="15.5" customHeight="1" spans="1:12">
      <c r="A138" s="154" t="s">
        <v>725</v>
      </c>
      <c r="B138" s="132" t="s">
        <v>327</v>
      </c>
      <c r="C138" s="128" t="s">
        <v>726</v>
      </c>
      <c r="D138" s="281" t="s">
        <v>727</v>
      </c>
      <c r="E138" s="102">
        <v>2020</v>
      </c>
      <c r="F138" s="102">
        <v>2020</v>
      </c>
      <c r="G138" s="132" t="s">
        <v>16</v>
      </c>
      <c r="H138" s="128">
        <v>200</v>
      </c>
      <c r="I138" s="128">
        <v>200</v>
      </c>
      <c r="J138" s="128"/>
      <c r="K138" s="104"/>
      <c r="L138" s="132" t="s">
        <v>330</v>
      </c>
    </row>
    <row r="139" ht="15.5" customHeight="1" spans="1:12">
      <c r="A139" s="44" t="s">
        <v>728</v>
      </c>
      <c r="B139" s="132" t="s">
        <v>327</v>
      </c>
      <c r="C139" s="128" t="s">
        <v>729</v>
      </c>
      <c r="D139" s="281" t="s">
        <v>730</v>
      </c>
      <c r="E139" s="102">
        <v>2020</v>
      </c>
      <c r="F139" s="102">
        <v>2020</v>
      </c>
      <c r="G139" s="132" t="s">
        <v>16</v>
      </c>
      <c r="H139" s="128">
        <v>200</v>
      </c>
      <c r="I139" s="128">
        <v>200</v>
      </c>
      <c r="J139" s="128"/>
      <c r="K139" s="104"/>
      <c r="L139" s="260" t="s">
        <v>330</v>
      </c>
    </row>
    <row r="140" ht="15.5" customHeight="1" spans="1:12">
      <c r="A140" s="132" t="s">
        <v>731</v>
      </c>
      <c r="B140" s="132" t="s">
        <v>327</v>
      </c>
      <c r="C140" s="128" t="s">
        <v>732</v>
      </c>
      <c r="D140" s="281" t="s">
        <v>733</v>
      </c>
      <c r="E140" s="102">
        <v>2020</v>
      </c>
      <c r="F140" s="102">
        <v>2020</v>
      </c>
      <c r="G140" s="132" t="s">
        <v>16</v>
      </c>
      <c r="H140" s="128">
        <v>200</v>
      </c>
      <c r="I140" s="128">
        <v>200</v>
      </c>
      <c r="J140" s="128"/>
      <c r="K140" s="104"/>
      <c r="L140" s="132" t="s">
        <v>330</v>
      </c>
    </row>
    <row r="141" ht="15.5" customHeight="1" spans="1:12">
      <c r="A141" s="154" t="s">
        <v>734</v>
      </c>
      <c r="B141" s="132" t="s">
        <v>327</v>
      </c>
      <c r="C141" s="128" t="s">
        <v>735</v>
      </c>
      <c r="D141" s="281" t="s">
        <v>736</v>
      </c>
      <c r="E141" s="102">
        <v>2020</v>
      </c>
      <c r="F141" s="102">
        <v>2020</v>
      </c>
      <c r="G141" s="132" t="s">
        <v>16</v>
      </c>
      <c r="H141" s="128">
        <v>200</v>
      </c>
      <c r="I141" s="128">
        <v>200</v>
      </c>
      <c r="J141" s="128"/>
      <c r="K141" s="104"/>
      <c r="L141" s="260" t="s">
        <v>330</v>
      </c>
    </row>
    <row r="142" ht="15.5" customHeight="1" spans="1:12">
      <c r="A142" s="44" t="s">
        <v>737</v>
      </c>
      <c r="B142" s="132" t="s">
        <v>327</v>
      </c>
      <c r="C142" s="128" t="s">
        <v>738</v>
      </c>
      <c r="D142" s="281" t="s">
        <v>739</v>
      </c>
      <c r="E142" s="102">
        <v>2020</v>
      </c>
      <c r="F142" s="102">
        <v>2020</v>
      </c>
      <c r="G142" s="132" t="s">
        <v>16</v>
      </c>
      <c r="H142" s="128">
        <v>200</v>
      </c>
      <c r="I142" s="128">
        <v>200</v>
      </c>
      <c r="J142" s="128"/>
      <c r="K142" s="104"/>
      <c r="L142" s="132" t="s">
        <v>330</v>
      </c>
    </row>
    <row r="143" ht="15.5" customHeight="1" spans="1:12">
      <c r="A143" s="132" t="s">
        <v>740</v>
      </c>
      <c r="B143" s="132" t="s">
        <v>327</v>
      </c>
      <c r="C143" s="128" t="s">
        <v>741</v>
      </c>
      <c r="D143" s="281" t="s">
        <v>742</v>
      </c>
      <c r="E143" s="102">
        <v>2020</v>
      </c>
      <c r="F143" s="102">
        <v>2020</v>
      </c>
      <c r="G143" s="132" t="s">
        <v>16</v>
      </c>
      <c r="H143" s="128">
        <v>200</v>
      </c>
      <c r="I143" s="128">
        <v>200</v>
      </c>
      <c r="J143" s="128"/>
      <c r="K143" s="104"/>
      <c r="L143" s="260" t="s">
        <v>330</v>
      </c>
    </row>
    <row r="144" ht="15.5" customHeight="1" spans="1:12">
      <c r="A144" s="154" t="s">
        <v>743</v>
      </c>
      <c r="B144" s="132" t="s">
        <v>327</v>
      </c>
      <c r="C144" s="128" t="s">
        <v>744</v>
      </c>
      <c r="D144" s="281" t="s">
        <v>745</v>
      </c>
      <c r="E144" s="102">
        <v>2020</v>
      </c>
      <c r="F144" s="102">
        <v>2020</v>
      </c>
      <c r="G144" s="132" t="s">
        <v>16</v>
      </c>
      <c r="H144" s="128">
        <v>200</v>
      </c>
      <c r="I144" s="128">
        <v>200</v>
      </c>
      <c r="J144" s="128"/>
      <c r="K144" s="104"/>
      <c r="L144" s="132" t="s">
        <v>330</v>
      </c>
    </row>
    <row r="145" ht="15.5" customHeight="1" spans="1:12">
      <c r="A145" s="44" t="s">
        <v>746</v>
      </c>
      <c r="B145" s="132" t="s">
        <v>327</v>
      </c>
      <c r="C145" s="128" t="s">
        <v>747</v>
      </c>
      <c r="D145" s="281" t="s">
        <v>748</v>
      </c>
      <c r="E145" s="102">
        <v>2020</v>
      </c>
      <c r="F145" s="102">
        <v>2020</v>
      </c>
      <c r="G145" s="132" t="s">
        <v>16</v>
      </c>
      <c r="H145" s="128">
        <v>200</v>
      </c>
      <c r="I145" s="128">
        <v>200</v>
      </c>
      <c r="J145" s="128" t="s">
        <v>749</v>
      </c>
      <c r="K145" s="104"/>
      <c r="L145" s="260" t="s">
        <v>330</v>
      </c>
    </row>
    <row r="146" ht="15.5" customHeight="1" spans="1:12">
      <c r="A146" s="132" t="s">
        <v>750</v>
      </c>
      <c r="B146" s="132" t="s">
        <v>327</v>
      </c>
      <c r="C146" s="128" t="s">
        <v>751</v>
      </c>
      <c r="D146" s="281" t="s">
        <v>752</v>
      </c>
      <c r="E146" s="102">
        <v>2020</v>
      </c>
      <c r="F146" s="102">
        <v>2020</v>
      </c>
      <c r="G146" s="132" t="s">
        <v>16</v>
      </c>
      <c r="H146" s="128">
        <v>200</v>
      </c>
      <c r="I146" s="128">
        <v>200</v>
      </c>
      <c r="J146" s="128" t="s">
        <v>749</v>
      </c>
      <c r="K146" s="104"/>
      <c r="L146" s="132" t="s">
        <v>330</v>
      </c>
    </row>
    <row r="147" ht="15.5" customHeight="1" spans="1:12">
      <c r="A147" s="154" t="s">
        <v>753</v>
      </c>
      <c r="B147" s="132" t="s">
        <v>327</v>
      </c>
      <c r="C147" s="128" t="s">
        <v>754</v>
      </c>
      <c r="D147" s="281" t="s">
        <v>755</v>
      </c>
      <c r="E147" s="102">
        <v>2020</v>
      </c>
      <c r="F147" s="102">
        <v>2020</v>
      </c>
      <c r="G147" s="132" t="s">
        <v>16</v>
      </c>
      <c r="H147" s="128">
        <v>200</v>
      </c>
      <c r="I147" s="128">
        <v>200</v>
      </c>
      <c r="J147" s="128"/>
      <c r="K147" s="104"/>
      <c r="L147" s="260" t="s">
        <v>330</v>
      </c>
    </row>
    <row r="148" ht="15.5" customHeight="1" spans="1:12">
      <c r="A148" s="44" t="s">
        <v>756</v>
      </c>
      <c r="B148" s="132" t="s">
        <v>327</v>
      </c>
      <c r="C148" s="128" t="s">
        <v>757</v>
      </c>
      <c r="D148" s="128" t="s">
        <v>758</v>
      </c>
      <c r="E148" s="102">
        <v>2020</v>
      </c>
      <c r="F148" s="102">
        <v>2020</v>
      </c>
      <c r="G148" s="132" t="s">
        <v>16</v>
      </c>
      <c r="H148" s="128">
        <v>200</v>
      </c>
      <c r="I148" s="128">
        <v>200</v>
      </c>
      <c r="J148" s="128"/>
      <c r="K148" s="104"/>
      <c r="L148" s="132" t="s">
        <v>330</v>
      </c>
    </row>
    <row r="149" ht="15.5" customHeight="1" spans="1:12">
      <c r="A149" s="132" t="s">
        <v>759</v>
      </c>
      <c r="B149" s="132" t="s">
        <v>327</v>
      </c>
      <c r="C149" s="128" t="s">
        <v>760</v>
      </c>
      <c r="D149" s="281" t="s">
        <v>761</v>
      </c>
      <c r="E149" s="102">
        <v>2020</v>
      </c>
      <c r="F149" s="102">
        <v>2020</v>
      </c>
      <c r="G149" s="132" t="s">
        <v>16</v>
      </c>
      <c r="H149" s="128">
        <v>200</v>
      </c>
      <c r="I149" s="128">
        <v>200</v>
      </c>
      <c r="J149" s="128"/>
      <c r="K149" s="104"/>
      <c r="L149" s="260" t="s">
        <v>330</v>
      </c>
    </row>
    <row r="150" ht="15.5" customHeight="1" spans="1:12">
      <c r="A150" s="154" t="s">
        <v>762</v>
      </c>
      <c r="B150" s="132" t="s">
        <v>327</v>
      </c>
      <c r="C150" s="128" t="s">
        <v>763</v>
      </c>
      <c r="D150" s="281" t="s">
        <v>764</v>
      </c>
      <c r="E150" s="102">
        <v>2020</v>
      </c>
      <c r="F150" s="102">
        <v>2020</v>
      </c>
      <c r="G150" s="132" t="s">
        <v>16</v>
      </c>
      <c r="H150" s="128">
        <v>500</v>
      </c>
      <c r="I150" s="128">
        <v>500</v>
      </c>
      <c r="J150" s="128"/>
      <c r="K150" s="104"/>
      <c r="L150" s="132" t="s">
        <v>330</v>
      </c>
    </row>
    <row r="151" ht="15.5" customHeight="1" spans="1:12">
      <c r="A151" s="44" t="s">
        <v>765</v>
      </c>
      <c r="B151" s="132" t="s">
        <v>327</v>
      </c>
      <c r="C151" s="128" t="s">
        <v>766</v>
      </c>
      <c r="D151" s="281" t="s">
        <v>767</v>
      </c>
      <c r="E151" s="102">
        <v>2020</v>
      </c>
      <c r="F151" s="102">
        <v>2020</v>
      </c>
      <c r="G151" s="132" t="s">
        <v>16</v>
      </c>
      <c r="H151" s="128">
        <v>200</v>
      </c>
      <c r="I151" s="128">
        <v>200</v>
      </c>
      <c r="J151" s="128" t="s">
        <v>768</v>
      </c>
      <c r="K151" s="104"/>
      <c r="L151" s="260" t="s">
        <v>330</v>
      </c>
    </row>
    <row r="152" ht="15.5" customHeight="1" spans="1:12">
      <c r="A152" s="132" t="s">
        <v>769</v>
      </c>
      <c r="B152" s="132" t="s">
        <v>327</v>
      </c>
      <c r="C152" s="128" t="s">
        <v>770</v>
      </c>
      <c r="D152" s="128" t="s">
        <v>771</v>
      </c>
      <c r="E152" s="102">
        <v>2020</v>
      </c>
      <c r="F152" s="102">
        <v>2020</v>
      </c>
      <c r="G152" s="132" t="s">
        <v>16</v>
      </c>
      <c r="H152" s="128">
        <v>200</v>
      </c>
      <c r="I152" s="128">
        <v>200</v>
      </c>
      <c r="J152" s="128"/>
      <c r="K152" s="104"/>
      <c r="L152" s="132" t="s">
        <v>330</v>
      </c>
    </row>
    <row r="153" ht="15.5" customHeight="1" spans="1:12">
      <c r="A153" s="154" t="s">
        <v>772</v>
      </c>
      <c r="B153" s="132" t="s">
        <v>327</v>
      </c>
      <c r="C153" s="128" t="s">
        <v>773</v>
      </c>
      <c r="D153" s="281" t="s">
        <v>774</v>
      </c>
      <c r="E153" s="102">
        <v>2020</v>
      </c>
      <c r="F153" s="102">
        <v>2020</v>
      </c>
      <c r="G153" s="132" t="s">
        <v>16</v>
      </c>
      <c r="H153" s="128">
        <v>200</v>
      </c>
      <c r="I153" s="128">
        <v>200</v>
      </c>
      <c r="J153" s="128"/>
      <c r="K153" s="104"/>
      <c r="L153" s="260" t="s">
        <v>330</v>
      </c>
    </row>
    <row r="154" ht="15.5" customHeight="1" spans="1:12">
      <c r="A154" s="44" t="s">
        <v>775</v>
      </c>
      <c r="B154" s="132" t="s">
        <v>327</v>
      </c>
      <c r="C154" s="128" t="s">
        <v>776</v>
      </c>
      <c r="D154" s="281" t="s">
        <v>777</v>
      </c>
      <c r="E154" s="102">
        <v>2020</v>
      </c>
      <c r="F154" s="102">
        <v>2020</v>
      </c>
      <c r="G154" s="132" t="s">
        <v>16</v>
      </c>
      <c r="H154" s="128">
        <v>200</v>
      </c>
      <c r="I154" s="128">
        <v>200</v>
      </c>
      <c r="J154" s="128"/>
      <c r="K154" s="104"/>
      <c r="L154" s="132" t="s">
        <v>330</v>
      </c>
    </row>
    <row r="155" ht="15.5" customHeight="1" spans="1:12">
      <c r="A155" s="132" t="s">
        <v>778</v>
      </c>
      <c r="B155" s="132" t="s">
        <v>327</v>
      </c>
      <c r="C155" s="128" t="s">
        <v>779</v>
      </c>
      <c r="D155" s="281" t="s">
        <v>780</v>
      </c>
      <c r="E155" s="102">
        <v>2020</v>
      </c>
      <c r="F155" s="102">
        <v>2020</v>
      </c>
      <c r="G155" s="132" t="s">
        <v>16</v>
      </c>
      <c r="H155" s="128">
        <v>200</v>
      </c>
      <c r="I155" s="128">
        <v>200</v>
      </c>
      <c r="J155" s="128"/>
      <c r="K155" s="104"/>
      <c r="L155" s="260" t="s">
        <v>330</v>
      </c>
    </row>
    <row r="156" ht="15.5" customHeight="1" spans="1:12">
      <c r="A156" s="154" t="s">
        <v>781</v>
      </c>
      <c r="B156" s="132" t="s">
        <v>327</v>
      </c>
      <c r="C156" s="128" t="s">
        <v>782</v>
      </c>
      <c r="D156" s="281" t="s">
        <v>783</v>
      </c>
      <c r="E156" s="102">
        <v>2020</v>
      </c>
      <c r="F156" s="102">
        <v>2020</v>
      </c>
      <c r="G156" s="132" t="s">
        <v>16</v>
      </c>
      <c r="H156" s="128">
        <v>200</v>
      </c>
      <c r="I156" s="128">
        <v>200</v>
      </c>
      <c r="J156" s="128"/>
      <c r="K156" s="104"/>
      <c r="L156" s="132" t="s">
        <v>330</v>
      </c>
    </row>
    <row r="157" ht="15.5" customHeight="1" spans="1:12">
      <c r="A157" s="44" t="s">
        <v>784</v>
      </c>
      <c r="B157" s="132" t="s">
        <v>327</v>
      </c>
      <c r="C157" s="128" t="s">
        <v>785</v>
      </c>
      <c r="D157" s="281" t="s">
        <v>786</v>
      </c>
      <c r="E157" s="102">
        <v>2020</v>
      </c>
      <c r="F157" s="102">
        <v>2020</v>
      </c>
      <c r="G157" s="132" t="s">
        <v>16</v>
      </c>
      <c r="H157" s="128">
        <v>200</v>
      </c>
      <c r="I157" s="128">
        <v>200</v>
      </c>
      <c r="J157" s="128"/>
      <c r="K157" s="104"/>
      <c r="L157" s="260" t="s">
        <v>330</v>
      </c>
    </row>
    <row r="158" ht="15.5" customHeight="1" spans="1:12">
      <c r="A158" s="132" t="s">
        <v>787</v>
      </c>
      <c r="B158" s="132" t="s">
        <v>327</v>
      </c>
      <c r="C158" s="128" t="s">
        <v>788</v>
      </c>
      <c r="D158" s="281" t="s">
        <v>789</v>
      </c>
      <c r="E158" s="102">
        <v>2020</v>
      </c>
      <c r="F158" s="102">
        <v>2020</v>
      </c>
      <c r="G158" s="132" t="s">
        <v>16</v>
      </c>
      <c r="H158" s="128">
        <v>200</v>
      </c>
      <c r="I158" s="128">
        <v>200</v>
      </c>
      <c r="J158" s="128"/>
      <c r="K158" s="104"/>
      <c r="L158" s="132" t="s">
        <v>330</v>
      </c>
    </row>
    <row r="159" ht="15.5" customHeight="1" spans="1:12">
      <c r="A159" s="154" t="s">
        <v>790</v>
      </c>
      <c r="B159" s="132" t="s">
        <v>327</v>
      </c>
      <c r="C159" s="128" t="s">
        <v>791</v>
      </c>
      <c r="D159" s="281" t="s">
        <v>792</v>
      </c>
      <c r="E159" s="102">
        <v>2020</v>
      </c>
      <c r="F159" s="102">
        <v>2020</v>
      </c>
      <c r="G159" s="132" t="s">
        <v>16</v>
      </c>
      <c r="H159" s="128">
        <v>200</v>
      </c>
      <c r="I159" s="128">
        <v>200</v>
      </c>
      <c r="J159" s="128"/>
      <c r="K159" s="104"/>
      <c r="L159" s="260" t="s">
        <v>330</v>
      </c>
    </row>
    <row r="160" ht="15.5" customHeight="1" spans="1:12">
      <c r="A160" s="44" t="s">
        <v>793</v>
      </c>
      <c r="B160" s="132" t="s">
        <v>327</v>
      </c>
      <c r="C160" s="128" t="s">
        <v>794</v>
      </c>
      <c r="D160" s="281" t="s">
        <v>795</v>
      </c>
      <c r="E160" s="102">
        <v>2020</v>
      </c>
      <c r="F160" s="102">
        <v>2020</v>
      </c>
      <c r="G160" s="132" t="s">
        <v>16</v>
      </c>
      <c r="H160" s="128">
        <v>200</v>
      </c>
      <c r="I160" s="128">
        <v>200</v>
      </c>
      <c r="J160" s="128"/>
      <c r="K160" s="104"/>
      <c r="L160" s="132" t="s">
        <v>330</v>
      </c>
    </row>
    <row r="161" ht="15.5" customHeight="1" spans="1:12">
      <c r="A161" s="132" t="s">
        <v>796</v>
      </c>
      <c r="B161" s="132" t="s">
        <v>327</v>
      </c>
      <c r="C161" s="128" t="s">
        <v>797</v>
      </c>
      <c r="D161" s="281" t="s">
        <v>798</v>
      </c>
      <c r="E161" s="102">
        <v>2020</v>
      </c>
      <c r="F161" s="102">
        <v>2020</v>
      </c>
      <c r="G161" s="132" t="s">
        <v>16</v>
      </c>
      <c r="H161" s="128">
        <v>200</v>
      </c>
      <c r="I161" s="128">
        <v>200</v>
      </c>
      <c r="J161" s="128"/>
      <c r="K161" s="104"/>
      <c r="L161" s="260" t="s">
        <v>330</v>
      </c>
    </row>
    <row r="162" ht="15.5" customHeight="1" spans="1:12">
      <c r="A162" s="154" t="s">
        <v>799</v>
      </c>
      <c r="B162" s="132" t="s">
        <v>327</v>
      </c>
      <c r="C162" s="128" t="s">
        <v>800</v>
      </c>
      <c r="D162" s="281" t="s">
        <v>801</v>
      </c>
      <c r="E162" s="102">
        <v>2020</v>
      </c>
      <c r="F162" s="102">
        <v>2020</v>
      </c>
      <c r="G162" s="132" t="s">
        <v>16</v>
      </c>
      <c r="H162" s="128">
        <v>200</v>
      </c>
      <c r="I162" s="128">
        <v>200</v>
      </c>
      <c r="J162" s="128"/>
      <c r="K162" s="104"/>
      <c r="L162" s="132" t="s">
        <v>330</v>
      </c>
    </row>
    <row r="163" ht="15.5" customHeight="1" spans="1:12">
      <c r="A163" s="44" t="s">
        <v>802</v>
      </c>
      <c r="B163" s="132" t="s">
        <v>327</v>
      </c>
      <c r="C163" s="128" t="s">
        <v>803</v>
      </c>
      <c r="D163" s="281" t="s">
        <v>804</v>
      </c>
      <c r="E163" s="102">
        <v>2020</v>
      </c>
      <c r="F163" s="102">
        <v>2020</v>
      </c>
      <c r="G163" s="132" t="s">
        <v>16</v>
      </c>
      <c r="H163" s="128">
        <v>500</v>
      </c>
      <c r="I163" s="128">
        <v>500</v>
      </c>
      <c r="J163" s="128"/>
      <c r="K163" s="104"/>
      <c r="L163" s="260" t="s">
        <v>330</v>
      </c>
    </row>
    <row r="164" ht="15.5" customHeight="1" spans="1:12">
      <c r="A164" s="132" t="s">
        <v>805</v>
      </c>
      <c r="B164" s="132" t="s">
        <v>327</v>
      </c>
      <c r="C164" s="128" t="s">
        <v>806</v>
      </c>
      <c r="D164" s="281" t="s">
        <v>807</v>
      </c>
      <c r="E164" s="102">
        <v>2020</v>
      </c>
      <c r="F164" s="102">
        <v>2020</v>
      </c>
      <c r="G164" s="132" t="s">
        <v>16</v>
      </c>
      <c r="H164" s="128">
        <v>500</v>
      </c>
      <c r="I164" s="128">
        <v>500</v>
      </c>
      <c r="J164" s="128"/>
      <c r="K164" s="104"/>
      <c r="L164" s="132" t="s">
        <v>330</v>
      </c>
    </row>
    <row r="165" ht="15.5" customHeight="1" spans="1:12">
      <c r="A165" s="154" t="s">
        <v>808</v>
      </c>
      <c r="B165" s="132" t="s">
        <v>327</v>
      </c>
      <c r="C165" s="128" t="s">
        <v>809</v>
      </c>
      <c r="D165" s="281" t="s">
        <v>810</v>
      </c>
      <c r="E165" s="102">
        <v>2020</v>
      </c>
      <c r="F165" s="102">
        <v>2020</v>
      </c>
      <c r="G165" s="132" t="s">
        <v>16</v>
      </c>
      <c r="H165" s="128">
        <v>200</v>
      </c>
      <c r="I165" s="128">
        <v>200</v>
      </c>
      <c r="J165" s="128"/>
      <c r="K165" s="104"/>
      <c r="L165" s="260" t="s">
        <v>330</v>
      </c>
    </row>
    <row r="166" ht="15.5" customHeight="1" spans="1:12">
      <c r="A166" s="44" t="s">
        <v>811</v>
      </c>
      <c r="B166" s="132" t="s">
        <v>327</v>
      </c>
      <c r="C166" s="128" t="s">
        <v>812</v>
      </c>
      <c r="D166" s="281" t="s">
        <v>813</v>
      </c>
      <c r="E166" s="102">
        <v>2020</v>
      </c>
      <c r="F166" s="102">
        <v>2020</v>
      </c>
      <c r="G166" s="132" t="s">
        <v>16</v>
      </c>
      <c r="H166" s="128">
        <v>200</v>
      </c>
      <c r="I166" s="128">
        <v>200</v>
      </c>
      <c r="J166" s="128"/>
      <c r="K166" s="104"/>
      <c r="L166" s="132" t="s">
        <v>330</v>
      </c>
    </row>
    <row r="167" ht="15.5" customHeight="1" spans="1:12">
      <c r="A167" s="132" t="s">
        <v>814</v>
      </c>
      <c r="B167" s="132" t="s">
        <v>327</v>
      </c>
      <c r="C167" s="128" t="s">
        <v>815</v>
      </c>
      <c r="D167" s="281" t="s">
        <v>816</v>
      </c>
      <c r="E167" s="102">
        <v>2020</v>
      </c>
      <c r="F167" s="102">
        <v>2020</v>
      </c>
      <c r="G167" s="132" t="s">
        <v>16</v>
      </c>
      <c r="H167" s="128">
        <v>200</v>
      </c>
      <c r="I167" s="128">
        <v>200</v>
      </c>
      <c r="J167" s="128"/>
      <c r="K167" s="104"/>
      <c r="L167" s="260" t="s">
        <v>330</v>
      </c>
    </row>
    <row r="168" ht="15.5" customHeight="1" spans="1:12">
      <c r="A168" s="154" t="s">
        <v>817</v>
      </c>
      <c r="B168" s="132" t="s">
        <v>327</v>
      </c>
      <c r="C168" s="128" t="s">
        <v>818</v>
      </c>
      <c r="D168" s="281" t="s">
        <v>819</v>
      </c>
      <c r="E168" s="102">
        <v>2020</v>
      </c>
      <c r="F168" s="102">
        <v>2020</v>
      </c>
      <c r="G168" s="132" t="s">
        <v>16</v>
      </c>
      <c r="H168" s="128">
        <v>200</v>
      </c>
      <c r="I168" s="128">
        <v>200</v>
      </c>
      <c r="J168" s="128"/>
      <c r="K168" s="104"/>
      <c r="L168" s="132" t="s">
        <v>330</v>
      </c>
    </row>
    <row r="169" ht="15.5" customHeight="1" spans="1:12">
      <c r="A169" s="44" t="s">
        <v>820</v>
      </c>
      <c r="B169" s="132" t="s">
        <v>327</v>
      </c>
      <c r="C169" s="128" t="s">
        <v>821</v>
      </c>
      <c r="D169" s="128" t="s">
        <v>822</v>
      </c>
      <c r="E169" s="102">
        <v>2020</v>
      </c>
      <c r="F169" s="102">
        <v>2020</v>
      </c>
      <c r="G169" s="132" t="s">
        <v>16</v>
      </c>
      <c r="H169" s="128">
        <v>200</v>
      </c>
      <c r="I169" s="128">
        <v>200</v>
      </c>
      <c r="J169" s="128"/>
      <c r="K169" s="104"/>
      <c r="L169" s="260" t="s">
        <v>330</v>
      </c>
    </row>
    <row r="170" ht="15.5" customHeight="1" spans="1:12">
      <c r="A170" s="132" t="s">
        <v>823</v>
      </c>
      <c r="B170" s="132" t="s">
        <v>327</v>
      </c>
      <c r="C170" s="128" t="s">
        <v>824</v>
      </c>
      <c r="D170" s="281" t="s">
        <v>825</v>
      </c>
      <c r="E170" s="102">
        <v>2020</v>
      </c>
      <c r="F170" s="102">
        <v>2020</v>
      </c>
      <c r="G170" s="132" t="s">
        <v>16</v>
      </c>
      <c r="H170" s="128">
        <v>200</v>
      </c>
      <c r="I170" s="128">
        <v>200</v>
      </c>
      <c r="J170" s="128"/>
      <c r="K170" s="104"/>
      <c r="L170" s="132" t="s">
        <v>330</v>
      </c>
    </row>
    <row r="171" ht="15.5" customHeight="1" spans="1:12">
      <c r="A171" s="154" t="s">
        <v>826</v>
      </c>
      <c r="B171" s="132" t="s">
        <v>327</v>
      </c>
      <c r="C171" s="128" t="s">
        <v>827</v>
      </c>
      <c r="D171" s="128" t="s">
        <v>828</v>
      </c>
      <c r="E171" s="102">
        <v>2020</v>
      </c>
      <c r="F171" s="102">
        <v>2020</v>
      </c>
      <c r="G171" s="132" t="s">
        <v>16</v>
      </c>
      <c r="H171" s="128">
        <v>200</v>
      </c>
      <c r="I171" s="128">
        <v>200</v>
      </c>
      <c r="J171" s="128"/>
      <c r="K171" s="104"/>
      <c r="L171" s="260" t="s">
        <v>330</v>
      </c>
    </row>
    <row r="172" ht="15.5" customHeight="1" spans="1:12">
      <c r="A172" s="44" t="s">
        <v>829</v>
      </c>
      <c r="B172" s="132" t="s">
        <v>327</v>
      </c>
      <c r="C172" s="128" t="s">
        <v>830</v>
      </c>
      <c r="D172" s="281" t="s">
        <v>831</v>
      </c>
      <c r="E172" s="102">
        <v>2020</v>
      </c>
      <c r="F172" s="102">
        <v>2020</v>
      </c>
      <c r="G172" s="132" t="s">
        <v>16</v>
      </c>
      <c r="H172" s="128">
        <v>200</v>
      </c>
      <c r="I172" s="128">
        <v>200</v>
      </c>
      <c r="J172" s="128"/>
      <c r="K172" s="104"/>
      <c r="L172" s="132" t="s">
        <v>330</v>
      </c>
    </row>
    <row r="173" ht="15.5" customHeight="1" spans="1:12">
      <c r="A173" s="132" t="s">
        <v>832</v>
      </c>
      <c r="B173" s="132" t="s">
        <v>327</v>
      </c>
      <c r="C173" s="128" t="s">
        <v>833</v>
      </c>
      <c r="D173" s="281" t="s">
        <v>834</v>
      </c>
      <c r="E173" s="102">
        <v>2020</v>
      </c>
      <c r="F173" s="102">
        <v>2020</v>
      </c>
      <c r="G173" s="132" t="s">
        <v>16</v>
      </c>
      <c r="H173" s="128">
        <v>200</v>
      </c>
      <c r="I173" s="128">
        <v>200</v>
      </c>
      <c r="J173" s="128"/>
      <c r="K173" s="104"/>
      <c r="L173" s="260" t="s">
        <v>330</v>
      </c>
    </row>
    <row r="174" ht="15.5" customHeight="1" spans="1:12">
      <c r="A174" s="154" t="s">
        <v>835</v>
      </c>
      <c r="B174" s="132" t="s">
        <v>327</v>
      </c>
      <c r="C174" s="128" t="s">
        <v>836</v>
      </c>
      <c r="D174" s="281" t="s">
        <v>837</v>
      </c>
      <c r="E174" s="102">
        <v>2020</v>
      </c>
      <c r="F174" s="102">
        <v>2020</v>
      </c>
      <c r="G174" s="132" t="s">
        <v>16</v>
      </c>
      <c r="H174" s="128">
        <v>200</v>
      </c>
      <c r="I174" s="128">
        <v>200</v>
      </c>
      <c r="J174" s="128"/>
      <c r="K174" s="104"/>
      <c r="L174" s="132" t="s">
        <v>330</v>
      </c>
    </row>
    <row r="175" ht="15.5" customHeight="1" spans="1:12">
      <c r="A175" s="44" t="s">
        <v>838</v>
      </c>
      <c r="B175" s="132" t="s">
        <v>327</v>
      </c>
      <c r="C175" s="128" t="s">
        <v>839</v>
      </c>
      <c r="D175" s="281" t="s">
        <v>840</v>
      </c>
      <c r="E175" s="102">
        <v>2020</v>
      </c>
      <c r="F175" s="102">
        <v>2020</v>
      </c>
      <c r="G175" s="132" t="s">
        <v>16</v>
      </c>
      <c r="H175" s="128">
        <v>200</v>
      </c>
      <c r="I175" s="128">
        <v>200</v>
      </c>
      <c r="J175" s="128"/>
      <c r="K175" s="104"/>
      <c r="L175" s="260" t="s">
        <v>330</v>
      </c>
    </row>
    <row r="176" ht="15.5" customHeight="1" spans="1:12">
      <c r="A176" s="132" t="s">
        <v>841</v>
      </c>
      <c r="B176" s="132" t="s">
        <v>327</v>
      </c>
      <c r="C176" s="128" t="s">
        <v>842</v>
      </c>
      <c r="D176" s="281" t="s">
        <v>843</v>
      </c>
      <c r="E176" s="102">
        <v>2020</v>
      </c>
      <c r="F176" s="102">
        <v>2020</v>
      </c>
      <c r="G176" s="132" t="s">
        <v>16</v>
      </c>
      <c r="H176" s="128">
        <v>200</v>
      </c>
      <c r="I176" s="128">
        <v>200</v>
      </c>
      <c r="J176" s="128"/>
      <c r="K176" s="104"/>
      <c r="L176" s="132" t="s">
        <v>330</v>
      </c>
    </row>
    <row r="177" ht="15.5" customHeight="1" spans="1:12">
      <c r="A177" s="154" t="s">
        <v>844</v>
      </c>
      <c r="B177" s="132" t="s">
        <v>327</v>
      </c>
      <c r="C177" s="128" t="s">
        <v>845</v>
      </c>
      <c r="D177" s="281" t="s">
        <v>846</v>
      </c>
      <c r="E177" s="102">
        <v>2020</v>
      </c>
      <c r="F177" s="102">
        <v>2020</v>
      </c>
      <c r="G177" s="132" t="s">
        <v>16</v>
      </c>
      <c r="H177" s="128">
        <v>200</v>
      </c>
      <c r="I177" s="128">
        <v>200</v>
      </c>
      <c r="J177" s="128"/>
      <c r="K177" s="104"/>
      <c r="L177" s="260" t="s">
        <v>330</v>
      </c>
    </row>
    <row r="178" ht="15.5" customHeight="1" spans="1:12">
      <c r="A178" s="44" t="s">
        <v>847</v>
      </c>
      <c r="B178" s="132" t="s">
        <v>327</v>
      </c>
      <c r="C178" s="128" t="s">
        <v>848</v>
      </c>
      <c r="D178" s="281" t="s">
        <v>849</v>
      </c>
      <c r="E178" s="102">
        <v>2020</v>
      </c>
      <c r="F178" s="102">
        <v>2020</v>
      </c>
      <c r="G178" s="132" t="s">
        <v>16</v>
      </c>
      <c r="H178" s="128">
        <v>200</v>
      </c>
      <c r="I178" s="128">
        <v>200</v>
      </c>
      <c r="J178" s="128"/>
      <c r="K178" s="104"/>
      <c r="L178" s="132" t="s">
        <v>330</v>
      </c>
    </row>
    <row r="179" ht="15.5" customHeight="1" spans="1:12">
      <c r="A179" s="132" t="s">
        <v>850</v>
      </c>
      <c r="B179" s="132" t="s">
        <v>327</v>
      </c>
      <c r="C179" s="128" t="s">
        <v>851</v>
      </c>
      <c r="D179" s="281" t="s">
        <v>852</v>
      </c>
      <c r="E179" s="102">
        <v>2020</v>
      </c>
      <c r="F179" s="102">
        <v>2020</v>
      </c>
      <c r="G179" s="132" t="s">
        <v>16</v>
      </c>
      <c r="H179" s="128">
        <v>200</v>
      </c>
      <c r="I179" s="128">
        <v>200</v>
      </c>
      <c r="J179" s="128"/>
      <c r="K179" s="104"/>
      <c r="L179" s="260" t="s">
        <v>330</v>
      </c>
    </row>
    <row r="180" ht="15.5" customHeight="1" spans="1:12">
      <c r="A180" s="154" t="s">
        <v>853</v>
      </c>
      <c r="B180" s="132" t="s">
        <v>327</v>
      </c>
      <c r="C180" s="128" t="s">
        <v>854</v>
      </c>
      <c r="D180" s="281" t="s">
        <v>855</v>
      </c>
      <c r="E180" s="102">
        <v>2020</v>
      </c>
      <c r="F180" s="102">
        <v>2020</v>
      </c>
      <c r="G180" s="132" t="s">
        <v>16</v>
      </c>
      <c r="H180" s="128">
        <v>200</v>
      </c>
      <c r="I180" s="128">
        <v>200</v>
      </c>
      <c r="J180" s="128"/>
      <c r="K180" s="104"/>
      <c r="L180" s="132" t="s">
        <v>330</v>
      </c>
    </row>
    <row r="181" ht="15.5" customHeight="1" spans="1:12">
      <c r="A181" s="44" t="s">
        <v>856</v>
      </c>
      <c r="B181" s="132" t="s">
        <v>327</v>
      </c>
      <c r="C181" s="128" t="s">
        <v>857</v>
      </c>
      <c r="D181" s="281" t="s">
        <v>858</v>
      </c>
      <c r="E181" s="102">
        <v>2020</v>
      </c>
      <c r="F181" s="102">
        <v>2020</v>
      </c>
      <c r="G181" s="132" t="s">
        <v>16</v>
      </c>
      <c r="H181" s="128">
        <v>200</v>
      </c>
      <c r="I181" s="128">
        <v>200</v>
      </c>
      <c r="J181" s="128"/>
      <c r="K181" s="104"/>
      <c r="L181" s="260" t="s">
        <v>330</v>
      </c>
    </row>
    <row r="182" ht="15.5" customHeight="1" spans="1:12">
      <c r="A182" s="132" t="s">
        <v>859</v>
      </c>
      <c r="B182" s="132" t="s">
        <v>327</v>
      </c>
      <c r="C182" s="128" t="s">
        <v>860</v>
      </c>
      <c r="D182" s="281" t="s">
        <v>861</v>
      </c>
      <c r="E182" s="102">
        <v>2020</v>
      </c>
      <c r="F182" s="102">
        <v>2020</v>
      </c>
      <c r="G182" s="132" t="s">
        <v>16</v>
      </c>
      <c r="H182" s="128">
        <v>200</v>
      </c>
      <c r="I182" s="128">
        <v>200</v>
      </c>
      <c r="J182" s="128"/>
      <c r="K182" s="104"/>
      <c r="L182" s="132" t="s">
        <v>330</v>
      </c>
    </row>
    <row r="183" ht="15.5" customHeight="1" spans="1:12">
      <c r="A183" s="154" t="s">
        <v>862</v>
      </c>
      <c r="B183" s="132" t="s">
        <v>327</v>
      </c>
      <c r="C183" s="128" t="s">
        <v>863</v>
      </c>
      <c r="D183" s="281" t="s">
        <v>864</v>
      </c>
      <c r="E183" s="102">
        <v>2020</v>
      </c>
      <c r="F183" s="102">
        <v>2020</v>
      </c>
      <c r="G183" s="132" t="s">
        <v>16</v>
      </c>
      <c r="H183" s="128">
        <v>200</v>
      </c>
      <c r="I183" s="128">
        <v>200</v>
      </c>
      <c r="J183" s="128"/>
      <c r="K183" s="104"/>
      <c r="L183" s="260" t="s">
        <v>330</v>
      </c>
    </row>
    <row r="184" ht="15.5" customHeight="1" spans="1:12">
      <c r="A184" s="44" t="s">
        <v>865</v>
      </c>
      <c r="B184" s="132" t="s">
        <v>327</v>
      </c>
      <c r="C184" s="128" t="s">
        <v>866</v>
      </c>
      <c r="D184" s="281" t="s">
        <v>867</v>
      </c>
      <c r="E184" s="102">
        <v>2020</v>
      </c>
      <c r="F184" s="102">
        <v>2020</v>
      </c>
      <c r="G184" s="132" t="s">
        <v>16</v>
      </c>
      <c r="H184" s="128">
        <v>200</v>
      </c>
      <c r="I184" s="128">
        <v>200</v>
      </c>
      <c r="J184" s="128"/>
      <c r="K184" s="104"/>
      <c r="L184" s="132" t="s">
        <v>330</v>
      </c>
    </row>
    <row r="185" ht="15.5" customHeight="1" spans="1:12">
      <c r="A185" s="132" t="s">
        <v>868</v>
      </c>
      <c r="B185" s="132" t="s">
        <v>327</v>
      </c>
      <c r="C185" s="128" t="s">
        <v>869</v>
      </c>
      <c r="D185" s="128" t="s">
        <v>870</v>
      </c>
      <c r="E185" s="102">
        <v>2020</v>
      </c>
      <c r="F185" s="102">
        <v>2020</v>
      </c>
      <c r="G185" s="132" t="s">
        <v>16</v>
      </c>
      <c r="H185" s="128">
        <v>200</v>
      </c>
      <c r="I185" s="128">
        <v>200</v>
      </c>
      <c r="J185" s="128"/>
      <c r="K185" s="104"/>
      <c r="L185" s="260" t="s">
        <v>330</v>
      </c>
    </row>
    <row r="186" ht="15.5" customHeight="1" spans="1:12">
      <c r="A186" s="154" t="s">
        <v>871</v>
      </c>
      <c r="B186" s="132" t="s">
        <v>327</v>
      </c>
      <c r="C186" s="128" t="s">
        <v>872</v>
      </c>
      <c r="D186" s="281" t="s">
        <v>873</v>
      </c>
      <c r="E186" s="102">
        <v>2020</v>
      </c>
      <c r="F186" s="102">
        <v>2020</v>
      </c>
      <c r="G186" s="132" t="s">
        <v>16</v>
      </c>
      <c r="H186" s="128">
        <v>200</v>
      </c>
      <c r="I186" s="128">
        <v>200</v>
      </c>
      <c r="J186" s="128"/>
      <c r="K186" s="104"/>
      <c r="L186" s="132" t="s">
        <v>330</v>
      </c>
    </row>
    <row r="187" ht="15.5" customHeight="1" spans="1:12">
      <c r="A187" s="44" t="s">
        <v>874</v>
      </c>
      <c r="B187" s="132" t="s">
        <v>327</v>
      </c>
      <c r="C187" s="128" t="s">
        <v>875</v>
      </c>
      <c r="D187" s="281" t="s">
        <v>876</v>
      </c>
      <c r="E187" s="102">
        <v>2020</v>
      </c>
      <c r="F187" s="102">
        <v>2020</v>
      </c>
      <c r="G187" s="132" t="s">
        <v>16</v>
      </c>
      <c r="H187" s="128">
        <v>200</v>
      </c>
      <c r="I187" s="128">
        <v>200</v>
      </c>
      <c r="J187" s="128"/>
      <c r="K187" s="104"/>
      <c r="L187" s="260" t="s">
        <v>330</v>
      </c>
    </row>
    <row r="188" ht="15.5" customHeight="1" spans="1:12">
      <c r="A188" s="132" t="s">
        <v>877</v>
      </c>
      <c r="B188" s="132" t="s">
        <v>327</v>
      </c>
      <c r="C188" s="128" t="s">
        <v>878</v>
      </c>
      <c r="D188" s="281" t="s">
        <v>879</v>
      </c>
      <c r="E188" s="102">
        <v>2020</v>
      </c>
      <c r="F188" s="102">
        <v>2020</v>
      </c>
      <c r="G188" s="132" t="s">
        <v>16</v>
      </c>
      <c r="H188" s="128">
        <v>200</v>
      </c>
      <c r="I188" s="128">
        <v>200</v>
      </c>
      <c r="J188" s="128"/>
      <c r="K188" s="104"/>
      <c r="L188" s="132" t="s">
        <v>330</v>
      </c>
    </row>
    <row r="189" ht="15.5" customHeight="1" spans="1:12">
      <c r="A189" s="154" t="s">
        <v>880</v>
      </c>
      <c r="B189" s="132" t="s">
        <v>327</v>
      </c>
      <c r="C189" s="128" t="s">
        <v>881</v>
      </c>
      <c r="D189" s="281" t="s">
        <v>882</v>
      </c>
      <c r="E189" s="102">
        <v>2020</v>
      </c>
      <c r="F189" s="102">
        <v>2020</v>
      </c>
      <c r="G189" s="132" t="s">
        <v>16</v>
      </c>
      <c r="H189" s="128">
        <v>200</v>
      </c>
      <c r="I189" s="128">
        <v>200</v>
      </c>
      <c r="J189" s="128"/>
      <c r="K189" s="104"/>
      <c r="L189" s="260" t="s">
        <v>330</v>
      </c>
    </row>
    <row r="190" ht="15.5" customHeight="1" spans="1:12">
      <c r="A190" s="44" t="s">
        <v>883</v>
      </c>
      <c r="B190" s="132" t="s">
        <v>327</v>
      </c>
      <c r="C190" s="128" t="s">
        <v>884</v>
      </c>
      <c r="D190" s="281" t="s">
        <v>885</v>
      </c>
      <c r="E190" s="102">
        <v>2020</v>
      </c>
      <c r="F190" s="102">
        <v>2020</v>
      </c>
      <c r="G190" s="132" t="s">
        <v>16</v>
      </c>
      <c r="H190" s="128">
        <v>200</v>
      </c>
      <c r="I190" s="128">
        <v>200</v>
      </c>
      <c r="J190" s="128"/>
      <c r="K190" s="104"/>
      <c r="L190" s="132" t="s">
        <v>330</v>
      </c>
    </row>
    <row r="191" ht="15.5" customHeight="1" spans="1:12">
      <c r="A191" s="132" t="s">
        <v>886</v>
      </c>
      <c r="B191" s="132" t="s">
        <v>327</v>
      </c>
      <c r="C191" s="128" t="s">
        <v>887</v>
      </c>
      <c r="D191" s="281" t="s">
        <v>888</v>
      </c>
      <c r="E191" s="102">
        <v>2020</v>
      </c>
      <c r="F191" s="102">
        <v>2020</v>
      </c>
      <c r="G191" s="132" t="s">
        <v>16</v>
      </c>
      <c r="H191" s="128">
        <v>200</v>
      </c>
      <c r="I191" s="128">
        <v>200</v>
      </c>
      <c r="J191" s="128"/>
      <c r="K191" s="104"/>
      <c r="L191" s="260" t="s">
        <v>330</v>
      </c>
    </row>
    <row r="192" ht="15.5" customHeight="1" spans="1:12">
      <c r="A192" s="154" t="s">
        <v>889</v>
      </c>
      <c r="B192" s="132" t="s">
        <v>327</v>
      </c>
      <c r="C192" s="128" t="s">
        <v>890</v>
      </c>
      <c r="D192" s="281" t="s">
        <v>891</v>
      </c>
      <c r="E192" s="102">
        <v>2020</v>
      </c>
      <c r="F192" s="102">
        <v>2020</v>
      </c>
      <c r="G192" s="132" t="s">
        <v>16</v>
      </c>
      <c r="H192" s="128">
        <v>200</v>
      </c>
      <c r="I192" s="128">
        <v>200</v>
      </c>
      <c r="J192" s="128"/>
      <c r="K192" s="104"/>
      <c r="L192" s="132" t="s">
        <v>330</v>
      </c>
    </row>
    <row r="193" ht="15.5" customHeight="1" spans="1:12">
      <c r="A193" s="44" t="s">
        <v>892</v>
      </c>
      <c r="B193" s="132" t="s">
        <v>327</v>
      </c>
      <c r="C193" s="128" t="s">
        <v>893</v>
      </c>
      <c r="D193" s="281" t="s">
        <v>894</v>
      </c>
      <c r="E193" s="102">
        <v>2020</v>
      </c>
      <c r="F193" s="102">
        <v>2020</v>
      </c>
      <c r="G193" s="132" t="s">
        <v>16</v>
      </c>
      <c r="H193" s="128">
        <v>200</v>
      </c>
      <c r="I193" s="128">
        <v>200</v>
      </c>
      <c r="J193" s="128"/>
      <c r="K193" s="104"/>
      <c r="L193" s="260" t="s">
        <v>330</v>
      </c>
    </row>
    <row r="194" ht="15.5" customHeight="1" spans="1:12">
      <c r="A194" s="132" t="s">
        <v>895</v>
      </c>
      <c r="B194" s="132" t="s">
        <v>327</v>
      </c>
      <c r="C194" s="128" t="s">
        <v>896</v>
      </c>
      <c r="D194" s="281" t="s">
        <v>897</v>
      </c>
      <c r="E194" s="102">
        <v>2020</v>
      </c>
      <c r="F194" s="102">
        <v>2020</v>
      </c>
      <c r="G194" s="132" t="s">
        <v>16</v>
      </c>
      <c r="H194" s="128">
        <v>200</v>
      </c>
      <c r="I194" s="128">
        <v>200</v>
      </c>
      <c r="J194" s="128"/>
      <c r="K194" s="104"/>
      <c r="L194" s="132" t="s">
        <v>330</v>
      </c>
    </row>
    <row r="195" ht="15.5" customHeight="1" spans="1:12">
      <c r="A195" s="154" t="s">
        <v>898</v>
      </c>
      <c r="B195" s="132" t="s">
        <v>327</v>
      </c>
      <c r="C195" s="128" t="s">
        <v>899</v>
      </c>
      <c r="D195" s="281" t="s">
        <v>900</v>
      </c>
      <c r="E195" s="102">
        <v>2020</v>
      </c>
      <c r="F195" s="102">
        <v>2020</v>
      </c>
      <c r="G195" s="132" t="s">
        <v>16</v>
      </c>
      <c r="H195" s="128">
        <v>200</v>
      </c>
      <c r="I195" s="128">
        <v>200</v>
      </c>
      <c r="J195" s="128"/>
      <c r="K195" s="104"/>
      <c r="L195" s="260" t="s">
        <v>330</v>
      </c>
    </row>
    <row r="196" ht="15.5" customHeight="1" spans="1:12">
      <c r="A196" s="44" t="s">
        <v>901</v>
      </c>
      <c r="B196" s="132" t="s">
        <v>327</v>
      </c>
      <c r="C196" s="128" t="s">
        <v>902</v>
      </c>
      <c r="D196" s="281" t="s">
        <v>903</v>
      </c>
      <c r="E196" s="102">
        <v>2020</v>
      </c>
      <c r="F196" s="102">
        <v>2020</v>
      </c>
      <c r="G196" s="132" t="s">
        <v>16</v>
      </c>
      <c r="H196" s="128">
        <v>200</v>
      </c>
      <c r="I196" s="128">
        <v>200</v>
      </c>
      <c r="J196" s="128"/>
      <c r="K196" s="104"/>
      <c r="L196" s="132" t="s">
        <v>330</v>
      </c>
    </row>
    <row r="197" ht="15.5" customHeight="1" spans="1:12">
      <c r="A197" s="132" t="s">
        <v>904</v>
      </c>
      <c r="B197" s="132" t="s">
        <v>327</v>
      </c>
      <c r="C197" s="128" t="s">
        <v>905</v>
      </c>
      <c r="D197" s="281" t="s">
        <v>906</v>
      </c>
      <c r="E197" s="102">
        <v>2020</v>
      </c>
      <c r="F197" s="102">
        <v>2020</v>
      </c>
      <c r="G197" s="132" t="s">
        <v>16</v>
      </c>
      <c r="H197" s="128">
        <v>200</v>
      </c>
      <c r="I197" s="128">
        <v>200</v>
      </c>
      <c r="J197" s="128"/>
      <c r="K197" s="104"/>
      <c r="L197" s="260" t="s">
        <v>330</v>
      </c>
    </row>
    <row r="198" ht="15.5" customHeight="1" spans="1:12">
      <c r="A198" s="154" t="s">
        <v>907</v>
      </c>
      <c r="B198" s="132" t="s">
        <v>327</v>
      </c>
      <c r="C198" s="128" t="s">
        <v>908</v>
      </c>
      <c r="D198" s="281" t="s">
        <v>909</v>
      </c>
      <c r="E198" s="102">
        <v>2020</v>
      </c>
      <c r="F198" s="102">
        <v>2020</v>
      </c>
      <c r="G198" s="132" t="s">
        <v>16</v>
      </c>
      <c r="H198" s="128">
        <v>200</v>
      </c>
      <c r="I198" s="128">
        <v>200</v>
      </c>
      <c r="J198" s="128"/>
      <c r="K198" s="104"/>
      <c r="L198" s="132" t="s">
        <v>330</v>
      </c>
    </row>
    <row r="199" ht="15.5" customHeight="1" spans="1:12">
      <c r="A199" s="44" t="s">
        <v>910</v>
      </c>
      <c r="B199" s="132" t="s">
        <v>327</v>
      </c>
      <c r="C199" s="128" t="s">
        <v>911</v>
      </c>
      <c r="D199" s="128" t="s">
        <v>912</v>
      </c>
      <c r="E199" s="102">
        <v>2020</v>
      </c>
      <c r="F199" s="102">
        <v>2020</v>
      </c>
      <c r="G199" s="132" t="s">
        <v>16</v>
      </c>
      <c r="H199" s="128">
        <v>200</v>
      </c>
      <c r="I199" s="128">
        <v>200</v>
      </c>
      <c r="J199" s="128"/>
      <c r="K199" s="104"/>
      <c r="L199" s="260" t="s">
        <v>330</v>
      </c>
    </row>
    <row r="200" ht="15.5" customHeight="1" spans="1:12">
      <c r="A200" s="132" t="s">
        <v>913</v>
      </c>
      <c r="B200" s="132" t="s">
        <v>327</v>
      </c>
      <c r="C200" s="128" t="s">
        <v>914</v>
      </c>
      <c r="D200" s="281" t="s">
        <v>915</v>
      </c>
      <c r="E200" s="102">
        <v>2020</v>
      </c>
      <c r="F200" s="102">
        <v>2020</v>
      </c>
      <c r="G200" s="132" t="s">
        <v>16</v>
      </c>
      <c r="H200" s="128">
        <v>200</v>
      </c>
      <c r="I200" s="128">
        <v>200</v>
      </c>
      <c r="J200" s="128"/>
      <c r="K200" s="104"/>
      <c r="L200" s="132" t="s">
        <v>330</v>
      </c>
    </row>
    <row r="201" ht="15.5" customHeight="1" spans="1:12">
      <c r="A201" s="154" t="s">
        <v>916</v>
      </c>
      <c r="B201" s="132" t="s">
        <v>327</v>
      </c>
      <c r="C201" s="128" t="s">
        <v>917</v>
      </c>
      <c r="D201" s="281" t="s">
        <v>918</v>
      </c>
      <c r="E201" s="102">
        <v>2020</v>
      </c>
      <c r="F201" s="102">
        <v>2020</v>
      </c>
      <c r="G201" s="132" t="s">
        <v>16</v>
      </c>
      <c r="H201" s="128">
        <v>200</v>
      </c>
      <c r="I201" s="128">
        <v>200</v>
      </c>
      <c r="J201" s="128"/>
      <c r="K201" s="104"/>
      <c r="L201" s="260" t="s">
        <v>330</v>
      </c>
    </row>
    <row r="202" ht="15.5" customHeight="1" spans="1:12">
      <c r="A202" s="44" t="s">
        <v>311</v>
      </c>
      <c r="B202" s="132" t="s">
        <v>327</v>
      </c>
      <c r="C202" s="131" t="s">
        <v>919</v>
      </c>
      <c r="D202" s="281" t="s">
        <v>920</v>
      </c>
      <c r="E202" s="102">
        <v>2020</v>
      </c>
      <c r="F202" s="102">
        <v>2020</v>
      </c>
      <c r="G202" s="132" t="s">
        <v>16</v>
      </c>
      <c r="H202" s="128">
        <v>200</v>
      </c>
      <c r="I202" s="128">
        <v>200</v>
      </c>
      <c r="J202" s="128"/>
      <c r="K202" s="104"/>
      <c r="L202" s="132" t="s">
        <v>330</v>
      </c>
    </row>
    <row r="203" ht="15.5" customHeight="1" spans="1:12">
      <c r="A203" s="132" t="s">
        <v>921</v>
      </c>
      <c r="B203" s="132" t="s">
        <v>327</v>
      </c>
      <c r="C203" s="128" t="s">
        <v>922</v>
      </c>
      <c r="D203" s="281" t="s">
        <v>923</v>
      </c>
      <c r="E203" s="102">
        <v>2020</v>
      </c>
      <c r="F203" s="102">
        <v>2020</v>
      </c>
      <c r="G203" s="132" t="s">
        <v>16</v>
      </c>
      <c r="H203" s="128">
        <v>200</v>
      </c>
      <c r="I203" s="128">
        <v>200</v>
      </c>
      <c r="J203" s="128"/>
      <c r="K203" s="104"/>
      <c r="L203" s="260" t="s">
        <v>330</v>
      </c>
    </row>
    <row r="204" ht="15.5" customHeight="1" spans="1:12">
      <c r="A204" s="154" t="s">
        <v>924</v>
      </c>
      <c r="B204" s="132" t="s">
        <v>327</v>
      </c>
      <c r="C204" s="128" t="s">
        <v>925</v>
      </c>
      <c r="D204" s="281" t="s">
        <v>926</v>
      </c>
      <c r="E204" s="102">
        <v>2020</v>
      </c>
      <c r="F204" s="102">
        <v>2020</v>
      </c>
      <c r="G204" s="132" t="s">
        <v>16</v>
      </c>
      <c r="H204" s="128">
        <v>200</v>
      </c>
      <c r="I204" s="128">
        <v>200</v>
      </c>
      <c r="J204" s="128"/>
      <c r="K204" s="104"/>
      <c r="L204" s="132" t="s">
        <v>330</v>
      </c>
    </row>
    <row r="205" ht="15.5" customHeight="1" spans="1:12">
      <c r="A205" s="44" t="s">
        <v>927</v>
      </c>
      <c r="B205" s="132" t="s">
        <v>327</v>
      </c>
      <c r="C205" s="128" t="s">
        <v>928</v>
      </c>
      <c r="D205" s="128" t="s">
        <v>929</v>
      </c>
      <c r="E205" s="102">
        <v>2020</v>
      </c>
      <c r="F205" s="102">
        <v>2020</v>
      </c>
      <c r="G205" s="132" t="s">
        <v>16</v>
      </c>
      <c r="H205" s="128">
        <v>200</v>
      </c>
      <c r="I205" s="128">
        <v>200</v>
      </c>
      <c r="J205" s="128"/>
      <c r="K205" s="104"/>
      <c r="L205" s="260" t="s">
        <v>330</v>
      </c>
    </row>
    <row r="206" ht="15.5" customHeight="1" spans="1:12">
      <c r="A206" s="132" t="s">
        <v>930</v>
      </c>
      <c r="B206" s="132" t="s">
        <v>327</v>
      </c>
      <c r="C206" s="128" t="s">
        <v>931</v>
      </c>
      <c r="D206" s="281" t="s">
        <v>932</v>
      </c>
      <c r="E206" s="102">
        <v>2020</v>
      </c>
      <c r="F206" s="102">
        <v>2020</v>
      </c>
      <c r="G206" s="132" t="s">
        <v>16</v>
      </c>
      <c r="H206" s="128">
        <v>200</v>
      </c>
      <c r="I206" s="128">
        <v>200</v>
      </c>
      <c r="J206" s="128"/>
      <c r="K206" s="104"/>
      <c r="L206" s="132" t="s">
        <v>330</v>
      </c>
    </row>
    <row r="207" ht="15.5" customHeight="1" spans="1:12">
      <c r="A207" s="154" t="s">
        <v>933</v>
      </c>
      <c r="B207" s="132" t="s">
        <v>327</v>
      </c>
      <c r="C207" s="128" t="s">
        <v>934</v>
      </c>
      <c r="D207" s="281" t="s">
        <v>935</v>
      </c>
      <c r="E207" s="102">
        <v>2020</v>
      </c>
      <c r="F207" s="102">
        <v>2020</v>
      </c>
      <c r="G207" s="132" t="s">
        <v>16</v>
      </c>
      <c r="H207" s="128">
        <v>200</v>
      </c>
      <c r="I207" s="128">
        <v>200</v>
      </c>
      <c r="J207" s="128"/>
      <c r="K207" s="104"/>
      <c r="L207" s="260" t="s">
        <v>330</v>
      </c>
    </row>
    <row r="208" ht="15.5" customHeight="1" spans="1:12">
      <c r="A208" s="44" t="s">
        <v>936</v>
      </c>
      <c r="B208" s="132" t="s">
        <v>327</v>
      </c>
      <c r="C208" s="128" t="s">
        <v>937</v>
      </c>
      <c r="D208" s="281" t="s">
        <v>938</v>
      </c>
      <c r="E208" s="102">
        <v>2020</v>
      </c>
      <c r="F208" s="102">
        <v>2020</v>
      </c>
      <c r="G208" s="132" t="s">
        <v>16</v>
      </c>
      <c r="H208" s="128">
        <v>200</v>
      </c>
      <c r="I208" s="128">
        <v>200</v>
      </c>
      <c r="J208" s="128"/>
      <c r="K208" s="104"/>
      <c r="L208" s="132" t="s">
        <v>330</v>
      </c>
    </row>
    <row r="209" ht="15.5" customHeight="1" spans="1:12">
      <c r="A209" s="132" t="s">
        <v>939</v>
      </c>
      <c r="B209" s="132" t="s">
        <v>327</v>
      </c>
      <c r="C209" s="128" t="s">
        <v>940</v>
      </c>
      <c r="D209" s="128" t="s">
        <v>941</v>
      </c>
      <c r="E209" s="102">
        <v>2020</v>
      </c>
      <c r="F209" s="102">
        <v>2020</v>
      </c>
      <c r="G209" s="132" t="s">
        <v>16</v>
      </c>
      <c r="H209" s="128">
        <v>200</v>
      </c>
      <c r="I209" s="128">
        <v>200</v>
      </c>
      <c r="J209" s="128"/>
      <c r="K209" s="104"/>
      <c r="L209" s="260" t="s">
        <v>330</v>
      </c>
    </row>
    <row r="210" ht="15.5" customHeight="1" spans="1:12">
      <c r="A210" s="154" t="s">
        <v>942</v>
      </c>
      <c r="B210" s="132" t="s">
        <v>327</v>
      </c>
      <c r="C210" s="128" t="s">
        <v>943</v>
      </c>
      <c r="D210" s="281" t="s">
        <v>944</v>
      </c>
      <c r="E210" s="102">
        <v>2020</v>
      </c>
      <c r="F210" s="102">
        <v>2020</v>
      </c>
      <c r="G210" s="132" t="s">
        <v>16</v>
      </c>
      <c r="H210" s="128">
        <v>200</v>
      </c>
      <c r="I210" s="128">
        <v>200</v>
      </c>
      <c r="J210" s="128"/>
      <c r="K210" s="104"/>
      <c r="L210" s="132" t="s">
        <v>330</v>
      </c>
    </row>
    <row r="211" ht="15.5" customHeight="1" spans="1:12">
      <c r="A211" s="44" t="s">
        <v>945</v>
      </c>
      <c r="B211" s="132" t="s">
        <v>327</v>
      </c>
      <c r="C211" s="128" t="s">
        <v>946</v>
      </c>
      <c r="D211" s="281" t="s">
        <v>947</v>
      </c>
      <c r="E211" s="102">
        <v>2020</v>
      </c>
      <c r="F211" s="102">
        <v>2020</v>
      </c>
      <c r="G211" s="132" t="s">
        <v>16</v>
      </c>
      <c r="H211" s="128">
        <v>500</v>
      </c>
      <c r="I211" s="128">
        <v>500</v>
      </c>
      <c r="J211" s="128"/>
      <c r="K211" s="104"/>
      <c r="L211" s="260" t="s">
        <v>330</v>
      </c>
    </row>
    <row r="212" ht="15.5" customHeight="1" spans="1:12">
      <c r="A212" s="132" t="s">
        <v>948</v>
      </c>
      <c r="B212" s="132" t="s">
        <v>327</v>
      </c>
      <c r="C212" s="128" t="s">
        <v>949</v>
      </c>
      <c r="D212" s="128" t="s">
        <v>950</v>
      </c>
      <c r="E212" s="102">
        <v>2020</v>
      </c>
      <c r="F212" s="102">
        <v>2020</v>
      </c>
      <c r="G212" s="132" t="s">
        <v>16</v>
      </c>
      <c r="H212" s="128">
        <v>200</v>
      </c>
      <c r="I212" s="128">
        <v>200</v>
      </c>
      <c r="J212" s="128"/>
      <c r="K212" s="104"/>
      <c r="L212" s="132" t="s">
        <v>330</v>
      </c>
    </row>
    <row r="213" ht="15.5" customHeight="1" spans="1:12">
      <c r="A213" s="154" t="s">
        <v>951</v>
      </c>
      <c r="B213" s="132" t="s">
        <v>327</v>
      </c>
      <c r="C213" s="131" t="s">
        <v>952</v>
      </c>
      <c r="D213" s="281" t="s">
        <v>953</v>
      </c>
      <c r="E213" s="102">
        <v>2020</v>
      </c>
      <c r="F213" s="102">
        <v>2020</v>
      </c>
      <c r="G213" s="132" t="s">
        <v>16</v>
      </c>
      <c r="H213" s="128">
        <v>200</v>
      </c>
      <c r="I213" s="128">
        <v>200</v>
      </c>
      <c r="J213" s="128"/>
      <c r="K213" s="104"/>
      <c r="L213" s="260" t="s">
        <v>330</v>
      </c>
    </row>
    <row r="214" ht="15.5" customHeight="1" spans="1:12">
      <c r="A214" s="44" t="s">
        <v>954</v>
      </c>
      <c r="B214" s="132" t="s">
        <v>327</v>
      </c>
      <c r="C214" s="128" t="s">
        <v>955</v>
      </c>
      <c r="D214" s="281" t="s">
        <v>956</v>
      </c>
      <c r="E214" s="102">
        <v>2020</v>
      </c>
      <c r="F214" s="102">
        <v>2020</v>
      </c>
      <c r="G214" s="132" t="s">
        <v>16</v>
      </c>
      <c r="H214" s="128">
        <v>200</v>
      </c>
      <c r="I214" s="128">
        <v>200</v>
      </c>
      <c r="J214" s="128"/>
      <c r="K214" s="104"/>
      <c r="L214" s="132" t="s">
        <v>330</v>
      </c>
    </row>
    <row r="215" ht="15.5" customHeight="1" spans="1:12">
      <c r="A215" s="132" t="s">
        <v>957</v>
      </c>
      <c r="B215" s="132" t="s">
        <v>327</v>
      </c>
      <c r="C215" s="128" t="s">
        <v>958</v>
      </c>
      <c r="D215" s="281" t="s">
        <v>959</v>
      </c>
      <c r="E215" s="102">
        <v>2020</v>
      </c>
      <c r="F215" s="102">
        <v>2020</v>
      </c>
      <c r="G215" s="132" t="s">
        <v>16</v>
      </c>
      <c r="H215" s="128">
        <v>200</v>
      </c>
      <c r="I215" s="128">
        <v>200</v>
      </c>
      <c r="J215" s="128"/>
      <c r="K215" s="104"/>
      <c r="L215" s="260" t="s">
        <v>330</v>
      </c>
    </row>
    <row r="216" ht="15.5" customHeight="1" spans="1:12">
      <c r="A216" s="154" t="s">
        <v>960</v>
      </c>
      <c r="B216" s="132" t="s">
        <v>327</v>
      </c>
      <c r="C216" s="128" t="s">
        <v>961</v>
      </c>
      <c r="D216" s="281" t="s">
        <v>962</v>
      </c>
      <c r="E216" s="102">
        <v>2020</v>
      </c>
      <c r="F216" s="102">
        <v>2020</v>
      </c>
      <c r="G216" s="132" t="s">
        <v>16</v>
      </c>
      <c r="H216" s="128">
        <v>200</v>
      </c>
      <c r="I216" s="128">
        <v>200</v>
      </c>
      <c r="J216" s="128"/>
      <c r="K216" s="104"/>
      <c r="L216" s="132" t="s">
        <v>330</v>
      </c>
    </row>
    <row r="217" ht="15.5" customHeight="1" spans="1:12">
      <c r="A217" s="44" t="s">
        <v>963</v>
      </c>
      <c r="B217" s="132" t="s">
        <v>327</v>
      </c>
      <c r="C217" s="128" t="s">
        <v>964</v>
      </c>
      <c r="D217" s="281" t="s">
        <v>965</v>
      </c>
      <c r="E217" s="102">
        <v>2020</v>
      </c>
      <c r="F217" s="102">
        <v>2020</v>
      </c>
      <c r="G217" s="132" t="s">
        <v>16</v>
      </c>
      <c r="H217" s="128">
        <v>200</v>
      </c>
      <c r="I217" s="128">
        <v>200</v>
      </c>
      <c r="J217" s="128"/>
      <c r="K217" s="104"/>
      <c r="L217" s="260" t="s">
        <v>330</v>
      </c>
    </row>
    <row r="218" ht="15.5" customHeight="1" spans="1:12">
      <c r="A218" s="132" t="s">
        <v>966</v>
      </c>
      <c r="B218" s="132" t="s">
        <v>327</v>
      </c>
      <c r="C218" s="128" t="s">
        <v>967</v>
      </c>
      <c r="D218" s="281" t="s">
        <v>968</v>
      </c>
      <c r="E218" s="102">
        <v>2020</v>
      </c>
      <c r="F218" s="102">
        <v>2020</v>
      </c>
      <c r="G218" s="132" t="s">
        <v>16</v>
      </c>
      <c r="H218" s="128">
        <v>200</v>
      </c>
      <c r="I218" s="128">
        <v>200</v>
      </c>
      <c r="J218" s="128"/>
      <c r="K218" s="104"/>
      <c r="L218" s="132" t="s">
        <v>330</v>
      </c>
    </row>
    <row r="219" ht="15.5" customHeight="1" spans="1:12">
      <c r="A219" s="154" t="s">
        <v>969</v>
      </c>
      <c r="B219" s="132" t="s">
        <v>327</v>
      </c>
      <c r="C219" s="128" t="s">
        <v>970</v>
      </c>
      <c r="D219" s="281" t="s">
        <v>971</v>
      </c>
      <c r="E219" s="102">
        <v>2020</v>
      </c>
      <c r="F219" s="102">
        <v>2020</v>
      </c>
      <c r="G219" s="132" t="s">
        <v>16</v>
      </c>
      <c r="H219" s="128">
        <v>200</v>
      </c>
      <c r="I219" s="128">
        <v>200</v>
      </c>
      <c r="J219" s="128"/>
      <c r="K219" s="104"/>
      <c r="L219" s="260" t="s">
        <v>330</v>
      </c>
    </row>
    <row r="220" ht="15.5" customHeight="1" spans="1:12">
      <c r="A220" s="44" t="s">
        <v>972</v>
      </c>
      <c r="B220" s="132" t="s">
        <v>327</v>
      </c>
      <c r="C220" s="128" t="s">
        <v>973</v>
      </c>
      <c r="D220" s="281" t="s">
        <v>974</v>
      </c>
      <c r="E220" s="102">
        <v>2020</v>
      </c>
      <c r="F220" s="102">
        <v>2020</v>
      </c>
      <c r="G220" s="132" t="s">
        <v>16</v>
      </c>
      <c r="H220" s="128">
        <v>200</v>
      </c>
      <c r="I220" s="128">
        <v>200</v>
      </c>
      <c r="J220" s="128"/>
      <c r="K220" s="104"/>
      <c r="L220" s="132" t="s">
        <v>330</v>
      </c>
    </row>
    <row r="221" ht="15.5" customHeight="1" spans="1:12">
      <c r="A221" s="132" t="s">
        <v>975</v>
      </c>
      <c r="B221" s="132" t="s">
        <v>327</v>
      </c>
      <c r="C221" s="128" t="s">
        <v>976</v>
      </c>
      <c r="D221" s="281" t="s">
        <v>977</v>
      </c>
      <c r="E221" s="102">
        <v>2020</v>
      </c>
      <c r="F221" s="102">
        <v>2020</v>
      </c>
      <c r="G221" s="132" t="s">
        <v>16</v>
      </c>
      <c r="H221" s="128">
        <v>200</v>
      </c>
      <c r="I221" s="128">
        <v>200</v>
      </c>
      <c r="J221" s="128"/>
      <c r="K221" s="104"/>
      <c r="L221" s="260" t="s">
        <v>330</v>
      </c>
    </row>
    <row r="222" ht="15.5" customHeight="1" spans="1:12">
      <c r="A222" s="154" t="s">
        <v>978</v>
      </c>
      <c r="B222" s="132" t="s">
        <v>327</v>
      </c>
      <c r="C222" s="128" t="s">
        <v>979</v>
      </c>
      <c r="D222" s="281" t="s">
        <v>980</v>
      </c>
      <c r="E222" s="102">
        <v>2020</v>
      </c>
      <c r="F222" s="102">
        <v>2020</v>
      </c>
      <c r="G222" s="132" t="s">
        <v>16</v>
      </c>
      <c r="H222" s="128">
        <v>200</v>
      </c>
      <c r="I222" s="128">
        <v>200</v>
      </c>
      <c r="J222" s="128"/>
      <c r="K222" s="104"/>
      <c r="L222" s="132" t="s">
        <v>330</v>
      </c>
    </row>
    <row r="223" ht="15.5" customHeight="1" spans="1:12">
      <c r="A223" s="44" t="s">
        <v>981</v>
      </c>
      <c r="B223" s="132" t="s">
        <v>327</v>
      </c>
      <c r="C223" s="128" t="s">
        <v>982</v>
      </c>
      <c r="D223" s="281" t="s">
        <v>983</v>
      </c>
      <c r="E223" s="102">
        <v>2020</v>
      </c>
      <c r="F223" s="102">
        <v>2020</v>
      </c>
      <c r="G223" s="132" t="s">
        <v>16</v>
      </c>
      <c r="H223" s="128">
        <v>200</v>
      </c>
      <c r="I223" s="128">
        <v>200</v>
      </c>
      <c r="J223" s="128"/>
      <c r="K223" s="104"/>
      <c r="L223" s="260" t="s">
        <v>330</v>
      </c>
    </row>
    <row r="224" ht="15.5" customHeight="1" spans="1:12">
      <c r="A224" s="132" t="s">
        <v>984</v>
      </c>
      <c r="B224" s="132" t="s">
        <v>327</v>
      </c>
      <c r="C224" s="128" t="s">
        <v>985</v>
      </c>
      <c r="D224" s="281" t="s">
        <v>986</v>
      </c>
      <c r="E224" s="102">
        <v>2020</v>
      </c>
      <c r="F224" s="102">
        <v>2020</v>
      </c>
      <c r="G224" s="132" t="s">
        <v>16</v>
      </c>
      <c r="H224" s="128">
        <v>200</v>
      </c>
      <c r="I224" s="128">
        <v>200</v>
      </c>
      <c r="J224" s="128" t="s">
        <v>108</v>
      </c>
      <c r="K224" s="104"/>
      <c r="L224" s="132" t="s">
        <v>330</v>
      </c>
    </row>
    <row r="225" ht="15.5" customHeight="1" spans="1:12">
      <c r="A225" s="154" t="s">
        <v>987</v>
      </c>
      <c r="B225" s="132" t="s">
        <v>327</v>
      </c>
      <c r="C225" s="128" t="s">
        <v>988</v>
      </c>
      <c r="D225" s="281" t="s">
        <v>989</v>
      </c>
      <c r="E225" s="102">
        <v>2020</v>
      </c>
      <c r="F225" s="102">
        <v>2020</v>
      </c>
      <c r="G225" s="132" t="s">
        <v>16</v>
      </c>
      <c r="H225" s="128">
        <v>200</v>
      </c>
      <c r="I225" s="128">
        <v>200</v>
      </c>
      <c r="J225" s="128" t="s">
        <v>108</v>
      </c>
      <c r="K225" s="104"/>
      <c r="L225" s="260" t="s">
        <v>330</v>
      </c>
    </row>
    <row r="226" ht="15.5" customHeight="1" spans="1:12">
      <c r="A226" s="44" t="s">
        <v>990</v>
      </c>
      <c r="B226" s="132" t="s">
        <v>327</v>
      </c>
      <c r="C226" s="128" t="s">
        <v>991</v>
      </c>
      <c r="D226" s="281" t="s">
        <v>992</v>
      </c>
      <c r="E226" s="102">
        <v>2020</v>
      </c>
      <c r="F226" s="102">
        <v>2020</v>
      </c>
      <c r="G226" s="132" t="s">
        <v>16</v>
      </c>
      <c r="H226" s="128">
        <v>200</v>
      </c>
      <c r="I226" s="128">
        <v>200</v>
      </c>
      <c r="J226" s="128"/>
      <c r="K226" s="104"/>
      <c r="L226" s="132" t="s">
        <v>330</v>
      </c>
    </row>
    <row r="227" ht="15.5" customHeight="1" spans="1:12">
      <c r="A227" s="132" t="s">
        <v>993</v>
      </c>
      <c r="B227" s="132" t="s">
        <v>327</v>
      </c>
      <c r="C227" s="128" t="s">
        <v>994</v>
      </c>
      <c r="D227" s="281" t="s">
        <v>995</v>
      </c>
      <c r="E227" s="102">
        <v>2020</v>
      </c>
      <c r="F227" s="102">
        <v>2020</v>
      </c>
      <c r="G227" s="132" t="s">
        <v>16</v>
      </c>
      <c r="H227" s="128">
        <v>200</v>
      </c>
      <c r="I227" s="128">
        <v>200</v>
      </c>
      <c r="J227" s="128"/>
      <c r="K227" s="104"/>
      <c r="L227" s="260" t="s">
        <v>330</v>
      </c>
    </row>
    <row r="228" ht="15.5" customHeight="1" spans="1:12">
      <c r="A228" s="154" t="s">
        <v>996</v>
      </c>
      <c r="B228" s="132" t="s">
        <v>327</v>
      </c>
      <c r="C228" s="128" t="s">
        <v>997</v>
      </c>
      <c r="D228" s="270" t="s">
        <v>998</v>
      </c>
      <c r="E228" s="102">
        <v>2020</v>
      </c>
      <c r="F228" s="102">
        <v>2020</v>
      </c>
      <c r="G228" s="132" t="s">
        <v>16</v>
      </c>
      <c r="H228" s="128">
        <v>200</v>
      </c>
      <c r="I228" s="128">
        <v>200</v>
      </c>
      <c r="J228" s="128"/>
      <c r="K228" s="104"/>
      <c r="L228" s="132" t="s">
        <v>330</v>
      </c>
    </row>
    <row r="229" ht="15.5" customHeight="1" spans="1:12">
      <c r="A229" s="44" t="s">
        <v>999</v>
      </c>
      <c r="B229" s="132" t="s">
        <v>327</v>
      </c>
      <c r="C229" s="128" t="s">
        <v>839</v>
      </c>
      <c r="D229" s="270" t="s">
        <v>1000</v>
      </c>
      <c r="E229" s="102">
        <v>2020</v>
      </c>
      <c r="F229" s="102">
        <v>2020</v>
      </c>
      <c r="G229" s="132" t="s">
        <v>16</v>
      </c>
      <c r="H229" s="128">
        <v>200</v>
      </c>
      <c r="I229" s="128">
        <v>200</v>
      </c>
      <c r="J229" s="128"/>
      <c r="K229" s="104"/>
      <c r="L229" s="260" t="s">
        <v>330</v>
      </c>
    </row>
    <row r="230" ht="15.5" customHeight="1" spans="1:12">
      <c r="A230" s="132" t="s">
        <v>1001</v>
      </c>
      <c r="B230" s="132" t="s">
        <v>327</v>
      </c>
      <c r="C230" s="128" t="s">
        <v>1002</v>
      </c>
      <c r="D230" s="281" t="s">
        <v>1003</v>
      </c>
      <c r="E230" s="102">
        <v>2020</v>
      </c>
      <c r="F230" s="102">
        <v>2020</v>
      </c>
      <c r="G230" s="132" t="s">
        <v>16</v>
      </c>
      <c r="H230" s="128">
        <v>200</v>
      </c>
      <c r="I230" s="128">
        <v>200</v>
      </c>
      <c r="J230" s="128"/>
      <c r="K230" s="104"/>
      <c r="L230" s="132" t="s">
        <v>330</v>
      </c>
    </row>
    <row r="231" s="98" customFormat="1" ht="15.5" customHeight="1" spans="1:12">
      <c r="A231" s="154" t="s">
        <v>1004</v>
      </c>
      <c r="B231" s="271" t="s">
        <v>327</v>
      </c>
      <c r="C231" s="152" t="s">
        <v>1005</v>
      </c>
      <c r="D231" s="152" t="s">
        <v>1006</v>
      </c>
      <c r="E231" s="93">
        <v>2011</v>
      </c>
      <c r="F231" s="93">
        <v>2020</v>
      </c>
      <c r="G231" s="152" t="s">
        <v>1007</v>
      </c>
      <c r="H231" s="152">
        <v>200</v>
      </c>
      <c r="I231" s="152">
        <v>2000</v>
      </c>
      <c r="J231" s="152"/>
      <c r="K231" s="272"/>
      <c r="L231" s="260" t="s">
        <v>330</v>
      </c>
    </row>
    <row r="232" s="98" customFormat="1" ht="15.5" customHeight="1" spans="1:12">
      <c r="A232" s="44" t="s">
        <v>1008</v>
      </c>
      <c r="B232" s="271" t="s">
        <v>327</v>
      </c>
      <c r="C232" s="155" t="s">
        <v>1009</v>
      </c>
      <c r="D232" s="155" t="s">
        <v>1010</v>
      </c>
      <c r="E232" s="93">
        <v>2011</v>
      </c>
      <c r="F232" s="93">
        <v>2020</v>
      </c>
      <c r="G232" s="155" t="s">
        <v>1007</v>
      </c>
      <c r="H232" s="152">
        <v>200</v>
      </c>
      <c r="I232" s="152">
        <v>2000</v>
      </c>
      <c r="J232" s="152"/>
      <c r="K232" s="272"/>
      <c r="L232" s="132" t="s">
        <v>330</v>
      </c>
    </row>
    <row r="233" s="98" customFormat="1" ht="15.5" customHeight="1" spans="1:12">
      <c r="A233" s="132" t="s">
        <v>1011</v>
      </c>
      <c r="B233" s="271" t="s">
        <v>327</v>
      </c>
      <c r="C233" s="155" t="s">
        <v>1012</v>
      </c>
      <c r="D233" s="155" t="s">
        <v>1013</v>
      </c>
      <c r="E233" s="93">
        <v>2020</v>
      </c>
      <c r="F233" s="93">
        <v>2020</v>
      </c>
      <c r="G233" s="152" t="s">
        <v>1007</v>
      </c>
      <c r="H233" s="152">
        <v>300</v>
      </c>
      <c r="I233" s="152">
        <v>300</v>
      </c>
      <c r="J233" s="155"/>
      <c r="K233" s="272"/>
      <c r="L233" s="260" t="s">
        <v>330</v>
      </c>
    </row>
    <row r="234" s="98" customFormat="1" ht="15.5" customHeight="1" spans="1:12">
      <c r="A234" s="154" t="s">
        <v>1014</v>
      </c>
      <c r="B234" s="271" t="s">
        <v>327</v>
      </c>
      <c r="C234" s="155" t="s">
        <v>1015</v>
      </c>
      <c r="D234" s="155" t="s">
        <v>1016</v>
      </c>
      <c r="E234" s="93">
        <v>2020</v>
      </c>
      <c r="F234" s="93">
        <v>2020</v>
      </c>
      <c r="G234" s="152" t="s">
        <v>1007</v>
      </c>
      <c r="H234" s="152">
        <v>500</v>
      </c>
      <c r="I234" s="152">
        <v>500</v>
      </c>
      <c r="J234" s="155"/>
      <c r="K234" s="272"/>
      <c r="L234" s="132" t="s">
        <v>330</v>
      </c>
    </row>
    <row r="235" s="98" customFormat="1" ht="15.5" customHeight="1" spans="1:12">
      <c r="A235" s="44" t="s">
        <v>1017</v>
      </c>
      <c r="B235" s="271" t="s">
        <v>327</v>
      </c>
      <c r="C235" s="155" t="s">
        <v>1018</v>
      </c>
      <c r="D235" s="155" t="s">
        <v>1019</v>
      </c>
      <c r="E235" s="93">
        <v>2020</v>
      </c>
      <c r="F235" s="93">
        <v>2020</v>
      </c>
      <c r="G235" s="152" t="s">
        <v>1007</v>
      </c>
      <c r="H235" s="152">
        <v>200</v>
      </c>
      <c r="I235" s="152">
        <v>200</v>
      </c>
      <c r="J235" s="155"/>
      <c r="K235" s="272"/>
      <c r="L235" s="260" t="s">
        <v>330</v>
      </c>
    </row>
    <row r="236" s="98" customFormat="1" ht="15.5" customHeight="1" spans="1:12">
      <c r="A236" s="132" t="s">
        <v>1020</v>
      </c>
      <c r="B236" s="271" t="s">
        <v>327</v>
      </c>
      <c r="C236" s="155" t="s">
        <v>1021</v>
      </c>
      <c r="D236" s="155" t="s">
        <v>1022</v>
      </c>
      <c r="E236" s="93">
        <v>2020</v>
      </c>
      <c r="F236" s="93">
        <v>2020</v>
      </c>
      <c r="G236" s="155" t="s">
        <v>1007</v>
      </c>
      <c r="H236" s="152">
        <v>200</v>
      </c>
      <c r="I236" s="152">
        <v>200</v>
      </c>
      <c r="J236" s="155"/>
      <c r="K236" s="272"/>
      <c r="L236" s="132" t="s">
        <v>330</v>
      </c>
    </row>
    <row r="237" s="98" customFormat="1" ht="15.5" customHeight="1" spans="1:12">
      <c r="A237" s="154" t="s">
        <v>1023</v>
      </c>
      <c r="B237" s="271" t="s">
        <v>327</v>
      </c>
      <c r="C237" s="155" t="s">
        <v>1024</v>
      </c>
      <c r="D237" s="155" t="s">
        <v>1025</v>
      </c>
      <c r="E237" s="93">
        <v>2011</v>
      </c>
      <c r="F237" s="93">
        <v>2020</v>
      </c>
      <c r="G237" s="152" t="s">
        <v>1007</v>
      </c>
      <c r="H237" s="152">
        <v>200</v>
      </c>
      <c r="I237" s="152">
        <v>2000</v>
      </c>
      <c r="J237" s="155"/>
      <c r="K237" s="272"/>
      <c r="L237" s="260" t="s">
        <v>330</v>
      </c>
    </row>
    <row r="238" s="98" customFormat="1" ht="15.5" customHeight="1" spans="1:12">
      <c r="A238" s="44" t="s">
        <v>1026</v>
      </c>
      <c r="B238" s="271" t="s">
        <v>327</v>
      </c>
      <c r="C238" s="155" t="s">
        <v>1027</v>
      </c>
      <c r="D238" s="155" t="s">
        <v>1028</v>
      </c>
      <c r="E238" s="93">
        <v>2011</v>
      </c>
      <c r="F238" s="93">
        <v>2020</v>
      </c>
      <c r="G238" s="152" t="s">
        <v>1007</v>
      </c>
      <c r="H238" s="155">
        <v>200</v>
      </c>
      <c r="I238" s="155">
        <v>2000</v>
      </c>
      <c r="J238" s="155"/>
      <c r="K238" s="272"/>
      <c r="L238" s="132" t="s">
        <v>330</v>
      </c>
    </row>
    <row r="239" s="98" customFormat="1" ht="15.5" customHeight="1" spans="1:12">
      <c r="A239" s="132" t="s">
        <v>1029</v>
      </c>
      <c r="B239" s="271" t="s">
        <v>327</v>
      </c>
      <c r="C239" s="155" t="s">
        <v>1030</v>
      </c>
      <c r="D239" s="155" t="s">
        <v>1031</v>
      </c>
      <c r="E239" s="93">
        <v>2011</v>
      </c>
      <c r="F239" s="93">
        <v>2020</v>
      </c>
      <c r="G239" s="152" t="s">
        <v>1007</v>
      </c>
      <c r="H239" s="155">
        <v>200</v>
      </c>
      <c r="I239" s="155">
        <v>2000</v>
      </c>
      <c r="J239" s="155"/>
      <c r="K239" s="272"/>
      <c r="L239" s="260" t="s">
        <v>330</v>
      </c>
    </row>
    <row r="240" s="98" customFormat="1" ht="15.5" customHeight="1" spans="1:12">
      <c r="A240" s="154" t="s">
        <v>1032</v>
      </c>
      <c r="B240" s="271" t="s">
        <v>327</v>
      </c>
      <c r="C240" s="155" t="s">
        <v>1033</v>
      </c>
      <c r="D240" s="282" t="s">
        <v>1034</v>
      </c>
      <c r="E240" s="93">
        <v>2013</v>
      </c>
      <c r="F240" s="93">
        <v>2020</v>
      </c>
      <c r="G240" s="152" t="s">
        <v>1007</v>
      </c>
      <c r="H240" s="155">
        <v>200</v>
      </c>
      <c r="I240" s="155">
        <v>1600</v>
      </c>
      <c r="J240" s="155"/>
      <c r="K240" s="272"/>
      <c r="L240" s="132" t="s">
        <v>330</v>
      </c>
    </row>
    <row r="241" s="98" customFormat="1" ht="15.5" customHeight="1" spans="1:12">
      <c r="A241" s="44" t="s">
        <v>1035</v>
      </c>
      <c r="B241" s="271" t="s">
        <v>327</v>
      </c>
      <c r="C241" s="155" t="s">
        <v>1036</v>
      </c>
      <c r="D241" s="282" t="s">
        <v>1037</v>
      </c>
      <c r="E241" s="93">
        <v>2011</v>
      </c>
      <c r="F241" s="93">
        <v>2019</v>
      </c>
      <c r="G241" s="152" t="s">
        <v>1007</v>
      </c>
      <c r="H241" s="155">
        <v>200</v>
      </c>
      <c r="I241" s="155">
        <v>1800</v>
      </c>
      <c r="J241" s="155" t="s">
        <v>1038</v>
      </c>
      <c r="K241" s="155"/>
      <c r="L241" s="260" t="s">
        <v>330</v>
      </c>
    </row>
    <row r="242" spans="1:12">
      <c r="A242" s="108"/>
      <c r="B242" s="108"/>
      <c r="C242" s="108"/>
      <c r="D242" s="108"/>
      <c r="E242" s="108"/>
      <c r="F242" s="108"/>
      <c r="G242" s="108"/>
      <c r="H242" s="108"/>
      <c r="I242" s="108">
        <v>63400</v>
      </c>
      <c r="J242" s="108"/>
      <c r="K242" s="108"/>
      <c r="L242" s="132"/>
    </row>
  </sheetData>
  <mergeCells count="2">
    <mergeCell ref="A1:K1"/>
    <mergeCell ref="E2:F2"/>
  </mergeCells>
  <conditionalFormatting sqref="D228">
    <cfRule type="cellIs" dxfId="0" priority="1" stopIfTrue="1" operator="equal">
      <formula>"人员减少"</formula>
    </cfRule>
  </conditionalFormatting>
  <conditionalFormatting sqref="D229">
    <cfRule type="cellIs" dxfId="0" priority="2" stopIfTrue="1" operator="equal">
      <formula>"人员减少"</formula>
    </cfRule>
  </conditionalFormatting>
  <pageMargins left="0.7" right="0.7" top="0.75" bottom="0.75" header="0.3" footer="0.3"/>
  <pageSetup paperSize="9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04"/>
  <sheetViews>
    <sheetView topLeftCell="A367" workbookViewId="0">
      <selection activeCell="A3" sqref="A3:L403"/>
    </sheetView>
  </sheetViews>
  <sheetFormatPr defaultColWidth="9" defaultRowHeight="13.5"/>
  <cols>
    <col min="1" max="1" width="5.75" style="133" customWidth="1"/>
    <col min="2" max="2" width="7.75" style="133" customWidth="1"/>
    <col min="3" max="3" width="7.625" style="133" customWidth="1"/>
    <col min="4" max="4" width="20.625" style="133" customWidth="1"/>
    <col min="5" max="5" width="17.125" style="133" customWidth="1"/>
    <col min="6" max="6" width="9.75" style="133" customWidth="1"/>
    <col min="7" max="8" width="11.375" style="133" customWidth="1"/>
    <col min="9" max="9" width="10.25" style="133" customWidth="1"/>
    <col min="10" max="10" width="9.5" style="133" customWidth="1"/>
    <col min="11" max="11" width="15.625" style="133" customWidth="1"/>
    <col min="12" max="12" width="11.75" customWidth="1"/>
    <col min="13" max="16376" width="9" style="146"/>
  </cols>
  <sheetData>
    <row r="1" customFormat="1" ht="18.75" spans="1:12">
      <c r="A1" s="99" t="s">
        <v>12262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50" t="s">
        <v>10</v>
      </c>
      <c r="L2" s="104" t="s">
        <v>11</v>
      </c>
    </row>
    <row r="3" s="145" customFormat="1" ht="16" customHeight="1" spans="1:16376">
      <c r="A3" s="132">
        <v>1</v>
      </c>
      <c r="B3" s="102" t="s">
        <v>12263</v>
      </c>
      <c r="C3" s="128" t="s">
        <v>12264</v>
      </c>
      <c r="D3" s="128" t="s">
        <v>12265</v>
      </c>
      <c r="E3" s="102" t="s">
        <v>10245</v>
      </c>
      <c r="F3" s="149">
        <v>2020</v>
      </c>
      <c r="G3" s="128" t="s">
        <v>3359</v>
      </c>
      <c r="H3" s="128">
        <v>200</v>
      </c>
      <c r="I3" s="128">
        <v>200</v>
      </c>
      <c r="J3" s="128"/>
      <c r="K3" s="130"/>
      <c r="L3" s="105">
        <v>20201118</v>
      </c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  <c r="PF3" s="146"/>
      <c r="PG3" s="146"/>
      <c r="PH3" s="146"/>
      <c r="PI3" s="146"/>
      <c r="PJ3" s="146"/>
      <c r="PK3" s="146"/>
      <c r="PL3" s="146"/>
      <c r="PM3" s="146"/>
      <c r="PN3" s="146"/>
      <c r="PO3" s="146"/>
      <c r="PP3" s="146"/>
      <c r="PQ3" s="146"/>
      <c r="PR3" s="146"/>
      <c r="PS3" s="146"/>
      <c r="PT3" s="146"/>
      <c r="PU3" s="146"/>
      <c r="PV3" s="146"/>
      <c r="PW3" s="146"/>
      <c r="PX3" s="146"/>
      <c r="PY3" s="146"/>
      <c r="PZ3" s="146"/>
      <c r="QA3" s="146"/>
      <c r="QB3" s="146"/>
      <c r="QC3" s="146"/>
      <c r="QD3" s="146"/>
      <c r="QE3" s="146"/>
      <c r="QF3" s="146"/>
      <c r="QG3" s="146"/>
      <c r="QH3" s="146"/>
      <c r="QI3" s="146"/>
      <c r="QJ3" s="146"/>
      <c r="QK3" s="146"/>
      <c r="QL3" s="146"/>
      <c r="QM3" s="146"/>
      <c r="QN3" s="146"/>
      <c r="QO3" s="146"/>
      <c r="QP3" s="146"/>
      <c r="QQ3" s="146"/>
      <c r="QR3" s="146"/>
      <c r="QS3" s="146"/>
      <c r="QT3" s="146"/>
      <c r="QU3" s="146"/>
      <c r="QV3" s="146"/>
      <c r="QW3" s="146"/>
      <c r="QX3" s="146"/>
      <c r="QY3" s="146"/>
      <c r="QZ3" s="146"/>
      <c r="RA3" s="146"/>
      <c r="RB3" s="146"/>
      <c r="RC3" s="146"/>
      <c r="RD3" s="146"/>
      <c r="RE3" s="146"/>
      <c r="RF3" s="146"/>
      <c r="RG3" s="146"/>
      <c r="RH3" s="146"/>
      <c r="RI3" s="146"/>
      <c r="RJ3" s="146"/>
      <c r="RK3" s="146"/>
      <c r="RL3" s="146"/>
      <c r="RM3" s="146"/>
      <c r="RN3" s="146"/>
      <c r="RO3" s="146"/>
      <c r="RP3" s="146"/>
      <c r="RQ3" s="146"/>
      <c r="RR3" s="146"/>
      <c r="RS3" s="146"/>
      <c r="RT3" s="146"/>
      <c r="RU3" s="146"/>
      <c r="RV3" s="146"/>
      <c r="RW3" s="146"/>
      <c r="RX3" s="146"/>
      <c r="RY3" s="146"/>
      <c r="RZ3" s="146"/>
      <c r="SA3" s="146"/>
      <c r="SB3" s="146"/>
      <c r="SC3" s="146"/>
      <c r="SD3" s="146"/>
      <c r="SE3" s="146"/>
      <c r="SF3" s="146"/>
      <c r="SG3" s="146"/>
      <c r="SH3" s="146"/>
      <c r="SI3" s="146"/>
      <c r="SJ3" s="146"/>
      <c r="SK3" s="146"/>
      <c r="SL3" s="146"/>
      <c r="SM3" s="146"/>
      <c r="SN3" s="146"/>
      <c r="SO3" s="146"/>
      <c r="SP3" s="146"/>
      <c r="SQ3" s="146"/>
      <c r="SR3" s="146"/>
      <c r="SS3" s="146"/>
      <c r="ST3" s="146"/>
      <c r="SU3" s="146"/>
      <c r="SV3" s="146"/>
      <c r="SW3" s="146"/>
      <c r="SX3" s="146"/>
      <c r="SY3" s="146"/>
      <c r="SZ3" s="146"/>
      <c r="TA3" s="146"/>
      <c r="TB3" s="146"/>
      <c r="TC3" s="146"/>
      <c r="TD3" s="146"/>
      <c r="TE3" s="146"/>
      <c r="TF3" s="146"/>
      <c r="TG3" s="146"/>
      <c r="TH3" s="146"/>
      <c r="TI3" s="146"/>
      <c r="TJ3" s="146"/>
      <c r="TK3" s="146"/>
      <c r="TL3" s="146"/>
      <c r="TM3" s="146"/>
      <c r="TN3" s="146"/>
      <c r="TO3" s="146"/>
      <c r="TP3" s="146"/>
      <c r="TQ3" s="146"/>
      <c r="TR3" s="146"/>
      <c r="TS3" s="146"/>
      <c r="TT3" s="146"/>
      <c r="TU3" s="146"/>
      <c r="TV3" s="146"/>
      <c r="TW3" s="146"/>
      <c r="TX3" s="146"/>
      <c r="TY3" s="146"/>
      <c r="TZ3" s="146"/>
      <c r="UA3" s="146"/>
      <c r="UB3" s="146"/>
      <c r="UC3" s="146"/>
      <c r="UD3" s="146"/>
      <c r="UE3" s="146"/>
      <c r="UF3" s="146"/>
      <c r="UG3" s="146"/>
      <c r="UH3" s="146"/>
      <c r="UI3" s="146"/>
      <c r="UJ3" s="146"/>
      <c r="UK3" s="146"/>
      <c r="UL3" s="146"/>
      <c r="UM3" s="146"/>
      <c r="UN3" s="146"/>
      <c r="UO3" s="146"/>
      <c r="UP3" s="146"/>
      <c r="UQ3" s="146"/>
      <c r="UR3" s="146"/>
      <c r="US3" s="146"/>
      <c r="UT3" s="146"/>
      <c r="UU3" s="146"/>
      <c r="UV3" s="146"/>
      <c r="UW3" s="146"/>
      <c r="UX3" s="146"/>
      <c r="UY3" s="146"/>
      <c r="UZ3" s="146"/>
      <c r="VA3" s="146"/>
      <c r="VB3" s="146"/>
      <c r="VC3" s="146"/>
      <c r="VD3" s="146"/>
      <c r="VE3" s="146"/>
      <c r="VF3" s="146"/>
      <c r="VG3" s="146"/>
      <c r="VH3" s="146"/>
      <c r="VI3" s="146"/>
      <c r="VJ3" s="146"/>
      <c r="VK3" s="146"/>
      <c r="VL3" s="146"/>
      <c r="VM3" s="146"/>
      <c r="VN3" s="146"/>
      <c r="VO3" s="146"/>
      <c r="VP3" s="146"/>
      <c r="VQ3" s="146"/>
      <c r="VR3" s="146"/>
      <c r="VS3" s="146"/>
      <c r="VT3" s="146"/>
      <c r="VU3" s="146"/>
      <c r="VV3" s="146"/>
      <c r="VW3" s="146"/>
      <c r="VX3" s="146"/>
      <c r="VY3" s="146"/>
      <c r="VZ3" s="146"/>
      <c r="WA3" s="146"/>
      <c r="WB3" s="146"/>
      <c r="WC3" s="146"/>
      <c r="WD3" s="146"/>
      <c r="WE3" s="146"/>
      <c r="WF3" s="146"/>
      <c r="WG3" s="146"/>
      <c r="WH3" s="146"/>
      <c r="WI3" s="146"/>
      <c r="WJ3" s="146"/>
      <c r="WK3" s="146"/>
      <c r="WL3" s="146"/>
      <c r="WM3" s="146"/>
      <c r="WN3" s="146"/>
      <c r="WO3" s="146"/>
      <c r="WP3" s="146"/>
      <c r="WQ3" s="146"/>
      <c r="WR3" s="146"/>
      <c r="WS3" s="146"/>
      <c r="WT3" s="146"/>
      <c r="WU3" s="146"/>
      <c r="WV3" s="146"/>
      <c r="WW3" s="146"/>
      <c r="WX3" s="146"/>
      <c r="WY3" s="146"/>
      <c r="WZ3" s="146"/>
      <c r="XA3" s="146"/>
      <c r="XB3" s="146"/>
      <c r="XC3" s="146"/>
      <c r="XD3" s="146"/>
      <c r="XE3" s="146"/>
      <c r="XF3" s="146"/>
      <c r="XG3" s="146"/>
      <c r="XH3" s="146"/>
      <c r="XI3" s="146"/>
      <c r="XJ3" s="146"/>
      <c r="XK3" s="146"/>
      <c r="XL3" s="146"/>
      <c r="XM3" s="146"/>
      <c r="XN3" s="146"/>
      <c r="XO3" s="146"/>
      <c r="XP3" s="146"/>
      <c r="XQ3" s="146"/>
      <c r="XR3" s="146"/>
      <c r="XS3" s="146"/>
      <c r="XT3" s="146"/>
      <c r="XU3" s="146"/>
      <c r="XV3" s="146"/>
      <c r="XW3" s="146"/>
      <c r="XX3" s="146"/>
      <c r="XY3" s="146"/>
      <c r="XZ3" s="146"/>
      <c r="YA3" s="146"/>
      <c r="YB3" s="146"/>
      <c r="YC3" s="146"/>
      <c r="YD3" s="146"/>
      <c r="YE3" s="146"/>
      <c r="YF3" s="146"/>
      <c r="YG3" s="146"/>
      <c r="YH3" s="146"/>
      <c r="YI3" s="146"/>
      <c r="YJ3" s="146"/>
      <c r="YK3" s="146"/>
      <c r="YL3" s="146"/>
      <c r="YM3" s="146"/>
      <c r="YN3" s="146"/>
      <c r="YO3" s="146"/>
      <c r="YP3" s="146"/>
      <c r="YQ3" s="146"/>
      <c r="YR3" s="146"/>
      <c r="YS3" s="146"/>
      <c r="YT3" s="146"/>
      <c r="YU3" s="146"/>
      <c r="YV3" s="146"/>
      <c r="YW3" s="146"/>
      <c r="YX3" s="146"/>
      <c r="YY3" s="146"/>
      <c r="YZ3" s="146"/>
      <c r="ZA3" s="146"/>
      <c r="ZB3" s="146"/>
      <c r="ZC3" s="146"/>
      <c r="ZD3" s="146"/>
      <c r="ZE3" s="146"/>
      <c r="ZF3" s="146"/>
      <c r="ZG3" s="146"/>
      <c r="ZH3" s="146"/>
      <c r="ZI3" s="146"/>
      <c r="ZJ3" s="146"/>
      <c r="ZK3" s="146"/>
      <c r="ZL3" s="146"/>
      <c r="ZM3" s="146"/>
      <c r="ZN3" s="146"/>
      <c r="ZO3" s="146"/>
      <c r="ZP3" s="146"/>
      <c r="ZQ3" s="146"/>
      <c r="ZR3" s="146"/>
      <c r="ZS3" s="146"/>
      <c r="ZT3" s="146"/>
      <c r="ZU3" s="146"/>
      <c r="ZV3" s="146"/>
      <c r="ZW3" s="146"/>
      <c r="ZX3" s="146"/>
      <c r="ZY3" s="146"/>
      <c r="ZZ3" s="146"/>
      <c r="AAA3" s="146"/>
      <c r="AAB3" s="146"/>
      <c r="AAC3" s="146"/>
      <c r="AAD3" s="146"/>
      <c r="AAE3" s="146"/>
      <c r="AAF3" s="146"/>
      <c r="AAG3" s="146"/>
      <c r="AAH3" s="146"/>
      <c r="AAI3" s="146"/>
      <c r="AAJ3" s="146"/>
      <c r="AAK3" s="146"/>
      <c r="AAL3" s="146"/>
      <c r="AAM3" s="146"/>
      <c r="AAN3" s="146"/>
      <c r="AAO3" s="146"/>
      <c r="AAP3" s="146"/>
      <c r="AAQ3" s="146"/>
      <c r="AAR3" s="146"/>
      <c r="AAS3" s="146"/>
      <c r="AAT3" s="146"/>
      <c r="AAU3" s="146"/>
      <c r="AAV3" s="146"/>
      <c r="AAW3" s="146"/>
      <c r="AAX3" s="146"/>
      <c r="AAY3" s="146"/>
      <c r="AAZ3" s="146"/>
      <c r="ABA3" s="146"/>
      <c r="ABB3" s="146"/>
      <c r="ABC3" s="146"/>
      <c r="ABD3" s="146"/>
      <c r="ABE3" s="146"/>
      <c r="ABF3" s="146"/>
      <c r="ABG3" s="146"/>
      <c r="ABH3" s="146"/>
      <c r="ABI3" s="146"/>
      <c r="ABJ3" s="146"/>
      <c r="ABK3" s="146"/>
      <c r="ABL3" s="146"/>
      <c r="ABM3" s="146"/>
      <c r="ABN3" s="146"/>
      <c r="ABO3" s="146"/>
      <c r="ABP3" s="146"/>
      <c r="ABQ3" s="146"/>
      <c r="ABR3" s="146"/>
      <c r="ABS3" s="146"/>
      <c r="ABT3" s="146"/>
      <c r="ABU3" s="146"/>
      <c r="ABV3" s="146"/>
      <c r="ABW3" s="146"/>
      <c r="ABX3" s="146"/>
      <c r="ABY3" s="146"/>
      <c r="ABZ3" s="146"/>
      <c r="ACA3" s="146"/>
      <c r="ACB3" s="146"/>
      <c r="ACC3" s="146"/>
      <c r="ACD3" s="146"/>
      <c r="ACE3" s="146"/>
      <c r="ACF3" s="146"/>
      <c r="ACG3" s="146"/>
      <c r="ACH3" s="146"/>
      <c r="ACI3" s="146"/>
      <c r="ACJ3" s="146"/>
      <c r="ACK3" s="146"/>
      <c r="ACL3" s="146"/>
      <c r="ACM3" s="146"/>
      <c r="ACN3" s="146"/>
      <c r="ACO3" s="146"/>
      <c r="ACP3" s="146"/>
      <c r="ACQ3" s="146"/>
      <c r="ACR3" s="146"/>
      <c r="ACS3" s="146"/>
      <c r="ACT3" s="146"/>
      <c r="ACU3" s="146"/>
      <c r="ACV3" s="146"/>
      <c r="ACW3" s="146"/>
      <c r="ACX3" s="146"/>
      <c r="ACY3" s="146"/>
      <c r="ACZ3" s="146"/>
      <c r="ADA3" s="146"/>
      <c r="ADB3" s="146"/>
      <c r="ADC3" s="146"/>
      <c r="ADD3" s="146"/>
      <c r="ADE3" s="146"/>
      <c r="ADF3" s="146"/>
      <c r="ADG3" s="146"/>
      <c r="ADH3" s="146"/>
      <c r="ADI3" s="146"/>
      <c r="ADJ3" s="146"/>
      <c r="ADK3" s="146"/>
      <c r="ADL3" s="146"/>
      <c r="ADM3" s="146"/>
      <c r="ADN3" s="146"/>
      <c r="ADO3" s="146"/>
      <c r="ADP3" s="146"/>
      <c r="ADQ3" s="146"/>
      <c r="ADR3" s="146"/>
      <c r="ADS3" s="146"/>
      <c r="ADT3" s="146"/>
      <c r="ADU3" s="146"/>
      <c r="ADV3" s="146"/>
      <c r="ADW3" s="146"/>
      <c r="ADX3" s="146"/>
      <c r="ADY3" s="146"/>
      <c r="ADZ3" s="146"/>
      <c r="AEA3" s="146"/>
      <c r="AEB3" s="146"/>
      <c r="AEC3" s="146"/>
      <c r="AED3" s="146"/>
      <c r="AEE3" s="146"/>
      <c r="AEF3" s="146"/>
      <c r="AEG3" s="146"/>
      <c r="AEH3" s="146"/>
      <c r="AEI3" s="146"/>
      <c r="AEJ3" s="146"/>
      <c r="AEK3" s="146"/>
      <c r="AEL3" s="146"/>
      <c r="AEM3" s="146"/>
      <c r="AEN3" s="146"/>
      <c r="AEO3" s="146"/>
      <c r="AEP3" s="146"/>
      <c r="AEQ3" s="146"/>
      <c r="AER3" s="146"/>
      <c r="AES3" s="146"/>
      <c r="AET3" s="146"/>
      <c r="AEU3" s="146"/>
      <c r="AEV3" s="146"/>
      <c r="AEW3" s="146"/>
      <c r="AEX3" s="146"/>
      <c r="AEY3" s="146"/>
      <c r="AEZ3" s="146"/>
      <c r="AFA3" s="146"/>
      <c r="AFB3" s="146"/>
      <c r="AFC3" s="146"/>
      <c r="AFD3" s="146"/>
      <c r="AFE3" s="146"/>
      <c r="AFF3" s="146"/>
      <c r="AFG3" s="146"/>
      <c r="AFH3" s="146"/>
      <c r="AFI3" s="146"/>
      <c r="AFJ3" s="146"/>
      <c r="AFK3" s="146"/>
      <c r="AFL3" s="146"/>
      <c r="AFM3" s="146"/>
      <c r="AFN3" s="146"/>
      <c r="AFO3" s="146"/>
      <c r="AFP3" s="146"/>
      <c r="AFQ3" s="146"/>
      <c r="AFR3" s="146"/>
      <c r="AFS3" s="146"/>
      <c r="AFT3" s="146"/>
      <c r="AFU3" s="146"/>
      <c r="AFV3" s="146"/>
      <c r="AFW3" s="146"/>
      <c r="AFX3" s="146"/>
      <c r="AFY3" s="146"/>
      <c r="AFZ3" s="146"/>
      <c r="AGA3" s="146"/>
      <c r="AGB3" s="146"/>
      <c r="AGC3" s="146"/>
      <c r="AGD3" s="146"/>
      <c r="AGE3" s="146"/>
      <c r="AGF3" s="146"/>
      <c r="AGG3" s="146"/>
      <c r="AGH3" s="146"/>
      <c r="AGI3" s="146"/>
      <c r="AGJ3" s="146"/>
      <c r="AGK3" s="146"/>
      <c r="AGL3" s="146"/>
      <c r="AGM3" s="146"/>
      <c r="AGN3" s="146"/>
      <c r="AGO3" s="146"/>
      <c r="AGP3" s="146"/>
      <c r="AGQ3" s="146"/>
      <c r="AGR3" s="146"/>
      <c r="AGS3" s="146"/>
      <c r="AGT3" s="146"/>
      <c r="AGU3" s="146"/>
      <c r="AGV3" s="146"/>
      <c r="AGW3" s="146"/>
      <c r="AGX3" s="146"/>
      <c r="AGY3" s="146"/>
      <c r="AGZ3" s="146"/>
      <c r="AHA3" s="146"/>
      <c r="AHB3" s="146"/>
      <c r="AHC3" s="146"/>
      <c r="AHD3" s="146"/>
      <c r="AHE3" s="146"/>
      <c r="AHF3" s="146"/>
      <c r="AHG3" s="146"/>
      <c r="AHH3" s="146"/>
      <c r="AHI3" s="146"/>
      <c r="AHJ3" s="146"/>
      <c r="AHK3" s="146"/>
      <c r="AHL3" s="146"/>
      <c r="AHM3" s="146"/>
      <c r="AHN3" s="146"/>
      <c r="AHO3" s="146"/>
      <c r="AHP3" s="146"/>
      <c r="AHQ3" s="146"/>
      <c r="AHR3" s="146"/>
      <c r="AHS3" s="146"/>
      <c r="AHT3" s="146"/>
      <c r="AHU3" s="146"/>
      <c r="AHV3" s="146"/>
      <c r="AHW3" s="146"/>
      <c r="AHX3" s="146"/>
      <c r="AHY3" s="146"/>
      <c r="AHZ3" s="146"/>
      <c r="AIA3" s="146"/>
      <c r="AIB3" s="146"/>
      <c r="AIC3" s="146"/>
      <c r="AID3" s="146"/>
      <c r="AIE3" s="146"/>
      <c r="AIF3" s="146"/>
      <c r="AIG3" s="146"/>
      <c r="AIH3" s="146"/>
      <c r="AII3" s="146"/>
      <c r="AIJ3" s="146"/>
      <c r="AIK3" s="146"/>
      <c r="AIL3" s="146"/>
      <c r="AIM3" s="146"/>
      <c r="AIN3" s="146"/>
      <c r="AIO3" s="146"/>
      <c r="AIP3" s="146"/>
      <c r="AIQ3" s="146"/>
      <c r="AIR3" s="146"/>
      <c r="AIS3" s="146"/>
      <c r="AIT3" s="146"/>
      <c r="AIU3" s="146"/>
      <c r="AIV3" s="146"/>
      <c r="AIW3" s="146"/>
      <c r="AIX3" s="146"/>
      <c r="AIY3" s="146"/>
      <c r="AIZ3" s="146"/>
      <c r="AJA3" s="146"/>
      <c r="AJB3" s="146"/>
      <c r="AJC3" s="146"/>
      <c r="AJD3" s="146"/>
      <c r="AJE3" s="146"/>
      <c r="AJF3" s="146"/>
      <c r="AJG3" s="146"/>
      <c r="AJH3" s="146"/>
      <c r="AJI3" s="146"/>
      <c r="AJJ3" s="146"/>
      <c r="AJK3" s="146"/>
      <c r="AJL3" s="146"/>
      <c r="AJM3" s="146"/>
      <c r="AJN3" s="146"/>
      <c r="AJO3" s="146"/>
      <c r="AJP3" s="146"/>
      <c r="AJQ3" s="146"/>
      <c r="AJR3" s="146"/>
      <c r="AJS3" s="146"/>
      <c r="AJT3" s="146"/>
      <c r="AJU3" s="146"/>
      <c r="AJV3" s="146"/>
      <c r="AJW3" s="146"/>
      <c r="AJX3" s="146"/>
      <c r="AJY3" s="146"/>
      <c r="AJZ3" s="146"/>
      <c r="AKA3" s="146"/>
      <c r="AKB3" s="146"/>
      <c r="AKC3" s="146"/>
      <c r="AKD3" s="146"/>
      <c r="AKE3" s="146"/>
      <c r="AKF3" s="146"/>
      <c r="AKG3" s="146"/>
      <c r="AKH3" s="146"/>
      <c r="AKI3" s="146"/>
      <c r="AKJ3" s="146"/>
      <c r="AKK3" s="146"/>
      <c r="AKL3" s="146"/>
      <c r="AKM3" s="146"/>
      <c r="AKN3" s="146"/>
      <c r="AKO3" s="146"/>
      <c r="AKP3" s="146"/>
      <c r="AKQ3" s="146"/>
      <c r="AKR3" s="146"/>
      <c r="AKS3" s="146"/>
      <c r="AKT3" s="146"/>
      <c r="AKU3" s="146"/>
      <c r="AKV3" s="146"/>
      <c r="AKW3" s="146"/>
      <c r="AKX3" s="146"/>
      <c r="AKY3" s="146"/>
      <c r="AKZ3" s="146"/>
      <c r="ALA3" s="146"/>
      <c r="ALB3" s="146"/>
      <c r="ALC3" s="146"/>
      <c r="ALD3" s="146"/>
      <c r="ALE3" s="146"/>
      <c r="ALF3" s="146"/>
      <c r="ALG3" s="146"/>
      <c r="ALH3" s="146"/>
      <c r="ALI3" s="146"/>
      <c r="ALJ3" s="146"/>
      <c r="ALK3" s="146"/>
      <c r="ALL3" s="146"/>
      <c r="ALM3" s="146"/>
      <c r="ALN3" s="146"/>
      <c r="ALO3" s="146"/>
      <c r="ALP3" s="146"/>
      <c r="ALQ3" s="146"/>
      <c r="ALR3" s="146"/>
      <c r="ALS3" s="146"/>
      <c r="ALT3" s="146"/>
      <c r="ALU3" s="146"/>
      <c r="ALV3" s="146"/>
      <c r="ALW3" s="146"/>
      <c r="ALX3" s="146"/>
      <c r="ALY3" s="146"/>
      <c r="ALZ3" s="146"/>
      <c r="AMA3" s="146"/>
      <c r="AMB3" s="146"/>
      <c r="AMC3" s="146"/>
      <c r="AMD3" s="146"/>
      <c r="AME3" s="146"/>
      <c r="AMF3" s="146"/>
      <c r="AMG3" s="146"/>
      <c r="AMH3" s="146"/>
      <c r="AMI3" s="146"/>
      <c r="AMJ3" s="146"/>
      <c r="AMK3" s="146"/>
      <c r="AML3" s="146"/>
      <c r="AMM3" s="146"/>
      <c r="AMN3" s="146"/>
      <c r="AMO3" s="146"/>
      <c r="AMP3" s="146"/>
      <c r="AMQ3" s="146"/>
      <c r="AMR3" s="146"/>
      <c r="AMS3" s="146"/>
      <c r="AMT3" s="146"/>
      <c r="AMU3" s="146"/>
      <c r="AMV3" s="146"/>
      <c r="AMW3" s="146"/>
      <c r="AMX3" s="146"/>
      <c r="AMY3" s="146"/>
      <c r="AMZ3" s="146"/>
      <c r="ANA3" s="146"/>
      <c r="ANB3" s="146"/>
      <c r="ANC3" s="146"/>
      <c r="AND3" s="146"/>
      <c r="ANE3" s="146"/>
      <c r="ANF3" s="146"/>
      <c r="ANG3" s="146"/>
      <c r="ANH3" s="146"/>
      <c r="ANI3" s="146"/>
      <c r="ANJ3" s="146"/>
      <c r="ANK3" s="146"/>
      <c r="ANL3" s="146"/>
      <c r="ANM3" s="146"/>
      <c r="ANN3" s="146"/>
      <c r="ANO3" s="146"/>
      <c r="ANP3" s="146"/>
      <c r="ANQ3" s="146"/>
      <c r="ANR3" s="146"/>
      <c r="ANS3" s="146"/>
      <c r="ANT3" s="146"/>
      <c r="ANU3" s="146"/>
      <c r="ANV3" s="146"/>
      <c r="ANW3" s="146"/>
      <c r="ANX3" s="146"/>
      <c r="ANY3" s="146"/>
      <c r="ANZ3" s="146"/>
      <c r="AOA3" s="146"/>
      <c r="AOB3" s="146"/>
      <c r="AOC3" s="146"/>
      <c r="AOD3" s="146"/>
      <c r="AOE3" s="146"/>
      <c r="AOF3" s="146"/>
      <c r="AOG3" s="146"/>
      <c r="AOH3" s="146"/>
      <c r="AOI3" s="146"/>
      <c r="AOJ3" s="146"/>
      <c r="AOK3" s="146"/>
      <c r="AOL3" s="146"/>
      <c r="AOM3" s="146"/>
      <c r="AON3" s="146"/>
      <c r="AOO3" s="146"/>
      <c r="AOP3" s="146"/>
      <c r="AOQ3" s="146"/>
      <c r="AOR3" s="146"/>
      <c r="AOS3" s="146"/>
      <c r="AOT3" s="146"/>
      <c r="AOU3" s="146"/>
      <c r="AOV3" s="146"/>
      <c r="AOW3" s="146"/>
      <c r="AOX3" s="146"/>
      <c r="AOY3" s="146"/>
      <c r="AOZ3" s="146"/>
      <c r="APA3" s="146"/>
      <c r="APB3" s="146"/>
      <c r="APC3" s="146"/>
      <c r="APD3" s="146"/>
      <c r="APE3" s="146"/>
      <c r="APF3" s="146"/>
      <c r="APG3" s="146"/>
      <c r="APH3" s="146"/>
      <c r="API3" s="146"/>
      <c r="APJ3" s="146"/>
      <c r="APK3" s="146"/>
      <c r="APL3" s="146"/>
      <c r="APM3" s="146"/>
      <c r="APN3" s="146"/>
      <c r="APO3" s="146"/>
      <c r="APP3" s="146"/>
      <c r="APQ3" s="146"/>
      <c r="APR3" s="146"/>
      <c r="APS3" s="146"/>
      <c r="APT3" s="146"/>
      <c r="APU3" s="146"/>
      <c r="APV3" s="146"/>
      <c r="APW3" s="146"/>
      <c r="APX3" s="146"/>
      <c r="APY3" s="146"/>
      <c r="APZ3" s="146"/>
      <c r="AQA3" s="146"/>
      <c r="AQB3" s="146"/>
      <c r="AQC3" s="146"/>
      <c r="AQD3" s="146"/>
      <c r="AQE3" s="146"/>
      <c r="AQF3" s="146"/>
      <c r="AQG3" s="146"/>
      <c r="AQH3" s="146"/>
      <c r="AQI3" s="146"/>
      <c r="AQJ3" s="146"/>
      <c r="AQK3" s="146"/>
      <c r="AQL3" s="146"/>
      <c r="AQM3" s="146"/>
      <c r="AQN3" s="146"/>
      <c r="AQO3" s="146"/>
      <c r="AQP3" s="146"/>
      <c r="AQQ3" s="146"/>
      <c r="AQR3" s="146"/>
      <c r="AQS3" s="146"/>
      <c r="AQT3" s="146"/>
      <c r="AQU3" s="146"/>
      <c r="AQV3" s="146"/>
      <c r="AQW3" s="146"/>
      <c r="AQX3" s="146"/>
      <c r="AQY3" s="146"/>
      <c r="AQZ3" s="146"/>
      <c r="ARA3" s="146"/>
      <c r="ARB3" s="146"/>
      <c r="ARC3" s="146"/>
      <c r="ARD3" s="146"/>
      <c r="ARE3" s="146"/>
      <c r="ARF3" s="146"/>
      <c r="ARG3" s="146"/>
      <c r="ARH3" s="146"/>
      <c r="ARI3" s="146"/>
      <c r="ARJ3" s="146"/>
      <c r="ARK3" s="146"/>
      <c r="ARL3" s="146"/>
      <c r="ARM3" s="146"/>
      <c r="ARN3" s="146"/>
      <c r="ARO3" s="146"/>
      <c r="ARP3" s="146"/>
      <c r="ARQ3" s="146"/>
      <c r="ARR3" s="146"/>
      <c r="ARS3" s="146"/>
      <c r="ART3" s="146"/>
      <c r="ARU3" s="146"/>
      <c r="ARV3" s="146"/>
      <c r="ARW3" s="146"/>
      <c r="ARX3" s="146"/>
      <c r="ARY3" s="146"/>
      <c r="ARZ3" s="146"/>
      <c r="ASA3" s="146"/>
      <c r="ASB3" s="146"/>
      <c r="ASC3" s="146"/>
      <c r="ASD3" s="146"/>
      <c r="ASE3" s="146"/>
      <c r="ASF3" s="146"/>
      <c r="ASG3" s="146"/>
      <c r="ASH3" s="146"/>
      <c r="ASI3" s="146"/>
      <c r="ASJ3" s="146"/>
      <c r="ASK3" s="146"/>
      <c r="ASL3" s="146"/>
      <c r="ASM3" s="146"/>
      <c r="ASN3" s="146"/>
      <c r="ASO3" s="146"/>
      <c r="ASP3" s="146"/>
      <c r="ASQ3" s="146"/>
      <c r="ASR3" s="146"/>
      <c r="ASS3" s="146"/>
      <c r="AST3" s="146"/>
      <c r="ASU3" s="146"/>
      <c r="ASV3" s="146"/>
      <c r="ASW3" s="146"/>
      <c r="ASX3" s="146"/>
      <c r="ASY3" s="146"/>
      <c r="ASZ3" s="146"/>
      <c r="ATA3" s="146"/>
      <c r="ATB3" s="146"/>
      <c r="ATC3" s="146"/>
      <c r="ATD3" s="146"/>
      <c r="ATE3" s="146"/>
      <c r="ATF3" s="146"/>
      <c r="ATG3" s="146"/>
      <c r="ATH3" s="146"/>
      <c r="ATI3" s="146"/>
      <c r="ATJ3" s="146"/>
      <c r="ATK3" s="146"/>
      <c r="ATL3" s="146"/>
      <c r="ATM3" s="146"/>
      <c r="ATN3" s="146"/>
      <c r="ATO3" s="146"/>
      <c r="ATP3" s="146"/>
      <c r="ATQ3" s="146"/>
      <c r="ATR3" s="146"/>
      <c r="ATS3" s="146"/>
      <c r="ATT3" s="146"/>
      <c r="ATU3" s="146"/>
      <c r="ATV3" s="146"/>
      <c r="ATW3" s="146"/>
      <c r="ATX3" s="146"/>
      <c r="ATY3" s="146"/>
      <c r="ATZ3" s="146"/>
      <c r="AUA3" s="146"/>
      <c r="AUB3" s="146"/>
      <c r="AUC3" s="146"/>
      <c r="AUD3" s="146"/>
      <c r="AUE3" s="146"/>
      <c r="AUF3" s="146"/>
      <c r="AUG3" s="146"/>
      <c r="AUH3" s="146"/>
      <c r="AUI3" s="146"/>
      <c r="AUJ3" s="146"/>
      <c r="AUK3" s="146"/>
      <c r="AUL3" s="146"/>
      <c r="AUM3" s="146"/>
      <c r="AUN3" s="146"/>
      <c r="AUO3" s="146"/>
      <c r="AUP3" s="146"/>
      <c r="AUQ3" s="146"/>
      <c r="AUR3" s="146"/>
      <c r="AUS3" s="146"/>
      <c r="AUT3" s="146"/>
      <c r="AUU3" s="146"/>
      <c r="AUV3" s="146"/>
      <c r="AUW3" s="146"/>
      <c r="AUX3" s="146"/>
      <c r="AUY3" s="146"/>
      <c r="AUZ3" s="146"/>
      <c r="AVA3" s="146"/>
      <c r="AVB3" s="146"/>
      <c r="AVC3" s="146"/>
      <c r="AVD3" s="146"/>
      <c r="AVE3" s="146"/>
      <c r="AVF3" s="146"/>
      <c r="AVG3" s="146"/>
      <c r="AVH3" s="146"/>
      <c r="AVI3" s="146"/>
      <c r="AVJ3" s="146"/>
      <c r="AVK3" s="146"/>
      <c r="AVL3" s="146"/>
      <c r="AVM3" s="146"/>
      <c r="AVN3" s="146"/>
      <c r="AVO3" s="146"/>
      <c r="AVP3" s="146"/>
      <c r="AVQ3" s="146"/>
      <c r="AVR3" s="146"/>
      <c r="AVS3" s="146"/>
      <c r="AVT3" s="146"/>
      <c r="AVU3" s="146"/>
      <c r="AVV3" s="146"/>
      <c r="AVW3" s="146"/>
      <c r="AVX3" s="146"/>
      <c r="AVY3" s="146"/>
      <c r="AVZ3" s="146"/>
      <c r="AWA3" s="146"/>
      <c r="AWB3" s="146"/>
      <c r="AWC3" s="146"/>
      <c r="AWD3" s="146"/>
      <c r="AWE3" s="146"/>
      <c r="AWF3" s="146"/>
      <c r="AWG3" s="146"/>
      <c r="AWH3" s="146"/>
      <c r="AWI3" s="146"/>
      <c r="AWJ3" s="146"/>
      <c r="AWK3" s="146"/>
      <c r="AWL3" s="146"/>
      <c r="AWM3" s="146"/>
      <c r="AWN3" s="146"/>
      <c r="AWO3" s="146"/>
      <c r="AWP3" s="146"/>
      <c r="AWQ3" s="146"/>
      <c r="AWR3" s="146"/>
      <c r="AWS3" s="146"/>
      <c r="AWT3" s="146"/>
      <c r="AWU3" s="146"/>
      <c r="AWV3" s="146"/>
      <c r="AWW3" s="146"/>
      <c r="AWX3" s="146"/>
      <c r="AWY3" s="146"/>
      <c r="AWZ3" s="146"/>
      <c r="AXA3" s="146"/>
      <c r="AXB3" s="146"/>
      <c r="AXC3" s="146"/>
      <c r="AXD3" s="146"/>
      <c r="AXE3" s="146"/>
      <c r="AXF3" s="146"/>
      <c r="AXG3" s="146"/>
      <c r="AXH3" s="146"/>
      <c r="AXI3" s="146"/>
      <c r="AXJ3" s="146"/>
      <c r="AXK3" s="146"/>
      <c r="AXL3" s="146"/>
      <c r="AXM3" s="146"/>
      <c r="AXN3" s="146"/>
      <c r="AXO3" s="146"/>
      <c r="AXP3" s="146"/>
      <c r="AXQ3" s="146"/>
      <c r="AXR3" s="146"/>
      <c r="AXS3" s="146"/>
      <c r="AXT3" s="146"/>
      <c r="AXU3" s="146"/>
      <c r="AXV3" s="146"/>
      <c r="AXW3" s="146"/>
      <c r="AXX3" s="146"/>
      <c r="AXY3" s="146"/>
      <c r="AXZ3" s="146"/>
      <c r="AYA3" s="146"/>
      <c r="AYB3" s="146"/>
      <c r="AYC3" s="146"/>
      <c r="AYD3" s="146"/>
      <c r="AYE3" s="146"/>
      <c r="AYF3" s="146"/>
      <c r="AYG3" s="146"/>
      <c r="AYH3" s="146"/>
      <c r="AYI3" s="146"/>
      <c r="AYJ3" s="146"/>
      <c r="AYK3" s="146"/>
      <c r="AYL3" s="146"/>
      <c r="AYM3" s="146"/>
      <c r="AYN3" s="146"/>
      <c r="AYO3" s="146"/>
      <c r="AYP3" s="146"/>
      <c r="AYQ3" s="146"/>
      <c r="AYR3" s="146"/>
      <c r="AYS3" s="146"/>
      <c r="AYT3" s="146"/>
      <c r="AYU3" s="146"/>
      <c r="AYV3" s="146"/>
      <c r="AYW3" s="146"/>
      <c r="AYX3" s="146"/>
      <c r="AYY3" s="146"/>
      <c r="AYZ3" s="146"/>
      <c r="AZA3" s="146"/>
      <c r="AZB3" s="146"/>
      <c r="AZC3" s="146"/>
      <c r="AZD3" s="146"/>
      <c r="AZE3" s="146"/>
      <c r="AZF3" s="146"/>
      <c r="AZG3" s="146"/>
      <c r="AZH3" s="146"/>
      <c r="AZI3" s="146"/>
      <c r="AZJ3" s="146"/>
      <c r="AZK3" s="146"/>
      <c r="AZL3" s="146"/>
      <c r="AZM3" s="146"/>
      <c r="AZN3" s="146"/>
      <c r="AZO3" s="146"/>
      <c r="AZP3" s="146"/>
      <c r="AZQ3" s="146"/>
      <c r="AZR3" s="146"/>
      <c r="AZS3" s="146"/>
      <c r="AZT3" s="146"/>
      <c r="AZU3" s="146"/>
      <c r="AZV3" s="146"/>
      <c r="AZW3" s="146"/>
      <c r="AZX3" s="146"/>
      <c r="AZY3" s="146"/>
      <c r="AZZ3" s="146"/>
      <c r="BAA3" s="146"/>
      <c r="BAB3" s="146"/>
      <c r="BAC3" s="146"/>
      <c r="BAD3" s="146"/>
      <c r="BAE3" s="146"/>
      <c r="BAF3" s="146"/>
      <c r="BAG3" s="146"/>
      <c r="BAH3" s="146"/>
      <c r="BAI3" s="146"/>
      <c r="BAJ3" s="146"/>
      <c r="BAK3" s="146"/>
      <c r="BAL3" s="146"/>
      <c r="BAM3" s="146"/>
      <c r="BAN3" s="146"/>
      <c r="BAO3" s="146"/>
      <c r="BAP3" s="146"/>
      <c r="BAQ3" s="146"/>
      <c r="BAR3" s="146"/>
      <c r="BAS3" s="146"/>
      <c r="BAT3" s="146"/>
      <c r="BAU3" s="146"/>
      <c r="BAV3" s="146"/>
      <c r="BAW3" s="146"/>
      <c r="BAX3" s="146"/>
      <c r="BAY3" s="146"/>
      <c r="BAZ3" s="146"/>
      <c r="BBA3" s="146"/>
      <c r="BBB3" s="146"/>
      <c r="BBC3" s="146"/>
      <c r="BBD3" s="146"/>
      <c r="BBE3" s="146"/>
      <c r="BBF3" s="146"/>
      <c r="BBG3" s="146"/>
      <c r="BBH3" s="146"/>
      <c r="BBI3" s="146"/>
      <c r="BBJ3" s="146"/>
      <c r="BBK3" s="146"/>
      <c r="BBL3" s="146"/>
      <c r="BBM3" s="146"/>
      <c r="BBN3" s="146"/>
      <c r="BBO3" s="146"/>
      <c r="BBP3" s="146"/>
      <c r="BBQ3" s="146"/>
      <c r="BBR3" s="146"/>
      <c r="BBS3" s="146"/>
      <c r="BBT3" s="146"/>
      <c r="BBU3" s="146"/>
      <c r="BBV3" s="146"/>
      <c r="BBW3" s="146"/>
      <c r="BBX3" s="146"/>
      <c r="BBY3" s="146"/>
      <c r="BBZ3" s="146"/>
      <c r="BCA3" s="146"/>
      <c r="BCB3" s="146"/>
      <c r="BCC3" s="146"/>
      <c r="BCD3" s="146"/>
      <c r="BCE3" s="146"/>
      <c r="BCF3" s="146"/>
      <c r="BCG3" s="146"/>
      <c r="BCH3" s="146"/>
      <c r="BCI3" s="146"/>
      <c r="BCJ3" s="146"/>
      <c r="BCK3" s="146"/>
      <c r="BCL3" s="146"/>
      <c r="BCM3" s="146"/>
      <c r="BCN3" s="146"/>
      <c r="BCO3" s="146"/>
      <c r="BCP3" s="146"/>
      <c r="BCQ3" s="146"/>
      <c r="BCR3" s="146"/>
      <c r="BCS3" s="146"/>
      <c r="BCT3" s="146"/>
      <c r="BCU3" s="146"/>
      <c r="BCV3" s="146"/>
      <c r="BCW3" s="146"/>
      <c r="BCX3" s="146"/>
      <c r="BCY3" s="146"/>
      <c r="BCZ3" s="146"/>
      <c r="BDA3" s="146"/>
      <c r="BDB3" s="146"/>
      <c r="BDC3" s="146"/>
      <c r="BDD3" s="146"/>
      <c r="BDE3" s="146"/>
      <c r="BDF3" s="146"/>
      <c r="BDG3" s="146"/>
      <c r="BDH3" s="146"/>
      <c r="BDI3" s="146"/>
      <c r="BDJ3" s="146"/>
      <c r="BDK3" s="146"/>
      <c r="BDL3" s="146"/>
      <c r="BDM3" s="146"/>
      <c r="BDN3" s="146"/>
      <c r="BDO3" s="146"/>
      <c r="BDP3" s="146"/>
      <c r="BDQ3" s="146"/>
      <c r="BDR3" s="146"/>
      <c r="BDS3" s="146"/>
      <c r="BDT3" s="146"/>
      <c r="BDU3" s="146"/>
      <c r="BDV3" s="146"/>
      <c r="BDW3" s="146"/>
      <c r="BDX3" s="146"/>
      <c r="BDY3" s="146"/>
      <c r="BDZ3" s="146"/>
      <c r="BEA3" s="146"/>
      <c r="BEB3" s="146"/>
      <c r="BEC3" s="146"/>
      <c r="BED3" s="146"/>
      <c r="BEE3" s="146"/>
      <c r="BEF3" s="146"/>
      <c r="BEG3" s="146"/>
      <c r="BEH3" s="146"/>
      <c r="BEI3" s="146"/>
      <c r="BEJ3" s="146"/>
      <c r="BEK3" s="146"/>
      <c r="BEL3" s="146"/>
      <c r="BEM3" s="146"/>
      <c r="BEN3" s="146"/>
      <c r="BEO3" s="146"/>
      <c r="BEP3" s="146"/>
      <c r="BEQ3" s="146"/>
      <c r="BER3" s="146"/>
      <c r="BES3" s="146"/>
      <c r="BET3" s="146"/>
      <c r="BEU3" s="146"/>
      <c r="BEV3" s="146"/>
      <c r="BEW3" s="146"/>
      <c r="BEX3" s="146"/>
      <c r="BEY3" s="146"/>
      <c r="BEZ3" s="146"/>
      <c r="BFA3" s="146"/>
      <c r="BFB3" s="146"/>
      <c r="BFC3" s="146"/>
      <c r="BFD3" s="146"/>
      <c r="BFE3" s="146"/>
      <c r="BFF3" s="146"/>
      <c r="BFG3" s="146"/>
      <c r="BFH3" s="146"/>
      <c r="BFI3" s="146"/>
      <c r="BFJ3" s="146"/>
      <c r="BFK3" s="146"/>
      <c r="BFL3" s="146"/>
      <c r="BFM3" s="146"/>
      <c r="BFN3" s="146"/>
      <c r="BFO3" s="146"/>
      <c r="BFP3" s="146"/>
      <c r="BFQ3" s="146"/>
      <c r="BFR3" s="146"/>
      <c r="BFS3" s="146"/>
      <c r="BFT3" s="146"/>
      <c r="BFU3" s="146"/>
      <c r="BFV3" s="146"/>
      <c r="BFW3" s="146"/>
      <c r="BFX3" s="146"/>
      <c r="BFY3" s="146"/>
      <c r="BFZ3" s="146"/>
      <c r="BGA3" s="146"/>
      <c r="BGB3" s="146"/>
      <c r="BGC3" s="146"/>
      <c r="BGD3" s="146"/>
      <c r="BGE3" s="146"/>
      <c r="BGF3" s="146"/>
      <c r="BGG3" s="146"/>
      <c r="BGH3" s="146"/>
      <c r="BGI3" s="146"/>
      <c r="BGJ3" s="146"/>
      <c r="BGK3" s="146"/>
      <c r="BGL3" s="146"/>
      <c r="BGM3" s="146"/>
      <c r="BGN3" s="146"/>
      <c r="BGO3" s="146"/>
      <c r="BGP3" s="146"/>
      <c r="BGQ3" s="146"/>
      <c r="BGR3" s="146"/>
      <c r="BGS3" s="146"/>
      <c r="BGT3" s="146"/>
      <c r="BGU3" s="146"/>
      <c r="BGV3" s="146"/>
      <c r="BGW3" s="146"/>
      <c r="BGX3" s="146"/>
      <c r="BGY3" s="146"/>
      <c r="BGZ3" s="146"/>
      <c r="BHA3" s="146"/>
      <c r="BHB3" s="146"/>
      <c r="BHC3" s="146"/>
      <c r="BHD3" s="146"/>
      <c r="BHE3" s="146"/>
      <c r="BHF3" s="146"/>
      <c r="BHG3" s="146"/>
      <c r="BHH3" s="146"/>
      <c r="BHI3" s="146"/>
      <c r="BHJ3" s="146"/>
      <c r="BHK3" s="146"/>
      <c r="BHL3" s="146"/>
      <c r="BHM3" s="146"/>
      <c r="BHN3" s="146"/>
      <c r="BHO3" s="146"/>
      <c r="BHP3" s="146"/>
      <c r="BHQ3" s="146"/>
      <c r="BHR3" s="146"/>
      <c r="BHS3" s="146"/>
      <c r="BHT3" s="146"/>
      <c r="BHU3" s="146"/>
      <c r="BHV3" s="146"/>
      <c r="BHW3" s="146"/>
      <c r="BHX3" s="146"/>
      <c r="BHY3" s="146"/>
      <c r="BHZ3" s="146"/>
      <c r="BIA3" s="146"/>
      <c r="BIB3" s="146"/>
      <c r="BIC3" s="146"/>
      <c r="BID3" s="146"/>
      <c r="BIE3" s="146"/>
      <c r="BIF3" s="146"/>
      <c r="BIG3" s="146"/>
      <c r="BIH3" s="146"/>
      <c r="BII3" s="146"/>
      <c r="BIJ3" s="146"/>
      <c r="BIK3" s="146"/>
      <c r="BIL3" s="146"/>
      <c r="BIM3" s="146"/>
      <c r="BIN3" s="146"/>
      <c r="BIO3" s="146"/>
      <c r="BIP3" s="146"/>
      <c r="BIQ3" s="146"/>
      <c r="BIR3" s="146"/>
      <c r="BIS3" s="146"/>
      <c r="BIT3" s="146"/>
      <c r="BIU3" s="146"/>
      <c r="BIV3" s="146"/>
      <c r="BIW3" s="146"/>
      <c r="BIX3" s="146"/>
      <c r="BIY3" s="146"/>
      <c r="BIZ3" s="146"/>
      <c r="BJA3" s="146"/>
      <c r="BJB3" s="146"/>
      <c r="BJC3" s="146"/>
      <c r="BJD3" s="146"/>
      <c r="BJE3" s="146"/>
      <c r="BJF3" s="146"/>
      <c r="BJG3" s="146"/>
      <c r="BJH3" s="146"/>
      <c r="BJI3" s="146"/>
      <c r="BJJ3" s="146"/>
      <c r="BJK3" s="146"/>
      <c r="BJL3" s="146"/>
      <c r="BJM3" s="146"/>
      <c r="BJN3" s="146"/>
      <c r="BJO3" s="146"/>
      <c r="BJP3" s="146"/>
      <c r="BJQ3" s="146"/>
      <c r="BJR3" s="146"/>
      <c r="BJS3" s="146"/>
      <c r="BJT3" s="146"/>
      <c r="BJU3" s="146"/>
      <c r="BJV3" s="146"/>
      <c r="BJW3" s="146"/>
      <c r="BJX3" s="146"/>
      <c r="BJY3" s="146"/>
      <c r="BJZ3" s="146"/>
      <c r="BKA3" s="146"/>
      <c r="BKB3" s="146"/>
      <c r="BKC3" s="146"/>
      <c r="BKD3" s="146"/>
      <c r="BKE3" s="146"/>
      <c r="BKF3" s="146"/>
      <c r="BKG3" s="146"/>
      <c r="BKH3" s="146"/>
      <c r="BKI3" s="146"/>
      <c r="BKJ3" s="146"/>
      <c r="BKK3" s="146"/>
      <c r="BKL3" s="146"/>
      <c r="BKM3" s="146"/>
      <c r="BKN3" s="146"/>
      <c r="BKO3" s="146"/>
      <c r="BKP3" s="146"/>
      <c r="BKQ3" s="146"/>
      <c r="BKR3" s="146"/>
      <c r="BKS3" s="146"/>
      <c r="BKT3" s="146"/>
      <c r="BKU3" s="146"/>
      <c r="BKV3" s="146"/>
      <c r="BKW3" s="146"/>
      <c r="BKX3" s="146"/>
      <c r="BKY3" s="146"/>
      <c r="BKZ3" s="146"/>
      <c r="BLA3" s="146"/>
      <c r="BLB3" s="146"/>
      <c r="BLC3" s="146"/>
      <c r="BLD3" s="146"/>
      <c r="BLE3" s="146"/>
      <c r="BLF3" s="146"/>
      <c r="BLG3" s="146"/>
      <c r="BLH3" s="146"/>
      <c r="BLI3" s="146"/>
      <c r="BLJ3" s="146"/>
      <c r="BLK3" s="146"/>
      <c r="BLL3" s="146"/>
      <c r="BLM3" s="146"/>
      <c r="BLN3" s="146"/>
      <c r="BLO3" s="146"/>
      <c r="BLP3" s="146"/>
      <c r="BLQ3" s="146"/>
      <c r="BLR3" s="146"/>
      <c r="BLS3" s="146"/>
      <c r="BLT3" s="146"/>
      <c r="BLU3" s="146"/>
      <c r="BLV3" s="146"/>
      <c r="BLW3" s="146"/>
      <c r="BLX3" s="146"/>
      <c r="BLY3" s="146"/>
      <c r="BLZ3" s="146"/>
      <c r="BMA3" s="146"/>
      <c r="BMB3" s="146"/>
      <c r="BMC3" s="146"/>
      <c r="BMD3" s="146"/>
      <c r="BME3" s="146"/>
      <c r="BMF3" s="146"/>
      <c r="BMG3" s="146"/>
      <c r="BMH3" s="146"/>
      <c r="BMI3" s="146"/>
      <c r="BMJ3" s="146"/>
      <c r="BMK3" s="146"/>
      <c r="BML3" s="146"/>
      <c r="BMM3" s="146"/>
      <c r="BMN3" s="146"/>
      <c r="BMO3" s="146"/>
      <c r="BMP3" s="146"/>
      <c r="BMQ3" s="146"/>
      <c r="BMR3" s="146"/>
      <c r="BMS3" s="146"/>
      <c r="BMT3" s="146"/>
      <c r="BMU3" s="146"/>
      <c r="BMV3" s="146"/>
      <c r="BMW3" s="146"/>
      <c r="BMX3" s="146"/>
      <c r="BMY3" s="146"/>
      <c r="BMZ3" s="146"/>
      <c r="BNA3" s="146"/>
      <c r="BNB3" s="146"/>
      <c r="BNC3" s="146"/>
      <c r="BND3" s="146"/>
      <c r="BNE3" s="146"/>
      <c r="BNF3" s="146"/>
      <c r="BNG3" s="146"/>
      <c r="BNH3" s="146"/>
      <c r="BNI3" s="146"/>
      <c r="BNJ3" s="146"/>
      <c r="BNK3" s="146"/>
      <c r="BNL3" s="146"/>
      <c r="BNM3" s="146"/>
      <c r="BNN3" s="146"/>
      <c r="BNO3" s="146"/>
      <c r="BNP3" s="146"/>
      <c r="BNQ3" s="146"/>
      <c r="BNR3" s="146"/>
      <c r="BNS3" s="146"/>
      <c r="BNT3" s="146"/>
      <c r="BNU3" s="146"/>
      <c r="BNV3" s="146"/>
      <c r="BNW3" s="146"/>
      <c r="BNX3" s="146"/>
      <c r="BNY3" s="146"/>
      <c r="BNZ3" s="146"/>
      <c r="BOA3" s="146"/>
      <c r="BOB3" s="146"/>
      <c r="BOC3" s="146"/>
      <c r="BOD3" s="146"/>
      <c r="BOE3" s="146"/>
      <c r="BOF3" s="146"/>
      <c r="BOG3" s="146"/>
      <c r="BOH3" s="146"/>
      <c r="BOI3" s="146"/>
      <c r="BOJ3" s="146"/>
      <c r="BOK3" s="146"/>
      <c r="BOL3" s="146"/>
      <c r="BOM3" s="146"/>
      <c r="BON3" s="146"/>
      <c r="BOO3" s="146"/>
      <c r="BOP3" s="146"/>
      <c r="BOQ3" s="146"/>
      <c r="BOR3" s="146"/>
      <c r="BOS3" s="146"/>
      <c r="BOT3" s="146"/>
      <c r="BOU3" s="146"/>
      <c r="BOV3" s="146"/>
      <c r="BOW3" s="146"/>
      <c r="BOX3" s="146"/>
      <c r="BOY3" s="146"/>
      <c r="BOZ3" s="146"/>
      <c r="BPA3" s="146"/>
      <c r="BPB3" s="146"/>
      <c r="BPC3" s="146"/>
      <c r="BPD3" s="146"/>
      <c r="BPE3" s="146"/>
      <c r="BPF3" s="146"/>
      <c r="BPG3" s="146"/>
      <c r="BPH3" s="146"/>
      <c r="BPI3" s="146"/>
      <c r="BPJ3" s="146"/>
      <c r="BPK3" s="146"/>
      <c r="BPL3" s="146"/>
      <c r="BPM3" s="146"/>
      <c r="BPN3" s="146"/>
      <c r="BPO3" s="146"/>
      <c r="BPP3" s="146"/>
      <c r="BPQ3" s="146"/>
      <c r="BPR3" s="146"/>
      <c r="BPS3" s="146"/>
      <c r="BPT3" s="146"/>
      <c r="BPU3" s="146"/>
      <c r="BPV3" s="146"/>
      <c r="BPW3" s="146"/>
      <c r="BPX3" s="146"/>
      <c r="BPY3" s="146"/>
      <c r="BPZ3" s="146"/>
      <c r="BQA3" s="146"/>
      <c r="BQB3" s="146"/>
      <c r="BQC3" s="146"/>
      <c r="BQD3" s="146"/>
      <c r="BQE3" s="146"/>
      <c r="BQF3" s="146"/>
      <c r="BQG3" s="146"/>
      <c r="BQH3" s="146"/>
      <c r="BQI3" s="146"/>
      <c r="BQJ3" s="146"/>
      <c r="BQK3" s="146"/>
      <c r="BQL3" s="146"/>
      <c r="BQM3" s="146"/>
      <c r="BQN3" s="146"/>
      <c r="BQO3" s="146"/>
      <c r="BQP3" s="146"/>
      <c r="BQQ3" s="146"/>
      <c r="BQR3" s="146"/>
      <c r="BQS3" s="146"/>
      <c r="BQT3" s="146"/>
      <c r="BQU3" s="146"/>
      <c r="BQV3" s="146"/>
      <c r="BQW3" s="146"/>
      <c r="BQX3" s="146"/>
      <c r="BQY3" s="146"/>
      <c r="BQZ3" s="146"/>
      <c r="BRA3" s="146"/>
      <c r="BRB3" s="146"/>
      <c r="BRC3" s="146"/>
      <c r="BRD3" s="146"/>
      <c r="BRE3" s="146"/>
      <c r="BRF3" s="146"/>
      <c r="BRG3" s="146"/>
      <c r="BRH3" s="146"/>
      <c r="BRI3" s="146"/>
      <c r="BRJ3" s="146"/>
      <c r="BRK3" s="146"/>
      <c r="BRL3" s="146"/>
      <c r="BRM3" s="146"/>
      <c r="BRN3" s="146"/>
      <c r="BRO3" s="146"/>
      <c r="BRP3" s="146"/>
      <c r="BRQ3" s="146"/>
      <c r="BRR3" s="146"/>
      <c r="BRS3" s="146"/>
      <c r="BRT3" s="146"/>
      <c r="BRU3" s="146"/>
      <c r="BRV3" s="146"/>
      <c r="BRW3" s="146"/>
      <c r="BRX3" s="146"/>
      <c r="BRY3" s="146"/>
      <c r="BRZ3" s="146"/>
      <c r="BSA3" s="146"/>
      <c r="BSB3" s="146"/>
      <c r="BSC3" s="146"/>
      <c r="BSD3" s="146"/>
      <c r="BSE3" s="146"/>
      <c r="BSF3" s="146"/>
      <c r="BSG3" s="146"/>
      <c r="BSH3" s="146"/>
      <c r="BSI3" s="146"/>
      <c r="BSJ3" s="146"/>
      <c r="BSK3" s="146"/>
      <c r="BSL3" s="146"/>
      <c r="BSM3" s="146"/>
      <c r="BSN3" s="146"/>
      <c r="BSO3" s="146"/>
      <c r="BSP3" s="146"/>
      <c r="BSQ3" s="146"/>
      <c r="BSR3" s="146"/>
      <c r="BSS3" s="146"/>
      <c r="BST3" s="146"/>
      <c r="BSU3" s="146"/>
      <c r="BSV3" s="146"/>
      <c r="BSW3" s="146"/>
      <c r="BSX3" s="146"/>
      <c r="BSY3" s="146"/>
      <c r="BSZ3" s="146"/>
      <c r="BTA3" s="146"/>
      <c r="BTB3" s="146"/>
      <c r="BTC3" s="146"/>
      <c r="BTD3" s="146"/>
      <c r="BTE3" s="146"/>
      <c r="BTF3" s="146"/>
      <c r="BTG3" s="146"/>
      <c r="BTH3" s="146"/>
      <c r="BTI3" s="146"/>
      <c r="BTJ3" s="146"/>
      <c r="BTK3" s="146"/>
      <c r="BTL3" s="146"/>
      <c r="BTM3" s="146"/>
      <c r="BTN3" s="146"/>
      <c r="BTO3" s="146"/>
      <c r="BTP3" s="146"/>
      <c r="BTQ3" s="146"/>
      <c r="BTR3" s="146"/>
      <c r="BTS3" s="146"/>
      <c r="BTT3" s="146"/>
      <c r="BTU3" s="146"/>
      <c r="BTV3" s="146"/>
      <c r="BTW3" s="146"/>
      <c r="BTX3" s="146"/>
      <c r="BTY3" s="146"/>
      <c r="BTZ3" s="146"/>
      <c r="BUA3" s="146"/>
      <c r="BUB3" s="146"/>
      <c r="BUC3" s="146"/>
      <c r="BUD3" s="146"/>
      <c r="BUE3" s="146"/>
      <c r="BUF3" s="146"/>
      <c r="BUG3" s="146"/>
      <c r="BUH3" s="146"/>
      <c r="BUI3" s="146"/>
      <c r="BUJ3" s="146"/>
      <c r="BUK3" s="146"/>
      <c r="BUL3" s="146"/>
      <c r="BUM3" s="146"/>
      <c r="BUN3" s="146"/>
      <c r="BUO3" s="146"/>
      <c r="BUP3" s="146"/>
      <c r="BUQ3" s="146"/>
      <c r="BUR3" s="146"/>
      <c r="BUS3" s="146"/>
      <c r="BUT3" s="146"/>
      <c r="BUU3" s="146"/>
      <c r="BUV3" s="146"/>
      <c r="BUW3" s="146"/>
      <c r="BUX3" s="146"/>
      <c r="BUY3" s="146"/>
      <c r="BUZ3" s="146"/>
      <c r="BVA3" s="146"/>
      <c r="BVB3" s="146"/>
      <c r="BVC3" s="146"/>
      <c r="BVD3" s="146"/>
      <c r="BVE3" s="146"/>
      <c r="BVF3" s="146"/>
      <c r="BVG3" s="146"/>
      <c r="BVH3" s="146"/>
      <c r="BVI3" s="146"/>
      <c r="BVJ3" s="146"/>
      <c r="BVK3" s="146"/>
      <c r="BVL3" s="146"/>
      <c r="BVM3" s="146"/>
      <c r="BVN3" s="146"/>
      <c r="BVO3" s="146"/>
      <c r="BVP3" s="146"/>
      <c r="BVQ3" s="146"/>
      <c r="BVR3" s="146"/>
      <c r="BVS3" s="146"/>
      <c r="BVT3" s="146"/>
      <c r="BVU3" s="146"/>
      <c r="BVV3" s="146"/>
      <c r="BVW3" s="146"/>
      <c r="BVX3" s="146"/>
      <c r="BVY3" s="146"/>
      <c r="BVZ3" s="146"/>
      <c r="BWA3" s="146"/>
      <c r="BWB3" s="146"/>
      <c r="BWC3" s="146"/>
      <c r="BWD3" s="146"/>
      <c r="BWE3" s="146"/>
      <c r="BWF3" s="146"/>
      <c r="BWG3" s="146"/>
      <c r="BWH3" s="146"/>
      <c r="BWI3" s="146"/>
      <c r="BWJ3" s="146"/>
      <c r="BWK3" s="146"/>
      <c r="BWL3" s="146"/>
      <c r="BWM3" s="146"/>
      <c r="BWN3" s="146"/>
      <c r="BWO3" s="146"/>
      <c r="BWP3" s="146"/>
      <c r="BWQ3" s="146"/>
      <c r="BWR3" s="146"/>
      <c r="BWS3" s="146"/>
      <c r="BWT3" s="146"/>
      <c r="BWU3" s="146"/>
      <c r="BWV3" s="146"/>
      <c r="BWW3" s="146"/>
      <c r="BWX3" s="146"/>
      <c r="BWY3" s="146"/>
      <c r="BWZ3" s="146"/>
      <c r="BXA3" s="146"/>
      <c r="BXB3" s="146"/>
      <c r="BXC3" s="146"/>
      <c r="BXD3" s="146"/>
      <c r="BXE3" s="146"/>
      <c r="BXF3" s="146"/>
      <c r="BXG3" s="146"/>
      <c r="BXH3" s="146"/>
      <c r="BXI3" s="146"/>
      <c r="BXJ3" s="146"/>
      <c r="BXK3" s="146"/>
      <c r="BXL3" s="146"/>
      <c r="BXM3" s="146"/>
      <c r="BXN3" s="146"/>
      <c r="BXO3" s="146"/>
      <c r="BXP3" s="146"/>
      <c r="BXQ3" s="146"/>
      <c r="BXR3" s="146"/>
      <c r="BXS3" s="146"/>
      <c r="BXT3" s="146"/>
      <c r="BXU3" s="146"/>
      <c r="BXV3" s="146"/>
      <c r="BXW3" s="146"/>
      <c r="BXX3" s="146"/>
      <c r="BXY3" s="146"/>
      <c r="BXZ3" s="146"/>
      <c r="BYA3" s="146"/>
      <c r="BYB3" s="146"/>
      <c r="BYC3" s="146"/>
      <c r="BYD3" s="146"/>
      <c r="BYE3" s="146"/>
      <c r="BYF3" s="146"/>
      <c r="BYG3" s="146"/>
      <c r="BYH3" s="146"/>
      <c r="BYI3" s="146"/>
      <c r="BYJ3" s="146"/>
      <c r="BYK3" s="146"/>
      <c r="BYL3" s="146"/>
      <c r="BYM3" s="146"/>
      <c r="BYN3" s="146"/>
      <c r="BYO3" s="146"/>
      <c r="BYP3" s="146"/>
      <c r="BYQ3" s="146"/>
      <c r="BYR3" s="146"/>
      <c r="BYS3" s="146"/>
      <c r="BYT3" s="146"/>
      <c r="BYU3" s="146"/>
      <c r="BYV3" s="146"/>
      <c r="BYW3" s="146"/>
      <c r="BYX3" s="146"/>
      <c r="BYY3" s="146"/>
      <c r="BYZ3" s="146"/>
      <c r="BZA3" s="146"/>
      <c r="BZB3" s="146"/>
      <c r="BZC3" s="146"/>
      <c r="BZD3" s="146"/>
      <c r="BZE3" s="146"/>
      <c r="BZF3" s="146"/>
      <c r="BZG3" s="146"/>
      <c r="BZH3" s="146"/>
      <c r="BZI3" s="146"/>
      <c r="BZJ3" s="146"/>
      <c r="BZK3" s="146"/>
      <c r="BZL3" s="146"/>
      <c r="BZM3" s="146"/>
      <c r="BZN3" s="146"/>
      <c r="BZO3" s="146"/>
      <c r="BZP3" s="146"/>
      <c r="BZQ3" s="146"/>
      <c r="BZR3" s="146"/>
      <c r="BZS3" s="146"/>
      <c r="BZT3" s="146"/>
      <c r="BZU3" s="146"/>
      <c r="BZV3" s="146"/>
      <c r="BZW3" s="146"/>
      <c r="BZX3" s="146"/>
      <c r="BZY3" s="146"/>
      <c r="BZZ3" s="146"/>
      <c r="CAA3" s="146"/>
      <c r="CAB3" s="146"/>
      <c r="CAC3" s="146"/>
      <c r="CAD3" s="146"/>
      <c r="CAE3" s="146"/>
      <c r="CAF3" s="146"/>
      <c r="CAG3" s="146"/>
      <c r="CAH3" s="146"/>
      <c r="CAI3" s="146"/>
      <c r="CAJ3" s="146"/>
      <c r="CAK3" s="146"/>
      <c r="CAL3" s="146"/>
      <c r="CAM3" s="146"/>
      <c r="CAN3" s="146"/>
      <c r="CAO3" s="146"/>
      <c r="CAP3" s="146"/>
      <c r="CAQ3" s="146"/>
      <c r="CAR3" s="146"/>
      <c r="CAS3" s="146"/>
      <c r="CAT3" s="146"/>
      <c r="CAU3" s="146"/>
      <c r="CAV3" s="146"/>
      <c r="CAW3" s="146"/>
      <c r="CAX3" s="146"/>
      <c r="CAY3" s="146"/>
      <c r="CAZ3" s="146"/>
      <c r="CBA3" s="146"/>
      <c r="CBB3" s="146"/>
      <c r="CBC3" s="146"/>
      <c r="CBD3" s="146"/>
      <c r="CBE3" s="146"/>
      <c r="CBF3" s="146"/>
      <c r="CBG3" s="146"/>
      <c r="CBH3" s="146"/>
      <c r="CBI3" s="146"/>
      <c r="CBJ3" s="146"/>
      <c r="CBK3" s="146"/>
      <c r="CBL3" s="146"/>
      <c r="CBM3" s="146"/>
      <c r="CBN3" s="146"/>
      <c r="CBO3" s="146"/>
      <c r="CBP3" s="146"/>
      <c r="CBQ3" s="146"/>
      <c r="CBR3" s="146"/>
      <c r="CBS3" s="146"/>
      <c r="CBT3" s="146"/>
      <c r="CBU3" s="146"/>
      <c r="CBV3" s="146"/>
      <c r="CBW3" s="146"/>
      <c r="CBX3" s="146"/>
      <c r="CBY3" s="146"/>
      <c r="CBZ3" s="146"/>
      <c r="CCA3" s="146"/>
      <c r="CCB3" s="146"/>
      <c r="CCC3" s="146"/>
      <c r="CCD3" s="146"/>
      <c r="CCE3" s="146"/>
      <c r="CCF3" s="146"/>
      <c r="CCG3" s="146"/>
      <c r="CCH3" s="146"/>
      <c r="CCI3" s="146"/>
      <c r="CCJ3" s="146"/>
      <c r="CCK3" s="146"/>
      <c r="CCL3" s="146"/>
      <c r="CCM3" s="146"/>
      <c r="CCN3" s="146"/>
      <c r="CCO3" s="146"/>
      <c r="CCP3" s="146"/>
      <c r="CCQ3" s="146"/>
      <c r="CCR3" s="146"/>
      <c r="CCS3" s="146"/>
      <c r="CCT3" s="146"/>
      <c r="CCU3" s="146"/>
      <c r="CCV3" s="146"/>
      <c r="CCW3" s="146"/>
      <c r="CCX3" s="146"/>
      <c r="CCY3" s="146"/>
      <c r="CCZ3" s="146"/>
      <c r="CDA3" s="146"/>
      <c r="CDB3" s="146"/>
      <c r="CDC3" s="146"/>
      <c r="CDD3" s="146"/>
      <c r="CDE3" s="146"/>
      <c r="CDF3" s="146"/>
      <c r="CDG3" s="146"/>
      <c r="CDH3" s="146"/>
      <c r="CDI3" s="146"/>
      <c r="CDJ3" s="146"/>
      <c r="CDK3" s="146"/>
      <c r="CDL3" s="146"/>
      <c r="CDM3" s="146"/>
      <c r="CDN3" s="146"/>
      <c r="CDO3" s="146"/>
      <c r="CDP3" s="146"/>
      <c r="CDQ3" s="146"/>
      <c r="CDR3" s="146"/>
      <c r="CDS3" s="146"/>
      <c r="CDT3" s="146"/>
      <c r="CDU3" s="146"/>
      <c r="CDV3" s="146"/>
      <c r="CDW3" s="146"/>
      <c r="CDX3" s="146"/>
      <c r="CDY3" s="146"/>
      <c r="CDZ3" s="146"/>
      <c r="CEA3" s="146"/>
      <c r="CEB3" s="146"/>
      <c r="CEC3" s="146"/>
      <c r="CED3" s="146"/>
      <c r="CEE3" s="146"/>
      <c r="CEF3" s="146"/>
      <c r="CEG3" s="146"/>
      <c r="CEH3" s="146"/>
      <c r="CEI3" s="146"/>
      <c r="CEJ3" s="146"/>
      <c r="CEK3" s="146"/>
      <c r="CEL3" s="146"/>
      <c r="CEM3" s="146"/>
      <c r="CEN3" s="146"/>
      <c r="CEO3" s="146"/>
      <c r="CEP3" s="146"/>
      <c r="CEQ3" s="146"/>
      <c r="CER3" s="146"/>
      <c r="CES3" s="146"/>
      <c r="CET3" s="146"/>
      <c r="CEU3" s="146"/>
      <c r="CEV3" s="146"/>
      <c r="CEW3" s="146"/>
      <c r="CEX3" s="146"/>
      <c r="CEY3" s="146"/>
      <c r="CEZ3" s="146"/>
      <c r="CFA3" s="146"/>
      <c r="CFB3" s="146"/>
      <c r="CFC3" s="146"/>
      <c r="CFD3" s="146"/>
      <c r="CFE3" s="146"/>
      <c r="CFF3" s="146"/>
      <c r="CFG3" s="146"/>
      <c r="CFH3" s="146"/>
      <c r="CFI3" s="146"/>
      <c r="CFJ3" s="146"/>
      <c r="CFK3" s="146"/>
      <c r="CFL3" s="146"/>
      <c r="CFM3" s="146"/>
      <c r="CFN3" s="146"/>
      <c r="CFO3" s="146"/>
      <c r="CFP3" s="146"/>
      <c r="CFQ3" s="146"/>
      <c r="CFR3" s="146"/>
      <c r="CFS3" s="146"/>
      <c r="CFT3" s="146"/>
      <c r="CFU3" s="146"/>
      <c r="CFV3" s="146"/>
      <c r="CFW3" s="146"/>
      <c r="CFX3" s="146"/>
      <c r="CFY3" s="146"/>
      <c r="CFZ3" s="146"/>
      <c r="CGA3" s="146"/>
      <c r="CGB3" s="146"/>
      <c r="CGC3" s="146"/>
      <c r="CGD3" s="146"/>
      <c r="CGE3" s="146"/>
      <c r="CGF3" s="146"/>
      <c r="CGG3" s="146"/>
      <c r="CGH3" s="146"/>
      <c r="CGI3" s="146"/>
      <c r="CGJ3" s="146"/>
      <c r="CGK3" s="146"/>
      <c r="CGL3" s="146"/>
      <c r="CGM3" s="146"/>
      <c r="CGN3" s="146"/>
      <c r="CGO3" s="146"/>
      <c r="CGP3" s="146"/>
      <c r="CGQ3" s="146"/>
      <c r="CGR3" s="146"/>
      <c r="CGS3" s="146"/>
      <c r="CGT3" s="146"/>
      <c r="CGU3" s="146"/>
      <c r="CGV3" s="146"/>
      <c r="CGW3" s="146"/>
      <c r="CGX3" s="146"/>
      <c r="CGY3" s="146"/>
      <c r="CGZ3" s="146"/>
      <c r="CHA3" s="146"/>
      <c r="CHB3" s="146"/>
      <c r="CHC3" s="146"/>
      <c r="CHD3" s="146"/>
      <c r="CHE3" s="146"/>
      <c r="CHF3" s="146"/>
      <c r="CHG3" s="146"/>
      <c r="CHH3" s="146"/>
      <c r="CHI3" s="146"/>
      <c r="CHJ3" s="146"/>
      <c r="CHK3" s="146"/>
      <c r="CHL3" s="146"/>
      <c r="CHM3" s="146"/>
      <c r="CHN3" s="146"/>
      <c r="CHO3" s="146"/>
      <c r="CHP3" s="146"/>
      <c r="CHQ3" s="146"/>
      <c r="CHR3" s="146"/>
      <c r="CHS3" s="146"/>
      <c r="CHT3" s="146"/>
      <c r="CHU3" s="146"/>
      <c r="CHV3" s="146"/>
      <c r="CHW3" s="146"/>
      <c r="CHX3" s="146"/>
      <c r="CHY3" s="146"/>
      <c r="CHZ3" s="146"/>
      <c r="CIA3" s="146"/>
      <c r="CIB3" s="146"/>
      <c r="CIC3" s="146"/>
      <c r="CID3" s="146"/>
      <c r="CIE3" s="146"/>
      <c r="CIF3" s="146"/>
      <c r="CIG3" s="146"/>
      <c r="CIH3" s="146"/>
      <c r="CII3" s="146"/>
      <c r="CIJ3" s="146"/>
      <c r="CIK3" s="146"/>
      <c r="CIL3" s="146"/>
      <c r="CIM3" s="146"/>
      <c r="CIN3" s="146"/>
      <c r="CIO3" s="146"/>
      <c r="CIP3" s="146"/>
      <c r="CIQ3" s="146"/>
      <c r="CIR3" s="146"/>
      <c r="CIS3" s="146"/>
      <c r="CIT3" s="146"/>
      <c r="CIU3" s="146"/>
      <c r="CIV3" s="146"/>
      <c r="CIW3" s="146"/>
      <c r="CIX3" s="146"/>
      <c r="CIY3" s="146"/>
      <c r="CIZ3" s="146"/>
      <c r="CJA3" s="146"/>
      <c r="CJB3" s="146"/>
      <c r="CJC3" s="146"/>
      <c r="CJD3" s="146"/>
      <c r="CJE3" s="146"/>
      <c r="CJF3" s="146"/>
      <c r="CJG3" s="146"/>
      <c r="CJH3" s="146"/>
      <c r="CJI3" s="146"/>
      <c r="CJJ3" s="146"/>
      <c r="CJK3" s="146"/>
      <c r="CJL3" s="146"/>
      <c r="CJM3" s="146"/>
      <c r="CJN3" s="146"/>
      <c r="CJO3" s="146"/>
      <c r="CJP3" s="146"/>
      <c r="CJQ3" s="146"/>
      <c r="CJR3" s="146"/>
      <c r="CJS3" s="146"/>
      <c r="CJT3" s="146"/>
      <c r="CJU3" s="146"/>
      <c r="CJV3" s="146"/>
      <c r="CJW3" s="146"/>
      <c r="CJX3" s="146"/>
      <c r="CJY3" s="146"/>
      <c r="CJZ3" s="146"/>
      <c r="CKA3" s="146"/>
      <c r="CKB3" s="146"/>
      <c r="CKC3" s="146"/>
      <c r="CKD3" s="146"/>
      <c r="CKE3" s="146"/>
      <c r="CKF3" s="146"/>
      <c r="CKG3" s="146"/>
      <c r="CKH3" s="146"/>
      <c r="CKI3" s="146"/>
      <c r="CKJ3" s="146"/>
      <c r="CKK3" s="146"/>
      <c r="CKL3" s="146"/>
      <c r="CKM3" s="146"/>
      <c r="CKN3" s="146"/>
      <c r="CKO3" s="146"/>
      <c r="CKP3" s="146"/>
      <c r="CKQ3" s="146"/>
      <c r="CKR3" s="146"/>
      <c r="CKS3" s="146"/>
      <c r="CKT3" s="146"/>
      <c r="CKU3" s="146"/>
      <c r="CKV3" s="146"/>
      <c r="CKW3" s="146"/>
      <c r="CKX3" s="146"/>
      <c r="CKY3" s="146"/>
      <c r="CKZ3" s="146"/>
      <c r="CLA3" s="146"/>
      <c r="CLB3" s="146"/>
      <c r="CLC3" s="146"/>
      <c r="CLD3" s="146"/>
      <c r="CLE3" s="146"/>
      <c r="CLF3" s="146"/>
      <c r="CLG3" s="146"/>
      <c r="CLH3" s="146"/>
      <c r="CLI3" s="146"/>
      <c r="CLJ3" s="146"/>
      <c r="CLK3" s="146"/>
      <c r="CLL3" s="146"/>
      <c r="CLM3" s="146"/>
      <c r="CLN3" s="146"/>
      <c r="CLO3" s="146"/>
      <c r="CLP3" s="146"/>
      <c r="CLQ3" s="146"/>
      <c r="CLR3" s="146"/>
      <c r="CLS3" s="146"/>
      <c r="CLT3" s="146"/>
      <c r="CLU3" s="146"/>
      <c r="CLV3" s="146"/>
      <c r="CLW3" s="146"/>
      <c r="CLX3" s="146"/>
      <c r="CLY3" s="146"/>
      <c r="CLZ3" s="146"/>
      <c r="CMA3" s="146"/>
      <c r="CMB3" s="146"/>
      <c r="CMC3" s="146"/>
      <c r="CMD3" s="146"/>
      <c r="CME3" s="146"/>
      <c r="CMF3" s="146"/>
      <c r="CMG3" s="146"/>
      <c r="CMH3" s="146"/>
      <c r="CMI3" s="146"/>
      <c r="CMJ3" s="146"/>
      <c r="CMK3" s="146"/>
      <c r="CML3" s="146"/>
      <c r="CMM3" s="146"/>
      <c r="CMN3" s="146"/>
      <c r="CMO3" s="146"/>
      <c r="CMP3" s="146"/>
      <c r="CMQ3" s="146"/>
      <c r="CMR3" s="146"/>
      <c r="CMS3" s="146"/>
      <c r="CMT3" s="146"/>
      <c r="CMU3" s="146"/>
      <c r="CMV3" s="146"/>
      <c r="CMW3" s="146"/>
      <c r="CMX3" s="146"/>
      <c r="CMY3" s="146"/>
      <c r="CMZ3" s="146"/>
      <c r="CNA3" s="146"/>
      <c r="CNB3" s="146"/>
      <c r="CNC3" s="146"/>
      <c r="CND3" s="146"/>
      <c r="CNE3" s="146"/>
      <c r="CNF3" s="146"/>
      <c r="CNG3" s="146"/>
      <c r="CNH3" s="146"/>
      <c r="CNI3" s="146"/>
      <c r="CNJ3" s="146"/>
      <c r="CNK3" s="146"/>
      <c r="CNL3" s="146"/>
      <c r="CNM3" s="146"/>
      <c r="CNN3" s="146"/>
      <c r="CNO3" s="146"/>
      <c r="CNP3" s="146"/>
      <c r="CNQ3" s="146"/>
      <c r="CNR3" s="146"/>
      <c r="CNS3" s="146"/>
      <c r="CNT3" s="146"/>
      <c r="CNU3" s="146"/>
      <c r="CNV3" s="146"/>
      <c r="CNW3" s="146"/>
      <c r="CNX3" s="146"/>
      <c r="CNY3" s="146"/>
      <c r="CNZ3" s="146"/>
      <c r="COA3" s="146"/>
      <c r="COB3" s="146"/>
      <c r="COC3" s="146"/>
      <c r="COD3" s="146"/>
      <c r="COE3" s="146"/>
      <c r="COF3" s="146"/>
      <c r="COG3" s="146"/>
      <c r="COH3" s="146"/>
      <c r="COI3" s="146"/>
      <c r="COJ3" s="146"/>
      <c r="COK3" s="146"/>
      <c r="COL3" s="146"/>
      <c r="COM3" s="146"/>
      <c r="CON3" s="146"/>
      <c r="COO3" s="146"/>
      <c r="COP3" s="146"/>
      <c r="COQ3" s="146"/>
      <c r="COR3" s="146"/>
      <c r="COS3" s="146"/>
      <c r="COT3" s="146"/>
      <c r="COU3" s="146"/>
      <c r="COV3" s="146"/>
      <c r="COW3" s="146"/>
      <c r="COX3" s="146"/>
      <c r="COY3" s="146"/>
      <c r="COZ3" s="146"/>
      <c r="CPA3" s="146"/>
      <c r="CPB3" s="146"/>
      <c r="CPC3" s="146"/>
      <c r="CPD3" s="146"/>
      <c r="CPE3" s="146"/>
      <c r="CPF3" s="146"/>
      <c r="CPG3" s="146"/>
      <c r="CPH3" s="146"/>
      <c r="CPI3" s="146"/>
      <c r="CPJ3" s="146"/>
      <c r="CPK3" s="146"/>
      <c r="CPL3" s="146"/>
      <c r="CPM3" s="146"/>
      <c r="CPN3" s="146"/>
      <c r="CPO3" s="146"/>
      <c r="CPP3" s="146"/>
      <c r="CPQ3" s="146"/>
      <c r="CPR3" s="146"/>
      <c r="CPS3" s="146"/>
      <c r="CPT3" s="146"/>
      <c r="CPU3" s="146"/>
      <c r="CPV3" s="146"/>
      <c r="CPW3" s="146"/>
      <c r="CPX3" s="146"/>
      <c r="CPY3" s="146"/>
      <c r="CPZ3" s="146"/>
      <c r="CQA3" s="146"/>
      <c r="CQB3" s="146"/>
      <c r="CQC3" s="146"/>
      <c r="CQD3" s="146"/>
      <c r="CQE3" s="146"/>
      <c r="CQF3" s="146"/>
      <c r="CQG3" s="146"/>
      <c r="CQH3" s="146"/>
      <c r="CQI3" s="146"/>
      <c r="CQJ3" s="146"/>
      <c r="CQK3" s="146"/>
      <c r="CQL3" s="146"/>
      <c r="CQM3" s="146"/>
      <c r="CQN3" s="146"/>
      <c r="CQO3" s="146"/>
      <c r="CQP3" s="146"/>
      <c r="CQQ3" s="146"/>
      <c r="CQR3" s="146"/>
      <c r="CQS3" s="146"/>
      <c r="CQT3" s="146"/>
      <c r="CQU3" s="146"/>
      <c r="CQV3" s="146"/>
      <c r="CQW3" s="146"/>
      <c r="CQX3" s="146"/>
      <c r="CQY3" s="146"/>
      <c r="CQZ3" s="146"/>
      <c r="CRA3" s="146"/>
      <c r="CRB3" s="146"/>
      <c r="CRC3" s="146"/>
      <c r="CRD3" s="146"/>
      <c r="CRE3" s="146"/>
      <c r="CRF3" s="146"/>
      <c r="CRG3" s="146"/>
      <c r="CRH3" s="146"/>
      <c r="CRI3" s="146"/>
      <c r="CRJ3" s="146"/>
      <c r="CRK3" s="146"/>
      <c r="CRL3" s="146"/>
      <c r="CRM3" s="146"/>
      <c r="CRN3" s="146"/>
      <c r="CRO3" s="146"/>
      <c r="CRP3" s="146"/>
      <c r="CRQ3" s="146"/>
      <c r="CRR3" s="146"/>
      <c r="CRS3" s="146"/>
      <c r="CRT3" s="146"/>
      <c r="CRU3" s="146"/>
      <c r="CRV3" s="146"/>
      <c r="CRW3" s="146"/>
      <c r="CRX3" s="146"/>
      <c r="CRY3" s="146"/>
      <c r="CRZ3" s="146"/>
      <c r="CSA3" s="146"/>
      <c r="CSB3" s="146"/>
      <c r="CSC3" s="146"/>
      <c r="CSD3" s="146"/>
      <c r="CSE3" s="146"/>
      <c r="CSF3" s="146"/>
      <c r="CSG3" s="146"/>
      <c r="CSH3" s="146"/>
      <c r="CSI3" s="146"/>
      <c r="CSJ3" s="146"/>
      <c r="CSK3" s="146"/>
      <c r="CSL3" s="146"/>
      <c r="CSM3" s="146"/>
      <c r="CSN3" s="146"/>
      <c r="CSO3" s="146"/>
      <c r="CSP3" s="146"/>
      <c r="CSQ3" s="146"/>
      <c r="CSR3" s="146"/>
      <c r="CSS3" s="146"/>
      <c r="CST3" s="146"/>
      <c r="CSU3" s="146"/>
      <c r="CSV3" s="146"/>
      <c r="CSW3" s="146"/>
      <c r="CSX3" s="146"/>
      <c r="CSY3" s="146"/>
      <c r="CSZ3" s="146"/>
      <c r="CTA3" s="146"/>
      <c r="CTB3" s="146"/>
      <c r="CTC3" s="146"/>
      <c r="CTD3" s="146"/>
      <c r="CTE3" s="146"/>
      <c r="CTF3" s="146"/>
      <c r="CTG3" s="146"/>
      <c r="CTH3" s="146"/>
      <c r="CTI3" s="146"/>
      <c r="CTJ3" s="146"/>
      <c r="CTK3" s="146"/>
      <c r="CTL3" s="146"/>
      <c r="CTM3" s="146"/>
      <c r="CTN3" s="146"/>
      <c r="CTO3" s="146"/>
      <c r="CTP3" s="146"/>
      <c r="CTQ3" s="146"/>
      <c r="CTR3" s="146"/>
      <c r="CTS3" s="146"/>
      <c r="CTT3" s="146"/>
      <c r="CTU3" s="146"/>
      <c r="CTV3" s="146"/>
      <c r="CTW3" s="146"/>
      <c r="CTX3" s="146"/>
      <c r="CTY3" s="146"/>
      <c r="CTZ3" s="146"/>
      <c r="CUA3" s="146"/>
      <c r="CUB3" s="146"/>
      <c r="CUC3" s="146"/>
      <c r="CUD3" s="146"/>
      <c r="CUE3" s="146"/>
      <c r="CUF3" s="146"/>
      <c r="CUG3" s="146"/>
      <c r="CUH3" s="146"/>
      <c r="CUI3" s="146"/>
      <c r="CUJ3" s="146"/>
      <c r="CUK3" s="146"/>
      <c r="CUL3" s="146"/>
      <c r="CUM3" s="146"/>
      <c r="CUN3" s="146"/>
      <c r="CUO3" s="146"/>
      <c r="CUP3" s="146"/>
      <c r="CUQ3" s="146"/>
      <c r="CUR3" s="146"/>
      <c r="CUS3" s="146"/>
      <c r="CUT3" s="146"/>
      <c r="CUU3" s="146"/>
      <c r="CUV3" s="146"/>
      <c r="CUW3" s="146"/>
      <c r="CUX3" s="146"/>
      <c r="CUY3" s="146"/>
      <c r="CUZ3" s="146"/>
      <c r="CVA3" s="146"/>
      <c r="CVB3" s="146"/>
      <c r="CVC3" s="146"/>
      <c r="CVD3" s="146"/>
      <c r="CVE3" s="146"/>
      <c r="CVF3" s="146"/>
      <c r="CVG3" s="146"/>
      <c r="CVH3" s="146"/>
      <c r="CVI3" s="146"/>
      <c r="CVJ3" s="146"/>
      <c r="CVK3" s="146"/>
      <c r="CVL3" s="146"/>
      <c r="CVM3" s="146"/>
      <c r="CVN3" s="146"/>
      <c r="CVO3" s="146"/>
      <c r="CVP3" s="146"/>
      <c r="CVQ3" s="146"/>
      <c r="CVR3" s="146"/>
      <c r="CVS3" s="146"/>
      <c r="CVT3" s="146"/>
      <c r="CVU3" s="146"/>
      <c r="CVV3" s="146"/>
      <c r="CVW3" s="146"/>
      <c r="CVX3" s="146"/>
      <c r="CVY3" s="146"/>
      <c r="CVZ3" s="146"/>
      <c r="CWA3" s="146"/>
      <c r="CWB3" s="146"/>
      <c r="CWC3" s="146"/>
      <c r="CWD3" s="146"/>
      <c r="CWE3" s="146"/>
      <c r="CWF3" s="146"/>
      <c r="CWG3" s="146"/>
      <c r="CWH3" s="146"/>
      <c r="CWI3" s="146"/>
      <c r="CWJ3" s="146"/>
      <c r="CWK3" s="146"/>
      <c r="CWL3" s="146"/>
      <c r="CWM3" s="146"/>
      <c r="CWN3" s="146"/>
      <c r="CWO3" s="146"/>
      <c r="CWP3" s="146"/>
      <c r="CWQ3" s="146"/>
      <c r="CWR3" s="146"/>
      <c r="CWS3" s="146"/>
      <c r="CWT3" s="146"/>
      <c r="CWU3" s="146"/>
      <c r="CWV3" s="146"/>
      <c r="CWW3" s="146"/>
      <c r="CWX3" s="146"/>
      <c r="CWY3" s="146"/>
      <c r="CWZ3" s="146"/>
      <c r="CXA3" s="146"/>
      <c r="CXB3" s="146"/>
      <c r="CXC3" s="146"/>
      <c r="CXD3" s="146"/>
      <c r="CXE3" s="146"/>
      <c r="CXF3" s="146"/>
      <c r="CXG3" s="146"/>
      <c r="CXH3" s="146"/>
      <c r="CXI3" s="146"/>
      <c r="CXJ3" s="146"/>
      <c r="CXK3" s="146"/>
      <c r="CXL3" s="146"/>
      <c r="CXM3" s="146"/>
      <c r="CXN3" s="146"/>
      <c r="CXO3" s="146"/>
      <c r="CXP3" s="146"/>
      <c r="CXQ3" s="146"/>
      <c r="CXR3" s="146"/>
      <c r="CXS3" s="146"/>
      <c r="CXT3" s="146"/>
      <c r="CXU3" s="146"/>
      <c r="CXV3" s="146"/>
      <c r="CXW3" s="146"/>
      <c r="CXX3" s="146"/>
      <c r="CXY3" s="146"/>
      <c r="CXZ3" s="146"/>
      <c r="CYA3" s="146"/>
      <c r="CYB3" s="146"/>
      <c r="CYC3" s="146"/>
      <c r="CYD3" s="146"/>
      <c r="CYE3" s="146"/>
      <c r="CYF3" s="146"/>
      <c r="CYG3" s="146"/>
      <c r="CYH3" s="146"/>
      <c r="CYI3" s="146"/>
      <c r="CYJ3" s="146"/>
      <c r="CYK3" s="146"/>
      <c r="CYL3" s="146"/>
      <c r="CYM3" s="146"/>
      <c r="CYN3" s="146"/>
      <c r="CYO3" s="146"/>
      <c r="CYP3" s="146"/>
      <c r="CYQ3" s="146"/>
      <c r="CYR3" s="146"/>
      <c r="CYS3" s="146"/>
      <c r="CYT3" s="146"/>
      <c r="CYU3" s="146"/>
      <c r="CYV3" s="146"/>
      <c r="CYW3" s="146"/>
      <c r="CYX3" s="146"/>
      <c r="CYY3" s="146"/>
      <c r="CYZ3" s="146"/>
      <c r="CZA3" s="146"/>
      <c r="CZB3" s="146"/>
      <c r="CZC3" s="146"/>
      <c r="CZD3" s="146"/>
      <c r="CZE3" s="146"/>
      <c r="CZF3" s="146"/>
      <c r="CZG3" s="146"/>
      <c r="CZH3" s="146"/>
      <c r="CZI3" s="146"/>
      <c r="CZJ3" s="146"/>
      <c r="CZK3" s="146"/>
      <c r="CZL3" s="146"/>
      <c r="CZM3" s="146"/>
      <c r="CZN3" s="146"/>
      <c r="CZO3" s="146"/>
      <c r="CZP3" s="146"/>
      <c r="CZQ3" s="146"/>
      <c r="CZR3" s="146"/>
      <c r="CZS3" s="146"/>
      <c r="CZT3" s="146"/>
      <c r="CZU3" s="146"/>
      <c r="CZV3" s="146"/>
      <c r="CZW3" s="146"/>
      <c r="CZX3" s="146"/>
      <c r="CZY3" s="146"/>
      <c r="CZZ3" s="146"/>
      <c r="DAA3" s="146"/>
      <c r="DAB3" s="146"/>
      <c r="DAC3" s="146"/>
      <c r="DAD3" s="146"/>
      <c r="DAE3" s="146"/>
      <c r="DAF3" s="146"/>
      <c r="DAG3" s="146"/>
      <c r="DAH3" s="146"/>
      <c r="DAI3" s="146"/>
      <c r="DAJ3" s="146"/>
      <c r="DAK3" s="146"/>
      <c r="DAL3" s="146"/>
      <c r="DAM3" s="146"/>
      <c r="DAN3" s="146"/>
      <c r="DAO3" s="146"/>
      <c r="DAP3" s="146"/>
      <c r="DAQ3" s="146"/>
      <c r="DAR3" s="146"/>
      <c r="DAS3" s="146"/>
      <c r="DAT3" s="146"/>
      <c r="DAU3" s="146"/>
      <c r="DAV3" s="146"/>
      <c r="DAW3" s="146"/>
      <c r="DAX3" s="146"/>
      <c r="DAY3" s="146"/>
      <c r="DAZ3" s="146"/>
      <c r="DBA3" s="146"/>
      <c r="DBB3" s="146"/>
      <c r="DBC3" s="146"/>
      <c r="DBD3" s="146"/>
      <c r="DBE3" s="146"/>
      <c r="DBF3" s="146"/>
      <c r="DBG3" s="146"/>
      <c r="DBH3" s="146"/>
      <c r="DBI3" s="146"/>
      <c r="DBJ3" s="146"/>
      <c r="DBK3" s="146"/>
      <c r="DBL3" s="146"/>
      <c r="DBM3" s="146"/>
      <c r="DBN3" s="146"/>
      <c r="DBO3" s="146"/>
      <c r="DBP3" s="146"/>
      <c r="DBQ3" s="146"/>
      <c r="DBR3" s="146"/>
      <c r="DBS3" s="146"/>
      <c r="DBT3" s="146"/>
      <c r="DBU3" s="146"/>
      <c r="DBV3" s="146"/>
      <c r="DBW3" s="146"/>
      <c r="DBX3" s="146"/>
      <c r="DBY3" s="146"/>
      <c r="DBZ3" s="146"/>
      <c r="DCA3" s="146"/>
      <c r="DCB3" s="146"/>
      <c r="DCC3" s="146"/>
      <c r="DCD3" s="146"/>
      <c r="DCE3" s="146"/>
      <c r="DCF3" s="146"/>
      <c r="DCG3" s="146"/>
      <c r="DCH3" s="146"/>
      <c r="DCI3" s="146"/>
      <c r="DCJ3" s="146"/>
      <c r="DCK3" s="146"/>
      <c r="DCL3" s="146"/>
      <c r="DCM3" s="146"/>
      <c r="DCN3" s="146"/>
      <c r="DCO3" s="146"/>
      <c r="DCP3" s="146"/>
      <c r="DCQ3" s="146"/>
      <c r="DCR3" s="146"/>
      <c r="DCS3" s="146"/>
      <c r="DCT3" s="146"/>
      <c r="DCU3" s="146"/>
      <c r="DCV3" s="146"/>
      <c r="DCW3" s="146"/>
      <c r="DCX3" s="146"/>
      <c r="DCY3" s="146"/>
      <c r="DCZ3" s="146"/>
      <c r="DDA3" s="146"/>
      <c r="DDB3" s="146"/>
      <c r="DDC3" s="146"/>
      <c r="DDD3" s="146"/>
      <c r="DDE3" s="146"/>
      <c r="DDF3" s="146"/>
      <c r="DDG3" s="146"/>
      <c r="DDH3" s="146"/>
      <c r="DDI3" s="146"/>
      <c r="DDJ3" s="146"/>
      <c r="DDK3" s="146"/>
      <c r="DDL3" s="146"/>
      <c r="DDM3" s="146"/>
      <c r="DDN3" s="146"/>
      <c r="DDO3" s="146"/>
      <c r="DDP3" s="146"/>
      <c r="DDQ3" s="146"/>
      <c r="DDR3" s="146"/>
      <c r="DDS3" s="146"/>
      <c r="DDT3" s="146"/>
      <c r="DDU3" s="146"/>
      <c r="DDV3" s="146"/>
      <c r="DDW3" s="146"/>
      <c r="DDX3" s="146"/>
      <c r="DDY3" s="146"/>
      <c r="DDZ3" s="146"/>
      <c r="DEA3" s="146"/>
      <c r="DEB3" s="146"/>
      <c r="DEC3" s="146"/>
      <c r="DED3" s="146"/>
      <c r="DEE3" s="146"/>
      <c r="DEF3" s="146"/>
      <c r="DEG3" s="146"/>
      <c r="DEH3" s="146"/>
      <c r="DEI3" s="146"/>
      <c r="DEJ3" s="146"/>
      <c r="DEK3" s="146"/>
      <c r="DEL3" s="146"/>
      <c r="DEM3" s="146"/>
      <c r="DEN3" s="146"/>
      <c r="DEO3" s="146"/>
      <c r="DEP3" s="146"/>
      <c r="DEQ3" s="146"/>
      <c r="DER3" s="146"/>
      <c r="DES3" s="146"/>
      <c r="DET3" s="146"/>
      <c r="DEU3" s="146"/>
      <c r="DEV3" s="146"/>
      <c r="DEW3" s="146"/>
      <c r="DEX3" s="146"/>
      <c r="DEY3" s="146"/>
      <c r="DEZ3" s="146"/>
      <c r="DFA3" s="146"/>
      <c r="DFB3" s="146"/>
      <c r="DFC3" s="146"/>
      <c r="DFD3" s="146"/>
      <c r="DFE3" s="146"/>
      <c r="DFF3" s="146"/>
      <c r="DFG3" s="146"/>
      <c r="DFH3" s="146"/>
      <c r="DFI3" s="146"/>
      <c r="DFJ3" s="146"/>
      <c r="DFK3" s="146"/>
      <c r="DFL3" s="146"/>
      <c r="DFM3" s="146"/>
      <c r="DFN3" s="146"/>
      <c r="DFO3" s="146"/>
      <c r="DFP3" s="146"/>
      <c r="DFQ3" s="146"/>
      <c r="DFR3" s="146"/>
      <c r="DFS3" s="146"/>
      <c r="DFT3" s="146"/>
      <c r="DFU3" s="146"/>
      <c r="DFV3" s="146"/>
      <c r="DFW3" s="146"/>
      <c r="DFX3" s="146"/>
      <c r="DFY3" s="146"/>
      <c r="DFZ3" s="146"/>
      <c r="DGA3" s="146"/>
      <c r="DGB3" s="146"/>
      <c r="DGC3" s="146"/>
      <c r="DGD3" s="146"/>
      <c r="DGE3" s="146"/>
      <c r="DGF3" s="146"/>
      <c r="DGG3" s="146"/>
      <c r="DGH3" s="146"/>
      <c r="DGI3" s="146"/>
      <c r="DGJ3" s="146"/>
      <c r="DGK3" s="146"/>
      <c r="DGL3" s="146"/>
      <c r="DGM3" s="146"/>
      <c r="DGN3" s="146"/>
      <c r="DGO3" s="146"/>
      <c r="DGP3" s="146"/>
      <c r="DGQ3" s="146"/>
      <c r="DGR3" s="146"/>
      <c r="DGS3" s="146"/>
      <c r="DGT3" s="146"/>
      <c r="DGU3" s="146"/>
      <c r="DGV3" s="146"/>
      <c r="DGW3" s="146"/>
      <c r="DGX3" s="146"/>
      <c r="DGY3" s="146"/>
      <c r="DGZ3" s="146"/>
      <c r="DHA3" s="146"/>
      <c r="DHB3" s="146"/>
      <c r="DHC3" s="146"/>
      <c r="DHD3" s="146"/>
      <c r="DHE3" s="146"/>
      <c r="DHF3" s="146"/>
      <c r="DHG3" s="146"/>
      <c r="DHH3" s="146"/>
      <c r="DHI3" s="146"/>
      <c r="DHJ3" s="146"/>
      <c r="DHK3" s="146"/>
      <c r="DHL3" s="146"/>
      <c r="DHM3" s="146"/>
      <c r="DHN3" s="146"/>
      <c r="DHO3" s="146"/>
      <c r="DHP3" s="146"/>
      <c r="DHQ3" s="146"/>
      <c r="DHR3" s="146"/>
      <c r="DHS3" s="146"/>
      <c r="DHT3" s="146"/>
      <c r="DHU3" s="146"/>
      <c r="DHV3" s="146"/>
      <c r="DHW3" s="146"/>
      <c r="DHX3" s="146"/>
      <c r="DHY3" s="146"/>
      <c r="DHZ3" s="146"/>
      <c r="DIA3" s="146"/>
      <c r="DIB3" s="146"/>
      <c r="DIC3" s="146"/>
      <c r="DID3" s="146"/>
      <c r="DIE3" s="146"/>
      <c r="DIF3" s="146"/>
      <c r="DIG3" s="146"/>
      <c r="DIH3" s="146"/>
      <c r="DII3" s="146"/>
      <c r="DIJ3" s="146"/>
      <c r="DIK3" s="146"/>
      <c r="DIL3" s="146"/>
      <c r="DIM3" s="146"/>
      <c r="DIN3" s="146"/>
      <c r="DIO3" s="146"/>
      <c r="DIP3" s="146"/>
      <c r="DIQ3" s="146"/>
      <c r="DIR3" s="146"/>
      <c r="DIS3" s="146"/>
      <c r="DIT3" s="146"/>
      <c r="DIU3" s="146"/>
      <c r="DIV3" s="146"/>
      <c r="DIW3" s="146"/>
      <c r="DIX3" s="146"/>
      <c r="DIY3" s="146"/>
      <c r="DIZ3" s="146"/>
      <c r="DJA3" s="146"/>
      <c r="DJB3" s="146"/>
      <c r="DJC3" s="146"/>
      <c r="DJD3" s="146"/>
      <c r="DJE3" s="146"/>
      <c r="DJF3" s="146"/>
      <c r="DJG3" s="146"/>
      <c r="DJH3" s="146"/>
      <c r="DJI3" s="146"/>
      <c r="DJJ3" s="146"/>
      <c r="DJK3" s="146"/>
      <c r="DJL3" s="146"/>
      <c r="DJM3" s="146"/>
      <c r="DJN3" s="146"/>
      <c r="DJO3" s="146"/>
      <c r="DJP3" s="146"/>
      <c r="DJQ3" s="146"/>
      <c r="DJR3" s="146"/>
      <c r="DJS3" s="146"/>
      <c r="DJT3" s="146"/>
      <c r="DJU3" s="146"/>
      <c r="DJV3" s="146"/>
      <c r="DJW3" s="146"/>
      <c r="DJX3" s="146"/>
      <c r="DJY3" s="146"/>
      <c r="DJZ3" s="146"/>
      <c r="DKA3" s="146"/>
      <c r="DKB3" s="146"/>
      <c r="DKC3" s="146"/>
      <c r="DKD3" s="146"/>
      <c r="DKE3" s="146"/>
      <c r="DKF3" s="146"/>
      <c r="DKG3" s="146"/>
      <c r="DKH3" s="146"/>
      <c r="DKI3" s="146"/>
      <c r="DKJ3" s="146"/>
      <c r="DKK3" s="146"/>
      <c r="DKL3" s="146"/>
      <c r="DKM3" s="146"/>
      <c r="DKN3" s="146"/>
      <c r="DKO3" s="146"/>
      <c r="DKP3" s="146"/>
      <c r="DKQ3" s="146"/>
      <c r="DKR3" s="146"/>
      <c r="DKS3" s="146"/>
      <c r="DKT3" s="146"/>
      <c r="DKU3" s="146"/>
      <c r="DKV3" s="146"/>
      <c r="DKW3" s="146"/>
      <c r="DKX3" s="146"/>
      <c r="DKY3" s="146"/>
      <c r="DKZ3" s="146"/>
      <c r="DLA3" s="146"/>
      <c r="DLB3" s="146"/>
      <c r="DLC3" s="146"/>
      <c r="DLD3" s="146"/>
      <c r="DLE3" s="146"/>
      <c r="DLF3" s="146"/>
      <c r="DLG3" s="146"/>
      <c r="DLH3" s="146"/>
      <c r="DLI3" s="146"/>
      <c r="DLJ3" s="146"/>
      <c r="DLK3" s="146"/>
      <c r="DLL3" s="146"/>
      <c r="DLM3" s="146"/>
      <c r="DLN3" s="146"/>
      <c r="DLO3" s="146"/>
      <c r="DLP3" s="146"/>
      <c r="DLQ3" s="146"/>
      <c r="DLR3" s="146"/>
      <c r="DLS3" s="146"/>
      <c r="DLT3" s="146"/>
      <c r="DLU3" s="146"/>
      <c r="DLV3" s="146"/>
      <c r="DLW3" s="146"/>
      <c r="DLX3" s="146"/>
      <c r="DLY3" s="146"/>
      <c r="DLZ3" s="146"/>
      <c r="DMA3" s="146"/>
      <c r="DMB3" s="146"/>
      <c r="DMC3" s="146"/>
      <c r="DMD3" s="146"/>
      <c r="DME3" s="146"/>
      <c r="DMF3" s="146"/>
      <c r="DMG3" s="146"/>
      <c r="DMH3" s="146"/>
      <c r="DMI3" s="146"/>
      <c r="DMJ3" s="146"/>
      <c r="DMK3" s="146"/>
      <c r="DML3" s="146"/>
      <c r="DMM3" s="146"/>
      <c r="DMN3" s="146"/>
      <c r="DMO3" s="146"/>
      <c r="DMP3" s="146"/>
      <c r="DMQ3" s="146"/>
      <c r="DMR3" s="146"/>
      <c r="DMS3" s="146"/>
      <c r="DMT3" s="146"/>
      <c r="DMU3" s="146"/>
      <c r="DMV3" s="146"/>
      <c r="DMW3" s="146"/>
      <c r="DMX3" s="146"/>
      <c r="DMY3" s="146"/>
      <c r="DMZ3" s="146"/>
      <c r="DNA3" s="146"/>
      <c r="DNB3" s="146"/>
      <c r="DNC3" s="146"/>
      <c r="DND3" s="146"/>
      <c r="DNE3" s="146"/>
      <c r="DNF3" s="146"/>
      <c r="DNG3" s="146"/>
      <c r="DNH3" s="146"/>
      <c r="DNI3" s="146"/>
      <c r="DNJ3" s="146"/>
      <c r="DNK3" s="146"/>
      <c r="DNL3" s="146"/>
      <c r="DNM3" s="146"/>
      <c r="DNN3" s="146"/>
      <c r="DNO3" s="146"/>
      <c r="DNP3" s="146"/>
      <c r="DNQ3" s="146"/>
      <c r="DNR3" s="146"/>
      <c r="DNS3" s="146"/>
      <c r="DNT3" s="146"/>
      <c r="DNU3" s="146"/>
      <c r="DNV3" s="146"/>
      <c r="DNW3" s="146"/>
      <c r="DNX3" s="146"/>
      <c r="DNY3" s="146"/>
      <c r="DNZ3" s="146"/>
      <c r="DOA3" s="146"/>
      <c r="DOB3" s="146"/>
      <c r="DOC3" s="146"/>
      <c r="DOD3" s="146"/>
      <c r="DOE3" s="146"/>
      <c r="DOF3" s="146"/>
      <c r="DOG3" s="146"/>
      <c r="DOH3" s="146"/>
      <c r="DOI3" s="146"/>
      <c r="DOJ3" s="146"/>
      <c r="DOK3" s="146"/>
      <c r="DOL3" s="146"/>
      <c r="DOM3" s="146"/>
      <c r="DON3" s="146"/>
      <c r="DOO3" s="146"/>
      <c r="DOP3" s="146"/>
      <c r="DOQ3" s="146"/>
      <c r="DOR3" s="146"/>
      <c r="DOS3" s="146"/>
      <c r="DOT3" s="146"/>
      <c r="DOU3" s="146"/>
      <c r="DOV3" s="146"/>
      <c r="DOW3" s="146"/>
      <c r="DOX3" s="146"/>
      <c r="DOY3" s="146"/>
      <c r="DOZ3" s="146"/>
      <c r="DPA3" s="146"/>
      <c r="DPB3" s="146"/>
      <c r="DPC3" s="146"/>
      <c r="DPD3" s="146"/>
      <c r="DPE3" s="146"/>
      <c r="DPF3" s="146"/>
      <c r="DPG3" s="146"/>
      <c r="DPH3" s="146"/>
      <c r="DPI3" s="146"/>
      <c r="DPJ3" s="146"/>
      <c r="DPK3" s="146"/>
      <c r="DPL3" s="146"/>
      <c r="DPM3" s="146"/>
      <c r="DPN3" s="146"/>
      <c r="DPO3" s="146"/>
      <c r="DPP3" s="146"/>
      <c r="DPQ3" s="146"/>
      <c r="DPR3" s="146"/>
      <c r="DPS3" s="146"/>
      <c r="DPT3" s="146"/>
      <c r="DPU3" s="146"/>
      <c r="DPV3" s="146"/>
      <c r="DPW3" s="146"/>
      <c r="DPX3" s="146"/>
      <c r="DPY3" s="146"/>
      <c r="DPZ3" s="146"/>
      <c r="DQA3" s="146"/>
      <c r="DQB3" s="146"/>
      <c r="DQC3" s="146"/>
      <c r="DQD3" s="146"/>
      <c r="DQE3" s="146"/>
      <c r="DQF3" s="146"/>
      <c r="DQG3" s="146"/>
      <c r="DQH3" s="146"/>
      <c r="DQI3" s="146"/>
      <c r="DQJ3" s="146"/>
      <c r="DQK3" s="146"/>
      <c r="DQL3" s="146"/>
      <c r="DQM3" s="146"/>
      <c r="DQN3" s="146"/>
      <c r="DQO3" s="146"/>
      <c r="DQP3" s="146"/>
      <c r="DQQ3" s="146"/>
      <c r="DQR3" s="146"/>
      <c r="DQS3" s="146"/>
      <c r="DQT3" s="146"/>
      <c r="DQU3" s="146"/>
      <c r="DQV3" s="146"/>
      <c r="DQW3" s="146"/>
      <c r="DQX3" s="146"/>
      <c r="DQY3" s="146"/>
      <c r="DQZ3" s="146"/>
      <c r="DRA3" s="146"/>
      <c r="DRB3" s="146"/>
      <c r="DRC3" s="146"/>
      <c r="DRD3" s="146"/>
      <c r="DRE3" s="146"/>
      <c r="DRF3" s="146"/>
      <c r="DRG3" s="146"/>
      <c r="DRH3" s="146"/>
      <c r="DRI3" s="146"/>
      <c r="DRJ3" s="146"/>
      <c r="DRK3" s="146"/>
      <c r="DRL3" s="146"/>
      <c r="DRM3" s="146"/>
      <c r="DRN3" s="146"/>
      <c r="DRO3" s="146"/>
      <c r="DRP3" s="146"/>
      <c r="DRQ3" s="146"/>
      <c r="DRR3" s="146"/>
      <c r="DRS3" s="146"/>
      <c r="DRT3" s="146"/>
      <c r="DRU3" s="146"/>
      <c r="DRV3" s="146"/>
      <c r="DRW3" s="146"/>
      <c r="DRX3" s="146"/>
      <c r="DRY3" s="146"/>
      <c r="DRZ3" s="146"/>
      <c r="DSA3" s="146"/>
      <c r="DSB3" s="146"/>
      <c r="DSC3" s="146"/>
      <c r="DSD3" s="146"/>
      <c r="DSE3" s="146"/>
      <c r="DSF3" s="146"/>
      <c r="DSG3" s="146"/>
      <c r="DSH3" s="146"/>
      <c r="DSI3" s="146"/>
      <c r="DSJ3" s="146"/>
      <c r="DSK3" s="146"/>
      <c r="DSL3" s="146"/>
      <c r="DSM3" s="146"/>
      <c r="DSN3" s="146"/>
      <c r="DSO3" s="146"/>
      <c r="DSP3" s="146"/>
      <c r="DSQ3" s="146"/>
      <c r="DSR3" s="146"/>
      <c r="DSS3" s="146"/>
      <c r="DST3" s="146"/>
      <c r="DSU3" s="146"/>
      <c r="DSV3" s="146"/>
      <c r="DSW3" s="146"/>
      <c r="DSX3" s="146"/>
      <c r="DSY3" s="146"/>
      <c r="DSZ3" s="146"/>
      <c r="DTA3" s="146"/>
      <c r="DTB3" s="146"/>
      <c r="DTC3" s="146"/>
      <c r="DTD3" s="146"/>
      <c r="DTE3" s="146"/>
      <c r="DTF3" s="146"/>
      <c r="DTG3" s="146"/>
      <c r="DTH3" s="146"/>
      <c r="DTI3" s="146"/>
      <c r="DTJ3" s="146"/>
      <c r="DTK3" s="146"/>
      <c r="DTL3" s="146"/>
      <c r="DTM3" s="146"/>
      <c r="DTN3" s="146"/>
      <c r="DTO3" s="146"/>
      <c r="DTP3" s="146"/>
      <c r="DTQ3" s="146"/>
      <c r="DTR3" s="146"/>
      <c r="DTS3" s="146"/>
      <c r="DTT3" s="146"/>
      <c r="DTU3" s="146"/>
      <c r="DTV3" s="146"/>
      <c r="DTW3" s="146"/>
      <c r="DTX3" s="146"/>
      <c r="DTY3" s="146"/>
      <c r="DTZ3" s="146"/>
      <c r="DUA3" s="146"/>
      <c r="DUB3" s="146"/>
      <c r="DUC3" s="146"/>
      <c r="DUD3" s="146"/>
      <c r="DUE3" s="146"/>
      <c r="DUF3" s="146"/>
      <c r="DUG3" s="146"/>
      <c r="DUH3" s="146"/>
      <c r="DUI3" s="146"/>
      <c r="DUJ3" s="146"/>
      <c r="DUK3" s="146"/>
      <c r="DUL3" s="146"/>
      <c r="DUM3" s="146"/>
      <c r="DUN3" s="146"/>
      <c r="DUO3" s="146"/>
      <c r="DUP3" s="146"/>
      <c r="DUQ3" s="146"/>
      <c r="DUR3" s="146"/>
      <c r="DUS3" s="146"/>
      <c r="DUT3" s="146"/>
      <c r="DUU3" s="146"/>
      <c r="DUV3" s="146"/>
      <c r="DUW3" s="146"/>
      <c r="DUX3" s="146"/>
      <c r="DUY3" s="146"/>
      <c r="DUZ3" s="146"/>
      <c r="DVA3" s="146"/>
      <c r="DVB3" s="146"/>
      <c r="DVC3" s="146"/>
      <c r="DVD3" s="146"/>
      <c r="DVE3" s="146"/>
      <c r="DVF3" s="146"/>
      <c r="DVG3" s="146"/>
      <c r="DVH3" s="146"/>
      <c r="DVI3" s="146"/>
      <c r="DVJ3" s="146"/>
      <c r="DVK3" s="146"/>
      <c r="DVL3" s="146"/>
      <c r="DVM3" s="146"/>
      <c r="DVN3" s="146"/>
      <c r="DVO3" s="146"/>
      <c r="DVP3" s="146"/>
      <c r="DVQ3" s="146"/>
      <c r="DVR3" s="146"/>
      <c r="DVS3" s="146"/>
      <c r="DVT3" s="146"/>
      <c r="DVU3" s="146"/>
      <c r="DVV3" s="146"/>
      <c r="DVW3" s="146"/>
      <c r="DVX3" s="146"/>
      <c r="DVY3" s="146"/>
      <c r="DVZ3" s="146"/>
      <c r="DWA3" s="146"/>
      <c r="DWB3" s="146"/>
      <c r="DWC3" s="146"/>
      <c r="DWD3" s="146"/>
      <c r="DWE3" s="146"/>
      <c r="DWF3" s="146"/>
      <c r="DWG3" s="146"/>
      <c r="DWH3" s="146"/>
      <c r="DWI3" s="146"/>
      <c r="DWJ3" s="146"/>
      <c r="DWK3" s="146"/>
      <c r="DWL3" s="146"/>
      <c r="DWM3" s="146"/>
      <c r="DWN3" s="146"/>
      <c r="DWO3" s="146"/>
      <c r="DWP3" s="146"/>
      <c r="DWQ3" s="146"/>
      <c r="DWR3" s="146"/>
      <c r="DWS3" s="146"/>
      <c r="DWT3" s="146"/>
      <c r="DWU3" s="146"/>
      <c r="DWV3" s="146"/>
      <c r="DWW3" s="146"/>
      <c r="DWX3" s="146"/>
      <c r="DWY3" s="146"/>
      <c r="DWZ3" s="146"/>
      <c r="DXA3" s="146"/>
      <c r="DXB3" s="146"/>
      <c r="DXC3" s="146"/>
      <c r="DXD3" s="146"/>
      <c r="DXE3" s="146"/>
      <c r="DXF3" s="146"/>
      <c r="DXG3" s="146"/>
      <c r="DXH3" s="146"/>
      <c r="DXI3" s="146"/>
      <c r="DXJ3" s="146"/>
      <c r="DXK3" s="146"/>
      <c r="DXL3" s="146"/>
      <c r="DXM3" s="146"/>
      <c r="DXN3" s="146"/>
      <c r="DXO3" s="146"/>
      <c r="DXP3" s="146"/>
      <c r="DXQ3" s="146"/>
      <c r="DXR3" s="146"/>
      <c r="DXS3" s="146"/>
      <c r="DXT3" s="146"/>
      <c r="DXU3" s="146"/>
      <c r="DXV3" s="146"/>
      <c r="DXW3" s="146"/>
      <c r="DXX3" s="146"/>
      <c r="DXY3" s="146"/>
      <c r="DXZ3" s="146"/>
      <c r="DYA3" s="146"/>
      <c r="DYB3" s="146"/>
      <c r="DYC3" s="146"/>
      <c r="DYD3" s="146"/>
      <c r="DYE3" s="146"/>
      <c r="DYF3" s="146"/>
      <c r="DYG3" s="146"/>
      <c r="DYH3" s="146"/>
      <c r="DYI3" s="146"/>
      <c r="DYJ3" s="146"/>
      <c r="DYK3" s="146"/>
      <c r="DYL3" s="146"/>
      <c r="DYM3" s="146"/>
      <c r="DYN3" s="146"/>
      <c r="DYO3" s="146"/>
      <c r="DYP3" s="146"/>
      <c r="DYQ3" s="146"/>
      <c r="DYR3" s="146"/>
      <c r="DYS3" s="146"/>
      <c r="DYT3" s="146"/>
      <c r="DYU3" s="146"/>
      <c r="DYV3" s="146"/>
      <c r="DYW3" s="146"/>
      <c r="DYX3" s="146"/>
      <c r="DYY3" s="146"/>
      <c r="DYZ3" s="146"/>
      <c r="DZA3" s="146"/>
      <c r="DZB3" s="146"/>
      <c r="DZC3" s="146"/>
      <c r="DZD3" s="146"/>
      <c r="DZE3" s="146"/>
      <c r="DZF3" s="146"/>
      <c r="DZG3" s="146"/>
      <c r="DZH3" s="146"/>
      <c r="DZI3" s="146"/>
      <c r="DZJ3" s="146"/>
      <c r="DZK3" s="146"/>
      <c r="DZL3" s="146"/>
      <c r="DZM3" s="146"/>
      <c r="DZN3" s="146"/>
      <c r="DZO3" s="146"/>
      <c r="DZP3" s="146"/>
      <c r="DZQ3" s="146"/>
      <c r="DZR3" s="146"/>
      <c r="DZS3" s="146"/>
      <c r="DZT3" s="146"/>
      <c r="DZU3" s="146"/>
      <c r="DZV3" s="146"/>
      <c r="DZW3" s="146"/>
      <c r="DZX3" s="146"/>
      <c r="DZY3" s="146"/>
      <c r="DZZ3" s="146"/>
      <c r="EAA3" s="146"/>
      <c r="EAB3" s="146"/>
      <c r="EAC3" s="146"/>
      <c r="EAD3" s="146"/>
      <c r="EAE3" s="146"/>
      <c r="EAF3" s="146"/>
      <c r="EAG3" s="146"/>
      <c r="EAH3" s="146"/>
      <c r="EAI3" s="146"/>
      <c r="EAJ3" s="146"/>
      <c r="EAK3" s="146"/>
      <c r="EAL3" s="146"/>
      <c r="EAM3" s="146"/>
      <c r="EAN3" s="146"/>
      <c r="EAO3" s="146"/>
      <c r="EAP3" s="146"/>
      <c r="EAQ3" s="146"/>
      <c r="EAR3" s="146"/>
      <c r="EAS3" s="146"/>
      <c r="EAT3" s="146"/>
      <c r="EAU3" s="146"/>
      <c r="EAV3" s="146"/>
      <c r="EAW3" s="146"/>
      <c r="EAX3" s="146"/>
      <c r="EAY3" s="146"/>
      <c r="EAZ3" s="146"/>
      <c r="EBA3" s="146"/>
      <c r="EBB3" s="146"/>
      <c r="EBC3" s="146"/>
      <c r="EBD3" s="146"/>
      <c r="EBE3" s="146"/>
      <c r="EBF3" s="146"/>
      <c r="EBG3" s="146"/>
      <c r="EBH3" s="146"/>
      <c r="EBI3" s="146"/>
      <c r="EBJ3" s="146"/>
      <c r="EBK3" s="146"/>
      <c r="EBL3" s="146"/>
      <c r="EBM3" s="146"/>
      <c r="EBN3" s="146"/>
      <c r="EBO3" s="146"/>
      <c r="EBP3" s="146"/>
      <c r="EBQ3" s="146"/>
      <c r="EBR3" s="146"/>
      <c r="EBS3" s="146"/>
      <c r="EBT3" s="146"/>
      <c r="EBU3" s="146"/>
      <c r="EBV3" s="146"/>
      <c r="EBW3" s="146"/>
      <c r="EBX3" s="146"/>
      <c r="EBY3" s="146"/>
      <c r="EBZ3" s="146"/>
      <c r="ECA3" s="146"/>
      <c r="ECB3" s="146"/>
      <c r="ECC3" s="146"/>
      <c r="ECD3" s="146"/>
      <c r="ECE3" s="146"/>
      <c r="ECF3" s="146"/>
      <c r="ECG3" s="146"/>
      <c r="ECH3" s="146"/>
      <c r="ECI3" s="146"/>
      <c r="ECJ3" s="146"/>
      <c r="ECK3" s="146"/>
      <c r="ECL3" s="146"/>
      <c r="ECM3" s="146"/>
      <c r="ECN3" s="146"/>
      <c r="ECO3" s="146"/>
      <c r="ECP3" s="146"/>
      <c r="ECQ3" s="146"/>
      <c r="ECR3" s="146"/>
      <c r="ECS3" s="146"/>
      <c r="ECT3" s="146"/>
      <c r="ECU3" s="146"/>
      <c r="ECV3" s="146"/>
      <c r="ECW3" s="146"/>
      <c r="ECX3" s="146"/>
      <c r="ECY3" s="146"/>
      <c r="ECZ3" s="146"/>
      <c r="EDA3" s="146"/>
      <c r="EDB3" s="146"/>
      <c r="EDC3" s="146"/>
      <c r="EDD3" s="146"/>
      <c r="EDE3" s="146"/>
      <c r="EDF3" s="146"/>
      <c r="EDG3" s="146"/>
      <c r="EDH3" s="146"/>
      <c r="EDI3" s="146"/>
      <c r="EDJ3" s="146"/>
      <c r="EDK3" s="146"/>
      <c r="EDL3" s="146"/>
      <c r="EDM3" s="146"/>
      <c r="EDN3" s="146"/>
      <c r="EDO3" s="146"/>
      <c r="EDP3" s="146"/>
      <c r="EDQ3" s="146"/>
      <c r="EDR3" s="146"/>
      <c r="EDS3" s="146"/>
      <c r="EDT3" s="146"/>
      <c r="EDU3" s="146"/>
      <c r="EDV3" s="146"/>
      <c r="EDW3" s="146"/>
      <c r="EDX3" s="146"/>
      <c r="EDY3" s="146"/>
      <c r="EDZ3" s="146"/>
      <c r="EEA3" s="146"/>
      <c r="EEB3" s="146"/>
      <c r="EEC3" s="146"/>
      <c r="EED3" s="146"/>
      <c r="EEE3" s="146"/>
      <c r="EEF3" s="146"/>
      <c r="EEG3" s="146"/>
      <c r="EEH3" s="146"/>
      <c r="EEI3" s="146"/>
      <c r="EEJ3" s="146"/>
      <c r="EEK3" s="146"/>
      <c r="EEL3" s="146"/>
      <c r="EEM3" s="146"/>
      <c r="EEN3" s="146"/>
      <c r="EEO3" s="146"/>
      <c r="EEP3" s="146"/>
      <c r="EEQ3" s="146"/>
      <c r="EER3" s="146"/>
      <c r="EES3" s="146"/>
      <c r="EET3" s="146"/>
      <c r="EEU3" s="146"/>
      <c r="EEV3" s="146"/>
      <c r="EEW3" s="146"/>
      <c r="EEX3" s="146"/>
      <c r="EEY3" s="146"/>
      <c r="EEZ3" s="146"/>
      <c r="EFA3" s="146"/>
      <c r="EFB3" s="146"/>
      <c r="EFC3" s="146"/>
      <c r="EFD3" s="146"/>
      <c r="EFE3" s="146"/>
      <c r="EFF3" s="146"/>
      <c r="EFG3" s="146"/>
      <c r="EFH3" s="146"/>
      <c r="EFI3" s="146"/>
      <c r="EFJ3" s="146"/>
      <c r="EFK3" s="146"/>
      <c r="EFL3" s="146"/>
      <c r="EFM3" s="146"/>
      <c r="EFN3" s="146"/>
      <c r="EFO3" s="146"/>
      <c r="EFP3" s="146"/>
      <c r="EFQ3" s="146"/>
      <c r="EFR3" s="146"/>
      <c r="EFS3" s="146"/>
      <c r="EFT3" s="146"/>
      <c r="EFU3" s="146"/>
      <c r="EFV3" s="146"/>
      <c r="EFW3" s="146"/>
      <c r="EFX3" s="146"/>
      <c r="EFY3" s="146"/>
      <c r="EFZ3" s="146"/>
      <c r="EGA3" s="146"/>
      <c r="EGB3" s="146"/>
      <c r="EGC3" s="146"/>
      <c r="EGD3" s="146"/>
      <c r="EGE3" s="146"/>
      <c r="EGF3" s="146"/>
      <c r="EGG3" s="146"/>
      <c r="EGH3" s="146"/>
      <c r="EGI3" s="146"/>
      <c r="EGJ3" s="146"/>
      <c r="EGK3" s="146"/>
      <c r="EGL3" s="146"/>
      <c r="EGM3" s="146"/>
      <c r="EGN3" s="146"/>
      <c r="EGO3" s="146"/>
      <c r="EGP3" s="146"/>
      <c r="EGQ3" s="146"/>
      <c r="EGR3" s="146"/>
      <c r="EGS3" s="146"/>
      <c r="EGT3" s="146"/>
      <c r="EGU3" s="146"/>
      <c r="EGV3" s="146"/>
      <c r="EGW3" s="146"/>
      <c r="EGX3" s="146"/>
      <c r="EGY3" s="146"/>
      <c r="EGZ3" s="146"/>
      <c r="EHA3" s="146"/>
      <c r="EHB3" s="146"/>
      <c r="EHC3" s="146"/>
      <c r="EHD3" s="146"/>
      <c r="EHE3" s="146"/>
      <c r="EHF3" s="146"/>
      <c r="EHG3" s="146"/>
      <c r="EHH3" s="146"/>
      <c r="EHI3" s="146"/>
      <c r="EHJ3" s="146"/>
      <c r="EHK3" s="146"/>
      <c r="EHL3" s="146"/>
      <c r="EHM3" s="146"/>
      <c r="EHN3" s="146"/>
      <c r="EHO3" s="146"/>
      <c r="EHP3" s="146"/>
      <c r="EHQ3" s="146"/>
      <c r="EHR3" s="146"/>
      <c r="EHS3" s="146"/>
      <c r="EHT3" s="146"/>
      <c r="EHU3" s="146"/>
      <c r="EHV3" s="146"/>
      <c r="EHW3" s="146"/>
      <c r="EHX3" s="146"/>
      <c r="EHY3" s="146"/>
      <c r="EHZ3" s="146"/>
      <c r="EIA3" s="146"/>
      <c r="EIB3" s="146"/>
      <c r="EIC3" s="146"/>
      <c r="EID3" s="146"/>
      <c r="EIE3" s="146"/>
      <c r="EIF3" s="146"/>
      <c r="EIG3" s="146"/>
      <c r="EIH3" s="146"/>
      <c r="EII3" s="146"/>
      <c r="EIJ3" s="146"/>
      <c r="EIK3" s="146"/>
      <c r="EIL3" s="146"/>
      <c r="EIM3" s="146"/>
      <c r="EIN3" s="146"/>
      <c r="EIO3" s="146"/>
      <c r="EIP3" s="146"/>
      <c r="EIQ3" s="146"/>
      <c r="EIR3" s="146"/>
      <c r="EIS3" s="146"/>
      <c r="EIT3" s="146"/>
      <c r="EIU3" s="146"/>
      <c r="EIV3" s="146"/>
      <c r="EIW3" s="146"/>
      <c r="EIX3" s="146"/>
      <c r="EIY3" s="146"/>
      <c r="EIZ3" s="146"/>
      <c r="EJA3" s="146"/>
      <c r="EJB3" s="146"/>
      <c r="EJC3" s="146"/>
      <c r="EJD3" s="146"/>
      <c r="EJE3" s="146"/>
      <c r="EJF3" s="146"/>
      <c r="EJG3" s="146"/>
      <c r="EJH3" s="146"/>
      <c r="EJI3" s="146"/>
      <c r="EJJ3" s="146"/>
      <c r="EJK3" s="146"/>
      <c r="EJL3" s="146"/>
      <c r="EJM3" s="146"/>
      <c r="EJN3" s="146"/>
      <c r="EJO3" s="146"/>
      <c r="EJP3" s="146"/>
      <c r="EJQ3" s="146"/>
      <c r="EJR3" s="146"/>
      <c r="EJS3" s="146"/>
      <c r="EJT3" s="146"/>
      <c r="EJU3" s="146"/>
      <c r="EJV3" s="146"/>
      <c r="EJW3" s="146"/>
      <c r="EJX3" s="146"/>
      <c r="EJY3" s="146"/>
      <c r="EJZ3" s="146"/>
      <c r="EKA3" s="146"/>
      <c r="EKB3" s="146"/>
      <c r="EKC3" s="146"/>
      <c r="EKD3" s="146"/>
      <c r="EKE3" s="146"/>
      <c r="EKF3" s="146"/>
      <c r="EKG3" s="146"/>
      <c r="EKH3" s="146"/>
      <c r="EKI3" s="146"/>
      <c r="EKJ3" s="146"/>
      <c r="EKK3" s="146"/>
      <c r="EKL3" s="146"/>
      <c r="EKM3" s="146"/>
      <c r="EKN3" s="146"/>
      <c r="EKO3" s="146"/>
      <c r="EKP3" s="146"/>
      <c r="EKQ3" s="146"/>
      <c r="EKR3" s="146"/>
      <c r="EKS3" s="146"/>
      <c r="EKT3" s="146"/>
      <c r="EKU3" s="146"/>
      <c r="EKV3" s="146"/>
      <c r="EKW3" s="146"/>
      <c r="EKX3" s="146"/>
      <c r="EKY3" s="146"/>
      <c r="EKZ3" s="146"/>
      <c r="ELA3" s="146"/>
      <c r="ELB3" s="146"/>
      <c r="ELC3" s="146"/>
      <c r="ELD3" s="146"/>
      <c r="ELE3" s="146"/>
      <c r="ELF3" s="146"/>
      <c r="ELG3" s="146"/>
      <c r="ELH3" s="146"/>
      <c r="ELI3" s="146"/>
      <c r="ELJ3" s="146"/>
      <c r="ELK3" s="146"/>
      <c r="ELL3" s="146"/>
      <c r="ELM3" s="146"/>
      <c r="ELN3" s="146"/>
      <c r="ELO3" s="146"/>
      <c r="ELP3" s="146"/>
      <c r="ELQ3" s="146"/>
      <c r="ELR3" s="146"/>
      <c r="ELS3" s="146"/>
      <c r="ELT3" s="146"/>
      <c r="ELU3" s="146"/>
      <c r="ELV3" s="146"/>
      <c r="ELW3" s="146"/>
      <c r="ELX3" s="146"/>
      <c r="ELY3" s="146"/>
      <c r="ELZ3" s="146"/>
      <c r="EMA3" s="146"/>
      <c r="EMB3" s="146"/>
      <c r="EMC3" s="146"/>
      <c r="EMD3" s="146"/>
      <c r="EME3" s="146"/>
      <c r="EMF3" s="146"/>
      <c r="EMG3" s="146"/>
      <c r="EMH3" s="146"/>
      <c r="EMI3" s="146"/>
      <c r="EMJ3" s="146"/>
      <c r="EMK3" s="146"/>
      <c r="EML3" s="146"/>
      <c r="EMM3" s="146"/>
      <c r="EMN3" s="146"/>
      <c r="EMO3" s="146"/>
      <c r="EMP3" s="146"/>
      <c r="EMQ3" s="146"/>
      <c r="EMR3" s="146"/>
      <c r="EMS3" s="146"/>
      <c r="EMT3" s="146"/>
      <c r="EMU3" s="146"/>
      <c r="EMV3" s="146"/>
      <c r="EMW3" s="146"/>
      <c r="EMX3" s="146"/>
      <c r="EMY3" s="146"/>
      <c r="EMZ3" s="146"/>
      <c r="ENA3" s="146"/>
      <c r="ENB3" s="146"/>
      <c r="ENC3" s="146"/>
      <c r="END3" s="146"/>
      <c r="ENE3" s="146"/>
      <c r="ENF3" s="146"/>
      <c r="ENG3" s="146"/>
      <c r="ENH3" s="146"/>
      <c r="ENI3" s="146"/>
      <c r="ENJ3" s="146"/>
      <c r="ENK3" s="146"/>
      <c r="ENL3" s="146"/>
      <c r="ENM3" s="146"/>
      <c r="ENN3" s="146"/>
      <c r="ENO3" s="146"/>
      <c r="ENP3" s="146"/>
      <c r="ENQ3" s="146"/>
      <c r="ENR3" s="146"/>
      <c r="ENS3" s="146"/>
      <c r="ENT3" s="146"/>
      <c r="ENU3" s="146"/>
      <c r="ENV3" s="146"/>
      <c r="ENW3" s="146"/>
      <c r="ENX3" s="146"/>
      <c r="ENY3" s="146"/>
      <c r="ENZ3" s="146"/>
      <c r="EOA3" s="146"/>
      <c r="EOB3" s="146"/>
      <c r="EOC3" s="146"/>
      <c r="EOD3" s="146"/>
      <c r="EOE3" s="146"/>
      <c r="EOF3" s="146"/>
      <c r="EOG3" s="146"/>
      <c r="EOH3" s="146"/>
      <c r="EOI3" s="146"/>
      <c r="EOJ3" s="146"/>
      <c r="EOK3" s="146"/>
      <c r="EOL3" s="146"/>
      <c r="EOM3" s="146"/>
      <c r="EON3" s="146"/>
      <c r="EOO3" s="146"/>
      <c r="EOP3" s="146"/>
      <c r="EOQ3" s="146"/>
      <c r="EOR3" s="146"/>
      <c r="EOS3" s="146"/>
      <c r="EOT3" s="146"/>
      <c r="EOU3" s="146"/>
      <c r="EOV3" s="146"/>
      <c r="EOW3" s="146"/>
      <c r="EOX3" s="146"/>
      <c r="EOY3" s="146"/>
      <c r="EOZ3" s="146"/>
      <c r="EPA3" s="146"/>
      <c r="EPB3" s="146"/>
      <c r="EPC3" s="146"/>
      <c r="EPD3" s="146"/>
      <c r="EPE3" s="146"/>
      <c r="EPF3" s="146"/>
      <c r="EPG3" s="146"/>
      <c r="EPH3" s="146"/>
      <c r="EPI3" s="146"/>
      <c r="EPJ3" s="146"/>
      <c r="EPK3" s="146"/>
      <c r="EPL3" s="146"/>
      <c r="EPM3" s="146"/>
      <c r="EPN3" s="146"/>
      <c r="EPO3" s="146"/>
      <c r="EPP3" s="146"/>
      <c r="EPQ3" s="146"/>
      <c r="EPR3" s="146"/>
      <c r="EPS3" s="146"/>
      <c r="EPT3" s="146"/>
      <c r="EPU3" s="146"/>
      <c r="EPV3" s="146"/>
      <c r="EPW3" s="146"/>
      <c r="EPX3" s="146"/>
      <c r="EPY3" s="146"/>
      <c r="EPZ3" s="146"/>
      <c r="EQA3" s="146"/>
      <c r="EQB3" s="146"/>
      <c r="EQC3" s="146"/>
      <c r="EQD3" s="146"/>
      <c r="EQE3" s="146"/>
      <c r="EQF3" s="146"/>
      <c r="EQG3" s="146"/>
      <c r="EQH3" s="146"/>
      <c r="EQI3" s="146"/>
      <c r="EQJ3" s="146"/>
      <c r="EQK3" s="146"/>
      <c r="EQL3" s="146"/>
      <c r="EQM3" s="146"/>
      <c r="EQN3" s="146"/>
      <c r="EQO3" s="146"/>
      <c r="EQP3" s="146"/>
      <c r="EQQ3" s="146"/>
      <c r="EQR3" s="146"/>
      <c r="EQS3" s="146"/>
      <c r="EQT3" s="146"/>
      <c r="EQU3" s="146"/>
      <c r="EQV3" s="146"/>
      <c r="EQW3" s="146"/>
      <c r="EQX3" s="146"/>
      <c r="EQY3" s="146"/>
      <c r="EQZ3" s="146"/>
      <c r="ERA3" s="146"/>
      <c r="ERB3" s="146"/>
      <c r="ERC3" s="146"/>
      <c r="ERD3" s="146"/>
      <c r="ERE3" s="146"/>
      <c r="ERF3" s="146"/>
      <c r="ERG3" s="146"/>
      <c r="ERH3" s="146"/>
      <c r="ERI3" s="146"/>
      <c r="ERJ3" s="146"/>
      <c r="ERK3" s="146"/>
      <c r="ERL3" s="146"/>
      <c r="ERM3" s="146"/>
      <c r="ERN3" s="146"/>
      <c r="ERO3" s="146"/>
      <c r="ERP3" s="146"/>
      <c r="ERQ3" s="146"/>
      <c r="ERR3" s="146"/>
      <c r="ERS3" s="146"/>
      <c r="ERT3" s="146"/>
      <c r="ERU3" s="146"/>
      <c r="ERV3" s="146"/>
      <c r="ERW3" s="146"/>
      <c r="ERX3" s="146"/>
      <c r="ERY3" s="146"/>
      <c r="ERZ3" s="146"/>
      <c r="ESA3" s="146"/>
      <c r="ESB3" s="146"/>
      <c r="ESC3" s="146"/>
      <c r="ESD3" s="146"/>
      <c r="ESE3" s="146"/>
      <c r="ESF3" s="146"/>
      <c r="ESG3" s="146"/>
      <c r="ESH3" s="146"/>
      <c r="ESI3" s="146"/>
      <c r="ESJ3" s="146"/>
      <c r="ESK3" s="146"/>
      <c r="ESL3" s="146"/>
      <c r="ESM3" s="146"/>
      <c r="ESN3" s="146"/>
      <c r="ESO3" s="146"/>
      <c r="ESP3" s="146"/>
      <c r="ESQ3" s="146"/>
      <c r="ESR3" s="146"/>
      <c r="ESS3" s="146"/>
      <c r="EST3" s="146"/>
      <c r="ESU3" s="146"/>
      <c r="ESV3" s="146"/>
      <c r="ESW3" s="146"/>
      <c r="ESX3" s="146"/>
      <c r="ESY3" s="146"/>
      <c r="ESZ3" s="146"/>
      <c r="ETA3" s="146"/>
      <c r="ETB3" s="146"/>
      <c r="ETC3" s="146"/>
      <c r="ETD3" s="146"/>
      <c r="ETE3" s="146"/>
      <c r="ETF3" s="146"/>
      <c r="ETG3" s="146"/>
      <c r="ETH3" s="146"/>
      <c r="ETI3" s="146"/>
      <c r="ETJ3" s="146"/>
      <c r="ETK3" s="146"/>
      <c r="ETL3" s="146"/>
      <c r="ETM3" s="146"/>
      <c r="ETN3" s="146"/>
      <c r="ETO3" s="146"/>
      <c r="ETP3" s="146"/>
      <c r="ETQ3" s="146"/>
      <c r="ETR3" s="146"/>
      <c r="ETS3" s="146"/>
      <c r="ETT3" s="146"/>
      <c r="ETU3" s="146"/>
      <c r="ETV3" s="146"/>
      <c r="ETW3" s="146"/>
      <c r="ETX3" s="146"/>
      <c r="ETY3" s="146"/>
      <c r="ETZ3" s="146"/>
      <c r="EUA3" s="146"/>
      <c r="EUB3" s="146"/>
      <c r="EUC3" s="146"/>
      <c r="EUD3" s="146"/>
      <c r="EUE3" s="146"/>
      <c r="EUF3" s="146"/>
      <c r="EUG3" s="146"/>
      <c r="EUH3" s="146"/>
      <c r="EUI3" s="146"/>
      <c r="EUJ3" s="146"/>
      <c r="EUK3" s="146"/>
      <c r="EUL3" s="146"/>
      <c r="EUM3" s="146"/>
      <c r="EUN3" s="146"/>
      <c r="EUO3" s="146"/>
      <c r="EUP3" s="146"/>
      <c r="EUQ3" s="146"/>
      <c r="EUR3" s="146"/>
      <c r="EUS3" s="146"/>
      <c r="EUT3" s="146"/>
      <c r="EUU3" s="146"/>
      <c r="EUV3" s="146"/>
      <c r="EUW3" s="146"/>
      <c r="EUX3" s="146"/>
      <c r="EUY3" s="146"/>
      <c r="EUZ3" s="146"/>
      <c r="EVA3" s="146"/>
      <c r="EVB3" s="146"/>
      <c r="EVC3" s="146"/>
      <c r="EVD3" s="146"/>
      <c r="EVE3" s="146"/>
      <c r="EVF3" s="146"/>
      <c r="EVG3" s="146"/>
      <c r="EVH3" s="146"/>
      <c r="EVI3" s="146"/>
      <c r="EVJ3" s="146"/>
      <c r="EVK3" s="146"/>
      <c r="EVL3" s="146"/>
      <c r="EVM3" s="146"/>
      <c r="EVN3" s="146"/>
      <c r="EVO3" s="146"/>
      <c r="EVP3" s="146"/>
      <c r="EVQ3" s="146"/>
      <c r="EVR3" s="146"/>
      <c r="EVS3" s="146"/>
      <c r="EVT3" s="146"/>
      <c r="EVU3" s="146"/>
      <c r="EVV3" s="146"/>
      <c r="EVW3" s="146"/>
      <c r="EVX3" s="146"/>
      <c r="EVY3" s="146"/>
      <c r="EVZ3" s="146"/>
      <c r="EWA3" s="146"/>
      <c r="EWB3" s="146"/>
      <c r="EWC3" s="146"/>
      <c r="EWD3" s="146"/>
      <c r="EWE3" s="146"/>
      <c r="EWF3" s="146"/>
      <c r="EWG3" s="146"/>
      <c r="EWH3" s="146"/>
      <c r="EWI3" s="146"/>
      <c r="EWJ3" s="146"/>
      <c r="EWK3" s="146"/>
      <c r="EWL3" s="146"/>
      <c r="EWM3" s="146"/>
      <c r="EWN3" s="146"/>
      <c r="EWO3" s="146"/>
      <c r="EWP3" s="146"/>
      <c r="EWQ3" s="146"/>
      <c r="EWR3" s="146"/>
      <c r="EWS3" s="146"/>
      <c r="EWT3" s="146"/>
      <c r="EWU3" s="146"/>
      <c r="EWV3" s="146"/>
      <c r="EWW3" s="146"/>
      <c r="EWX3" s="146"/>
      <c r="EWY3" s="146"/>
      <c r="EWZ3" s="146"/>
      <c r="EXA3" s="146"/>
      <c r="EXB3" s="146"/>
      <c r="EXC3" s="146"/>
      <c r="EXD3" s="146"/>
      <c r="EXE3" s="146"/>
      <c r="EXF3" s="146"/>
      <c r="EXG3" s="146"/>
      <c r="EXH3" s="146"/>
      <c r="EXI3" s="146"/>
      <c r="EXJ3" s="146"/>
      <c r="EXK3" s="146"/>
      <c r="EXL3" s="146"/>
      <c r="EXM3" s="146"/>
      <c r="EXN3" s="146"/>
      <c r="EXO3" s="146"/>
      <c r="EXP3" s="146"/>
      <c r="EXQ3" s="146"/>
      <c r="EXR3" s="146"/>
      <c r="EXS3" s="146"/>
      <c r="EXT3" s="146"/>
      <c r="EXU3" s="146"/>
      <c r="EXV3" s="146"/>
      <c r="EXW3" s="146"/>
      <c r="EXX3" s="146"/>
      <c r="EXY3" s="146"/>
      <c r="EXZ3" s="146"/>
      <c r="EYA3" s="146"/>
      <c r="EYB3" s="146"/>
      <c r="EYC3" s="146"/>
      <c r="EYD3" s="146"/>
      <c r="EYE3" s="146"/>
      <c r="EYF3" s="146"/>
      <c r="EYG3" s="146"/>
      <c r="EYH3" s="146"/>
      <c r="EYI3" s="146"/>
      <c r="EYJ3" s="146"/>
      <c r="EYK3" s="146"/>
      <c r="EYL3" s="146"/>
      <c r="EYM3" s="146"/>
      <c r="EYN3" s="146"/>
      <c r="EYO3" s="146"/>
      <c r="EYP3" s="146"/>
      <c r="EYQ3" s="146"/>
      <c r="EYR3" s="146"/>
      <c r="EYS3" s="146"/>
      <c r="EYT3" s="146"/>
      <c r="EYU3" s="146"/>
      <c r="EYV3" s="146"/>
      <c r="EYW3" s="146"/>
      <c r="EYX3" s="146"/>
      <c r="EYY3" s="146"/>
      <c r="EYZ3" s="146"/>
      <c r="EZA3" s="146"/>
      <c r="EZB3" s="146"/>
      <c r="EZC3" s="146"/>
      <c r="EZD3" s="146"/>
      <c r="EZE3" s="146"/>
      <c r="EZF3" s="146"/>
      <c r="EZG3" s="146"/>
      <c r="EZH3" s="146"/>
      <c r="EZI3" s="146"/>
      <c r="EZJ3" s="146"/>
      <c r="EZK3" s="146"/>
      <c r="EZL3" s="146"/>
      <c r="EZM3" s="146"/>
      <c r="EZN3" s="146"/>
      <c r="EZO3" s="146"/>
      <c r="EZP3" s="146"/>
      <c r="EZQ3" s="146"/>
      <c r="EZR3" s="146"/>
      <c r="EZS3" s="146"/>
      <c r="EZT3" s="146"/>
      <c r="EZU3" s="146"/>
      <c r="EZV3" s="146"/>
      <c r="EZW3" s="146"/>
      <c r="EZX3" s="146"/>
      <c r="EZY3" s="146"/>
      <c r="EZZ3" s="146"/>
      <c r="FAA3" s="146"/>
      <c r="FAB3" s="146"/>
      <c r="FAC3" s="146"/>
      <c r="FAD3" s="146"/>
      <c r="FAE3" s="146"/>
      <c r="FAF3" s="146"/>
      <c r="FAG3" s="146"/>
      <c r="FAH3" s="146"/>
      <c r="FAI3" s="146"/>
      <c r="FAJ3" s="146"/>
      <c r="FAK3" s="146"/>
      <c r="FAL3" s="146"/>
      <c r="FAM3" s="146"/>
      <c r="FAN3" s="146"/>
      <c r="FAO3" s="146"/>
      <c r="FAP3" s="146"/>
      <c r="FAQ3" s="146"/>
      <c r="FAR3" s="146"/>
      <c r="FAS3" s="146"/>
      <c r="FAT3" s="146"/>
      <c r="FAU3" s="146"/>
      <c r="FAV3" s="146"/>
      <c r="FAW3" s="146"/>
      <c r="FAX3" s="146"/>
      <c r="FAY3" s="146"/>
      <c r="FAZ3" s="146"/>
      <c r="FBA3" s="146"/>
      <c r="FBB3" s="146"/>
      <c r="FBC3" s="146"/>
      <c r="FBD3" s="146"/>
      <c r="FBE3" s="146"/>
      <c r="FBF3" s="146"/>
      <c r="FBG3" s="146"/>
      <c r="FBH3" s="146"/>
      <c r="FBI3" s="146"/>
      <c r="FBJ3" s="146"/>
      <c r="FBK3" s="146"/>
      <c r="FBL3" s="146"/>
      <c r="FBM3" s="146"/>
      <c r="FBN3" s="146"/>
      <c r="FBO3" s="146"/>
      <c r="FBP3" s="146"/>
      <c r="FBQ3" s="146"/>
      <c r="FBR3" s="146"/>
      <c r="FBS3" s="146"/>
      <c r="FBT3" s="146"/>
      <c r="FBU3" s="146"/>
      <c r="FBV3" s="146"/>
      <c r="FBW3" s="146"/>
      <c r="FBX3" s="146"/>
      <c r="FBY3" s="146"/>
      <c r="FBZ3" s="146"/>
      <c r="FCA3" s="146"/>
      <c r="FCB3" s="146"/>
      <c r="FCC3" s="146"/>
      <c r="FCD3" s="146"/>
      <c r="FCE3" s="146"/>
      <c r="FCF3" s="146"/>
      <c r="FCG3" s="146"/>
      <c r="FCH3" s="146"/>
      <c r="FCI3" s="146"/>
      <c r="FCJ3" s="146"/>
      <c r="FCK3" s="146"/>
      <c r="FCL3" s="146"/>
      <c r="FCM3" s="146"/>
      <c r="FCN3" s="146"/>
      <c r="FCO3" s="146"/>
      <c r="FCP3" s="146"/>
      <c r="FCQ3" s="146"/>
      <c r="FCR3" s="146"/>
      <c r="FCS3" s="146"/>
      <c r="FCT3" s="146"/>
      <c r="FCU3" s="146"/>
      <c r="FCV3" s="146"/>
      <c r="FCW3" s="146"/>
      <c r="FCX3" s="146"/>
      <c r="FCY3" s="146"/>
      <c r="FCZ3" s="146"/>
      <c r="FDA3" s="146"/>
      <c r="FDB3" s="146"/>
      <c r="FDC3" s="146"/>
      <c r="FDD3" s="146"/>
      <c r="FDE3" s="146"/>
      <c r="FDF3" s="146"/>
      <c r="FDG3" s="146"/>
      <c r="FDH3" s="146"/>
      <c r="FDI3" s="146"/>
      <c r="FDJ3" s="146"/>
      <c r="FDK3" s="146"/>
      <c r="FDL3" s="146"/>
      <c r="FDM3" s="146"/>
      <c r="FDN3" s="146"/>
      <c r="FDO3" s="146"/>
      <c r="FDP3" s="146"/>
      <c r="FDQ3" s="146"/>
      <c r="FDR3" s="146"/>
      <c r="FDS3" s="146"/>
      <c r="FDT3" s="146"/>
      <c r="FDU3" s="146"/>
      <c r="FDV3" s="146"/>
      <c r="FDW3" s="146"/>
      <c r="FDX3" s="146"/>
      <c r="FDY3" s="146"/>
      <c r="FDZ3" s="146"/>
      <c r="FEA3" s="146"/>
      <c r="FEB3" s="146"/>
      <c r="FEC3" s="146"/>
      <c r="FED3" s="146"/>
      <c r="FEE3" s="146"/>
      <c r="FEF3" s="146"/>
      <c r="FEG3" s="146"/>
      <c r="FEH3" s="146"/>
      <c r="FEI3" s="146"/>
      <c r="FEJ3" s="146"/>
      <c r="FEK3" s="146"/>
      <c r="FEL3" s="146"/>
      <c r="FEM3" s="146"/>
      <c r="FEN3" s="146"/>
      <c r="FEO3" s="146"/>
      <c r="FEP3" s="146"/>
      <c r="FEQ3" s="146"/>
      <c r="FER3" s="146"/>
      <c r="FES3" s="146"/>
      <c r="FET3" s="146"/>
      <c r="FEU3" s="146"/>
      <c r="FEV3" s="146"/>
      <c r="FEW3" s="146"/>
      <c r="FEX3" s="146"/>
      <c r="FEY3" s="146"/>
      <c r="FEZ3" s="146"/>
      <c r="FFA3" s="146"/>
      <c r="FFB3" s="146"/>
      <c r="FFC3" s="146"/>
      <c r="FFD3" s="146"/>
      <c r="FFE3" s="146"/>
      <c r="FFF3" s="146"/>
      <c r="FFG3" s="146"/>
      <c r="FFH3" s="146"/>
      <c r="FFI3" s="146"/>
      <c r="FFJ3" s="146"/>
      <c r="FFK3" s="146"/>
      <c r="FFL3" s="146"/>
      <c r="FFM3" s="146"/>
      <c r="FFN3" s="146"/>
      <c r="FFO3" s="146"/>
      <c r="FFP3" s="146"/>
      <c r="FFQ3" s="146"/>
      <c r="FFR3" s="146"/>
      <c r="FFS3" s="146"/>
      <c r="FFT3" s="146"/>
      <c r="FFU3" s="146"/>
      <c r="FFV3" s="146"/>
      <c r="FFW3" s="146"/>
      <c r="FFX3" s="146"/>
      <c r="FFY3" s="146"/>
      <c r="FFZ3" s="146"/>
      <c r="FGA3" s="146"/>
      <c r="FGB3" s="146"/>
      <c r="FGC3" s="146"/>
      <c r="FGD3" s="146"/>
      <c r="FGE3" s="146"/>
      <c r="FGF3" s="146"/>
      <c r="FGG3" s="146"/>
      <c r="FGH3" s="146"/>
      <c r="FGI3" s="146"/>
      <c r="FGJ3" s="146"/>
      <c r="FGK3" s="146"/>
      <c r="FGL3" s="146"/>
      <c r="FGM3" s="146"/>
      <c r="FGN3" s="146"/>
      <c r="FGO3" s="146"/>
      <c r="FGP3" s="146"/>
      <c r="FGQ3" s="146"/>
      <c r="FGR3" s="146"/>
      <c r="FGS3" s="146"/>
      <c r="FGT3" s="146"/>
      <c r="FGU3" s="146"/>
      <c r="FGV3" s="146"/>
      <c r="FGW3" s="146"/>
      <c r="FGX3" s="146"/>
      <c r="FGY3" s="146"/>
      <c r="FGZ3" s="146"/>
      <c r="FHA3" s="146"/>
      <c r="FHB3" s="146"/>
      <c r="FHC3" s="146"/>
      <c r="FHD3" s="146"/>
      <c r="FHE3" s="146"/>
      <c r="FHF3" s="146"/>
      <c r="FHG3" s="146"/>
      <c r="FHH3" s="146"/>
      <c r="FHI3" s="146"/>
      <c r="FHJ3" s="146"/>
      <c r="FHK3" s="146"/>
      <c r="FHL3" s="146"/>
      <c r="FHM3" s="146"/>
      <c r="FHN3" s="146"/>
      <c r="FHO3" s="146"/>
      <c r="FHP3" s="146"/>
      <c r="FHQ3" s="146"/>
      <c r="FHR3" s="146"/>
      <c r="FHS3" s="146"/>
      <c r="FHT3" s="146"/>
      <c r="FHU3" s="146"/>
      <c r="FHV3" s="146"/>
      <c r="FHW3" s="146"/>
      <c r="FHX3" s="146"/>
      <c r="FHY3" s="146"/>
      <c r="FHZ3" s="146"/>
      <c r="FIA3" s="146"/>
      <c r="FIB3" s="146"/>
      <c r="FIC3" s="146"/>
      <c r="FID3" s="146"/>
      <c r="FIE3" s="146"/>
      <c r="FIF3" s="146"/>
      <c r="FIG3" s="146"/>
      <c r="FIH3" s="146"/>
      <c r="FII3" s="146"/>
      <c r="FIJ3" s="146"/>
      <c r="FIK3" s="146"/>
      <c r="FIL3" s="146"/>
      <c r="FIM3" s="146"/>
      <c r="FIN3" s="146"/>
      <c r="FIO3" s="146"/>
      <c r="FIP3" s="146"/>
      <c r="FIQ3" s="146"/>
      <c r="FIR3" s="146"/>
      <c r="FIS3" s="146"/>
      <c r="FIT3" s="146"/>
      <c r="FIU3" s="146"/>
      <c r="FIV3" s="146"/>
      <c r="FIW3" s="146"/>
      <c r="FIX3" s="146"/>
      <c r="FIY3" s="146"/>
      <c r="FIZ3" s="146"/>
      <c r="FJA3" s="146"/>
      <c r="FJB3" s="146"/>
      <c r="FJC3" s="146"/>
      <c r="FJD3" s="146"/>
      <c r="FJE3" s="146"/>
      <c r="FJF3" s="146"/>
      <c r="FJG3" s="146"/>
      <c r="FJH3" s="146"/>
      <c r="FJI3" s="146"/>
      <c r="FJJ3" s="146"/>
      <c r="FJK3" s="146"/>
      <c r="FJL3" s="146"/>
      <c r="FJM3" s="146"/>
      <c r="FJN3" s="146"/>
      <c r="FJO3" s="146"/>
      <c r="FJP3" s="146"/>
      <c r="FJQ3" s="146"/>
      <c r="FJR3" s="146"/>
      <c r="FJS3" s="146"/>
      <c r="FJT3" s="146"/>
      <c r="FJU3" s="146"/>
      <c r="FJV3" s="146"/>
      <c r="FJW3" s="146"/>
      <c r="FJX3" s="146"/>
      <c r="FJY3" s="146"/>
      <c r="FJZ3" s="146"/>
      <c r="FKA3" s="146"/>
      <c r="FKB3" s="146"/>
      <c r="FKC3" s="146"/>
      <c r="FKD3" s="146"/>
      <c r="FKE3" s="146"/>
      <c r="FKF3" s="146"/>
      <c r="FKG3" s="146"/>
      <c r="FKH3" s="146"/>
      <c r="FKI3" s="146"/>
      <c r="FKJ3" s="146"/>
      <c r="FKK3" s="146"/>
      <c r="FKL3" s="146"/>
      <c r="FKM3" s="146"/>
      <c r="FKN3" s="146"/>
      <c r="FKO3" s="146"/>
      <c r="FKP3" s="146"/>
      <c r="FKQ3" s="146"/>
      <c r="FKR3" s="146"/>
      <c r="FKS3" s="146"/>
      <c r="FKT3" s="146"/>
      <c r="FKU3" s="146"/>
      <c r="FKV3" s="146"/>
      <c r="FKW3" s="146"/>
      <c r="FKX3" s="146"/>
      <c r="FKY3" s="146"/>
      <c r="FKZ3" s="146"/>
      <c r="FLA3" s="146"/>
      <c r="FLB3" s="146"/>
      <c r="FLC3" s="146"/>
      <c r="FLD3" s="146"/>
      <c r="FLE3" s="146"/>
      <c r="FLF3" s="146"/>
      <c r="FLG3" s="146"/>
      <c r="FLH3" s="146"/>
      <c r="FLI3" s="146"/>
      <c r="FLJ3" s="146"/>
      <c r="FLK3" s="146"/>
      <c r="FLL3" s="146"/>
      <c r="FLM3" s="146"/>
      <c r="FLN3" s="146"/>
      <c r="FLO3" s="146"/>
      <c r="FLP3" s="146"/>
      <c r="FLQ3" s="146"/>
      <c r="FLR3" s="146"/>
      <c r="FLS3" s="146"/>
      <c r="FLT3" s="146"/>
      <c r="FLU3" s="146"/>
      <c r="FLV3" s="146"/>
      <c r="FLW3" s="146"/>
      <c r="FLX3" s="146"/>
      <c r="FLY3" s="146"/>
      <c r="FLZ3" s="146"/>
      <c r="FMA3" s="146"/>
      <c r="FMB3" s="146"/>
      <c r="FMC3" s="146"/>
      <c r="FMD3" s="146"/>
      <c r="FME3" s="146"/>
      <c r="FMF3" s="146"/>
      <c r="FMG3" s="146"/>
      <c r="FMH3" s="146"/>
      <c r="FMI3" s="146"/>
      <c r="FMJ3" s="146"/>
      <c r="FMK3" s="146"/>
      <c r="FML3" s="146"/>
      <c r="FMM3" s="146"/>
      <c r="FMN3" s="146"/>
      <c r="FMO3" s="146"/>
      <c r="FMP3" s="146"/>
      <c r="FMQ3" s="146"/>
      <c r="FMR3" s="146"/>
      <c r="FMS3" s="146"/>
      <c r="FMT3" s="146"/>
      <c r="FMU3" s="146"/>
      <c r="FMV3" s="146"/>
      <c r="FMW3" s="146"/>
      <c r="FMX3" s="146"/>
      <c r="FMY3" s="146"/>
      <c r="FMZ3" s="146"/>
      <c r="FNA3" s="146"/>
      <c r="FNB3" s="146"/>
      <c r="FNC3" s="146"/>
      <c r="FND3" s="146"/>
      <c r="FNE3" s="146"/>
      <c r="FNF3" s="146"/>
      <c r="FNG3" s="146"/>
      <c r="FNH3" s="146"/>
      <c r="FNI3" s="146"/>
      <c r="FNJ3" s="146"/>
      <c r="FNK3" s="146"/>
      <c r="FNL3" s="146"/>
      <c r="FNM3" s="146"/>
      <c r="FNN3" s="146"/>
      <c r="FNO3" s="146"/>
      <c r="FNP3" s="146"/>
      <c r="FNQ3" s="146"/>
      <c r="FNR3" s="146"/>
      <c r="FNS3" s="146"/>
      <c r="FNT3" s="146"/>
      <c r="FNU3" s="146"/>
      <c r="FNV3" s="146"/>
      <c r="FNW3" s="146"/>
      <c r="FNX3" s="146"/>
      <c r="FNY3" s="146"/>
      <c r="FNZ3" s="146"/>
      <c r="FOA3" s="146"/>
      <c r="FOB3" s="146"/>
      <c r="FOC3" s="146"/>
      <c r="FOD3" s="146"/>
      <c r="FOE3" s="146"/>
      <c r="FOF3" s="146"/>
      <c r="FOG3" s="146"/>
      <c r="FOH3" s="146"/>
      <c r="FOI3" s="146"/>
      <c r="FOJ3" s="146"/>
      <c r="FOK3" s="146"/>
      <c r="FOL3" s="146"/>
      <c r="FOM3" s="146"/>
      <c r="FON3" s="146"/>
      <c r="FOO3" s="146"/>
      <c r="FOP3" s="146"/>
      <c r="FOQ3" s="146"/>
      <c r="FOR3" s="146"/>
      <c r="FOS3" s="146"/>
      <c r="FOT3" s="146"/>
      <c r="FOU3" s="146"/>
      <c r="FOV3" s="146"/>
      <c r="FOW3" s="146"/>
      <c r="FOX3" s="146"/>
      <c r="FOY3" s="146"/>
      <c r="FOZ3" s="146"/>
      <c r="FPA3" s="146"/>
      <c r="FPB3" s="146"/>
      <c r="FPC3" s="146"/>
      <c r="FPD3" s="146"/>
      <c r="FPE3" s="146"/>
      <c r="FPF3" s="146"/>
      <c r="FPG3" s="146"/>
      <c r="FPH3" s="146"/>
      <c r="FPI3" s="146"/>
      <c r="FPJ3" s="146"/>
      <c r="FPK3" s="146"/>
      <c r="FPL3" s="146"/>
      <c r="FPM3" s="146"/>
      <c r="FPN3" s="146"/>
      <c r="FPO3" s="146"/>
      <c r="FPP3" s="146"/>
      <c r="FPQ3" s="146"/>
      <c r="FPR3" s="146"/>
      <c r="FPS3" s="146"/>
      <c r="FPT3" s="146"/>
      <c r="FPU3" s="146"/>
      <c r="FPV3" s="146"/>
      <c r="FPW3" s="146"/>
      <c r="FPX3" s="146"/>
      <c r="FPY3" s="146"/>
      <c r="FPZ3" s="146"/>
      <c r="FQA3" s="146"/>
      <c r="FQB3" s="146"/>
      <c r="FQC3" s="146"/>
      <c r="FQD3" s="146"/>
      <c r="FQE3" s="146"/>
      <c r="FQF3" s="146"/>
      <c r="FQG3" s="146"/>
      <c r="FQH3" s="146"/>
      <c r="FQI3" s="146"/>
      <c r="FQJ3" s="146"/>
      <c r="FQK3" s="146"/>
      <c r="FQL3" s="146"/>
      <c r="FQM3" s="146"/>
      <c r="FQN3" s="146"/>
      <c r="FQO3" s="146"/>
      <c r="FQP3" s="146"/>
      <c r="FQQ3" s="146"/>
      <c r="FQR3" s="146"/>
      <c r="FQS3" s="146"/>
      <c r="FQT3" s="146"/>
      <c r="FQU3" s="146"/>
      <c r="FQV3" s="146"/>
      <c r="FQW3" s="146"/>
      <c r="FQX3" s="146"/>
      <c r="FQY3" s="146"/>
      <c r="FQZ3" s="146"/>
      <c r="FRA3" s="146"/>
      <c r="FRB3" s="146"/>
      <c r="FRC3" s="146"/>
      <c r="FRD3" s="146"/>
      <c r="FRE3" s="146"/>
      <c r="FRF3" s="146"/>
      <c r="FRG3" s="146"/>
      <c r="FRH3" s="146"/>
      <c r="FRI3" s="146"/>
      <c r="FRJ3" s="146"/>
      <c r="FRK3" s="146"/>
      <c r="FRL3" s="146"/>
      <c r="FRM3" s="146"/>
      <c r="FRN3" s="146"/>
      <c r="FRO3" s="146"/>
      <c r="FRP3" s="146"/>
      <c r="FRQ3" s="146"/>
      <c r="FRR3" s="146"/>
      <c r="FRS3" s="146"/>
      <c r="FRT3" s="146"/>
      <c r="FRU3" s="146"/>
      <c r="FRV3" s="146"/>
      <c r="FRW3" s="146"/>
      <c r="FRX3" s="146"/>
      <c r="FRY3" s="146"/>
      <c r="FRZ3" s="146"/>
      <c r="FSA3" s="146"/>
      <c r="FSB3" s="146"/>
      <c r="FSC3" s="146"/>
      <c r="FSD3" s="146"/>
      <c r="FSE3" s="146"/>
      <c r="FSF3" s="146"/>
      <c r="FSG3" s="146"/>
      <c r="FSH3" s="146"/>
      <c r="FSI3" s="146"/>
      <c r="FSJ3" s="146"/>
      <c r="FSK3" s="146"/>
      <c r="FSL3" s="146"/>
      <c r="FSM3" s="146"/>
      <c r="FSN3" s="146"/>
      <c r="FSO3" s="146"/>
      <c r="FSP3" s="146"/>
      <c r="FSQ3" s="146"/>
      <c r="FSR3" s="146"/>
      <c r="FSS3" s="146"/>
      <c r="FST3" s="146"/>
      <c r="FSU3" s="146"/>
      <c r="FSV3" s="146"/>
      <c r="FSW3" s="146"/>
      <c r="FSX3" s="146"/>
      <c r="FSY3" s="146"/>
      <c r="FSZ3" s="146"/>
      <c r="FTA3" s="146"/>
      <c r="FTB3" s="146"/>
      <c r="FTC3" s="146"/>
      <c r="FTD3" s="146"/>
      <c r="FTE3" s="146"/>
      <c r="FTF3" s="146"/>
      <c r="FTG3" s="146"/>
      <c r="FTH3" s="146"/>
      <c r="FTI3" s="146"/>
      <c r="FTJ3" s="146"/>
      <c r="FTK3" s="146"/>
      <c r="FTL3" s="146"/>
      <c r="FTM3" s="146"/>
      <c r="FTN3" s="146"/>
      <c r="FTO3" s="146"/>
      <c r="FTP3" s="146"/>
      <c r="FTQ3" s="146"/>
      <c r="FTR3" s="146"/>
      <c r="FTS3" s="146"/>
      <c r="FTT3" s="146"/>
      <c r="FTU3" s="146"/>
      <c r="FTV3" s="146"/>
      <c r="FTW3" s="146"/>
      <c r="FTX3" s="146"/>
      <c r="FTY3" s="146"/>
      <c r="FTZ3" s="146"/>
      <c r="FUA3" s="146"/>
      <c r="FUB3" s="146"/>
      <c r="FUC3" s="146"/>
      <c r="FUD3" s="146"/>
      <c r="FUE3" s="146"/>
      <c r="FUF3" s="146"/>
      <c r="FUG3" s="146"/>
      <c r="FUH3" s="146"/>
      <c r="FUI3" s="146"/>
      <c r="FUJ3" s="146"/>
      <c r="FUK3" s="146"/>
      <c r="FUL3" s="146"/>
      <c r="FUM3" s="146"/>
      <c r="FUN3" s="146"/>
      <c r="FUO3" s="146"/>
      <c r="FUP3" s="146"/>
      <c r="FUQ3" s="146"/>
      <c r="FUR3" s="146"/>
      <c r="FUS3" s="146"/>
      <c r="FUT3" s="146"/>
      <c r="FUU3" s="146"/>
      <c r="FUV3" s="146"/>
      <c r="FUW3" s="146"/>
      <c r="FUX3" s="146"/>
      <c r="FUY3" s="146"/>
      <c r="FUZ3" s="146"/>
      <c r="FVA3" s="146"/>
      <c r="FVB3" s="146"/>
      <c r="FVC3" s="146"/>
      <c r="FVD3" s="146"/>
      <c r="FVE3" s="146"/>
      <c r="FVF3" s="146"/>
      <c r="FVG3" s="146"/>
      <c r="FVH3" s="146"/>
      <c r="FVI3" s="146"/>
      <c r="FVJ3" s="146"/>
      <c r="FVK3" s="146"/>
      <c r="FVL3" s="146"/>
      <c r="FVM3" s="146"/>
      <c r="FVN3" s="146"/>
      <c r="FVO3" s="146"/>
      <c r="FVP3" s="146"/>
      <c r="FVQ3" s="146"/>
      <c r="FVR3" s="146"/>
      <c r="FVS3" s="146"/>
      <c r="FVT3" s="146"/>
      <c r="FVU3" s="146"/>
      <c r="FVV3" s="146"/>
      <c r="FVW3" s="146"/>
      <c r="FVX3" s="146"/>
      <c r="FVY3" s="146"/>
      <c r="FVZ3" s="146"/>
      <c r="FWA3" s="146"/>
      <c r="FWB3" s="146"/>
      <c r="FWC3" s="146"/>
      <c r="FWD3" s="146"/>
      <c r="FWE3" s="146"/>
      <c r="FWF3" s="146"/>
      <c r="FWG3" s="146"/>
      <c r="FWH3" s="146"/>
      <c r="FWI3" s="146"/>
      <c r="FWJ3" s="146"/>
      <c r="FWK3" s="146"/>
      <c r="FWL3" s="146"/>
      <c r="FWM3" s="146"/>
      <c r="FWN3" s="146"/>
      <c r="FWO3" s="146"/>
      <c r="FWP3" s="146"/>
      <c r="FWQ3" s="146"/>
      <c r="FWR3" s="146"/>
      <c r="FWS3" s="146"/>
      <c r="FWT3" s="146"/>
      <c r="FWU3" s="146"/>
      <c r="FWV3" s="146"/>
      <c r="FWW3" s="146"/>
      <c r="FWX3" s="146"/>
      <c r="FWY3" s="146"/>
      <c r="FWZ3" s="146"/>
      <c r="FXA3" s="146"/>
      <c r="FXB3" s="146"/>
      <c r="FXC3" s="146"/>
      <c r="FXD3" s="146"/>
      <c r="FXE3" s="146"/>
      <c r="FXF3" s="146"/>
      <c r="FXG3" s="146"/>
      <c r="FXH3" s="146"/>
      <c r="FXI3" s="146"/>
      <c r="FXJ3" s="146"/>
      <c r="FXK3" s="146"/>
      <c r="FXL3" s="146"/>
      <c r="FXM3" s="146"/>
      <c r="FXN3" s="146"/>
      <c r="FXO3" s="146"/>
      <c r="FXP3" s="146"/>
      <c r="FXQ3" s="146"/>
      <c r="FXR3" s="146"/>
      <c r="FXS3" s="146"/>
      <c r="FXT3" s="146"/>
      <c r="FXU3" s="146"/>
      <c r="FXV3" s="146"/>
      <c r="FXW3" s="146"/>
      <c r="FXX3" s="146"/>
      <c r="FXY3" s="146"/>
      <c r="FXZ3" s="146"/>
      <c r="FYA3" s="146"/>
      <c r="FYB3" s="146"/>
      <c r="FYC3" s="146"/>
      <c r="FYD3" s="146"/>
      <c r="FYE3" s="146"/>
      <c r="FYF3" s="146"/>
      <c r="FYG3" s="146"/>
      <c r="FYH3" s="146"/>
      <c r="FYI3" s="146"/>
      <c r="FYJ3" s="146"/>
      <c r="FYK3" s="146"/>
      <c r="FYL3" s="146"/>
      <c r="FYM3" s="146"/>
      <c r="FYN3" s="146"/>
      <c r="FYO3" s="146"/>
      <c r="FYP3" s="146"/>
      <c r="FYQ3" s="146"/>
      <c r="FYR3" s="146"/>
      <c r="FYS3" s="146"/>
      <c r="FYT3" s="146"/>
      <c r="FYU3" s="146"/>
      <c r="FYV3" s="146"/>
      <c r="FYW3" s="146"/>
      <c r="FYX3" s="146"/>
      <c r="FYY3" s="146"/>
      <c r="FYZ3" s="146"/>
      <c r="FZA3" s="146"/>
      <c r="FZB3" s="146"/>
      <c r="FZC3" s="146"/>
      <c r="FZD3" s="146"/>
      <c r="FZE3" s="146"/>
      <c r="FZF3" s="146"/>
      <c r="FZG3" s="146"/>
      <c r="FZH3" s="146"/>
      <c r="FZI3" s="146"/>
      <c r="FZJ3" s="146"/>
      <c r="FZK3" s="146"/>
      <c r="FZL3" s="146"/>
      <c r="FZM3" s="146"/>
      <c r="FZN3" s="146"/>
      <c r="FZO3" s="146"/>
      <c r="FZP3" s="146"/>
      <c r="FZQ3" s="146"/>
      <c r="FZR3" s="146"/>
      <c r="FZS3" s="146"/>
      <c r="FZT3" s="146"/>
      <c r="FZU3" s="146"/>
      <c r="FZV3" s="146"/>
      <c r="FZW3" s="146"/>
      <c r="FZX3" s="146"/>
      <c r="FZY3" s="146"/>
      <c r="FZZ3" s="146"/>
      <c r="GAA3" s="146"/>
      <c r="GAB3" s="146"/>
      <c r="GAC3" s="146"/>
      <c r="GAD3" s="146"/>
      <c r="GAE3" s="146"/>
      <c r="GAF3" s="146"/>
      <c r="GAG3" s="146"/>
      <c r="GAH3" s="146"/>
      <c r="GAI3" s="146"/>
      <c r="GAJ3" s="146"/>
      <c r="GAK3" s="146"/>
      <c r="GAL3" s="146"/>
      <c r="GAM3" s="146"/>
      <c r="GAN3" s="146"/>
      <c r="GAO3" s="146"/>
      <c r="GAP3" s="146"/>
      <c r="GAQ3" s="146"/>
      <c r="GAR3" s="146"/>
      <c r="GAS3" s="146"/>
      <c r="GAT3" s="146"/>
      <c r="GAU3" s="146"/>
      <c r="GAV3" s="146"/>
      <c r="GAW3" s="146"/>
      <c r="GAX3" s="146"/>
      <c r="GAY3" s="146"/>
      <c r="GAZ3" s="146"/>
      <c r="GBA3" s="146"/>
      <c r="GBB3" s="146"/>
      <c r="GBC3" s="146"/>
      <c r="GBD3" s="146"/>
      <c r="GBE3" s="146"/>
      <c r="GBF3" s="146"/>
      <c r="GBG3" s="146"/>
      <c r="GBH3" s="146"/>
      <c r="GBI3" s="146"/>
      <c r="GBJ3" s="146"/>
      <c r="GBK3" s="146"/>
      <c r="GBL3" s="146"/>
      <c r="GBM3" s="146"/>
      <c r="GBN3" s="146"/>
      <c r="GBO3" s="146"/>
      <c r="GBP3" s="146"/>
      <c r="GBQ3" s="146"/>
      <c r="GBR3" s="146"/>
      <c r="GBS3" s="146"/>
      <c r="GBT3" s="146"/>
      <c r="GBU3" s="146"/>
      <c r="GBV3" s="146"/>
      <c r="GBW3" s="146"/>
      <c r="GBX3" s="146"/>
      <c r="GBY3" s="146"/>
      <c r="GBZ3" s="146"/>
      <c r="GCA3" s="146"/>
      <c r="GCB3" s="146"/>
      <c r="GCC3" s="146"/>
      <c r="GCD3" s="146"/>
      <c r="GCE3" s="146"/>
      <c r="GCF3" s="146"/>
      <c r="GCG3" s="146"/>
      <c r="GCH3" s="146"/>
      <c r="GCI3" s="146"/>
      <c r="GCJ3" s="146"/>
      <c r="GCK3" s="146"/>
      <c r="GCL3" s="146"/>
      <c r="GCM3" s="146"/>
      <c r="GCN3" s="146"/>
      <c r="GCO3" s="146"/>
      <c r="GCP3" s="146"/>
      <c r="GCQ3" s="146"/>
      <c r="GCR3" s="146"/>
      <c r="GCS3" s="146"/>
      <c r="GCT3" s="146"/>
      <c r="GCU3" s="146"/>
      <c r="GCV3" s="146"/>
      <c r="GCW3" s="146"/>
      <c r="GCX3" s="146"/>
      <c r="GCY3" s="146"/>
      <c r="GCZ3" s="146"/>
      <c r="GDA3" s="146"/>
      <c r="GDB3" s="146"/>
      <c r="GDC3" s="146"/>
      <c r="GDD3" s="146"/>
      <c r="GDE3" s="146"/>
      <c r="GDF3" s="146"/>
      <c r="GDG3" s="146"/>
      <c r="GDH3" s="146"/>
      <c r="GDI3" s="146"/>
      <c r="GDJ3" s="146"/>
      <c r="GDK3" s="146"/>
      <c r="GDL3" s="146"/>
      <c r="GDM3" s="146"/>
      <c r="GDN3" s="146"/>
      <c r="GDO3" s="146"/>
      <c r="GDP3" s="146"/>
      <c r="GDQ3" s="146"/>
      <c r="GDR3" s="146"/>
      <c r="GDS3" s="146"/>
      <c r="GDT3" s="146"/>
      <c r="GDU3" s="146"/>
      <c r="GDV3" s="146"/>
      <c r="GDW3" s="146"/>
      <c r="GDX3" s="146"/>
      <c r="GDY3" s="146"/>
      <c r="GDZ3" s="146"/>
      <c r="GEA3" s="146"/>
      <c r="GEB3" s="146"/>
      <c r="GEC3" s="146"/>
      <c r="GED3" s="146"/>
      <c r="GEE3" s="146"/>
      <c r="GEF3" s="146"/>
      <c r="GEG3" s="146"/>
      <c r="GEH3" s="146"/>
      <c r="GEI3" s="146"/>
      <c r="GEJ3" s="146"/>
      <c r="GEK3" s="146"/>
      <c r="GEL3" s="146"/>
      <c r="GEM3" s="146"/>
      <c r="GEN3" s="146"/>
      <c r="GEO3" s="146"/>
      <c r="GEP3" s="146"/>
      <c r="GEQ3" s="146"/>
      <c r="GER3" s="146"/>
      <c r="GES3" s="146"/>
      <c r="GET3" s="146"/>
      <c r="GEU3" s="146"/>
      <c r="GEV3" s="146"/>
      <c r="GEW3" s="146"/>
      <c r="GEX3" s="146"/>
      <c r="GEY3" s="146"/>
      <c r="GEZ3" s="146"/>
      <c r="GFA3" s="146"/>
      <c r="GFB3" s="146"/>
      <c r="GFC3" s="146"/>
      <c r="GFD3" s="146"/>
      <c r="GFE3" s="146"/>
      <c r="GFF3" s="146"/>
      <c r="GFG3" s="146"/>
      <c r="GFH3" s="146"/>
      <c r="GFI3" s="146"/>
      <c r="GFJ3" s="146"/>
      <c r="GFK3" s="146"/>
      <c r="GFL3" s="146"/>
      <c r="GFM3" s="146"/>
      <c r="GFN3" s="146"/>
      <c r="GFO3" s="146"/>
      <c r="GFP3" s="146"/>
      <c r="GFQ3" s="146"/>
      <c r="GFR3" s="146"/>
      <c r="GFS3" s="146"/>
      <c r="GFT3" s="146"/>
      <c r="GFU3" s="146"/>
      <c r="GFV3" s="146"/>
      <c r="GFW3" s="146"/>
      <c r="GFX3" s="146"/>
      <c r="GFY3" s="146"/>
      <c r="GFZ3" s="146"/>
      <c r="GGA3" s="146"/>
      <c r="GGB3" s="146"/>
      <c r="GGC3" s="146"/>
      <c r="GGD3" s="146"/>
      <c r="GGE3" s="146"/>
      <c r="GGF3" s="146"/>
      <c r="GGG3" s="146"/>
      <c r="GGH3" s="146"/>
      <c r="GGI3" s="146"/>
      <c r="GGJ3" s="146"/>
      <c r="GGK3" s="146"/>
      <c r="GGL3" s="146"/>
      <c r="GGM3" s="146"/>
      <c r="GGN3" s="146"/>
      <c r="GGO3" s="146"/>
      <c r="GGP3" s="146"/>
      <c r="GGQ3" s="146"/>
      <c r="GGR3" s="146"/>
      <c r="GGS3" s="146"/>
      <c r="GGT3" s="146"/>
      <c r="GGU3" s="146"/>
      <c r="GGV3" s="146"/>
      <c r="GGW3" s="146"/>
      <c r="GGX3" s="146"/>
      <c r="GGY3" s="146"/>
      <c r="GGZ3" s="146"/>
      <c r="GHA3" s="146"/>
      <c r="GHB3" s="146"/>
      <c r="GHC3" s="146"/>
      <c r="GHD3" s="146"/>
      <c r="GHE3" s="146"/>
      <c r="GHF3" s="146"/>
      <c r="GHG3" s="146"/>
      <c r="GHH3" s="146"/>
      <c r="GHI3" s="146"/>
      <c r="GHJ3" s="146"/>
      <c r="GHK3" s="146"/>
      <c r="GHL3" s="146"/>
      <c r="GHM3" s="146"/>
      <c r="GHN3" s="146"/>
      <c r="GHO3" s="146"/>
      <c r="GHP3" s="146"/>
      <c r="GHQ3" s="146"/>
      <c r="GHR3" s="146"/>
      <c r="GHS3" s="146"/>
      <c r="GHT3" s="146"/>
      <c r="GHU3" s="146"/>
      <c r="GHV3" s="146"/>
      <c r="GHW3" s="146"/>
      <c r="GHX3" s="146"/>
      <c r="GHY3" s="146"/>
      <c r="GHZ3" s="146"/>
      <c r="GIA3" s="146"/>
      <c r="GIB3" s="146"/>
      <c r="GIC3" s="146"/>
      <c r="GID3" s="146"/>
      <c r="GIE3" s="146"/>
      <c r="GIF3" s="146"/>
      <c r="GIG3" s="146"/>
      <c r="GIH3" s="146"/>
      <c r="GII3" s="146"/>
      <c r="GIJ3" s="146"/>
      <c r="GIK3" s="146"/>
      <c r="GIL3" s="146"/>
      <c r="GIM3" s="146"/>
      <c r="GIN3" s="146"/>
      <c r="GIO3" s="146"/>
      <c r="GIP3" s="146"/>
      <c r="GIQ3" s="146"/>
      <c r="GIR3" s="146"/>
      <c r="GIS3" s="146"/>
      <c r="GIT3" s="146"/>
      <c r="GIU3" s="146"/>
      <c r="GIV3" s="146"/>
      <c r="GIW3" s="146"/>
      <c r="GIX3" s="146"/>
      <c r="GIY3" s="146"/>
      <c r="GIZ3" s="146"/>
      <c r="GJA3" s="146"/>
      <c r="GJB3" s="146"/>
      <c r="GJC3" s="146"/>
      <c r="GJD3" s="146"/>
      <c r="GJE3" s="146"/>
      <c r="GJF3" s="146"/>
      <c r="GJG3" s="146"/>
      <c r="GJH3" s="146"/>
      <c r="GJI3" s="146"/>
      <c r="GJJ3" s="146"/>
      <c r="GJK3" s="146"/>
      <c r="GJL3" s="146"/>
      <c r="GJM3" s="146"/>
      <c r="GJN3" s="146"/>
      <c r="GJO3" s="146"/>
      <c r="GJP3" s="146"/>
      <c r="GJQ3" s="146"/>
      <c r="GJR3" s="146"/>
      <c r="GJS3" s="146"/>
      <c r="GJT3" s="146"/>
      <c r="GJU3" s="146"/>
      <c r="GJV3" s="146"/>
      <c r="GJW3" s="146"/>
      <c r="GJX3" s="146"/>
      <c r="GJY3" s="146"/>
      <c r="GJZ3" s="146"/>
      <c r="GKA3" s="146"/>
      <c r="GKB3" s="146"/>
      <c r="GKC3" s="146"/>
      <c r="GKD3" s="146"/>
      <c r="GKE3" s="146"/>
      <c r="GKF3" s="146"/>
      <c r="GKG3" s="146"/>
      <c r="GKH3" s="146"/>
      <c r="GKI3" s="146"/>
      <c r="GKJ3" s="146"/>
      <c r="GKK3" s="146"/>
      <c r="GKL3" s="146"/>
      <c r="GKM3" s="146"/>
      <c r="GKN3" s="146"/>
      <c r="GKO3" s="146"/>
      <c r="GKP3" s="146"/>
      <c r="GKQ3" s="146"/>
      <c r="GKR3" s="146"/>
      <c r="GKS3" s="146"/>
      <c r="GKT3" s="146"/>
      <c r="GKU3" s="146"/>
      <c r="GKV3" s="146"/>
      <c r="GKW3" s="146"/>
      <c r="GKX3" s="146"/>
      <c r="GKY3" s="146"/>
      <c r="GKZ3" s="146"/>
      <c r="GLA3" s="146"/>
      <c r="GLB3" s="146"/>
      <c r="GLC3" s="146"/>
      <c r="GLD3" s="146"/>
      <c r="GLE3" s="146"/>
      <c r="GLF3" s="146"/>
      <c r="GLG3" s="146"/>
      <c r="GLH3" s="146"/>
      <c r="GLI3" s="146"/>
      <c r="GLJ3" s="146"/>
      <c r="GLK3" s="146"/>
      <c r="GLL3" s="146"/>
      <c r="GLM3" s="146"/>
      <c r="GLN3" s="146"/>
      <c r="GLO3" s="146"/>
      <c r="GLP3" s="146"/>
      <c r="GLQ3" s="146"/>
      <c r="GLR3" s="146"/>
      <c r="GLS3" s="146"/>
      <c r="GLT3" s="146"/>
      <c r="GLU3" s="146"/>
      <c r="GLV3" s="146"/>
      <c r="GLW3" s="146"/>
      <c r="GLX3" s="146"/>
      <c r="GLY3" s="146"/>
      <c r="GLZ3" s="146"/>
      <c r="GMA3" s="146"/>
      <c r="GMB3" s="146"/>
      <c r="GMC3" s="146"/>
      <c r="GMD3" s="146"/>
      <c r="GME3" s="146"/>
      <c r="GMF3" s="146"/>
      <c r="GMG3" s="146"/>
      <c r="GMH3" s="146"/>
      <c r="GMI3" s="146"/>
      <c r="GMJ3" s="146"/>
      <c r="GMK3" s="146"/>
      <c r="GML3" s="146"/>
      <c r="GMM3" s="146"/>
      <c r="GMN3" s="146"/>
      <c r="GMO3" s="146"/>
      <c r="GMP3" s="146"/>
      <c r="GMQ3" s="146"/>
      <c r="GMR3" s="146"/>
      <c r="GMS3" s="146"/>
      <c r="GMT3" s="146"/>
      <c r="GMU3" s="146"/>
      <c r="GMV3" s="146"/>
      <c r="GMW3" s="146"/>
      <c r="GMX3" s="146"/>
      <c r="GMY3" s="146"/>
      <c r="GMZ3" s="146"/>
      <c r="GNA3" s="146"/>
      <c r="GNB3" s="146"/>
      <c r="GNC3" s="146"/>
      <c r="GND3" s="146"/>
      <c r="GNE3" s="146"/>
      <c r="GNF3" s="146"/>
      <c r="GNG3" s="146"/>
      <c r="GNH3" s="146"/>
      <c r="GNI3" s="146"/>
      <c r="GNJ3" s="146"/>
      <c r="GNK3" s="146"/>
      <c r="GNL3" s="146"/>
      <c r="GNM3" s="146"/>
      <c r="GNN3" s="146"/>
      <c r="GNO3" s="146"/>
      <c r="GNP3" s="146"/>
      <c r="GNQ3" s="146"/>
      <c r="GNR3" s="146"/>
      <c r="GNS3" s="146"/>
      <c r="GNT3" s="146"/>
      <c r="GNU3" s="146"/>
      <c r="GNV3" s="146"/>
      <c r="GNW3" s="146"/>
      <c r="GNX3" s="146"/>
      <c r="GNY3" s="146"/>
      <c r="GNZ3" s="146"/>
      <c r="GOA3" s="146"/>
      <c r="GOB3" s="146"/>
      <c r="GOC3" s="146"/>
      <c r="GOD3" s="146"/>
      <c r="GOE3" s="146"/>
      <c r="GOF3" s="146"/>
      <c r="GOG3" s="146"/>
      <c r="GOH3" s="146"/>
      <c r="GOI3" s="146"/>
      <c r="GOJ3" s="146"/>
      <c r="GOK3" s="146"/>
      <c r="GOL3" s="146"/>
      <c r="GOM3" s="146"/>
      <c r="GON3" s="146"/>
      <c r="GOO3" s="146"/>
      <c r="GOP3" s="146"/>
      <c r="GOQ3" s="146"/>
      <c r="GOR3" s="146"/>
      <c r="GOS3" s="146"/>
      <c r="GOT3" s="146"/>
      <c r="GOU3" s="146"/>
      <c r="GOV3" s="146"/>
      <c r="GOW3" s="146"/>
      <c r="GOX3" s="146"/>
      <c r="GOY3" s="146"/>
      <c r="GOZ3" s="146"/>
      <c r="GPA3" s="146"/>
      <c r="GPB3" s="146"/>
      <c r="GPC3" s="146"/>
      <c r="GPD3" s="146"/>
      <c r="GPE3" s="146"/>
      <c r="GPF3" s="146"/>
      <c r="GPG3" s="146"/>
      <c r="GPH3" s="146"/>
      <c r="GPI3" s="146"/>
      <c r="GPJ3" s="146"/>
      <c r="GPK3" s="146"/>
      <c r="GPL3" s="146"/>
      <c r="GPM3" s="146"/>
      <c r="GPN3" s="146"/>
      <c r="GPO3" s="146"/>
      <c r="GPP3" s="146"/>
      <c r="GPQ3" s="146"/>
      <c r="GPR3" s="146"/>
      <c r="GPS3" s="146"/>
      <c r="GPT3" s="146"/>
      <c r="GPU3" s="146"/>
      <c r="GPV3" s="146"/>
      <c r="GPW3" s="146"/>
      <c r="GPX3" s="146"/>
      <c r="GPY3" s="146"/>
      <c r="GPZ3" s="146"/>
      <c r="GQA3" s="146"/>
      <c r="GQB3" s="146"/>
      <c r="GQC3" s="146"/>
      <c r="GQD3" s="146"/>
      <c r="GQE3" s="146"/>
      <c r="GQF3" s="146"/>
      <c r="GQG3" s="146"/>
      <c r="GQH3" s="146"/>
      <c r="GQI3" s="146"/>
      <c r="GQJ3" s="146"/>
      <c r="GQK3" s="146"/>
      <c r="GQL3" s="146"/>
      <c r="GQM3" s="146"/>
      <c r="GQN3" s="146"/>
      <c r="GQO3" s="146"/>
      <c r="GQP3" s="146"/>
      <c r="GQQ3" s="146"/>
      <c r="GQR3" s="146"/>
      <c r="GQS3" s="146"/>
      <c r="GQT3" s="146"/>
      <c r="GQU3" s="146"/>
      <c r="GQV3" s="146"/>
      <c r="GQW3" s="146"/>
      <c r="GQX3" s="146"/>
      <c r="GQY3" s="146"/>
      <c r="GQZ3" s="146"/>
      <c r="GRA3" s="146"/>
      <c r="GRB3" s="146"/>
      <c r="GRC3" s="146"/>
      <c r="GRD3" s="146"/>
      <c r="GRE3" s="146"/>
      <c r="GRF3" s="146"/>
      <c r="GRG3" s="146"/>
      <c r="GRH3" s="146"/>
      <c r="GRI3" s="146"/>
      <c r="GRJ3" s="146"/>
      <c r="GRK3" s="146"/>
      <c r="GRL3" s="146"/>
      <c r="GRM3" s="146"/>
      <c r="GRN3" s="146"/>
      <c r="GRO3" s="146"/>
      <c r="GRP3" s="146"/>
      <c r="GRQ3" s="146"/>
      <c r="GRR3" s="146"/>
      <c r="GRS3" s="146"/>
      <c r="GRT3" s="146"/>
      <c r="GRU3" s="146"/>
      <c r="GRV3" s="146"/>
      <c r="GRW3" s="146"/>
      <c r="GRX3" s="146"/>
      <c r="GRY3" s="146"/>
      <c r="GRZ3" s="146"/>
      <c r="GSA3" s="146"/>
      <c r="GSB3" s="146"/>
      <c r="GSC3" s="146"/>
      <c r="GSD3" s="146"/>
      <c r="GSE3" s="146"/>
      <c r="GSF3" s="146"/>
      <c r="GSG3" s="146"/>
      <c r="GSH3" s="146"/>
      <c r="GSI3" s="146"/>
      <c r="GSJ3" s="146"/>
      <c r="GSK3" s="146"/>
      <c r="GSL3" s="146"/>
      <c r="GSM3" s="146"/>
      <c r="GSN3" s="146"/>
      <c r="GSO3" s="146"/>
      <c r="GSP3" s="146"/>
      <c r="GSQ3" s="146"/>
      <c r="GSR3" s="146"/>
      <c r="GSS3" s="146"/>
      <c r="GST3" s="146"/>
      <c r="GSU3" s="146"/>
      <c r="GSV3" s="146"/>
      <c r="GSW3" s="146"/>
      <c r="GSX3" s="146"/>
      <c r="GSY3" s="146"/>
      <c r="GSZ3" s="146"/>
      <c r="GTA3" s="146"/>
      <c r="GTB3" s="146"/>
      <c r="GTC3" s="146"/>
      <c r="GTD3" s="146"/>
      <c r="GTE3" s="146"/>
      <c r="GTF3" s="146"/>
      <c r="GTG3" s="146"/>
      <c r="GTH3" s="146"/>
      <c r="GTI3" s="146"/>
      <c r="GTJ3" s="146"/>
      <c r="GTK3" s="146"/>
      <c r="GTL3" s="146"/>
      <c r="GTM3" s="146"/>
      <c r="GTN3" s="146"/>
      <c r="GTO3" s="146"/>
      <c r="GTP3" s="146"/>
      <c r="GTQ3" s="146"/>
      <c r="GTR3" s="146"/>
      <c r="GTS3" s="146"/>
      <c r="GTT3" s="146"/>
      <c r="GTU3" s="146"/>
      <c r="GTV3" s="146"/>
      <c r="GTW3" s="146"/>
      <c r="GTX3" s="146"/>
      <c r="GTY3" s="146"/>
      <c r="GTZ3" s="146"/>
      <c r="GUA3" s="146"/>
      <c r="GUB3" s="146"/>
      <c r="GUC3" s="146"/>
      <c r="GUD3" s="146"/>
      <c r="GUE3" s="146"/>
      <c r="GUF3" s="146"/>
      <c r="GUG3" s="146"/>
      <c r="GUH3" s="146"/>
      <c r="GUI3" s="146"/>
      <c r="GUJ3" s="146"/>
      <c r="GUK3" s="146"/>
      <c r="GUL3" s="146"/>
      <c r="GUM3" s="146"/>
      <c r="GUN3" s="146"/>
      <c r="GUO3" s="146"/>
      <c r="GUP3" s="146"/>
      <c r="GUQ3" s="146"/>
      <c r="GUR3" s="146"/>
      <c r="GUS3" s="146"/>
      <c r="GUT3" s="146"/>
      <c r="GUU3" s="146"/>
      <c r="GUV3" s="146"/>
      <c r="GUW3" s="146"/>
      <c r="GUX3" s="146"/>
      <c r="GUY3" s="146"/>
      <c r="GUZ3" s="146"/>
      <c r="GVA3" s="146"/>
      <c r="GVB3" s="146"/>
      <c r="GVC3" s="146"/>
      <c r="GVD3" s="146"/>
      <c r="GVE3" s="146"/>
      <c r="GVF3" s="146"/>
      <c r="GVG3" s="146"/>
      <c r="GVH3" s="146"/>
      <c r="GVI3" s="146"/>
      <c r="GVJ3" s="146"/>
      <c r="GVK3" s="146"/>
      <c r="GVL3" s="146"/>
      <c r="GVM3" s="146"/>
      <c r="GVN3" s="146"/>
      <c r="GVO3" s="146"/>
      <c r="GVP3" s="146"/>
      <c r="GVQ3" s="146"/>
      <c r="GVR3" s="146"/>
      <c r="GVS3" s="146"/>
      <c r="GVT3" s="146"/>
      <c r="GVU3" s="146"/>
      <c r="GVV3" s="146"/>
      <c r="GVW3" s="146"/>
      <c r="GVX3" s="146"/>
      <c r="GVY3" s="146"/>
      <c r="GVZ3" s="146"/>
      <c r="GWA3" s="146"/>
      <c r="GWB3" s="146"/>
      <c r="GWC3" s="146"/>
      <c r="GWD3" s="146"/>
      <c r="GWE3" s="146"/>
      <c r="GWF3" s="146"/>
      <c r="GWG3" s="146"/>
      <c r="GWH3" s="146"/>
      <c r="GWI3" s="146"/>
      <c r="GWJ3" s="146"/>
      <c r="GWK3" s="146"/>
      <c r="GWL3" s="146"/>
      <c r="GWM3" s="146"/>
      <c r="GWN3" s="146"/>
      <c r="GWO3" s="146"/>
      <c r="GWP3" s="146"/>
      <c r="GWQ3" s="146"/>
      <c r="GWR3" s="146"/>
      <c r="GWS3" s="146"/>
      <c r="GWT3" s="146"/>
      <c r="GWU3" s="146"/>
      <c r="GWV3" s="146"/>
      <c r="GWW3" s="146"/>
      <c r="GWX3" s="146"/>
      <c r="GWY3" s="146"/>
      <c r="GWZ3" s="146"/>
      <c r="GXA3" s="146"/>
      <c r="GXB3" s="146"/>
      <c r="GXC3" s="146"/>
      <c r="GXD3" s="146"/>
      <c r="GXE3" s="146"/>
      <c r="GXF3" s="146"/>
      <c r="GXG3" s="146"/>
      <c r="GXH3" s="146"/>
      <c r="GXI3" s="146"/>
      <c r="GXJ3" s="146"/>
      <c r="GXK3" s="146"/>
      <c r="GXL3" s="146"/>
      <c r="GXM3" s="146"/>
      <c r="GXN3" s="146"/>
      <c r="GXO3" s="146"/>
      <c r="GXP3" s="146"/>
      <c r="GXQ3" s="146"/>
      <c r="GXR3" s="146"/>
      <c r="GXS3" s="146"/>
      <c r="GXT3" s="146"/>
      <c r="GXU3" s="146"/>
      <c r="GXV3" s="146"/>
      <c r="GXW3" s="146"/>
      <c r="GXX3" s="146"/>
      <c r="GXY3" s="146"/>
      <c r="GXZ3" s="146"/>
      <c r="GYA3" s="146"/>
      <c r="GYB3" s="146"/>
      <c r="GYC3" s="146"/>
      <c r="GYD3" s="146"/>
      <c r="GYE3" s="146"/>
      <c r="GYF3" s="146"/>
      <c r="GYG3" s="146"/>
      <c r="GYH3" s="146"/>
      <c r="GYI3" s="146"/>
      <c r="GYJ3" s="146"/>
      <c r="GYK3" s="146"/>
      <c r="GYL3" s="146"/>
      <c r="GYM3" s="146"/>
      <c r="GYN3" s="146"/>
      <c r="GYO3" s="146"/>
      <c r="GYP3" s="146"/>
      <c r="GYQ3" s="146"/>
      <c r="GYR3" s="146"/>
      <c r="GYS3" s="146"/>
      <c r="GYT3" s="146"/>
      <c r="GYU3" s="146"/>
      <c r="GYV3" s="146"/>
      <c r="GYW3" s="146"/>
      <c r="GYX3" s="146"/>
      <c r="GYY3" s="146"/>
      <c r="GYZ3" s="146"/>
      <c r="GZA3" s="146"/>
      <c r="GZB3" s="146"/>
      <c r="GZC3" s="146"/>
      <c r="GZD3" s="146"/>
      <c r="GZE3" s="146"/>
      <c r="GZF3" s="146"/>
      <c r="GZG3" s="146"/>
      <c r="GZH3" s="146"/>
      <c r="GZI3" s="146"/>
      <c r="GZJ3" s="146"/>
      <c r="GZK3" s="146"/>
      <c r="GZL3" s="146"/>
      <c r="GZM3" s="146"/>
      <c r="GZN3" s="146"/>
      <c r="GZO3" s="146"/>
      <c r="GZP3" s="146"/>
      <c r="GZQ3" s="146"/>
      <c r="GZR3" s="146"/>
      <c r="GZS3" s="146"/>
      <c r="GZT3" s="146"/>
      <c r="GZU3" s="146"/>
      <c r="GZV3" s="146"/>
      <c r="GZW3" s="146"/>
      <c r="GZX3" s="146"/>
      <c r="GZY3" s="146"/>
      <c r="GZZ3" s="146"/>
      <c r="HAA3" s="146"/>
      <c r="HAB3" s="146"/>
      <c r="HAC3" s="146"/>
      <c r="HAD3" s="146"/>
      <c r="HAE3" s="146"/>
      <c r="HAF3" s="146"/>
      <c r="HAG3" s="146"/>
      <c r="HAH3" s="146"/>
      <c r="HAI3" s="146"/>
      <c r="HAJ3" s="146"/>
      <c r="HAK3" s="146"/>
      <c r="HAL3" s="146"/>
      <c r="HAM3" s="146"/>
      <c r="HAN3" s="146"/>
      <c r="HAO3" s="146"/>
      <c r="HAP3" s="146"/>
      <c r="HAQ3" s="146"/>
      <c r="HAR3" s="146"/>
      <c r="HAS3" s="146"/>
      <c r="HAT3" s="146"/>
      <c r="HAU3" s="146"/>
      <c r="HAV3" s="146"/>
      <c r="HAW3" s="146"/>
      <c r="HAX3" s="146"/>
      <c r="HAY3" s="146"/>
      <c r="HAZ3" s="146"/>
      <c r="HBA3" s="146"/>
      <c r="HBB3" s="146"/>
      <c r="HBC3" s="146"/>
      <c r="HBD3" s="146"/>
      <c r="HBE3" s="146"/>
      <c r="HBF3" s="146"/>
      <c r="HBG3" s="146"/>
      <c r="HBH3" s="146"/>
      <c r="HBI3" s="146"/>
      <c r="HBJ3" s="146"/>
      <c r="HBK3" s="146"/>
      <c r="HBL3" s="146"/>
      <c r="HBM3" s="146"/>
      <c r="HBN3" s="146"/>
      <c r="HBO3" s="146"/>
      <c r="HBP3" s="146"/>
      <c r="HBQ3" s="146"/>
      <c r="HBR3" s="146"/>
      <c r="HBS3" s="146"/>
      <c r="HBT3" s="146"/>
      <c r="HBU3" s="146"/>
      <c r="HBV3" s="146"/>
      <c r="HBW3" s="146"/>
      <c r="HBX3" s="146"/>
      <c r="HBY3" s="146"/>
      <c r="HBZ3" s="146"/>
      <c r="HCA3" s="146"/>
      <c r="HCB3" s="146"/>
      <c r="HCC3" s="146"/>
      <c r="HCD3" s="146"/>
      <c r="HCE3" s="146"/>
      <c r="HCF3" s="146"/>
      <c r="HCG3" s="146"/>
      <c r="HCH3" s="146"/>
      <c r="HCI3" s="146"/>
      <c r="HCJ3" s="146"/>
      <c r="HCK3" s="146"/>
      <c r="HCL3" s="146"/>
      <c r="HCM3" s="146"/>
      <c r="HCN3" s="146"/>
      <c r="HCO3" s="146"/>
      <c r="HCP3" s="146"/>
      <c r="HCQ3" s="146"/>
      <c r="HCR3" s="146"/>
      <c r="HCS3" s="146"/>
      <c r="HCT3" s="146"/>
      <c r="HCU3" s="146"/>
      <c r="HCV3" s="146"/>
      <c r="HCW3" s="146"/>
      <c r="HCX3" s="146"/>
      <c r="HCY3" s="146"/>
      <c r="HCZ3" s="146"/>
      <c r="HDA3" s="146"/>
      <c r="HDB3" s="146"/>
      <c r="HDC3" s="146"/>
      <c r="HDD3" s="146"/>
      <c r="HDE3" s="146"/>
      <c r="HDF3" s="146"/>
      <c r="HDG3" s="146"/>
      <c r="HDH3" s="146"/>
      <c r="HDI3" s="146"/>
      <c r="HDJ3" s="146"/>
      <c r="HDK3" s="146"/>
      <c r="HDL3" s="146"/>
      <c r="HDM3" s="146"/>
      <c r="HDN3" s="146"/>
      <c r="HDO3" s="146"/>
      <c r="HDP3" s="146"/>
      <c r="HDQ3" s="146"/>
      <c r="HDR3" s="146"/>
      <c r="HDS3" s="146"/>
      <c r="HDT3" s="146"/>
      <c r="HDU3" s="146"/>
      <c r="HDV3" s="146"/>
      <c r="HDW3" s="146"/>
      <c r="HDX3" s="146"/>
      <c r="HDY3" s="146"/>
      <c r="HDZ3" s="146"/>
      <c r="HEA3" s="146"/>
      <c r="HEB3" s="146"/>
      <c r="HEC3" s="146"/>
      <c r="HED3" s="146"/>
      <c r="HEE3" s="146"/>
      <c r="HEF3" s="146"/>
      <c r="HEG3" s="146"/>
      <c r="HEH3" s="146"/>
      <c r="HEI3" s="146"/>
      <c r="HEJ3" s="146"/>
      <c r="HEK3" s="146"/>
      <c r="HEL3" s="146"/>
      <c r="HEM3" s="146"/>
      <c r="HEN3" s="146"/>
      <c r="HEO3" s="146"/>
      <c r="HEP3" s="146"/>
      <c r="HEQ3" s="146"/>
      <c r="HER3" s="146"/>
      <c r="HES3" s="146"/>
      <c r="HET3" s="146"/>
      <c r="HEU3" s="146"/>
      <c r="HEV3" s="146"/>
      <c r="HEW3" s="146"/>
      <c r="HEX3" s="146"/>
      <c r="HEY3" s="146"/>
      <c r="HEZ3" s="146"/>
      <c r="HFA3" s="146"/>
      <c r="HFB3" s="146"/>
      <c r="HFC3" s="146"/>
      <c r="HFD3" s="146"/>
      <c r="HFE3" s="146"/>
      <c r="HFF3" s="146"/>
      <c r="HFG3" s="146"/>
      <c r="HFH3" s="146"/>
      <c r="HFI3" s="146"/>
      <c r="HFJ3" s="146"/>
      <c r="HFK3" s="146"/>
      <c r="HFL3" s="146"/>
      <c r="HFM3" s="146"/>
      <c r="HFN3" s="146"/>
      <c r="HFO3" s="146"/>
      <c r="HFP3" s="146"/>
      <c r="HFQ3" s="146"/>
      <c r="HFR3" s="146"/>
      <c r="HFS3" s="146"/>
      <c r="HFT3" s="146"/>
      <c r="HFU3" s="146"/>
      <c r="HFV3" s="146"/>
      <c r="HFW3" s="146"/>
      <c r="HFX3" s="146"/>
      <c r="HFY3" s="146"/>
      <c r="HFZ3" s="146"/>
      <c r="HGA3" s="146"/>
      <c r="HGB3" s="146"/>
      <c r="HGC3" s="146"/>
      <c r="HGD3" s="146"/>
      <c r="HGE3" s="146"/>
      <c r="HGF3" s="146"/>
      <c r="HGG3" s="146"/>
      <c r="HGH3" s="146"/>
      <c r="HGI3" s="146"/>
      <c r="HGJ3" s="146"/>
      <c r="HGK3" s="146"/>
      <c r="HGL3" s="146"/>
      <c r="HGM3" s="146"/>
      <c r="HGN3" s="146"/>
      <c r="HGO3" s="146"/>
      <c r="HGP3" s="146"/>
      <c r="HGQ3" s="146"/>
      <c r="HGR3" s="146"/>
      <c r="HGS3" s="146"/>
      <c r="HGT3" s="146"/>
      <c r="HGU3" s="146"/>
      <c r="HGV3" s="146"/>
      <c r="HGW3" s="146"/>
      <c r="HGX3" s="146"/>
      <c r="HGY3" s="146"/>
      <c r="HGZ3" s="146"/>
      <c r="HHA3" s="146"/>
      <c r="HHB3" s="146"/>
      <c r="HHC3" s="146"/>
      <c r="HHD3" s="146"/>
      <c r="HHE3" s="146"/>
      <c r="HHF3" s="146"/>
      <c r="HHG3" s="146"/>
      <c r="HHH3" s="146"/>
      <c r="HHI3" s="146"/>
      <c r="HHJ3" s="146"/>
      <c r="HHK3" s="146"/>
      <c r="HHL3" s="146"/>
      <c r="HHM3" s="146"/>
      <c r="HHN3" s="146"/>
      <c r="HHO3" s="146"/>
      <c r="HHP3" s="146"/>
      <c r="HHQ3" s="146"/>
      <c r="HHR3" s="146"/>
      <c r="HHS3" s="146"/>
      <c r="HHT3" s="146"/>
      <c r="HHU3" s="146"/>
      <c r="HHV3" s="146"/>
      <c r="HHW3" s="146"/>
      <c r="HHX3" s="146"/>
      <c r="HHY3" s="146"/>
      <c r="HHZ3" s="146"/>
      <c r="HIA3" s="146"/>
      <c r="HIB3" s="146"/>
      <c r="HIC3" s="146"/>
      <c r="HID3" s="146"/>
      <c r="HIE3" s="146"/>
      <c r="HIF3" s="146"/>
      <c r="HIG3" s="146"/>
      <c r="HIH3" s="146"/>
      <c r="HII3" s="146"/>
      <c r="HIJ3" s="146"/>
      <c r="HIK3" s="146"/>
      <c r="HIL3" s="146"/>
      <c r="HIM3" s="146"/>
      <c r="HIN3" s="146"/>
      <c r="HIO3" s="146"/>
      <c r="HIP3" s="146"/>
      <c r="HIQ3" s="146"/>
      <c r="HIR3" s="146"/>
      <c r="HIS3" s="146"/>
      <c r="HIT3" s="146"/>
      <c r="HIU3" s="146"/>
      <c r="HIV3" s="146"/>
      <c r="HIW3" s="146"/>
      <c r="HIX3" s="146"/>
      <c r="HIY3" s="146"/>
      <c r="HIZ3" s="146"/>
      <c r="HJA3" s="146"/>
      <c r="HJB3" s="146"/>
      <c r="HJC3" s="146"/>
      <c r="HJD3" s="146"/>
      <c r="HJE3" s="146"/>
      <c r="HJF3" s="146"/>
      <c r="HJG3" s="146"/>
      <c r="HJH3" s="146"/>
      <c r="HJI3" s="146"/>
      <c r="HJJ3" s="146"/>
      <c r="HJK3" s="146"/>
      <c r="HJL3" s="146"/>
      <c r="HJM3" s="146"/>
      <c r="HJN3" s="146"/>
      <c r="HJO3" s="146"/>
      <c r="HJP3" s="146"/>
      <c r="HJQ3" s="146"/>
      <c r="HJR3" s="146"/>
      <c r="HJS3" s="146"/>
      <c r="HJT3" s="146"/>
      <c r="HJU3" s="146"/>
      <c r="HJV3" s="146"/>
      <c r="HJW3" s="146"/>
      <c r="HJX3" s="146"/>
      <c r="HJY3" s="146"/>
      <c r="HJZ3" s="146"/>
      <c r="HKA3" s="146"/>
      <c r="HKB3" s="146"/>
      <c r="HKC3" s="146"/>
      <c r="HKD3" s="146"/>
      <c r="HKE3" s="146"/>
      <c r="HKF3" s="146"/>
      <c r="HKG3" s="146"/>
      <c r="HKH3" s="146"/>
      <c r="HKI3" s="146"/>
      <c r="HKJ3" s="146"/>
      <c r="HKK3" s="146"/>
      <c r="HKL3" s="146"/>
      <c r="HKM3" s="146"/>
      <c r="HKN3" s="146"/>
      <c r="HKO3" s="146"/>
      <c r="HKP3" s="146"/>
      <c r="HKQ3" s="146"/>
      <c r="HKR3" s="146"/>
      <c r="HKS3" s="146"/>
      <c r="HKT3" s="146"/>
      <c r="HKU3" s="146"/>
      <c r="HKV3" s="146"/>
      <c r="HKW3" s="146"/>
      <c r="HKX3" s="146"/>
      <c r="HKY3" s="146"/>
      <c r="HKZ3" s="146"/>
      <c r="HLA3" s="146"/>
      <c r="HLB3" s="146"/>
      <c r="HLC3" s="146"/>
      <c r="HLD3" s="146"/>
      <c r="HLE3" s="146"/>
      <c r="HLF3" s="146"/>
      <c r="HLG3" s="146"/>
      <c r="HLH3" s="146"/>
      <c r="HLI3" s="146"/>
      <c r="HLJ3" s="146"/>
      <c r="HLK3" s="146"/>
      <c r="HLL3" s="146"/>
      <c r="HLM3" s="146"/>
      <c r="HLN3" s="146"/>
      <c r="HLO3" s="146"/>
      <c r="HLP3" s="146"/>
      <c r="HLQ3" s="146"/>
      <c r="HLR3" s="146"/>
      <c r="HLS3" s="146"/>
      <c r="HLT3" s="146"/>
      <c r="HLU3" s="146"/>
      <c r="HLV3" s="146"/>
      <c r="HLW3" s="146"/>
      <c r="HLX3" s="146"/>
      <c r="HLY3" s="146"/>
      <c r="HLZ3" s="146"/>
      <c r="HMA3" s="146"/>
      <c r="HMB3" s="146"/>
      <c r="HMC3" s="146"/>
      <c r="HMD3" s="146"/>
      <c r="HME3" s="146"/>
      <c r="HMF3" s="146"/>
      <c r="HMG3" s="146"/>
      <c r="HMH3" s="146"/>
      <c r="HMI3" s="146"/>
      <c r="HMJ3" s="146"/>
      <c r="HMK3" s="146"/>
      <c r="HML3" s="146"/>
      <c r="HMM3" s="146"/>
      <c r="HMN3" s="146"/>
      <c r="HMO3" s="146"/>
      <c r="HMP3" s="146"/>
      <c r="HMQ3" s="146"/>
      <c r="HMR3" s="146"/>
      <c r="HMS3" s="146"/>
      <c r="HMT3" s="146"/>
      <c r="HMU3" s="146"/>
      <c r="HMV3" s="146"/>
      <c r="HMW3" s="146"/>
      <c r="HMX3" s="146"/>
      <c r="HMY3" s="146"/>
      <c r="HMZ3" s="146"/>
      <c r="HNA3" s="146"/>
      <c r="HNB3" s="146"/>
      <c r="HNC3" s="146"/>
      <c r="HND3" s="146"/>
      <c r="HNE3" s="146"/>
      <c r="HNF3" s="146"/>
      <c r="HNG3" s="146"/>
      <c r="HNH3" s="146"/>
      <c r="HNI3" s="146"/>
      <c r="HNJ3" s="146"/>
      <c r="HNK3" s="146"/>
      <c r="HNL3" s="146"/>
      <c r="HNM3" s="146"/>
      <c r="HNN3" s="146"/>
      <c r="HNO3" s="146"/>
      <c r="HNP3" s="146"/>
      <c r="HNQ3" s="146"/>
      <c r="HNR3" s="146"/>
      <c r="HNS3" s="146"/>
      <c r="HNT3" s="146"/>
      <c r="HNU3" s="146"/>
      <c r="HNV3" s="146"/>
      <c r="HNW3" s="146"/>
      <c r="HNX3" s="146"/>
      <c r="HNY3" s="146"/>
      <c r="HNZ3" s="146"/>
      <c r="HOA3" s="146"/>
      <c r="HOB3" s="146"/>
      <c r="HOC3" s="146"/>
      <c r="HOD3" s="146"/>
      <c r="HOE3" s="146"/>
      <c r="HOF3" s="146"/>
      <c r="HOG3" s="146"/>
      <c r="HOH3" s="146"/>
      <c r="HOI3" s="146"/>
      <c r="HOJ3" s="146"/>
      <c r="HOK3" s="146"/>
      <c r="HOL3" s="146"/>
      <c r="HOM3" s="146"/>
      <c r="HON3" s="146"/>
      <c r="HOO3" s="146"/>
      <c r="HOP3" s="146"/>
      <c r="HOQ3" s="146"/>
      <c r="HOR3" s="146"/>
      <c r="HOS3" s="146"/>
      <c r="HOT3" s="146"/>
      <c r="HOU3" s="146"/>
      <c r="HOV3" s="146"/>
      <c r="HOW3" s="146"/>
      <c r="HOX3" s="146"/>
      <c r="HOY3" s="146"/>
      <c r="HOZ3" s="146"/>
      <c r="HPA3" s="146"/>
      <c r="HPB3" s="146"/>
      <c r="HPC3" s="146"/>
      <c r="HPD3" s="146"/>
      <c r="HPE3" s="146"/>
      <c r="HPF3" s="146"/>
      <c r="HPG3" s="146"/>
      <c r="HPH3" s="146"/>
      <c r="HPI3" s="146"/>
      <c r="HPJ3" s="146"/>
      <c r="HPK3" s="146"/>
      <c r="HPL3" s="146"/>
      <c r="HPM3" s="146"/>
      <c r="HPN3" s="146"/>
      <c r="HPO3" s="146"/>
      <c r="HPP3" s="146"/>
      <c r="HPQ3" s="146"/>
      <c r="HPR3" s="146"/>
      <c r="HPS3" s="146"/>
      <c r="HPT3" s="146"/>
      <c r="HPU3" s="146"/>
      <c r="HPV3" s="146"/>
      <c r="HPW3" s="146"/>
      <c r="HPX3" s="146"/>
      <c r="HPY3" s="146"/>
      <c r="HPZ3" s="146"/>
      <c r="HQA3" s="146"/>
      <c r="HQB3" s="146"/>
      <c r="HQC3" s="146"/>
      <c r="HQD3" s="146"/>
      <c r="HQE3" s="146"/>
      <c r="HQF3" s="146"/>
      <c r="HQG3" s="146"/>
      <c r="HQH3" s="146"/>
      <c r="HQI3" s="146"/>
      <c r="HQJ3" s="146"/>
      <c r="HQK3" s="146"/>
      <c r="HQL3" s="146"/>
      <c r="HQM3" s="146"/>
      <c r="HQN3" s="146"/>
      <c r="HQO3" s="146"/>
      <c r="HQP3" s="146"/>
      <c r="HQQ3" s="146"/>
      <c r="HQR3" s="146"/>
      <c r="HQS3" s="146"/>
      <c r="HQT3" s="146"/>
      <c r="HQU3" s="146"/>
      <c r="HQV3" s="146"/>
      <c r="HQW3" s="146"/>
      <c r="HQX3" s="146"/>
      <c r="HQY3" s="146"/>
      <c r="HQZ3" s="146"/>
      <c r="HRA3" s="146"/>
      <c r="HRB3" s="146"/>
      <c r="HRC3" s="146"/>
      <c r="HRD3" s="146"/>
      <c r="HRE3" s="146"/>
      <c r="HRF3" s="146"/>
      <c r="HRG3" s="146"/>
      <c r="HRH3" s="146"/>
      <c r="HRI3" s="146"/>
      <c r="HRJ3" s="146"/>
      <c r="HRK3" s="146"/>
      <c r="HRL3" s="146"/>
      <c r="HRM3" s="146"/>
      <c r="HRN3" s="146"/>
      <c r="HRO3" s="146"/>
      <c r="HRP3" s="146"/>
      <c r="HRQ3" s="146"/>
      <c r="HRR3" s="146"/>
      <c r="HRS3" s="146"/>
      <c r="HRT3" s="146"/>
      <c r="HRU3" s="146"/>
      <c r="HRV3" s="146"/>
      <c r="HRW3" s="146"/>
      <c r="HRX3" s="146"/>
      <c r="HRY3" s="146"/>
      <c r="HRZ3" s="146"/>
      <c r="HSA3" s="146"/>
      <c r="HSB3" s="146"/>
      <c r="HSC3" s="146"/>
      <c r="HSD3" s="146"/>
      <c r="HSE3" s="146"/>
      <c r="HSF3" s="146"/>
      <c r="HSG3" s="146"/>
      <c r="HSH3" s="146"/>
      <c r="HSI3" s="146"/>
      <c r="HSJ3" s="146"/>
      <c r="HSK3" s="146"/>
      <c r="HSL3" s="146"/>
      <c r="HSM3" s="146"/>
      <c r="HSN3" s="146"/>
      <c r="HSO3" s="146"/>
      <c r="HSP3" s="146"/>
      <c r="HSQ3" s="146"/>
      <c r="HSR3" s="146"/>
      <c r="HSS3" s="146"/>
      <c r="HST3" s="146"/>
      <c r="HSU3" s="146"/>
      <c r="HSV3" s="146"/>
      <c r="HSW3" s="146"/>
      <c r="HSX3" s="146"/>
      <c r="HSY3" s="146"/>
      <c r="HSZ3" s="146"/>
      <c r="HTA3" s="146"/>
      <c r="HTB3" s="146"/>
      <c r="HTC3" s="146"/>
      <c r="HTD3" s="146"/>
      <c r="HTE3" s="146"/>
      <c r="HTF3" s="146"/>
      <c r="HTG3" s="146"/>
      <c r="HTH3" s="146"/>
      <c r="HTI3" s="146"/>
      <c r="HTJ3" s="146"/>
      <c r="HTK3" s="146"/>
      <c r="HTL3" s="146"/>
      <c r="HTM3" s="146"/>
      <c r="HTN3" s="146"/>
      <c r="HTO3" s="146"/>
      <c r="HTP3" s="146"/>
      <c r="HTQ3" s="146"/>
      <c r="HTR3" s="146"/>
      <c r="HTS3" s="146"/>
      <c r="HTT3" s="146"/>
      <c r="HTU3" s="146"/>
      <c r="HTV3" s="146"/>
      <c r="HTW3" s="146"/>
      <c r="HTX3" s="146"/>
      <c r="HTY3" s="146"/>
      <c r="HTZ3" s="146"/>
      <c r="HUA3" s="146"/>
      <c r="HUB3" s="146"/>
      <c r="HUC3" s="146"/>
      <c r="HUD3" s="146"/>
      <c r="HUE3" s="146"/>
      <c r="HUF3" s="146"/>
      <c r="HUG3" s="146"/>
      <c r="HUH3" s="146"/>
      <c r="HUI3" s="146"/>
      <c r="HUJ3" s="146"/>
      <c r="HUK3" s="146"/>
      <c r="HUL3" s="146"/>
      <c r="HUM3" s="146"/>
      <c r="HUN3" s="146"/>
      <c r="HUO3" s="146"/>
      <c r="HUP3" s="146"/>
      <c r="HUQ3" s="146"/>
      <c r="HUR3" s="146"/>
      <c r="HUS3" s="146"/>
      <c r="HUT3" s="146"/>
      <c r="HUU3" s="146"/>
      <c r="HUV3" s="146"/>
      <c r="HUW3" s="146"/>
      <c r="HUX3" s="146"/>
      <c r="HUY3" s="146"/>
      <c r="HUZ3" s="146"/>
      <c r="HVA3" s="146"/>
      <c r="HVB3" s="146"/>
      <c r="HVC3" s="146"/>
      <c r="HVD3" s="146"/>
      <c r="HVE3" s="146"/>
      <c r="HVF3" s="146"/>
      <c r="HVG3" s="146"/>
      <c r="HVH3" s="146"/>
      <c r="HVI3" s="146"/>
      <c r="HVJ3" s="146"/>
      <c r="HVK3" s="146"/>
      <c r="HVL3" s="146"/>
      <c r="HVM3" s="146"/>
      <c r="HVN3" s="146"/>
      <c r="HVO3" s="146"/>
      <c r="HVP3" s="146"/>
      <c r="HVQ3" s="146"/>
      <c r="HVR3" s="146"/>
      <c r="HVS3" s="146"/>
      <c r="HVT3" s="146"/>
      <c r="HVU3" s="146"/>
      <c r="HVV3" s="146"/>
      <c r="HVW3" s="146"/>
      <c r="HVX3" s="146"/>
      <c r="HVY3" s="146"/>
      <c r="HVZ3" s="146"/>
      <c r="HWA3" s="146"/>
      <c r="HWB3" s="146"/>
      <c r="HWC3" s="146"/>
      <c r="HWD3" s="146"/>
      <c r="HWE3" s="146"/>
      <c r="HWF3" s="146"/>
      <c r="HWG3" s="146"/>
      <c r="HWH3" s="146"/>
      <c r="HWI3" s="146"/>
      <c r="HWJ3" s="146"/>
      <c r="HWK3" s="146"/>
      <c r="HWL3" s="146"/>
      <c r="HWM3" s="146"/>
      <c r="HWN3" s="146"/>
      <c r="HWO3" s="146"/>
      <c r="HWP3" s="146"/>
      <c r="HWQ3" s="146"/>
      <c r="HWR3" s="146"/>
      <c r="HWS3" s="146"/>
      <c r="HWT3" s="146"/>
      <c r="HWU3" s="146"/>
      <c r="HWV3" s="146"/>
      <c r="HWW3" s="146"/>
      <c r="HWX3" s="146"/>
      <c r="HWY3" s="146"/>
      <c r="HWZ3" s="146"/>
      <c r="HXA3" s="146"/>
      <c r="HXB3" s="146"/>
      <c r="HXC3" s="146"/>
      <c r="HXD3" s="146"/>
      <c r="HXE3" s="146"/>
      <c r="HXF3" s="146"/>
      <c r="HXG3" s="146"/>
      <c r="HXH3" s="146"/>
      <c r="HXI3" s="146"/>
      <c r="HXJ3" s="146"/>
      <c r="HXK3" s="146"/>
      <c r="HXL3" s="146"/>
      <c r="HXM3" s="146"/>
      <c r="HXN3" s="146"/>
      <c r="HXO3" s="146"/>
      <c r="HXP3" s="146"/>
      <c r="HXQ3" s="146"/>
      <c r="HXR3" s="146"/>
      <c r="HXS3" s="146"/>
      <c r="HXT3" s="146"/>
      <c r="HXU3" s="146"/>
      <c r="HXV3" s="146"/>
      <c r="HXW3" s="146"/>
      <c r="HXX3" s="146"/>
      <c r="HXY3" s="146"/>
      <c r="HXZ3" s="146"/>
      <c r="HYA3" s="146"/>
      <c r="HYB3" s="146"/>
      <c r="HYC3" s="146"/>
      <c r="HYD3" s="146"/>
      <c r="HYE3" s="146"/>
      <c r="HYF3" s="146"/>
      <c r="HYG3" s="146"/>
      <c r="HYH3" s="146"/>
      <c r="HYI3" s="146"/>
      <c r="HYJ3" s="146"/>
      <c r="HYK3" s="146"/>
      <c r="HYL3" s="146"/>
      <c r="HYM3" s="146"/>
      <c r="HYN3" s="146"/>
      <c r="HYO3" s="146"/>
      <c r="HYP3" s="146"/>
      <c r="HYQ3" s="146"/>
      <c r="HYR3" s="146"/>
      <c r="HYS3" s="146"/>
      <c r="HYT3" s="146"/>
      <c r="HYU3" s="146"/>
      <c r="HYV3" s="146"/>
      <c r="HYW3" s="146"/>
      <c r="HYX3" s="146"/>
      <c r="HYY3" s="146"/>
      <c r="HYZ3" s="146"/>
      <c r="HZA3" s="146"/>
      <c r="HZB3" s="146"/>
      <c r="HZC3" s="146"/>
      <c r="HZD3" s="146"/>
      <c r="HZE3" s="146"/>
      <c r="HZF3" s="146"/>
      <c r="HZG3" s="146"/>
      <c r="HZH3" s="146"/>
      <c r="HZI3" s="146"/>
      <c r="HZJ3" s="146"/>
      <c r="HZK3" s="146"/>
      <c r="HZL3" s="146"/>
      <c r="HZM3" s="146"/>
      <c r="HZN3" s="146"/>
      <c r="HZO3" s="146"/>
      <c r="HZP3" s="146"/>
      <c r="HZQ3" s="146"/>
      <c r="HZR3" s="146"/>
      <c r="HZS3" s="146"/>
      <c r="HZT3" s="146"/>
      <c r="HZU3" s="146"/>
      <c r="HZV3" s="146"/>
      <c r="HZW3" s="146"/>
      <c r="HZX3" s="146"/>
      <c r="HZY3" s="146"/>
      <c r="HZZ3" s="146"/>
      <c r="IAA3" s="146"/>
      <c r="IAB3" s="146"/>
      <c r="IAC3" s="146"/>
      <c r="IAD3" s="146"/>
      <c r="IAE3" s="146"/>
      <c r="IAF3" s="146"/>
      <c r="IAG3" s="146"/>
      <c r="IAH3" s="146"/>
      <c r="IAI3" s="146"/>
      <c r="IAJ3" s="146"/>
      <c r="IAK3" s="146"/>
      <c r="IAL3" s="146"/>
      <c r="IAM3" s="146"/>
      <c r="IAN3" s="146"/>
      <c r="IAO3" s="146"/>
      <c r="IAP3" s="146"/>
      <c r="IAQ3" s="146"/>
      <c r="IAR3" s="146"/>
      <c r="IAS3" s="146"/>
      <c r="IAT3" s="146"/>
      <c r="IAU3" s="146"/>
      <c r="IAV3" s="146"/>
      <c r="IAW3" s="146"/>
      <c r="IAX3" s="146"/>
      <c r="IAY3" s="146"/>
      <c r="IAZ3" s="146"/>
      <c r="IBA3" s="146"/>
      <c r="IBB3" s="146"/>
      <c r="IBC3" s="146"/>
      <c r="IBD3" s="146"/>
      <c r="IBE3" s="146"/>
      <c r="IBF3" s="146"/>
      <c r="IBG3" s="146"/>
      <c r="IBH3" s="146"/>
      <c r="IBI3" s="146"/>
      <c r="IBJ3" s="146"/>
      <c r="IBK3" s="146"/>
      <c r="IBL3" s="146"/>
      <c r="IBM3" s="146"/>
      <c r="IBN3" s="146"/>
      <c r="IBO3" s="146"/>
      <c r="IBP3" s="146"/>
      <c r="IBQ3" s="146"/>
      <c r="IBR3" s="146"/>
      <c r="IBS3" s="146"/>
      <c r="IBT3" s="146"/>
      <c r="IBU3" s="146"/>
      <c r="IBV3" s="146"/>
      <c r="IBW3" s="146"/>
      <c r="IBX3" s="146"/>
      <c r="IBY3" s="146"/>
      <c r="IBZ3" s="146"/>
      <c r="ICA3" s="146"/>
      <c r="ICB3" s="146"/>
      <c r="ICC3" s="146"/>
      <c r="ICD3" s="146"/>
      <c r="ICE3" s="146"/>
      <c r="ICF3" s="146"/>
      <c r="ICG3" s="146"/>
      <c r="ICH3" s="146"/>
      <c r="ICI3" s="146"/>
      <c r="ICJ3" s="146"/>
      <c r="ICK3" s="146"/>
      <c r="ICL3" s="146"/>
      <c r="ICM3" s="146"/>
      <c r="ICN3" s="146"/>
      <c r="ICO3" s="146"/>
      <c r="ICP3" s="146"/>
      <c r="ICQ3" s="146"/>
      <c r="ICR3" s="146"/>
      <c r="ICS3" s="146"/>
      <c r="ICT3" s="146"/>
      <c r="ICU3" s="146"/>
      <c r="ICV3" s="146"/>
      <c r="ICW3" s="146"/>
      <c r="ICX3" s="146"/>
      <c r="ICY3" s="146"/>
      <c r="ICZ3" s="146"/>
      <c r="IDA3" s="146"/>
      <c r="IDB3" s="146"/>
      <c r="IDC3" s="146"/>
      <c r="IDD3" s="146"/>
      <c r="IDE3" s="146"/>
      <c r="IDF3" s="146"/>
      <c r="IDG3" s="146"/>
      <c r="IDH3" s="146"/>
      <c r="IDI3" s="146"/>
      <c r="IDJ3" s="146"/>
      <c r="IDK3" s="146"/>
      <c r="IDL3" s="146"/>
      <c r="IDM3" s="146"/>
      <c r="IDN3" s="146"/>
      <c r="IDO3" s="146"/>
      <c r="IDP3" s="146"/>
      <c r="IDQ3" s="146"/>
      <c r="IDR3" s="146"/>
      <c r="IDS3" s="146"/>
      <c r="IDT3" s="146"/>
      <c r="IDU3" s="146"/>
      <c r="IDV3" s="146"/>
      <c r="IDW3" s="146"/>
      <c r="IDX3" s="146"/>
      <c r="IDY3" s="146"/>
      <c r="IDZ3" s="146"/>
      <c r="IEA3" s="146"/>
      <c r="IEB3" s="146"/>
      <c r="IEC3" s="146"/>
      <c r="IED3" s="146"/>
      <c r="IEE3" s="146"/>
      <c r="IEF3" s="146"/>
      <c r="IEG3" s="146"/>
      <c r="IEH3" s="146"/>
      <c r="IEI3" s="146"/>
      <c r="IEJ3" s="146"/>
      <c r="IEK3" s="146"/>
      <c r="IEL3" s="146"/>
      <c r="IEM3" s="146"/>
      <c r="IEN3" s="146"/>
      <c r="IEO3" s="146"/>
      <c r="IEP3" s="146"/>
      <c r="IEQ3" s="146"/>
      <c r="IER3" s="146"/>
      <c r="IES3" s="146"/>
      <c r="IET3" s="146"/>
      <c r="IEU3" s="146"/>
      <c r="IEV3" s="146"/>
      <c r="IEW3" s="146"/>
      <c r="IEX3" s="146"/>
      <c r="IEY3" s="146"/>
      <c r="IEZ3" s="146"/>
      <c r="IFA3" s="146"/>
      <c r="IFB3" s="146"/>
      <c r="IFC3" s="146"/>
      <c r="IFD3" s="146"/>
      <c r="IFE3" s="146"/>
      <c r="IFF3" s="146"/>
      <c r="IFG3" s="146"/>
      <c r="IFH3" s="146"/>
      <c r="IFI3" s="146"/>
      <c r="IFJ3" s="146"/>
      <c r="IFK3" s="146"/>
      <c r="IFL3" s="146"/>
      <c r="IFM3" s="146"/>
      <c r="IFN3" s="146"/>
      <c r="IFO3" s="146"/>
      <c r="IFP3" s="146"/>
      <c r="IFQ3" s="146"/>
      <c r="IFR3" s="146"/>
      <c r="IFS3" s="146"/>
      <c r="IFT3" s="146"/>
      <c r="IFU3" s="146"/>
      <c r="IFV3" s="146"/>
      <c r="IFW3" s="146"/>
      <c r="IFX3" s="146"/>
      <c r="IFY3" s="146"/>
      <c r="IFZ3" s="146"/>
      <c r="IGA3" s="146"/>
      <c r="IGB3" s="146"/>
      <c r="IGC3" s="146"/>
      <c r="IGD3" s="146"/>
      <c r="IGE3" s="146"/>
      <c r="IGF3" s="146"/>
      <c r="IGG3" s="146"/>
      <c r="IGH3" s="146"/>
      <c r="IGI3" s="146"/>
      <c r="IGJ3" s="146"/>
      <c r="IGK3" s="146"/>
      <c r="IGL3" s="146"/>
      <c r="IGM3" s="146"/>
      <c r="IGN3" s="146"/>
      <c r="IGO3" s="146"/>
      <c r="IGP3" s="146"/>
      <c r="IGQ3" s="146"/>
      <c r="IGR3" s="146"/>
      <c r="IGS3" s="146"/>
      <c r="IGT3" s="146"/>
      <c r="IGU3" s="146"/>
      <c r="IGV3" s="146"/>
      <c r="IGW3" s="146"/>
      <c r="IGX3" s="146"/>
      <c r="IGY3" s="146"/>
      <c r="IGZ3" s="146"/>
      <c r="IHA3" s="146"/>
      <c r="IHB3" s="146"/>
      <c r="IHC3" s="146"/>
      <c r="IHD3" s="146"/>
      <c r="IHE3" s="146"/>
      <c r="IHF3" s="146"/>
      <c r="IHG3" s="146"/>
      <c r="IHH3" s="146"/>
      <c r="IHI3" s="146"/>
      <c r="IHJ3" s="146"/>
      <c r="IHK3" s="146"/>
      <c r="IHL3" s="146"/>
      <c r="IHM3" s="146"/>
      <c r="IHN3" s="146"/>
      <c r="IHO3" s="146"/>
      <c r="IHP3" s="146"/>
      <c r="IHQ3" s="146"/>
      <c r="IHR3" s="146"/>
      <c r="IHS3" s="146"/>
      <c r="IHT3" s="146"/>
      <c r="IHU3" s="146"/>
      <c r="IHV3" s="146"/>
      <c r="IHW3" s="146"/>
      <c r="IHX3" s="146"/>
      <c r="IHY3" s="146"/>
      <c r="IHZ3" s="146"/>
      <c r="IIA3" s="146"/>
      <c r="IIB3" s="146"/>
      <c r="IIC3" s="146"/>
      <c r="IID3" s="146"/>
      <c r="IIE3" s="146"/>
      <c r="IIF3" s="146"/>
      <c r="IIG3" s="146"/>
      <c r="IIH3" s="146"/>
      <c r="III3" s="146"/>
      <c r="IIJ3" s="146"/>
      <c r="IIK3" s="146"/>
      <c r="IIL3" s="146"/>
      <c r="IIM3" s="146"/>
      <c r="IIN3" s="146"/>
      <c r="IIO3" s="146"/>
      <c r="IIP3" s="146"/>
      <c r="IIQ3" s="146"/>
      <c r="IIR3" s="146"/>
      <c r="IIS3" s="146"/>
      <c r="IIT3" s="146"/>
      <c r="IIU3" s="146"/>
      <c r="IIV3" s="146"/>
      <c r="IIW3" s="146"/>
      <c r="IIX3" s="146"/>
      <c r="IIY3" s="146"/>
      <c r="IIZ3" s="146"/>
      <c r="IJA3" s="146"/>
      <c r="IJB3" s="146"/>
      <c r="IJC3" s="146"/>
      <c r="IJD3" s="146"/>
      <c r="IJE3" s="146"/>
      <c r="IJF3" s="146"/>
      <c r="IJG3" s="146"/>
      <c r="IJH3" s="146"/>
      <c r="IJI3" s="146"/>
      <c r="IJJ3" s="146"/>
      <c r="IJK3" s="146"/>
      <c r="IJL3" s="146"/>
      <c r="IJM3" s="146"/>
      <c r="IJN3" s="146"/>
      <c r="IJO3" s="146"/>
      <c r="IJP3" s="146"/>
      <c r="IJQ3" s="146"/>
      <c r="IJR3" s="146"/>
      <c r="IJS3" s="146"/>
      <c r="IJT3" s="146"/>
      <c r="IJU3" s="146"/>
      <c r="IJV3" s="146"/>
      <c r="IJW3" s="146"/>
      <c r="IJX3" s="146"/>
      <c r="IJY3" s="146"/>
      <c r="IJZ3" s="146"/>
      <c r="IKA3" s="146"/>
      <c r="IKB3" s="146"/>
      <c r="IKC3" s="146"/>
      <c r="IKD3" s="146"/>
      <c r="IKE3" s="146"/>
      <c r="IKF3" s="146"/>
      <c r="IKG3" s="146"/>
      <c r="IKH3" s="146"/>
      <c r="IKI3" s="146"/>
      <c r="IKJ3" s="146"/>
      <c r="IKK3" s="146"/>
      <c r="IKL3" s="146"/>
      <c r="IKM3" s="146"/>
      <c r="IKN3" s="146"/>
      <c r="IKO3" s="146"/>
      <c r="IKP3" s="146"/>
      <c r="IKQ3" s="146"/>
      <c r="IKR3" s="146"/>
      <c r="IKS3" s="146"/>
      <c r="IKT3" s="146"/>
      <c r="IKU3" s="146"/>
      <c r="IKV3" s="146"/>
      <c r="IKW3" s="146"/>
      <c r="IKX3" s="146"/>
      <c r="IKY3" s="146"/>
      <c r="IKZ3" s="146"/>
      <c r="ILA3" s="146"/>
      <c r="ILB3" s="146"/>
      <c r="ILC3" s="146"/>
      <c r="ILD3" s="146"/>
      <c r="ILE3" s="146"/>
      <c r="ILF3" s="146"/>
      <c r="ILG3" s="146"/>
      <c r="ILH3" s="146"/>
      <c r="ILI3" s="146"/>
      <c r="ILJ3" s="146"/>
      <c r="ILK3" s="146"/>
      <c r="ILL3" s="146"/>
      <c r="ILM3" s="146"/>
      <c r="ILN3" s="146"/>
      <c r="ILO3" s="146"/>
      <c r="ILP3" s="146"/>
      <c r="ILQ3" s="146"/>
      <c r="ILR3" s="146"/>
      <c r="ILS3" s="146"/>
      <c r="ILT3" s="146"/>
      <c r="ILU3" s="146"/>
      <c r="ILV3" s="146"/>
      <c r="ILW3" s="146"/>
      <c r="ILX3" s="146"/>
      <c r="ILY3" s="146"/>
      <c r="ILZ3" s="146"/>
      <c r="IMA3" s="146"/>
      <c r="IMB3" s="146"/>
      <c r="IMC3" s="146"/>
      <c r="IMD3" s="146"/>
      <c r="IME3" s="146"/>
      <c r="IMF3" s="146"/>
      <c r="IMG3" s="146"/>
      <c r="IMH3" s="146"/>
      <c r="IMI3" s="146"/>
      <c r="IMJ3" s="146"/>
      <c r="IMK3" s="146"/>
      <c r="IML3" s="146"/>
      <c r="IMM3" s="146"/>
      <c r="IMN3" s="146"/>
      <c r="IMO3" s="146"/>
      <c r="IMP3" s="146"/>
      <c r="IMQ3" s="146"/>
      <c r="IMR3" s="146"/>
      <c r="IMS3" s="146"/>
      <c r="IMT3" s="146"/>
      <c r="IMU3" s="146"/>
      <c r="IMV3" s="146"/>
      <c r="IMW3" s="146"/>
      <c r="IMX3" s="146"/>
      <c r="IMY3" s="146"/>
      <c r="IMZ3" s="146"/>
      <c r="INA3" s="146"/>
      <c r="INB3" s="146"/>
      <c r="INC3" s="146"/>
      <c r="IND3" s="146"/>
      <c r="INE3" s="146"/>
      <c r="INF3" s="146"/>
      <c r="ING3" s="146"/>
      <c r="INH3" s="146"/>
      <c r="INI3" s="146"/>
      <c r="INJ3" s="146"/>
      <c r="INK3" s="146"/>
      <c r="INL3" s="146"/>
      <c r="INM3" s="146"/>
      <c r="INN3" s="146"/>
      <c r="INO3" s="146"/>
      <c r="INP3" s="146"/>
      <c r="INQ3" s="146"/>
      <c r="INR3" s="146"/>
      <c r="INS3" s="146"/>
      <c r="INT3" s="146"/>
      <c r="INU3" s="146"/>
      <c r="INV3" s="146"/>
      <c r="INW3" s="146"/>
      <c r="INX3" s="146"/>
      <c r="INY3" s="146"/>
      <c r="INZ3" s="146"/>
      <c r="IOA3" s="146"/>
      <c r="IOB3" s="146"/>
      <c r="IOC3" s="146"/>
      <c r="IOD3" s="146"/>
      <c r="IOE3" s="146"/>
      <c r="IOF3" s="146"/>
      <c r="IOG3" s="146"/>
      <c r="IOH3" s="146"/>
      <c r="IOI3" s="146"/>
      <c r="IOJ3" s="146"/>
      <c r="IOK3" s="146"/>
      <c r="IOL3" s="146"/>
      <c r="IOM3" s="146"/>
      <c r="ION3" s="146"/>
      <c r="IOO3" s="146"/>
      <c r="IOP3" s="146"/>
      <c r="IOQ3" s="146"/>
      <c r="IOR3" s="146"/>
      <c r="IOS3" s="146"/>
      <c r="IOT3" s="146"/>
      <c r="IOU3" s="146"/>
      <c r="IOV3" s="146"/>
      <c r="IOW3" s="146"/>
      <c r="IOX3" s="146"/>
      <c r="IOY3" s="146"/>
      <c r="IOZ3" s="146"/>
      <c r="IPA3" s="146"/>
      <c r="IPB3" s="146"/>
      <c r="IPC3" s="146"/>
      <c r="IPD3" s="146"/>
      <c r="IPE3" s="146"/>
      <c r="IPF3" s="146"/>
      <c r="IPG3" s="146"/>
      <c r="IPH3" s="146"/>
      <c r="IPI3" s="146"/>
      <c r="IPJ3" s="146"/>
      <c r="IPK3" s="146"/>
      <c r="IPL3" s="146"/>
      <c r="IPM3" s="146"/>
      <c r="IPN3" s="146"/>
      <c r="IPO3" s="146"/>
      <c r="IPP3" s="146"/>
      <c r="IPQ3" s="146"/>
      <c r="IPR3" s="146"/>
      <c r="IPS3" s="146"/>
      <c r="IPT3" s="146"/>
      <c r="IPU3" s="146"/>
      <c r="IPV3" s="146"/>
      <c r="IPW3" s="146"/>
      <c r="IPX3" s="146"/>
      <c r="IPY3" s="146"/>
      <c r="IPZ3" s="146"/>
      <c r="IQA3" s="146"/>
      <c r="IQB3" s="146"/>
      <c r="IQC3" s="146"/>
      <c r="IQD3" s="146"/>
      <c r="IQE3" s="146"/>
      <c r="IQF3" s="146"/>
      <c r="IQG3" s="146"/>
      <c r="IQH3" s="146"/>
      <c r="IQI3" s="146"/>
      <c r="IQJ3" s="146"/>
      <c r="IQK3" s="146"/>
      <c r="IQL3" s="146"/>
      <c r="IQM3" s="146"/>
      <c r="IQN3" s="146"/>
      <c r="IQO3" s="146"/>
      <c r="IQP3" s="146"/>
      <c r="IQQ3" s="146"/>
      <c r="IQR3" s="146"/>
      <c r="IQS3" s="146"/>
      <c r="IQT3" s="146"/>
      <c r="IQU3" s="146"/>
      <c r="IQV3" s="146"/>
      <c r="IQW3" s="146"/>
      <c r="IQX3" s="146"/>
      <c r="IQY3" s="146"/>
      <c r="IQZ3" s="146"/>
      <c r="IRA3" s="146"/>
      <c r="IRB3" s="146"/>
      <c r="IRC3" s="146"/>
      <c r="IRD3" s="146"/>
      <c r="IRE3" s="146"/>
      <c r="IRF3" s="146"/>
      <c r="IRG3" s="146"/>
      <c r="IRH3" s="146"/>
      <c r="IRI3" s="146"/>
      <c r="IRJ3" s="146"/>
      <c r="IRK3" s="146"/>
      <c r="IRL3" s="146"/>
      <c r="IRM3" s="146"/>
      <c r="IRN3" s="146"/>
      <c r="IRO3" s="146"/>
      <c r="IRP3" s="146"/>
      <c r="IRQ3" s="146"/>
      <c r="IRR3" s="146"/>
      <c r="IRS3" s="146"/>
      <c r="IRT3" s="146"/>
      <c r="IRU3" s="146"/>
      <c r="IRV3" s="146"/>
      <c r="IRW3" s="146"/>
      <c r="IRX3" s="146"/>
      <c r="IRY3" s="146"/>
      <c r="IRZ3" s="146"/>
      <c r="ISA3" s="146"/>
      <c r="ISB3" s="146"/>
      <c r="ISC3" s="146"/>
      <c r="ISD3" s="146"/>
      <c r="ISE3" s="146"/>
      <c r="ISF3" s="146"/>
      <c r="ISG3" s="146"/>
      <c r="ISH3" s="146"/>
      <c r="ISI3" s="146"/>
      <c r="ISJ3" s="146"/>
      <c r="ISK3" s="146"/>
      <c r="ISL3" s="146"/>
      <c r="ISM3" s="146"/>
      <c r="ISN3" s="146"/>
      <c r="ISO3" s="146"/>
      <c r="ISP3" s="146"/>
      <c r="ISQ3" s="146"/>
      <c r="ISR3" s="146"/>
      <c r="ISS3" s="146"/>
      <c r="IST3" s="146"/>
      <c r="ISU3" s="146"/>
      <c r="ISV3" s="146"/>
      <c r="ISW3" s="146"/>
      <c r="ISX3" s="146"/>
      <c r="ISY3" s="146"/>
      <c r="ISZ3" s="146"/>
      <c r="ITA3" s="146"/>
      <c r="ITB3" s="146"/>
      <c r="ITC3" s="146"/>
      <c r="ITD3" s="146"/>
      <c r="ITE3" s="146"/>
      <c r="ITF3" s="146"/>
      <c r="ITG3" s="146"/>
      <c r="ITH3" s="146"/>
      <c r="ITI3" s="146"/>
      <c r="ITJ3" s="146"/>
      <c r="ITK3" s="146"/>
      <c r="ITL3" s="146"/>
      <c r="ITM3" s="146"/>
      <c r="ITN3" s="146"/>
      <c r="ITO3" s="146"/>
      <c r="ITP3" s="146"/>
      <c r="ITQ3" s="146"/>
      <c r="ITR3" s="146"/>
      <c r="ITS3" s="146"/>
      <c r="ITT3" s="146"/>
      <c r="ITU3" s="146"/>
      <c r="ITV3" s="146"/>
      <c r="ITW3" s="146"/>
      <c r="ITX3" s="146"/>
      <c r="ITY3" s="146"/>
      <c r="ITZ3" s="146"/>
      <c r="IUA3" s="146"/>
      <c r="IUB3" s="146"/>
      <c r="IUC3" s="146"/>
      <c r="IUD3" s="146"/>
      <c r="IUE3" s="146"/>
      <c r="IUF3" s="146"/>
      <c r="IUG3" s="146"/>
      <c r="IUH3" s="146"/>
      <c r="IUI3" s="146"/>
      <c r="IUJ3" s="146"/>
      <c r="IUK3" s="146"/>
      <c r="IUL3" s="146"/>
      <c r="IUM3" s="146"/>
      <c r="IUN3" s="146"/>
      <c r="IUO3" s="146"/>
      <c r="IUP3" s="146"/>
      <c r="IUQ3" s="146"/>
      <c r="IUR3" s="146"/>
      <c r="IUS3" s="146"/>
      <c r="IUT3" s="146"/>
      <c r="IUU3" s="146"/>
      <c r="IUV3" s="146"/>
      <c r="IUW3" s="146"/>
      <c r="IUX3" s="146"/>
      <c r="IUY3" s="146"/>
      <c r="IUZ3" s="146"/>
      <c r="IVA3" s="146"/>
      <c r="IVB3" s="146"/>
      <c r="IVC3" s="146"/>
      <c r="IVD3" s="146"/>
      <c r="IVE3" s="146"/>
      <c r="IVF3" s="146"/>
      <c r="IVG3" s="146"/>
      <c r="IVH3" s="146"/>
      <c r="IVI3" s="146"/>
      <c r="IVJ3" s="146"/>
      <c r="IVK3" s="146"/>
      <c r="IVL3" s="146"/>
      <c r="IVM3" s="146"/>
      <c r="IVN3" s="146"/>
      <c r="IVO3" s="146"/>
      <c r="IVP3" s="146"/>
      <c r="IVQ3" s="146"/>
      <c r="IVR3" s="146"/>
      <c r="IVS3" s="146"/>
      <c r="IVT3" s="146"/>
      <c r="IVU3" s="146"/>
      <c r="IVV3" s="146"/>
      <c r="IVW3" s="146"/>
      <c r="IVX3" s="146"/>
      <c r="IVY3" s="146"/>
      <c r="IVZ3" s="146"/>
      <c r="IWA3" s="146"/>
      <c r="IWB3" s="146"/>
      <c r="IWC3" s="146"/>
      <c r="IWD3" s="146"/>
      <c r="IWE3" s="146"/>
      <c r="IWF3" s="146"/>
      <c r="IWG3" s="146"/>
      <c r="IWH3" s="146"/>
      <c r="IWI3" s="146"/>
      <c r="IWJ3" s="146"/>
      <c r="IWK3" s="146"/>
      <c r="IWL3" s="146"/>
      <c r="IWM3" s="146"/>
      <c r="IWN3" s="146"/>
      <c r="IWO3" s="146"/>
      <c r="IWP3" s="146"/>
      <c r="IWQ3" s="146"/>
      <c r="IWR3" s="146"/>
      <c r="IWS3" s="146"/>
      <c r="IWT3" s="146"/>
      <c r="IWU3" s="146"/>
      <c r="IWV3" s="146"/>
      <c r="IWW3" s="146"/>
      <c r="IWX3" s="146"/>
      <c r="IWY3" s="146"/>
      <c r="IWZ3" s="146"/>
      <c r="IXA3" s="146"/>
      <c r="IXB3" s="146"/>
      <c r="IXC3" s="146"/>
      <c r="IXD3" s="146"/>
      <c r="IXE3" s="146"/>
      <c r="IXF3" s="146"/>
      <c r="IXG3" s="146"/>
      <c r="IXH3" s="146"/>
      <c r="IXI3" s="146"/>
      <c r="IXJ3" s="146"/>
      <c r="IXK3" s="146"/>
      <c r="IXL3" s="146"/>
      <c r="IXM3" s="146"/>
      <c r="IXN3" s="146"/>
      <c r="IXO3" s="146"/>
      <c r="IXP3" s="146"/>
      <c r="IXQ3" s="146"/>
      <c r="IXR3" s="146"/>
      <c r="IXS3" s="146"/>
      <c r="IXT3" s="146"/>
      <c r="IXU3" s="146"/>
      <c r="IXV3" s="146"/>
      <c r="IXW3" s="146"/>
      <c r="IXX3" s="146"/>
      <c r="IXY3" s="146"/>
      <c r="IXZ3" s="146"/>
      <c r="IYA3" s="146"/>
      <c r="IYB3" s="146"/>
      <c r="IYC3" s="146"/>
      <c r="IYD3" s="146"/>
      <c r="IYE3" s="146"/>
      <c r="IYF3" s="146"/>
      <c r="IYG3" s="146"/>
      <c r="IYH3" s="146"/>
      <c r="IYI3" s="146"/>
      <c r="IYJ3" s="146"/>
      <c r="IYK3" s="146"/>
      <c r="IYL3" s="146"/>
      <c r="IYM3" s="146"/>
      <c r="IYN3" s="146"/>
      <c r="IYO3" s="146"/>
      <c r="IYP3" s="146"/>
      <c r="IYQ3" s="146"/>
      <c r="IYR3" s="146"/>
      <c r="IYS3" s="146"/>
      <c r="IYT3" s="146"/>
      <c r="IYU3" s="146"/>
      <c r="IYV3" s="146"/>
      <c r="IYW3" s="146"/>
      <c r="IYX3" s="146"/>
      <c r="IYY3" s="146"/>
      <c r="IYZ3" s="146"/>
      <c r="IZA3" s="146"/>
      <c r="IZB3" s="146"/>
      <c r="IZC3" s="146"/>
      <c r="IZD3" s="146"/>
      <c r="IZE3" s="146"/>
      <c r="IZF3" s="146"/>
      <c r="IZG3" s="146"/>
      <c r="IZH3" s="146"/>
      <c r="IZI3" s="146"/>
      <c r="IZJ3" s="146"/>
      <c r="IZK3" s="146"/>
      <c r="IZL3" s="146"/>
      <c r="IZM3" s="146"/>
      <c r="IZN3" s="146"/>
      <c r="IZO3" s="146"/>
      <c r="IZP3" s="146"/>
      <c r="IZQ3" s="146"/>
      <c r="IZR3" s="146"/>
      <c r="IZS3" s="146"/>
      <c r="IZT3" s="146"/>
      <c r="IZU3" s="146"/>
      <c r="IZV3" s="146"/>
      <c r="IZW3" s="146"/>
      <c r="IZX3" s="146"/>
      <c r="IZY3" s="146"/>
      <c r="IZZ3" s="146"/>
      <c r="JAA3" s="146"/>
      <c r="JAB3" s="146"/>
      <c r="JAC3" s="146"/>
      <c r="JAD3" s="146"/>
      <c r="JAE3" s="146"/>
      <c r="JAF3" s="146"/>
      <c r="JAG3" s="146"/>
      <c r="JAH3" s="146"/>
      <c r="JAI3" s="146"/>
      <c r="JAJ3" s="146"/>
      <c r="JAK3" s="146"/>
      <c r="JAL3" s="146"/>
      <c r="JAM3" s="146"/>
      <c r="JAN3" s="146"/>
      <c r="JAO3" s="146"/>
      <c r="JAP3" s="146"/>
      <c r="JAQ3" s="146"/>
      <c r="JAR3" s="146"/>
      <c r="JAS3" s="146"/>
      <c r="JAT3" s="146"/>
      <c r="JAU3" s="146"/>
      <c r="JAV3" s="146"/>
      <c r="JAW3" s="146"/>
      <c r="JAX3" s="146"/>
      <c r="JAY3" s="146"/>
      <c r="JAZ3" s="146"/>
      <c r="JBA3" s="146"/>
      <c r="JBB3" s="146"/>
      <c r="JBC3" s="146"/>
      <c r="JBD3" s="146"/>
      <c r="JBE3" s="146"/>
      <c r="JBF3" s="146"/>
      <c r="JBG3" s="146"/>
      <c r="JBH3" s="146"/>
      <c r="JBI3" s="146"/>
      <c r="JBJ3" s="146"/>
      <c r="JBK3" s="146"/>
      <c r="JBL3" s="146"/>
      <c r="JBM3" s="146"/>
      <c r="JBN3" s="146"/>
      <c r="JBO3" s="146"/>
      <c r="JBP3" s="146"/>
      <c r="JBQ3" s="146"/>
      <c r="JBR3" s="146"/>
      <c r="JBS3" s="146"/>
      <c r="JBT3" s="146"/>
      <c r="JBU3" s="146"/>
      <c r="JBV3" s="146"/>
      <c r="JBW3" s="146"/>
      <c r="JBX3" s="146"/>
      <c r="JBY3" s="146"/>
      <c r="JBZ3" s="146"/>
      <c r="JCA3" s="146"/>
      <c r="JCB3" s="146"/>
      <c r="JCC3" s="146"/>
      <c r="JCD3" s="146"/>
      <c r="JCE3" s="146"/>
      <c r="JCF3" s="146"/>
      <c r="JCG3" s="146"/>
      <c r="JCH3" s="146"/>
      <c r="JCI3" s="146"/>
      <c r="JCJ3" s="146"/>
      <c r="JCK3" s="146"/>
      <c r="JCL3" s="146"/>
      <c r="JCM3" s="146"/>
      <c r="JCN3" s="146"/>
      <c r="JCO3" s="146"/>
      <c r="JCP3" s="146"/>
      <c r="JCQ3" s="146"/>
      <c r="JCR3" s="146"/>
      <c r="JCS3" s="146"/>
      <c r="JCT3" s="146"/>
      <c r="JCU3" s="146"/>
      <c r="JCV3" s="146"/>
      <c r="JCW3" s="146"/>
      <c r="JCX3" s="146"/>
      <c r="JCY3" s="146"/>
      <c r="JCZ3" s="146"/>
      <c r="JDA3" s="146"/>
      <c r="JDB3" s="146"/>
      <c r="JDC3" s="146"/>
      <c r="JDD3" s="146"/>
      <c r="JDE3" s="146"/>
      <c r="JDF3" s="146"/>
      <c r="JDG3" s="146"/>
      <c r="JDH3" s="146"/>
      <c r="JDI3" s="146"/>
      <c r="JDJ3" s="146"/>
      <c r="JDK3" s="146"/>
      <c r="JDL3" s="146"/>
      <c r="JDM3" s="146"/>
      <c r="JDN3" s="146"/>
      <c r="JDO3" s="146"/>
      <c r="JDP3" s="146"/>
      <c r="JDQ3" s="146"/>
      <c r="JDR3" s="146"/>
      <c r="JDS3" s="146"/>
      <c r="JDT3" s="146"/>
      <c r="JDU3" s="146"/>
      <c r="JDV3" s="146"/>
      <c r="JDW3" s="146"/>
      <c r="JDX3" s="146"/>
      <c r="JDY3" s="146"/>
      <c r="JDZ3" s="146"/>
      <c r="JEA3" s="146"/>
      <c r="JEB3" s="146"/>
      <c r="JEC3" s="146"/>
      <c r="JED3" s="146"/>
      <c r="JEE3" s="146"/>
      <c r="JEF3" s="146"/>
      <c r="JEG3" s="146"/>
      <c r="JEH3" s="146"/>
      <c r="JEI3" s="146"/>
      <c r="JEJ3" s="146"/>
      <c r="JEK3" s="146"/>
      <c r="JEL3" s="146"/>
      <c r="JEM3" s="146"/>
      <c r="JEN3" s="146"/>
      <c r="JEO3" s="146"/>
      <c r="JEP3" s="146"/>
      <c r="JEQ3" s="146"/>
      <c r="JER3" s="146"/>
      <c r="JES3" s="146"/>
      <c r="JET3" s="146"/>
      <c r="JEU3" s="146"/>
      <c r="JEV3" s="146"/>
      <c r="JEW3" s="146"/>
      <c r="JEX3" s="146"/>
      <c r="JEY3" s="146"/>
      <c r="JEZ3" s="146"/>
      <c r="JFA3" s="146"/>
      <c r="JFB3" s="146"/>
      <c r="JFC3" s="146"/>
      <c r="JFD3" s="146"/>
      <c r="JFE3" s="146"/>
      <c r="JFF3" s="146"/>
      <c r="JFG3" s="146"/>
      <c r="JFH3" s="146"/>
      <c r="JFI3" s="146"/>
      <c r="JFJ3" s="146"/>
      <c r="JFK3" s="146"/>
      <c r="JFL3" s="146"/>
      <c r="JFM3" s="146"/>
      <c r="JFN3" s="146"/>
      <c r="JFO3" s="146"/>
      <c r="JFP3" s="146"/>
      <c r="JFQ3" s="146"/>
      <c r="JFR3" s="146"/>
      <c r="JFS3" s="146"/>
      <c r="JFT3" s="146"/>
      <c r="JFU3" s="146"/>
      <c r="JFV3" s="146"/>
      <c r="JFW3" s="146"/>
      <c r="JFX3" s="146"/>
      <c r="JFY3" s="146"/>
      <c r="JFZ3" s="146"/>
      <c r="JGA3" s="146"/>
      <c r="JGB3" s="146"/>
      <c r="JGC3" s="146"/>
      <c r="JGD3" s="146"/>
      <c r="JGE3" s="146"/>
      <c r="JGF3" s="146"/>
      <c r="JGG3" s="146"/>
      <c r="JGH3" s="146"/>
      <c r="JGI3" s="146"/>
      <c r="JGJ3" s="146"/>
      <c r="JGK3" s="146"/>
      <c r="JGL3" s="146"/>
      <c r="JGM3" s="146"/>
      <c r="JGN3" s="146"/>
      <c r="JGO3" s="146"/>
      <c r="JGP3" s="146"/>
      <c r="JGQ3" s="146"/>
      <c r="JGR3" s="146"/>
      <c r="JGS3" s="146"/>
      <c r="JGT3" s="146"/>
      <c r="JGU3" s="146"/>
      <c r="JGV3" s="146"/>
      <c r="JGW3" s="146"/>
      <c r="JGX3" s="146"/>
      <c r="JGY3" s="146"/>
      <c r="JGZ3" s="146"/>
      <c r="JHA3" s="146"/>
      <c r="JHB3" s="146"/>
      <c r="JHC3" s="146"/>
      <c r="JHD3" s="146"/>
      <c r="JHE3" s="146"/>
      <c r="JHF3" s="146"/>
      <c r="JHG3" s="146"/>
      <c r="JHH3" s="146"/>
      <c r="JHI3" s="146"/>
      <c r="JHJ3" s="146"/>
      <c r="JHK3" s="146"/>
      <c r="JHL3" s="146"/>
      <c r="JHM3" s="146"/>
      <c r="JHN3" s="146"/>
      <c r="JHO3" s="146"/>
      <c r="JHP3" s="146"/>
      <c r="JHQ3" s="146"/>
      <c r="JHR3" s="146"/>
      <c r="JHS3" s="146"/>
      <c r="JHT3" s="146"/>
      <c r="JHU3" s="146"/>
      <c r="JHV3" s="146"/>
      <c r="JHW3" s="146"/>
      <c r="JHX3" s="146"/>
      <c r="JHY3" s="146"/>
      <c r="JHZ3" s="146"/>
      <c r="JIA3" s="146"/>
      <c r="JIB3" s="146"/>
      <c r="JIC3" s="146"/>
      <c r="JID3" s="146"/>
      <c r="JIE3" s="146"/>
      <c r="JIF3" s="146"/>
      <c r="JIG3" s="146"/>
      <c r="JIH3" s="146"/>
      <c r="JII3" s="146"/>
      <c r="JIJ3" s="146"/>
      <c r="JIK3" s="146"/>
      <c r="JIL3" s="146"/>
      <c r="JIM3" s="146"/>
      <c r="JIN3" s="146"/>
      <c r="JIO3" s="146"/>
      <c r="JIP3" s="146"/>
      <c r="JIQ3" s="146"/>
      <c r="JIR3" s="146"/>
      <c r="JIS3" s="146"/>
      <c r="JIT3" s="146"/>
      <c r="JIU3" s="146"/>
      <c r="JIV3" s="146"/>
      <c r="JIW3" s="146"/>
      <c r="JIX3" s="146"/>
      <c r="JIY3" s="146"/>
      <c r="JIZ3" s="146"/>
      <c r="JJA3" s="146"/>
      <c r="JJB3" s="146"/>
      <c r="JJC3" s="146"/>
      <c r="JJD3" s="146"/>
      <c r="JJE3" s="146"/>
      <c r="JJF3" s="146"/>
      <c r="JJG3" s="146"/>
      <c r="JJH3" s="146"/>
      <c r="JJI3" s="146"/>
      <c r="JJJ3" s="146"/>
      <c r="JJK3" s="146"/>
      <c r="JJL3" s="146"/>
      <c r="JJM3" s="146"/>
      <c r="JJN3" s="146"/>
      <c r="JJO3" s="146"/>
      <c r="JJP3" s="146"/>
      <c r="JJQ3" s="146"/>
      <c r="JJR3" s="146"/>
      <c r="JJS3" s="146"/>
      <c r="JJT3" s="146"/>
      <c r="JJU3" s="146"/>
      <c r="JJV3" s="146"/>
      <c r="JJW3" s="146"/>
      <c r="JJX3" s="146"/>
      <c r="JJY3" s="146"/>
      <c r="JJZ3" s="146"/>
      <c r="JKA3" s="146"/>
      <c r="JKB3" s="146"/>
      <c r="JKC3" s="146"/>
      <c r="JKD3" s="146"/>
      <c r="JKE3" s="146"/>
      <c r="JKF3" s="146"/>
      <c r="JKG3" s="146"/>
      <c r="JKH3" s="146"/>
      <c r="JKI3" s="146"/>
      <c r="JKJ3" s="146"/>
      <c r="JKK3" s="146"/>
      <c r="JKL3" s="146"/>
      <c r="JKM3" s="146"/>
      <c r="JKN3" s="146"/>
      <c r="JKO3" s="146"/>
      <c r="JKP3" s="146"/>
      <c r="JKQ3" s="146"/>
      <c r="JKR3" s="146"/>
      <c r="JKS3" s="146"/>
      <c r="JKT3" s="146"/>
      <c r="JKU3" s="146"/>
      <c r="JKV3" s="146"/>
      <c r="JKW3" s="146"/>
      <c r="JKX3" s="146"/>
      <c r="JKY3" s="146"/>
      <c r="JKZ3" s="146"/>
      <c r="JLA3" s="146"/>
      <c r="JLB3" s="146"/>
      <c r="JLC3" s="146"/>
      <c r="JLD3" s="146"/>
      <c r="JLE3" s="146"/>
      <c r="JLF3" s="146"/>
      <c r="JLG3" s="146"/>
      <c r="JLH3" s="146"/>
      <c r="JLI3" s="146"/>
      <c r="JLJ3" s="146"/>
      <c r="JLK3" s="146"/>
      <c r="JLL3" s="146"/>
      <c r="JLM3" s="146"/>
      <c r="JLN3" s="146"/>
      <c r="JLO3" s="146"/>
      <c r="JLP3" s="146"/>
      <c r="JLQ3" s="146"/>
      <c r="JLR3" s="146"/>
      <c r="JLS3" s="146"/>
      <c r="JLT3" s="146"/>
      <c r="JLU3" s="146"/>
      <c r="JLV3" s="146"/>
      <c r="JLW3" s="146"/>
      <c r="JLX3" s="146"/>
      <c r="JLY3" s="146"/>
      <c r="JLZ3" s="146"/>
      <c r="JMA3" s="146"/>
      <c r="JMB3" s="146"/>
      <c r="JMC3" s="146"/>
      <c r="JMD3" s="146"/>
      <c r="JME3" s="146"/>
      <c r="JMF3" s="146"/>
      <c r="JMG3" s="146"/>
      <c r="JMH3" s="146"/>
      <c r="JMI3" s="146"/>
      <c r="JMJ3" s="146"/>
      <c r="JMK3" s="146"/>
      <c r="JML3" s="146"/>
      <c r="JMM3" s="146"/>
      <c r="JMN3" s="146"/>
      <c r="JMO3" s="146"/>
      <c r="JMP3" s="146"/>
      <c r="JMQ3" s="146"/>
      <c r="JMR3" s="146"/>
      <c r="JMS3" s="146"/>
      <c r="JMT3" s="146"/>
      <c r="JMU3" s="146"/>
      <c r="JMV3" s="146"/>
      <c r="JMW3" s="146"/>
      <c r="JMX3" s="146"/>
      <c r="JMY3" s="146"/>
      <c r="JMZ3" s="146"/>
      <c r="JNA3" s="146"/>
      <c r="JNB3" s="146"/>
      <c r="JNC3" s="146"/>
      <c r="JND3" s="146"/>
      <c r="JNE3" s="146"/>
      <c r="JNF3" s="146"/>
      <c r="JNG3" s="146"/>
      <c r="JNH3" s="146"/>
      <c r="JNI3" s="146"/>
      <c r="JNJ3" s="146"/>
      <c r="JNK3" s="146"/>
      <c r="JNL3" s="146"/>
      <c r="JNM3" s="146"/>
      <c r="JNN3" s="146"/>
      <c r="JNO3" s="146"/>
      <c r="JNP3" s="146"/>
      <c r="JNQ3" s="146"/>
      <c r="JNR3" s="146"/>
      <c r="JNS3" s="146"/>
      <c r="JNT3" s="146"/>
      <c r="JNU3" s="146"/>
      <c r="JNV3" s="146"/>
      <c r="JNW3" s="146"/>
      <c r="JNX3" s="146"/>
      <c r="JNY3" s="146"/>
      <c r="JNZ3" s="146"/>
      <c r="JOA3" s="146"/>
      <c r="JOB3" s="146"/>
      <c r="JOC3" s="146"/>
      <c r="JOD3" s="146"/>
      <c r="JOE3" s="146"/>
      <c r="JOF3" s="146"/>
      <c r="JOG3" s="146"/>
      <c r="JOH3" s="146"/>
      <c r="JOI3" s="146"/>
      <c r="JOJ3" s="146"/>
      <c r="JOK3" s="146"/>
      <c r="JOL3" s="146"/>
      <c r="JOM3" s="146"/>
      <c r="JON3" s="146"/>
      <c r="JOO3" s="146"/>
      <c r="JOP3" s="146"/>
      <c r="JOQ3" s="146"/>
      <c r="JOR3" s="146"/>
      <c r="JOS3" s="146"/>
      <c r="JOT3" s="146"/>
      <c r="JOU3" s="146"/>
      <c r="JOV3" s="146"/>
      <c r="JOW3" s="146"/>
      <c r="JOX3" s="146"/>
      <c r="JOY3" s="146"/>
      <c r="JOZ3" s="146"/>
      <c r="JPA3" s="146"/>
      <c r="JPB3" s="146"/>
      <c r="JPC3" s="146"/>
      <c r="JPD3" s="146"/>
      <c r="JPE3" s="146"/>
      <c r="JPF3" s="146"/>
      <c r="JPG3" s="146"/>
      <c r="JPH3" s="146"/>
      <c r="JPI3" s="146"/>
      <c r="JPJ3" s="146"/>
      <c r="JPK3" s="146"/>
      <c r="JPL3" s="146"/>
      <c r="JPM3" s="146"/>
      <c r="JPN3" s="146"/>
      <c r="JPO3" s="146"/>
      <c r="JPP3" s="146"/>
      <c r="JPQ3" s="146"/>
      <c r="JPR3" s="146"/>
      <c r="JPS3" s="146"/>
      <c r="JPT3" s="146"/>
      <c r="JPU3" s="146"/>
      <c r="JPV3" s="146"/>
      <c r="JPW3" s="146"/>
      <c r="JPX3" s="146"/>
      <c r="JPY3" s="146"/>
      <c r="JPZ3" s="146"/>
      <c r="JQA3" s="146"/>
      <c r="JQB3" s="146"/>
      <c r="JQC3" s="146"/>
      <c r="JQD3" s="146"/>
      <c r="JQE3" s="146"/>
      <c r="JQF3" s="146"/>
      <c r="JQG3" s="146"/>
      <c r="JQH3" s="146"/>
      <c r="JQI3" s="146"/>
      <c r="JQJ3" s="146"/>
      <c r="JQK3" s="146"/>
      <c r="JQL3" s="146"/>
      <c r="JQM3" s="146"/>
      <c r="JQN3" s="146"/>
      <c r="JQO3" s="146"/>
      <c r="JQP3" s="146"/>
      <c r="JQQ3" s="146"/>
      <c r="JQR3" s="146"/>
      <c r="JQS3" s="146"/>
      <c r="JQT3" s="146"/>
      <c r="JQU3" s="146"/>
      <c r="JQV3" s="146"/>
      <c r="JQW3" s="146"/>
      <c r="JQX3" s="146"/>
      <c r="JQY3" s="146"/>
      <c r="JQZ3" s="146"/>
      <c r="JRA3" s="146"/>
      <c r="JRB3" s="146"/>
      <c r="JRC3" s="146"/>
      <c r="JRD3" s="146"/>
      <c r="JRE3" s="146"/>
      <c r="JRF3" s="146"/>
      <c r="JRG3" s="146"/>
      <c r="JRH3" s="146"/>
      <c r="JRI3" s="146"/>
      <c r="JRJ3" s="146"/>
      <c r="JRK3" s="146"/>
      <c r="JRL3" s="146"/>
      <c r="JRM3" s="146"/>
      <c r="JRN3" s="146"/>
      <c r="JRO3" s="146"/>
      <c r="JRP3" s="146"/>
      <c r="JRQ3" s="146"/>
      <c r="JRR3" s="146"/>
      <c r="JRS3" s="146"/>
      <c r="JRT3" s="146"/>
      <c r="JRU3" s="146"/>
      <c r="JRV3" s="146"/>
      <c r="JRW3" s="146"/>
      <c r="JRX3" s="146"/>
      <c r="JRY3" s="146"/>
      <c r="JRZ3" s="146"/>
      <c r="JSA3" s="146"/>
      <c r="JSB3" s="146"/>
      <c r="JSC3" s="146"/>
      <c r="JSD3" s="146"/>
      <c r="JSE3" s="146"/>
      <c r="JSF3" s="146"/>
      <c r="JSG3" s="146"/>
      <c r="JSH3" s="146"/>
      <c r="JSI3" s="146"/>
      <c r="JSJ3" s="146"/>
      <c r="JSK3" s="146"/>
      <c r="JSL3" s="146"/>
      <c r="JSM3" s="146"/>
      <c r="JSN3" s="146"/>
      <c r="JSO3" s="146"/>
      <c r="JSP3" s="146"/>
      <c r="JSQ3" s="146"/>
      <c r="JSR3" s="146"/>
      <c r="JSS3" s="146"/>
      <c r="JST3" s="146"/>
      <c r="JSU3" s="146"/>
      <c r="JSV3" s="146"/>
      <c r="JSW3" s="146"/>
      <c r="JSX3" s="146"/>
      <c r="JSY3" s="146"/>
      <c r="JSZ3" s="146"/>
      <c r="JTA3" s="146"/>
      <c r="JTB3" s="146"/>
      <c r="JTC3" s="146"/>
      <c r="JTD3" s="146"/>
      <c r="JTE3" s="146"/>
      <c r="JTF3" s="146"/>
      <c r="JTG3" s="146"/>
      <c r="JTH3" s="146"/>
      <c r="JTI3" s="146"/>
      <c r="JTJ3" s="146"/>
      <c r="JTK3" s="146"/>
      <c r="JTL3" s="146"/>
      <c r="JTM3" s="146"/>
      <c r="JTN3" s="146"/>
      <c r="JTO3" s="146"/>
      <c r="JTP3" s="146"/>
      <c r="JTQ3" s="146"/>
      <c r="JTR3" s="146"/>
      <c r="JTS3" s="146"/>
      <c r="JTT3" s="146"/>
      <c r="JTU3" s="146"/>
      <c r="JTV3" s="146"/>
      <c r="JTW3" s="146"/>
      <c r="JTX3" s="146"/>
      <c r="JTY3" s="146"/>
      <c r="JTZ3" s="146"/>
      <c r="JUA3" s="146"/>
      <c r="JUB3" s="146"/>
      <c r="JUC3" s="146"/>
      <c r="JUD3" s="146"/>
      <c r="JUE3" s="146"/>
      <c r="JUF3" s="146"/>
      <c r="JUG3" s="146"/>
      <c r="JUH3" s="146"/>
      <c r="JUI3" s="146"/>
      <c r="JUJ3" s="146"/>
      <c r="JUK3" s="146"/>
      <c r="JUL3" s="146"/>
      <c r="JUM3" s="146"/>
      <c r="JUN3" s="146"/>
      <c r="JUO3" s="146"/>
      <c r="JUP3" s="146"/>
      <c r="JUQ3" s="146"/>
      <c r="JUR3" s="146"/>
      <c r="JUS3" s="146"/>
      <c r="JUT3" s="146"/>
      <c r="JUU3" s="146"/>
      <c r="JUV3" s="146"/>
      <c r="JUW3" s="146"/>
      <c r="JUX3" s="146"/>
      <c r="JUY3" s="146"/>
      <c r="JUZ3" s="146"/>
      <c r="JVA3" s="146"/>
      <c r="JVB3" s="146"/>
      <c r="JVC3" s="146"/>
      <c r="JVD3" s="146"/>
      <c r="JVE3" s="146"/>
      <c r="JVF3" s="146"/>
      <c r="JVG3" s="146"/>
      <c r="JVH3" s="146"/>
      <c r="JVI3" s="146"/>
      <c r="JVJ3" s="146"/>
      <c r="JVK3" s="146"/>
      <c r="JVL3" s="146"/>
      <c r="JVM3" s="146"/>
      <c r="JVN3" s="146"/>
      <c r="JVO3" s="146"/>
      <c r="JVP3" s="146"/>
      <c r="JVQ3" s="146"/>
      <c r="JVR3" s="146"/>
      <c r="JVS3" s="146"/>
      <c r="JVT3" s="146"/>
      <c r="JVU3" s="146"/>
      <c r="JVV3" s="146"/>
      <c r="JVW3" s="146"/>
      <c r="JVX3" s="146"/>
      <c r="JVY3" s="146"/>
      <c r="JVZ3" s="146"/>
      <c r="JWA3" s="146"/>
      <c r="JWB3" s="146"/>
      <c r="JWC3" s="146"/>
      <c r="JWD3" s="146"/>
      <c r="JWE3" s="146"/>
      <c r="JWF3" s="146"/>
      <c r="JWG3" s="146"/>
      <c r="JWH3" s="146"/>
      <c r="JWI3" s="146"/>
      <c r="JWJ3" s="146"/>
      <c r="JWK3" s="146"/>
      <c r="JWL3" s="146"/>
      <c r="JWM3" s="146"/>
      <c r="JWN3" s="146"/>
      <c r="JWO3" s="146"/>
      <c r="JWP3" s="146"/>
      <c r="JWQ3" s="146"/>
      <c r="JWR3" s="146"/>
      <c r="JWS3" s="146"/>
      <c r="JWT3" s="146"/>
      <c r="JWU3" s="146"/>
      <c r="JWV3" s="146"/>
      <c r="JWW3" s="146"/>
      <c r="JWX3" s="146"/>
      <c r="JWY3" s="146"/>
      <c r="JWZ3" s="146"/>
      <c r="JXA3" s="146"/>
      <c r="JXB3" s="146"/>
      <c r="JXC3" s="146"/>
      <c r="JXD3" s="146"/>
      <c r="JXE3" s="146"/>
      <c r="JXF3" s="146"/>
      <c r="JXG3" s="146"/>
      <c r="JXH3" s="146"/>
      <c r="JXI3" s="146"/>
      <c r="JXJ3" s="146"/>
      <c r="JXK3" s="146"/>
      <c r="JXL3" s="146"/>
      <c r="JXM3" s="146"/>
      <c r="JXN3" s="146"/>
      <c r="JXO3" s="146"/>
      <c r="JXP3" s="146"/>
      <c r="JXQ3" s="146"/>
      <c r="JXR3" s="146"/>
      <c r="JXS3" s="146"/>
      <c r="JXT3" s="146"/>
      <c r="JXU3" s="146"/>
      <c r="JXV3" s="146"/>
      <c r="JXW3" s="146"/>
      <c r="JXX3" s="146"/>
      <c r="JXY3" s="146"/>
      <c r="JXZ3" s="146"/>
      <c r="JYA3" s="146"/>
      <c r="JYB3" s="146"/>
      <c r="JYC3" s="146"/>
      <c r="JYD3" s="146"/>
      <c r="JYE3" s="146"/>
      <c r="JYF3" s="146"/>
      <c r="JYG3" s="146"/>
      <c r="JYH3" s="146"/>
      <c r="JYI3" s="146"/>
      <c r="JYJ3" s="146"/>
      <c r="JYK3" s="146"/>
      <c r="JYL3" s="146"/>
      <c r="JYM3" s="146"/>
      <c r="JYN3" s="146"/>
      <c r="JYO3" s="146"/>
      <c r="JYP3" s="146"/>
      <c r="JYQ3" s="146"/>
      <c r="JYR3" s="146"/>
      <c r="JYS3" s="146"/>
      <c r="JYT3" s="146"/>
      <c r="JYU3" s="146"/>
      <c r="JYV3" s="146"/>
      <c r="JYW3" s="146"/>
      <c r="JYX3" s="146"/>
      <c r="JYY3" s="146"/>
      <c r="JYZ3" s="146"/>
      <c r="JZA3" s="146"/>
      <c r="JZB3" s="146"/>
      <c r="JZC3" s="146"/>
      <c r="JZD3" s="146"/>
      <c r="JZE3" s="146"/>
      <c r="JZF3" s="146"/>
      <c r="JZG3" s="146"/>
      <c r="JZH3" s="146"/>
      <c r="JZI3" s="146"/>
      <c r="JZJ3" s="146"/>
      <c r="JZK3" s="146"/>
      <c r="JZL3" s="146"/>
      <c r="JZM3" s="146"/>
      <c r="JZN3" s="146"/>
      <c r="JZO3" s="146"/>
      <c r="JZP3" s="146"/>
      <c r="JZQ3" s="146"/>
      <c r="JZR3" s="146"/>
      <c r="JZS3" s="146"/>
      <c r="JZT3" s="146"/>
      <c r="JZU3" s="146"/>
      <c r="JZV3" s="146"/>
      <c r="JZW3" s="146"/>
      <c r="JZX3" s="146"/>
      <c r="JZY3" s="146"/>
      <c r="JZZ3" s="146"/>
      <c r="KAA3" s="146"/>
      <c r="KAB3" s="146"/>
      <c r="KAC3" s="146"/>
      <c r="KAD3" s="146"/>
      <c r="KAE3" s="146"/>
      <c r="KAF3" s="146"/>
      <c r="KAG3" s="146"/>
      <c r="KAH3" s="146"/>
      <c r="KAI3" s="146"/>
      <c r="KAJ3" s="146"/>
      <c r="KAK3" s="146"/>
      <c r="KAL3" s="146"/>
      <c r="KAM3" s="146"/>
      <c r="KAN3" s="146"/>
      <c r="KAO3" s="146"/>
      <c r="KAP3" s="146"/>
      <c r="KAQ3" s="146"/>
      <c r="KAR3" s="146"/>
      <c r="KAS3" s="146"/>
      <c r="KAT3" s="146"/>
      <c r="KAU3" s="146"/>
      <c r="KAV3" s="146"/>
      <c r="KAW3" s="146"/>
      <c r="KAX3" s="146"/>
      <c r="KAY3" s="146"/>
      <c r="KAZ3" s="146"/>
      <c r="KBA3" s="146"/>
      <c r="KBB3" s="146"/>
      <c r="KBC3" s="146"/>
      <c r="KBD3" s="146"/>
      <c r="KBE3" s="146"/>
      <c r="KBF3" s="146"/>
      <c r="KBG3" s="146"/>
      <c r="KBH3" s="146"/>
      <c r="KBI3" s="146"/>
      <c r="KBJ3" s="146"/>
      <c r="KBK3" s="146"/>
      <c r="KBL3" s="146"/>
      <c r="KBM3" s="146"/>
      <c r="KBN3" s="146"/>
      <c r="KBO3" s="146"/>
      <c r="KBP3" s="146"/>
      <c r="KBQ3" s="146"/>
      <c r="KBR3" s="146"/>
      <c r="KBS3" s="146"/>
      <c r="KBT3" s="146"/>
      <c r="KBU3" s="146"/>
      <c r="KBV3" s="146"/>
      <c r="KBW3" s="146"/>
      <c r="KBX3" s="146"/>
      <c r="KBY3" s="146"/>
      <c r="KBZ3" s="146"/>
      <c r="KCA3" s="146"/>
      <c r="KCB3" s="146"/>
      <c r="KCC3" s="146"/>
      <c r="KCD3" s="146"/>
      <c r="KCE3" s="146"/>
      <c r="KCF3" s="146"/>
      <c r="KCG3" s="146"/>
      <c r="KCH3" s="146"/>
      <c r="KCI3" s="146"/>
      <c r="KCJ3" s="146"/>
      <c r="KCK3" s="146"/>
      <c r="KCL3" s="146"/>
      <c r="KCM3" s="146"/>
      <c r="KCN3" s="146"/>
      <c r="KCO3" s="146"/>
      <c r="KCP3" s="146"/>
      <c r="KCQ3" s="146"/>
      <c r="KCR3" s="146"/>
      <c r="KCS3" s="146"/>
      <c r="KCT3" s="146"/>
      <c r="KCU3" s="146"/>
      <c r="KCV3" s="146"/>
      <c r="KCW3" s="146"/>
      <c r="KCX3" s="146"/>
      <c r="KCY3" s="146"/>
      <c r="KCZ3" s="146"/>
      <c r="KDA3" s="146"/>
      <c r="KDB3" s="146"/>
      <c r="KDC3" s="146"/>
      <c r="KDD3" s="146"/>
      <c r="KDE3" s="146"/>
      <c r="KDF3" s="146"/>
      <c r="KDG3" s="146"/>
      <c r="KDH3" s="146"/>
      <c r="KDI3" s="146"/>
      <c r="KDJ3" s="146"/>
      <c r="KDK3" s="146"/>
      <c r="KDL3" s="146"/>
      <c r="KDM3" s="146"/>
      <c r="KDN3" s="146"/>
      <c r="KDO3" s="146"/>
      <c r="KDP3" s="146"/>
      <c r="KDQ3" s="146"/>
      <c r="KDR3" s="146"/>
      <c r="KDS3" s="146"/>
      <c r="KDT3" s="146"/>
      <c r="KDU3" s="146"/>
      <c r="KDV3" s="146"/>
      <c r="KDW3" s="146"/>
      <c r="KDX3" s="146"/>
      <c r="KDY3" s="146"/>
      <c r="KDZ3" s="146"/>
      <c r="KEA3" s="146"/>
      <c r="KEB3" s="146"/>
      <c r="KEC3" s="146"/>
      <c r="KED3" s="146"/>
      <c r="KEE3" s="146"/>
      <c r="KEF3" s="146"/>
      <c r="KEG3" s="146"/>
      <c r="KEH3" s="146"/>
      <c r="KEI3" s="146"/>
      <c r="KEJ3" s="146"/>
      <c r="KEK3" s="146"/>
      <c r="KEL3" s="146"/>
      <c r="KEM3" s="146"/>
      <c r="KEN3" s="146"/>
      <c r="KEO3" s="146"/>
      <c r="KEP3" s="146"/>
      <c r="KEQ3" s="146"/>
      <c r="KER3" s="146"/>
      <c r="KES3" s="146"/>
      <c r="KET3" s="146"/>
      <c r="KEU3" s="146"/>
      <c r="KEV3" s="146"/>
      <c r="KEW3" s="146"/>
      <c r="KEX3" s="146"/>
      <c r="KEY3" s="146"/>
      <c r="KEZ3" s="146"/>
      <c r="KFA3" s="146"/>
      <c r="KFB3" s="146"/>
      <c r="KFC3" s="146"/>
      <c r="KFD3" s="146"/>
      <c r="KFE3" s="146"/>
      <c r="KFF3" s="146"/>
      <c r="KFG3" s="146"/>
      <c r="KFH3" s="146"/>
      <c r="KFI3" s="146"/>
      <c r="KFJ3" s="146"/>
      <c r="KFK3" s="146"/>
      <c r="KFL3" s="146"/>
      <c r="KFM3" s="146"/>
      <c r="KFN3" s="146"/>
      <c r="KFO3" s="146"/>
      <c r="KFP3" s="146"/>
      <c r="KFQ3" s="146"/>
      <c r="KFR3" s="146"/>
      <c r="KFS3" s="146"/>
      <c r="KFT3" s="146"/>
      <c r="KFU3" s="146"/>
      <c r="KFV3" s="146"/>
      <c r="KFW3" s="146"/>
      <c r="KFX3" s="146"/>
      <c r="KFY3" s="146"/>
      <c r="KFZ3" s="146"/>
      <c r="KGA3" s="146"/>
      <c r="KGB3" s="146"/>
      <c r="KGC3" s="146"/>
      <c r="KGD3" s="146"/>
      <c r="KGE3" s="146"/>
      <c r="KGF3" s="146"/>
      <c r="KGG3" s="146"/>
      <c r="KGH3" s="146"/>
      <c r="KGI3" s="146"/>
      <c r="KGJ3" s="146"/>
      <c r="KGK3" s="146"/>
      <c r="KGL3" s="146"/>
      <c r="KGM3" s="146"/>
      <c r="KGN3" s="146"/>
      <c r="KGO3" s="146"/>
      <c r="KGP3" s="146"/>
      <c r="KGQ3" s="146"/>
      <c r="KGR3" s="146"/>
      <c r="KGS3" s="146"/>
      <c r="KGT3" s="146"/>
      <c r="KGU3" s="146"/>
      <c r="KGV3" s="146"/>
      <c r="KGW3" s="146"/>
      <c r="KGX3" s="146"/>
      <c r="KGY3" s="146"/>
      <c r="KGZ3" s="146"/>
      <c r="KHA3" s="146"/>
      <c r="KHB3" s="146"/>
      <c r="KHC3" s="146"/>
      <c r="KHD3" s="146"/>
      <c r="KHE3" s="146"/>
      <c r="KHF3" s="146"/>
      <c r="KHG3" s="146"/>
      <c r="KHH3" s="146"/>
      <c r="KHI3" s="146"/>
      <c r="KHJ3" s="146"/>
      <c r="KHK3" s="146"/>
      <c r="KHL3" s="146"/>
      <c r="KHM3" s="146"/>
      <c r="KHN3" s="146"/>
      <c r="KHO3" s="146"/>
      <c r="KHP3" s="146"/>
      <c r="KHQ3" s="146"/>
      <c r="KHR3" s="146"/>
      <c r="KHS3" s="146"/>
      <c r="KHT3" s="146"/>
      <c r="KHU3" s="146"/>
      <c r="KHV3" s="146"/>
      <c r="KHW3" s="146"/>
      <c r="KHX3" s="146"/>
      <c r="KHY3" s="146"/>
      <c r="KHZ3" s="146"/>
      <c r="KIA3" s="146"/>
      <c r="KIB3" s="146"/>
      <c r="KIC3" s="146"/>
      <c r="KID3" s="146"/>
      <c r="KIE3" s="146"/>
      <c r="KIF3" s="146"/>
      <c r="KIG3" s="146"/>
      <c r="KIH3" s="146"/>
      <c r="KII3" s="146"/>
      <c r="KIJ3" s="146"/>
      <c r="KIK3" s="146"/>
      <c r="KIL3" s="146"/>
      <c r="KIM3" s="146"/>
      <c r="KIN3" s="146"/>
      <c r="KIO3" s="146"/>
      <c r="KIP3" s="146"/>
      <c r="KIQ3" s="146"/>
      <c r="KIR3" s="146"/>
      <c r="KIS3" s="146"/>
      <c r="KIT3" s="146"/>
      <c r="KIU3" s="146"/>
      <c r="KIV3" s="146"/>
      <c r="KIW3" s="146"/>
      <c r="KIX3" s="146"/>
      <c r="KIY3" s="146"/>
      <c r="KIZ3" s="146"/>
      <c r="KJA3" s="146"/>
      <c r="KJB3" s="146"/>
      <c r="KJC3" s="146"/>
      <c r="KJD3" s="146"/>
      <c r="KJE3" s="146"/>
      <c r="KJF3" s="146"/>
      <c r="KJG3" s="146"/>
      <c r="KJH3" s="146"/>
      <c r="KJI3" s="146"/>
      <c r="KJJ3" s="146"/>
      <c r="KJK3" s="146"/>
      <c r="KJL3" s="146"/>
      <c r="KJM3" s="146"/>
      <c r="KJN3" s="146"/>
      <c r="KJO3" s="146"/>
      <c r="KJP3" s="146"/>
      <c r="KJQ3" s="146"/>
      <c r="KJR3" s="146"/>
      <c r="KJS3" s="146"/>
      <c r="KJT3" s="146"/>
      <c r="KJU3" s="146"/>
      <c r="KJV3" s="146"/>
      <c r="KJW3" s="146"/>
      <c r="KJX3" s="146"/>
      <c r="KJY3" s="146"/>
      <c r="KJZ3" s="146"/>
      <c r="KKA3" s="146"/>
      <c r="KKB3" s="146"/>
      <c r="KKC3" s="146"/>
      <c r="KKD3" s="146"/>
      <c r="KKE3" s="146"/>
      <c r="KKF3" s="146"/>
      <c r="KKG3" s="146"/>
      <c r="KKH3" s="146"/>
      <c r="KKI3" s="146"/>
      <c r="KKJ3" s="146"/>
      <c r="KKK3" s="146"/>
      <c r="KKL3" s="146"/>
      <c r="KKM3" s="146"/>
      <c r="KKN3" s="146"/>
      <c r="KKO3" s="146"/>
      <c r="KKP3" s="146"/>
      <c r="KKQ3" s="146"/>
      <c r="KKR3" s="146"/>
      <c r="KKS3" s="146"/>
      <c r="KKT3" s="146"/>
      <c r="KKU3" s="146"/>
      <c r="KKV3" s="146"/>
      <c r="KKW3" s="146"/>
      <c r="KKX3" s="146"/>
      <c r="KKY3" s="146"/>
      <c r="KKZ3" s="146"/>
      <c r="KLA3" s="146"/>
      <c r="KLB3" s="146"/>
      <c r="KLC3" s="146"/>
      <c r="KLD3" s="146"/>
      <c r="KLE3" s="146"/>
      <c r="KLF3" s="146"/>
      <c r="KLG3" s="146"/>
      <c r="KLH3" s="146"/>
      <c r="KLI3" s="146"/>
      <c r="KLJ3" s="146"/>
      <c r="KLK3" s="146"/>
      <c r="KLL3" s="146"/>
      <c r="KLM3" s="146"/>
      <c r="KLN3" s="146"/>
      <c r="KLO3" s="146"/>
      <c r="KLP3" s="146"/>
      <c r="KLQ3" s="146"/>
      <c r="KLR3" s="146"/>
      <c r="KLS3" s="146"/>
      <c r="KLT3" s="146"/>
      <c r="KLU3" s="146"/>
      <c r="KLV3" s="146"/>
      <c r="KLW3" s="146"/>
      <c r="KLX3" s="146"/>
      <c r="KLY3" s="146"/>
      <c r="KLZ3" s="146"/>
      <c r="KMA3" s="146"/>
      <c r="KMB3" s="146"/>
      <c r="KMC3" s="146"/>
      <c r="KMD3" s="146"/>
      <c r="KME3" s="146"/>
      <c r="KMF3" s="146"/>
      <c r="KMG3" s="146"/>
      <c r="KMH3" s="146"/>
      <c r="KMI3" s="146"/>
      <c r="KMJ3" s="146"/>
      <c r="KMK3" s="146"/>
      <c r="KML3" s="146"/>
      <c r="KMM3" s="146"/>
      <c r="KMN3" s="146"/>
      <c r="KMO3" s="146"/>
      <c r="KMP3" s="146"/>
      <c r="KMQ3" s="146"/>
      <c r="KMR3" s="146"/>
      <c r="KMS3" s="146"/>
      <c r="KMT3" s="146"/>
      <c r="KMU3" s="146"/>
      <c r="KMV3" s="146"/>
      <c r="KMW3" s="146"/>
      <c r="KMX3" s="146"/>
      <c r="KMY3" s="146"/>
      <c r="KMZ3" s="146"/>
      <c r="KNA3" s="146"/>
      <c r="KNB3" s="146"/>
      <c r="KNC3" s="146"/>
      <c r="KND3" s="146"/>
      <c r="KNE3" s="146"/>
      <c r="KNF3" s="146"/>
      <c r="KNG3" s="146"/>
      <c r="KNH3" s="146"/>
      <c r="KNI3" s="146"/>
      <c r="KNJ3" s="146"/>
      <c r="KNK3" s="146"/>
      <c r="KNL3" s="146"/>
      <c r="KNM3" s="146"/>
      <c r="KNN3" s="146"/>
      <c r="KNO3" s="146"/>
      <c r="KNP3" s="146"/>
      <c r="KNQ3" s="146"/>
      <c r="KNR3" s="146"/>
      <c r="KNS3" s="146"/>
      <c r="KNT3" s="146"/>
      <c r="KNU3" s="146"/>
      <c r="KNV3" s="146"/>
      <c r="KNW3" s="146"/>
      <c r="KNX3" s="146"/>
      <c r="KNY3" s="146"/>
      <c r="KNZ3" s="146"/>
      <c r="KOA3" s="146"/>
      <c r="KOB3" s="146"/>
      <c r="KOC3" s="146"/>
      <c r="KOD3" s="146"/>
      <c r="KOE3" s="146"/>
      <c r="KOF3" s="146"/>
      <c r="KOG3" s="146"/>
      <c r="KOH3" s="146"/>
      <c r="KOI3" s="146"/>
      <c r="KOJ3" s="146"/>
      <c r="KOK3" s="146"/>
      <c r="KOL3" s="146"/>
      <c r="KOM3" s="146"/>
      <c r="KON3" s="146"/>
      <c r="KOO3" s="146"/>
      <c r="KOP3" s="146"/>
      <c r="KOQ3" s="146"/>
      <c r="KOR3" s="146"/>
      <c r="KOS3" s="146"/>
      <c r="KOT3" s="146"/>
      <c r="KOU3" s="146"/>
      <c r="KOV3" s="146"/>
      <c r="KOW3" s="146"/>
      <c r="KOX3" s="146"/>
      <c r="KOY3" s="146"/>
      <c r="KOZ3" s="146"/>
      <c r="KPA3" s="146"/>
      <c r="KPB3" s="146"/>
      <c r="KPC3" s="146"/>
      <c r="KPD3" s="146"/>
      <c r="KPE3" s="146"/>
      <c r="KPF3" s="146"/>
      <c r="KPG3" s="146"/>
      <c r="KPH3" s="146"/>
      <c r="KPI3" s="146"/>
      <c r="KPJ3" s="146"/>
      <c r="KPK3" s="146"/>
      <c r="KPL3" s="146"/>
      <c r="KPM3" s="146"/>
      <c r="KPN3" s="146"/>
      <c r="KPO3" s="146"/>
      <c r="KPP3" s="146"/>
      <c r="KPQ3" s="146"/>
      <c r="KPR3" s="146"/>
      <c r="KPS3" s="146"/>
      <c r="KPT3" s="146"/>
      <c r="KPU3" s="146"/>
      <c r="KPV3" s="146"/>
      <c r="KPW3" s="146"/>
      <c r="KPX3" s="146"/>
      <c r="KPY3" s="146"/>
      <c r="KPZ3" s="146"/>
      <c r="KQA3" s="146"/>
      <c r="KQB3" s="146"/>
      <c r="KQC3" s="146"/>
      <c r="KQD3" s="146"/>
      <c r="KQE3" s="146"/>
      <c r="KQF3" s="146"/>
      <c r="KQG3" s="146"/>
      <c r="KQH3" s="146"/>
      <c r="KQI3" s="146"/>
      <c r="KQJ3" s="146"/>
      <c r="KQK3" s="146"/>
      <c r="KQL3" s="146"/>
      <c r="KQM3" s="146"/>
      <c r="KQN3" s="146"/>
      <c r="KQO3" s="146"/>
      <c r="KQP3" s="146"/>
      <c r="KQQ3" s="146"/>
      <c r="KQR3" s="146"/>
      <c r="KQS3" s="146"/>
      <c r="KQT3" s="146"/>
      <c r="KQU3" s="146"/>
      <c r="KQV3" s="146"/>
      <c r="KQW3" s="146"/>
      <c r="KQX3" s="146"/>
      <c r="KQY3" s="146"/>
      <c r="KQZ3" s="146"/>
      <c r="KRA3" s="146"/>
      <c r="KRB3" s="146"/>
      <c r="KRC3" s="146"/>
      <c r="KRD3" s="146"/>
      <c r="KRE3" s="146"/>
      <c r="KRF3" s="146"/>
      <c r="KRG3" s="146"/>
      <c r="KRH3" s="146"/>
      <c r="KRI3" s="146"/>
      <c r="KRJ3" s="146"/>
      <c r="KRK3" s="146"/>
      <c r="KRL3" s="146"/>
      <c r="KRM3" s="146"/>
      <c r="KRN3" s="146"/>
      <c r="KRO3" s="146"/>
      <c r="KRP3" s="146"/>
      <c r="KRQ3" s="146"/>
      <c r="KRR3" s="146"/>
      <c r="KRS3" s="146"/>
      <c r="KRT3" s="146"/>
      <c r="KRU3" s="146"/>
      <c r="KRV3" s="146"/>
      <c r="KRW3" s="146"/>
      <c r="KRX3" s="146"/>
      <c r="KRY3" s="146"/>
      <c r="KRZ3" s="146"/>
      <c r="KSA3" s="146"/>
      <c r="KSB3" s="146"/>
      <c r="KSC3" s="146"/>
      <c r="KSD3" s="146"/>
      <c r="KSE3" s="146"/>
      <c r="KSF3" s="146"/>
      <c r="KSG3" s="146"/>
      <c r="KSH3" s="146"/>
      <c r="KSI3" s="146"/>
      <c r="KSJ3" s="146"/>
      <c r="KSK3" s="146"/>
      <c r="KSL3" s="146"/>
      <c r="KSM3" s="146"/>
      <c r="KSN3" s="146"/>
      <c r="KSO3" s="146"/>
      <c r="KSP3" s="146"/>
      <c r="KSQ3" s="146"/>
      <c r="KSR3" s="146"/>
      <c r="KSS3" s="146"/>
      <c r="KST3" s="146"/>
      <c r="KSU3" s="146"/>
      <c r="KSV3" s="146"/>
      <c r="KSW3" s="146"/>
      <c r="KSX3" s="146"/>
      <c r="KSY3" s="146"/>
      <c r="KSZ3" s="146"/>
      <c r="KTA3" s="146"/>
      <c r="KTB3" s="146"/>
      <c r="KTC3" s="146"/>
      <c r="KTD3" s="146"/>
      <c r="KTE3" s="146"/>
      <c r="KTF3" s="146"/>
      <c r="KTG3" s="146"/>
      <c r="KTH3" s="146"/>
      <c r="KTI3" s="146"/>
      <c r="KTJ3" s="146"/>
      <c r="KTK3" s="146"/>
      <c r="KTL3" s="146"/>
      <c r="KTM3" s="146"/>
      <c r="KTN3" s="146"/>
      <c r="KTO3" s="146"/>
      <c r="KTP3" s="146"/>
      <c r="KTQ3" s="146"/>
      <c r="KTR3" s="146"/>
      <c r="KTS3" s="146"/>
      <c r="KTT3" s="146"/>
      <c r="KTU3" s="146"/>
      <c r="KTV3" s="146"/>
      <c r="KTW3" s="146"/>
      <c r="KTX3" s="146"/>
      <c r="KTY3" s="146"/>
      <c r="KTZ3" s="146"/>
      <c r="KUA3" s="146"/>
      <c r="KUB3" s="146"/>
      <c r="KUC3" s="146"/>
      <c r="KUD3" s="146"/>
      <c r="KUE3" s="146"/>
      <c r="KUF3" s="146"/>
      <c r="KUG3" s="146"/>
      <c r="KUH3" s="146"/>
      <c r="KUI3" s="146"/>
      <c r="KUJ3" s="146"/>
      <c r="KUK3" s="146"/>
      <c r="KUL3" s="146"/>
      <c r="KUM3" s="146"/>
      <c r="KUN3" s="146"/>
      <c r="KUO3" s="146"/>
      <c r="KUP3" s="146"/>
      <c r="KUQ3" s="146"/>
      <c r="KUR3" s="146"/>
      <c r="KUS3" s="146"/>
      <c r="KUT3" s="146"/>
      <c r="KUU3" s="146"/>
      <c r="KUV3" s="146"/>
      <c r="KUW3" s="146"/>
      <c r="KUX3" s="146"/>
      <c r="KUY3" s="146"/>
      <c r="KUZ3" s="146"/>
      <c r="KVA3" s="146"/>
      <c r="KVB3" s="146"/>
      <c r="KVC3" s="146"/>
      <c r="KVD3" s="146"/>
      <c r="KVE3" s="146"/>
      <c r="KVF3" s="146"/>
      <c r="KVG3" s="146"/>
      <c r="KVH3" s="146"/>
      <c r="KVI3" s="146"/>
      <c r="KVJ3" s="146"/>
      <c r="KVK3" s="146"/>
      <c r="KVL3" s="146"/>
      <c r="KVM3" s="146"/>
      <c r="KVN3" s="146"/>
      <c r="KVO3" s="146"/>
      <c r="KVP3" s="146"/>
      <c r="KVQ3" s="146"/>
      <c r="KVR3" s="146"/>
      <c r="KVS3" s="146"/>
      <c r="KVT3" s="146"/>
      <c r="KVU3" s="146"/>
      <c r="KVV3" s="146"/>
      <c r="KVW3" s="146"/>
      <c r="KVX3" s="146"/>
      <c r="KVY3" s="146"/>
      <c r="KVZ3" s="146"/>
      <c r="KWA3" s="146"/>
      <c r="KWB3" s="146"/>
      <c r="KWC3" s="146"/>
      <c r="KWD3" s="146"/>
      <c r="KWE3" s="146"/>
      <c r="KWF3" s="146"/>
      <c r="KWG3" s="146"/>
      <c r="KWH3" s="146"/>
      <c r="KWI3" s="146"/>
      <c r="KWJ3" s="146"/>
      <c r="KWK3" s="146"/>
      <c r="KWL3" s="146"/>
      <c r="KWM3" s="146"/>
      <c r="KWN3" s="146"/>
      <c r="KWO3" s="146"/>
      <c r="KWP3" s="146"/>
      <c r="KWQ3" s="146"/>
      <c r="KWR3" s="146"/>
      <c r="KWS3" s="146"/>
      <c r="KWT3" s="146"/>
      <c r="KWU3" s="146"/>
      <c r="KWV3" s="146"/>
      <c r="KWW3" s="146"/>
      <c r="KWX3" s="146"/>
      <c r="KWY3" s="146"/>
      <c r="KWZ3" s="146"/>
      <c r="KXA3" s="146"/>
      <c r="KXB3" s="146"/>
      <c r="KXC3" s="146"/>
      <c r="KXD3" s="146"/>
      <c r="KXE3" s="146"/>
      <c r="KXF3" s="146"/>
      <c r="KXG3" s="146"/>
      <c r="KXH3" s="146"/>
      <c r="KXI3" s="146"/>
      <c r="KXJ3" s="146"/>
      <c r="KXK3" s="146"/>
      <c r="KXL3" s="146"/>
      <c r="KXM3" s="146"/>
      <c r="KXN3" s="146"/>
      <c r="KXO3" s="146"/>
      <c r="KXP3" s="146"/>
      <c r="KXQ3" s="146"/>
      <c r="KXR3" s="146"/>
      <c r="KXS3" s="146"/>
      <c r="KXT3" s="146"/>
      <c r="KXU3" s="146"/>
      <c r="KXV3" s="146"/>
      <c r="KXW3" s="146"/>
      <c r="KXX3" s="146"/>
      <c r="KXY3" s="146"/>
      <c r="KXZ3" s="146"/>
      <c r="KYA3" s="146"/>
      <c r="KYB3" s="146"/>
      <c r="KYC3" s="146"/>
      <c r="KYD3" s="146"/>
      <c r="KYE3" s="146"/>
      <c r="KYF3" s="146"/>
      <c r="KYG3" s="146"/>
      <c r="KYH3" s="146"/>
      <c r="KYI3" s="146"/>
      <c r="KYJ3" s="146"/>
      <c r="KYK3" s="146"/>
      <c r="KYL3" s="146"/>
      <c r="KYM3" s="146"/>
      <c r="KYN3" s="146"/>
      <c r="KYO3" s="146"/>
      <c r="KYP3" s="146"/>
      <c r="KYQ3" s="146"/>
      <c r="KYR3" s="146"/>
      <c r="KYS3" s="146"/>
      <c r="KYT3" s="146"/>
      <c r="KYU3" s="146"/>
      <c r="KYV3" s="146"/>
      <c r="KYW3" s="146"/>
      <c r="KYX3" s="146"/>
      <c r="KYY3" s="146"/>
      <c r="KYZ3" s="146"/>
      <c r="KZA3" s="146"/>
      <c r="KZB3" s="146"/>
      <c r="KZC3" s="146"/>
      <c r="KZD3" s="146"/>
      <c r="KZE3" s="146"/>
      <c r="KZF3" s="146"/>
      <c r="KZG3" s="146"/>
      <c r="KZH3" s="146"/>
      <c r="KZI3" s="146"/>
      <c r="KZJ3" s="146"/>
      <c r="KZK3" s="146"/>
      <c r="KZL3" s="146"/>
      <c r="KZM3" s="146"/>
      <c r="KZN3" s="146"/>
      <c r="KZO3" s="146"/>
      <c r="KZP3" s="146"/>
      <c r="KZQ3" s="146"/>
      <c r="KZR3" s="146"/>
      <c r="KZS3" s="146"/>
      <c r="KZT3" s="146"/>
      <c r="KZU3" s="146"/>
      <c r="KZV3" s="146"/>
      <c r="KZW3" s="146"/>
      <c r="KZX3" s="146"/>
      <c r="KZY3" s="146"/>
      <c r="KZZ3" s="146"/>
      <c r="LAA3" s="146"/>
      <c r="LAB3" s="146"/>
      <c r="LAC3" s="146"/>
      <c r="LAD3" s="146"/>
      <c r="LAE3" s="146"/>
      <c r="LAF3" s="146"/>
      <c r="LAG3" s="146"/>
      <c r="LAH3" s="146"/>
      <c r="LAI3" s="146"/>
      <c r="LAJ3" s="146"/>
      <c r="LAK3" s="146"/>
      <c r="LAL3" s="146"/>
      <c r="LAM3" s="146"/>
      <c r="LAN3" s="146"/>
      <c r="LAO3" s="146"/>
      <c r="LAP3" s="146"/>
      <c r="LAQ3" s="146"/>
      <c r="LAR3" s="146"/>
      <c r="LAS3" s="146"/>
      <c r="LAT3" s="146"/>
      <c r="LAU3" s="146"/>
      <c r="LAV3" s="146"/>
      <c r="LAW3" s="146"/>
      <c r="LAX3" s="146"/>
      <c r="LAY3" s="146"/>
      <c r="LAZ3" s="146"/>
      <c r="LBA3" s="146"/>
      <c r="LBB3" s="146"/>
      <c r="LBC3" s="146"/>
      <c r="LBD3" s="146"/>
      <c r="LBE3" s="146"/>
      <c r="LBF3" s="146"/>
      <c r="LBG3" s="146"/>
      <c r="LBH3" s="146"/>
      <c r="LBI3" s="146"/>
      <c r="LBJ3" s="146"/>
      <c r="LBK3" s="146"/>
      <c r="LBL3" s="146"/>
      <c r="LBM3" s="146"/>
      <c r="LBN3" s="146"/>
      <c r="LBO3" s="146"/>
      <c r="LBP3" s="146"/>
      <c r="LBQ3" s="146"/>
      <c r="LBR3" s="146"/>
      <c r="LBS3" s="146"/>
      <c r="LBT3" s="146"/>
      <c r="LBU3" s="146"/>
      <c r="LBV3" s="146"/>
      <c r="LBW3" s="146"/>
      <c r="LBX3" s="146"/>
      <c r="LBY3" s="146"/>
      <c r="LBZ3" s="146"/>
      <c r="LCA3" s="146"/>
      <c r="LCB3" s="146"/>
      <c r="LCC3" s="146"/>
      <c r="LCD3" s="146"/>
      <c r="LCE3" s="146"/>
      <c r="LCF3" s="146"/>
      <c r="LCG3" s="146"/>
      <c r="LCH3" s="146"/>
      <c r="LCI3" s="146"/>
      <c r="LCJ3" s="146"/>
      <c r="LCK3" s="146"/>
      <c r="LCL3" s="146"/>
      <c r="LCM3" s="146"/>
      <c r="LCN3" s="146"/>
      <c r="LCO3" s="146"/>
      <c r="LCP3" s="146"/>
      <c r="LCQ3" s="146"/>
      <c r="LCR3" s="146"/>
      <c r="LCS3" s="146"/>
      <c r="LCT3" s="146"/>
      <c r="LCU3" s="146"/>
      <c r="LCV3" s="146"/>
      <c r="LCW3" s="146"/>
      <c r="LCX3" s="146"/>
      <c r="LCY3" s="146"/>
      <c r="LCZ3" s="146"/>
      <c r="LDA3" s="146"/>
      <c r="LDB3" s="146"/>
      <c r="LDC3" s="146"/>
      <c r="LDD3" s="146"/>
      <c r="LDE3" s="146"/>
      <c r="LDF3" s="146"/>
      <c r="LDG3" s="146"/>
      <c r="LDH3" s="146"/>
      <c r="LDI3" s="146"/>
      <c r="LDJ3" s="146"/>
      <c r="LDK3" s="146"/>
      <c r="LDL3" s="146"/>
      <c r="LDM3" s="146"/>
      <c r="LDN3" s="146"/>
      <c r="LDO3" s="146"/>
      <c r="LDP3" s="146"/>
      <c r="LDQ3" s="146"/>
      <c r="LDR3" s="146"/>
      <c r="LDS3" s="146"/>
      <c r="LDT3" s="146"/>
      <c r="LDU3" s="146"/>
      <c r="LDV3" s="146"/>
      <c r="LDW3" s="146"/>
      <c r="LDX3" s="146"/>
      <c r="LDY3" s="146"/>
      <c r="LDZ3" s="146"/>
      <c r="LEA3" s="146"/>
      <c r="LEB3" s="146"/>
      <c r="LEC3" s="146"/>
      <c r="LED3" s="146"/>
      <c r="LEE3" s="146"/>
      <c r="LEF3" s="146"/>
      <c r="LEG3" s="146"/>
      <c r="LEH3" s="146"/>
      <c r="LEI3" s="146"/>
      <c r="LEJ3" s="146"/>
      <c r="LEK3" s="146"/>
      <c r="LEL3" s="146"/>
      <c r="LEM3" s="146"/>
      <c r="LEN3" s="146"/>
      <c r="LEO3" s="146"/>
      <c r="LEP3" s="146"/>
      <c r="LEQ3" s="146"/>
      <c r="LER3" s="146"/>
      <c r="LES3" s="146"/>
      <c r="LET3" s="146"/>
      <c r="LEU3" s="146"/>
      <c r="LEV3" s="146"/>
      <c r="LEW3" s="146"/>
      <c r="LEX3" s="146"/>
      <c r="LEY3" s="146"/>
      <c r="LEZ3" s="146"/>
      <c r="LFA3" s="146"/>
      <c r="LFB3" s="146"/>
      <c r="LFC3" s="146"/>
      <c r="LFD3" s="146"/>
      <c r="LFE3" s="146"/>
      <c r="LFF3" s="146"/>
      <c r="LFG3" s="146"/>
      <c r="LFH3" s="146"/>
      <c r="LFI3" s="146"/>
      <c r="LFJ3" s="146"/>
      <c r="LFK3" s="146"/>
      <c r="LFL3" s="146"/>
      <c r="LFM3" s="146"/>
      <c r="LFN3" s="146"/>
      <c r="LFO3" s="146"/>
      <c r="LFP3" s="146"/>
      <c r="LFQ3" s="146"/>
      <c r="LFR3" s="146"/>
      <c r="LFS3" s="146"/>
      <c r="LFT3" s="146"/>
      <c r="LFU3" s="146"/>
      <c r="LFV3" s="146"/>
      <c r="LFW3" s="146"/>
      <c r="LFX3" s="146"/>
      <c r="LFY3" s="146"/>
      <c r="LFZ3" s="146"/>
      <c r="LGA3" s="146"/>
      <c r="LGB3" s="146"/>
      <c r="LGC3" s="146"/>
      <c r="LGD3" s="146"/>
      <c r="LGE3" s="146"/>
      <c r="LGF3" s="146"/>
      <c r="LGG3" s="146"/>
      <c r="LGH3" s="146"/>
      <c r="LGI3" s="146"/>
      <c r="LGJ3" s="146"/>
      <c r="LGK3" s="146"/>
      <c r="LGL3" s="146"/>
      <c r="LGM3" s="146"/>
      <c r="LGN3" s="146"/>
      <c r="LGO3" s="146"/>
      <c r="LGP3" s="146"/>
      <c r="LGQ3" s="146"/>
      <c r="LGR3" s="146"/>
      <c r="LGS3" s="146"/>
      <c r="LGT3" s="146"/>
      <c r="LGU3" s="146"/>
      <c r="LGV3" s="146"/>
      <c r="LGW3" s="146"/>
      <c r="LGX3" s="146"/>
      <c r="LGY3" s="146"/>
      <c r="LGZ3" s="146"/>
      <c r="LHA3" s="146"/>
      <c r="LHB3" s="146"/>
      <c r="LHC3" s="146"/>
      <c r="LHD3" s="146"/>
      <c r="LHE3" s="146"/>
      <c r="LHF3" s="146"/>
      <c r="LHG3" s="146"/>
      <c r="LHH3" s="146"/>
      <c r="LHI3" s="146"/>
      <c r="LHJ3" s="146"/>
      <c r="LHK3" s="146"/>
      <c r="LHL3" s="146"/>
      <c r="LHM3" s="146"/>
      <c r="LHN3" s="146"/>
      <c r="LHO3" s="146"/>
      <c r="LHP3" s="146"/>
      <c r="LHQ3" s="146"/>
      <c r="LHR3" s="146"/>
      <c r="LHS3" s="146"/>
      <c r="LHT3" s="146"/>
      <c r="LHU3" s="146"/>
      <c r="LHV3" s="146"/>
      <c r="LHW3" s="146"/>
      <c r="LHX3" s="146"/>
      <c r="LHY3" s="146"/>
      <c r="LHZ3" s="146"/>
      <c r="LIA3" s="146"/>
      <c r="LIB3" s="146"/>
      <c r="LIC3" s="146"/>
      <c r="LID3" s="146"/>
      <c r="LIE3" s="146"/>
      <c r="LIF3" s="146"/>
      <c r="LIG3" s="146"/>
      <c r="LIH3" s="146"/>
      <c r="LII3" s="146"/>
      <c r="LIJ3" s="146"/>
      <c r="LIK3" s="146"/>
      <c r="LIL3" s="146"/>
      <c r="LIM3" s="146"/>
      <c r="LIN3" s="146"/>
      <c r="LIO3" s="146"/>
      <c r="LIP3" s="146"/>
      <c r="LIQ3" s="146"/>
      <c r="LIR3" s="146"/>
      <c r="LIS3" s="146"/>
      <c r="LIT3" s="146"/>
      <c r="LIU3" s="146"/>
      <c r="LIV3" s="146"/>
      <c r="LIW3" s="146"/>
      <c r="LIX3" s="146"/>
      <c r="LIY3" s="146"/>
      <c r="LIZ3" s="146"/>
      <c r="LJA3" s="146"/>
      <c r="LJB3" s="146"/>
      <c r="LJC3" s="146"/>
      <c r="LJD3" s="146"/>
      <c r="LJE3" s="146"/>
      <c r="LJF3" s="146"/>
      <c r="LJG3" s="146"/>
      <c r="LJH3" s="146"/>
      <c r="LJI3" s="146"/>
      <c r="LJJ3" s="146"/>
      <c r="LJK3" s="146"/>
      <c r="LJL3" s="146"/>
      <c r="LJM3" s="146"/>
      <c r="LJN3" s="146"/>
      <c r="LJO3" s="146"/>
      <c r="LJP3" s="146"/>
      <c r="LJQ3" s="146"/>
      <c r="LJR3" s="146"/>
      <c r="LJS3" s="146"/>
      <c r="LJT3" s="146"/>
      <c r="LJU3" s="146"/>
      <c r="LJV3" s="146"/>
      <c r="LJW3" s="146"/>
      <c r="LJX3" s="146"/>
      <c r="LJY3" s="146"/>
      <c r="LJZ3" s="146"/>
      <c r="LKA3" s="146"/>
      <c r="LKB3" s="146"/>
      <c r="LKC3" s="146"/>
      <c r="LKD3" s="146"/>
      <c r="LKE3" s="146"/>
      <c r="LKF3" s="146"/>
      <c r="LKG3" s="146"/>
      <c r="LKH3" s="146"/>
      <c r="LKI3" s="146"/>
      <c r="LKJ3" s="146"/>
      <c r="LKK3" s="146"/>
      <c r="LKL3" s="146"/>
      <c r="LKM3" s="146"/>
      <c r="LKN3" s="146"/>
      <c r="LKO3" s="146"/>
      <c r="LKP3" s="146"/>
      <c r="LKQ3" s="146"/>
      <c r="LKR3" s="146"/>
      <c r="LKS3" s="146"/>
      <c r="LKT3" s="146"/>
      <c r="LKU3" s="146"/>
      <c r="LKV3" s="146"/>
      <c r="LKW3" s="146"/>
      <c r="LKX3" s="146"/>
      <c r="LKY3" s="146"/>
      <c r="LKZ3" s="146"/>
      <c r="LLA3" s="146"/>
      <c r="LLB3" s="146"/>
      <c r="LLC3" s="146"/>
      <c r="LLD3" s="146"/>
      <c r="LLE3" s="146"/>
      <c r="LLF3" s="146"/>
      <c r="LLG3" s="146"/>
      <c r="LLH3" s="146"/>
      <c r="LLI3" s="146"/>
      <c r="LLJ3" s="146"/>
      <c r="LLK3" s="146"/>
      <c r="LLL3" s="146"/>
      <c r="LLM3" s="146"/>
      <c r="LLN3" s="146"/>
      <c r="LLO3" s="146"/>
      <c r="LLP3" s="146"/>
      <c r="LLQ3" s="146"/>
      <c r="LLR3" s="146"/>
      <c r="LLS3" s="146"/>
      <c r="LLT3" s="146"/>
      <c r="LLU3" s="146"/>
      <c r="LLV3" s="146"/>
      <c r="LLW3" s="146"/>
      <c r="LLX3" s="146"/>
      <c r="LLY3" s="146"/>
      <c r="LLZ3" s="146"/>
      <c r="LMA3" s="146"/>
      <c r="LMB3" s="146"/>
      <c r="LMC3" s="146"/>
      <c r="LMD3" s="146"/>
      <c r="LME3" s="146"/>
      <c r="LMF3" s="146"/>
      <c r="LMG3" s="146"/>
      <c r="LMH3" s="146"/>
      <c r="LMI3" s="146"/>
      <c r="LMJ3" s="146"/>
      <c r="LMK3" s="146"/>
      <c r="LML3" s="146"/>
      <c r="LMM3" s="146"/>
      <c r="LMN3" s="146"/>
      <c r="LMO3" s="146"/>
      <c r="LMP3" s="146"/>
      <c r="LMQ3" s="146"/>
      <c r="LMR3" s="146"/>
      <c r="LMS3" s="146"/>
      <c r="LMT3" s="146"/>
      <c r="LMU3" s="146"/>
      <c r="LMV3" s="146"/>
      <c r="LMW3" s="146"/>
      <c r="LMX3" s="146"/>
      <c r="LMY3" s="146"/>
      <c r="LMZ3" s="146"/>
      <c r="LNA3" s="146"/>
      <c r="LNB3" s="146"/>
      <c r="LNC3" s="146"/>
      <c r="LND3" s="146"/>
      <c r="LNE3" s="146"/>
      <c r="LNF3" s="146"/>
      <c r="LNG3" s="146"/>
      <c r="LNH3" s="146"/>
      <c r="LNI3" s="146"/>
      <c r="LNJ3" s="146"/>
      <c r="LNK3" s="146"/>
      <c r="LNL3" s="146"/>
      <c r="LNM3" s="146"/>
      <c r="LNN3" s="146"/>
      <c r="LNO3" s="146"/>
      <c r="LNP3" s="146"/>
      <c r="LNQ3" s="146"/>
      <c r="LNR3" s="146"/>
      <c r="LNS3" s="146"/>
      <c r="LNT3" s="146"/>
      <c r="LNU3" s="146"/>
      <c r="LNV3" s="146"/>
      <c r="LNW3" s="146"/>
      <c r="LNX3" s="146"/>
      <c r="LNY3" s="146"/>
      <c r="LNZ3" s="146"/>
      <c r="LOA3" s="146"/>
      <c r="LOB3" s="146"/>
      <c r="LOC3" s="146"/>
      <c r="LOD3" s="146"/>
      <c r="LOE3" s="146"/>
      <c r="LOF3" s="146"/>
      <c r="LOG3" s="146"/>
      <c r="LOH3" s="146"/>
      <c r="LOI3" s="146"/>
      <c r="LOJ3" s="146"/>
      <c r="LOK3" s="146"/>
      <c r="LOL3" s="146"/>
      <c r="LOM3" s="146"/>
      <c r="LON3" s="146"/>
      <c r="LOO3" s="146"/>
      <c r="LOP3" s="146"/>
      <c r="LOQ3" s="146"/>
      <c r="LOR3" s="146"/>
      <c r="LOS3" s="146"/>
      <c r="LOT3" s="146"/>
      <c r="LOU3" s="146"/>
      <c r="LOV3" s="146"/>
      <c r="LOW3" s="146"/>
      <c r="LOX3" s="146"/>
      <c r="LOY3" s="146"/>
      <c r="LOZ3" s="146"/>
      <c r="LPA3" s="146"/>
      <c r="LPB3" s="146"/>
      <c r="LPC3" s="146"/>
      <c r="LPD3" s="146"/>
      <c r="LPE3" s="146"/>
      <c r="LPF3" s="146"/>
      <c r="LPG3" s="146"/>
      <c r="LPH3" s="146"/>
      <c r="LPI3" s="146"/>
      <c r="LPJ3" s="146"/>
      <c r="LPK3" s="146"/>
      <c r="LPL3" s="146"/>
      <c r="LPM3" s="146"/>
      <c r="LPN3" s="146"/>
      <c r="LPO3" s="146"/>
      <c r="LPP3" s="146"/>
      <c r="LPQ3" s="146"/>
      <c r="LPR3" s="146"/>
      <c r="LPS3" s="146"/>
      <c r="LPT3" s="146"/>
      <c r="LPU3" s="146"/>
      <c r="LPV3" s="146"/>
      <c r="LPW3" s="146"/>
      <c r="LPX3" s="146"/>
      <c r="LPY3" s="146"/>
      <c r="LPZ3" s="146"/>
      <c r="LQA3" s="146"/>
      <c r="LQB3" s="146"/>
      <c r="LQC3" s="146"/>
      <c r="LQD3" s="146"/>
      <c r="LQE3" s="146"/>
      <c r="LQF3" s="146"/>
      <c r="LQG3" s="146"/>
      <c r="LQH3" s="146"/>
      <c r="LQI3" s="146"/>
      <c r="LQJ3" s="146"/>
      <c r="LQK3" s="146"/>
      <c r="LQL3" s="146"/>
      <c r="LQM3" s="146"/>
      <c r="LQN3" s="146"/>
      <c r="LQO3" s="146"/>
      <c r="LQP3" s="146"/>
      <c r="LQQ3" s="146"/>
      <c r="LQR3" s="146"/>
      <c r="LQS3" s="146"/>
      <c r="LQT3" s="146"/>
      <c r="LQU3" s="146"/>
      <c r="LQV3" s="146"/>
      <c r="LQW3" s="146"/>
      <c r="LQX3" s="146"/>
      <c r="LQY3" s="146"/>
      <c r="LQZ3" s="146"/>
      <c r="LRA3" s="146"/>
      <c r="LRB3" s="146"/>
      <c r="LRC3" s="146"/>
      <c r="LRD3" s="146"/>
      <c r="LRE3" s="146"/>
      <c r="LRF3" s="146"/>
      <c r="LRG3" s="146"/>
      <c r="LRH3" s="146"/>
      <c r="LRI3" s="146"/>
      <c r="LRJ3" s="146"/>
      <c r="LRK3" s="146"/>
      <c r="LRL3" s="146"/>
      <c r="LRM3" s="146"/>
      <c r="LRN3" s="146"/>
      <c r="LRO3" s="146"/>
      <c r="LRP3" s="146"/>
      <c r="LRQ3" s="146"/>
      <c r="LRR3" s="146"/>
      <c r="LRS3" s="146"/>
      <c r="LRT3" s="146"/>
      <c r="LRU3" s="146"/>
      <c r="LRV3" s="146"/>
      <c r="LRW3" s="146"/>
      <c r="LRX3" s="146"/>
      <c r="LRY3" s="146"/>
      <c r="LRZ3" s="146"/>
      <c r="LSA3" s="146"/>
      <c r="LSB3" s="146"/>
      <c r="LSC3" s="146"/>
      <c r="LSD3" s="146"/>
      <c r="LSE3" s="146"/>
      <c r="LSF3" s="146"/>
      <c r="LSG3" s="146"/>
      <c r="LSH3" s="146"/>
      <c r="LSI3" s="146"/>
      <c r="LSJ3" s="146"/>
      <c r="LSK3" s="146"/>
      <c r="LSL3" s="146"/>
      <c r="LSM3" s="146"/>
      <c r="LSN3" s="146"/>
      <c r="LSO3" s="146"/>
      <c r="LSP3" s="146"/>
      <c r="LSQ3" s="146"/>
      <c r="LSR3" s="146"/>
      <c r="LSS3" s="146"/>
      <c r="LST3" s="146"/>
      <c r="LSU3" s="146"/>
      <c r="LSV3" s="146"/>
      <c r="LSW3" s="146"/>
      <c r="LSX3" s="146"/>
      <c r="LSY3" s="146"/>
      <c r="LSZ3" s="146"/>
      <c r="LTA3" s="146"/>
      <c r="LTB3" s="146"/>
      <c r="LTC3" s="146"/>
      <c r="LTD3" s="146"/>
      <c r="LTE3" s="146"/>
      <c r="LTF3" s="146"/>
      <c r="LTG3" s="146"/>
      <c r="LTH3" s="146"/>
      <c r="LTI3" s="146"/>
      <c r="LTJ3" s="146"/>
      <c r="LTK3" s="146"/>
      <c r="LTL3" s="146"/>
      <c r="LTM3" s="146"/>
      <c r="LTN3" s="146"/>
      <c r="LTO3" s="146"/>
      <c r="LTP3" s="146"/>
      <c r="LTQ3" s="146"/>
      <c r="LTR3" s="146"/>
      <c r="LTS3" s="146"/>
      <c r="LTT3" s="146"/>
      <c r="LTU3" s="146"/>
      <c r="LTV3" s="146"/>
      <c r="LTW3" s="146"/>
      <c r="LTX3" s="146"/>
      <c r="LTY3" s="146"/>
      <c r="LTZ3" s="146"/>
      <c r="LUA3" s="146"/>
      <c r="LUB3" s="146"/>
      <c r="LUC3" s="146"/>
      <c r="LUD3" s="146"/>
      <c r="LUE3" s="146"/>
      <c r="LUF3" s="146"/>
      <c r="LUG3" s="146"/>
      <c r="LUH3" s="146"/>
      <c r="LUI3" s="146"/>
      <c r="LUJ3" s="146"/>
      <c r="LUK3" s="146"/>
      <c r="LUL3" s="146"/>
      <c r="LUM3" s="146"/>
      <c r="LUN3" s="146"/>
      <c r="LUO3" s="146"/>
      <c r="LUP3" s="146"/>
      <c r="LUQ3" s="146"/>
      <c r="LUR3" s="146"/>
      <c r="LUS3" s="146"/>
      <c r="LUT3" s="146"/>
      <c r="LUU3" s="146"/>
      <c r="LUV3" s="146"/>
      <c r="LUW3" s="146"/>
      <c r="LUX3" s="146"/>
      <c r="LUY3" s="146"/>
      <c r="LUZ3" s="146"/>
      <c r="LVA3" s="146"/>
      <c r="LVB3" s="146"/>
      <c r="LVC3" s="146"/>
      <c r="LVD3" s="146"/>
      <c r="LVE3" s="146"/>
      <c r="LVF3" s="146"/>
      <c r="LVG3" s="146"/>
      <c r="LVH3" s="146"/>
      <c r="LVI3" s="146"/>
      <c r="LVJ3" s="146"/>
      <c r="LVK3" s="146"/>
      <c r="LVL3" s="146"/>
      <c r="LVM3" s="146"/>
      <c r="LVN3" s="146"/>
      <c r="LVO3" s="146"/>
      <c r="LVP3" s="146"/>
      <c r="LVQ3" s="146"/>
      <c r="LVR3" s="146"/>
      <c r="LVS3" s="146"/>
      <c r="LVT3" s="146"/>
      <c r="LVU3" s="146"/>
      <c r="LVV3" s="146"/>
      <c r="LVW3" s="146"/>
      <c r="LVX3" s="146"/>
      <c r="LVY3" s="146"/>
      <c r="LVZ3" s="146"/>
      <c r="LWA3" s="146"/>
      <c r="LWB3" s="146"/>
      <c r="LWC3" s="146"/>
      <c r="LWD3" s="146"/>
      <c r="LWE3" s="146"/>
      <c r="LWF3" s="146"/>
      <c r="LWG3" s="146"/>
      <c r="LWH3" s="146"/>
      <c r="LWI3" s="146"/>
      <c r="LWJ3" s="146"/>
      <c r="LWK3" s="146"/>
      <c r="LWL3" s="146"/>
      <c r="LWM3" s="146"/>
      <c r="LWN3" s="146"/>
      <c r="LWO3" s="146"/>
      <c r="LWP3" s="146"/>
      <c r="LWQ3" s="146"/>
      <c r="LWR3" s="146"/>
      <c r="LWS3" s="146"/>
      <c r="LWT3" s="146"/>
      <c r="LWU3" s="146"/>
      <c r="LWV3" s="146"/>
      <c r="LWW3" s="146"/>
      <c r="LWX3" s="146"/>
      <c r="LWY3" s="146"/>
      <c r="LWZ3" s="146"/>
      <c r="LXA3" s="146"/>
      <c r="LXB3" s="146"/>
      <c r="LXC3" s="146"/>
      <c r="LXD3" s="146"/>
      <c r="LXE3" s="146"/>
      <c r="LXF3" s="146"/>
      <c r="LXG3" s="146"/>
      <c r="LXH3" s="146"/>
      <c r="LXI3" s="146"/>
      <c r="LXJ3" s="146"/>
      <c r="LXK3" s="146"/>
      <c r="LXL3" s="146"/>
      <c r="LXM3" s="146"/>
      <c r="LXN3" s="146"/>
      <c r="LXO3" s="146"/>
      <c r="LXP3" s="146"/>
      <c r="LXQ3" s="146"/>
      <c r="LXR3" s="146"/>
      <c r="LXS3" s="146"/>
      <c r="LXT3" s="146"/>
      <c r="LXU3" s="146"/>
      <c r="LXV3" s="146"/>
      <c r="LXW3" s="146"/>
      <c r="LXX3" s="146"/>
      <c r="LXY3" s="146"/>
      <c r="LXZ3" s="146"/>
      <c r="LYA3" s="146"/>
      <c r="LYB3" s="146"/>
      <c r="LYC3" s="146"/>
      <c r="LYD3" s="146"/>
      <c r="LYE3" s="146"/>
      <c r="LYF3" s="146"/>
      <c r="LYG3" s="146"/>
      <c r="LYH3" s="146"/>
      <c r="LYI3" s="146"/>
      <c r="LYJ3" s="146"/>
      <c r="LYK3" s="146"/>
      <c r="LYL3" s="146"/>
      <c r="LYM3" s="146"/>
      <c r="LYN3" s="146"/>
      <c r="LYO3" s="146"/>
      <c r="LYP3" s="146"/>
      <c r="LYQ3" s="146"/>
      <c r="LYR3" s="146"/>
      <c r="LYS3" s="146"/>
      <c r="LYT3" s="146"/>
      <c r="LYU3" s="146"/>
      <c r="LYV3" s="146"/>
      <c r="LYW3" s="146"/>
      <c r="LYX3" s="146"/>
      <c r="LYY3" s="146"/>
      <c r="LYZ3" s="146"/>
      <c r="LZA3" s="146"/>
      <c r="LZB3" s="146"/>
      <c r="LZC3" s="146"/>
      <c r="LZD3" s="146"/>
      <c r="LZE3" s="146"/>
      <c r="LZF3" s="146"/>
      <c r="LZG3" s="146"/>
      <c r="LZH3" s="146"/>
      <c r="LZI3" s="146"/>
      <c r="LZJ3" s="146"/>
      <c r="LZK3" s="146"/>
      <c r="LZL3" s="146"/>
      <c r="LZM3" s="146"/>
      <c r="LZN3" s="146"/>
      <c r="LZO3" s="146"/>
      <c r="LZP3" s="146"/>
      <c r="LZQ3" s="146"/>
      <c r="LZR3" s="146"/>
      <c r="LZS3" s="146"/>
      <c r="LZT3" s="146"/>
      <c r="LZU3" s="146"/>
      <c r="LZV3" s="146"/>
      <c r="LZW3" s="146"/>
      <c r="LZX3" s="146"/>
      <c r="LZY3" s="146"/>
      <c r="LZZ3" s="146"/>
      <c r="MAA3" s="146"/>
      <c r="MAB3" s="146"/>
      <c r="MAC3" s="146"/>
      <c r="MAD3" s="146"/>
      <c r="MAE3" s="146"/>
      <c r="MAF3" s="146"/>
      <c r="MAG3" s="146"/>
      <c r="MAH3" s="146"/>
      <c r="MAI3" s="146"/>
      <c r="MAJ3" s="146"/>
      <c r="MAK3" s="146"/>
      <c r="MAL3" s="146"/>
      <c r="MAM3" s="146"/>
      <c r="MAN3" s="146"/>
      <c r="MAO3" s="146"/>
      <c r="MAP3" s="146"/>
      <c r="MAQ3" s="146"/>
      <c r="MAR3" s="146"/>
      <c r="MAS3" s="146"/>
      <c r="MAT3" s="146"/>
      <c r="MAU3" s="146"/>
      <c r="MAV3" s="146"/>
      <c r="MAW3" s="146"/>
      <c r="MAX3" s="146"/>
      <c r="MAY3" s="146"/>
      <c r="MAZ3" s="146"/>
      <c r="MBA3" s="146"/>
      <c r="MBB3" s="146"/>
      <c r="MBC3" s="146"/>
      <c r="MBD3" s="146"/>
      <c r="MBE3" s="146"/>
      <c r="MBF3" s="146"/>
      <c r="MBG3" s="146"/>
      <c r="MBH3" s="146"/>
      <c r="MBI3" s="146"/>
      <c r="MBJ3" s="146"/>
      <c r="MBK3" s="146"/>
      <c r="MBL3" s="146"/>
      <c r="MBM3" s="146"/>
      <c r="MBN3" s="146"/>
      <c r="MBO3" s="146"/>
      <c r="MBP3" s="146"/>
      <c r="MBQ3" s="146"/>
      <c r="MBR3" s="146"/>
      <c r="MBS3" s="146"/>
      <c r="MBT3" s="146"/>
      <c r="MBU3" s="146"/>
      <c r="MBV3" s="146"/>
      <c r="MBW3" s="146"/>
      <c r="MBX3" s="146"/>
      <c r="MBY3" s="146"/>
      <c r="MBZ3" s="146"/>
      <c r="MCA3" s="146"/>
      <c r="MCB3" s="146"/>
      <c r="MCC3" s="146"/>
      <c r="MCD3" s="146"/>
      <c r="MCE3" s="146"/>
      <c r="MCF3" s="146"/>
      <c r="MCG3" s="146"/>
      <c r="MCH3" s="146"/>
      <c r="MCI3" s="146"/>
      <c r="MCJ3" s="146"/>
      <c r="MCK3" s="146"/>
      <c r="MCL3" s="146"/>
      <c r="MCM3" s="146"/>
      <c r="MCN3" s="146"/>
      <c r="MCO3" s="146"/>
      <c r="MCP3" s="146"/>
      <c r="MCQ3" s="146"/>
      <c r="MCR3" s="146"/>
      <c r="MCS3" s="146"/>
      <c r="MCT3" s="146"/>
      <c r="MCU3" s="146"/>
      <c r="MCV3" s="146"/>
      <c r="MCW3" s="146"/>
      <c r="MCX3" s="146"/>
      <c r="MCY3" s="146"/>
      <c r="MCZ3" s="146"/>
      <c r="MDA3" s="146"/>
      <c r="MDB3" s="146"/>
      <c r="MDC3" s="146"/>
      <c r="MDD3" s="146"/>
      <c r="MDE3" s="146"/>
      <c r="MDF3" s="146"/>
      <c r="MDG3" s="146"/>
      <c r="MDH3" s="146"/>
      <c r="MDI3" s="146"/>
      <c r="MDJ3" s="146"/>
      <c r="MDK3" s="146"/>
      <c r="MDL3" s="146"/>
      <c r="MDM3" s="146"/>
      <c r="MDN3" s="146"/>
      <c r="MDO3" s="146"/>
      <c r="MDP3" s="146"/>
      <c r="MDQ3" s="146"/>
      <c r="MDR3" s="146"/>
      <c r="MDS3" s="146"/>
      <c r="MDT3" s="146"/>
      <c r="MDU3" s="146"/>
      <c r="MDV3" s="146"/>
      <c r="MDW3" s="146"/>
      <c r="MDX3" s="146"/>
      <c r="MDY3" s="146"/>
      <c r="MDZ3" s="146"/>
      <c r="MEA3" s="146"/>
      <c r="MEB3" s="146"/>
      <c r="MEC3" s="146"/>
      <c r="MED3" s="146"/>
      <c r="MEE3" s="146"/>
      <c r="MEF3" s="146"/>
      <c r="MEG3" s="146"/>
      <c r="MEH3" s="146"/>
      <c r="MEI3" s="146"/>
      <c r="MEJ3" s="146"/>
      <c r="MEK3" s="146"/>
      <c r="MEL3" s="146"/>
      <c r="MEM3" s="146"/>
      <c r="MEN3" s="146"/>
      <c r="MEO3" s="146"/>
      <c r="MEP3" s="146"/>
      <c r="MEQ3" s="146"/>
      <c r="MER3" s="146"/>
      <c r="MES3" s="146"/>
      <c r="MET3" s="146"/>
      <c r="MEU3" s="146"/>
      <c r="MEV3" s="146"/>
      <c r="MEW3" s="146"/>
      <c r="MEX3" s="146"/>
      <c r="MEY3" s="146"/>
      <c r="MEZ3" s="146"/>
      <c r="MFA3" s="146"/>
      <c r="MFB3" s="146"/>
      <c r="MFC3" s="146"/>
      <c r="MFD3" s="146"/>
      <c r="MFE3" s="146"/>
      <c r="MFF3" s="146"/>
      <c r="MFG3" s="146"/>
      <c r="MFH3" s="146"/>
      <c r="MFI3" s="146"/>
      <c r="MFJ3" s="146"/>
      <c r="MFK3" s="146"/>
      <c r="MFL3" s="146"/>
      <c r="MFM3" s="146"/>
      <c r="MFN3" s="146"/>
      <c r="MFO3" s="146"/>
      <c r="MFP3" s="146"/>
      <c r="MFQ3" s="146"/>
      <c r="MFR3" s="146"/>
      <c r="MFS3" s="146"/>
      <c r="MFT3" s="146"/>
      <c r="MFU3" s="146"/>
      <c r="MFV3" s="146"/>
      <c r="MFW3" s="146"/>
      <c r="MFX3" s="146"/>
      <c r="MFY3" s="146"/>
      <c r="MFZ3" s="146"/>
      <c r="MGA3" s="146"/>
      <c r="MGB3" s="146"/>
      <c r="MGC3" s="146"/>
      <c r="MGD3" s="146"/>
      <c r="MGE3" s="146"/>
      <c r="MGF3" s="146"/>
      <c r="MGG3" s="146"/>
      <c r="MGH3" s="146"/>
      <c r="MGI3" s="146"/>
      <c r="MGJ3" s="146"/>
      <c r="MGK3" s="146"/>
      <c r="MGL3" s="146"/>
      <c r="MGM3" s="146"/>
      <c r="MGN3" s="146"/>
      <c r="MGO3" s="146"/>
      <c r="MGP3" s="146"/>
      <c r="MGQ3" s="146"/>
      <c r="MGR3" s="146"/>
      <c r="MGS3" s="146"/>
      <c r="MGT3" s="146"/>
      <c r="MGU3" s="146"/>
      <c r="MGV3" s="146"/>
      <c r="MGW3" s="146"/>
      <c r="MGX3" s="146"/>
      <c r="MGY3" s="146"/>
      <c r="MGZ3" s="146"/>
      <c r="MHA3" s="146"/>
      <c r="MHB3" s="146"/>
      <c r="MHC3" s="146"/>
      <c r="MHD3" s="146"/>
      <c r="MHE3" s="146"/>
      <c r="MHF3" s="146"/>
      <c r="MHG3" s="146"/>
      <c r="MHH3" s="146"/>
      <c r="MHI3" s="146"/>
      <c r="MHJ3" s="146"/>
      <c r="MHK3" s="146"/>
      <c r="MHL3" s="146"/>
      <c r="MHM3" s="146"/>
      <c r="MHN3" s="146"/>
      <c r="MHO3" s="146"/>
      <c r="MHP3" s="146"/>
      <c r="MHQ3" s="146"/>
      <c r="MHR3" s="146"/>
      <c r="MHS3" s="146"/>
      <c r="MHT3" s="146"/>
      <c r="MHU3" s="146"/>
      <c r="MHV3" s="146"/>
      <c r="MHW3" s="146"/>
      <c r="MHX3" s="146"/>
      <c r="MHY3" s="146"/>
      <c r="MHZ3" s="146"/>
      <c r="MIA3" s="146"/>
      <c r="MIB3" s="146"/>
      <c r="MIC3" s="146"/>
      <c r="MID3" s="146"/>
      <c r="MIE3" s="146"/>
      <c r="MIF3" s="146"/>
      <c r="MIG3" s="146"/>
      <c r="MIH3" s="146"/>
      <c r="MII3" s="146"/>
      <c r="MIJ3" s="146"/>
      <c r="MIK3" s="146"/>
      <c r="MIL3" s="146"/>
      <c r="MIM3" s="146"/>
      <c r="MIN3" s="146"/>
      <c r="MIO3" s="146"/>
      <c r="MIP3" s="146"/>
      <c r="MIQ3" s="146"/>
      <c r="MIR3" s="146"/>
      <c r="MIS3" s="146"/>
      <c r="MIT3" s="146"/>
      <c r="MIU3" s="146"/>
      <c r="MIV3" s="146"/>
      <c r="MIW3" s="146"/>
      <c r="MIX3" s="146"/>
      <c r="MIY3" s="146"/>
      <c r="MIZ3" s="146"/>
      <c r="MJA3" s="146"/>
      <c r="MJB3" s="146"/>
      <c r="MJC3" s="146"/>
      <c r="MJD3" s="146"/>
      <c r="MJE3" s="146"/>
      <c r="MJF3" s="146"/>
      <c r="MJG3" s="146"/>
      <c r="MJH3" s="146"/>
      <c r="MJI3" s="146"/>
      <c r="MJJ3" s="146"/>
      <c r="MJK3" s="146"/>
      <c r="MJL3" s="146"/>
      <c r="MJM3" s="146"/>
      <c r="MJN3" s="146"/>
      <c r="MJO3" s="146"/>
      <c r="MJP3" s="146"/>
      <c r="MJQ3" s="146"/>
      <c r="MJR3" s="146"/>
      <c r="MJS3" s="146"/>
      <c r="MJT3" s="146"/>
      <c r="MJU3" s="146"/>
      <c r="MJV3" s="146"/>
      <c r="MJW3" s="146"/>
      <c r="MJX3" s="146"/>
      <c r="MJY3" s="146"/>
      <c r="MJZ3" s="146"/>
      <c r="MKA3" s="146"/>
      <c r="MKB3" s="146"/>
      <c r="MKC3" s="146"/>
      <c r="MKD3" s="146"/>
      <c r="MKE3" s="146"/>
      <c r="MKF3" s="146"/>
      <c r="MKG3" s="146"/>
      <c r="MKH3" s="146"/>
      <c r="MKI3" s="146"/>
      <c r="MKJ3" s="146"/>
      <c r="MKK3" s="146"/>
      <c r="MKL3" s="146"/>
      <c r="MKM3" s="146"/>
      <c r="MKN3" s="146"/>
      <c r="MKO3" s="146"/>
      <c r="MKP3" s="146"/>
      <c r="MKQ3" s="146"/>
      <c r="MKR3" s="146"/>
      <c r="MKS3" s="146"/>
      <c r="MKT3" s="146"/>
      <c r="MKU3" s="146"/>
      <c r="MKV3" s="146"/>
      <c r="MKW3" s="146"/>
      <c r="MKX3" s="146"/>
      <c r="MKY3" s="146"/>
      <c r="MKZ3" s="146"/>
      <c r="MLA3" s="146"/>
      <c r="MLB3" s="146"/>
      <c r="MLC3" s="146"/>
      <c r="MLD3" s="146"/>
      <c r="MLE3" s="146"/>
      <c r="MLF3" s="146"/>
      <c r="MLG3" s="146"/>
      <c r="MLH3" s="146"/>
      <c r="MLI3" s="146"/>
      <c r="MLJ3" s="146"/>
      <c r="MLK3" s="146"/>
      <c r="MLL3" s="146"/>
      <c r="MLM3" s="146"/>
      <c r="MLN3" s="146"/>
      <c r="MLO3" s="146"/>
      <c r="MLP3" s="146"/>
      <c r="MLQ3" s="146"/>
      <c r="MLR3" s="146"/>
      <c r="MLS3" s="146"/>
      <c r="MLT3" s="146"/>
      <c r="MLU3" s="146"/>
      <c r="MLV3" s="146"/>
      <c r="MLW3" s="146"/>
      <c r="MLX3" s="146"/>
      <c r="MLY3" s="146"/>
      <c r="MLZ3" s="146"/>
      <c r="MMA3" s="146"/>
      <c r="MMB3" s="146"/>
      <c r="MMC3" s="146"/>
      <c r="MMD3" s="146"/>
      <c r="MME3" s="146"/>
      <c r="MMF3" s="146"/>
      <c r="MMG3" s="146"/>
      <c r="MMH3" s="146"/>
      <c r="MMI3" s="146"/>
      <c r="MMJ3" s="146"/>
      <c r="MMK3" s="146"/>
      <c r="MML3" s="146"/>
      <c r="MMM3" s="146"/>
      <c r="MMN3" s="146"/>
      <c r="MMO3" s="146"/>
      <c r="MMP3" s="146"/>
      <c r="MMQ3" s="146"/>
      <c r="MMR3" s="146"/>
      <c r="MMS3" s="146"/>
      <c r="MMT3" s="146"/>
      <c r="MMU3" s="146"/>
      <c r="MMV3" s="146"/>
      <c r="MMW3" s="146"/>
      <c r="MMX3" s="146"/>
      <c r="MMY3" s="146"/>
      <c r="MMZ3" s="146"/>
      <c r="MNA3" s="146"/>
      <c r="MNB3" s="146"/>
      <c r="MNC3" s="146"/>
      <c r="MND3" s="146"/>
      <c r="MNE3" s="146"/>
      <c r="MNF3" s="146"/>
      <c r="MNG3" s="146"/>
      <c r="MNH3" s="146"/>
      <c r="MNI3" s="146"/>
      <c r="MNJ3" s="146"/>
      <c r="MNK3" s="146"/>
      <c r="MNL3" s="146"/>
      <c r="MNM3" s="146"/>
      <c r="MNN3" s="146"/>
      <c r="MNO3" s="146"/>
      <c r="MNP3" s="146"/>
      <c r="MNQ3" s="146"/>
      <c r="MNR3" s="146"/>
      <c r="MNS3" s="146"/>
      <c r="MNT3" s="146"/>
      <c r="MNU3" s="146"/>
      <c r="MNV3" s="146"/>
      <c r="MNW3" s="146"/>
      <c r="MNX3" s="146"/>
      <c r="MNY3" s="146"/>
      <c r="MNZ3" s="146"/>
      <c r="MOA3" s="146"/>
      <c r="MOB3" s="146"/>
      <c r="MOC3" s="146"/>
      <c r="MOD3" s="146"/>
      <c r="MOE3" s="146"/>
      <c r="MOF3" s="146"/>
      <c r="MOG3" s="146"/>
      <c r="MOH3" s="146"/>
      <c r="MOI3" s="146"/>
      <c r="MOJ3" s="146"/>
      <c r="MOK3" s="146"/>
      <c r="MOL3" s="146"/>
      <c r="MOM3" s="146"/>
      <c r="MON3" s="146"/>
      <c r="MOO3" s="146"/>
      <c r="MOP3" s="146"/>
      <c r="MOQ3" s="146"/>
      <c r="MOR3" s="146"/>
      <c r="MOS3" s="146"/>
      <c r="MOT3" s="146"/>
      <c r="MOU3" s="146"/>
      <c r="MOV3" s="146"/>
      <c r="MOW3" s="146"/>
      <c r="MOX3" s="146"/>
      <c r="MOY3" s="146"/>
      <c r="MOZ3" s="146"/>
      <c r="MPA3" s="146"/>
      <c r="MPB3" s="146"/>
      <c r="MPC3" s="146"/>
      <c r="MPD3" s="146"/>
      <c r="MPE3" s="146"/>
      <c r="MPF3" s="146"/>
      <c r="MPG3" s="146"/>
      <c r="MPH3" s="146"/>
      <c r="MPI3" s="146"/>
      <c r="MPJ3" s="146"/>
      <c r="MPK3" s="146"/>
      <c r="MPL3" s="146"/>
      <c r="MPM3" s="146"/>
      <c r="MPN3" s="146"/>
      <c r="MPO3" s="146"/>
      <c r="MPP3" s="146"/>
      <c r="MPQ3" s="146"/>
      <c r="MPR3" s="146"/>
      <c r="MPS3" s="146"/>
      <c r="MPT3" s="146"/>
      <c r="MPU3" s="146"/>
      <c r="MPV3" s="146"/>
      <c r="MPW3" s="146"/>
      <c r="MPX3" s="146"/>
      <c r="MPY3" s="146"/>
      <c r="MPZ3" s="146"/>
      <c r="MQA3" s="146"/>
      <c r="MQB3" s="146"/>
      <c r="MQC3" s="146"/>
      <c r="MQD3" s="146"/>
      <c r="MQE3" s="146"/>
      <c r="MQF3" s="146"/>
      <c r="MQG3" s="146"/>
      <c r="MQH3" s="146"/>
      <c r="MQI3" s="146"/>
      <c r="MQJ3" s="146"/>
      <c r="MQK3" s="146"/>
      <c r="MQL3" s="146"/>
      <c r="MQM3" s="146"/>
      <c r="MQN3" s="146"/>
      <c r="MQO3" s="146"/>
      <c r="MQP3" s="146"/>
      <c r="MQQ3" s="146"/>
      <c r="MQR3" s="146"/>
      <c r="MQS3" s="146"/>
      <c r="MQT3" s="146"/>
      <c r="MQU3" s="146"/>
      <c r="MQV3" s="146"/>
      <c r="MQW3" s="146"/>
      <c r="MQX3" s="146"/>
      <c r="MQY3" s="146"/>
      <c r="MQZ3" s="146"/>
      <c r="MRA3" s="146"/>
      <c r="MRB3" s="146"/>
      <c r="MRC3" s="146"/>
      <c r="MRD3" s="146"/>
      <c r="MRE3" s="146"/>
      <c r="MRF3" s="146"/>
      <c r="MRG3" s="146"/>
      <c r="MRH3" s="146"/>
      <c r="MRI3" s="146"/>
      <c r="MRJ3" s="146"/>
      <c r="MRK3" s="146"/>
      <c r="MRL3" s="146"/>
      <c r="MRM3" s="146"/>
      <c r="MRN3" s="146"/>
      <c r="MRO3" s="146"/>
      <c r="MRP3" s="146"/>
      <c r="MRQ3" s="146"/>
      <c r="MRR3" s="146"/>
      <c r="MRS3" s="146"/>
      <c r="MRT3" s="146"/>
      <c r="MRU3" s="146"/>
      <c r="MRV3" s="146"/>
      <c r="MRW3" s="146"/>
      <c r="MRX3" s="146"/>
      <c r="MRY3" s="146"/>
      <c r="MRZ3" s="146"/>
      <c r="MSA3" s="146"/>
      <c r="MSB3" s="146"/>
      <c r="MSC3" s="146"/>
      <c r="MSD3" s="146"/>
      <c r="MSE3" s="146"/>
      <c r="MSF3" s="146"/>
      <c r="MSG3" s="146"/>
      <c r="MSH3" s="146"/>
      <c r="MSI3" s="146"/>
      <c r="MSJ3" s="146"/>
      <c r="MSK3" s="146"/>
      <c r="MSL3" s="146"/>
      <c r="MSM3" s="146"/>
      <c r="MSN3" s="146"/>
      <c r="MSO3" s="146"/>
      <c r="MSP3" s="146"/>
      <c r="MSQ3" s="146"/>
      <c r="MSR3" s="146"/>
      <c r="MSS3" s="146"/>
      <c r="MST3" s="146"/>
      <c r="MSU3" s="146"/>
      <c r="MSV3" s="146"/>
      <c r="MSW3" s="146"/>
      <c r="MSX3" s="146"/>
      <c r="MSY3" s="146"/>
      <c r="MSZ3" s="146"/>
      <c r="MTA3" s="146"/>
      <c r="MTB3" s="146"/>
      <c r="MTC3" s="146"/>
      <c r="MTD3" s="146"/>
      <c r="MTE3" s="146"/>
      <c r="MTF3" s="146"/>
      <c r="MTG3" s="146"/>
      <c r="MTH3" s="146"/>
      <c r="MTI3" s="146"/>
      <c r="MTJ3" s="146"/>
      <c r="MTK3" s="146"/>
      <c r="MTL3" s="146"/>
      <c r="MTM3" s="146"/>
      <c r="MTN3" s="146"/>
      <c r="MTO3" s="146"/>
      <c r="MTP3" s="146"/>
      <c r="MTQ3" s="146"/>
      <c r="MTR3" s="146"/>
      <c r="MTS3" s="146"/>
      <c r="MTT3" s="146"/>
      <c r="MTU3" s="146"/>
      <c r="MTV3" s="146"/>
      <c r="MTW3" s="146"/>
      <c r="MTX3" s="146"/>
      <c r="MTY3" s="146"/>
      <c r="MTZ3" s="146"/>
      <c r="MUA3" s="146"/>
      <c r="MUB3" s="146"/>
      <c r="MUC3" s="146"/>
      <c r="MUD3" s="146"/>
      <c r="MUE3" s="146"/>
      <c r="MUF3" s="146"/>
      <c r="MUG3" s="146"/>
      <c r="MUH3" s="146"/>
      <c r="MUI3" s="146"/>
      <c r="MUJ3" s="146"/>
      <c r="MUK3" s="146"/>
      <c r="MUL3" s="146"/>
      <c r="MUM3" s="146"/>
      <c r="MUN3" s="146"/>
      <c r="MUO3" s="146"/>
      <c r="MUP3" s="146"/>
      <c r="MUQ3" s="146"/>
      <c r="MUR3" s="146"/>
      <c r="MUS3" s="146"/>
      <c r="MUT3" s="146"/>
      <c r="MUU3" s="146"/>
      <c r="MUV3" s="146"/>
      <c r="MUW3" s="146"/>
      <c r="MUX3" s="146"/>
      <c r="MUY3" s="146"/>
      <c r="MUZ3" s="146"/>
      <c r="MVA3" s="146"/>
      <c r="MVB3" s="146"/>
      <c r="MVC3" s="146"/>
      <c r="MVD3" s="146"/>
      <c r="MVE3" s="146"/>
      <c r="MVF3" s="146"/>
      <c r="MVG3" s="146"/>
      <c r="MVH3" s="146"/>
      <c r="MVI3" s="146"/>
      <c r="MVJ3" s="146"/>
      <c r="MVK3" s="146"/>
      <c r="MVL3" s="146"/>
      <c r="MVM3" s="146"/>
      <c r="MVN3" s="146"/>
      <c r="MVO3" s="146"/>
      <c r="MVP3" s="146"/>
      <c r="MVQ3" s="146"/>
      <c r="MVR3" s="146"/>
      <c r="MVS3" s="146"/>
      <c r="MVT3" s="146"/>
      <c r="MVU3" s="146"/>
      <c r="MVV3" s="146"/>
      <c r="MVW3" s="146"/>
      <c r="MVX3" s="146"/>
      <c r="MVY3" s="146"/>
      <c r="MVZ3" s="146"/>
      <c r="MWA3" s="146"/>
      <c r="MWB3" s="146"/>
      <c r="MWC3" s="146"/>
      <c r="MWD3" s="146"/>
      <c r="MWE3" s="146"/>
      <c r="MWF3" s="146"/>
      <c r="MWG3" s="146"/>
      <c r="MWH3" s="146"/>
      <c r="MWI3" s="146"/>
      <c r="MWJ3" s="146"/>
      <c r="MWK3" s="146"/>
      <c r="MWL3" s="146"/>
      <c r="MWM3" s="146"/>
      <c r="MWN3" s="146"/>
      <c r="MWO3" s="146"/>
      <c r="MWP3" s="146"/>
      <c r="MWQ3" s="146"/>
      <c r="MWR3" s="146"/>
      <c r="MWS3" s="146"/>
      <c r="MWT3" s="146"/>
      <c r="MWU3" s="146"/>
      <c r="MWV3" s="146"/>
      <c r="MWW3" s="146"/>
      <c r="MWX3" s="146"/>
      <c r="MWY3" s="146"/>
      <c r="MWZ3" s="146"/>
      <c r="MXA3" s="146"/>
      <c r="MXB3" s="146"/>
      <c r="MXC3" s="146"/>
      <c r="MXD3" s="146"/>
      <c r="MXE3" s="146"/>
      <c r="MXF3" s="146"/>
      <c r="MXG3" s="146"/>
      <c r="MXH3" s="146"/>
      <c r="MXI3" s="146"/>
      <c r="MXJ3" s="146"/>
      <c r="MXK3" s="146"/>
      <c r="MXL3" s="146"/>
      <c r="MXM3" s="146"/>
      <c r="MXN3" s="146"/>
      <c r="MXO3" s="146"/>
      <c r="MXP3" s="146"/>
      <c r="MXQ3" s="146"/>
      <c r="MXR3" s="146"/>
      <c r="MXS3" s="146"/>
      <c r="MXT3" s="146"/>
      <c r="MXU3" s="146"/>
      <c r="MXV3" s="146"/>
      <c r="MXW3" s="146"/>
      <c r="MXX3" s="146"/>
      <c r="MXY3" s="146"/>
      <c r="MXZ3" s="146"/>
      <c r="MYA3" s="146"/>
      <c r="MYB3" s="146"/>
      <c r="MYC3" s="146"/>
      <c r="MYD3" s="146"/>
      <c r="MYE3" s="146"/>
      <c r="MYF3" s="146"/>
      <c r="MYG3" s="146"/>
      <c r="MYH3" s="146"/>
      <c r="MYI3" s="146"/>
      <c r="MYJ3" s="146"/>
      <c r="MYK3" s="146"/>
      <c r="MYL3" s="146"/>
      <c r="MYM3" s="146"/>
      <c r="MYN3" s="146"/>
      <c r="MYO3" s="146"/>
      <c r="MYP3" s="146"/>
      <c r="MYQ3" s="146"/>
      <c r="MYR3" s="146"/>
      <c r="MYS3" s="146"/>
      <c r="MYT3" s="146"/>
      <c r="MYU3" s="146"/>
      <c r="MYV3" s="146"/>
      <c r="MYW3" s="146"/>
      <c r="MYX3" s="146"/>
      <c r="MYY3" s="146"/>
      <c r="MYZ3" s="146"/>
      <c r="MZA3" s="146"/>
      <c r="MZB3" s="146"/>
      <c r="MZC3" s="146"/>
      <c r="MZD3" s="146"/>
      <c r="MZE3" s="146"/>
      <c r="MZF3" s="146"/>
      <c r="MZG3" s="146"/>
      <c r="MZH3" s="146"/>
      <c r="MZI3" s="146"/>
      <c r="MZJ3" s="146"/>
      <c r="MZK3" s="146"/>
      <c r="MZL3" s="146"/>
      <c r="MZM3" s="146"/>
      <c r="MZN3" s="146"/>
      <c r="MZO3" s="146"/>
      <c r="MZP3" s="146"/>
      <c r="MZQ3" s="146"/>
      <c r="MZR3" s="146"/>
      <c r="MZS3" s="146"/>
      <c r="MZT3" s="146"/>
      <c r="MZU3" s="146"/>
      <c r="MZV3" s="146"/>
      <c r="MZW3" s="146"/>
      <c r="MZX3" s="146"/>
      <c r="MZY3" s="146"/>
      <c r="MZZ3" s="146"/>
      <c r="NAA3" s="146"/>
      <c r="NAB3" s="146"/>
      <c r="NAC3" s="146"/>
      <c r="NAD3" s="146"/>
      <c r="NAE3" s="146"/>
      <c r="NAF3" s="146"/>
      <c r="NAG3" s="146"/>
      <c r="NAH3" s="146"/>
      <c r="NAI3" s="146"/>
      <c r="NAJ3" s="146"/>
      <c r="NAK3" s="146"/>
      <c r="NAL3" s="146"/>
      <c r="NAM3" s="146"/>
      <c r="NAN3" s="146"/>
      <c r="NAO3" s="146"/>
      <c r="NAP3" s="146"/>
      <c r="NAQ3" s="146"/>
      <c r="NAR3" s="146"/>
      <c r="NAS3" s="146"/>
      <c r="NAT3" s="146"/>
      <c r="NAU3" s="146"/>
      <c r="NAV3" s="146"/>
      <c r="NAW3" s="146"/>
      <c r="NAX3" s="146"/>
      <c r="NAY3" s="146"/>
      <c r="NAZ3" s="146"/>
      <c r="NBA3" s="146"/>
      <c r="NBB3" s="146"/>
      <c r="NBC3" s="146"/>
      <c r="NBD3" s="146"/>
      <c r="NBE3" s="146"/>
      <c r="NBF3" s="146"/>
      <c r="NBG3" s="146"/>
      <c r="NBH3" s="146"/>
      <c r="NBI3" s="146"/>
      <c r="NBJ3" s="146"/>
      <c r="NBK3" s="146"/>
      <c r="NBL3" s="146"/>
      <c r="NBM3" s="146"/>
      <c r="NBN3" s="146"/>
      <c r="NBO3" s="146"/>
      <c r="NBP3" s="146"/>
      <c r="NBQ3" s="146"/>
      <c r="NBR3" s="146"/>
      <c r="NBS3" s="146"/>
      <c r="NBT3" s="146"/>
      <c r="NBU3" s="146"/>
      <c r="NBV3" s="146"/>
      <c r="NBW3" s="146"/>
      <c r="NBX3" s="146"/>
      <c r="NBY3" s="146"/>
      <c r="NBZ3" s="146"/>
      <c r="NCA3" s="146"/>
      <c r="NCB3" s="146"/>
      <c r="NCC3" s="146"/>
      <c r="NCD3" s="146"/>
      <c r="NCE3" s="146"/>
      <c r="NCF3" s="146"/>
      <c r="NCG3" s="146"/>
      <c r="NCH3" s="146"/>
      <c r="NCI3" s="146"/>
      <c r="NCJ3" s="146"/>
      <c r="NCK3" s="146"/>
      <c r="NCL3" s="146"/>
      <c r="NCM3" s="146"/>
      <c r="NCN3" s="146"/>
      <c r="NCO3" s="146"/>
      <c r="NCP3" s="146"/>
      <c r="NCQ3" s="146"/>
      <c r="NCR3" s="146"/>
      <c r="NCS3" s="146"/>
      <c r="NCT3" s="146"/>
      <c r="NCU3" s="146"/>
      <c r="NCV3" s="146"/>
      <c r="NCW3" s="146"/>
      <c r="NCX3" s="146"/>
      <c r="NCY3" s="146"/>
      <c r="NCZ3" s="146"/>
      <c r="NDA3" s="146"/>
      <c r="NDB3" s="146"/>
      <c r="NDC3" s="146"/>
      <c r="NDD3" s="146"/>
      <c r="NDE3" s="146"/>
      <c r="NDF3" s="146"/>
      <c r="NDG3" s="146"/>
      <c r="NDH3" s="146"/>
      <c r="NDI3" s="146"/>
      <c r="NDJ3" s="146"/>
      <c r="NDK3" s="146"/>
      <c r="NDL3" s="146"/>
      <c r="NDM3" s="146"/>
      <c r="NDN3" s="146"/>
      <c r="NDO3" s="146"/>
      <c r="NDP3" s="146"/>
      <c r="NDQ3" s="146"/>
      <c r="NDR3" s="146"/>
      <c r="NDS3" s="146"/>
      <c r="NDT3" s="146"/>
      <c r="NDU3" s="146"/>
      <c r="NDV3" s="146"/>
      <c r="NDW3" s="146"/>
      <c r="NDX3" s="146"/>
      <c r="NDY3" s="146"/>
      <c r="NDZ3" s="146"/>
      <c r="NEA3" s="146"/>
      <c r="NEB3" s="146"/>
      <c r="NEC3" s="146"/>
      <c r="NED3" s="146"/>
      <c r="NEE3" s="146"/>
      <c r="NEF3" s="146"/>
      <c r="NEG3" s="146"/>
      <c r="NEH3" s="146"/>
      <c r="NEI3" s="146"/>
      <c r="NEJ3" s="146"/>
      <c r="NEK3" s="146"/>
      <c r="NEL3" s="146"/>
      <c r="NEM3" s="146"/>
      <c r="NEN3" s="146"/>
      <c r="NEO3" s="146"/>
      <c r="NEP3" s="146"/>
      <c r="NEQ3" s="146"/>
      <c r="NER3" s="146"/>
      <c r="NES3" s="146"/>
      <c r="NET3" s="146"/>
      <c r="NEU3" s="146"/>
      <c r="NEV3" s="146"/>
      <c r="NEW3" s="146"/>
      <c r="NEX3" s="146"/>
      <c r="NEY3" s="146"/>
      <c r="NEZ3" s="146"/>
      <c r="NFA3" s="146"/>
      <c r="NFB3" s="146"/>
      <c r="NFC3" s="146"/>
      <c r="NFD3" s="146"/>
      <c r="NFE3" s="146"/>
      <c r="NFF3" s="146"/>
      <c r="NFG3" s="146"/>
      <c r="NFH3" s="146"/>
      <c r="NFI3" s="146"/>
      <c r="NFJ3" s="146"/>
      <c r="NFK3" s="146"/>
      <c r="NFL3" s="146"/>
      <c r="NFM3" s="146"/>
      <c r="NFN3" s="146"/>
      <c r="NFO3" s="146"/>
      <c r="NFP3" s="146"/>
      <c r="NFQ3" s="146"/>
      <c r="NFR3" s="146"/>
      <c r="NFS3" s="146"/>
      <c r="NFT3" s="146"/>
      <c r="NFU3" s="146"/>
      <c r="NFV3" s="146"/>
      <c r="NFW3" s="146"/>
      <c r="NFX3" s="146"/>
      <c r="NFY3" s="146"/>
      <c r="NFZ3" s="146"/>
      <c r="NGA3" s="146"/>
      <c r="NGB3" s="146"/>
      <c r="NGC3" s="146"/>
      <c r="NGD3" s="146"/>
      <c r="NGE3" s="146"/>
      <c r="NGF3" s="146"/>
      <c r="NGG3" s="146"/>
      <c r="NGH3" s="146"/>
      <c r="NGI3" s="146"/>
      <c r="NGJ3" s="146"/>
      <c r="NGK3" s="146"/>
      <c r="NGL3" s="146"/>
      <c r="NGM3" s="146"/>
      <c r="NGN3" s="146"/>
      <c r="NGO3" s="146"/>
      <c r="NGP3" s="146"/>
      <c r="NGQ3" s="146"/>
      <c r="NGR3" s="146"/>
      <c r="NGS3" s="146"/>
      <c r="NGT3" s="146"/>
      <c r="NGU3" s="146"/>
      <c r="NGV3" s="146"/>
      <c r="NGW3" s="146"/>
      <c r="NGX3" s="146"/>
      <c r="NGY3" s="146"/>
      <c r="NGZ3" s="146"/>
      <c r="NHA3" s="146"/>
      <c r="NHB3" s="146"/>
      <c r="NHC3" s="146"/>
      <c r="NHD3" s="146"/>
      <c r="NHE3" s="146"/>
      <c r="NHF3" s="146"/>
      <c r="NHG3" s="146"/>
      <c r="NHH3" s="146"/>
      <c r="NHI3" s="146"/>
      <c r="NHJ3" s="146"/>
      <c r="NHK3" s="146"/>
      <c r="NHL3" s="146"/>
      <c r="NHM3" s="146"/>
      <c r="NHN3" s="146"/>
      <c r="NHO3" s="146"/>
      <c r="NHP3" s="146"/>
      <c r="NHQ3" s="146"/>
      <c r="NHR3" s="146"/>
      <c r="NHS3" s="146"/>
      <c r="NHT3" s="146"/>
      <c r="NHU3" s="146"/>
      <c r="NHV3" s="146"/>
      <c r="NHW3" s="146"/>
      <c r="NHX3" s="146"/>
      <c r="NHY3" s="146"/>
      <c r="NHZ3" s="146"/>
      <c r="NIA3" s="146"/>
      <c r="NIB3" s="146"/>
      <c r="NIC3" s="146"/>
      <c r="NID3" s="146"/>
      <c r="NIE3" s="146"/>
      <c r="NIF3" s="146"/>
      <c r="NIG3" s="146"/>
      <c r="NIH3" s="146"/>
      <c r="NII3" s="146"/>
      <c r="NIJ3" s="146"/>
      <c r="NIK3" s="146"/>
      <c r="NIL3" s="146"/>
      <c r="NIM3" s="146"/>
      <c r="NIN3" s="146"/>
      <c r="NIO3" s="146"/>
      <c r="NIP3" s="146"/>
      <c r="NIQ3" s="146"/>
      <c r="NIR3" s="146"/>
      <c r="NIS3" s="146"/>
      <c r="NIT3" s="146"/>
      <c r="NIU3" s="146"/>
      <c r="NIV3" s="146"/>
      <c r="NIW3" s="146"/>
      <c r="NIX3" s="146"/>
      <c r="NIY3" s="146"/>
      <c r="NIZ3" s="146"/>
      <c r="NJA3" s="146"/>
      <c r="NJB3" s="146"/>
      <c r="NJC3" s="146"/>
      <c r="NJD3" s="146"/>
      <c r="NJE3" s="146"/>
      <c r="NJF3" s="146"/>
      <c r="NJG3" s="146"/>
      <c r="NJH3" s="146"/>
      <c r="NJI3" s="146"/>
      <c r="NJJ3" s="146"/>
      <c r="NJK3" s="146"/>
      <c r="NJL3" s="146"/>
      <c r="NJM3" s="146"/>
      <c r="NJN3" s="146"/>
      <c r="NJO3" s="146"/>
      <c r="NJP3" s="146"/>
      <c r="NJQ3" s="146"/>
      <c r="NJR3" s="146"/>
      <c r="NJS3" s="146"/>
      <c r="NJT3" s="146"/>
      <c r="NJU3" s="146"/>
      <c r="NJV3" s="146"/>
      <c r="NJW3" s="146"/>
      <c r="NJX3" s="146"/>
      <c r="NJY3" s="146"/>
      <c r="NJZ3" s="146"/>
      <c r="NKA3" s="146"/>
      <c r="NKB3" s="146"/>
      <c r="NKC3" s="146"/>
      <c r="NKD3" s="146"/>
      <c r="NKE3" s="146"/>
      <c r="NKF3" s="146"/>
      <c r="NKG3" s="146"/>
      <c r="NKH3" s="146"/>
      <c r="NKI3" s="146"/>
      <c r="NKJ3" s="146"/>
      <c r="NKK3" s="146"/>
      <c r="NKL3" s="146"/>
      <c r="NKM3" s="146"/>
      <c r="NKN3" s="146"/>
      <c r="NKO3" s="146"/>
      <c r="NKP3" s="146"/>
      <c r="NKQ3" s="146"/>
      <c r="NKR3" s="146"/>
      <c r="NKS3" s="146"/>
      <c r="NKT3" s="146"/>
      <c r="NKU3" s="146"/>
      <c r="NKV3" s="146"/>
      <c r="NKW3" s="146"/>
      <c r="NKX3" s="146"/>
      <c r="NKY3" s="146"/>
      <c r="NKZ3" s="146"/>
      <c r="NLA3" s="146"/>
      <c r="NLB3" s="146"/>
      <c r="NLC3" s="146"/>
      <c r="NLD3" s="146"/>
      <c r="NLE3" s="146"/>
      <c r="NLF3" s="146"/>
      <c r="NLG3" s="146"/>
      <c r="NLH3" s="146"/>
      <c r="NLI3" s="146"/>
      <c r="NLJ3" s="146"/>
      <c r="NLK3" s="146"/>
      <c r="NLL3" s="146"/>
      <c r="NLM3" s="146"/>
      <c r="NLN3" s="146"/>
      <c r="NLO3" s="146"/>
      <c r="NLP3" s="146"/>
      <c r="NLQ3" s="146"/>
      <c r="NLR3" s="146"/>
      <c r="NLS3" s="146"/>
      <c r="NLT3" s="146"/>
      <c r="NLU3" s="146"/>
      <c r="NLV3" s="146"/>
      <c r="NLW3" s="146"/>
      <c r="NLX3" s="146"/>
      <c r="NLY3" s="146"/>
      <c r="NLZ3" s="146"/>
      <c r="NMA3" s="146"/>
      <c r="NMB3" s="146"/>
      <c r="NMC3" s="146"/>
      <c r="NMD3" s="146"/>
      <c r="NME3" s="146"/>
      <c r="NMF3" s="146"/>
      <c r="NMG3" s="146"/>
      <c r="NMH3" s="146"/>
      <c r="NMI3" s="146"/>
      <c r="NMJ3" s="146"/>
      <c r="NMK3" s="146"/>
      <c r="NML3" s="146"/>
      <c r="NMM3" s="146"/>
      <c r="NMN3" s="146"/>
      <c r="NMO3" s="146"/>
      <c r="NMP3" s="146"/>
      <c r="NMQ3" s="146"/>
      <c r="NMR3" s="146"/>
      <c r="NMS3" s="146"/>
      <c r="NMT3" s="146"/>
      <c r="NMU3" s="146"/>
      <c r="NMV3" s="146"/>
      <c r="NMW3" s="146"/>
      <c r="NMX3" s="146"/>
      <c r="NMY3" s="146"/>
      <c r="NMZ3" s="146"/>
      <c r="NNA3" s="146"/>
      <c r="NNB3" s="146"/>
      <c r="NNC3" s="146"/>
      <c r="NND3" s="146"/>
      <c r="NNE3" s="146"/>
      <c r="NNF3" s="146"/>
      <c r="NNG3" s="146"/>
      <c r="NNH3" s="146"/>
      <c r="NNI3" s="146"/>
      <c r="NNJ3" s="146"/>
      <c r="NNK3" s="146"/>
      <c r="NNL3" s="146"/>
      <c r="NNM3" s="146"/>
      <c r="NNN3" s="146"/>
      <c r="NNO3" s="146"/>
      <c r="NNP3" s="146"/>
      <c r="NNQ3" s="146"/>
      <c r="NNR3" s="146"/>
      <c r="NNS3" s="146"/>
      <c r="NNT3" s="146"/>
      <c r="NNU3" s="146"/>
      <c r="NNV3" s="146"/>
      <c r="NNW3" s="146"/>
      <c r="NNX3" s="146"/>
      <c r="NNY3" s="146"/>
      <c r="NNZ3" s="146"/>
      <c r="NOA3" s="146"/>
      <c r="NOB3" s="146"/>
      <c r="NOC3" s="146"/>
      <c r="NOD3" s="146"/>
      <c r="NOE3" s="146"/>
      <c r="NOF3" s="146"/>
      <c r="NOG3" s="146"/>
      <c r="NOH3" s="146"/>
      <c r="NOI3" s="146"/>
      <c r="NOJ3" s="146"/>
      <c r="NOK3" s="146"/>
      <c r="NOL3" s="146"/>
      <c r="NOM3" s="146"/>
      <c r="NON3" s="146"/>
      <c r="NOO3" s="146"/>
      <c r="NOP3" s="146"/>
      <c r="NOQ3" s="146"/>
      <c r="NOR3" s="146"/>
      <c r="NOS3" s="146"/>
      <c r="NOT3" s="146"/>
      <c r="NOU3" s="146"/>
      <c r="NOV3" s="146"/>
      <c r="NOW3" s="146"/>
      <c r="NOX3" s="146"/>
      <c r="NOY3" s="146"/>
      <c r="NOZ3" s="146"/>
      <c r="NPA3" s="146"/>
      <c r="NPB3" s="146"/>
      <c r="NPC3" s="146"/>
      <c r="NPD3" s="146"/>
      <c r="NPE3" s="146"/>
      <c r="NPF3" s="146"/>
      <c r="NPG3" s="146"/>
      <c r="NPH3" s="146"/>
      <c r="NPI3" s="146"/>
      <c r="NPJ3" s="146"/>
      <c r="NPK3" s="146"/>
      <c r="NPL3" s="146"/>
      <c r="NPM3" s="146"/>
      <c r="NPN3" s="146"/>
      <c r="NPO3" s="146"/>
      <c r="NPP3" s="146"/>
      <c r="NPQ3" s="146"/>
      <c r="NPR3" s="146"/>
      <c r="NPS3" s="146"/>
      <c r="NPT3" s="146"/>
      <c r="NPU3" s="146"/>
      <c r="NPV3" s="146"/>
      <c r="NPW3" s="146"/>
      <c r="NPX3" s="146"/>
      <c r="NPY3" s="146"/>
      <c r="NPZ3" s="146"/>
      <c r="NQA3" s="146"/>
      <c r="NQB3" s="146"/>
      <c r="NQC3" s="146"/>
      <c r="NQD3" s="146"/>
      <c r="NQE3" s="146"/>
      <c r="NQF3" s="146"/>
      <c r="NQG3" s="146"/>
      <c r="NQH3" s="146"/>
      <c r="NQI3" s="146"/>
      <c r="NQJ3" s="146"/>
      <c r="NQK3" s="146"/>
      <c r="NQL3" s="146"/>
      <c r="NQM3" s="146"/>
      <c r="NQN3" s="146"/>
      <c r="NQO3" s="146"/>
      <c r="NQP3" s="146"/>
      <c r="NQQ3" s="146"/>
      <c r="NQR3" s="146"/>
      <c r="NQS3" s="146"/>
      <c r="NQT3" s="146"/>
      <c r="NQU3" s="146"/>
      <c r="NQV3" s="146"/>
      <c r="NQW3" s="146"/>
      <c r="NQX3" s="146"/>
      <c r="NQY3" s="146"/>
      <c r="NQZ3" s="146"/>
      <c r="NRA3" s="146"/>
      <c r="NRB3" s="146"/>
      <c r="NRC3" s="146"/>
      <c r="NRD3" s="146"/>
      <c r="NRE3" s="146"/>
      <c r="NRF3" s="146"/>
      <c r="NRG3" s="146"/>
      <c r="NRH3" s="146"/>
      <c r="NRI3" s="146"/>
      <c r="NRJ3" s="146"/>
      <c r="NRK3" s="146"/>
      <c r="NRL3" s="146"/>
      <c r="NRM3" s="146"/>
      <c r="NRN3" s="146"/>
      <c r="NRO3" s="146"/>
      <c r="NRP3" s="146"/>
      <c r="NRQ3" s="146"/>
      <c r="NRR3" s="146"/>
      <c r="NRS3" s="146"/>
      <c r="NRT3" s="146"/>
      <c r="NRU3" s="146"/>
      <c r="NRV3" s="146"/>
      <c r="NRW3" s="146"/>
      <c r="NRX3" s="146"/>
      <c r="NRY3" s="146"/>
      <c r="NRZ3" s="146"/>
      <c r="NSA3" s="146"/>
      <c r="NSB3" s="146"/>
      <c r="NSC3" s="146"/>
      <c r="NSD3" s="146"/>
      <c r="NSE3" s="146"/>
      <c r="NSF3" s="146"/>
      <c r="NSG3" s="146"/>
      <c r="NSH3" s="146"/>
      <c r="NSI3" s="146"/>
      <c r="NSJ3" s="146"/>
      <c r="NSK3" s="146"/>
      <c r="NSL3" s="146"/>
      <c r="NSM3" s="146"/>
      <c r="NSN3" s="146"/>
      <c r="NSO3" s="146"/>
      <c r="NSP3" s="146"/>
      <c r="NSQ3" s="146"/>
      <c r="NSR3" s="146"/>
      <c r="NSS3" s="146"/>
      <c r="NST3" s="146"/>
      <c r="NSU3" s="146"/>
      <c r="NSV3" s="146"/>
      <c r="NSW3" s="146"/>
      <c r="NSX3" s="146"/>
      <c r="NSY3" s="146"/>
      <c r="NSZ3" s="146"/>
      <c r="NTA3" s="146"/>
      <c r="NTB3" s="146"/>
      <c r="NTC3" s="146"/>
      <c r="NTD3" s="146"/>
      <c r="NTE3" s="146"/>
      <c r="NTF3" s="146"/>
      <c r="NTG3" s="146"/>
      <c r="NTH3" s="146"/>
      <c r="NTI3" s="146"/>
      <c r="NTJ3" s="146"/>
      <c r="NTK3" s="146"/>
      <c r="NTL3" s="146"/>
      <c r="NTM3" s="146"/>
      <c r="NTN3" s="146"/>
      <c r="NTO3" s="146"/>
      <c r="NTP3" s="146"/>
      <c r="NTQ3" s="146"/>
      <c r="NTR3" s="146"/>
      <c r="NTS3" s="146"/>
      <c r="NTT3" s="146"/>
      <c r="NTU3" s="146"/>
      <c r="NTV3" s="146"/>
      <c r="NTW3" s="146"/>
      <c r="NTX3" s="146"/>
      <c r="NTY3" s="146"/>
      <c r="NTZ3" s="146"/>
      <c r="NUA3" s="146"/>
      <c r="NUB3" s="146"/>
      <c r="NUC3" s="146"/>
      <c r="NUD3" s="146"/>
      <c r="NUE3" s="146"/>
      <c r="NUF3" s="146"/>
      <c r="NUG3" s="146"/>
      <c r="NUH3" s="146"/>
      <c r="NUI3" s="146"/>
      <c r="NUJ3" s="146"/>
      <c r="NUK3" s="146"/>
      <c r="NUL3" s="146"/>
      <c r="NUM3" s="146"/>
      <c r="NUN3" s="146"/>
      <c r="NUO3" s="146"/>
      <c r="NUP3" s="146"/>
      <c r="NUQ3" s="146"/>
      <c r="NUR3" s="146"/>
      <c r="NUS3" s="146"/>
      <c r="NUT3" s="146"/>
      <c r="NUU3" s="146"/>
      <c r="NUV3" s="146"/>
      <c r="NUW3" s="146"/>
      <c r="NUX3" s="146"/>
      <c r="NUY3" s="146"/>
      <c r="NUZ3" s="146"/>
      <c r="NVA3" s="146"/>
      <c r="NVB3" s="146"/>
      <c r="NVC3" s="146"/>
      <c r="NVD3" s="146"/>
      <c r="NVE3" s="146"/>
      <c r="NVF3" s="146"/>
      <c r="NVG3" s="146"/>
      <c r="NVH3" s="146"/>
      <c r="NVI3" s="146"/>
      <c r="NVJ3" s="146"/>
      <c r="NVK3" s="146"/>
      <c r="NVL3" s="146"/>
      <c r="NVM3" s="146"/>
      <c r="NVN3" s="146"/>
      <c r="NVO3" s="146"/>
      <c r="NVP3" s="146"/>
      <c r="NVQ3" s="146"/>
      <c r="NVR3" s="146"/>
      <c r="NVS3" s="146"/>
      <c r="NVT3" s="146"/>
      <c r="NVU3" s="146"/>
      <c r="NVV3" s="146"/>
      <c r="NVW3" s="146"/>
      <c r="NVX3" s="146"/>
      <c r="NVY3" s="146"/>
      <c r="NVZ3" s="146"/>
      <c r="NWA3" s="146"/>
      <c r="NWB3" s="146"/>
      <c r="NWC3" s="146"/>
      <c r="NWD3" s="146"/>
      <c r="NWE3" s="146"/>
      <c r="NWF3" s="146"/>
      <c r="NWG3" s="146"/>
      <c r="NWH3" s="146"/>
      <c r="NWI3" s="146"/>
      <c r="NWJ3" s="146"/>
      <c r="NWK3" s="146"/>
      <c r="NWL3" s="146"/>
      <c r="NWM3" s="146"/>
      <c r="NWN3" s="146"/>
      <c r="NWO3" s="146"/>
      <c r="NWP3" s="146"/>
      <c r="NWQ3" s="146"/>
      <c r="NWR3" s="146"/>
      <c r="NWS3" s="146"/>
      <c r="NWT3" s="146"/>
      <c r="NWU3" s="146"/>
      <c r="NWV3" s="146"/>
      <c r="NWW3" s="146"/>
      <c r="NWX3" s="146"/>
      <c r="NWY3" s="146"/>
      <c r="NWZ3" s="146"/>
      <c r="NXA3" s="146"/>
      <c r="NXB3" s="146"/>
      <c r="NXC3" s="146"/>
      <c r="NXD3" s="146"/>
      <c r="NXE3" s="146"/>
      <c r="NXF3" s="146"/>
      <c r="NXG3" s="146"/>
      <c r="NXH3" s="146"/>
      <c r="NXI3" s="146"/>
      <c r="NXJ3" s="146"/>
      <c r="NXK3" s="146"/>
      <c r="NXL3" s="146"/>
      <c r="NXM3" s="146"/>
      <c r="NXN3" s="146"/>
      <c r="NXO3" s="146"/>
      <c r="NXP3" s="146"/>
      <c r="NXQ3" s="146"/>
      <c r="NXR3" s="146"/>
      <c r="NXS3" s="146"/>
      <c r="NXT3" s="146"/>
      <c r="NXU3" s="146"/>
      <c r="NXV3" s="146"/>
      <c r="NXW3" s="146"/>
      <c r="NXX3" s="146"/>
      <c r="NXY3" s="146"/>
      <c r="NXZ3" s="146"/>
      <c r="NYA3" s="146"/>
      <c r="NYB3" s="146"/>
      <c r="NYC3" s="146"/>
      <c r="NYD3" s="146"/>
      <c r="NYE3" s="146"/>
      <c r="NYF3" s="146"/>
      <c r="NYG3" s="146"/>
      <c r="NYH3" s="146"/>
      <c r="NYI3" s="146"/>
      <c r="NYJ3" s="146"/>
      <c r="NYK3" s="146"/>
      <c r="NYL3" s="146"/>
      <c r="NYM3" s="146"/>
      <c r="NYN3" s="146"/>
      <c r="NYO3" s="146"/>
      <c r="NYP3" s="146"/>
      <c r="NYQ3" s="146"/>
      <c r="NYR3" s="146"/>
      <c r="NYS3" s="146"/>
      <c r="NYT3" s="146"/>
      <c r="NYU3" s="146"/>
      <c r="NYV3" s="146"/>
      <c r="NYW3" s="146"/>
      <c r="NYX3" s="146"/>
      <c r="NYY3" s="146"/>
      <c r="NYZ3" s="146"/>
      <c r="NZA3" s="146"/>
      <c r="NZB3" s="146"/>
      <c r="NZC3" s="146"/>
      <c r="NZD3" s="146"/>
      <c r="NZE3" s="146"/>
      <c r="NZF3" s="146"/>
      <c r="NZG3" s="146"/>
      <c r="NZH3" s="146"/>
      <c r="NZI3" s="146"/>
      <c r="NZJ3" s="146"/>
      <c r="NZK3" s="146"/>
      <c r="NZL3" s="146"/>
      <c r="NZM3" s="146"/>
      <c r="NZN3" s="146"/>
      <c r="NZO3" s="146"/>
      <c r="NZP3" s="146"/>
      <c r="NZQ3" s="146"/>
      <c r="NZR3" s="146"/>
      <c r="NZS3" s="146"/>
      <c r="NZT3" s="146"/>
      <c r="NZU3" s="146"/>
      <c r="NZV3" s="146"/>
      <c r="NZW3" s="146"/>
      <c r="NZX3" s="146"/>
      <c r="NZY3" s="146"/>
      <c r="NZZ3" s="146"/>
      <c r="OAA3" s="146"/>
      <c r="OAB3" s="146"/>
      <c r="OAC3" s="146"/>
      <c r="OAD3" s="146"/>
      <c r="OAE3" s="146"/>
      <c r="OAF3" s="146"/>
      <c r="OAG3" s="146"/>
      <c r="OAH3" s="146"/>
      <c r="OAI3" s="146"/>
      <c r="OAJ3" s="146"/>
      <c r="OAK3" s="146"/>
      <c r="OAL3" s="146"/>
      <c r="OAM3" s="146"/>
      <c r="OAN3" s="146"/>
      <c r="OAO3" s="146"/>
      <c r="OAP3" s="146"/>
      <c r="OAQ3" s="146"/>
      <c r="OAR3" s="146"/>
      <c r="OAS3" s="146"/>
      <c r="OAT3" s="146"/>
      <c r="OAU3" s="146"/>
      <c r="OAV3" s="146"/>
      <c r="OAW3" s="146"/>
      <c r="OAX3" s="146"/>
      <c r="OAY3" s="146"/>
      <c r="OAZ3" s="146"/>
      <c r="OBA3" s="146"/>
      <c r="OBB3" s="146"/>
      <c r="OBC3" s="146"/>
      <c r="OBD3" s="146"/>
      <c r="OBE3" s="146"/>
      <c r="OBF3" s="146"/>
      <c r="OBG3" s="146"/>
      <c r="OBH3" s="146"/>
      <c r="OBI3" s="146"/>
      <c r="OBJ3" s="146"/>
      <c r="OBK3" s="146"/>
      <c r="OBL3" s="146"/>
      <c r="OBM3" s="146"/>
      <c r="OBN3" s="146"/>
      <c r="OBO3" s="146"/>
      <c r="OBP3" s="146"/>
      <c r="OBQ3" s="146"/>
      <c r="OBR3" s="146"/>
      <c r="OBS3" s="146"/>
      <c r="OBT3" s="146"/>
      <c r="OBU3" s="146"/>
      <c r="OBV3" s="146"/>
      <c r="OBW3" s="146"/>
      <c r="OBX3" s="146"/>
      <c r="OBY3" s="146"/>
      <c r="OBZ3" s="146"/>
      <c r="OCA3" s="146"/>
      <c r="OCB3" s="146"/>
      <c r="OCC3" s="146"/>
      <c r="OCD3" s="146"/>
      <c r="OCE3" s="146"/>
      <c r="OCF3" s="146"/>
      <c r="OCG3" s="146"/>
      <c r="OCH3" s="146"/>
      <c r="OCI3" s="146"/>
      <c r="OCJ3" s="146"/>
      <c r="OCK3" s="146"/>
      <c r="OCL3" s="146"/>
      <c r="OCM3" s="146"/>
      <c r="OCN3" s="146"/>
      <c r="OCO3" s="146"/>
      <c r="OCP3" s="146"/>
      <c r="OCQ3" s="146"/>
      <c r="OCR3" s="146"/>
      <c r="OCS3" s="146"/>
      <c r="OCT3" s="146"/>
      <c r="OCU3" s="146"/>
      <c r="OCV3" s="146"/>
      <c r="OCW3" s="146"/>
      <c r="OCX3" s="146"/>
      <c r="OCY3" s="146"/>
      <c r="OCZ3" s="146"/>
      <c r="ODA3" s="146"/>
      <c r="ODB3" s="146"/>
      <c r="ODC3" s="146"/>
      <c r="ODD3" s="146"/>
      <c r="ODE3" s="146"/>
      <c r="ODF3" s="146"/>
      <c r="ODG3" s="146"/>
      <c r="ODH3" s="146"/>
      <c r="ODI3" s="146"/>
      <c r="ODJ3" s="146"/>
      <c r="ODK3" s="146"/>
      <c r="ODL3" s="146"/>
      <c r="ODM3" s="146"/>
      <c r="ODN3" s="146"/>
      <c r="ODO3" s="146"/>
      <c r="ODP3" s="146"/>
      <c r="ODQ3" s="146"/>
      <c r="ODR3" s="146"/>
      <c r="ODS3" s="146"/>
      <c r="ODT3" s="146"/>
      <c r="ODU3" s="146"/>
      <c r="ODV3" s="146"/>
      <c r="ODW3" s="146"/>
      <c r="ODX3" s="146"/>
      <c r="ODY3" s="146"/>
      <c r="ODZ3" s="146"/>
      <c r="OEA3" s="146"/>
      <c r="OEB3" s="146"/>
      <c r="OEC3" s="146"/>
      <c r="OED3" s="146"/>
      <c r="OEE3" s="146"/>
      <c r="OEF3" s="146"/>
      <c r="OEG3" s="146"/>
      <c r="OEH3" s="146"/>
      <c r="OEI3" s="146"/>
      <c r="OEJ3" s="146"/>
      <c r="OEK3" s="146"/>
      <c r="OEL3" s="146"/>
      <c r="OEM3" s="146"/>
      <c r="OEN3" s="146"/>
      <c r="OEO3" s="146"/>
      <c r="OEP3" s="146"/>
      <c r="OEQ3" s="146"/>
      <c r="OER3" s="146"/>
      <c r="OES3" s="146"/>
      <c r="OET3" s="146"/>
      <c r="OEU3" s="146"/>
      <c r="OEV3" s="146"/>
      <c r="OEW3" s="146"/>
      <c r="OEX3" s="146"/>
      <c r="OEY3" s="146"/>
      <c r="OEZ3" s="146"/>
      <c r="OFA3" s="146"/>
      <c r="OFB3" s="146"/>
      <c r="OFC3" s="146"/>
      <c r="OFD3" s="146"/>
      <c r="OFE3" s="146"/>
      <c r="OFF3" s="146"/>
      <c r="OFG3" s="146"/>
      <c r="OFH3" s="146"/>
      <c r="OFI3" s="146"/>
      <c r="OFJ3" s="146"/>
      <c r="OFK3" s="146"/>
      <c r="OFL3" s="146"/>
      <c r="OFM3" s="146"/>
      <c r="OFN3" s="146"/>
      <c r="OFO3" s="146"/>
      <c r="OFP3" s="146"/>
      <c r="OFQ3" s="146"/>
      <c r="OFR3" s="146"/>
      <c r="OFS3" s="146"/>
      <c r="OFT3" s="146"/>
      <c r="OFU3" s="146"/>
      <c r="OFV3" s="146"/>
      <c r="OFW3" s="146"/>
      <c r="OFX3" s="146"/>
      <c r="OFY3" s="146"/>
      <c r="OFZ3" s="146"/>
      <c r="OGA3" s="146"/>
      <c r="OGB3" s="146"/>
      <c r="OGC3" s="146"/>
      <c r="OGD3" s="146"/>
      <c r="OGE3" s="146"/>
      <c r="OGF3" s="146"/>
      <c r="OGG3" s="146"/>
      <c r="OGH3" s="146"/>
      <c r="OGI3" s="146"/>
      <c r="OGJ3" s="146"/>
      <c r="OGK3" s="146"/>
      <c r="OGL3" s="146"/>
      <c r="OGM3" s="146"/>
      <c r="OGN3" s="146"/>
      <c r="OGO3" s="146"/>
      <c r="OGP3" s="146"/>
      <c r="OGQ3" s="146"/>
      <c r="OGR3" s="146"/>
      <c r="OGS3" s="146"/>
      <c r="OGT3" s="146"/>
      <c r="OGU3" s="146"/>
      <c r="OGV3" s="146"/>
      <c r="OGW3" s="146"/>
      <c r="OGX3" s="146"/>
      <c r="OGY3" s="146"/>
      <c r="OGZ3" s="146"/>
      <c r="OHA3" s="146"/>
      <c r="OHB3" s="146"/>
      <c r="OHC3" s="146"/>
      <c r="OHD3" s="146"/>
      <c r="OHE3" s="146"/>
      <c r="OHF3" s="146"/>
      <c r="OHG3" s="146"/>
      <c r="OHH3" s="146"/>
      <c r="OHI3" s="146"/>
      <c r="OHJ3" s="146"/>
      <c r="OHK3" s="146"/>
      <c r="OHL3" s="146"/>
      <c r="OHM3" s="146"/>
      <c r="OHN3" s="146"/>
      <c r="OHO3" s="146"/>
      <c r="OHP3" s="146"/>
      <c r="OHQ3" s="146"/>
      <c r="OHR3" s="146"/>
      <c r="OHS3" s="146"/>
      <c r="OHT3" s="146"/>
      <c r="OHU3" s="146"/>
      <c r="OHV3" s="146"/>
      <c r="OHW3" s="146"/>
      <c r="OHX3" s="146"/>
      <c r="OHY3" s="146"/>
      <c r="OHZ3" s="146"/>
      <c r="OIA3" s="146"/>
      <c r="OIB3" s="146"/>
      <c r="OIC3" s="146"/>
      <c r="OID3" s="146"/>
      <c r="OIE3" s="146"/>
      <c r="OIF3" s="146"/>
      <c r="OIG3" s="146"/>
      <c r="OIH3" s="146"/>
      <c r="OII3" s="146"/>
      <c r="OIJ3" s="146"/>
      <c r="OIK3" s="146"/>
      <c r="OIL3" s="146"/>
      <c r="OIM3" s="146"/>
      <c r="OIN3" s="146"/>
      <c r="OIO3" s="146"/>
      <c r="OIP3" s="146"/>
      <c r="OIQ3" s="146"/>
      <c r="OIR3" s="146"/>
      <c r="OIS3" s="146"/>
      <c r="OIT3" s="146"/>
      <c r="OIU3" s="146"/>
      <c r="OIV3" s="146"/>
      <c r="OIW3" s="146"/>
      <c r="OIX3" s="146"/>
      <c r="OIY3" s="146"/>
      <c r="OIZ3" s="146"/>
      <c r="OJA3" s="146"/>
      <c r="OJB3" s="146"/>
      <c r="OJC3" s="146"/>
      <c r="OJD3" s="146"/>
      <c r="OJE3" s="146"/>
      <c r="OJF3" s="146"/>
      <c r="OJG3" s="146"/>
      <c r="OJH3" s="146"/>
      <c r="OJI3" s="146"/>
      <c r="OJJ3" s="146"/>
      <c r="OJK3" s="146"/>
      <c r="OJL3" s="146"/>
      <c r="OJM3" s="146"/>
      <c r="OJN3" s="146"/>
      <c r="OJO3" s="146"/>
      <c r="OJP3" s="146"/>
      <c r="OJQ3" s="146"/>
      <c r="OJR3" s="146"/>
      <c r="OJS3" s="146"/>
      <c r="OJT3" s="146"/>
      <c r="OJU3" s="146"/>
      <c r="OJV3" s="146"/>
      <c r="OJW3" s="146"/>
      <c r="OJX3" s="146"/>
      <c r="OJY3" s="146"/>
      <c r="OJZ3" s="146"/>
      <c r="OKA3" s="146"/>
      <c r="OKB3" s="146"/>
      <c r="OKC3" s="146"/>
      <c r="OKD3" s="146"/>
      <c r="OKE3" s="146"/>
      <c r="OKF3" s="146"/>
      <c r="OKG3" s="146"/>
      <c r="OKH3" s="146"/>
      <c r="OKI3" s="146"/>
      <c r="OKJ3" s="146"/>
      <c r="OKK3" s="146"/>
      <c r="OKL3" s="146"/>
      <c r="OKM3" s="146"/>
      <c r="OKN3" s="146"/>
      <c r="OKO3" s="146"/>
      <c r="OKP3" s="146"/>
      <c r="OKQ3" s="146"/>
      <c r="OKR3" s="146"/>
      <c r="OKS3" s="146"/>
      <c r="OKT3" s="146"/>
      <c r="OKU3" s="146"/>
      <c r="OKV3" s="146"/>
      <c r="OKW3" s="146"/>
      <c r="OKX3" s="146"/>
      <c r="OKY3" s="146"/>
      <c r="OKZ3" s="146"/>
      <c r="OLA3" s="146"/>
      <c r="OLB3" s="146"/>
      <c r="OLC3" s="146"/>
      <c r="OLD3" s="146"/>
      <c r="OLE3" s="146"/>
      <c r="OLF3" s="146"/>
      <c r="OLG3" s="146"/>
      <c r="OLH3" s="146"/>
      <c r="OLI3" s="146"/>
      <c r="OLJ3" s="146"/>
      <c r="OLK3" s="146"/>
      <c r="OLL3" s="146"/>
      <c r="OLM3" s="146"/>
      <c r="OLN3" s="146"/>
      <c r="OLO3" s="146"/>
      <c r="OLP3" s="146"/>
      <c r="OLQ3" s="146"/>
      <c r="OLR3" s="146"/>
      <c r="OLS3" s="146"/>
      <c r="OLT3" s="146"/>
      <c r="OLU3" s="146"/>
      <c r="OLV3" s="146"/>
      <c r="OLW3" s="146"/>
      <c r="OLX3" s="146"/>
      <c r="OLY3" s="146"/>
      <c r="OLZ3" s="146"/>
      <c r="OMA3" s="146"/>
      <c r="OMB3" s="146"/>
      <c r="OMC3" s="146"/>
      <c r="OMD3" s="146"/>
      <c r="OME3" s="146"/>
      <c r="OMF3" s="146"/>
      <c r="OMG3" s="146"/>
      <c r="OMH3" s="146"/>
      <c r="OMI3" s="146"/>
      <c r="OMJ3" s="146"/>
      <c r="OMK3" s="146"/>
      <c r="OML3" s="146"/>
      <c r="OMM3" s="146"/>
      <c r="OMN3" s="146"/>
      <c r="OMO3" s="146"/>
      <c r="OMP3" s="146"/>
      <c r="OMQ3" s="146"/>
      <c r="OMR3" s="146"/>
      <c r="OMS3" s="146"/>
      <c r="OMT3" s="146"/>
      <c r="OMU3" s="146"/>
      <c r="OMV3" s="146"/>
      <c r="OMW3" s="146"/>
      <c r="OMX3" s="146"/>
      <c r="OMY3" s="146"/>
      <c r="OMZ3" s="146"/>
      <c r="ONA3" s="146"/>
      <c r="ONB3" s="146"/>
      <c r="ONC3" s="146"/>
      <c r="OND3" s="146"/>
      <c r="ONE3" s="146"/>
      <c r="ONF3" s="146"/>
      <c r="ONG3" s="146"/>
      <c r="ONH3" s="146"/>
      <c r="ONI3" s="146"/>
      <c r="ONJ3" s="146"/>
      <c r="ONK3" s="146"/>
      <c r="ONL3" s="146"/>
      <c r="ONM3" s="146"/>
      <c r="ONN3" s="146"/>
      <c r="ONO3" s="146"/>
      <c r="ONP3" s="146"/>
      <c r="ONQ3" s="146"/>
      <c r="ONR3" s="146"/>
      <c r="ONS3" s="146"/>
      <c r="ONT3" s="146"/>
      <c r="ONU3" s="146"/>
      <c r="ONV3" s="146"/>
      <c r="ONW3" s="146"/>
      <c r="ONX3" s="146"/>
      <c r="ONY3" s="146"/>
      <c r="ONZ3" s="146"/>
      <c r="OOA3" s="146"/>
      <c r="OOB3" s="146"/>
      <c r="OOC3" s="146"/>
      <c r="OOD3" s="146"/>
      <c r="OOE3" s="146"/>
      <c r="OOF3" s="146"/>
      <c r="OOG3" s="146"/>
      <c r="OOH3" s="146"/>
      <c r="OOI3" s="146"/>
      <c r="OOJ3" s="146"/>
      <c r="OOK3" s="146"/>
      <c r="OOL3" s="146"/>
      <c r="OOM3" s="146"/>
      <c r="OON3" s="146"/>
      <c r="OOO3" s="146"/>
      <c r="OOP3" s="146"/>
      <c r="OOQ3" s="146"/>
      <c r="OOR3" s="146"/>
      <c r="OOS3" s="146"/>
      <c r="OOT3" s="146"/>
      <c r="OOU3" s="146"/>
      <c r="OOV3" s="146"/>
      <c r="OOW3" s="146"/>
      <c r="OOX3" s="146"/>
      <c r="OOY3" s="146"/>
      <c r="OOZ3" s="146"/>
      <c r="OPA3" s="146"/>
      <c r="OPB3" s="146"/>
      <c r="OPC3" s="146"/>
      <c r="OPD3" s="146"/>
      <c r="OPE3" s="146"/>
      <c r="OPF3" s="146"/>
      <c r="OPG3" s="146"/>
      <c r="OPH3" s="146"/>
      <c r="OPI3" s="146"/>
      <c r="OPJ3" s="146"/>
      <c r="OPK3" s="146"/>
      <c r="OPL3" s="146"/>
      <c r="OPM3" s="146"/>
      <c r="OPN3" s="146"/>
      <c r="OPO3" s="146"/>
      <c r="OPP3" s="146"/>
      <c r="OPQ3" s="146"/>
      <c r="OPR3" s="146"/>
      <c r="OPS3" s="146"/>
      <c r="OPT3" s="146"/>
      <c r="OPU3" s="146"/>
      <c r="OPV3" s="146"/>
      <c r="OPW3" s="146"/>
      <c r="OPX3" s="146"/>
      <c r="OPY3" s="146"/>
      <c r="OPZ3" s="146"/>
      <c r="OQA3" s="146"/>
      <c r="OQB3" s="146"/>
      <c r="OQC3" s="146"/>
      <c r="OQD3" s="146"/>
      <c r="OQE3" s="146"/>
      <c r="OQF3" s="146"/>
      <c r="OQG3" s="146"/>
      <c r="OQH3" s="146"/>
      <c r="OQI3" s="146"/>
      <c r="OQJ3" s="146"/>
      <c r="OQK3" s="146"/>
      <c r="OQL3" s="146"/>
      <c r="OQM3" s="146"/>
      <c r="OQN3" s="146"/>
      <c r="OQO3" s="146"/>
      <c r="OQP3" s="146"/>
      <c r="OQQ3" s="146"/>
      <c r="OQR3" s="146"/>
      <c r="OQS3" s="146"/>
      <c r="OQT3" s="146"/>
      <c r="OQU3" s="146"/>
      <c r="OQV3" s="146"/>
      <c r="OQW3" s="146"/>
      <c r="OQX3" s="146"/>
      <c r="OQY3" s="146"/>
      <c r="OQZ3" s="146"/>
      <c r="ORA3" s="146"/>
      <c r="ORB3" s="146"/>
      <c r="ORC3" s="146"/>
      <c r="ORD3" s="146"/>
      <c r="ORE3" s="146"/>
      <c r="ORF3" s="146"/>
      <c r="ORG3" s="146"/>
      <c r="ORH3" s="146"/>
      <c r="ORI3" s="146"/>
      <c r="ORJ3" s="146"/>
      <c r="ORK3" s="146"/>
      <c r="ORL3" s="146"/>
      <c r="ORM3" s="146"/>
      <c r="ORN3" s="146"/>
      <c r="ORO3" s="146"/>
      <c r="ORP3" s="146"/>
      <c r="ORQ3" s="146"/>
      <c r="ORR3" s="146"/>
      <c r="ORS3" s="146"/>
      <c r="ORT3" s="146"/>
      <c r="ORU3" s="146"/>
      <c r="ORV3" s="146"/>
      <c r="ORW3" s="146"/>
      <c r="ORX3" s="146"/>
      <c r="ORY3" s="146"/>
      <c r="ORZ3" s="146"/>
      <c r="OSA3" s="146"/>
      <c r="OSB3" s="146"/>
      <c r="OSC3" s="146"/>
      <c r="OSD3" s="146"/>
      <c r="OSE3" s="146"/>
      <c r="OSF3" s="146"/>
      <c r="OSG3" s="146"/>
      <c r="OSH3" s="146"/>
      <c r="OSI3" s="146"/>
      <c r="OSJ3" s="146"/>
      <c r="OSK3" s="146"/>
      <c r="OSL3" s="146"/>
      <c r="OSM3" s="146"/>
      <c r="OSN3" s="146"/>
      <c r="OSO3" s="146"/>
      <c r="OSP3" s="146"/>
      <c r="OSQ3" s="146"/>
      <c r="OSR3" s="146"/>
      <c r="OSS3" s="146"/>
      <c r="OST3" s="146"/>
      <c r="OSU3" s="146"/>
      <c r="OSV3" s="146"/>
      <c r="OSW3" s="146"/>
      <c r="OSX3" s="146"/>
      <c r="OSY3" s="146"/>
      <c r="OSZ3" s="146"/>
      <c r="OTA3" s="146"/>
      <c r="OTB3" s="146"/>
      <c r="OTC3" s="146"/>
      <c r="OTD3" s="146"/>
      <c r="OTE3" s="146"/>
      <c r="OTF3" s="146"/>
      <c r="OTG3" s="146"/>
      <c r="OTH3" s="146"/>
      <c r="OTI3" s="146"/>
      <c r="OTJ3" s="146"/>
      <c r="OTK3" s="146"/>
      <c r="OTL3" s="146"/>
      <c r="OTM3" s="146"/>
      <c r="OTN3" s="146"/>
      <c r="OTO3" s="146"/>
      <c r="OTP3" s="146"/>
      <c r="OTQ3" s="146"/>
      <c r="OTR3" s="146"/>
      <c r="OTS3" s="146"/>
      <c r="OTT3" s="146"/>
      <c r="OTU3" s="146"/>
      <c r="OTV3" s="146"/>
      <c r="OTW3" s="146"/>
      <c r="OTX3" s="146"/>
      <c r="OTY3" s="146"/>
      <c r="OTZ3" s="146"/>
      <c r="OUA3" s="146"/>
      <c r="OUB3" s="146"/>
      <c r="OUC3" s="146"/>
      <c r="OUD3" s="146"/>
      <c r="OUE3" s="146"/>
      <c r="OUF3" s="146"/>
      <c r="OUG3" s="146"/>
      <c r="OUH3" s="146"/>
      <c r="OUI3" s="146"/>
      <c r="OUJ3" s="146"/>
      <c r="OUK3" s="146"/>
      <c r="OUL3" s="146"/>
      <c r="OUM3" s="146"/>
      <c r="OUN3" s="146"/>
      <c r="OUO3" s="146"/>
      <c r="OUP3" s="146"/>
      <c r="OUQ3" s="146"/>
      <c r="OUR3" s="146"/>
      <c r="OUS3" s="146"/>
      <c r="OUT3" s="146"/>
      <c r="OUU3" s="146"/>
      <c r="OUV3" s="146"/>
      <c r="OUW3" s="146"/>
      <c r="OUX3" s="146"/>
      <c r="OUY3" s="146"/>
      <c r="OUZ3" s="146"/>
      <c r="OVA3" s="146"/>
      <c r="OVB3" s="146"/>
      <c r="OVC3" s="146"/>
      <c r="OVD3" s="146"/>
      <c r="OVE3" s="146"/>
      <c r="OVF3" s="146"/>
      <c r="OVG3" s="146"/>
      <c r="OVH3" s="146"/>
      <c r="OVI3" s="146"/>
      <c r="OVJ3" s="146"/>
      <c r="OVK3" s="146"/>
      <c r="OVL3" s="146"/>
      <c r="OVM3" s="146"/>
      <c r="OVN3" s="146"/>
      <c r="OVO3" s="146"/>
      <c r="OVP3" s="146"/>
      <c r="OVQ3" s="146"/>
      <c r="OVR3" s="146"/>
      <c r="OVS3" s="146"/>
      <c r="OVT3" s="146"/>
      <c r="OVU3" s="146"/>
      <c r="OVV3" s="146"/>
      <c r="OVW3" s="146"/>
      <c r="OVX3" s="146"/>
      <c r="OVY3" s="146"/>
      <c r="OVZ3" s="146"/>
      <c r="OWA3" s="146"/>
      <c r="OWB3" s="146"/>
      <c r="OWC3" s="146"/>
      <c r="OWD3" s="146"/>
      <c r="OWE3" s="146"/>
      <c r="OWF3" s="146"/>
      <c r="OWG3" s="146"/>
      <c r="OWH3" s="146"/>
      <c r="OWI3" s="146"/>
      <c r="OWJ3" s="146"/>
      <c r="OWK3" s="146"/>
      <c r="OWL3" s="146"/>
      <c r="OWM3" s="146"/>
      <c r="OWN3" s="146"/>
      <c r="OWO3" s="146"/>
      <c r="OWP3" s="146"/>
      <c r="OWQ3" s="146"/>
      <c r="OWR3" s="146"/>
      <c r="OWS3" s="146"/>
      <c r="OWT3" s="146"/>
      <c r="OWU3" s="146"/>
      <c r="OWV3" s="146"/>
      <c r="OWW3" s="146"/>
      <c r="OWX3" s="146"/>
      <c r="OWY3" s="146"/>
      <c r="OWZ3" s="146"/>
      <c r="OXA3" s="146"/>
      <c r="OXB3" s="146"/>
      <c r="OXC3" s="146"/>
      <c r="OXD3" s="146"/>
      <c r="OXE3" s="146"/>
      <c r="OXF3" s="146"/>
      <c r="OXG3" s="146"/>
      <c r="OXH3" s="146"/>
      <c r="OXI3" s="146"/>
      <c r="OXJ3" s="146"/>
      <c r="OXK3" s="146"/>
      <c r="OXL3" s="146"/>
      <c r="OXM3" s="146"/>
      <c r="OXN3" s="146"/>
      <c r="OXO3" s="146"/>
      <c r="OXP3" s="146"/>
      <c r="OXQ3" s="146"/>
      <c r="OXR3" s="146"/>
      <c r="OXS3" s="146"/>
      <c r="OXT3" s="146"/>
      <c r="OXU3" s="146"/>
      <c r="OXV3" s="146"/>
      <c r="OXW3" s="146"/>
      <c r="OXX3" s="146"/>
      <c r="OXY3" s="146"/>
      <c r="OXZ3" s="146"/>
      <c r="OYA3" s="146"/>
      <c r="OYB3" s="146"/>
      <c r="OYC3" s="146"/>
      <c r="OYD3" s="146"/>
      <c r="OYE3" s="146"/>
      <c r="OYF3" s="146"/>
      <c r="OYG3" s="146"/>
      <c r="OYH3" s="146"/>
      <c r="OYI3" s="146"/>
      <c r="OYJ3" s="146"/>
      <c r="OYK3" s="146"/>
      <c r="OYL3" s="146"/>
      <c r="OYM3" s="146"/>
      <c r="OYN3" s="146"/>
      <c r="OYO3" s="146"/>
      <c r="OYP3" s="146"/>
      <c r="OYQ3" s="146"/>
      <c r="OYR3" s="146"/>
      <c r="OYS3" s="146"/>
      <c r="OYT3" s="146"/>
      <c r="OYU3" s="146"/>
      <c r="OYV3" s="146"/>
      <c r="OYW3" s="146"/>
      <c r="OYX3" s="146"/>
      <c r="OYY3" s="146"/>
      <c r="OYZ3" s="146"/>
      <c r="OZA3" s="146"/>
      <c r="OZB3" s="146"/>
      <c r="OZC3" s="146"/>
      <c r="OZD3" s="146"/>
      <c r="OZE3" s="146"/>
      <c r="OZF3" s="146"/>
      <c r="OZG3" s="146"/>
      <c r="OZH3" s="146"/>
      <c r="OZI3" s="146"/>
      <c r="OZJ3" s="146"/>
      <c r="OZK3" s="146"/>
      <c r="OZL3" s="146"/>
      <c r="OZM3" s="146"/>
      <c r="OZN3" s="146"/>
      <c r="OZO3" s="146"/>
      <c r="OZP3" s="146"/>
      <c r="OZQ3" s="146"/>
      <c r="OZR3" s="146"/>
      <c r="OZS3" s="146"/>
      <c r="OZT3" s="146"/>
      <c r="OZU3" s="146"/>
      <c r="OZV3" s="146"/>
      <c r="OZW3" s="146"/>
      <c r="OZX3" s="146"/>
      <c r="OZY3" s="146"/>
      <c r="OZZ3" s="146"/>
      <c r="PAA3" s="146"/>
      <c r="PAB3" s="146"/>
      <c r="PAC3" s="146"/>
      <c r="PAD3" s="146"/>
      <c r="PAE3" s="146"/>
      <c r="PAF3" s="146"/>
      <c r="PAG3" s="146"/>
      <c r="PAH3" s="146"/>
      <c r="PAI3" s="146"/>
      <c r="PAJ3" s="146"/>
      <c r="PAK3" s="146"/>
      <c r="PAL3" s="146"/>
      <c r="PAM3" s="146"/>
      <c r="PAN3" s="146"/>
      <c r="PAO3" s="146"/>
      <c r="PAP3" s="146"/>
      <c r="PAQ3" s="146"/>
      <c r="PAR3" s="146"/>
      <c r="PAS3" s="146"/>
      <c r="PAT3" s="146"/>
      <c r="PAU3" s="146"/>
      <c r="PAV3" s="146"/>
      <c r="PAW3" s="146"/>
      <c r="PAX3" s="146"/>
      <c r="PAY3" s="146"/>
      <c r="PAZ3" s="146"/>
      <c r="PBA3" s="146"/>
      <c r="PBB3" s="146"/>
      <c r="PBC3" s="146"/>
      <c r="PBD3" s="146"/>
      <c r="PBE3" s="146"/>
      <c r="PBF3" s="146"/>
      <c r="PBG3" s="146"/>
      <c r="PBH3" s="146"/>
      <c r="PBI3" s="146"/>
      <c r="PBJ3" s="146"/>
      <c r="PBK3" s="146"/>
      <c r="PBL3" s="146"/>
      <c r="PBM3" s="146"/>
      <c r="PBN3" s="146"/>
      <c r="PBO3" s="146"/>
      <c r="PBP3" s="146"/>
      <c r="PBQ3" s="146"/>
      <c r="PBR3" s="146"/>
      <c r="PBS3" s="146"/>
      <c r="PBT3" s="146"/>
      <c r="PBU3" s="146"/>
      <c r="PBV3" s="146"/>
      <c r="PBW3" s="146"/>
      <c r="PBX3" s="146"/>
      <c r="PBY3" s="146"/>
      <c r="PBZ3" s="146"/>
      <c r="PCA3" s="146"/>
      <c r="PCB3" s="146"/>
      <c r="PCC3" s="146"/>
      <c r="PCD3" s="146"/>
      <c r="PCE3" s="146"/>
      <c r="PCF3" s="146"/>
      <c r="PCG3" s="146"/>
      <c r="PCH3" s="146"/>
      <c r="PCI3" s="146"/>
      <c r="PCJ3" s="146"/>
      <c r="PCK3" s="146"/>
      <c r="PCL3" s="146"/>
      <c r="PCM3" s="146"/>
      <c r="PCN3" s="146"/>
      <c r="PCO3" s="146"/>
      <c r="PCP3" s="146"/>
      <c r="PCQ3" s="146"/>
      <c r="PCR3" s="146"/>
      <c r="PCS3" s="146"/>
      <c r="PCT3" s="146"/>
      <c r="PCU3" s="146"/>
      <c r="PCV3" s="146"/>
      <c r="PCW3" s="146"/>
      <c r="PCX3" s="146"/>
      <c r="PCY3" s="146"/>
      <c r="PCZ3" s="146"/>
      <c r="PDA3" s="146"/>
      <c r="PDB3" s="146"/>
      <c r="PDC3" s="146"/>
      <c r="PDD3" s="146"/>
      <c r="PDE3" s="146"/>
      <c r="PDF3" s="146"/>
      <c r="PDG3" s="146"/>
      <c r="PDH3" s="146"/>
      <c r="PDI3" s="146"/>
      <c r="PDJ3" s="146"/>
      <c r="PDK3" s="146"/>
      <c r="PDL3" s="146"/>
      <c r="PDM3" s="146"/>
      <c r="PDN3" s="146"/>
      <c r="PDO3" s="146"/>
      <c r="PDP3" s="146"/>
      <c r="PDQ3" s="146"/>
      <c r="PDR3" s="146"/>
      <c r="PDS3" s="146"/>
      <c r="PDT3" s="146"/>
      <c r="PDU3" s="146"/>
      <c r="PDV3" s="146"/>
      <c r="PDW3" s="146"/>
      <c r="PDX3" s="146"/>
      <c r="PDY3" s="146"/>
      <c r="PDZ3" s="146"/>
      <c r="PEA3" s="146"/>
      <c r="PEB3" s="146"/>
      <c r="PEC3" s="146"/>
      <c r="PED3" s="146"/>
      <c r="PEE3" s="146"/>
      <c r="PEF3" s="146"/>
      <c r="PEG3" s="146"/>
      <c r="PEH3" s="146"/>
      <c r="PEI3" s="146"/>
      <c r="PEJ3" s="146"/>
      <c r="PEK3" s="146"/>
      <c r="PEL3" s="146"/>
      <c r="PEM3" s="146"/>
      <c r="PEN3" s="146"/>
      <c r="PEO3" s="146"/>
      <c r="PEP3" s="146"/>
      <c r="PEQ3" s="146"/>
      <c r="PER3" s="146"/>
      <c r="PES3" s="146"/>
      <c r="PET3" s="146"/>
      <c r="PEU3" s="146"/>
      <c r="PEV3" s="146"/>
      <c r="PEW3" s="146"/>
      <c r="PEX3" s="146"/>
      <c r="PEY3" s="146"/>
      <c r="PEZ3" s="146"/>
      <c r="PFA3" s="146"/>
      <c r="PFB3" s="146"/>
      <c r="PFC3" s="146"/>
      <c r="PFD3" s="146"/>
      <c r="PFE3" s="146"/>
      <c r="PFF3" s="146"/>
      <c r="PFG3" s="146"/>
      <c r="PFH3" s="146"/>
      <c r="PFI3" s="146"/>
      <c r="PFJ3" s="146"/>
      <c r="PFK3" s="146"/>
      <c r="PFL3" s="146"/>
      <c r="PFM3" s="146"/>
      <c r="PFN3" s="146"/>
      <c r="PFO3" s="146"/>
      <c r="PFP3" s="146"/>
      <c r="PFQ3" s="146"/>
      <c r="PFR3" s="146"/>
      <c r="PFS3" s="146"/>
      <c r="PFT3" s="146"/>
      <c r="PFU3" s="146"/>
      <c r="PFV3" s="146"/>
      <c r="PFW3" s="146"/>
      <c r="PFX3" s="146"/>
      <c r="PFY3" s="146"/>
      <c r="PFZ3" s="146"/>
      <c r="PGA3" s="146"/>
      <c r="PGB3" s="146"/>
      <c r="PGC3" s="146"/>
      <c r="PGD3" s="146"/>
      <c r="PGE3" s="146"/>
      <c r="PGF3" s="146"/>
      <c r="PGG3" s="146"/>
      <c r="PGH3" s="146"/>
      <c r="PGI3" s="146"/>
      <c r="PGJ3" s="146"/>
      <c r="PGK3" s="146"/>
      <c r="PGL3" s="146"/>
      <c r="PGM3" s="146"/>
      <c r="PGN3" s="146"/>
      <c r="PGO3" s="146"/>
      <c r="PGP3" s="146"/>
      <c r="PGQ3" s="146"/>
      <c r="PGR3" s="146"/>
      <c r="PGS3" s="146"/>
      <c r="PGT3" s="146"/>
      <c r="PGU3" s="146"/>
      <c r="PGV3" s="146"/>
      <c r="PGW3" s="146"/>
      <c r="PGX3" s="146"/>
      <c r="PGY3" s="146"/>
      <c r="PGZ3" s="146"/>
      <c r="PHA3" s="146"/>
      <c r="PHB3" s="146"/>
      <c r="PHC3" s="146"/>
      <c r="PHD3" s="146"/>
      <c r="PHE3" s="146"/>
      <c r="PHF3" s="146"/>
      <c r="PHG3" s="146"/>
      <c r="PHH3" s="146"/>
      <c r="PHI3" s="146"/>
      <c r="PHJ3" s="146"/>
      <c r="PHK3" s="146"/>
      <c r="PHL3" s="146"/>
      <c r="PHM3" s="146"/>
      <c r="PHN3" s="146"/>
      <c r="PHO3" s="146"/>
      <c r="PHP3" s="146"/>
      <c r="PHQ3" s="146"/>
      <c r="PHR3" s="146"/>
      <c r="PHS3" s="146"/>
      <c r="PHT3" s="146"/>
      <c r="PHU3" s="146"/>
      <c r="PHV3" s="146"/>
      <c r="PHW3" s="146"/>
      <c r="PHX3" s="146"/>
      <c r="PHY3" s="146"/>
      <c r="PHZ3" s="146"/>
      <c r="PIA3" s="146"/>
      <c r="PIB3" s="146"/>
      <c r="PIC3" s="146"/>
      <c r="PID3" s="146"/>
      <c r="PIE3" s="146"/>
      <c r="PIF3" s="146"/>
      <c r="PIG3" s="146"/>
      <c r="PIH3" s="146"/>
      <c r="PII3" s="146"/>
      <c r="PIJ3" s="146"/>
      <c r="PIK3" s="146"/>
      <c r="PIL3" s="146"/>
      <c r="PIM3" s="146"/>
      <c r="PIN3" s="146"/>
      <c r="PIO3" s="146"/>
      <c r="PIP3" s="146"/>
      <c r="PIQ3" s="146"/>
      <c r="PIR3" s="146"/>
      <c r="PIS3" s="146"/>
      <c r="PIT3" s="146"/>
      <c r="PIU3" s="146"/>
      <c r="PIV3" s="146"/>
      <c r="PIW3" s="146"/>
      <c r="PIX3" s="146"/>
      <c r="PIY3" s="146"/>
      <c r="PIZ3" s="146"/>
      <c r="PJA3" s="146"/>
      <c r="PJB3" s="146"/>
      <c r="PJC3" s="146"/>
      <c r="PJD3" s="146"/>
      <c r="PJE3" s="146"/>
      <c r="PJF3" s="146"/>
      <c r="PJG3" s="146"/>
      <c r="PJH3" s="146"/>
      <c r="PJI3" s="146"/>
      <c r="PJJ3" s="146"/>
      <c r="PJK3" s="146"/>
      <c r="PJL3" s="146"/>
      <c r="PJM3" s="146"/>
      <c r="PJN3" s="146"/>
      <c r="PJO3" s="146"/>
      <c r="PJP3" s="146"/>
      <c r="PJQ3" s="146"/>
      <c r="PJR3" s="146"/>
      <c r="PJS3" s="146"/>
      <c r="PJT3" s="146"/>
      <c r="PJU3" s="146"/>
      <c r="PJV3" s="146"/>
      <c r="PJW3" s="146"/>
      <c r="PJX3" s="146"/>
      <c r="PJY3" s="146"/>
      <c r="PJZ3" s="146"/>
      <c r="PKA3" s="146"/>
      <c r="PKB3" s="146"/>
      <c r="PKC3" s="146"/>
      <c r="PKD3" s="146"/>
      <c r="PKE3" s="146"/>
      <c r="PKF3" s="146"/>
      <c r="PKG3" s="146"/>
      <c r="PKH3" s="146"/>
      <c r="PKI3" s="146"/>
      <c r="PKJ3" s="146"/>
      <c r="PKK3" s="146"/>
      <c r="PKL3" s="146"/>
      <c r="PKM3" s="146"/>
      <c r="PKN3" s="146"/>
      <c r="PKO3" s="146"/>
      <c r="PKP3" s="146"/>
      <c r="PKQ3" s="146"/>
      <c r="PKR3" s="146"/>
      <c r="PKS3" s="146"/>
      <c r="PKT3" s="146"/>
      <c r="PKU3" s="146"/>
      <c r="PKV3" s="146"/>
      <c r="PKW3" s="146"/>
      <c r="PKX3" s="146"/>
      <c r="PKY3" s="146"/>
      <c r="PKZ3" s="146"/>
      <c r="PLA3" s="146"/>
      <c r="PLB3" s="146"/>
      <c r="PLC3" s="146"/>
      <c r="PLD3" s="146"/>
      <c r="PLE3" s="146"/>
      <c r="PLF3" s="146"/>
      <c r="PLG3" s="146"/>
      <c r="PLH3" s="146"/>
      <c r="PLI3" s="146"/>
      <c r="PLJ3" s="146"/>
      <c r="PLK3" s="146"/>
      <c r="PLL3" s="146"/>
      <c r="PLM3" s="146"/>
      <c r="PLN3" s="146"/>
      <c r="PLO3" s="146"/>
      <c r="PLP3" s="146"/>
      <c r="PLQ3" s="146"/>
      <c r="PLR3" s="146"/>
      <c r="PLS3" s="146"/>
      <c r="PLT3" s="146"/>
      <c r="PLU3" s="146"/>
      <c r="PLV3" s="146"/>
      <c r="PLW3" s="146"/>
      <c r="PLX3" s="146"/>
      <c r="PLY3" s="146"/>
      <c r="PLZ3" s="146"/>
      <c r="PMA3" s="146"/>
      <c r="PMB3" s="146"/>
      <c r="PMC3" s="146"/>
      <c r="PMD3" s="146"/>
      <c r="PME3" s="146"/>
      <c r="PMF3" s="146"/>
      <c r="PMG3" s="146"/>
      <c r="PMH3" s="146"/>
      <c r="PMI3" s="146"/>
      <c r="PMJ3" s="146"/>
      <c r="PMK3" s="146"/>
      <c r="PML3" s="146"/>
      <c r="PMM3" s="146"/>
      <c r="PMN3" s="146"/>
      <c r="PMO3" s="146"/>
      <c r="PMP3" s="146"/>
      <c r="PMQ3" s="146"/>
      <c r="PMR3" s="146"/>
      <c r="PMS3" s="146"/>
      <c r="PMT3" s="146"/>
      <c r="PMU3" s="146"/>
      <c r="PMV3" s="146"/>
      <c r="PMW3" s="146"/>
      <c r="PMX3" s="146"/>
      <c r="PMY3" s="146"/>
      <c r="PMZ3" s="146"/>
      <c r="PNA3" s="146"/>
      <c r="PNB3" s="146"/>
      <c r="PNC3" s="146"/>
      <c r="PND3" s="146"/>
      <c r="PNE3" s="146"/>
      <c r="PNF3" s="146"/>
      <c r="PNG3" s="146"/>
      <c r="PNH3" s="146"/>
      <c r="PNI3" s="146"/>
      <c r="PNJ3" s="146"/>
      <c r="PNK3" s="146"/>
      <c r="PNL3" s="146"/>
      <c r="PNM3" s="146"/>
      <c r="PNN3" s="146"/>
      <c r="PNO3" s="146"/>
      <c r="PNP3" s="146"/>
      <c r="PNQ3" s="146"/>
      <c r="PNR3" s="146"/>
      <c r="PNS3" s="146"/>
      <c r="PNT3" s="146"/>
      <c r="PNU3" s="146"/>
      <c r="PNV3" s="146"/>
      <c r="PNW3" s="146"/>
      <c r="PNX3" s="146"/>
      <c r="PNY3" s="146"/>
      <c r="PNZ3" s="146"/>
      <c r="POA3" s="146"/>
      <c r="POB3" s="146"/>
      <c r="POC3" s="146"/>
      <c r="POD3" s="146"/>
      <c r="POE3" s="146"/>
      <c r="POF3" s="146"/>
      <c r="POG3" s="146"/>
      <c r="POH3" s="146"/>
      <c r="POI3" s="146"/>
      <c r="POJ3" s="146"/>
      <c r="POK3" s="146"/>
      <c r="POL3" s="146"/>
      <c r="POM3" s="146"/>
      <c r="PON3" s="146"/>
      <c r="POO3" s="146"/>
      <c r="POP3" s="146"/>
      <c r="POQ3" s="146"/>
      <c r="POR3" s="146"/>
      <c r="POS3" s="146"/>
      <c r="POT3" s="146"/>
      <c r="POU3" s="146"/>
      <c r="POV3" s="146"/>
      <c r="POW3" s="146"/>
      <c r="POX3" s="146"/>
      <c r="POY3" s="146"/>
      <c r="POZ3" s="146"/>
      <c r="PPA3" s="146"/>
      <c r="PPB3" s="146"/>
      <c r="PPC3" s="146"/>
      <c r="PPD3" s="146"/>
      <c r="PPE3" s="146"/>
      <c r="PPF3" s="146"/>
      <c r="PPG3" s="146"/>
      <c r="PPH3" s="146"/>
      <c r="PPI3" s="146"/>
      <c r="PPJ3" s="146"/>
      <c r="PPK3" s="146"/>
      <c r="PPL3" s="146"/>
      <c r="PPM3" s="146"/>
      <c r="PPN3" s="146"/>
      <c r="PPO3" s="146"/>
      <c r="PPP3" s="146"/>
      <c r="PPQ3" s="146"/>
      <c r="PPR3" s="146"/>
      <c r="PPS3" s="146"/>
      <c r="PPT3" s="146"/>
      <c r="PPU3" s="146"/>
      <c r="PPV3" s="146"/>
      <c r="PPW3" s="146"/>
      <c r="PPX3" s="146"/>
      <c r="PPY3" s="146"/>
      <c r="PPZ3" s="146"/>
      <c r="PQA3" s="146"/>
      <c r="PQB3" s="146"/>
      <c r="PQC3" s="146"/>
      <c r="PQD3" s="146"/>
      <c r="PQE3" s="146"/>
      <c r="PQF3" s="146"/>
      <c r="PQG3" s="146"/>
      <c r="PQH3" s="146"/>
      <c r="PQI3" s="146"/>
      <c r="PQJ3" s="146"/>
      <c r="PQK3" s="146"/>
      <c r="PQL3" s="146"/>
      <c r="PQM3" s="146"/>
      <c r="PQN3" s="146"/>
      <c r="PQO3" s="146"/>
      <c r="PQP3" s="146"/>
      <c r="PQQ3" s="146"/>
      <c r="PQR3" s="146"/>
      <c r="PQS3" s="146"/>
      <c r="PQT3" s="146"/>
      <c r="PQU3" s="146"/>
      <c r="PQV3" s="146"/>
      <c r="PQW3" s="146"/>
      <c r="PQX3" s="146"/>
      <c r="PQY3" s="146"/>
      <c r="PQZ3" s="146"/>
      <c r="PRA3" s="146"/>
      <c r="PRB3" s="146"/>
      <c r="PRC3" s="146"/>
      <c r="PRD3" s="146"/>
      <c r="PRE3" s="146"/>
      <c r="PRF3" s="146"/>
      <c r="PRG3" s="146"/>
      <c r="PRH3" s="146"/>
      <c r="PRI3" s="146"/>
      <c r="PRJ3" s="146"/>
      <c r="PRK3" s="146"/>
      <c r="PRL3" s="146"/>
      <c r="PRM3" s="146"/>
      <c r="PRN3" s="146"/>
      <c r="PRO3" s="146"/>
      <c r="PRP3" s="146"/>
      <c r="PRQ3" s="146"/>
      <c r="PRR3" s="146"/>
      <c r="PRS3" s="146"/>
      <c r="PRT3" s="146"/>
      <c r="PRU3" s="146"/>
      <c r="PRV3" s="146"/>
      <c r="PRW3" s="146"/>
      <c r="PRX3" s="146"/>
      <c r="PRY3" s="146"/>
      <c r="PRZ3" s="146"/>
      <c r="PSA3" s="146"/>
      <c r="PSB3" s="146"/>
      <c r="PSC3" s="146"/>
      <c r="PSD3" s="146"/>
      <c r="PSE3" s="146"/>
      <c r="PSF3" s="146"/>
      <c r="PSG3" s="146"/>
      <c r="PSH3" s="146"/>
      <c r="PSI3" s="146"/>
      <c r="PSJ3" s="146"/>
      <c r="PSK3" s="146"/>
      <c r="PSL3" s="146"/>
      <c r="PSM3" s="146"/>
      <c r="PSN3" s="146"/>
      <c r="PSO3" s="146"/>
      <c r="PSP3" s="146"/>
      <c r="PSQ3" s="146"/>
      <c r="PSR3" s="146"/>
      <c r="PSS3" s="146"/>
      <c r="PST3" s="146"/>
      <c r="PSU3" s="146"/>
      <c r="PSV3" s="146"/>
      <c r="PSW3" s="146"/>
      <c r="PSX3" s="146"/>
      <c r="PSY3" s="146"/>
      <c r="PSZ3" s="146"/>
      <c r="PTA3" s="146"/>
      <c r="PTB3" s="146"/>
      <c r="PTC3" s="146"/>
      <c r="PTD3" s="146"/>
      <c r="PTE3" s="146"/>
      <c r="PTF3" s="146"/>
      <c r="PTG3" s="146"/>
      <c r="PTH3" s="146"/>
      <c r="PTI3" s="146"/>
      <c r="PTJ3" s="146"/>
      <c r="PTK3" s="146"/>
      <c r="PTL3" s="146"/>
      <c r="PTM3" s="146"/>
      <c r="PTN3" s="146"/>
      <c r="PTO3" s="146"/>
      <c r="PTP3" s="146"/>
      <c r="PTQ3" s="146"/>
      <c r="PTR3" s="146"/>
      <c r="PTS3" s="146"/>
      <c r="PTT3" s="146"/>
      <c r="PTU3" s="146"/>
      <c r="PTV3" s="146"/>
      <c r="PTW3" s="146"/>
      <c r="PTX3" s="146"/>
      <c r="PTY3" s="146"/>
      <c r="PTZ3" s="146"/>
      <c r="PUA3" s="146"/>
      <c r="PUB3" s="146"/>
      <c r="PUC3" s="146"/>
      <c r="PUD3" s="146"/>
      <c r="PUE3" s="146"/>
      <c r="PUF3" s="146"/>
      <c r="PUG3" s="146"/>
      <c r="PUH3" s="146"/>
      <c r="PUI3" s="146"/>
      <c r="PUJ3" s="146"/>
      <c r="PUK3" s="146"/>
      <c r="PUL3" s="146"/>
      <c r="PUM3" s="146"/>
      <c r="PUN3" s="146"/>
      <c r="PUO3" s="146"/>
      <c r="PUP3" s="146"/>
      <c r="PUQ3" s="146"/>
      <c r="PUR3" s="146"/>
      <c r="PUS3" s="146"/>
      <c r="PUT3" s="146"/>
      <c r="PUU3" s="146"/>
      <c r="PUV3" s="146"/>
      <c r="PUW3" s="146"/>
      <c r="PUX3" s="146"/>
      <c r="PUY3" s="146"/>
      <c r="PUZ3" s="146"/>
      <c r="PVA3" s="146"/>
      <c r="PVB3" s="146"/>
      <c r="PVC3" s="146"/>
      <c r="PVD3" s="146"/>
      <c r="PVE3" s="146"/>
      <c r="PVF3" s="146"/>
      <c r="PVG3" s="146"/>
      <c r="PVH3" s="146"/>
      <c r="PVI3" s="146"/>
      <c r="PVJ3" s="146"/>
      <c r="PVK3" s="146"/>
      <c r="PVL3" s="146"/>
      <c r="PVM3" s="146"/>
      <c r="PVN3" s="146"/>
      <c r="PVO3" s="146"/>
      <c r="PVP3" s="146"/>
      <c r="PVQ3" s="146"/>
      <c r="PVR3" s="146"/>
      <c r="PVS3" s="146"/>
      <c r="PVT3" s="146"/>
      <c r="PVU3" s="146"/>
      <c r="PVV3" s="146"/>
      <c r="PVW3" s="146"/>
      <c r="PVX3" s="146"/>
      <c r="PVY3" s="146"/>
      <c r="PVZ3" s="146"/>
      <c r="PWA3" s="146"/>
      <c r="PWB3" s="146"/>
      <c r="PWC3" s="146"/>
      <c r="PWD3" s="146"/>
      <c r="PWE3" s="146"/>
      <c r="PWF3" s="146"/>
      <c r="PWG3" s="146"/>
      <c r="PWH3" s="146"/>
      <c r="PWI3" s="146"/>
      <c r="PWJ3" s="146"/>
      <c r="PWK3" s="146"/>
      <c r="PWL3" s="146"/>
      <c r="PWM3" s="146"/>
      <c r="PWN3" s="146"/>
      <c r="PWO3" s="146"/>
      <c r="PWP3" s="146"/>
      <c r="PWQ3" s="146"/>
      <c r="PWR3" s="146"/>
      <c r="PWS3" s="146"/>
      <c r="PWT3" s="146"/>
      <c r="PWU3" s="146"/>
      <c r="PWV3" s="146"/>
      <c r="PWW3" s="146"/>
      <c r="PWX3" s="146"/>
      <c r="PWY3" s="146"/>
      <c r="PWZ3" s="146"/>
      <c r="PXA3" s="146"/>
      <c r="PXB3" s="146"/>
      <c r="PXC3" s="146"/>
      <c r="PXD3" s="146"/>
      <c r="PXE3" s="146"/>
      <c r="PXF3" s="146"/>
      <c r="PXG3" s="146"/>
      <c r="PXH3" s="146"/>
      <c r="PXI3" s="146"/>
      <c r="PXJ3" s="146"/>
      <c r="PXK3" s="146"/>
      <c r="PXL3" s="146"/>
      <c r="PXM3" s="146"/>
      <c r="PXN3" s="146"/>
      <c r="PXO3" s="146"/>
      <c r="PXP3" s="146"/>
      <c r="PXQ3" s="146"/>
      <c r="PXR3" s="146"/>
      <c r="PXS3" s="146"/>
      <c r="PXT3" s="146"/>
      <c r="PXU3" s="146"/>
      <c r="PXV3" s="146"/>
      <c r="PXW3" s="146"/>
      <c r="PXX3" s="146"/>
      <c r="PXY3" s="146"/>
      <c r="PXZ3" s="146"/>
      <c r="PYA3" s="146"/>
      <c r="PYB3" s="146"/>
      <c r="PYC3" s="146"/>
      <c r="PYD3" s="146"/>
      <c r="PYE3" s="146"/>
      <c r="PYF3" s="146"/>
      <c r="PYG3" s="146"/>
      <c r="PYH3" s="146"/>
      <c r="PYI3" s="146"/>
      <c r="PYJ3" s="146"/>
      <c r="PYK3" s="146"/>
      <c r="PYL3" s="146"/>
      <c r="PYM3" s="146"/>
      <c r="PYN3" s="146"/>
      <c r="PYO3" s="146"/>
      <c r="PYP3" s="146"/>
      <c r="PYQ3" s="146"/>
      <c r="PYR3" s="146"/>
      <c r="PYS3" s="146"/>
      <c r="PYT3" s="146"/>
      <c r="PYU3" s="146"/>
      <c r="PYV3" s="146"/>
      <c r="PYW3" s="146"/>
      <c r="PYX3" s="146"/>
      <c r="PYY3" s="146"/>
      <c r="PYZ3" s="146"/>
      <c r="PZA3" s="146"/>
      <c r="PZB3" s="146"/>
      <c r="PZC3" s="146"/>
      <c r="PZD3" s="146"/>
      <c r="PZE3" s="146"/>
      <c r="PZF3" s="146"/>
      <c r="PZG3" s="146"/>
      <c r="PZH3" s="146"/>
      <c r="PZI3" s="146"/>
      <c r="PZJ3" s="146"/>
      <c r="PZK3" s="146"/>
      <c r="PZL3" s="146"/>
      <c r="PZM3" s="146"/>
      <c r="PZN3" s="146"/>
      <c r="PZO3" s="146"/>
      <c r="PZP3" s="146"/>
      <c r="PZQ3" s="146"/>
      <c r="PZR3" s="146"/>
      <c r="PZS3" s="146"/>
      <c r="PZT3" s="146"/>
      <c r="PZU3" s="146"/>
      <c r="PZV3" s="146"/>
      <c r="PZW3" s="146"/>
      <c r="PZX3" s="146"/>
      <c r="PZY3" s="146"/>
      <c r="PZZ3" s="146"/>
      <c r="QAA3" s="146"/>
      <c r="QAB3" s="146"/>
      <c r="QAC3" s="146"/>
      <c r="QAD3" s="146"/>
      <c r="QAE3" s="146"/>
      <c r="QAF3" s="146"/>
      <c r="QAG3" s="146"/>
      <c r="QAH3" s="146"/>
      <c r="QAI3" s="146"/>
      <c r="QAJ3" s="146"/>
      <c r="QAK3" s="146"/>
      <c r="QAL3" s="146"/>
      <c r="QAM3" s="146"/>
      <c r="QAN3" s="146"/>
      <c r="QAO3" s="146"/>
      <c r="QAP3" s="146"/>
      <c r="QAQ3" s="146"/>
      <c r="QAR3" s="146"/>
      <c r="QAS3" s="146"/>
      <c r="QAT3" s="146"/>
      <c r="QAU3" s="146"/>
      <c r="QAV3" s="146"/>
      <c r="QAW3" s="146"/>
      <c r="QAX3" s="146"/>
      <c r="QAY3" s="146"/>
      <c r="QAZ3" s="146"/>
      <c r="QBA3" s="146"/>
      <c r="QBB3" s="146"/>
      <c r="QBC3" s="146"/>
      <c r="QBD3" s="146"/>
      <c r="QBE3" s="146"/>
      <c r="QBF3" s="146"/>
      <c r="QBG3" s="146"/>
      <c r="QBH3" s="146"/>
      <c r="QBI3" s="146"/>
      <c r="QBJ3" s="146"/>
      <c r="QBK3" s="146"/>
      <c r="QBL3" s="146"/>
      <c r="QBM3" s="146"/>
      <c r="QBN3" s="146"/>
      <c r="QBO3" s="146"/>
      <c r="QBP3" s="146"/>
      <c r="QBQ3" s="146"/>
      <c r="QBR3" s="146"/>
      <c r="QBS3" s="146"/>
      <c r="QBT3" s="146"/>
      <c r="QBU3" s="146"/>
      <c r="QBV3" s="146"/>
      <c r="QBW3" s="146"/>
      <c r="QBX3" s="146"/>
      <c r="QBY3" s="146"/>
      <c r="QBZ3" s="146"/>
      <c r="QCA3" s="146"/>
      <c r="QCB3" s="146"/>
      <c r="QCC3" s="146"/>
      <c r="QCD3" s="146"/>
      <c r="QCE3" s="146"/>
      <c r="QCF3" s="146"/>
      <c r="QCG3" s="146"/>
      <c r="QCH3" s="146"/>
      <c r="QCI3" s="146"/>
      <c r="QCJ3" s="146"/>
      <c r="QCK3" s="146"/>
      <c r="QCL3" s="146"/>
      <c r="QCM3" s="146"/>
      <c r="QCN3" s="146"/>
      <c r="QCO3" s="146"/>
      <c r="QCP3" s="146"/>
      <c r="QCQ3" s="146"/>
      <c r="QCR3" s="146"/>
      <c r="QCS3" s="146"/>
      <c r="QCT3" s="146"/>
      <c r="QCU3" s="146"/>
      <c r="QCV3" s="146"/>
      <c r="QCW3" s="146"/>
      <c r="QCX3" s="146"/>
      <c r="QCY3" s="146"/>
      <c r="QCZ3" s="146"/>
      <c r="QDA3" s="146"/>
      <c r="QDB3" s="146"/>
      <c r="QDC3" s="146"/>
      <c r="QDD3" s="146"/>
      <c r="QDE3" s="146"/>
      <c r="QDF3" s="146"/>
      <c r="QDG3" s="146"/>
      <c r="QDH3" s="146"/>
      <c r="QDI3" s="146"/>
      <c r="QDJ3" s="146"/>
      <c r="QDK3" s="146"/>
      <c r="QDL3" s="146"/>
      <c r="QDM3" s="146"/>
      <c r="QDN3" s="146"/>
      <c r="QDO3" s="146"/>
      <c r="QDP3" s="146"/>
      <c r="QDQ3" s="146"/>
      <c r="QDR3" s="146"/>
      <c r="QDS3" s="146"/>
      <c r="QDT3" s="146"/>
      <c r="QDU3" s="146"/>
      <c r="QDV3" s="146"/>
      <c r="QDW3" s="146"/>
      <c r="QDX3" s="146"/>
      <c r="QDY3" s="146"/>
      <c r="QDZ3" s="146"/>
      <c r="QEA3" s="146"/>
      <c r="QEB3" s="146"/>
      <c r="QEC3" s="146"/>
      <c r="QED3" s="146"/>
      <c r="QEE3" s="146"/>
      <c r="QEF3" s="146"/>
      <c r="QEG3" s="146"/>
      <c r="QEH3" s="146"/>
      <c r="QEI3" s="146"/>
      <c r="QEJ3" s="146"/>
      <c r="QEK3" s="146"/>
      <c r="QEL3" s="146"/>
      <c r="QEM3" s="146"/>
      <c r="QEN3" s="146"/>
      <c r="QEO3" s="146"/>
      <c r="QEP3" s="146"/>
      <c r="QEQ3" s="146"/>
      <c r="QER3" s="146"/>
      <c r="QES3" s="146"/>
      <c r="QET3" s="146"/>
      <c r="QEU3" s="146"/>
      <c r="QEV3" s="146"/>
      <c r="QEW3" s="146"/>
      <c r="QEX3" s="146"/>
      <c r="QEY3" s="146"/>
      <c r="QEZ3" s="146"/>
      <c r="QFA3" s="146"/>
      <c r="QFB3" s="146"/>
      <c r="QFC3" s="146"/>
      <c r="QFD3" s="146"/>
      <c r="QFE3" s="146"/>
      <c r="QFF3" s="146"/>
      <c r="QFG3" s="146"/>
      <c r="QFH3" s="146"/>
      <c r="QFI3" s="146"/>
      <c r="QFJ3" s="146"/>
      <c r="QFK3" s="146"/>
      <c r="QFL3" s="146"/>
      <c r="QFM3" s="146"/>
      <c r="QFN3" s="146"/>
      <c r="QFO3" s="146"/>
      <c r="QFP3" s="146"/>
      <c r="QFQ3" s="146"/>
      <c r="QFR3" s="146"/>
      <c r="QFS3" s="146"/>
      <c r="QFT3" s="146"/>
      <c r="QFU3" s="146"/>
      <c r="QFV3" s="146"/>
      <c r="QFW3" s="146"/>
      <c r="QFX3" s="146"/>
      <c r="QFY3" s="146"/>
      <c r="QFZ3" s="146"/>
      <c r="QGA3" s="146"/>
      <c r="QGB3" s="146"/>
      <c r="QGC3" s="146"/>
      <c r="QGD3" s="146"/>
      <c r="QGE3" s="146"/>
      <c r="QGF3" s="146"/>
      <c r="QGG3" s="146"/>
      <c r="QGH3" s="146"/>
      <c r="QGI3" s="146"/>
      <c r="QGJ3" s="146"/>
      <c r="QGK3" s="146"/>
      <c r="QGL3" s="146"/>
      <c r="QGM3" s="146"/>
      <c r="QGN3" s="146"/>
      <c r="QGO3" s="146"/>
      <c r="QGP3" s="146"/>
      <c r="QGQ3" s="146"/>
      <c r="QGR3" s="146"/>
      <c r="QGS3" s="146"/>
      <c r="QGT3" s="146"/>
      <c r="QGU3" s="146"/>
      <c r="QGV3" s="146"/>
      <c r="QGW3" s="146"/>
      <c r="QGX3" s="146"/>
      <c r="QGY3" s="146"/>
      <c r="QGZ3" s="146"/>
      <c r="QHA3" s="146"/>
      <c r="QHB3" s="146"/>
      <c r="QHC3" s="146"/>
      <c r="QHD3" s="146"/>
      <c r="QHE3" s="146"/>
      <c r="QHF3" s="146"/>
      <c r="QHG3" s="146"/>
      <c r="QHH3" s="146"/>
      <c r="QHI3" s="146"/>
      <c r="QHJ3" s="146"/>
      <c r="QHK3" s="146"/>
      <c r="QHL3" s="146"/>
      <c r="QHM3" s="146"/>
      <c r="QHN3" s="146"/>
      <c r="QHO3" s="146"/>
      <c r="QHP3" s="146"/>
      <c r="QHQ3" s="146"/>
      <c r="QHR3" s="146"/>
      <c r="QHS3" s="146"/>
      <c r="QHT3" s="146"/>
      <c r="QHU3" s="146"/>
      <c r="QHV3" s="146"/>
      <c r="QHW3" s="146"/>
      <c r="QHX3" s="146"/>
      <c r="QHY3" s="146"/>
      <c r="QHZ3" s="146"/>
      <c r="QIA3" s="146"/>
      <c r="QIB3" s="146"/>
      <c r="QIC3" s="146"/>
      <c r="QID3" s="146"/>
      <c r="QIE3" s="146"/>
      <c r="QIF3" s="146"/>
      <c r="QIG3" s="146"/>
      <c r="QIH3" s="146"/>
      <c r="QII3" s="146"/>
      <c r="QIJ3" s="146"/>
      <c r="QIK3" s="146"/>
      <c r="QIL3" s="146"/>
      <c r="QIM3" s="146"/>
      <c r="QIN3" s="146"/>
      <c r="QIO3" s="146"/>
      <c r="QIP3" s="146"/>
      <c r="QIQ3" s="146"/>
      <c r="QIR3" s="146"/>
      <c r="QIS3" s="146"/>
      <c r="QIT3" s="146"/>
      <c r="QIU3" s="146"/>
      <c r="QIV3" s="146"/>
      <c r="QIW3" s="146"/>
      <c r="QIX3" s="146"/>
      <c r="QIY3" s="146"/>
      <c r="QIZ3" s="146"/>
      <c r="QJA3" s="146"/>
      <c r="QJB3" s="146"/>
      <c r="QJC3" s="146"/>
      <c r="QJD3" s="146"/>
      <c r="QJE3" s="146"/>
      <c r="QJF3" s="146"/>
      <c r="QJG3" s="146"/>
      <c r="QJH3" s="146"/>
      <c r="QJI3" s="146"/>
      <c r="QJJ3" s="146"/>
      <c r="QJK3" s="146"/>
      <c r="QJL3" s="146"/>
      <c r="QJM3" s="146"/>
      <c r="QJN3" s="146"/>
      <c r="QJO3" s="146"/>
      <c r="QJP3" s="146"/>
      <c r="QJQ3" s="146"/>
      <c r="QJR3" s="146"/>
      <c r="QJS3" s="146"/>
      <c r="QJT3" s="146"/>
      <c r="QJU3" s="146"/>
      <c r="QJV3" s="146"/>
      <c r="QJW3" s="146"/>
      <c r="QJX3" s="146"/>
      <c r="QJY3" s="146"/>
      <c r="QJZ3" s="146"/>
      <c r="QKA3" s="146"/>
      <c r="QKB3" s="146"/>
      <c r="QKC3" s="146"/>
      <c r="QKD3" s="146"/>
      <c r="QKE3" s="146"/>
      <c r="QKF3" s="146"/>
      <c r="QKG3" s="146"/>
      <c r="QKH3" s="146"/>
      <c r="QKI3" s="146"/>
      <c r="QKJ3" s="146"/>
      <c r="QKK3" s="146"/>
      <c r="QKL3" s="146"/>
      <c r="QKM3" s="146"/>
      <c r="QKN3" s="146"/>
      <c r="QKO3" s="146"/>
      <c r="QKP3" s="146"/>
      <c r="QKQ3" s="146"/>
      <c r="QKR3" s="146"/>
      <c r="QKS3" s="146"/>
      <c r="QKT3" s="146"/>
      <c r="QKU3" s="146"/>
      <c r="QKV3" s="146"/>
      <c r="QKW3" s="146"/>
      <c r="QKX3" s="146"/>
      <c r="QKY3" s="146"/>
      <c r="QKZ3" s="146"/>
      <c r="QLA3" s="146"/>
      <c r="QLB3" s="146"/>
      <c r="QLC3" s="146"/>
      <c r="QLD3" s="146"/>
      <c r="QLE3" s="146"/>
      <c r="QLF3" s="146"/>
      <c r="QLG3" s="146"/>
      <c r="QLH3" s="146"/>
      <c r="QLI3" s="146"/>
      <c r="QLJ3" s="146"/>
      <c r="QLK3" s="146"/>
      <c r="QLL3" s="146"/>
      <c r="QLM3" s="146"/>
      <c r="QLN3" s="146"/>
      <c r="QLO3" s="146"/>
      <c r="QLP3" s="146"/>
      <c r="QLQ3" s="146"/>
      <c r="QLR3" s="146"/>
      <c r="QLS3" s="146"/>
      <c r="QLT3" s="146"/>
      <c r="QLU3" s="146"/>
      <c r="QLV3" s="146"/>
      <c r="QLW3" s="146"/>
      <c r="QLX3" s="146"/>
      <c r="QLY3" s="146"/>
      <c r="QLZ3" s="146"/>
      <c r="QMA3" s="146"/>
      <c r="QMB3" s="146"/>
      <c r="QMC3" s="146"/>
      <c r="QMD3" s="146"/>
      <c r="QME3" s="146"/>
      <c r="QMF3" s="146"/>
      <c r="QMG3" s="146"/>
      <c r="QMH3" s="146"/>
      <c r="QMI3" s="146"/>
      <c r="QMJ3" s="146"/>
      <c r="QMK3" s="146"/>
      <c r="QML3" s="146"/>
      <c r="QMM3" s="146"/>
      <c r="QMN3" s="146"/>
      <c r="QMO3" s="146"/>
      <c r="QMP3" s="146"/>
      <c r="QMQ3" s="146"/>
      <c r="QMR3" s="146"/>
      <c r="QMS3" s="146"/>
      <c r="QMT3" s="146"/>
      <c r="QMU3" s="146"/>
      <c r="QMV3" s="146"/>
      <c r="QMW3" s="146"/>
      <c r="QMX3" s="146"/>
      <c r="QMY3" s="146"/>
      <c r="QMZ3" s="146"/>
      <c r="QNA3" s="146"/>
      <c r="QNB3" s="146"/>
      <c r="QNC3" s="146"/>
      <c r="QND3" s="146"/>
      <c r="QNE3" s="146"/>
      <c r="QNF3" s="146"/>
      <c r="QNG3" s="146"/>
      <c r="QNH3" s="146"/>
      <c r="QNI3" s="146"/>
      <c r="QNJ3" s="146"/>
      <c r="QNK3" s="146"/>
      <c r="QNL3" s="146"/>
      <c r="QNM3" s="146"/>
      <c r="QNN3" s="146"/>
      <c r="QNO3" s="146"/>
      <c r="QNP3" s="146"/>
      <c r="QNQ3" s="146"/>
      <c r="QNR3" s="146"/>
      <c r="QNS3" s="146"/>
      <c r="QNT3" s="146"/>
      <c r="QNU3" s="146"/>
      <c r="QNV3" s="146"/>
      <c r="QNW3" s="146"/>
      <c r="QNX3" s="146"/>
      <c r="QNY3" s="146"/>
      <c r="QNZ3" s="146"/>
      <c r="QOA3" s="146"/>
      <c r="QOB3" s="146"/>
      <c r="QOC3" s="146"/>
      <c r="QOD3" s="146"/>
      <c r="QOE3" s="146"/>
      <c r="QOF3" s="146"/>
      <c r="QOG3" s="146"/>
      <c r="QOH3" s="146"/>
      <c r="QOI3" s="146"/>
      <c r="QOJ3" s="146"/>
      <c r="QOK3" s="146"/>
      <c r="QOL3" s="146"/>
      <c r="QOM3" s="146"/>
      <c r="QON3" s="146"/>
      <c r="QOO3" s="146"/>
      <c r="QOP3" s="146"/>
      <c r="QOQ3" s="146"/>
      <c r="QOR3" s="146"/>
      <c r="QOS3" s="146"/>
      <c r="QOT3" s="146"/>
      <c r="QOU3" s="146"/>
      <c r="QOV3" s="146"/>
      <c r="QOW3" s="146"/>
      <c r="QOX3" s="146"/>
      <c r="QOY3" s="146"/>
      <c r="QOZ3" s="146"/>
      <c r="QPA3" s="146"/>
      <c r="QPB3" s="146"/>
      <c r="QPC3" s="146"/>
      <c r="QPD3" s="146"/>
      <c r="QPE3" s="146"/>
      <c r="QPF3" s="146"/>
      <c r="QPG3" s="146"/>
      <c r="QPH3" s="146"/>
      <c r="QPI3" s="146"/>
      <c r="QPJ3" s="146"/>
      <c r="QPK3" s="146"/>
      <c r="QPL3" s="146"/>
      <c r="QPM3" s="146"/>
      <c r="QPN3" s="146"/>
      <c r="QPO3" s="146"/>
      <c r="QPP3" s="146"/>
      <c r="QPQ3" s="146"/>
      <c r="QPR3" s="146"/>
      <c r="QPS3" s="146"/>
      <c r="QPT3" s="146"/>
      <c r="QPU3" s="146"/>
      <c r="QPV3" s="146"/>
      <c r="QPW3" s="146"/>
      <c r="QPX3" s="146"/>
      <c r="QPY3" s="146"/>
      <c r="QPZ3" s="146"/>
      <c r="QQA3" s="146"/>
      <c r="QQB3" s="146"/>
      <c r="QQC3" s="146"/>
      <c r="QQD3" s="146"/>
      <c r="QQE3" s="146"/>
      <c r="QQF3" s="146"/>
      <c r="QQG3" s="146"/>
      <c r="QQH3" s="146"/>
      <c r="QQI3" s="146"/>
      <c r="QQJ3" s="146"/>
      <c r="QQK3" s="146"/>
      <c r="QQL3" s="146"/>
      <c r="QQM3" s="146"/>
      <c r="QQN3" s="146"/>
      <c r="QQO3" s="146"/>
      <c r="QQP3" s="146"/>
      <c r="QQQ3" s="146"/>
      <c r="QQR3" s="146"/>
      <c r="QQS3" s="146"/>
      <c r="QQT3" s="146"/>
      <c r="QQU3" s="146"/>
      <c r="QQV3" s="146"/>
      <c r="QQW3" s="146"/>
      <c r="QQX3" s="146"/>
      <c r="QQY3" s="146"/>
      <c r="QQZ3" s="146"/>
      <c r="QRA3" s="146"/>
      <c r="QRB3" s="146"/>
      <c r="QRC3" s="146"/>
      <c r="QRD3" s="146"/>
      <c r="QRE3" s="146"/>
      <c r="QRF3" s="146"/>
      <c r="QRG3" s="146"/>
      <c r="QRH3" s="146"/>
      <c r="QRI3" s="146"/>
      <c r="QRJ3" s="146"/>
      <c r="QRK3" s="146"/>
      <c r="QRL3" s="146"/>
      <c r="QRM3" s="146"/>
      <c r="QRN3" s="146"/>
      <c r="QRO3" s="146"/>
      <c r="QRP3" s="146"/>
      <c r="QRQ3" s="146"/>
      <c r="QRR3" s="146"/>
      <c r="QRS3" s="146"/>
      <c r="QRT3" s="146"/>
      <c r="QRU3" s="146"/>
      <c r="QRV3" s="146"/>
      <c r="QRW3" s="146"/>
      <c r="QRX3" s="146"/>
      <c r="QRY3" s="146"/>
      <c r="QRZ3" s="146"/>
      <c r="QSA3" s="146"/>
      <c r="QSB3" s="146"/>
      <c r="QSC3" s="146"/>
      <c r="QSD3" s="146"/>
      <c r="QSE3" s="146"/>
      <c r="QSF3" s="146"/>
      <c r="QSG3" s="146"/>
      <c r="QSH3" s="146"/>
      <c r="QSI3" s="146"/>
      <c r="QSJ3" s="146"/>
      <c r="QSK3" s="146"/>
      <c r="QSL3" s="146"/>
      <c r="QSM3" s="146"/>
      <c r="QSN3" s="146"/>
      <c r="QSO3" s="146"/>
      <c r="QSP3" s="146"/>
      <c r="QSQ3" s="146"/>
      <c r="QSR3" s="146"/>
      <c r="QSS3" s="146"/>
      <c r="QST3" s="146"/>
      <c r="QSU3" s="146"/>
      <c r="QSV3" s="146"/>
      <c r="QSW3" s="146"/>
      <c r="QSX3" s="146"/>
      <c r="QSY3" s="146"/>
      <c r="QSZ3" s="146"/>
      <c r="QTA3" s="146"/>
      <c r="QTB3" s="146"/>
      <c r="QTC3" s="146"/>
      <c r="QTD3" s="146"/>
      <c r="QTE3" s="146"/>
      <c r="QTF3" s="146"/>
      <c r="QTG3" s="146"/>
      <c r="QTH3" s="146"/>
      <c r="QTI3" s="146"/>
      <c r="QTJ3" s="146"/>
      <c r="QTK3" s="146"/>
      <c r="QTL3" s="146"/>
      <c r="QTM3" s="146"/>
      <c r="QTN3" s="146"/>
      <c r="QTO3" s="146"/>
      <c r="QTP3" s="146"/>
      <c r="QTQ3" s="146"/>
      <c r="QTR3" s="146"/>
      <c r="QTS3" s="146"/>
      <c r="QTT3" s="146"/>
      <c r="QTU3" s="146"/>
      <c r="QTV3" s="146"/>
      <c r="QTW3" s="146"/>
      <c r="QTX3" s="146"/>
      <c r="QTY3" s="146"/>
      <c r="QTZ3" s="146"/>
      <c r="QUA3" s="146"/>
      <c r="QUB3" s="146"/>
      <c r="QUC3" s="146"/>
      <c r="QUD3" s="146"/>
      <c r="QUE3" s="146"/>
      <c r="QUF3" s="146"/>
      <c r="QUG3" s="146"/>
      <c r="QUH3" s="146"/>
      <c r="QUI3" s="146"/>
      <c r="QUJ3" s="146"/>
      <c r="QUK3" s="146"/>
      <c r="QUL3" s="146"/>
      <c r="QUM3" s="146"/>
      <c r="QUN3" s="146"/>
      <c r="QUO3" s="146"/>
      <c r="QUP3" s="146"/>
      <c r="QUQ3" s="146"/>
      <c r="QUR3" s="146"/>
      <c r="QUS3" s="146"/>
      <c r="QUT3" s="146"/>
      <c r="QUU3" s="146"/>
      <c r="QUV3" s="146"/>
      <c r="QUW3" s="146"/>
      <c r="QUX3" s="146"/>
      <c r="QUY3" s="146"/>
      <c r="QUZ3" s="146"/>
      <c r="QVA3" s="146"/>
      <c r="QVB3" s="146"/>
      <c r="QVC3" s="146"/>
      <c r="QVD3" s="146"/>
      <c r="QVE3" s="146"/>
      <c r="QVF3" s="146"/>
      <c r="QVG3" s="146"/>
      <c r="QVH3" s="146"/>
      <c r="QVI3" s="146"/>
      <c r="QVJ3" s="146"/>
      <c r="QVK3" s="146"/>
      <c r="QVL3" s="146"/>
      <c r="QVM3" s="146"/>
      <c r="QVN3" s="146"/>
      <c r="QVO3" s="146"/>
      <c r="QVP3" s="146"/>
      <c r="QVQ3" s="146"/>
      <c r="QVR3" s="146"/>
      <c r="QVS3" s="146"/>
      <c r="QVT3" s="146"/>
      <c r="QVU3" s="146"/>
      <c r="QVV3" s="146"/>
      <c r="QVW3" s="146"/>
      <c r="QVX3" s="146"/>
      <c r="QVY3" s="146"/>
      <c r="QVZ3" s="146"/>
      <c r="QWA3" s="146"/>
      <c r="QWB3" s="146"/>
      <c r="QWC3" s="146"/>
      <c r="QWD3" s="146"/>
      <c r="QWE3" s="146"/>
      <c r="QWF3" s="146"/>
      <c r="QWG3" s="146"/>
      <c r="QWH3" s="146"/>
      <c r="QWI3" s="146"/>
      <c r="QWJ3" s="146"/>
      <c r="QWK3" s="146"/>
      <c r="QWL3" s="146"/>
      <c r="QWM3" s="146"/>
      <c r="QWN3" s="146"/>
      <c r="QWO3" s="146"/>
      <c r="QWP3" s="146"/>
      <c r="QWQ3" s="146"/>
      <c r="QWR3" s="146"/>
      <c r="QWS3" s="146"/>
      <c r="QWT3" s="146"/>
      <c r="QWU3" s="146"/>
      <c r="QWV3" s="146"/>
      <c r="QWW3" s="146"/>
      <c r="QWX3" s="146"/>
      <c r="QWY3" s="146"/>
      <c r="QWZ3" s="146"/>
      <c r="QXA3" s="146"/>
      <c r="QXB3" s="146"/>
      <c r="QXC3" s="146"/>
      <c r="QXD3" s="146"/>
      <c r="QXE3" s="146"/>
      <c r="QXF3" s="146"/>
      <c r="QXG3" s="146"/>
      <c r="QXH3" s="146"/>
      <c r="QXI3" s="146"/>
      <c r="QXJ3" s="146"/>
      <c r="QXK3" s="146"/>
      <c r="QXL3" s="146"/>
      <c r="QXM3" s="146"/>
      <c r="QXN3" s="146"/>
      <c r="QXO3" s="146"/>
      <c r="QXP3" s="146"/>
      <c r="QXQ3" s="146"/>
      <c r="QXR3" s="146"/>
      <c r="QXS3" s="146"/>
      <c r="QXT3" s="146"/>
      <c r="QXU3" s="146"/>
      <c r="QXV3" s="146"/>
      <c r="QXW3" s="146"/>
      <c r="QXX3" s="146"/>
      <c r="QXY3" s="146"/>
      <c r="QXZ3" s="146"/>
      <c r="QYA3" s="146"/>
      <c r="QYB3" s="146"/>
      <c r="QYC3" s="146"/>
      <c r="QYD3" s="146"/>
      <c r="QYE3" s="146"/>
      <c r="QYF3" s="146"/>
      <c r="QYG3" s="146"/>
      <c r="QYH3" s="146"/>
      <c r="QYI3" s="146"/>
      <c r="QYJ3" s="146"/>
      <c r="QYK3" s="146"/>
      <c r="QYL3" s="146"/>
      <c r="QYM3" s="146"/>
      <c r="QYN3" s="146"/>
      <c r="QYO3" s="146"/>
      <c r="QYP3" s="146"/>
      <c r="QYQ3" s="146"/>
      <c r="QYR3" s="146"/>
      <c r="QYS3" s="146"/>
      <c r="QYT3" s="146"/>
      <c r="QYU3" s="146"/>
      <c r="QYV3" s="146"/>
      <c r="QYW3" s="146"/>
      <c r="QYX3" s="146"/>
      <c r="QYY3" s="146"/>
      <c r="QYZ3" s="146"/>
      <c r="QZA3" s="146"/>
      <c r="QZB3" s="146"/>
      <c r="QZC3" s="146"/>
      <c r="QZD3" s="146"/>
      <c r="QZE3" s="146"/>
      <c r="QZF3" s="146"/>
      <c r="QZG3" s="146"/>
      <c r="QZH3" s="146"/>
      <c r="QZI3" s="146"/>
      <c r="QZJ3" s="146"/>
      <c r="QZK3" s="146"/>
      <c r="QZL3" s="146"/>
      <c r="QZM3" s="146"/>
      <c r="QZN3" s="146"/>
      <c r="QZO3" s="146"/>
      <c r="QZP3" s="146"/>
      <c r="QZQ3" s="146"/>
      <c r="QZR3" s="146"/>
      <c r="QZS3" s="146"/>
      <c r="QZT3" s="146"/>
      <c r="QZU3" s="146"/>
      <c r="QZV3" s="146"/>
      <c r="QZW3" s="146"/>
      <c r="QZX3" s="146"/>
      <c r="QZY3" s="146"/>
      <c r="QZZ3" s="146"/>
      <c r="RAA3" s="146"/>
      <c r="RAB3" s="146"/>
      <c r="RAC3" s="146"/>
      <c r="RAD3" s="146"/>
      <c r="RAE3" s="146"/>
      <c r="RAF3" s="146"/>
      <c r="RAG3" s="146"/>
      <c r="RAH3" s="146"/>
      <c r="RAI3" s="146"/>
      <c r="RAJ3" s="146"/>
      <c r="RAK3" s="146"/>
      <c r="RAL3" s="146"/>
      <c r="RAM3" s="146"/>
      <c r="RAN3" s="146"/>
      <c r="RAO3" s="146"/>
      <c r="RAP3" s="146"/>
      <c r="RAQ3" s="146"/>
      <c r="RAR3" s="146"/>
      <c r="RAS3" s="146"/>
      <c r="RAT3" s="146"/>
      <c r="RAU3" s="146"/>
      <c r="RAV3" s="146"/>
      <c r="RAW3" s="146"/>
      <c r="RAX3" s="146"/>
      <c r="RAY3" s="146"/>
      <c r="RAZ3" s="146"/>
      <c r="RBA3" s="146"/>
      <c r="RBB3" s="146"/>
      <c r="RBC3" s="146"/>
      <c r="RBD3" s="146"/>
      <c r="RBE3" s="146"/>
      <c r="RBF3" s="146"/>
      <c r="RBG3" s="146"/>
      <c r="RBH3" s="146"/>
      <c r="RBI3" s="146"/>
      <c r="RBJ3" s="146"/>
      <c r="RBK3" s="146"/>
      <c r="RBL3" s="146"/>
      <c r="RBM3" s="146"/>
      <c r="RBN3" s="146"/>
      <c r="RBO3" s="146"/>
      <c r="RBP3" s="146"/>
      <c r="RBQ3" s="146"/>
      <c r="RBR3" s="146"/>
      <c r="RBS3" s="146"/>
      <c r="RBT3" s="146"/>
      <c r="RBU3" s="146"/>
      <c r="RBV3" s="146"/>
      <c r="RBW3" s="146"/>
      <c r="RBX3" s="146"/>
      <c r="RBY3" s="146"/>
      <c r="RBZ3" s="146"/>
      <c r="RCA3" s="146"/>
      <c r="RCB3" s="146"/>
      <c r="RCC3" s="146"/>
      <c r="RCD3" s="146"/>
      <c r="RCE3" s="146"/>
      <c r="RCF3" s="146"/>
      <c r="RCG3" s="146"/>
      <c r="RCH3" s="146"/>
      <c r="RCI3" s="146"/>
      <c r="RCJ3" s="146"/>
      <c r="RCK3" s="146"/>
      <c r="RCL3" s="146"/>
      <c r="RCM3" s="146"/>
      <c r="RCN3" s="146"/>
      <c r="RCO3" s="146"/>
      <c r="RCP3" s="146"/>
      <c r="RCQ3" s="146"/>
      <c r="RCR3" s="146"/>
      <c r="RCS3" s="146"/>
      <c r="RCT3" s="146"/>
      <c r="RCU3" s="146"/>
      <c r="RCV3" s="146"/>
      <c r="RCW3" s="146"/>
      <c r="RCX3" s="146"/>
      <c r="RCY3" s="146"/>
      <c r="RCZ3" s="146"/>
      <c r="RDA3" s="146"/>
      <c r="RDB3" s="146"/>
      <c r="RDC3" s="146"/>
      <c r="RDD3" s="146"/>
      <c r="RDE3" s="146"/>
      <c r="RDF3" s="146"/>
      <c r="RDG3" s="146"/>
      <c r="RDH3" s="146"/>
      <c r="RDI3" s="146"/>
      <c r="RDJ3" s="146"/>
      <c r="RDK3" s="146"/>
      <c r="RDL3" s="146"/>
      <c r="RDM3" s="146"/>
      <c r="RDN3" s="146"/>
      <c r="RDO3" s="146"/>
      <c r="RDP3" s="146"/>
      <c r="RDQ3" s="146"/>
      <c r="RDR3" s="146"/>
      <c r="RDS3" s="146"/>
      <c r="RDT3" s="146"/>
      <c r="RDU3" s="146"/>
      <c r="RDV3" s="146"/>
      <c r="RDW3" s="146"/>
      <c r="RDX3" s="146"/>
      <c r="RDY3" s="146"/>
      <c r="RDZ3" s="146"/>
      <c r="REA3" s="146"/>
      <c r="REB3" s="146"/>
      <c r="REC3" s="146"/>
      <c r="RED3" s="146"/>
      <c r="REE3" s="146"/>
      <c r="REF3" s="146"/>
      <c r="REG3" s="146"/>
      <c r="REH3" s="146"/>
      <c r="REI3" s="146"/>
      <c r="REJ3" s="146"/>
      <c r="REK3" s="146"/>
      <c r="REL3" s="146"/>
      <c r="REM3" s="146"/>
      <c r="REN3" s="146"/>
      <c r="REO3" s="146"/>
      <c r="REP3" s="146"/>
      <c r="REQ3" s="146"/>
      <c r="RER3" s="146"/>
      <c r="RES3" s="146"/>
      <c r="RET3" s="146"/>
      <c r="REU3" s="146"/>
      <c r="REV3" s="146"/>
      <c r="REW3" s="146"/>
      <c r="REX3" s="146"/>
      <c r="REY3" s="146"/>
      <c r="REZ3" s="146"/>
      <c r="RFA3" s="146"/>
      <c r="RFB3" s="146"/>
      <c r="RFC3" s="146"/>
      <c r="RFD3" s="146"/>
      <c r="RFE3" s="146"/>
      <c r="RFF3" s="146"/>
      <c r="RFG3" s="146"/>
      <c r="RFH3" s="146"/>
      <c r="RFI3" s="146"/>
      <c r="RFJ3" s="146"/>
      <c r="RFK3" s="146"/>
      <c r="RFL3" s="146"/>
      <c r="RFM3" s="146"/>
      <c r="RFN3" s="146"/>
      <c r="RFO3" s="146"/>
      <c r="RFP3" s="146"/>
      <c r="RFQ3" s="146"/>
      <c r="RFR3" s="146"/>
      <c r="RFS3" s="146"/>
      <c r="RFT3" s="146"/>
      <c r="RFU3" s="146"/>
      <c r="RFV3" s="146"/>
      <c r="RFW3" s="146"/>
      <c r="RFX3" s="146"/>
      <c r="RFY3" s="146"/>
      <c r="RFZ3" s="146"/>
      <c r="RGA3" s="146"/>
      <c r="RGB3" s="146"/>
      <c r="RGC3" s="146"/>
      <c r="RGD3" s="146"/>
      <c r="RGE3" s="146"/>
      <c r="RGF3" s="146"/>
      <c r="RGG3" s="146"/>
      <c r="RGH3" s="146"/>
      <c r="RGI3" s="146"/>
      <c r="RGJ3" s="146"/>
      <c r="RGK3" s="146"/>
      <c r="RGL3" s="146"/>
      <c r="RGM3" s="146"/>
      <c r="RGN3" s="146"/>
      <c r="RGO3" s="146"/>
      <c r="RGP3" s="146"/>
      <c r="RGQ3" s="146"/>
      <c r="RGR3" s="146"/>
      <c r="RGS3" s="146"/>
      <c r="RGT3" s="146"/>
      <c r="RGU3" s="146"/>
      <c r="RGV3" s="146"/>
      <c r="RGW3" s="146"/>
      <c r="RGX3" s="146"/>
      <c r="RGY3" s="146"/>
      <c r="RGZ3" s="146"/>
      <c r="RHA3" s="146"/>
      <c r="RHB3" s="146"/>
      <c r="RHC3" s="146"/>
      <c r="RHD3" s="146"/>
      <c r="RHE3" s="146"/>
      <c r="RHF3" s="146"/>
      <c r="RHG3" s="146"/>
      <c r="RHH3" s="146"/>
      <c r="RHI3" s="146"/>
      <c r="RHJ3" s="146"/>
      <c r="RHK3" s="146"/>
      <c r="RHL3" s="146"/>
      <c r="RHM3" s="146"/>
      <c r="RHN3" s="146"/>
      <c r="RHO3" s="146"/>
      <c r="RHP3" s="146"/>
      <c r="RHQ3" s="146"/>
      <c r="RHR3" s="146"/>
      <c r="RHS3" s="146"/>
      <c r="RHT3" s="146"/>
      <c r="RHU3" s="146"/>
      <c r="RHV3" s="146"/>
      <c r="RHW3" s="146"/>
      <c r="RHX3" s="146"/>
      <c r="RHY3" s="146"/>
      <c r="RHZ3" s="146"/>
      <c r="RIA3" s="146"/>
      <c r="RIB3" s="146"/>
      <c r="RIC3" s="146"/>
      <c r="RID3" s="146"/>
      <c r="RIE3" s="146"/>
      <c r="RIF3" s="146"/>
      <c r="RIG3" s="146"/>
      <c r="RIH3" s="146"/>
      <c r="RII3" s="146"/>
      <c r="RIJ3" s="146"/>
      <c r="RIK3" s="146"/>
      <c r="RIL3" s="146"/>
      <c r="RIM3" s="146"/>
      <c r="RIN3" s="146"/>
      <c r="RIO3" s="146"/>
      <c r="RIP3" s="146"/>
      <c r="RIQ3" s="146"/>
      <c r="RIR3" s="146"/>
      <c r="RIS3" s="146"/>
      <c r="RIT3" s="146"/>
      <c r="RIU3" s="146"/>
      <c r="RIV3" s="146"/>
      <c r="RIW3" s="146"/>
      <c r="RIX3" s="146"/>
      <c r="RIY3" s="146"/>
      <c r="RIZ3" s="146"/>
      <c r="RJA3" s="146"/>
      <c r="RJB3" s="146"/>
      <c r="RJC3" s="146"/>
      <c r="RJD3" s="146"/>
      <c r="RJE3" s="146"/>
      <c r="RJF3" s="146"/>
      <c r="RJG3" s="146"/>
      <c r="RJH3" s="146"/>
      <c r="RJI3" s="146"/>
      <c r="RJJ3" s="146"/>
      <c r="RJK3" s="146"/>
      <c r="RJL3" s="146"/>
      <c r="RJM3" s="146"/>
      <c r="RJN3" s="146"/>
      <c r="RJO3" s="146"/>
      <c r="RJP3" s="146"/>
      <c r="RJQ3" s="146"/>
      <c r="RJR3" s="146"/>
      <c r="RJS3" s="146"/>
      <c r="RJT3" s="146"/>
      <c r="RJU3" s="146"/>
      <c r="RJV3" s="146"/>
      <c r="RJW3" s="146"/>
      <c r="RJX3" s="146"/>
      <c r="RJY3" s="146"/>
      <c r="RJZ3" s="146"/>
      <c r="RKA3" s="146"/>
      <c r="RKB3" s="146"/>
      <c r="RKC3" s="146"/>
      <c r="RKD3" s="146"/>
      <c r="RKE3" s="146"/>
      <c r="RKF3" s="146"/>
      <c r="RKG3" s="146"/>
      <c r="RKH3" s="146"/>
      <c r="RKI3" s="146"/>
      <c r="RKJ3" s="146"/>
      <c r="RKK3" s="146"/>
      <c r="RKL3" s="146"/>
      <c r="RKM3" s="146"/>
      <c r="RKN3" s="146"/>
      <c r="RKO3" s="146"/>
      <c r="RKP3" s="146"/>
      <c r="RKQ3" s="146"/>
      <c r="RKR3" s="146"/>
      <c r="RKS3" s="146"/>
      <c r="RKT3" s="146"/>
      <c r="RKU3" s="146"/>
      <c r="RKV3" s="146"/>
      <c r="RKW3" s="146"/>
      <c r="RKX3" s="146"/>
      <c r="RKY3" s="146"/>
      <c r="RKZ3" s="146"/>
      <c r="RLA3" s="146"/>
      <c r="RLB3" s="146"/>
      <c r="RLC3" s="146"/>
      <c r="RLD3" s="146"/>
      <c r="RLE3" s="146"/>
      <c r="RLF3" s="146"/>
      <c r="RLG3" s="146"/>
      <c r="RLH3" s="146"/>
      <c r="RLI3" s="146"/>
      <c r="RLJ3" s="146"/>
      <c r="RLK3" s="146"/>
      <c r="RLL3" s="146"/>
      <c r="RLM3" s="146"/>
      <c r="RLN3" s="146"/>
      <c r="RLO3" s="146"/>
      <c r="RLP3" s="146"/>
      <c r="RLQ3" s="146"/>
      <c r="RLR3" s="146"/>
      <c r="RLS3" s="146"/>
      <c r="RLT3" s="146"/>
      <c r="RLU3" s="146"/>
      <c r="RLV3" s="146"/>
      <c r="RLW3" s="146"/>
      <c r="RLX3" s="146"/>
      <c r="RLY3" s="146"/>
      <c r="RLZ3" s="146"/>
      <c r="RMA3" s="146"/>
      <c r="RMB3" s="146"/>
      <c r="RMC3" s="146"/>
      <c r="RMD3" s="146"/>
      <c r="RME3" s="146"/>
      <c r="RMF3" s="146"/>
      <c r="RMG3" s="146"/>
      <c r="RMH3" s="146"/>
      <c r="RMI3" s="146"/>
      <c r="RMJ3" s="146"/>
      <c r="RMK3" s="146"/>
      <c r="RML3" s="146"/>
      <c r="RMM3" s="146"/>
      <c r="RMN3" s="146"/>
      <c r="RMO3" s="146"/>
      <c r="RMP3" s="146"/>
      <c r="RMQ3" s="146"/>
      <c r="RMR3" s="146"/>
      <c r="RMS3" s="146"/>
      <c r="RMT3" s="146"/>
      <c r="RMU3" s="146"/>
      <c r="RMV3" s="146"/>
      <c r="RMW3" s="146"/>
      <c r="RMX3" s="146"/>
      <c r="RMY3" s="146"/>
      <c r="RMZ3" s="146"/>
      <c r="RNA3" s="146"/>
      <c r="RNB3" s="146"/>
      <c r="RNC3" s="146"/>
      <c r="RND3" s="146"/>
      <c r="RNE3" s="146"/>
      <c r="RNF3" s="146"/>
      <c r="RNG3" s="146"/>
      <c r="RNH3" s="146"/>
      <c r="RNI3" s="146"/>
      <c r="RNJ3" s="146"/>
      <c r="RNK3" s="146"/>
      <c r="RNL3" s="146"/>
      <c r="RNM3" s="146"/>
      <c r="RNN3" s="146"/>
      <c r="RNO3" s="146"/>
      <c r="RNP3" s="146"/>
      <c r="RNQ3" s="146"/>
      <c r="RNR3" s="146"/>
      <c r="RNS3" s="146"/>
      <c r="RNT3" s="146"/>
      <c r="RNU3" s="146"/>
      <c r="RNV3" s="146"/>
      <c r="RNW3" s="146"/>
      <c r="RNX3" s="146"/>
      <c r="RNY3" s="146"/>
      <c r="RNZ3" s="146"/>
      <c r="ROA3" s="146"/>
      <c r="ROB3" s="146"/>
      <c r="ROC3" s="146"/>
      <c r="ROD3" s="146"/>
      <c r="ROE3" s="146"/>
      <c r="ROF3" s="146"/>
      <c r="ROG3" s="146"/>
      <c r="ROH3" s="146"/>
      <c r="ROI3" s="146"/>
      <c r="ROJ3" s="146"/>
      <c r="ROK3" s="146"/>
      <c r="ROL3" s="146"/>
      <c r="ROM3" s="146"/>
      <c r="RON3" s="146"/>
      <c r="ROO3" s="146"/>
      <c r="ROP3" s="146"/>
      <c r="ROQ3" s="146"/>
      <c r="ROR3" s="146"/>
      <c r="ROS3" s="146"/>
      <c r="ROT3" s="146"/>
      <c r="ROU3" s="146"/>
      <c r="ROV3" s="146"/>
      <c r="ROW3" s="146"/>
      <c r="ROX3" s="146"/>
      <c r="ROY3" s="146"/>
      <c r="ROZ3" s="146"/>
      <c r="RPA3" s="146"/>
      <c r="RPB3" s="146"/>
      <c r="RPC3" s="146"/>
      <c r="RPD3" s="146"/>
      <c r="RPE3" s="146"/>
      <c r="RPF3" s="146"/>
      <c r="RPG3" s="146"/>
      <c r="RPH3" s="146"/>
      <c r="RPI3" s="146"/>
      <c r="RPJ3" s="146"/>
      <c r="RPK3" s="146"/>
      <c r="RPL3" s="146"/>
      <c r="RPM3" s="146"/>
      <c r="RPN3" s="146"/>
      <c r="RPO3" s="146"/>
      <c r="RPP3" s="146"/>
      <c r="RPQ3" s="146"/>
      <c r="RPR3" s="146"/>
      <c r="RPS3" s="146"/>
      <c r="RPT3" s="146"/>
      <c r="RPU3" s="146"/>
      <c r="RPV3" s="146"/>
      <c r="RPW3" s="146"/>
      <c r="RPX3" s="146"/>
      <c r="RPY3" s="146"/>
      <c r="RPZ3" s="146"/>
      <c r="RQA3" s="146"/>
      <c r="RQB3" s="146"/>
      <c r="RQC3" s="146"/>
      <c r="RQD3" s="146"/>
      <c r="RQE3" s="146"/>
      <c r="RQF3" s="146"/>
      <c r="RQG3" s="146"/>
      <c r="RQH3" s="146"/>
      <c r="RQI3" s="146"/>
      <c r="RQJ3" s="146"/>
      <c r="RQK3" s="146"/>
      <c r="RQL3" s="146"/>
      <c r="RQM3" s="146"/>
      <c r="RQN3" s="146"/>
      <c r="RQO3" s="146"/>
      <c r="RQP3" s="146"/>
      <c r="RQQ3" s="146"/>
      <c r="RQR3" s="146"/>
      <c r="RQS3" s="146"/>
      <c r="RQT3" s="146"/>
      <c r="RQU3" s="146"/>
      <c r="RQV3" s="146"/>
      <c r="RQW3" s="146"/>
      <c r="RQX3" s="146"/>
      <c r="RQY3" s="146"/>
      <c r="RQZ3" s="146"/>
      <c r="RRA3" s="146"/>
      <c r="RRB3" s="146"/>
      <c r="RRC3" s="146"/>
      <c r="RRD3" s="146"/>
      <c r="RRE3" s="146"/>
      <c r="RRF3" s="146"/>
      <c r="RRG3" s="146"/>
      <c r="RRH3" s="146"/>
      <c r="RRI3" s="146"/>
      <c r="RRJ3" s="146"/>
      <c r="RRK3" s="146"/>
      <c r="RRL3" s="146"/>
      <c r="RRM3" s="146"/>
      <c r="RRN3" s="146"/>
      <c r="RRO3" s="146"/>
      <c r="RRP3" s="146"/>
      <c r="RRQ3" s="146"/>
      <c r="RRR3" s="146"/>
      <c r="RRS3" s="146"/>
      <c r="RRT3" s="146"/>
      <c r="RRU3" s="146"/>
      <c r="RRV3" s="146"/>
      <c r="RRW3" s="146"/>
      <c r="RRX3" s="146"/>
      <c r="RRY3" s="146"/>
      <c r="RRZ3" s="146"/>
      <c r="RSA3" s="146"/>
      <c r="RSB3" s="146"/>
      <c r="RSC3" s="146"/>
      <c r="RSD3" s="146"/>
      <c r="RSE3" s="146"/>
      <c r="RSF3" s="146"/>
      <c r="RSG3" s="146"/>
      <c r="RSH3" s="146"/>
      <c r="RSI3" s="146"/>
      <c r="RSJ3" s="146"/>
      <c r="RSK3" s="146"/>
      <c r="RSL3" s="146"/>
      <c r="RSM3" s="146"/>
      <c r="RSN3" s="146"/>
      <c r="RSO3" s="146"/>
      <c r="RSP3" s="146"/>
      <c r="RSQ3" s="146"/>
      <c r="RSR3" s="146"/>
      <c r="RSS3" s="146"/>
      <c r="RST3" s="146"/>
      <c r="RSU3" s="146"/>
      <c r="RSV3" s="146"/>
      <c r="RSW3" s="146"/>
      <c r="RSX3" s="146"/>
      <c r="RSY3" s="146"/>
      <c r="RSZ3" s="146"/>
      <c r="RTA3" s="146"/>
      <c r="RTB3" s="146"/>
      <c r="RTC3" s="146"/>
      <c r="RTD3" s="146"/>
      <c r="RTE3" s="146"/>
      <c r="RTF3" s="146"/>
      <c r="RTG3" s="146"/>
      <c r="RTH3" s="146"/>
      <c r="RTI3" s="146"/>
      <c r="RTJ3" s="146"/>
      <c r="RTK3" s="146"/>
      <c r="RTL3" s="146"/>
      <c r="RTM3" s="146"/>
      <c r="RTN3" s="146"/>
      <c r="RTO3" s="146"/>
      <c r="RTP3" s="146"/>
      <c r="RTQ3" s="146"/>
      <c r="RTR3" s="146"/>
      <c r="RTS3" s="146"/>
      <c r="RTT3" s="146"/>
      <c r="RTU3" s="146"/>
      <c r="RTV3" s="146"/>
      <c r="RTW3" s="146"/>
      <c r="RTX3" s="146"/>
      <c r="RTY3" s="146"/>
      <c r="RTZ3" s="146"/>
      <c r="RUA3" s="146"/>
      <c r="RUB3" s="146"/>
      <c r="RUC3" s="146"/>
      <c r="RUD3" s="146"/>
      <c r="RUE3" s="146"/>
      <c r="RUF3" s="146"/>
      <c r="RUG3" s="146"/>
      <c r="RUH3" s="146"/>
      <c r="RUI3" s="146"/>
      <c r="RUJ3" s="146"/>
      <c r="RUK3" s="146"/>
      <c r="RUL3" s="146"/>
      <c r="RUM3" s="146"/>
      <c r="RUN3" s="146"/>
      <c r="RUO3" s="146"/>
      <c r="RUP3" s="146"/>
      <c r="RUQ3" s="146"/>
      <c r="RUR3" s="146"/>
      <c r="RUS3" s="146"/>
      <c r="RUT3" s="146"/>
      <c r="RUU3" s="146"/>
      <c r="RUV3" s="146"/>
      <c r="RUW3" s="146"/>
      <c r="RUX3" s="146"/>
      <c r="RUY3" s="146"/>
      <c r="RUZ3" s="146"/>
      <c r="RVA3" s="146"/>
      <c r="RVB3" s="146"/>
      <c r="RVC3" s="146"/>
      <c r="RVD3" s="146"/>
      <c r="RVE3" s="146"/>
      <c r="RVF3" s="146"/>
      <c r="RVG3" s="146"/>
      <c r="RVH3" s="146"/>
      <c r="RVI3" s="146"/>
      <c r="RVJ3" s="146"/>
      <c r="RVK3" s="146"/>
      <c r="RVL3" s="146"/>
      <c r="RVM3" s="146"/>
      <c r="RVN3" s="146"/>
      <c r="RVO3" s="146"/>
      <c r="RVP3" s="146"/>
      <c r="RVQ3" s="146"/>
      <c r="RVR3" s="146"/>
      <c r="RVS3" s="146"/>
      <c r="RVT3" s="146"/>
      <c r="RVU3" s="146"/>
      <c r="RVV3" s="146"/>
      <c r="RVW3" s="146"/>
      <c r="RVX3" s="146"/>
      <c r="RVY3" s="146"/>
      <c r="RVZ3" s="146"/>
      <c r="RWA3" s="146"/>
      <c r="RWB3" s="146"/>
      <c r="RWC3" s="146"/>
      <c r="RWD3" s="146"/>
      <c r="RWE3" s="146"/>
      <c r="RWF3" s="146"/>
      <c r="RWG3" s="146"/>
      <c r="RWH3" s="146"/>
      <c r="RWI3" s="146"/>
      <c r="RWJ3" s="146"/>
      <c r="RWK3" s="146"/>
      <c r="RWL3" s="146"/>
      <c r="RWM3" s="146"/>
      <c r="RWN3" s="146"/>
      <c r="RWO3" s="146"/>
      <c r="RWP3" s="146"/>
      <c r="RWQ3" s="146"/>
      <c r="RWR3" s="146"/>
      <c r="RWS3" s="146"/>
      <c r="RWT3" s="146"/>
      <c r="RWU3" s="146"/>
      <c r="RWV3" s="146"/>
      <c r="RWW3" s="146"/>
      <c r="RWX3" s="146"/>
      <c r="RWY3" s="146"/>
      <c r="RWZ3" s="146"/>
      <c r="RXA3" s="146"/>
      <c r="RXB3" s="146"/>
      <c r="RXC3" s="146"/>
      <c r="RXD3" s="146"/>
      <c r="RXE3" s="146"/>
      <c r="RXF3" s="146"/>
      <c r="RXG3" s="146"/>
      <c r="RXH3" s="146"/>
      <c r="RXI3" s="146"/>
      <c r="RXJ3" s="146"/>
      <c r="RXK3" s="146"/>
      <c r="RXL3" s="146"/>
      <c r="RXM3" s="146"/>
      <c r="RXN3" s="146"/>
      <c r="RXO3" s="146"/>
      <c r="RXP3" s="146"/>
      <c r="RXQ3" s="146"/>
      <c r="RXR3" s="146"/>
      <c r="RXS3" s="146"/>
      <c r="RXT3" s="146"/>
      <c r="RXU3" s="146"/>
      <c r="RXV3" s="146"/>
      <c r="RXW3" s="146"/>
      <c r="RXX3" s="146"/>
      <c r="RXY3" s="146"/>
      <c r="RXZ3" s="146"/>
      <c r="RYA3" s="146"/>
      <c r="RYB3" s="146"/>
      <c r="RYC3" s="146"/>
      <c r="RYD3" s="146"/>
      <c r="RYE3" s="146"/>
      <c r="RYF3" s="146"/>
      <c r="RYG3" s="146"/>
      <c r="RYH3" s="146"/>
      <c r="RYI3" s="146"/>
      <c r="RYJ3" s="146"/>
      <c r="RYK3" s="146"/>
      <c r="RYL3" s="146"/>
      <c r="RYM3" s="146"/>
      <c r="RYN3" s="146"/>
      <c r="RYO3" s="146"/>
      <c r="RYP3" s="146"/>
      <c r="RYQ3" s="146"/>
      <c r="RYR3" s="146"/>
      <c r="RYS3" s="146"/>
      <c r="RYT3" s="146"/>
      <c r="RYU3" s="146"/>
      <c r="RYV3" s="146"/>
      <c r="RYW3" s="146"/>
      <c r="RYX3" s="146"/>
      <c r="RYY3" s="146"/>
      <c r="RYZ3" s="146"/>
      <c r="RZA3" s="146"/>
      <c r="RZB3" s="146"/>
      <c r="RZC3" s="146"/>
      <c r="RZD3" s="146"/>
      <c r="RZE3" s="146"/>
      <c r="RZF3" s="146"/>
      <c r="RZG3" s="146"/>
      <c r="RZH3" s="146"/>
      <c r="RZI3" s="146"/>
      <c r="RZJ3" s="146"/>
      <c r="RZK3" s="146"/>
      <c r="RZL3" s="146"/>
      <c r="RZM3" s="146"/>
      <c r="RZN3" s="146"/>
      <c r="RZO3" s="146"/>
      <c r="RZP3" s="146"/>
      <c r="RZQ3" s="146"/>
      <c r="RZR3" s="146"/>
      <c r="RZS3" s="146"/>
      <c r="RZT3" s="146"/>
      <c r="RZU3" s="146"/>
      <c r="RZV3" s="146"/>
      <c r="RZW3" s="146"/>
      <c r="RZX3" s="146"/>
      <c r="RZY3" s="146"/>
      <c r="RZZ3" s="146"/>
      <c r="SAA3" s="146"/>
      <c r="SAB3" s="146"/>
      <c r="SAC3" s="146"/>
      <c r="SAD3" s="146"/>
      <c r="SAE3" s="146"/>
      <c r="SAF3" s="146"/>
      <c r="SAG3" s="146"/>
      <c r="SAH3" s="146"/>
      <c r="SAI3" s="146"/>
      <c r="SAJ3" s="146"/>
      <c r="SAK3" s="146"/>
      <c r="SAL3" s="146"/>
      <c r="SAM3" s="146"/>
      <c r="SAN3" s="146"/>
      <c r="SAO3" s="146"/>
      <c r="SAP3" s="146"/>
      <c r="SAQ3" s="146"/>
      <c r="SAR3" s="146"/>
      <c r="SAS3" s="146"/>
      <c r="SAT3" s="146"/>
      <c r="SAU3" s="146"/>
      <c r="SAV3" s="146"/>
      <c r="SAW3" s="146"/>
      <c r="SAX3" s="146"/>
      <c r="SAY3" s="146"/>
      <c r="SAZ3" s="146"/>
      <c r="SBA3" s="146"/>
      <c r="SBB3" s="146"/>
      <c r="SBC3" s="146"/>
      <c r="SBD3" s="146"/>
      <c r="SBE3" s="146"/>
      <c r="SBF3" s="146"/>
      <c r="SBG3" s="146"/>
      <c r="SBH3" s="146"/>
      <c r="SBI3" s="146"/>
      <c r="SBJ3" s="146"/>
      <c r="SBK3" s="146"/>
      <c r="SBL3" s="146"/>
      <c r="SBM3" s="146"/>
      <c r="SBN3" s="146"/>
      <c r="SBO3" s="146"/>
      <c r="SBP3" s="146"/>
      <c r="SBQ3" s="146"/>
      <c r="SBR3" s="146"/>
      <c r="SBS3" s="146"/>
      <c r="SBT3" s="146"/>
      <c r="SBU3" s="146"/>
      <c r="SBV3" s="146"/>
      <c r="SBW3" s="146"/>
      <c r="SBX3" s="146"/>
      <c r="SBY3" s="146"/>
      <c r="SBZ3" s="146"/>
      <c r="SCA3" s="146"/>
      <c r="SCB3" s="146"/>
      <c r="SCC3" s="146"/>
      <c r="SCD3" s="146"/>
      <c r="SCE3" s="146"/>
      <c r="SCF3" s="146"/>
      <c r="SCG3" s="146"/>
      <c r="SCH3" s="146"/>
      <c r="SCI3" s="146"/>
      <c r="SCJ3" s="146"/>
      <c r="SCK3" s="146"/>
      <c r="SCL3" s="146"/>
      <c r="SCM3" s="146"/>
      <c r="SCN3" s="146"/>
      <c r="SCO3" s="146"/>
      <c r="SCP3" s="146"/>
      <c r="SCQ3" s="146"/>
      <c r="SCR3" s="146"/>
      <c r="SCS3" s="146"/>
      <c r="SCT3" s="146"/>
      <c r="SCU3" s="146"/>
      <c r="SCV3" s="146"/>
      <c r="SCW3" s="146"/>
      <c r="SCX3" s="146"/>
      <c r="SCY3" s="146"/>
      <c r="SCZ3" s="146"/>
      <c r="SDA3" s="146"/>
      <c r="SDB3" s="146"/>
      <c r="SDC3" s="146"/>
      <c r="SDD3" s="146"/>
      <c r="SDE3" s="146"/>
      <c r="SDF3" s="146"/>
      <c r="SDG3" s="146"/>
      <c r="SDH3" s="146"/>
      <c r="SDI3" s="146"/>
      <c r="SDJ3" s="146"/>
      <c r="SDK3" s="146"/>
      <c r="SDL3" s="146"/>
      <c r="SDM3" s="146"/>
      <c r="SDN3" s="146"/>
      <c r="SDO3" s="146"/>
      <c r="SDP3" s="146"/>
      <c r="SDQ3" s="146"/>
      <c r="SDR3" s="146"/>
      <c r="SDS3" s="146"/>
      <c r="SDT3" s="146"/>
      <c r="SDU3" s="146"/>
      <c r="SDV3" s="146"/>
      <c r="SDW3" s="146"/>
      <c r="SDX3" s="146"/>
      <c r="SDY3" s="146"/>
      <c r="SDZ3" s="146"/>
      <c r="SEA3" s="146"/>
      <c r="SEB3" s="146"/>
      <c r="SEC3" s="146"/>
      <c r="SED3" s="146"/>
      <c r="SEE3" s="146"/>
      <c r="SEF3" s="146"/>
      <c r="SEG3" s="146"/>
      <c r="SEH3" s="146"/>
      <c r="SEI3" s="146"/>
      <c r="SEJ3" s="146"/>
      <c r="SEK3" s="146"/>
      <c r="SEL3" s="146"/>
      <c r="SEM3" s="146"/>
      <c r="SEN3" s="146"/>
      <c r="SEO3" s="146"/>
      <c r="SEP3" s="146"/>
      <c r="SEQ3" s="146"/>
      <c r="SER3" s="146"/>
      <c r="SES3" s="146"/>
      <c r="SET3" s="146"/>
      <c r="SEU3" s="146"/>
      <c r="SEV3" s="146"/>
      <c r="SEW3" s="146"/>
      <c r="SEX3" s="146"/>
      <c r="SEY3" s="146"/>
      <c r="SEZ3" s="146"/>
      <c r="SFA3" s="146"/>
      <c r="SFB3" s="146"/>
      <c r="SFC3" s="146"/>
      <c r="SFD3" s="146"/>
      <c r="SFE3" s="146"/>
      <c r="SFF3" s="146"/>
      <c r="SFG3" s="146"/>
      <c r="SFH3" s="146"/>
      <c r="SFI3" s="146"/>
      <c r="SFJ3" s="146"/>
      <c r="SFK3" s="146"/>
      <c r="SFL3" s="146"/>
      <c r="SFM3" s="146"/>
      <c r="SFN3" s="146"/>
      <c r="SFO3" s="146"/>
      <c r="SFP3" s="146"/>
      <c r="SFQ3" s="146"/>
      <c r="SFR3" s="146"/>
      <c r="SFS3" s="146"/>
      <c r="SFT3" s="146"/>
      <c r="SFU3" s="146"/>
      <c r="SFV3" s="146"/>
      <c r="SFW3" s="146"/>
      <c r="SFX3" s="146"/>
      <c r="SFY3" s="146"/>
      <c r="SFZ3" s="146"/>
      <c r="SGA3" s="146"/>
      <c r="SGB3" s="146"/>
      <c r="SGC3" s="146"/>
      <c r="SGD3" s="146"/>
      <c r="SGE3" s="146"/>
      <c r="SGF3" s="146"/>
      <c r="SGG3" s="146"/>
      <c r="SGH3" s="146"/>
      <c r="SGI3" s="146"/>
      <c r="SGJ3" s="146"/>
      <c r="SGK3" s="146"/>
      <c r="SGL3" s="146"/>
      <c r="SGM3" s="146"/>
      <c r="SGN3" s="146"/>
      <c r="SGO3" s="146"/>
      <c r="SGP3" s="146"/>
      <c r="SGQ3" s="146"/>
      <c r="SGR3" s="146"/>
      <c r="SGS3" s="146"/>
      <c r="SGT3" s="146"/>
      <c r="SGU3" s="146"/>
      <c r="SGV3" s="146"/>
      <c r="SGW3" s="146"/>
      <c r="SGX3" s="146"/>
      <c r="SGY3" s="146"/>
      <c r="SGZ3" s="146"/>
      <c r="SHA3" s="146"/>
      <c r="SHB3" s="146"/>
      <c r="SHC3" s="146"/>
      <c r="SHD3" s="146"/>
      <c r="SHE3" s="146"/>
      <c r="SHF3" s="146"/>
      <c r="SHG3" s="146"/>
      <c r="SHH3" s="146"/>
      <c r="SHI3" s="146"/>
      <c r="SHJ3" s="146"/>
      <c r="SHK3" s="146"/>
      <c r="SHL3" s="146"/>
      <c r="SHM3" s="146"/>
      <c r="SHN3" s="146"/>
      <c r="SHO3" s="146"/>
      <c r="SHP3" s="146"/>
      <c r="SHQ3" s="146"/>
      <c r="SHR3" s="146"/>
      <c r="SHS3" s="146"/>
      <c r="SHT3" s="146"/>
      <c r="SHU3" s="146"/>
      <c r="SHV3" s="146"/>
      <c r="SHW3" s="146"/>
      <c r="SHX3" s="146"/>
      <c r="SHY3" s="146"/>
      <c r="SHZ3" s="146"/>
      <c r="SIA3" s="146"/>
      <c r="SIB3" s="146"/>
      <c r="SIC3" s="146"/>
      <c r="SID3" s="146"/>
      <c r="SIE3" s="146"/>
      <c r="SIF3" s="146"/>
      <c r="SIG3" s="146"/>
      <c r="SIH3" s="146"/>
      <c r="SII3" s="146"/>
      <c r="SIJ3" s="146"/>
      <c r="SIK3" s="146"/>
      <c r="SIL3" s="146"/>
      <c r="SIM3" s="146"/>
      <c r="SIN3" s="146"/>
      <c r="SIO3" s="146"/>
      <c r="SIP3" s="146"/>
      <c r="SIQ3" s="146"/>
      <c r="SIR3" s="146"/>
      <c r="SIS3" s="146"/>
      <c r="SIT3" s="146"/>
      <c r="SIU3" s="146"/>
      <c r="SIV3" s="146"/>
      <c r="SIW3" s="146"/>
      <c r="SIX3" s="146"/>
      <c r="SIY3" s="146"/>
      <c r="SIZ3" s="146"/>
      <c r="SJA3" s="146"/>
      <c r="SJB3" s="146"/>
      <c r="SJC3" s="146"/>
      <c r="SJD3" s="146"/>
      <c r="SJE3" s="146"/>
      <c r="SJF3" s="146"/>
      <c r="SJG3" s="146"/>
      <c r="SJH3" s="146"/>
      <c r="SJI3" s="146"/>
      <c r="SJJ3" s="146"/>
      <c r="SJK3" s="146"/>
      <c r="SJL3" s="146"/>
      <c r="SJM3" s="146"/>
      <c r="SJN3" s="146"/>
      <c r="SJO3" s="146"/>
      <c r="SJP3" s="146"/>
      <c r="SJQ3" s="146"/>
      <c r="SJR3" s="146"/>
      <c r="SJS3" s="146"/>
      <c r="SJT3" s="146"/>
      <c r="SJU3" s="146"/>
      <c r="SJV3" s="146"/>
      <c r="SJW3" s="146"/>
      <c r="SJX3" s="146"/>
      <c r="SJY3" s="146"/>
      <c r="SJZ3" s="146"/>
      <c r="SKA3" s="146"/>
      <c r="SKB3" s="146"/>
      <c r="SKC3" s="146"/>
      <c r="SKD3" s="146"/>
      <c r="SKE3" s="146"/>
      <c r="SKF3" s="146"/>
      <c r="SKG3" s="146"/>
      <c r="SKH3" s="146"/>
      <c r="SKI3" s="146"/>
      <c r="SKJ3" s="146"/>
      <c r="SKK3" s="146"/>
      <c r="SKL3" s="146"/>
      <c r="SKM3" s="146"/>
      <c r="SKN3" s="146"/>
      <c r="SKO3" s="146"/>
      <c r="SKP3" s="146"/>
      <c r="SKQ3" s="146"/>
      <c r="SKR3" s="146"/>
      <c r="SKS3" s="146"/>
      <c r="SKT3" s="146"/>
      <c r="SKU3" s="146"/>
      <c r="SKV3" s="146"/>
      <c r="SKW3" s="146"/>
      <c r="SKX3" s="146"/>
      <c r="SKY3" s="146"/>
      <c r="SKZ3" s="146"/>
      <c r="SLA3" s="146"/>
      <c r="SLB3" s="146"/>
      <c r="SLC3" s="146"/>
      <c r="SLD3" s="146"/>
      <c r="SLE3" s="146"/>
      <c r="SLF3" s="146"/>
      <c r="SLG3" s="146"/>
      <c r="SLH3" s="146"/>
      <c r="SLI3" s="146"/>
      <c r="SLJ3" s="146"/>
      <c r="SLK3" s="146"/>
      <c r="SLL3" s="146"/>
      <c r="SLM3" s="146"/>
      <c r="SLN3" s="146"/>
      <c r="SLO3" s="146"/>
      <c r="SLP3" s="146"/>
      <c r="SLQ3" s="146"/>
      <c r="SLR3" s="146"/>
      <c r="SLS3" s="146"/>
      <c r="SLT3" s="146"/>
      <c r="SLU3" s="146"/>
      <c r="SLV3" s="146"/>
      <c r="SLW3" s="146"/>
      <c r="SLX3" s="146"/>
      <c r="SLY3" s="146"/>
      <c r="SLZ3" s="146"/>
      <c r="SMA3" s="146"/>
      <c r="SMB3" s="146"/>
      <c r="SMC3" s="146"/>
      <c r="SMD3" s="146"/>
      <c r="SME3" s="146"/>
      <c r="SMF3" s="146"/>
      <c r="SMG3" s="146"/>
      <c r="SMH3" s="146"/>
      <c r="SMI3" s="146"/>
      <c r="SMJ3" s="146"/>
      <c r="SMK3" s="146"/>
      <c r="SML3" s="146"/>
      <c r="SMM3" s="146"/>
      <c r="SMN3" s="146"/>
      <c r="SMO3" s="146"/>
      <c r="SMP3" s="146"/>
      <c r="SMQ3" s="146"/>
      <c r="SMR3" s="146"/>
      <c r="SMS3" s="146"/>
      <c r="SMT3" s="146"/>
      <c r="SMU3" s="146"/>
      <c r="SMV3" s="146"/>
      <c r="SMW3" s="146"/>
      <c r="SMX3" s="146"/>
      <c r="SMY3" s="146"/>
      <c r="SMZ3" s="146"/>
      <c r="SNA3" s="146"/>
      <c r="SNB3" s="146"/>
      <c r="SNC3" s="146"/>
      <c r="SND3" s="146"/>
      <c r="SNE3" s="146"/>
      <c r="SNF3" s="146"/>
      <c r="SNG3" s="146"/>
      <c r="SNH3" s="146"/>
      <c r="SNI3" s="146"/>
      <c r="SNJ3" s="146"/>
      <c r="SNK3" s="146"/>
      <c r="SNL3" s="146"/>
      <c r="SNM3" s="146"/>
      <c r="SNN3" s="146"/>
      <c r="SNO3" s="146"/>
      <c r="SNP3" s="146"/>
      <c r="SNQ3" s="146"/>
      <c r="SNR3" s="146"/>
      <c r="SNS3" s="146"/>
      <c r="SNT3" s="146"/>
      <c r="SNU3" s="146"/>
      <c r="SNV3" s="146"/>
      <c r="SNW3" s="146"/>
      <c r="SNX3" s="146"/>
      <c r="SNY3" s="146"/>
      <c r="SNZ3" s="146"/>
      <c r="SOA3" s="146"/>
      <c r="SOB3" s="146"/>
      <c r="SOC3" s="146"/>
      <c r="SOD3" s="146"/>
      <c r="SOE3" s="146"/>
      <c r="SOF3" s="146"/>
      <c r="SOG3" s="146"/>
      <c r="SOH3" s="146"/>
      <c r="SOI3" s="146"/>
      <c r="SOJ3" s="146"/>
      <c r="SOK3" s="146"/>
      <c r="SOL3" s="146"/>
      <c r="SOM3" s="146"/>
      <c r="SON3" s="146"/>
      <c r="SOO3" s="146"/>
      <c r="SOP3" s="146"/>
      <c r="SOQ3" s="146"/>
      <c r="SOR3" s="146"/>
      <c r="SOS3" s="146"/>
      <c r="SOT3" s="146"/>
      <c r="SOU3" s="146"/>
      <c r="SOV3" s="146"/>
      <c r="SOW3" s="146"/>
      <c r="SOX3" s="146"/>
      <c r="SOY3" s="146"/>
      <c r="SOZ3" s="146"/>
      <c r="SPA3" s="146"/>
      <c r="SPB3" s="146"/>
      <c r="SPC3" s="146"/>
      <c r="SPD3" s="146"/>
      <c r="SPE3" s="146"/>
      <c r="SPF3" s="146"/>
      <c r="SPG3" s="146"/>
      <c r="SPH3" s="146"/>
      <c r="SPI3" s="146"/>
      <c r="SPJ3" s="146"/>
      <c r="SPK3" s="146"/>
      <c r="SPL3" s="146"/>
      <c r="SPM3" s="146"/>
      <c r="SPN3" s="146"/>
      <c r="SPO3" s="146"/>
      <c r="SPP3" s="146"/>
      <c r="SPQ3" s="146"/>
      <c r="SPR3" s="146"/>
      <c r="SPS3" s="146"/>
      <c r="SPT3" s="146"/>
      <c r="SPU3" s="146"/>
      <c r="SPV3" s="146"/>
      <c r="SPW3" s="146"/>
      <c r="SPX3" s="146"/>
      <c r="SPY3" s="146"/>
      <c r="SPZ3" s="146"/>
      <c r="SQA3" s="146"/>
      <c r="SQB3" s="146"/>
      <c r="SQC3" s="146"/>
      <c r="SQD3" s="146"/>
      <c r="SQE3" s="146"/>
      <c r="SQF3" s="146"/>
      <c r="SQG3" s="146"/>
      <c r="SQH3" s="146"/>
      <c r="SQI3" s="146"/>
      <c r="SQJ3" s="146"/>
      <c r="SQK3" s="146"/>
      <c r="SQL3" s="146"/>
      <c r="SQM3" s="146"/>
      <c r="SQN3" s="146"/>
      <c r="SQO3" s="146"/>
      <c r="SQP3" s="146"/>
      <c r="SQQ3" s="146"/>
      <c r="SQR3" s="146"/>
      <c r="SQS3" s="146"/>
      <c r="SQT3" s="146"/>
      <c r="SQU3" s="146"/>
      <c r="SQV3" s="146"/>
      <c r="SQW3" s="146"/>
      <c r="SQX3" s="146"/>
      <c r="SQY3" s="146"/>
      <c r="SQZ3" s="146"/>
      <c r="SRA3" s="146"/>
      <c r="SRB3" s="146"/>
      <c r="SRC3" s="146"/>
      <c r="SRD3" s="146"/>
      <c r="SRE3" s="146"/>
      <c r="SRF3" s="146"/>
      <c r="SRG3" s="146"/>
      <c r="SRH3" s="146"/>
      <c r="SRI3" s="146"/>
      <c r="SRJ3" s="146"/>
      <c r="SRK3" s="146"/>
      <c r="SRL3" s="146"/>
      <c r="SRM3" s="146"/>
      <c r="SRN3" s="146"/>
      <c r="SRO3" s="146"/>
      <c r="SRP3" s="146"/>
      <c r="SRQ3" s="146"/>
      <c r="SRR3" s="146"/>
      <c r="SRS3" s="146"/>
      <c r="SRT3" s="146"/>
      <c r="SRU3" s="146"/>
      <c r="SRV3" s="146"/>
      <c r="SRW3" s="146"/>
      <c r="SRX3" s="146"/>
      <c r="SRY3" s="146"/>
      <c r="SRZ3" s="146"/>
      <c r="SSA3" s="146"/>
      <c r="SSB3" s="146"/>
      <c r="SSC3" s="146"/>
      <c r="SSD3" s="146"/>
      <c r="SSE3" s="146"/>
      <c r="SSF3" s="146"/>
      <c r="SSG3" s="146"/>
      <c r="SSH3" s="146"/>
      <c r="SSI3" s="146"/>
      <c r="SSJ3" s="146"/>
      <c r="SSK3" s="146"/>
      <c r="SSL3" s="146"/>
      <c r="SSM3" s="146"/>
      <c r="SSN3" s="146"/>
      <c r="SSO3" s="146"/>
      <c r="SSP3" s="146"/>
      <c r="SSQ3" s="146"/>
      <c r="SSR3" s="146"/>
      <c r="SSS3" s="146"/>
      <c r="SST3" s="146"/>
      <c r="SSU3" s="146"/>
      <c r="SSV3" s="146"/>
      <c r="SSW3" s="146"/>
      <c r="SSX3" s="146"/>
      <c r="SSY3" s="146"/>
      <c r="SSZ3" s="146"/>
      <c r="STA3" s="146"/>
      <c r="STB3" s="146"/>
      <c r="STC3" s="146"/>
      <c r="STD3" s="146"/>
      <c r="STE3" s="146"/>
      <c r="STF3" s="146"/>
      <c r="STG3" s="146"/>
      <c r="STH3" s="146"/>
      <c r="STI3" s="146"/>
      <c r="STJ3" s="146"/>
      <c r="STK3" s="146"/>
      <c r="STL3" s="146"/>
      <c r="STM3" s="146"/>
      <c r="STN3" s="146"/>
      <c r="STO3" s="146"/>
      <c r="STP3" s="146"/>
      <c r="STQ3" s="146"/>
      <c r="STR3" s="146"/>
      <c r="STS3" s="146"/>
      <c r="STT3" s="146"/>
      <c r="STU3" s="146"/>
      <c r="STV3" s="146"/>
      <c r="STW3" s="146"/>
      <c r="STX3" s="146"/>
      <c r="STY3" s="146"/>
      <c r="STZ3" s="146"/>
      <c r="SUA3" s="146"/>
      <c r="SUB3" s="146"/>
      <c r="SUC3" s="146"/>
      <c r="SUD3" s="146"/>
      <c r="SUE3" s="146"/>
      <c r="SUF3" s="146"/>
      <c r="SUG3" s="146"/>
      <c r="SUH3" s="146"/>
      <c r="SUI3" s="146"/>
      <c r="SUJ3" s="146"/>
      <c r="SUK3" s="146"/>
      <c r="SUL3" s="146"/>
      <c r="SUM3" s="146"/>
      <c r="SUN3" s="146"/>
      <c r="SUO3" s="146"/>
      <c r="SUP3" s="146"/>
      <c r="SUQ3" s="146"/>
      <c r="SUR3" s="146"/>
      <c r="SUS3" s="146"/>
      <c r="SUT3" s="146"/>
      <c r="SUU3" s="146"/>
      <c r="SUV3" s="146"/>
      <c r="SUW3" s="146"/>
      <c r="SUX3" s="146"/>
      <c r="SUY3" s="146"/>
      <c r="SUZ3" s="146"/>
      <c r="SVA3" s="146"/>
      <c r="SVB3" s="146"/>
      <c r="SVC3" s="146"/>
      <c r="SVD3" s="146"/>
      <c r="SVE3" s="146"/>
      <c r="SVF3" s="146"/>
      <c r="SVG3" s="146"/>
      <c r="SVH3" s="146"/>
      <c r="SVI3" s="146"/>
      <c r="SVJ3" s="146"/>
      <c r="SVK3" s="146"/>
      <c r="SVL3" s="146"/>
      <c r="SVM3" s="146"/>
      <c r="SVN3" s="146"/>
      <c r="SVO3" s="146"/>
      <c r="SVP3" s="146"/>
      <c r="SVQ3" s="146"/>
      <c r="SVR3" s="146"/>
      <c r="SVS3" s="146"/>
      <c r="SVT3" s="146"/>
      <c r="SVU3" s="146"/>
      <c r="SVV3" s="146"/>
      <c r="SVW3" s="146"/>
      <c r="SVX3" s="146"/>
      <c r="SVY3" s="146"/>
      <c r="SVZ3" s="146"/>
      <c r="SWA3" s="146"/>
      <c r="SWB3" s="146"/>
      <c r="SWC3" s="146"/>
      <c r="SWD3" s="146"/>
      <c r="SWE3" s="146"/>
      <c r="SWF3" s="146"/>
      <c r="SWG3" s="146"/>
      <c r="SWH3" s="146"/>
      <c r="SWI3" s="146"/>
      <c r="SWJ3" s="146"/>
      <c r="SWK3" s="146"/>
      <c r="SWL3" s="146"/>
      <c r="SWM3" s="146"/>
      <c r="SWN3" s="146"/>
      <c r="SWO3" s="146"/>
      <c r="SWP3" s="146"/>
      <c r="SWQ3" s="146"/>
      <c r="SWR3" s="146"/>
      <c r="SWS3" s="146"/>
      <c r="SWT3" s="146"/>
      <c r="SWU3" s="146"/>
      <c r="SWV3" s="146"/>
      <c r="SWW3" s="146"/>
      <c r="SWX3" s="146"/>
      <c r="SWY3" s="146"/>
      <c r="SWZ3" s="146"/>
      <c r="SXA3" s="146"/>
      <c r="SXB3" s="146"/>
      <c r="SXC3" s="146"/>
      <c r="SXD3" s="146"/>
      <c r="SXE3" s="146"/>
      <c r="SXF3" s="146"/>
      <c r="SXG3" s="146"/>
      <c r="SXH3" s="146"/>
      <c r="SXI3" s="146"/>
      <c r="SXJ3" s="146"/>
      <c r="SXK3" s="146"/>
      <c r="SXL3" s="146"/>
      <c r="SXM3" s="146"/>
      <c r="SXN3" s="146"/>
      <c r="SXO3" s="146"/>
      <c r="SXP3" s="146"/>
      <c r="SXQ3" s="146"/>
      <c r="SXR3" s="146"/>
      <c r="SXS3" s="146"/>
      <c r="SXT3" s="146"/>
      <c r="SXU3" s="146"/>
      <c r="SXV3" s="146"/>
      <c r="SXW3" s="146"/>
      <c r="SXX3" s="146"/>
      <c r="SXY3" s="146"/>
      <c r="SXZ3" s="146"/>
      <c r="SYA3" s="146"/>
      <c r="SYB3" s="146"/>
      <c r="SYC3" s="146"/>
      <c r="SYD3" s="146"/>
      <c r="SYE3" s="146"/>
      <c r="SYF3" s="146"/>
      <c r="SYG3" s="146"/>
      <c r="SYH3" s="146"/>
      <c r="SYI3" s="146"/>
      <c r="SYJ3" s="146"/>
      <c r="SYK3" s="146"/>
      <c r="SYL3" s="146"/>
      <c r="SYM3" s="146"/>
      <c r="SYN3" s="146"/>
      <c r="SYO3" s="146"/>
      <c r="SYP3" s="146"/>
      <c r="SYQ3" s="146"/>
      <c r="SYR3" s="146"/>
      <c r="SYS3" s="146"/>
      <c r="SYT3" s="146"/>
      <c r="SYU3" s="146"/>
      <c r="SYV3" s="146"/>
      <c r="SYW3" s="146"/>
      <c r="SYX3" s="146"/>
      <c r="SYY3" s="146"/>
      <c r="SYZ3" s="146"/>
      <c r="SZA3" s="146"/>
      <c r="SZB3" s="146"/>
      <c r="SZC3" s="146"/>
      <c r="SZD3" s="146"/>
      <c r="SZE3" s="146"/>
      <c r="SZF3" s="146"/>
      <c r="SZG3" s="146"/>
      <c r="SZH3" s="146"/>
      <c r="SZI3" s="146"/>
      <c r="SZJ3" s="146"/>
      <c r="SZK3" s="146"/>
      <c r="SZL3" s="146"/>
      <c r="SZM3" s="146"/>
      <c r="SZN3" s="146"/>
      <c r="SZO3" s="146"/>
      <c r="SZP3" s="146"/>
      <c r="SZQ3" s="146"/>
      <c r="SZR3" s="146"/>
      <c r="SZS3" s="146"/>
      <c r="SZT3" s="146"/>
      <c r="SZU3" s="146"/>
      <c r="SZV3" s="146"/>
      <c r="SZW3" s="146"/>
      <c r="SZX3" s="146"/>
      <c r="SZY3" s="146"/>
      <c r="SZZ3" s="146"/>
      <c r="TAA3" s="146"/>
      <c r="TAB3" s="146"/>
      <c r="TAC3" s="146"/>
      <c r="TAD3" s="146"/>
      <c r="TAE3" s="146"/>
      <c r="TAF3" s="146"/>
      <c r="TAG3" s="146"/>
      <c r="TAH3" s="146"/>
      <c r="TAI3" s="146"/>
      <c r="TAJ3" s="146"/>
      <c r="TAK3" s="146"/>
      <c r="TAL3" s="146"/>
      <c r="TAM3" s="146"/>
      <c r="TAN3" s="146"/>
      <c r="TAO3" s="146"/>
      <c r="TAP3" s="146"/>
      <c r="TAQ3" s="146"/>
      <c r="TAR3" s="146"/>
      <c r="TAS3" s="146"/>
      <c r="TAT3" s="146"/>
      <c r="TAU3" s="146"/>
      <c r="TAV3" s="146"/>
      <c r="TAW3" s="146"/>
      <c r="TAX3" s="146"/>
      <c r="TAY3" s="146"/>
      <c r="TAZ3" s="146"/>
      <c r="TBA3" s="146"/>
      <c r="TBB3" s="146"/>
      <c r="TBC3" s="146"/>
      <c r="TBD3" s="146"/>
      <c r="TBE3" s="146"/>
      <c r="TBF3" s="146"/>
      <c r="TBG3" s="146"/>
      <c r="TBH3" s="146"/>
      <c r="TBI3" s="146"/>
      <c r="TBJ3" s="146"/>
      <c r="TBK3" s="146"/>
      <c r="TBL3" s="146"/>
      <c r="TBM3" s="146"/>
      <c r="TBN3" s="146"/>
      <c r="TBO3" s="146"/>
      <c r="TBP3" s="146"/>
      <c r="TBQ3" s="146"/>
      <c r="TBR3" s="146"/>
      <c r="TBS3" s="146"/>
      <c r="TBT3" s="146"/>
      <c r="TBU3" s="146"/>
      <c r="TBV3" s="146"/>
      <c r="TBW3" s="146"/>
      <c r="TBX3" s="146"/>
      <c r="TBY3" s="146"/>
      <c r="TBZ3" s="146"/>
      <c r="TCA3" s="146"/>
      <c r="TCB3" s="146"/>
      <c r="TCC3" s="146"/>
      <c r="TCD3" s="146"/>
      <c r="TCE3" s="146"/>
      <c r="TCF3" s="146"/>
      <c r="TCG3" s="146"/>
      <c r="TCH3" s="146"/>
      <c r="TCI3" s="146"/>
      <c r="TCJ3" s="146"/>
      <c r="TCK3" s="146"/>
      <c r="TCL3" s="146"/>
      <c r="TCM3" s="146"/>
      <c r="TCN3" s="146"/>
      <c r="TCO3" s="146"/>
      <c r="TCP3" s="146"/>
      <c r="TCQ3" s="146"/>
      <c r="TCR3" s="146"/>
      <c r="TCS3" s="146"/>
      <c r="TCT3" s="146"/>
      <c r="TCU3" s="146"/>
      <c r="TCV3" s="146"/>
      <c r="TCW3" s="146"/>
      <c r="TCX3" s="146"/>
      <c r="TCY3" s="146"/>
      <c r="TCZ3" s="146"/>
      <c r="TDA3" s="146"/>
      <c r="TDB3" s="146"/>
      <c r="TDC3" s="146"/>
      <c r="TDD3" s="146"/>
      <c r="TDE3" s="146"/>
      <c r="TDF3" s="146"/>
      <c r="TDG3" s="146"/>
      <c r="TDH3" s="146"/>
      <c r="TDI3" s="146"/>
      <c r="TDJ3" s="146"/>
      <c r="TDK3" s="146"/>
      <c r="TDL3" s="146"/>
      <c r="TDM3" s="146"/>
      <c r="TDN3" s="146"/>
      <c r="TDO3" s="146"/>
      <c r="TDP3" s="146"/>
      <c r="TDQ3" s="146"/>
      <c r="TDR3" s="146"/>
      <c r="TDS3" s="146"/>
      <c r="TDT3" s="146"/>
      <c r="TDU3" s="146"/>
      <c r="TDV3" s="146"/>
      <c r="TDW3" s="146"/>
      <c r="TDX3" s="146"/>
      <c r="TDY3" s="146"/>
      <c r="TDZ3" s="146"/>
      <c r="TEA3" s="146"/>
      <c r="TEB3" s="146"/>
      <c r="TEC3" s="146"/>
      <c r="TED3" s="146"/>
      <c r="TEE3" s="146"/>
      <c r="TEF3" s="146"/>
      <c r="TEG3" s="146"/>
      <c r="TEH3" s="146"/>
      <c r="TEI3" s="146"/>
      <c r="TEJ3" s="146"/>
      <c r="TEK3" s="146"/>
      <c r="TEL3" s="146"/>
      <c r="TEM3" s="146"/>
      <c r="TEN3" s="146"/>
      <c r="TEO3" s="146"/>
      <c r="TEP3" s="146"/>
      <c r="TEQ3" s="146"/>
      <c r="TER3" s="146"/>
      <c r="TES3" s="146"/>
      <c r="TET3" s="146"/>
      <c r="TEU3" s="146"/>
      <c r="TEV3" s="146"/>
      <c r="TEW3" s="146"/>
      <c r="TEX3" s="146"/>
      <c r="TEY3" s="146"/>
      <c r="TEZ3" s="146"/>
      <c r="TFA3" s="146"/>
      <c r="TFB3" s="146"/>
      <c r="TFC3" s="146"/>
      <c r="TFD3" s="146"/>
      <c r="TFE3" s="146"/>
      <c r="TFF3" s="146"/>
      <c r="TFG3" s="146"/>
      <c r="TFH3" s="146"/>
      <c r="TFI3" s="146"/>
      <c r="TFJ3" s="146"/>
      <c r="TFK3" s="146"/>
      <c r="TFL3" s="146"/>
      <c r="TFM3" s="146"/>
      <c r="TFN3" s="146"/>
      <c r="TFO3" s="146"/>
      <c r="TFP3" s="146"/>
      <c r="TFQ3" s="146"/>
      <c r="TFR3" s="146"/>
      <c r="TFS3" s="146"/>
      <c r="TFT3" s="146"/>
      <c r="TFU3" s="146"/>
      <c r="TFV3" s="146"/>
      <c r="TFW3" s="146"/>
      <c r="TFX3" s="146"/>
      <c r="TFY3" s="146"/>
      <c r="TFZ3" s="146"/>
      <c r="TGA3" s="146"/>
      <c r="TGB3" s="146"/>
      <c r="TGC3" s="146"/>
      <c r="TGD3" s="146"/>
      <c r="TGE3" s="146"/>
      <c r="TGF3" s="146"/>
      <c r="TGG3" s="146"/>
      <c r="TGH3" s="146"/>
      <c r="TGI3" s="146"/>
      <c r="TGJ3" s="146"/>
      <c r="TGK3" s="146"/>
      <c r="TGL3" s="146"/>
      <c r="TGM3" s="146"/>
      <c r="TGN3" s="146"/>
      <c r="TGO3" s="146"/>
      <c r="TGP3" s="146"/>
      <c r="TGQ3" s="146"/>
      <c r="TGR3" s="146"/>
      <c r="TGS3" s="146"/>
      <c r="TGT3" s="146"/>
      <c r="TGU3" s="146"/>
      <c r="TGV3" s="146"/>
      <c r="TGW3" s="146"/>
      <c r="TGX3" s="146"/>
      <c r="TGY3" s="146"/>
      <c r="TGZ3" s="146"/>
      <c r="THA3" s="146"/>
      <c r="THB3" s="146"/>
      <c r="THC3" s="146"/>
      <c r="THD3" s="146"/>
      <c r="THE3" s="146"/>
      <c r="THF3" s="146"/>
      <c r="THG3" s="146"/>
      <c r="THH3" s="146"/>
      <c r="THI3" s="146"/>
      <c r="THJ3" s="146"/>
      <c r="THK3" s="146"/>
      <c r="THL3" s="146"/>
      <c r="THM3" s="146"/>
      <c r="THN3" s="146"/>
      <c r="THO3" s="146"/>
      <c r="THP3" s="146"/>
      <c r="THQ3" s="146"/>
      <c r="THR3" s="146"/>
      <c r="THS3" s="146"/>
      <c r="THT3" s="146"/>
      <c r="THU3" s="146"/>
      <c r="THV3" s="146"/>
      <c r="THW3" s="146"/>
      <c r="THX3" s="146"/>
      <c r="THY3" s="146"/>
      <c r="THZ3" s="146"/>
      <c r="TIA3" s="146"/>
      <c r="TIB3" s="146"/>
      <c r="TIC3" s="146"/>
      <c r="TID3" s="146"/>
      <c r="TIE3" s="146"/>
      <c r="TIF3" s="146"/>
      <c r="TIG3" s="146"/>
      <c r="TIH3" s="146"/>
      <c r="TII3" s="146"/>
      <c r="TIJ3" s="146"/>
      <c r="TIK3" s="146"/>
      <c r="TIL3" s="146"/>
      <c r="TIM3" s="146"/>
      <c r="TIN3" s="146"/>
      <c r="TIO3" s="146"/>
      <c r="TIP3" s="146"/>
      <c r="TIQ3" s="146"/>
      <c r="TIR3" s="146"/>
      <c r="TIS3" s="146"/>
      <c r="TIT3" s="146"/>
      <c r="TIU3" s="146"/>
      <c r="TIV3" s="146"/>
      <c r="TIW3" s="146"/>
      <c r="TIX3" s="146"/>
      <c r="TIY3" s="146"/>
      <c r="TIZ3" s="146"/>
      <c r="TJA3" s="146"/>
      <c r="TJB3" s="146"/>
      <c r="TJC3" s="146"/>
      <c r="TJD3" s="146"/>
      <c r="TJE3" s="146"/>
      <c r="TJF3" s="146"/>
      <c r="TJG3" s="146"/>
      <c r="TJH3" s="146"/>
      <c r="TJI3" s="146"/>
      <c r="TJJ3" s="146"/>
      <c r="TJK3" s="146"/>
      <c r="TJL3" s="146"/>
      <c r="TJM3" s="146"/>
      <c r="TJN3" s="146"/>
      <c r="TJO3" s="146"/>
      <c r="TJP3" s="146"/>
      <c r="TJQ3" s="146"/>
      <c r="TJR3" s="146"/>
      <c r="TJS3" s="146"/>
      <c r="TJT3" s="146"/>
      <c r="TJU3" s="146"/>
      <c r="TJV3" s="146"/>
      <c r="TJW3" s="146"/>
      <c r="TJX3" s="146"/>
      <c r="TJY3" s="146"/>
      <c r="TJZ3" s="146"/>
      <c r="TKA3" s="146"/>
      <c r="TKB3" s="146"/>
      <c r="TKC3" s="146"/>
      <c r="TKD3" s="146"/>
      <c r="TKE3" s="146"/>
      <c r="TKF3" s="146"/>
      <c r="TKG3" s="146"/>
      <c r="TKH3" s="146"/>
      <c r="TKI3" s="146"/>
      <c r="TKJ3" s="146"/>
      <c r="TKK3" s="146"/>
      <c r="TKL3" s="146"/>
      <c r="TKM3" s="146"/>
      <c r="TKN3" s="146"/>
      <c r="TKO3" s="146"/>
      <c r="TKP3" s="146"/>
      <c r="TKQ3" s="146"/>
      <c r="TKR3" s="146"/>
      <c r="TKS3" s="146"/>
      <c r="TKT3" s="146"/>
      <c r="TKU3" s="146"/>
      <c r="TKV3" s="146"/>
      <c r="TKW3" s="146"/>
      <c r="TKX3" s="146"/>
      <c r="TKY3" s="146"/>
      <c r="TKZ3" s="146"/>
      <c r="TLA3" s="146"/>
      <c r="TLB3" s="146"/>
      <c r="TLC3" s="146"/>
      <c r="TLD3" s="146"/>
      <c r="TLE3" s="146"/>
      <c r="TLF3" s="146"/>
      <c r="TLG3" s="146"/>
      <c r="TLH3" s="146"/>
      <c r="TLI3" s="146"/>
      <c r="TLJ3" s="146"/>
      <c r="TLK3" s="146"/>
      <c r="TLL3" s="146"/>
      <c r="TLM3" s="146"/>
      <c r="TLN3" s="146"/>
      <c r="TLO3" s="146"/>
      <c r="TLP3" s="146"/>
      <c r="TLQ3" s="146"/>
      <c r="TLR3" s="146"/>
      <c r="TLS3" s="146"/>
      <c r="TLT3" s="146"/>
      <c r="TLU3" s="146"/>
      <c r="TLV3" s="146"/>
      <c r="TLW3" s="146"/>
      <c r="TLX3" s="146"/>
      <c r="TLY3" s="146"/>
      <c r="TLZ3" s="146"/>
      <c r="TMA3" s="146"/>
      <c r="TMB3" s="146"/>
      <c r="TMC3" s="146"/>
      <c r="TMD3" s="146"/>
      <c r="TME3" s="146"/>
      <c r="TMF3" s="146"/>
      <c r="TMG3" s="146"/>
      <c r="TMH3" s="146"/>
      <c r="TMI3" s="146"/>
      <c r="TMJ3" s="146"/>
      <c r="TMK3" s="146"/>
      <c r="TML3" s="146"/>
      <c r="TMM3" s="146"/>
      <c r="TMN3" s="146"/>
      <c r="TMO3" s="146"/>
      <c r="TMP3" s="146"/>
      <c r="TMQ3" s="146"/>
      <c r="TMR3" s="146"/>
      <c r="TMS3" s="146"/>
      <c r="TMT3" s="146"/>
      <c r="TMU3" s="146"/>
      <c r="TMV3" s="146"/>
      <c r="TMW3" s="146"/>
      <c r="TMX3" s="146"/>
      <c r="TMY3" s="146"/>
      <c r="TMZ3" s="146"/>
      <c r="TNA3" s="146"/>
      <c r="TNB3" s="146"/>
      <c r="TNC3" s="146"/>
      <c r="TND3" s="146"/>
      <c r="TNE3" s="146"/>
      <c r="TNF3" s="146"/>
      <c r="TNG3" s="146"/>
      <c r="TNH3" s="146"/>
      <c r="TNI3" s="146"/>
      <c r="TNJ3" s="146"/>
      <c r="TNK3" s="146"/>
      <c r="TNL3" s="146"/>
      <c r="TNM3" s="146"/>
      <c r="TNN3" s="146"/>
      <c r="TNO3" s="146"/>
      <c r="TNP3" s="146"/>
      <c r="TNQ3" s="146"/>
      <c r="TNR3" s="146"/>
      <c r="TNS3" s="146"/>
      <c r="TNT3" s="146"/>
      <c r="TNU3" s="146"/>
      <c r="TNV3" s="146"/>
      <c r="TNW3" s="146"/>
      <c r="TNX3" s="146"/>
      <c r="TNY3" s="146"/>
      <c r="TNZ3" s="146"/>
      <c r="TOA3" s="146"/>
      <c r="TOB3" s="146"/>
      <c r="TOC3" s="146"/>
      <c r="TOD3" s="146"/>
      <c r="TOE3" s="146"/>
      <c r="TOF3" s="146"/>
      <c r="TOG3" s="146"/>
      <c r="TOH3" s="146"/>
      <c r="TOI3" s="146"/>
      <c r="TOJ3" s="146"/>
      <c r="TOK3" s="146"/>
      <c r="TOL3" s="146"/>
      <c r="TOM3" s="146"/>
      <c r="TON3" s="146"/>
      <c r="TOO3" s="146"/>
      <c r="TOP3" s="146"/>
      <c r="TOQ3" s="146"/>
      <c r="TOR3" s="146"/>
      <c r="TOS3" s="146"/>
      <c r="TOT3" s="146"/>
      <c r="TOU3" s="146"/>
      <c r="TOV3" s="146"/>
      <c r="TOW3" s="146"/>
      <c r="TOX3" s="146"/>
      <c r="TOY3" s="146"/>
      <c r="TOZ3" s="146"/>
      <c r="TPA3" s="146"/>
      <c r="TPB3" s="146"/>
      <c r="TPC3" s="146"/>
      <c r="TPD3" s="146"/>
      <c r="TPE3" s="146"/>
      <c r="TPF3" s="146"/>
      <c r="TPG3" s="146"/>
      <c r="TPH3" s="146"/>
      <c r="TPI3" s="146"/>
      <c r="TPJ3" s="146"/>
      <c r="TPK3" s="146"/>
      <c r="TPL3" s="146"/>
      <c r="TPM3" s="146"/>
      <c r="TPN3" s="146"/>
      <c r="TPO3" s="146"/>
      <c r="TPP3" s="146"/>
      <c r="TPQ3" s="146"/>
      <c r="TPR3" s="146"/>
      <c r="TPS3" s="146"/>
      <c r="TPT3" s="146"/>
      <c r="TPU3" s="146"/>
      <c r="TPV3" s="146"/>
      <c r="TPW3" s="146"/>
      <c r="TPX3" s="146"/>
      <c r="TPY3" s="146"/>
      <c r="TPZ3" s="146"/>
      <c r="TQA3" s="146"/>
      <c r="TQB3" s="146"/>
      <c r="TQC3" s="146"/>
      <c r="TQD3" s="146"/>
      <c r="TQE3" s="146"/>
      <c r="TQF3" s="146"/>
      <c r="TQG3" s="146"/>
      <c r="TQH3" s="146"/>
      <c r="TQI3" s="146"/>
      <c r="TQJ3" s="146"/>
      <c r="TQK3" s="146"/>
      <c r="TQL3" s="146"/>
      <c r="TQM3" s="146"/>
      <c r="TQN3" s="146"/>
      <c r="TQO3" s="146"/>
      <c r="TQP3" s="146"/>
      <c r="TQQ3" s="146"/>
      <c r="TQR3" s="146"/>
      <c r="TQS3" s="146"/>
      <c r="TQT3" s="146"/>
      <c r="TQU3" s="146"/>
      <c r="TQV3" s="146"/>
      <c r="TQW3" s="146"/>
      <c r="TQX3" s="146"/>
      <c r="TQY3" s="146"/>
      <c r="TQZ3" s="146"/>
      <c r="TRA3" s="146"/>
      <c r="TRB3" s="146"/>
      <c r="TRC3" s="146"/>
      <c r="TRD3" s="146"/>
      <c r="TRE3" s="146"/>
      <c r="TRF3" s="146"/>
      <c r="TRG3" s="146"/>
      <c r="TRH3" s="146"/>
      <c r="TRI3" s="146"/>
      <c r="TRJ3" s="146"/>
      <c r="TRK3" s="146"/>
      <c r="TRL3" s="146"/>
      <c r="TRM3" s="146"/>
      <c r="TRN3" s="146"/>
      <c r="TRO3" s="146"/>
      <c r="TRP3" s="146"/>
      <c r="TRQ3" s="146"/>
      <c r="TRR3" s="146"/>
      <c r="TRS3" s="146"/>
      <c r="TRT3" s="146"/>
      <c r="TRU3" s="146"/>
      <c r="TRV3" s="146"/>
      <c r="TRW3" s="146"/>
      <c r="TRX3" s="146"/>
      <c r="TRY3" s="146"/>
      <c r="TRZ3" s="146"/>
      <c r="TSA3" s="146"/>
      <c r="TSB3" s="146"/>
      <c r="TSC3" s="146"/>
      <c r="TSD3" s="146"/>
      <c r="TSE3" s="146"/>
      <c r="TSF3" s="146"/>
      <c r="TSG3" s="146"/>
      <c r="TSH3" s="146"/>
      <c r="TSI3" s="146"/>
      <c r="TSJ3" s="146"/>
      <c r="TSK3" s="146"/>
      <c r="TSL3" s="146"/>
      <c r="TSM3" s="146"/>
      <c r="TSN3" s="146"/>
      <c r="TSO3" s="146"/>
      <c r="TSP3" s="146"/>
      <c r="TSQ3" s="146"/>
      <c r="TSR3" s="146"/>
      <c r="TSS3" s="146"/>
      <c r="TST3" s="146"/>
      <c r="TSU3" s="146"/>
      <c r="TSV3" s="146"/>
      <c r="TSW3" s="146"/>
      <c r="TSX3" s="146"/>
      <c r="TSY3" s="146"/>
      <c r="TSZ3" s="146"/>
      <c r="TTA3" s="146"/>
      <c r="TTB3" s="146"/>
      <c r="TTC3" s="146"/>
      <c r="TTD3" s="146"/>
      <c r="TTE3" s="146"/>
      <c r="TTF3" s="146"/>
      <c r="TTG3" s="146"/>
      <c r="TTH3" s="146"/>
      <c r="TTI3" s="146"/>
      <c r="TTJ3" s="146"/>
      <c r="TTK3" s="146"/>
      <c r="TTL3" s="146"/>
      <c r="TTM3" s="146"/>
      <c r="TTN3" s="146"/>
      <c r="TTO3" s="146"/>
      <c r="TTP3" s="146"/>
      <c r="TTQ3" s="146"/>
      <c r="TTR3" s="146"/>
      <c r="TTS3" s="146"/>
      <c r="TTT3" s="146"/>
      <c r="TTU3" s="146"/>
      <c r="TTV3" s="146"/>
      <c r="TTW3" s="146"/>
      <c r="TTX3" s="146"/>
      <c r="TTY3" s="146"/>
      <c r="TTZ3" s="146"/>
      <c r="TUA3" s="146"/>
      <c r="TUB3" s="146"/>
      <c r="TUC3" s="146"/>
      <c r="TUD3" s="146"/>
      <c r="TUE3" s="146"/>
      <c r="TUF3" s="146"/>
      <c r="TUG3" s="146"/>
      <c r="TUH3" s="146"/>
      <c r="TUI3" s="146"/>
      <c r="TUJ3" s="146"/>
      <c r="TUK3" s="146"/>
      <c r="TUL3" s="146"/>
      <c r="TUM3" s="146"/>
      <c r="TUN3" s="146"/>
      <c r="TUO3" s="146"/>
      <c r="TUP3" s="146"/>
      <c r="TUQ3" s="146"/>
      <c r="TUR3" s="146"/>
      <c r="TUS3" s="146"/>
      <c r="TUT3" s="146"/>
      <c r="TUU3" s="146"/>
      <c r="TUV3" s="146"/>
      <c r="TUW3" s="146"/>
      <c r="TUX3" s="146"/>
      <c r="TUY3" s="146"/>
      <c r="TUZ3" s="146"/>
      <c r="TVA3" s="146"/>
      <c r="TVB3" s="146"/>
      <c r="TVC3" s="146"/>
      <c r="TVD3" s="146"/>
      <c r="TVE3" s="146"/>
      <c r="TVF3" s="146"/>
      <c r="TVG3" s="146"/>
      <c r="TVH3" s="146"/>
      <c r="TVI3" s="146"/>
      <c r="TVJ3" s="146"/>
      <c r="TVK3" s="146"/>
      <c r="TVL3" s="146"/>
      <c r="TVM3" s="146"/>
      <c r="TVN3" s="146"/>
      <c r="TVO3" s="146"/>
      <c r="TVP3" s="146"/>
      <c r="TVQ3" s="146"/>
      <c r="TVR3" s="146"/>
      <c r="TVS3" s="146"/>
      <c r="TVT3" s="146"/>
      <c r="TVU3" s="146"/>
      <c r="TVV3" s="146"/>
      <c r="TVW3" s="146"/>
      <c r="TVX3" s="146"/>
      <c r="TVY3" s="146"/>
      <c r="TVZ3" s="146"/>
      <c r="TWA3" s="146"/>
      <c r="TWB3" s="146"/>
      <c r="TWC3" s="146"/>
      <c r="TWD3" s="146"/>
      <c r="TWE3" s="146"/>
      <c r="TWF3" s="146"/>
      <c r="TWG3" s="146"/>
      <c r="TWH3" s="146"/>
      <c r="TWI3" s="146"/>
      <c r="TWJ3" s="146"/>
      <c r="TWK3" s="146"/>
      <c r="TWL3" s="146"/>
      <c r="TWM3" s="146"/>
      <c r="TWN3" s="146"/>
      <c r="TWO3" s="146"/>
      <c r="TWP3" s="146"/>
      <c r="TWQ3" s="146"/>
      <c r="TWR3" s="146"/>
      <c r="TWS3" s="146"/>
      <c r="TWT3" s="146"/>
      <c r="TWU3" s="146"/>
      <c r="TWV3" s="146"/>
      <c r="TWW3" s="146"/>
      <c r="TWX3" s="146"/>
      <c r="TWY3" s="146"/>
      <c r="TWZ3" s="146"/>
      <c r="TXA3" s="146"/>
      <c r="TXB3" s="146"/>
      <c r="TXC3" s="146"/>
      <c r="TXD3" s="146"/>
      <c r="TXE3" s="146"/>
      <c r="TXF3" s="146"/>
      <c r="TXG3" s="146"/>
      <c r="TXH3" s="146"/>
      <c r="TXI3" s="146"/>
      <c r="TXJ3" s="146"/>
      <c r="TXK3" s="146"/>
      <c r="TXL3" s="146"/>
      <c r="TXM3" s="146"/>
      <c r="TXN3" s="146"/>
      <c r="TXO3" s="146"/>
      <c r="TXP3" s="146"/>
      <c r="TXQ3" s="146"/>
      <c r="TXR3" s="146"/>
      <c r="TXS3" s="146"/>
      <c r="TXT3" s="146"/>
      <c r="TXU3" s="146"/>
      <c r="TXV3" s="146"/>
      <c r="TXW3" s="146"/>
      <c r="TXX3" s="146"/>
      <c r="TXY3" s="146"/>
      <c r="TXZ3" s="146"/>
      <c r="TYA3" s="146"/>
      <c r="TYB3" s="146"/>
      <c r="TYC3" s="146"/>
      <c r="TYD3" s="146"/>
      <c r="TYE3" s="146"/>
      <c r="TYF3" s="146"/>
      <c r="TYG3" s="146"/>
      <c r="TYH3" s="146"/>
      <c r="TYI3" s="146"/>
      <c r="TYJ3" s="146"/>
      <c r="TYK3" s="146"/>
      <c r="TYL3" s="146"/>
      <c r="TYM3" s="146"/>
      <c r="TYN3" s="146"/>
      <c r="TYO3" s="146"/>
      <c r="TYP3" s="146"/>
      <c r="TYQ3" s="146"/>
      <c r="TYR3" s="146"/>
      <c r="TYS3" s="146"/>
      <c r="TYT3" s="146"/>
      <c r="TYU3" s="146"/>
      <c r="TYV3" s="146"/>
      <c r="TYW3" s="146"/>
      <c r="TYX3" s="146"/>
      <c r="TYY3" s="146"/>
      <c r="TYZ3" s="146"/>
      <c r="TZA3" s="146"/>
      <c r="TZB3" s="146"/>
      <c r="TZC3" s="146"/>
      <c r="TZD3" s="146"/>
      <c r="TZE3" s="146"/>
      <c r="TZF3" s="146"/>
      <c r="TZG3" s="146"/>
      <c r="TZH3" s="146"/>
      <c r="TZI3" s="146"/>
      <c r="TZJ3" s="146"/>
      <c r="TZK3" s="146"/>
      <c r="TZL3" s="146"/>
      <c r="TZM3" s="146"/>
      <c r="TZN3" s="146"/>
      <c r="TZO3" s="146"/>
      <c r="TZP3" s="146"/>
      <c r="TZQ3" s="146"/>
      <c r="TZR3" s="146"/>
      <c r="TZS3" s="146"/>
      <c r="TZT3" s="146"/>
      <c r="TZU3" s="146"/>
      <c r="TZV3" s="146"/>
      <c r="TZW3" s="146"/>
      <c r="TZX3" s="146"/>
      <c r="TZY3" s="146"/>
      <c r="TZZ3" s="146"/>
      <c r="UAA3" s="146"/>
      <c r="UAB3" s="146"/>
      <c r="UAC3" s="146"/>
      <c r="UAD3" s="146"/>
      <c r="UAE3" s="146"/>
      <c r="UAF3" s="146"/>
      <c r="UAG3" s="146"/>
      <c r="UAH3" s="146"/>
      <c r="UAI3" s="146"/>
      <c r="UAJ3" s="146"/>
      <c r="UAK3" s="146"/>
      <c r="UAL3" s="146"/>
      <c r="UAM3" s="146"/>
      <c r="UAN3" s="146"/>
      <c r="UAO3" s="146"/>
      <c r="UAP3" s="146"/>
      <c r="UAQ3" s="146"/>
      <c r="UAR3" s="146"/>
      <c r="UAS3" s="146"/>
      <c r="UAT3" s="146"/>
      <c r="UAU3" s="146"/>
      <c r="UAV3" s="146"/>
      <c r="UAW3" s="146"/>
      <c r="UAX3" s="146"/>
      <c r="UAY3" s="146"/>
      <c r="UAZ3" s="146"/>
      <c r="UBA3" s="146"/>
      <c r="UBB3" s="146"/>
      <c r="UBC3" s="146"/>
      <c r="UBD3" s="146"/>
      <c r="UBE3" s="146"/>
      <c r="UBF3" s="146"/>
      <c r="UBG3" s="146"/>
      <c r="UBH3" s="146"/>
      <c r="UBI3" s="146"/>
      <c r="UBJ3" s="146"/>
      <c r="UBK3" s="146"/>
      <c r="UBL3" s="146"/>
      <c r="UBM3" s="146"/>
      <c r="UBN3" s="146"/>
      <c r="UBO3" s="146"/>
      <c r="UBP3" s="146"/>
      <c r="UBQ3" s="146"/>
      <c r="UBR3" s="146"/>
      <c r="UBS3" s="146"/>
      <c r="UBT3" s="146"/>
      <c r="UBU3" s="146"/>
      <c r="UBV3" s="146"/>
      <c r="UBW3" s="146"/>
      <c r="UBX3" s="146"/>
      <c r="UBY3" s="146"/>
      <c r="UBZ3" s="146"/>
      <c r="UCA3" s="146"/>
      <c r="UCB3" s="146"/>
      <c r="UCC3" s="146"/>
      <c r="UCD3" s="146"/>
      <c r="UCE3" s="146"/>
      <c r="UCF3" s="146"/>
      <c r="UCG3" s="146"/>
      <c r="UCH3" s="146"/>
      <c r="UCI3" s="146"/>
      <c r="UCJ3" s="146"/>
      <c r="UCK3" s="146"/>
      <c r="UCL3" s="146"/>
      <c r="UCM3" s="146"/>
      <c r="UCN3" s="146"/>
      <c r="UCO3" s="146"/>
      <c r="UCP3" s="146"/>
      <c r="UCQ3" s="146"/>
      <c r="UCR3" s="146"/>
      <c r="UCS3" s="146"/>
      <c r="UCT3" s="146"/>
      <c r="UCU3" s="146"/>
      <c r="UCV3" s="146"/>
      <c r="UCW3" s="146"/>
      <c r="UCX3" s="146"/>
      <c r="UCY3" s="146"/>
      <c r="UCZ3" s="146"/>
      <c r="UDA3" s="146"/>
      <c r="UDB3" s="146"/>
      <c r="UDC3" s="146"/>
      <c r="UDD3" s="146"/>
      <c r="UDE3" s="146"/>
      <c r="UDF3" s="146"/>
      <c r="UDG3" s="146"/>
      <c r="UDH3" s="146"/>
      <c r="UDI3" s="146"/>
      <c r="UDJ3" s="146"/>
      <c r="UDK3" s="146"/>
      <c r="UDL3" s="146"/>
      <c r="UDM3" s="146"/>
      <c r="UDN3" s="146"/>
      <c r="UDO3" s="146"/>
      <c r="UDP3" s="146"/>
      <c r="UDQ3" s="146"/>
      <c r="UDR3" s="146"/>
      <c r="UDS3" s="146"/>
      <c r="UDT3" s="146"/>
      <c r="UDU3" s="146"/>
      <c r="UDV3" s="146"/>
      <c r="UDW3" s="146"/>
      <c r="UDX3" s="146"/>
      <c r="UDY3" s="146"/>
      <c r="UDZ3" s="146"/>
      <c r="UEA3" s="146"/>
      <c r="UEB3" s="146"/>
      <c r="UEC3" s="146"/>
      <c r="UED3" s="146"/>
      <c r="UEE3" s="146"/>
      <c r="UEF3" s="146"/>
      <c r="UEG3" s="146"/>
      <c r="UEH3" s="146"/>
      <c r="UEI3" s="146"/>
      <c r="UEJ3" s="146"/>
      <c r="UEK3" s="146"/>
      <c r="UEL3" s="146"/>
      <c r="UEM3" s="146"/>
      <c r="UEN3" s="146"/>
      <c r="UEO3" s="146"/>
      <c r="UEP3" s="146"/>
      <c r="UEQ3" s="146"/>
      <c r="UER3" s="146"/>
      <c r="UES3" s="146"/>
      <c r="UET3" s="146"/>
      <c r="UEU3" s="146"/>
      <c r="UEV3" s="146"/>
      <c r="UEW3" s="146"/>
      <c r="UEX3" s="146"/>
      <c r="UEY3" s="146"/>
      <c r="UEZ3" s="146"/>
      <c r="UFA3" s="146"/>
      <c r="UFB3" s="146"/>
      <c r="UFC3" s="146"/>
      <c r="UFD3" s="146"/>
      <c r="UFE3" s="146"/>
      <c r="UFF3" s="146"/>
      <c r="UFG3" s="146"/>
      <c r="UFH3" s="146"/>
      <c r="UFI3" s="146"/>
      <c r="UFJ3" s="146"/>
      <c r="UFK3" s="146"/>
      <c r="UFL3" s="146"/>
      <c r="UFM3" s="146"/>
      <c r="UFN3" s="146"/>
      <c r="UFO3" s="146"/>
      <c r="UFP3" s="146"/>
      <c r="UFQ3" s="146"/>
      <c r="UFR3" s="146"/>
      <c r="UFS3" s="146"/>
      <c r="UFT3" s="146"/>
      <c r="UFU3" s="146"/>
      <c r="UFV3" s="146"/>
      <c r="UFW3" s="146"/>
      <c r="UFX3" s="146"/>
      <c r="UFY3" s="146"/>
      <c r="UFZ3" s="146"/>
      <c r="UGA3" s="146"/>
      <c r="UGB3" s="146"/>
      <c r="UGC3" s="146"/>
      <c r="UGD3" s="146"/>
      <c r="UGE3" s="146"/>
      <c r="UGF3" s="146"/>
      <c r="UGG3" s="146"/>
      <c r="UGH3" s="146"/>
      <c r="UGI3" s="146"/>
      <c r="UGJ3" s="146"/>
      <c r="UGK3" s="146"/>
      <c r="UGL3" s="146"/>
      <c r="UGM3" s="146"/>
      <c r="UGN3" s="146"/>
      <c r="UGO3" s="146"/>
      <c r="UGP3" s="146"/>
      <c r="UGQ3" s="146"/>
      <c r="UGR3" s="146"/>
      <c r="UGS3" s="146"/>
      <c r="UGT3" s="146"/>
      <c r="UGU3" s="146"/>
      <c r="UGV3" s="146"/>
      <c r="UGW3" s="146"/>
      <c r="UGX3" s="146"/>
      <c r="UGY3" s="146"/>
      <c r="UGZ3" s="146"/>
      <c r="UHA3" s="146"/>
      <c r="UHB3" s="146"/>
      <c r="UHC3" s="146"/>
      <c r="UHD3" s="146"/>
      <c r="UHE3" s="146"/>
      <c r="UHF3" s="146"/>
      <c r="UHG3" s="146"/>
      <c r="UHH3" s="146"/>
      <c r="UHI3" s="146"/>
      <c r="UHJ3" s="146"/>
      <c r="UHK3" s="146"/>
      <c r="UHL3" s="146"/>
      <c r="UHM3" s="146"/>
      <c r="UHN3" s="146"/>
      <c r="UHO3" s="146"/>
      <c r="UHP3" s="146"/>
      <c r="UHQ3" s="146"/>
      <c r="UHR3" s="146"/>
      <c r="UHS3" s="146"/>
      <c r="UHT3" s="146"/>
      <c r="UHU3" s="146"/>
      <c r="UHV3" s="146"/>
      <c r="UHW3" s="146"/>
      <c r="UHX3" s="146"/>
      <c r="UHY3" s="146"/>
      <c r="UHZ3" s="146"/>
      <c r="UIA3" s="146"/>
      <c r="UIB3" s="146"/>
      <c r="UIC3" s="146"/>
      <c r="UID3" s="146"/>
      <c r="UIE3" s="146"/>
      <c r="UIF3" s="146"/>
      <c r="UIG3" s="146"/>
      <c r="UIH3" s="146"/>
      <c r="UII3" s="146"/>
      <c r="UIJ3" s="146"/>
      <c r="UIK3" s="146"/>
      <c r="UIL3" s="146"/>
      <c r="UIM3" s="146"/>
      <c r="UIN3" s="146"/>
      <c r="UIO3" s="146"/>
      <c r="UIP3" s="146"/>
      <c r="UIQ3" s="146"/>
      <c r="UIR3" s="146"/>
      <c r="UIS3" s="146"/>
      <c r="UIT3" s="146"/>
      <c r="UIU3" s="146"/>
      <c r="UIV3" s="146"/>
      <c r="UIW3" s="146"/>
      <c r="UIX3" s="146"/>
      <c r="UIY3" s="146"/>
      <c r="UIZ3" s="146"/>
      <c r="UJA3" s="146"/>
      <c r="UJB3" s="146"/>
      <c r="UJC3" s="146"/>
      <c r="UJD3" s="146"/>
      <c r="UJE3" s="146"/>
      <c r="UJF3" s="146"/>
      <c r="UJG3" s="146"/>
      <c r="UJH3" s="146"/>
      <c r="UJI3" s="146"/>
      <c r="UJJ3" s="146"/>
      <c r="UJK3" s="146"/>
      <c r="UJL3" s="146"/>
      <c r="UJM3" s="146"/>
      <c r="UJN3" s="146"/>
      <c r="UJO3" s="146"/>
      <c r="UJP3" s="146"/>
      <c r="UJQ3" s="146"/>
      <c r="UJR3" s="146"/>
      <c r="UJS3" s="146"/>
      <c r="UJT3" s="146"/>
      <c r="UJU3" s="146"/>
      <c r="UJV3" s="146"/>
      <c r="UJW3" s="146"/>
      <c r="UJX3" s="146"/>
      <c r="UJY3" s="146"/>
      <c r="UJZ3" s="146"/>
      <c r="UKA3" s="146"/>
      <c r="UKB3" s="146"/>
      <c r="UKC3" s="146"/>
      <c r="UKD3" s="146"/>
      <c r="UKE3" s="146"/>
      <c r="UKF3" s="146"/>
      <c r="UKG3" s="146"/>
      <c r="UKH3" s="146"/>
      <c r="UKI3" s="146"/>
      <c r="UKJ3" s="146"/>
      <c r="UKK3" s="146"/>
      <c r="UKL3" s="146"/>
      <c r="UKM3" s="146"/>
      <c r="UKN3" s="146"/>
      <c r="UKO3" s="146"/>
      <c r="UKP3" s="146"/>
      <c r="UKQ3" s="146"/>
      <c r="UKR3" s="146"/>
      <c r="UKS3" s="146"/>
      <c r="UKT3" s="146"/>
      <c r="UKU3" s="146"/>
      <c r="UKV3" s="146"/>
      <c r="UKW3" s="146"/>
      <c r="UKX3" s="146"/>
      <c r="UKY3" s="146"/>
      <c r="UKZ3" s="146"/>
      <c r="ULA3" s="146"/>
      <c r="ULB3" s="146"/>
      <c r="ULC3" s="146"/>
      <c r="ULD3" s="146"/>
      <c r="ULE3" s="146"/>
      <c r="ULF3" s="146"/>
      <c r="ULG3" s="146"/>
      <c r="ULH3" s="146"/>
      <c r="ULI3" s="146"/>
      <c r="ULJ3" s="146"/>
      <c r="ULK3" s="146"/>
      <c r="ULL3" s="146"/>
      <c r="ULM3" s="146"/>
      <c r="ULN3" s="146"/>
      <c r="ULO3" s="146"/>
      <c r="ULP3" s="146"/>
      <c r="ULQ3" s="146"/>
      <c r="ULR3" s="146"/>
      <c r="ULS3" s="146"/>
      <c r="ULT3" s="146"/>
      <c r="ULU3" s="146"/>
      <c r="ULV3" s="146"/>
      <c r="ULW3" s="146"/>
      <c r="ULX3" s="146"/>
      <c r="ULY3" s="146"/>
      <c r="ULZ3" s="146"/>
      <c r="UMA3" s="146"/>
      <c r="UMB3" s="146"/>
      <c r="UMC3" s="146"/>
      <c r="UMD3" s="146"/>
      <c r="UME3" s="146"/>
      <c r="UMF3" s="146"/>
      <c r="UMG3" s="146"/>
      <c r="UMH3" s="146"/>
      <c r="UMI3" s="146"/>
      <c r="UMJ3" s="146"/>
      <c r="UMK3" s="146"/>
      <c r="UML3" s="146"/>
      <c r="UMM3" s="146"/>
      <c r="UMN3" s="146"/>
      <c r="UMO3" s="146"/>
      <c r="UMP3" s="146"/>
      <c r="UMQ3" s="146"/>
      <c r="UMR3" s="146"/>
      <c r="UMS3" s="146"/>
      <c r="UMT3" s="146"/>
      <c r="UMU3" s="146"/>
      <c r="UMV3" s="146"/>
      <c r="UMW3" s="146"/>
      <c r="UMX3" s="146"/>
      <c r="UMY3" s="146"/>
      <c r="UMZ3" s="146"/>
      <c r="UNA3" s="146"/>
      <c r="UNB3" s="146"/>
      <c r="UNC3" s="146"/>
      <c r="UND3" s="146"/>
      <c r="UNE3" s="146"/>
      <c r="UNF3" s="146"/>
      <c r="UNG3" s="146"/>
      <c r="UNH3" s="146"/>
      <c r="UNI3" s="146"/>
      <c r="UNJ3" s="146"/>
      <c r="UNK3" s="146"/>
      <c r="UNL3" s="146"/>
      <c r="UNM3" s="146"/>
      <c r="UNN3" s="146"/>
      <c r="UNO3" s="146"/>
      <c r="UNP3" s="146"/>
      <c r="UNQ3" s="146"/>
      <c r="UNR3" s="146"/>
      <c r="UNS3" s="146"/>
      <c r="UNT3" s="146"/>
      <c r="UNU3" s="146"/>
      <c r="UNV3" s="146"/>
      <c r="UNW3" s="146"/>
      <c r="UNX3" s="146"/>
      <c r="UNY3" s="146"/>
      <c r="UNZ3" s="146"/>
      <c r="UOA3" s="146"/>
      <c r="UOB3" s="146"/>
      <c r="UOC3" s="146"/>
      <c r="UOD3" s="146"/>
      <c r="UOE3" s="146"/>
      <c r="UOF3" s="146"/>
      <c r="UOG3" s="146"/>
      <c r="UOH3" s="146"/>
      <c r="UOI3" s="146"/>
      <c r="UOJ3" s="146"/>
      <c r="UOK3" s="146"/>
      <c r="UOL3" s="146"/>
      <c r="UOM3" s="146"/>
      <c r="UON3" s="146"/>
      <c r="UOO3" s="146"/>
      <c r="UOP3" s="146"/>
      <c r="UOQ3" s="146"/>
      <c r="UOR3" s="146"/>
      <c r="UOS3" s="146"/>
      <c r="UOT3" s="146"/>
      <c r="UOU3" s="146"/>
      <c r="UOV3" s="146"/>
      <c r="UOW3" s="146"/>
      <c r="UOX3" s="146"/>
      <c r="UOY3" s="146"/>
      <c r="UOZ3" s="146"/>
      <c r="UPA3" s="146"/>
      <c r="UPB3" s="146"/>
      <c r="UPC3" s="146"/>
      <c r="UPD3" s="146"/>
      <c r="UPE3" s="146"/>
      <c r="UPF3" s="146"/>
      <c r="UPG3" s="146"/>
      <c r="UPH3" s="146"/>
      <c r="UPI3" s="146"/>
      <c r="UPJ3" s="146"/>
      <c r="UPK3" s="146"/>
      <c r="UPL3" s="146"/>
      <c r="UPM3" s="146"/>
      <c r="UPN3" s="146"/>
      <c r="UPO3" s="146"/>
      <c r="UPP3" s="146"/>
      <c r="UPQ3" s="146"/>
      <c r="UPR3" s="146"/>
      <c r="UPS3" s="146"/>
      <c r="UPT3" s="146"/>
      <c r="UPU3" s="146"/>
      <c r="UPV3" s="146"/>
      <c r="UPW3" s="146"/>
      <c r="UPX3" s="146"/>
      <c r="UPY3" s="146"/>
      <c r="UPZ3" s="146"/>
      <c r="UQA3" s="146"/>
      <c r="UQB3" s="146"/>
      <c r="UQC3" s="146"/>
      <c r="UQD3" s="146"/>
      <c r="UQE3" s="146"/>
      <c r="UQF3" s="146"/>
      <c r="UQG3" s="146"/>
      <c r="UQH3" s="146"/>
      <c r="UQI3" s="146"/>
      <c r="UQJ3" s="146"/>
      <c r="UQK3" s="146"/>
      <c r="UQL3" s="146"/>
      <c r="UQM3" s="146"/>
      <c r="UQN3" s="146"/>
      <c r="UQO3" s="146"/>
      <c r="UQP3" s="146"/>
      <c r="UQQ3" s="146"/>
      <c r="UQR3" s="146"/>
      <c r="UQS3" s="146"/>
      <c r="UQT3" s="146"/>
      <c r="UQU3" s="146"/>
      <c r="UQV3" s="146"/>
      <c r="UQW3" s="146"/>
      <c r="UQX3" s="146"/>
      <c r="UQY3" s="146"/>
      <c r="UQZ3" s="146"/>
      <c r="URA3" s="146"/>
      <c r="URB3" s="146"/>
      <c r="URC3" s="146"/>
      <c r="URD3" s="146"/>
      <c r="URE3" s="146"/>
      <c r="URF3" s="146"/>
      <c r="URG3" s="146"/>
      <c r="URH3" s="146"/>
      <c r="URI3" s="146"/>
      <c r="URJ3" s="146"/>
      <c r="URK3" s="146"/>
      <c r="URL3" s="146"/>
      <c r="URM3" s="146"/>
      <c r="URN3" s="146"/>
      <c r="URO3" s="146"/>
      <c r="URP3" s="146"/>
      <c r="URQ3" s="146"/>
      <c r="URR3" s="146"/>
      <c r="URS3" s="146"/>
      <c r="URT3" s="146"/>
      <c r="URU3" s="146"/>
      <c r="URV3" s="146"/>
      <c r="URW3" s="146"/>
      <c r="URX3" s="146"/>
      <c r="URY3" s="146"/>
      <c r="URZ3" s="146"/>
      <c r="USA3" s="146"/>
      <c r="USB3" s="146"/>
      <c r="USC3" s="146"/>
      <c r="USD3" s="146"/>
      <c r="USE3" s="146"/>
      <c r="USF3" s="146"/>
      <c r="USG3" s="146"/>
      <c r="USH3" s="146"/>
      <c r="USI3" s="146"/>
      <c r="USJ3" s="146"/>
      <c r="USK3" s="146"/>
      <c r="USL3" s="146"/>
      <c r="USM3" s="146"/>
      <c r="USN3" s="146"/>
      <c r="USO3" s="146"/>
      <c r="USP3" s="146"/>
      <c r="USQ3" s="146"/>
      <c r="USR3" s="146"/>
      <c r="USS3" s="146"/>
      <c r="UST3" s="146"/>
      <c r="USU3" s="146"/>
      <c r="USV3" s="146"/>
      <c r="USW3" s="146"/>
      <c r="USX3" s="146"/>
      <c r="USY3" s="146"/>
      <c r="USZ3" s="146"/>
      <c r="UTA3" s="146"/>
      <c r="UTB3" s="146"/>
      <c r="UTC3" s="146"/>
      <c r="UTD3" s="146"/>
      <c r="UTE3" s="146"/>
      <c r="UTF3" s="146"/>
      <c r="UTG3" s="146"/>
      <c r="UTH3" s="146"/>
      <c r="UTI3" s="146"/>
      <c r="UTJ3" s="146"/>
      <c r="UTK3" s="146"/>
      <c r="UTL3" s="146"/>
      <c r="UTM3" s="146"/>
      <c r="UTN3" s="146"/>
      <c r="UTO3" s="146"/>
      <c r="UTP3" s="146"/>
      <c r="UTQ3" s="146"/>
      <c r="UTR3" s="146"/>
      <c r="UTS3" s="146"/>
      <c r="UTT3" s="146"/>
      <c r="UTU3" s="146"/>
      <c r="UTV3" s="146"/>
      <c r="UTW3" s="146"/>
      <c r="UTX3" s="146"/>
      <c r="UTY3" s="146"/>
      <c r="UTZ3" s="146"/>
      <c r="UUA3" s="146"/>
      <c r="UUB3" s="146"/>
      <c r="UUC3" s="146"/>
      <c r="UUD3" s="146"/>
      <c r="UUE3" s="146"/>
      <c r="UUF3" s="146"/>
      <c r="UUG3" s="146"/>
      <c r="UUH3" s="146"/>
      <c r="UUI3" s="146"/>
      <c r="UUJ3" s="146"/>
      <c r="UUK3" s="146"/>
      <c r="UUL3" s="146"/>
      <c r="UUM3" s="146"/>
      <c r="UUN3" s="146"/>
      <c r="UUO3" s="146"/>
      <c r="UUP3" s="146"/>
      <c r="UUQ3" s="146"/>
      <c r="UUR3" s="146"/>
      <c r="UUS3" s="146"/>
      <c r="UUT3" s="146"/>
      <c r="UUU3" s="146"/>
      <c r="UUV3" s="146"/>
      <c r="UUW3" s="146"/>
      <c r="UUX3" s="146"/>
      <c r="UUY3" s="146"/>
      <c r="UUZ3" s="146"/>
      <c r="UVA3" s="146"/>
      <c r="UVB3" s="146"/>
      <c r="UVC3" s="146"/>
      <c r="UVD3" s="146"/>
      <c r="UVE3" s="146"/>
      <c r="UVF3" s="146"/>
      <c r="UVG3" s="146"/>
      <c r="UVH3" s="146"/>
      <c r="UVI3" s="146"/>
      <c r="UVJ3" s="146"/>
      <c r="UVK3" s="146"/>
      <c r="UVL3" s="146"/>
      <c r="UVM3" s="146"/>
      <c r="UVN3" s="146"/>
      <c r="UVO3" s="146"/>
      <c r="UVP3" s="146"/>
      <c r="UVQ3" s="146"/>
      <c r="UVR3" s="146"/>
      <c r="UVS3" s="146"/>
      <c r="UVT3" s="146"/>
      <c r="UVU3" s="146"/>
      <c r="UVV3" s="146"/>
      <c r="UVW3" s="146"/>
      <c r="UVX3" s="146"/>
      <c r="UVY3" s="146"/>
      <c r="UVZ3" s="146"/>
      <c r="UWA3" s="146"/>
      <c r="UWB3" s="146"/>
      <c r="UWC3" s="146"/>
      <c r="UWD3" s="146"/>
      <c r="UWE3" s="146"/>
      <c r="UWF3" s="146"/>
      <c r="UWG3" s="146"/>
      <c r="UWH3" s="146"/>
      <c r="UWI3" s="146"/>
      <c r="UWJ3" s="146"/>
      <c r="UWK3" s="146"/>
      <c r="UWL3" s="146"/>
      <c r="UWM3" s="146"/>
      <c r="UWN3" s="146"/>
      <c r="UWO3" s="146"/>
      <c r="UWP3" s="146"/>
      <c r="UWQ3" s="146"/>
      <c r="UWR3" s="146"/>
      <c r="UWS3" s="146"/>
      <c r="UWT3" s="146"/>
      <c r="UWU3" s="146"/>
      <c r="UWV3" s="146"/>
      <c r="UWW3" s="146"/>
      <c r="UWX3" s="146"/>
      <c r="UWY3" s="146"/>
      <c r="UWZ3" s="146"/>
      <c r="UXA3" s="146"/>
      <c r="UXB3" s="146"/>
      <c r="UXC3" s="146"/>
      <c r="UXD3" s="146"/>
      <c r="UXE3" s="146"/>
      <c r="UXF3" s="146"/>
      <c r="UXG3" s="146"/>
      <c r="UXH3" s="146"/>
      <c r="UXI3" s="146"/>
      <c r="UXJ3" s="146"/>
      <c r="UXK3" s="146"/>
      <c r="UXL3" s="146"/>
      <c r="UXM3" s="146"/>
      <c r="UXN3" s="146"/>
      <c r="UXO3" s="146"/>
      <c r="UXP3" s="146"/>
      <c r="UXQ3" s="146"/>
      <c r="UXR3" s="146"/>
      <c r="UXS3" s="146"/>
      <c r="UXT3" s="146"/>
      <c r="UXU3" s="146"/>
      <c r="UXV3" s="146"/>
      <c r="UXW3" s="146"/>
      <c r="UXX3" s="146"/>
      <c r="UXY3" s="146"/>
      <c r="UXZ3" s="146"/>
      <c r="UYA3" s="146"/>
      <c r="UYB3" s="146"/>
      <c r="UYC3" s="146"/>
      <c r="UYD3" s="146"/>
      <c r="UYE3" s="146"/>
      <c r="UYF3" s="146"/>
      <c r="UYG3" s="146"/>
      <c r="UYH3" s="146"/>
      <c r="UYI3" s="146"/>
      <c r="UYJ3" s="146"/>
      <c r="UYK3" s="146"/>
      <c r="UYL3" s="146"/>
      <c r="UYM3" s="146"/>
      <c r="UYN3" s="146"/>
      <c r="UYO3" s="146"/>
      <c r="UYP3" s="146"/>
      <c r="UYQ3" s="146"/>
      <c r="UYR3" s="146"/>
      <c r="UYS3" s="146"/>
      <c r="UYT3" s="146"/>
      <c r="UYU3" s="146"/>
      <c r="UYV3" s="146"/>
      <c r="UYW3" s="146"/>
      <c r="UYX3" s="146"/>
      <c r="UYY3" s="146"/>
      <c r="UYZ3" s="146"/>
      <c r="UZA3" s="146"/>
      <c r="UZB3" s="146"/>
      <c r="UZC3" s="146"/>
      <c r="UZD3" s="146"/>
      <c r="UZE3" s="146"/>
      <c r="UZF3" s="146"/>
      <c r="UZG3" s="146"/>
      <c r="UZH3" s="146"/>
      <c r="UZI3" s="146"/>
      <c r="UZJ3" s="146"/>
      <c r="UZK3" s="146"/>
      <c r="UZL3" s="146"/>
      <c r="UZM3" s="146"/>
      <c r="UZN3" s="146"/>
      <c r="UZO3" s="146"/>
      <c r="UZP3" s="146"/>
      <c r="UZQ3" s="146"/>
      <c r="UZR3" s="146"/>
      <c r="UZS3" s="146"/>
      <c r="UZT3" s="146"/>
      <c r="UZU3" s="146"/>
      <c r="UZV3" s="146"/>
      <c r="UZW3" s="146"/>
      <c r="UZX3" s="146"/>
      <c r="UZY3" s="146"/>
      <c r="UZZ3" s="146"/>
      <c r="VAA3" s="146"/>
      <c r="VAB3" s="146"/>
      <c r="VAC3" s="146"/>
      <c r="VAD3" s="146"/>
      <c r="VAE3" s="146"/>
      <c r="VAF3" s="146"/>
      <c r="VAG3" s="146"/>
      <c r="VAH3" s="146"/>
      <c r="VAI3" s="146"/>
      <c r="VAJ3" s="146"/>
      <c r="VAK3" s="146"/>
      <c r="VAL3" s="146"/>
      <c r="VAM3" s="146"/>
      <c r="VAN3" s="146"/>
      <c r="VAO3" s="146"/>
      <c r="VAP3" s="146"/>
      <c r="VAQ3" s="146"/>
      <c r="VAR3" s="146"/>
      <c r="VAS3" s="146"/>
      <c r="VAT3" s="146"/>
      <c r="VAU3" s="146"/>
      <c r="VAV3" s="146"/>
      <c r="VAW3" s="146"/>
      <c r="VAX3" s="146"/>
      <c r="VAY3" s="146"/>
      <c r="VAZ3" s="146"/>
      <c r="VBA3" s="146"/>
      <c r="VBB3" s="146"/>
      <c r="VBC3" s="146"/>
      <c r="VBD3" s="146"/>
      <c r="VBE3" s="146"/>
      <c r="VBF3" s="146"/>
      <c r="VBG3" s="146"/>
      <c r="VBH3" s="146"/>
      <c r="VBI3" s="146"/>
      <c r="VBJ3" s="146"/>
      <c r="VBK3" s="146"/>
      <c r="VBL3" s="146"/>
      <c r="VBM3" s="146"/>
      <c r="VBN3" s="146"/>
      <c r="VBO3" s="146"/>
      <c r="VBP3" s="146"/>
      <c r="VBQ3" s="146"/>
      <c r="VBR3" s="146"/>
      <c r="VBS3" s="146"/>
      <c r="VBT3" s="146"/>
      <c r="VBU3" s="146"/>
      <c r="VBV3" s="146"/>
      <c r="VBW3" s="146"/>
      <c r="VBX3" s="146"/>
      <c r="VBY3" s="146"/>
      <c r="VBZ3" s="146"/>
      <c r="VCA3" s="146"/>
      <c r="VCB3" s="146"/>
      <c r="VCC3" s="146"/>
      <c r="VCD3" s="146"/>
      <c r="VCE3" s="146"/>
      <c r="VCF3" s="146"/>
      <c r="VCG3" s="146"/>
      <c r="VCH3" s="146"/>
      <c r="VCI3" s="146"/>
      <c r="VCJ3" s="146"/>
      <c r="VCK3" s="146"/>
      <c r="VCL3" s="146"/>
      <c r="VCM3" s="146"/>
      <c r="VCN3" s="146"/>
      <c r="VCO3" s="146"/>
      <c r="VCP3" s="146"/>
      <c r="VCQ3" s="146"/>
      <c r="VCR3" s="146"/>
      <c r="VCS3" s="146"/>
      <c r="VCT3" s="146"/>
      <c r="VCU3" s="146"/>
      <c r="VCV3" s="146"/>
      <c r="VCW3" s="146"/>
      <c r="VCX3" s="146"/>
      <c r="VCY3" s="146"/>
      <c r="VCZ3" s="146"/>
      <c r="VDA3" s="146"/>
      <c r="VDB3" s="146"/>
      <c r="VDC3" s="146"/>
      <c r="VDD3" s="146"/>
      <c r="VDE3" s="146"/>
      <c r="VDF3" s="146"/>
      <c r="VDG3" s="146"/>
      <c r="VDH3" s="146"/>
      <c r="VDI3" s="146"/>
      <c r="VDJ3" s="146"/>
      <c r="VDK3" s="146"/>
      <c r="VDL3" s="146"/>
      <c r="VDM3" s="146"/>
      <c r="VDN3" s="146"/>
      <c r="VDO3" s="146"/>
      <c r="VDP3" s="146"/>
      <c r="VDQ3" s="146"/>
      <c r="VDR3" s="146"/>
      <c r="VDS3" s="146"/>
      <c r="VDT3" s="146"/>
      <c r="VDU3" s="146"/>
      <c r="VDV3" s="146"/>
      <c r="VDW3" s="146"/>
      <c r="VDX3" s="146"/>
      <c r="VDY3" s="146"/>
      <c r="VDZ3" s="146"/>
      <c r="VEA3" s="146"/>
      <c r="VEB3" s="146"/>
      <c r="VEC3" s="146"/>
      <c r="VED3" s="146"/>
      <c r="VEE3" s="146"/>
      <c r="VEF3" s="146"/>
      <c r="VEG3" s="146"/>
      <c r="VEH3" s="146"/>
      <c r="VEI3" s="146"/>
      <c r="VEJ3" s="146"/>
      <c r="VEK3" s="146"/>
      <c r="VEL3" s="146"/>
      <c r="VEM3" s="146"/>
      <c r="VEN3" s="146"/>
      <c r="VEO3" s="146"/>
      <c r="VEP3" s="146"/>
      <c r="VEQ3" s="146"/>
      <c r="VER3" s="146"/>
      <c r="VES3" s="146"/>
      <c r="VET3" s="146"/>
      <c r="VEU3" s="146"/>
      <c r="VEV3" s="146"/>
      <c r="VEW3" s="146"/>
      <c r="VEX3" s="146"/>
      <c r="VEY3" s="146"/>
      <c r="VEZ3" s="146"/>
      <c r="VFA3" s="146"/>
      <c r="VFB3" s="146"/>
      <c r="VFC3" s="146"/>
      <c r="VFD3" s="146"/>
      <c r="VFE3" s="146"/>
      <c r="VFF3" s="146"/>
      <c r="VFG3" s="146"/>
      <c r="VFH3" s="146"/>
      <c r="VFI3" s="146"/>
      <c r="VFJ3" s="146"/>
      <c r="VFK3" s="146"/>
      <c r="VFL3" s="146"/>
      <c r="VFM3" s="146"/>
      <c r="VFN3" s="146"/>
      <c r="VFO3" s="146"/>
      <c r="VFP3" s="146"/>
      <c r="VFQ3" s="146"/>
      <c r="VFR3" s="146"/>
      <c r="VFS3" s="146"/>
      <c r="VFT3" s="146"/>
      <c r="VFU3" s="146"/>
      <c r="VFV3" s="146"/>
      <c r="VFW3" s="146"/>
      <c r="VFX3" s="146"/>
      <c r="VFY3" s="146"/>
      <c r="VFZ3" s="146"/>
      <c r="VGA3" s="146"/>
      <c r="VGB3" s="146"/>
      <c r="VGC3" s="146"/>
      <c r="VGD3" s="146"/>
      <c r="VGE3" s="146"/>
      <c r="VGF3" s="146"/>
      <c r="VGG3" s="146"/>
      <c r="VGH3" s="146"/>
      <c r="VGI3" s="146"/>
      <c r="VGJ3" s="146"/>
      <c r="VGK3" s="146"/>
      <c r="VGL3" s="146"/>
      <c r="VGM3" s="146"/>
      <c r="VGN3" s="146"/>
      <c r="VGO3" s="146"/>
      <c r="VGP3" s="146"/>
      <c r="VGQ3" s="146"/>
      <c r="VGR3" s="146"/>
      <c r="VGS3" s="146"/>
      <c r="VGT3" s="146"/>
      <c r="VGU3" s="146"/>
      <c r="VGV3" s="146"/>
      <c r="VGW3" s="146"/>
      <c r="VGX3" s="146"/>
      <c r="VGY3" s="146"/>
      <c r="VGZ3" s="146"/>
      <c r="VHA3" s="146"/>
      <c r="VHB3" s="146"/>
      <c r="VHC3" s="146"/>
      <c r="VHD3" s="146"/>
      <c r="VHE3" s="146"/>
      <c r="VHF3" s="146"/>
      <c r="VHG3" s="146"/>
      <c r="VHH3" s="146"/>
      <c r="VHI3" s="146"/>
      <c r="VHJ3" s="146"/>
      <c r="VHK3" s="146"/>
      <c r="VHL3" s="146"/>
      <c r="VHM3" s="146"/>
      <c r="VHN3" s="146"/>
      <c r="VHO3" s="146"/>
      <c r="VHP3" s="146"/>
      <c r="VHQ3" s="146"/>
      <c r="VHR3" s="146"/>
      <c r="VHS3" s="146"/>
      <c r="VHT3" s="146"/>
      <c r="VHU3" s="146"/>
      <c r="VHV3" s="146"/>
      <c r="VHW3" s="146"/>
      <c r="VHX3" s="146"/>
      <c r="VHY3" s="146"/>
      <c r="VHZ3" s="146"/>
      <c r="VIA3" s="146"/>
      <c r="VIB3" s="146"/>
      <c r="VIC3" s="146"/>
      <c r="VID3" s="146"/>
      <c r="VIE3" s="146"/>
      <c r="VIF3" s="146"/>
      <c r="VIG3" s="146"/>
      <c r="VIH3" s="146"/>
      <c r="VII3" s="146"/>
      <c r="VIJ3" s="146"/>
      <c r="VIK3" s="146"/>
      <c r="VIL3" s="146"/>
      <c r="VIM3" s="146"/>
      <c r="VIN3" s="146"/>
      <c r="VIO3" s="146"/>
      <c r="VIP3" s="146"/>
      <c r="VIQ3" s="146"/>
      <c r="VIR3" s="146"/>
      <c r="VIS3" s="146"/>
      <c r="VIT3" s="146"/>
      <c r="VIU3" s="146"/>
      <c r="VIV3" s="146"/>
      <c r="VIW3" s="146"/>
      <c r="VIX3" s="146"/>
      <c r="VIY3" s="146"/>
      <c r="VIZ3" s="146"/>
      <c r="VJA3" s="146"/>
      <c r="VJB3" s="146"/>
      <c r="VJC3" s="146"/>
      <c r="VJD3" s="146"/>
      <c r="VJE3" s="146"/>
      <c r="VJF3" s="146"/>
      <c r="VJG3" s="146"/>
      <c r="VJH3" s="146"/>
      <c r="VJI3" s="146"/>
      <c r="VJJ3" s="146"/>
      <c r="VJK3" s="146"/>
      <c r="VJL3" s="146"/>
      <c r="VJM3" s="146"/>
      <c r="VJN3" s="146"/>
      <c r="VJO3" s="146"/>
      <c r="VJP3" s="146"/>
      <c r="VJQ3" s="146"/>
      <c r="VJR3" s="146"/>
      <c r="VJS3" s="146"/>
      <c r="VJT3" s="146"/>
      <c r="VJU3" s="146"/>
      <c r="VJV3" s="146"/>
      <c r="VJW3" s="146"/>
      <c r="VJX3" s="146"/>
      <c r="VJY3" s="146"/>
      <c r="VJZ3" s="146"/>
      <c r="VKA3" s="146"/>
      <c r="VKB3" s="146"/>
      <c r="VKC3" s="146"/>
      <c r="VKD3" s="146"/>
      <c r="VKE3" s="146"/>
      <c r="VKF3" s="146"/>
      <c r="VKG3" s="146"/>
      <c r="VKH3" s="146"/>
      <c r="VKI3" s="146"/>
      <c r="VKJ3" s="146"/>
      <c r="VKK3" s="146"/>
      <c r="VKL3" s="146"/>
      <c r="VKM3" s="146"/>
      <c r="VKN3" s="146"/>
      <c r="VKO3" s="146"/>
      <c r="VKP3" s="146"/>
      <c r="VKQ3" s="146"/>
      <c r="VKR3" s="146"/>
      <c r="VKS3" s="146"/>
      <c r="VKT3" s="146"/>
      <c r="VKU3" s="146"/>
      <c r="VKV3" s="146"/>
      <c r="VKW3" s="146"/>
      <c r="VKX3" s="146"/>
      <c r="VKY3" s="146"/>
      <c r="VKZ3" s="146"/>
      <c r="VLA3" s="146"/>
      <c r="VLB3" s="146"/>
      <c r="VLC3" s="146"/>
      <c r="VLD3" s="146"/>
      <c r="VLE3" s="146"/>
      <c r="VLF3" s="146"/>
      <c r="VLG3" s="146"/>
      <c r="VLH3" s="146"/>
      <c r="VLI3" s="146"/>
      <c r="VLJ3" s="146"/>
      <c r="VLK3" s="146"/>
      <c r="VLL3" s="146"/>
      <c r="VLM3" s="146"/>
      <c r="VLN3" s="146"/>
      <c r="VLO3" s="146"/>
      <c r="VLP3" s="146"/>
      <c r="VLQ3" s="146"/>
      <c r="VLR3" s="146"/>
      <c r="VLS3" s="146"/>
      <c r="VLT3" s="146"/>
      <c r="VLU3" s="146"/>
      <c r="VLV3" s="146"/>
      <c r="VLW3" s="146"/>
      <c r="VLX3" s="146"/>
      <c r="VLY3" s="146"/>
      <c r="VLZ3" s="146"/>
      <c r="VMA3" s="146"/>
      <c r="VMB3" s="146"/>
      <c r="VMC3" s="146"/>
      <c r="VMD3" s="146"/>
      <c r="VME3" s="146"/>
      <c r="VMF3" s="146"/>
      <c r="VMG3" s="146"/>
      <c r="VMH3" s="146"/>
      <c r="VMI3" s="146"/>
      <c r="VMJ3" s="146"/>
      <c r="VMK3" s="146"/>
      <c r="VML3" s="146"/>
      <c r="VMM3" s="146"/>
      <c r="VMN3" s="146"/>
      <c r="VMO3" s="146"/>
      <c r="VMP3" s="146"/>
      <c r="VMQ3" s="146"/>
      <c r="VMR3" s="146"/>
      <c r="VMS3" s="146"/>
      <c r="VMT3" s="146"/>
      <c r="VMU3" s="146"/>
      <c r="VMV3" s="146"/>
      <c r="VMW3" s="146"/>
      <c r="VMX3" s="146"/>
      <c r="VMY3" s="146"/>
      <c r="VMZ3" s="146"/>
      <c r="VNA3" s="146"/>
      <c r="VNB3" s="146"/>
      <c r="VNC3" s="146"/>
      <c r="VND3" s="146"/>
      <c r="VNE3" s="146"/>
      <c r="VNF3" s="146"/>
      <c r="VNG3" s="146"/>
      <c r="VNH3" s="146"/>
      <c r="VNI3" s="146"/>
      <c r="VNJ3" s="146"/>
      <c r="VNK3" s="146"/>
      <c r="VNL3" s="146"/>
      <c r="VNM3" s="146"/>
      <c r="VNN3" s="146"/>
      <c r="VNO3" s="146"/>
      <c r="VNP3" s="146"/>
      <c r="VNQ3" s="146"/>
      <c r="VNR3" s="146"/>
      <c r="VNS3" s="146"/>
      <c r="VNT3" s="146"/>
      <c r="VNU3" s="146"/>
      <c r="VNV3" s="146"/>
      <c r="VNW3" s="146"/>
      <c r="VNX3" s="146"/>
      <c r="VNY3" s="146"/>
      <c r="VNZ3" s="146"/>
      <c r="VOA3" s="146"/>
      <c r="VOB3" s="146"/>
      <c r="VOC3" s="146"/>
      <c r="VOD3" s="146"/>
      <c r="VOE3" s="146"/>
      <c r="VOF3" s="146"/>
      <c r="VOG3" s="146"/>
      <c r="VOH3" s="146"/>
      <c r="VOI3" s="146"/>
      <c r="VOJ3" s="146"/>
      <c r="VOK3" s="146"/>
      <c r="VOL3" s="146"/>
      <c r="VOM3" s="146"/>
      <c r="VON3" s="146"/>
      <c r="VOO3" s="146"/>
      <c r="VOP3" s="146"/>
      <c r="VOQ3" s="146"/>
      <c r="VOR3" s="146"/>
      <c r="VOS3" s="146"/>
      <c r="VOT3" s="146"/>
      <c r="VOU3" s="146"/>
      <c r="VOV3" s="146"/>
      <c r="VOW3" s="146"/>
      <c r="VOX3" s="146"/>
      <c r="VOY3" s="146"/>
      <c r="VOZ3" s="146"/>
      <c r="VPA3" s="146"/>
      <c r="VPB3" s="146"/>
      <c r="VPC3" s="146"/>
      <c r="VPD3" s="146"/>
      <c r="VPE3" s="146"/>
      <c r="VPF3" s="146"/>
      <c r="VPG3" s="146"/>
      <c r="VPH3" s="146"/>
      <c r="VPI3" s="146"/>
      <c r="VPJ3" s="146"/>
      <c r="VPK3" s="146"/>
      <c r="VPL3" s="146"/>
      <c r="VPM3" s="146"/>
      <c r="VPN3" s="146"/>
      <c r="VPO3" s="146"/>
      <c r="VPP3" s="146"/>
      <c r="VPQ3" s="146"/>
      <c r="VPR3" s="146"/>
      <c r="VPS3" s="146"/>
      <c r="VPT3" s="146"/>
      <c r="VPU3" s="146"/>
      <c r="VPV3" s="146"/>
      <c r="VPW3" s="146"/>
      <c r="VPX3" s="146"/>
      <c r="VPY3" s="146"/>
      <c r="VPZ3" s="146"/>
      <c r="VQA3" s="146"/>
      <c r="VQB3" s="146"/>
      <c r="VQC3" s="146"/>
      <c r="VQD3" s="146"/>
      <c r="VQE3" s="146"/>
      <c r="VQF3" s="146"/>
      <c r="VQG3" s="146"/>
      <c r="VQH3" s="146"/>
      <c r="VQI3" s="146"/>
      <c r="VQJ3" s="146"/>
      <c r="VQK3" s="146"/>
      <c r="VQL3" s="146"/>
      <c r="VQM3" s="146"/>
      <c r="VQN3" s="146"/>
      <c r="VQO3" s="146"/>
      <c r="VQP3" s="146"/>
      <c r="VQQ3" s="146"/>
      <c r="VQR3" s="146"/>
      <c r="VQS3" s="146"/>
      <c r="VQT3" s="146"/>
      <c r="VQU3" s="146"/>
      <c r="VQV3" s="146"/>
      <c r="VQW3" s="146"/>
      <c r="VQX3" s="146"/>
      <c r="VQY3" s="146"/>
      <c r="VQZ3" s="146"/>
      <c r="VRA3" s="146"/>
      <c r="VRB3" s="146"/>
      <c r="VRC3" s="146"/>
      <c r="VRD3" s="146"/>
      <c r="VRE3" s="146"/>
      <c r="VRF3" s="146"/>
      <c r="VRG3" s="146"/>
      <c r="VRH3" s="146"/>
      <c r="VRI3" s="146"/>
      <c r="VRJ3" s="146"/>
      <c r="VRK3" s="146"/>
      <c r="VRL3" s="146"/>
      <c r="VRM3" s="146"/>
      <c r="VRN3" s="146"/>
      <c r="VRO3" s="146"/>
      <c r="VRP3" s="146"/>
      <c r="VRQ3" s="146"/>
      <c r="VRR3" s="146"/>
      <c r="VRS3" s="146"/>
      <c r="VRT3" s="146"/>
      <c r="VRU3" s="146"/>
      <c r="VRV3" s="146"/>
      <c r="VRW3" s="146"/>
      <c r="VRX3" s="146"/>
      <c r="VRY3" s="146"/>
      <c r="VRZ3" s="146"/>
      <c r="VSA3" s="146"/>
      <c r="VSB3" s="146"/>
      <c r="VSC3" s="146"/>
      <c r="VSD3" s="146"/>
      <c r="VSE3" s="146"/>
      <c r="VSF3" s="146"/>
      <c r="VSG3" s="146"/>
      <c r="VSH3" s="146"/>
      <c r="VSI3" s="146"/>
      <c r="VSJ3" s="146"/>
      <c r="VSK3" s="146"/>
      <c r="VSL3" s="146"/>
      <c r="VSM3" s="146"/>
      <c r="VSN3" s="146"/>
      <c r="VSO3" s="146"/>
      <c r="VSP3" s="146"/>
      <c r="VSQ3" s="146"/>
      <c r="VSR3" s="146"/>
      <c r="VSS3" s="146"/>
      <c r="VST3" s="146"/>
      <c r="VSU3" s="146"/>
      <c r="VSV3" s="146"/>
      <c r="VSW3" s="146"/>
      <c r="VSX3" s="146"/>
      <c r="VSY3" s="146"/>
      <c r="VSZ3" s="146"/>
      <c r="VTA3" s="146"/>
      <c r="VTB3" s="146"/>
      <c r="VTC3" s="146"/>
      <c r="VTD3" s="146"/>
      <c r="VTE3" s="146"/>
      <c r="VTF3" s="146"/>
      <c r="VTG3" s="146"/>
      <c r="VTH3" s="146"/>
      <c r="VTI3" s="146"/>
      <c r="VTJ3" s="146"/>
      <c r="VTK3" s="146"/>
      <c r="VTL3" s="146"/>
      <c r="VTM3" s="146"/>
      <c r="VTN3" s="146"/>
      <c r="VTO3" s="146"/>
      <c r="VTP3" s="146"/>
      <c r="VTQ3" s="146"/>
      <c r="VTR3" s="146"/>
      <c r="VTS3" s="146"/>
      <c r="VTT3" s="146"/>
      <c r="VTU3" s="146"/>
      <c r="VTV3" s="146"/>
      <c r="VTW3" s="146"/>
      <c r="VTX3" s="146"/>
      <c r="VTY3" s="146"/>
      <c r="VTZ3" s="146"/>
      <c r="VUA3" s="146"/>
      <c r="VUB3" s="146"/>
      <c r="VUC3" s="146"/>
      <c r="VUD3" s="146"/>
      <c r="VUE3" s="146"/>
      <c r="VUF3" s="146"/>
      <c r="VUG3" s="146"/>
      <c r="VUH3" s="146"/>
      <c r="VUI3" s="146"/>
      <c r="VUJ3" s="146"/>
      <c r="VUK3" s="146"/>
      <c r="VUL3" s="146"/>
      <c r="VUM3" s="146"/>
      <c r="VUN3" s="146"/>
      <c r="VUO3" s="146"/>
      <c r="VUP3" s="146"/>
      <c r="VUQ3" s="146"/>
      <c r="VUR3" s="146"/>
      <c r="VUS3" s="146"/>
      <c r="VUT3" s="146"/>
      <c r="VUU3" s="146"/>
      <c r="VUV3" s="146"/>
      <c r="VUW3" s="146"/>
      <c r="VUX3" s="146"/>
      <c r="VUY3" s="146"/>
      <c r="VUZ3" s="146"/>
      <c r="VVA3" s="146"/>
      <c r="VVB3" s="146"/>
      <c r="VVC3" s="146"/>
      <c r="VVD3" s="146"/>
      <c r="VVE3" s="146"/>
      <c r="VVF3" s="146"/>
      <c r="VVG3" s="146"/>
      <c r="VVH3" s="146"/>
      <c r="VVI3" s="146"/>
      <c r="VVJ3" s="146"/>
      <c r="VVK3" s="146"/>
      <c r="VVL3" s="146"/>
      <c r="VVM3" s="146"/>
      <c r="VVN3" s="146"/>
      <c r="VVO3" s="146"/>
      <c r="VVP3" s="146"/>
      <c r="VVQ3" s="146"/>
      <c r="VVR3" s="146"/>
      <c r="VVS3" s="146"/>
      <c r="VVT3" s="146"/>
      <c r="VVU3" s="146"/>
      <c r="VVV3" s="146"/>
      <c r="VVW3" s="146"/>
      <c r="VVX3" s="146"/>
      <c r="VVY3" s="146"/>
      <c r="VVZ3" s="146"/>
      <c r="VWA3" s="146"/>
      <c r="VWB3" s="146"/>
      <c r="VWC3" s="146"/>
      <c r="VWD3" s="146"/>
      <c r="VWE3" s="146"/>
      <c r="VWF3" s="146"/>
      <c r="VWG3" s="146"/>
      <c r="VWH3" s="146"/>
      <c r="VWI3" s="146"/>
      <c r="VWJ3" s="146"/>
      <c r="VWK3" s="146"/>
      <c r="VWL3" s="146"/>
      <c r="VWM3" s="146"/>
      <c r="VWN3" s="146"/>
      <c r="VWO3" s="146"/>
      <c r="VWP3" s="146"/>
      <c r="VWQ3" s="146"/>
      <c r="VWR3" s="146"/>
      <c r="VWS3" s="146"/>
      <c r="VWT3" s="146"/>
      <c r="VWU3" s="146"/>
      <c r="VWV3" s="146"/>
      <c r="VWW3" s="146"/>
      <c r="VWX3" s="146"/>
      <c r="VWY3" s="146"/>
      <c r="VWZ3" s="146"/>
      <c r="VXA3" s="146"/>
      <c r="VXB3" s="146"/>
      <c r="VXC3" s="146"/>
      <c r="VXD3" s="146"/>
      <c r="VXE3" s="146"/>
      <c r="VXF3" s="146"/>
      <c r="VXG3" s="146"/>
      <c r="VXH3" s="146"/>
      <c r="VXI3" s="146"/>
      <c r="VXJ3" s="146"/>
      <c r="VXK3" s="146"/>
      <c r="VXL3" s="146"/>
      <c r="VXM3" s="146"/>
      <c r="VXN3" s="146"/>
      <c r="VXO3" s="146"/>
      <c r="VXP3" s="146"/>
      <c r="VXQ3" s="146"/>
      <c r="VXR3" s="146"/>
      <c r="VXS3" s="146"/>
      <c r="VXT3" s="146"/>
      <c r="VXU3" s="146"/>
      <c r="VXV3" s="146"/>
      <c r="VXW3" s="146"/>
      <c r="VXX3" s="146"/>
      <c r="VXY3" s="146"/>
      <c r="VXZ3" s="146"/>
      <c r="VYA3" s="146"/>
      <c r="VYB3" s="146"/>
      <c r="VYC3" s="146"/>
      <c r="VYD3" s="146"/>
      <c r="VYE3" s="146"/>
      <c r="VYF3" s="146"/>
      <c r="VYG3" s="146"/>
      <c r="VYH3" s="146"/>
      <c r="VYI3" s="146"/>
      <c r="VYJ3" s="146"/>
      <c r="VYK3" s="146"/>
      <c r="VYL3" s="146"/>
      <c r="VYM3" s="146"/>
      <c r="VYN3" s="146"/>
      <c r="VYO3" s="146"/>
      <c r="VYP3" s="146"/>
      <c r="VYQ3" s="146"/>
      <c r="VYR3" s="146"/>
      <c r="VYS3" s="146"/>
      <c r="VYT3" s="146"/>
      <c r="VYU3" s="146"/>
      <c r="VYV3" s="146"/>
      <c r="VYW3" s="146"/>
      <c r="VYX3" s="146"/>
      <c r="VYY3" s="146"/>
      <c r="VYZ3" s="146"/>
      <c r="VZA3" s="146"/>
      <c r="VZB3" s="146"/>
      <c r="VZC3" s="146"/>
      <c r="VZD3" s="146"/>
      <c r="VZE3" s="146"/>
      <c r="VZF3" s="146"/>
      <c r="VZG3" s="146"/>
      <c r="VZH3" s="146"/>
      <c r="VZI3" s="146"/>
      <c r="VZJ3" s="146"/>
      <c r="VZK3" s="146"/>
      <c r="VZL3" s="146"/>
      <c r="VZM3" s="146"/>
      <c r="VZN3" s="146"/>
      <c r="VZO3" s="146"/>
      <c r="VZP3" s="146"/>
      <c r="VZQ3" s="146"/>
      <c r="VZR3" s="146"/>
      <c r="VZS3" s="146"/>
      <c r="VZT3" s="146"/>
      <c r="VZU3" s="146"/>
      <c r="VZV3" s="146"/>
      <c r="VZW3" s="146"/>
      <c r="VZX3" s="146"/>
      <c r="VZY3" s="146"/>
      <c r="VZZ3" s="146"/>
      <c r="WAA3" s="146"/>
      <c r="WAB3" s="146"/>
      <c r="WAC3" s="146"/>
      <c r="WAD3" s="146"/>
      <c r="WAE3" s="146"/>
      <c r="WAF3" s="146"/>
      <c r="WAG3" s="146"/>
      <c r="WAH3" s="146"/>
      <c r="WAI3" s="146"/>
      <c r="WAJ3" s="146"/>
      <c r="WAK3" s="146"/>
      <c r="WAL3" s="146"/>
      <c r="WAM3" s="146"/>
      <c r="WAN3" s="146"/>
      <c r="WAO3" s="146"/>
      <c r="WAP3" s="146"/>
      <c r="WAQ3" s="146"/>
      <c r="WAR3" s="146"/>
      <c r="WAS3" s="146"/>
      <c r="WAT3" s="146"/>
      <c r="WAU3" s="146"/>
      <c r="WAV3" s="146"/>
      <c r="WAW3" s="146"/>
      <c r="WAX3" s="146"/>
      <c r="WAY3" s="146"/>
      <c r="WAZ3" s="146"/>
      <c r="WBA3" s="146"/>
      <c r="WBB3" s="146"/>
      <c r="WBC3" s="146"/>
      <c r="WBD3" s="146"/>
      <c r="WBE3" s="146"/>
      <c r="WBF3" s="146"/>
      <c r="WBG3" s="146"/>
      <c r="WBH3" s="146"/>
      <c r="WBI3" s="146"/>
      <c r="WBJ3" s="146"/>
      <c r="WBK3" s="146"/>
      <c r="WBL3" s="146"/>
      <c r="WBM3" s="146"/>
      <c r="WBN3" s="146"/>
      <c r="WBO3" s="146"/>
      <c r="WBP3" s="146"/>
      <c r="WBQ3" s="146"/>
      <c r="WBR3" s="146"/>
      <c r="WBS3" s="146"/>
      <c r="WBT3" s="146"/>
      <c r="WBU3" s="146"/>
      <c r="WBV3" s="146"/>
      <c r="WBW3" s="146"/>
      <c r="WBX3" s="146"/>
      <c r="WBY3" s="146"/>
      <c r="WBZ3" s="146"/>
      <c r="WCA3" s="146"/>
      <c r="WCB3" s="146"/>
      <c r="WCC3" s="146"/>
      <c r="WCD3" s="146"/>
      <c r="WCE3" s="146"/>
      <c r="WCF3" s="146"/>
      <c r="WCG3" s="146"/>
      <c r="WCH3" s="146"/>
      <c r="WCI3" s="146"/>
      <c r="WCJ3" s="146"/>
      <c r="WCK3" s="146"/>
      <c r="WCL3" s="146"/>
      <c r="WCM3" s="146"/>
      <c r="WCN3" s="146"/>
      <c r="WCO3" s="146"/>
      <c r="WCP3" s="146"/>
      <c r="WCQ3" s="146"/>
      <c r="WCR3" s="146"/>
      <c r="WCS3" s="146"/>
      <c r="WCT3" s="146"/>
      <c r="WCU3" s="146"/>
      <c r="WCV3" s="146"/>
      <c r="WCW3" s="146"/>
      <c r="WCX3" s="146"/>
      <c r="WCY3" s="146"/>
      <c r="WCZ3" s="146"/>
      <c r="WDA3" s="146"/>
      <c r="WDB3" s="146"/>
      <c r="WDC3" s="146"/>
      <c r="WDD3" s="146"/>
      <c r="WDE3" s="146"/>
      <c r="WDF3" s="146"/>
      <c r="WDG3" s="146"/>
      <c r="WDH3" s="146"/>
      <c r="WDI3" s="146"/>
      <c r="WDJ3" s="146"/>
      <c r="WDK3" s="146"/>
      <c r="WDL3" s="146"/>
      <c r="WDM3" s="146"/>
      <c r="WDN3" s="146"/>
      <c r="WDO3" s="146"/>
      <c r="WDP3" s="146"/>
      <c r="WDQ3" s="146"/>
      <c r="WDR3" s="146"/>
      <c r="WDS3" s="146"/>
      <c r="WDT3" s="146"/>
      <c r="WDU3" s="146"/>
      <c r="WDV3" s="146"/>
      <c r="WDW3" s="146"/>
      <c r="WDX3" s="146"/>
      <c r="WDY3" s="146"/>
      <c r="WDZ3" s="146"/>
      <c r="WEA3" s="146"/>
      <c r="WEB3" s="146"/>
      <c r="WEC3" s="146"/>
      <c r="WED3" s="146"/>
      <c r="WEE3" s="146"/>
      <c r="WEF3" s="146"/>
      <c r="WEG3" s="146"/>
      <c r="WEH3" s="146"/>
      <c r="WEI3" s="146"/>
      <c r="WEJ3" s="146"/>
      <c r="WEK3" s="146"/>
      <c r="WEL3" s="146"/>
      <c r="WEM3" s="146"/>
      <c r="WEN3" s="146"/>
      <c r="WEO3" s="146"/>
      <c r="WEP3" s="146"/>
      <c r="WEQ3" s="146"/>
      <c r="WER3" s="146"/>
      <c r="WES3" s="146"/>
      <c r="WET3" s="146"/>
      <c r="WEU3" s="146"/>
      <c r="WEV3" s="146"/>
      <c r="WEW3" s="146"/>
      <c r="WEX3" s="146"/>
      <c r="WEY3" s="146"/>
      <c r="WEZ3" s="146"/>
      <c r="WFA3" s="146"/>
      <c r="WFB3" s="146"/>
      <c r="WFC3" s="146"/>
      <c r="WFD3" s="146"/>
      <c r="WFE3" s="146"/>
      <c r="WFF3" s="146"/>
      <c r="WFG3" s="146"/>
      <c r="WFH3" s="146"/>
      <c r="WFI3" s="146"/>
      <c r="WFJ3" s="146"/>
      <c r="WFK3" s="146"/>
      <c r="WFL3" s="146"/>
      <c r="WFM3" s="146"/>
      <c r="WFN3" s="146"/>
      <c r="WFO3" s="146"/>
      <c r="WFP3" s="146"/>
      <c r="WFQ3" s="146"/>
      <c r="WFR3" s="146"/>
      <c r="WFS3" s="146"/>
      <c r="WFT3" s="146"/>
      <c r="WFU3" s="146"/>
      <c r="WFV3" s="146"/>
      <c r="WFW3" s="146"/>
      <c r="WFX3" s="146"/>
      <c r="WFY3" s="146"/>
      <c r="WFZ3" s="146"/>
      <c r="WGA3" s="146"/>
      <c r="WGB3" s="146"/>
      <c r="WGC3" s="146"/>
      <c r="WGD3" s="146"/>
      <c r="WGE3" s="146"/>
      <c r="WGF3" s="146"/>
      <c r="WGG3" s="146"/>
      <c r="WGH3" s="146"/>
      <c r="WGI3" s="146"/>
      <c r="WGJ3" s="146"/>
      <c r="WGK3" s="146"/>
      <c r="WGL3" s="146"/>
      <c r="WGM3" s="146"/>
      <c r="WGN3" s="146"/>
      <c r="WGO3" s="146"/>
      <c r="WGP3" s="146"/>
      <c r="WGQ3" s="146"/>
      <c r="WGR3" s="146"/>
      <c r="WGS3" s="146"/>
      <c r="WGT3" s="146"/>
      <c r="WGU3" s="146"/>
      <c r="WGV3" s="146"/>
      <c r="WGW3" s="146"/>
      <c r="WGX3" s="146"/>
      <c r="WGY3" s="146"/>
      <c r="WGZ3" s="146"/>
      <c r="WHA3" s="146"/>
      <c r="WHB3" s="146"/>
      <c r="WHC3" s="146"/>
      <c r="WHD3" s="146"/>
      <c r="WHE3" s="146"/>
      <c r="WHF3" s="146"/>
      <c r="WHG3" s="146"/>
      <c r="WHH3" s="146"/>
      <c r="WHI3" s="146"/>
      <c r="WHJ3" s="146"/>
      <c r="WHK3" s="146"/>
      <c r="WHL3" s="146"/>
      <c r="WHM3" s="146"/>
      <c r="WHN3" s="146"/>
      <c r="WHO3" s="146"/>
      <c r="WHP3" s="146"/>
      <c r="WHQ3" s="146"/>
      <c r="WHR3" s="146"/>
      <c r="WHS3" s="146"/>
      <c r="WHT3" s="146"/>
      <c r="WHU3" s="146"/>
      <c r="WHV3" s="146"/>
      <c r="WHW3" s="146"/>
      <c r="WHX3" s="146"/>
      <c r="WHY3" s="146"/>
      <c r="WHZ3" s="146"/>
      <c r="WIA3" s="146"/>
      <c r="WIB3" s="146"/>
      <c r="WIC3" s="146"/>
      <c r="WID3" s="146"/>
      <c r="WIE3" s="146"/>
      <c r="WIF3" s="146"/>
      <c r="WIG3" s="146"/>
      <c r="WIH3" s="146"/>
      <c r="WII3" s="146"/>
      <c r="WIJ3" s="146"/>
      <c r="WIK3" s="146"/>
      <c r="WIL3" s="146"/>
      <c r="WIM3" s="146"/>
      <c r="WIN3" s="146"/>
      <c r="WIO3" s="146"/>
      <c r="WIP3" s="146"/>
      <c r="WIQ3" s="146"/>
      <c r="WIR3" s="146"/>
      <c r="WIS3" s="146"/>
      <c r="WIT3" s="146"/>
      <c r="WIU3" s="146"/>
      <c r="WIV3" s="146"/>
      <c r="WIW3" s="146"/>
      <c r="WIX3" s="146"/>
      <c r="WIY3" s="146"/>
      <c r="WIZ3" s="146"/>
      <c r="WJA3" s="146"/>
      <c r="WJB3" s="146"/>
      <c r="WJC3" s="146"/>
      <c r="WJD3" s="146"/>
      <c r="WJE3" s="146"/>
      <c r="WJF3" s="146"/>
      <c r="WJG3" s="146"/>
      <c r="WJH3" s="146"/>
      <c r="WJI3" s="146"/>
      <c r="WJJ3" s="146"/>
      <c r="WJK3" s="146"/>
      <c r="WJL3" s="146"/>
      <c r="WJM3" s="146"/>
      <c r="WJN3" s="146"/>
      <c r="WJO3" s="146"/>
      <c r="WJP3" s="146"/>
      <c r="WJQ3" s="146"/>
      <c r="WJR3" s="146"/>
      <c r="WJS3" s="146"/>
      <c r="WJT3" s="146"/>
      <c r="WJU3" s="146"/>
      <c r="WJV3" s="146"/>
      <c r="WJW3" s="146"/>
      <c r="WJX3" s="146"/>
      <c r="WJY3" s="146"/>
      <c r="WJZ3" s="146"/>
      <c r="WKA3" s="146"/>
      <c r="WKB3" s="146"/>
      <c r="WKC3" s="146"/>
      <c r="WKD3" s="146"/>
      <c r="WKE3" s="146"/>
      <c r="WKF3" s="146"/>
      <c r="WKG3" s="146"/>
      <c r="WKH3" s="146"/>
      <c r="WKI3" s="146"/>
      <c r="WKJ3" s="146"/>
      <c r="WKK3" s="146"/>
      <c r="WKL3" s="146"/>
      <c r="WKM3" s="146"/>
      <c r="WKN3" s="146"/>
      <c r="WKO3" s="146"/>
      <c r="WKP3" s="146"/>
      <c r="WKQ3" s="146"/>
      <c r="WKR3" s="146"/>
      <c r="WKS3" s="146"/>
      <c r="WKT3" s="146"/>
      <c r="WKU3" s="146"/>
      <c r="WKV3" s="146"/>
      <c r="WKW3" s="146"/>
      <c r="WKX3" s="146"/>
      <c r="WKY3" s="146"/>
      <c r="WKZ3" s="146"/>
      <c r="WLA3" s="146"/>
      <c r="WLB3" s="146"/>
      <c r="WLC3" s="146"/>
      <c r="WLD3" s="146"/>
      <c r="WLE3" s="146"/>
      <c r="WLF3" s="146"/>
      <c r="WLG3" s="146"/>
      <c r="WLH3" s="146"/>
      <c r="WLI3" s="146"/>
      <c r="WLJ3" s="146"/>
      <c r="WLK3" s="146"/>
      <c r="WLL3" s="146"/>
      <c r="WLM3" s="146"/>
      <c r="WLN3" s="146"/>
      <c r="WLO3" s="146"/>
      <c r="WLP3" s="146"/>
      <c r="WLQ3" s="146"/>
      <c r="WLR3" s="146"/>
      <c r="WLS3" s="146"/>
      <c r="WLT3" s="146"/>
      <c r="WLU3" s="146"/>
      <c r="WLV3" s="146"/>
      <c r="WLW3" s="146"/>
      <c r="WLX3" s="146"/>
      <c r="WLY3" s="146"/>
      <c r="WLZ3" s="146"/>
      <c r="WMA3" s="146"/>
      <c r="WMB3" s="146"/>
      <c r="WMC3" s="146"/>
      <c r="WMD3" s="146"/>
      <c r="WME3" s="146"/>
      <c r="WMF3" s="146"/>
      <c r="WMG3" s="146"/>
      <c r="WMH3" s="146"/>
      <c r="WMI3" s="146"/>
      <c r="WMJ3" s="146"/>
      <c r="WMK3" s="146"/>
      <c r="WML3" s="146"/>
      <c r="WMM3" s="146"/>
      <c r="WMN3" s="146"/>
      <c r="WMO3" s="146"/>
      <c r="WMP3" s="146"/>
      <c r="WMQ3" s="146"/>
      <c r="WMR3" s="146"/>
      <c r="WMS3" s="146"/>
      <c r="WMT3" s="146"/>
      <c r="WMU3" s="146"/>
      <c r="WMV3" s="146"/>
      <c r="WMW3" s="146"/>
      <c r="WMX3" s="146"/>
      <c r="WMY3" s="146"/>
      <c r="WMZ3" s="146"/>
      <c r="WNA3" s="146"/>
      <c r="WNB3" s="146"/>
      <c r="WNC3" s="146"/>
      <c r="WND3" s="146"/>
      <c r="WNE3" s="146"/>
      <c r="WNF3" s="146"/>
      <c r="WNG3" s="146"/>
      <c r="WNH3" s="146"/>
      <c r="WNI3" s="146"/>
      <c r="WNJ3" s="146"/>
      <c r="WNK3" s="146"/>
      <c r="WNL3" s="146"/>
      <c r="WNM3" s="146"/>
      <c r="WNN3" s="146"/>
      <c r="WNO3" s="146"/>
      <c r="WNP3" s="146"/>
      <c r="WNQ3" s="146"/>
      <c r="WNR3" s="146"/>
      <c r="WNS3" s="146"/>
      <c r="WNT3" s="146"/>
      <c r="WNU3" s="146"/>
      <c r="WNV3" s="146"/>
      <c r="WNW3" s="146"/>
      <c r="WNX3" s="146"/>
      <c r="WNY3" s="146"/>
      <c r="WNZ3" s="146"/>
      <c r="WOA3" s="146"/>
      <c r="WOB3" s="146"/>
      <c r="WOC3" s="146"/>
      <c r="WOD3" s="146"/>
      <c r="WOE3" s="146"/>
      <c r="WOF3" s="146"/>
      <c r="WOG3" s="146"/>
      <c r="WOH3" s="146"/>
      <c r="WOI3" s="146"/>
      <c r="WOJ3" s="146"/>
      <c r="WOK3" s="146"/>
      <c r="WOL3" s="146"/>
      <c r="WOM3" s="146"/>
      <c r="WON3" s="146"/>
      <c r="WOO3" s="146"/>
      <c r="WOP3" s="146"/>
      <c r="WOQ3" s="146"/>
      <c r="WOR3" s="146"/>
      <c r="WOS3" s="146"/>
      <c r="WOT3" s="146"/>
      <c r="WOU3" s="146"/>
      <c r="WOV3" s="146"/>
      <c r="WOW3" s="146"/>
      <c r="WOX3" s="146"/>
      <c r="WOY3" s="146"/>
      <c r="WOZ3" s="146"/>
      <c r="WPA3" s="146"/>
      <c r="WPB3" s="146"/>
      <c r="WPC3" s="146"/>
      <c r="WPD3" s="146"/>
      <c r="WPE3" s="146"/>
      <c r="WPF3" s="146"/>
      <c r="WPG3" s="146"/>
      <c r="WPH3" s="146"/>
      <c r="WPI3" s="146"/>
      <c r="WPJ3" s="146"/>
      <c r="WPK3" s="146"/>
      <c r="WPL3" s="146"/>
      <c r="WPM3" s="146"/>
      <c r="WPN3" s="146"/>
      <c r="WPO3" s="146"/>
      <c r="WPP3" s="146"/>
      <c r="WPQ3" s="146"/>
      <c r="WPR3" s="146"/>
      <c r="WPS3" s="146"/>
      <c r="WPT3" s="146"/>
      <c r="WPU3" s="146"/>
      <c r="WPV3" s="146"/>
      <c r="WPW3" s="146"/>
      <c r="WPX3" s="146"/>
      <c r="WPY3" s="146"/>
      <c r="WPZ3" s="146"/>
      <c r="WQA3" s="146"/>
      <c r="WQB3" s="146"/>
      <c r="WQC3" s="146"/>
      <c r="WQD3" s="146"/>
      <c r="WQE3" s="146"/>
      <c r="WQF3" s="146"/>
      <c r="WQG3" s="146"/>
      <c r="WQH3" s="146"/>
      <c r="WQI3" s="146"/>
      <c r="WQJ3" s="146"/>
      <c r="WQK3" s="146"/>
      <c r="WQL3" s="146"/>
      <c r="WQM3" s="146"/>
      <c r="WQN3" s="146"/>
      <c r="WQO3" s="146"/>
      <c r="WQP3" s="146"/>
      <c r="WQQ3" s="146"/>
      <c r="WQR3" s="146"/>
      <c r="WQS3" s="146"/>
      <c r="WQT3" s="146"/>
      <c r="WQU3" s="146"/>
      <c r="WQV3" s="146"/>
      <c r="WQW3" s="146"/>
      <c r="WQX3" s="146"/>
      <c r="WQY3" s="146"/>
      <c r="WQZ3" s="146"/>
      <c r="WRA3" s="146"/>
      <c r="WRB3" s="146"/>
      <c r="WRC3" s="146"/>
      <c r="WRD3" s="146"/>
      <c r="WRE3" s="146"/>
      <c r="WRF3" s="146"/>
      <c r="WRG3" s="146"/>
      <c r="WRH3" s="146"/>
      <c r="WRI3" s="146"/>
      <c r="WRJ3" s="146"/>
      <c r="WRK3" s="146"/>
      <c r="WRL3" s="146"/>
      <c r="WRM3" s="146"/>
      <c r="WRN3" s="146"/>
      <c r="WRO3" s="146"/>
      <c r="WRP3" s="146"/>
      <c r="WRQ3" s="146"/>
      <c r="WRR3" s="146"/>
      <c r="WRS3" s="146"/>
      <c r="WRT3" s="146"/>
      <c r="WRU3" s="146"/>
      <c r="WRV3" s="146"/>
      <c r="WRW3" s="146"/>
      <c r="WRX3" s="146"/>
      <c r="WRY3" s="146"/>
      <c r="WRZ3" s="146"/>
      <c r="WSA3" s="146"/>
      <c r="WSB3" s="146"/>
      <c r="WSC3" s="146"/>
      <c r="WSD3" s="146"/>
      <c r="WSE3" s="146"/>
      <c r="WSF3" s="146"/>
      <c r="WSG3" s="146"/>
      <c r="WSH3" s="146"/>
      <c r="WSI3" s="146"/>
      <c r="WSJ3" s="146"/>
      <c r="WSK3" s="146"/>
      <c r="WSL3" s="146"/>
      <c r="WSM3" s="146"/>
      <c r="WSN3" s="146"/>
      <c r="WSO3" s="146"/>
      <c r="WSP3" s="146"/>
      <c r="WSQ3" s="146"/>
      <c r="WSR3" s="146"/>
      <c r="WSS3" s="146"/>
      <c r="WST3" s="146"/>
      <c r="WSU3" s="146"/>
      <c r="WSV3" s="146"/>
      <c r="WSW3" s="146"/>
      <c r="WSX3" s="146"/>
      <c r="WSY3" s="146"/>
      <c r="WSZ3" s="146"/>
      <c r="WTA3" s="146"/>
      <c r="WTB3" s="146"/>
      <c r="WTC3" s="146"/>
      <c r="WTD3" s="146"/>
      <c r="WTE3" s="146"/>
      <c r="WTF3" s="146"/>
      <c r="WTG3" s="146"/>
      <c r="WTH3" s="146"/>
      <c r="WTI3" s="146"/>
      <c r="WTJ3" s="146"/>
      <c r="WTK3" s="146"/>
      <c r="WTL3" s="146"/>
      <c r="WTM3" s="146"/>
      <c r="WTN3" s="146"/>
      <c r="WTO3" s="146"/>
      <c r="WTP3" s="146"/>
      <c r="WTQ3" s="146"/>
      <c r="WTR3" s="146"/>
      <c r="WTS3" s="146"/>
      <c r="WTT3" s="146"/>
      <c r="WTU3" s="146"/>
      <c r="WTV3" s="146"/>
      <c r="WTW3" s="146"/>
      <c r="WTX3" s="146"/>
      <c r="WTY3" s="146"/>
      <c r="WTZ3" s="146"/>
      <c r="WUA3" s="146"/>
      <c r="WUB3" s="146"/>
      <c r="WUC3" s="146"/>
      <c r="WUD3" s="146"/>
      <c r="WUE3" s="146"/>
      <c r="WUF3" s="146"/>
      <c r="WUG3" s="146"/>
      <c r="WUH3" s="146"/>
      <c r="WUI3" s="146"/>
      <c r="WUJ3" s="146"/>
      <c r="WUK3" s="146"/>
      <c r="WUL3" s="146"/>
      <c r="WUM3" s="146"/>
      <c r="WUN3" s="146"/>
      <c r="WUO3" s="146"/>
      <c r="WUP3" s="146"/>
      <c r="WUQ3" s="146"/>
      <c r="WUR3" s="146"/>
      <c r="WUS3" s="146"/>
      <c r="WUT3" s="146"/>
      <c r="WUU3" s="146"/>
      <c r="WUV3" s="146"/>
      <c r="WUW3" s="146"/>
      <c r="WUX3" s="146"/>
      <c r="WUY3" s="146"/>
      <c r="WUZ3" s="146"/>
      <c r="WVA3" s="146"/>
      <c r="WVB3" s="146"/>
      <c r="WVC3" s="146"/>
      <c r="WVD3" s="146"/>
      <c r="WVE3" s="146"/>
      <c r="WVF3" s="146"/>
      <c r="WVG3" s="146"/>
      <c r="WVH3" s="146"/>
      <c r="WVI3" s="146"/>
      <c r="WVJ3" s="146"/>
      <c r="WVK3" s="146"/>
      <c r="WVL3" s="146"/>
      <c r="WVM3" s="146"/>
      <c r="WVN3" s="146"/>
      <c r="WVO3" s="146"/>
      <c r="WVP3" s="146"/>
      <c r="WVQ3" s="146"/>
      <c r="WVR3" s="146"/>
      <c r="WVS3" s="146"/>
      <c r="WVT3" s="146"/>
      <c r="WVU3" s="146"/>
      <c r="WVV3" s="146"/>
      <c r="WVW3" s="146"/>
      <c r="WVX3" s="146"/>
      <c r="WVY3" s="146"/>
      <c r="WVZ3" s="146"/>
      <c r="WWA3" s="146"/>
      <c r="WWB3" s="146"/>
      <c r="WWC3" s="146"/>
      <c r="WWD3" s="146"/>
      <c r="WWE3" s="146"/>
      <c r="WWF3" s="146"/>
      <c r="WWG3" s="146"/>
      <c r="WWH3" s="146"/>
      <c r="WWI3" s="146"/>
      <c r="WWJ3" s="146"/>
      <c r="WWK3" s="146"/>
      <c r="WWL3" s="146"/>
      <c r="WWM3" s="146"/>
      <c r="WWN3" s="146"/>
      <c r="WWO3" s="146"/>
      <c r="WWP3" s="146"/>
      <c r="WWQ3" s="146"/>
      <c r="WWR3" s="146"/>
      <c r="WWS3" s="146"/>
      <c r="WWT3" s="146"/>
      <c r="WWU3" s="146"/>
      <c r="WWV3" s="146"/>
      <c r="WWW3" s="146"/>
      <c r="WWX3" s="146"/>
      <c r="WWY3" s="146"/>
      <c r="WWZ3" s="146"/>
      <c r="WXA3" s="146"/>
      <c r="WXB3" s="146"/>
      <c r="WXC3" s="146"/>
      <c r="WXD3" s="146"/>
      <c r="WXE3" s="146"/>
      <c r="WXF3" s="146"/>
      <c r="WXG3" s="146"/>
      <c r="WXH3" s="146"/>
      <c r="WXI3" s="146"/>
      <c r="WXJ3" s="146"/>
      <c r="WXK3" s="146"/>
      <c r="WXL3" s="146"/>
      <c r="WXM3" s="146"/>
      <c r="WXN3" s="146"/>
      <c r="WXO3" s="146"/>
      <c r="WXP3" s="146"/>
      <c r="WXQ3" s="146"/>
      <c r="WXR3" s="146"/>
      <c r="WXS3" s="146"/>
      <c r="WXT3" s="146"/>
      <c r="WXU3" s="146"/>
      <c r="WXV3" s="146"/>
      <c r="WXW3" s="146"/>
      <c r="WXX3" s="146"/>
      <c r="WXY3" s="146"/>
      <c r="WXZ3" s="146"/>
      <c r="WYA3" s="146"/>
      <c r="WYB3" s="146"/>
      <c r="WYC3" s="146"/>
      <c r="WYD3" s="146"/>
      <c r="WYE3" s="146"/>
      <c r="WYF3" s="146"/>
      <c r="WYG3" s="146"/>
      <c r="WYH3" s="146"/>
      <c r="WYI3" s="146"/>
      <c r="WYJ3" s="146"/>
      <c r="WYK3" s="146"/>
      <c r="WYL3" s="146"/>
      <c r="WYM3" s="146"/>
      <c r="WYN3" s="146"/>
      <c r="WYO3" s="146"/>
      <c r="WYP3" s="146"/>
      <c r="WYQ3" s="146"/>
      <c r="WYR3" s="146"/>
      <c r="WYS3" s="146"/>
      <c r="WYT3" s="146"/>
      <c r="WYU3" s="146"/>
      <c r="WYV3" s="146"/>
      <c r="WYW3" s="146"/>
      <c r="WYX3" s="146"/>
      <c r="WYY3" s="146"/>
      <c r="WYZ3" s="146"/>
      <c r="WZA3" s="146"/>
      <c r="WZB3" s="146"/>
      <c r="WZC3" s="146"/>
      <c r="WZD3" s="146"/>
      <c r="WZE3" s="146"/>
      <c r="WZF3" s="146"/>
      <c r="WZG3" s="146"/>
      <c r="WZH3" s="146"/>
      <c r="WZI3" s="146"/>
      <c r="WZJ3" s="146"/>
      <c r="WZK3" s="146"/>
      <c r="WZL3" s="146"/>
      <c r="WZM3" s="146"/>
      <c r="WZN3" s="146"/>
      <c r="WZO3" s="146"/>
      <c r="WZP3" s="146"/>
      <c r="WZQ3" s="146"/>
      <c r="WZR3" s="146"/>
      <c r="WZS3" s="146"/>
      <c r="WZT3" s="146"/>
      <c r="WZU3" s="146"/>
      <c r="WZV3" s="146"/>
      <c r="WZW3" s="146"/>
      <c r="WZX3" s="146"/>
      <c r="WZY3" s="146"/>
      <c r="WZZ3" s="146"/>
      <c r="XAA3" s="146"/>
      <c r="XAB3" s="146"/>
      <c r="XAC3" s="146"/>
      <c r="XAD3" s="146"/>
      <c r="XAE3" s="146"/>
      <c r="XAF3" s="146"/>
      <c r="XAG3" s="146"/>
      <c r="XAH3" s="146"/>
      <c r="XAI3" s="146"/>
      <c r="XAJ3" s="146"/>
      <c r="XAK3" s="146"/>
      <c r="XAL3" s="146"/>
      <c r="XAM3" s="146"/>
      <c r="XAN3" s="146"/>
      <c r="XAO3" s="146"/>
      <c r="XAP3" s="146"/>
      <c r="XAQ3" s="146"/>
      <c r="XAR3" s="146"/>
      <c r="XAS3" s="146"/>
      <c r="XAT3" s="146"/>
      <c r="XAU3" s="146"/>
      <c r="XAV3" s="146"/>
      <c r="XAW3" s="146"/>
      <c r="XAX3" s="146"/>
      <c r="XAY3" s="146"/>
      <c r="XAZ3" s="146"/>
      <c r="XBA3" s="146"/>
      <c r="XBB3" s="146"/>
      <c r="XBC3" s="146"/>
      <c r="XBD3" s="146"/>
      <c r="XBE3" s="146"/>
      <c r="XBF3" s="146"/>
      <c r="XBG3" s="146"/>
      <c r="XBH3" s="146"/>
      <c r="XBI3" s="146"/>
      <c r="XBJ3" s="146"/>
      <c r="XBK3" s="146"/>
      <c r="XBL3" s="146"/>
      <c r="XBM3" s="146"/>
      <c r="XBN3" s="146"/>
      <c r="XBO3" s="146"/>
      <c r="XBP3" s="146"/>
      <c r="XBQ3" s="146"/>
      <c r="XBR3" s="146"/>
      <c r="XBS3" s="146"/>
      <c r="XBT3" s="146"/>
      <c r="XBU3" s="146"/>
      <c r="XBV3" s="146"/>
      <c r="XBW3" s="146"/>
      <c r="XBX3" s="146"/>
      <c r="XBY3" s="146"/>
      <c r="XBZ3" s="146"/>
      <c r="XCA3" s="146"/>
      <c r="XCB3" s="146"/>
      <c r="XCC3" s="146"/>
      <c r="XCD3" s="146"/>
      <c r="XCE3" s="146"/>
      <c r="XCF3" s="146"/>
      <c r="XCG3" s="146"/>
      <c r="XCH3" s="146"/>
      <c r="XCI3" s="146"/>
      <c r="XCJ3" s="146"/>
      <c r="XCK3" s="146"/>
      <c r="XCL3" s="146"/>
      <c r="XCM3" s="146"/>
      <c r="XCN3" s="146"/>
      <c r="XCO3" s="146"/>
      <c r="XCP3" s="146"/>
      <c r="XCQ3" s="146"/>
      <c r="XCR3" s="146"/>
      <c r="XCS3" s="146"/>
      <c r="XCT3" s="146"/>
      <c r="XCU3" s="146"/>
      <c r="XCV3" s="146"/>
      <c r="XCW3" s="146"/>
      <c r="XCX3" s="146"/>
      <c r="XCY3" s="146"/>
      <c r="XCZ3" s="146"/>
      <c r="XDA3" s="146"/>
      <c r="XDB3" s="146"/>
      <c r="XDC3" s="146"/>
      <c r="XDD3" s="146"/>
      <c r="XDE3" s="146"/>
      <c r="XDF3" s="146"/>
      <c r="XDG3" s="146"/>
      <c r="XDH3" s="146"/>
      <c r="XDI3" s="146"/>
      <c r="XDJ3" s="146"/>
      <c r="XDK3" s="146"/>
      <c r="XDL3" s="146"/>
      <c r="XDM3" s="146"/>
      <c r="XDN3" s="146"/>
      <c r="XDO3" s="146"/>
      <c r="XDP3" s="146"/>
      <c r="XDQ3" s="146"/>
      <c r="XDR3" s="146"/>
      <c r="XDS3" s="146"/>
      <c r="XDT3" s="146"/>
      <c r="XDU3" s="146"/>
      <c r="XDV3" s="146"/>
      <c r="XDW3" s="146"/>
      <c r="XDX3" s="146"/>
      <c r="XDY3" s="146"/>
      <c r="XDZ3" s="146"/>
      <c r="XEA3" s="146"/>
      <c r="XEB3" s="146"/>
      <c r="XEC3" s="146"/>
      <c r="XED3" s="146"/>
      <c r="XEE3" s="146"/>
      <c r="XEF3" s="146"/>
      <c r="XEG3" s="146"/>
      <c r="XEH3" s="146"/>
      <c r="XEI3" s="146"/>
      <c r="XEJ3" s="146"/>
      <c r="XEK3" s="146"/>
      <c r="XEL3" s="146"/>
      <c r="XEM3" s="146"/>
      <c r="XEN3" s="146"/>
      <c r="XEO3" s="146"/>
      <c r="XEP3" s="146"/>
      <c r="XEQ3" s="146"/>
      <c r="XER3" s="146"/>
      <c r="XES3" s="146"/>
      <c r="XET3" s="146"/>
      <c r="XEU3" s="146"/>
      <c r="XEV3" s="146"/>
    </row>
    <row r="4" s="146" customFormat="1" ht="16" customHeight="1" spans="1:12">
      <c r="A4" s="132">
        <v>2</v>
      </c>
      <c r="B4" s="102" t="s">
        <v>12263</v>
      </c>
      <c r="C4" s="128" t="s">
        <v>2898</v>
      </c>
      <c r="D4" s="129" t="s">
        <v>12266</v>
      </c>
      <c r="E4" s="102" t="s">
        <v>10245</v>
      </c>
      <c r="F4" s="149">
        <v>2020</v>
      </c>
      <c r="G4" s="128" t="s">
        <v>3359</v>
      </c>
      <c r="H4" s="128">
        <v>200</v>
      </c>
      <c r="I4" s="128">
        <v>200</v>
      </c>
      <c r="J4" s="128"/>
      <c r="K4" s="149"/>
      <c r="L4" s="105">
        <v>20201118</v>
      </c>
    </row>
    <row r="5" s="146" customFormat="1" ht="16" customHeight="1" spans="1:12">
      <c r="A5" s="132">
        <v>3</v>
      </c>
      <c r="B5" s="102" t="s">
        <v>12263</v>
      </c>
      <c r="C5" s="102" t="s">
        <v>12267</v>
      </c>
      <c r="D5" s="102" t="s">
        <v>12268</v>
      </c>
      <c r="E5" s="102" t="s">
        <v>10250</v>
      </c>
      <c r="F5" s="149">
        <v>2020</v>
      </c>
      <c r="G5" s="128" t="s">
        <v>3359</v>
      </c>
      <c r="H5" s="102">
        <v>200</v>
      </c>
      <c r="I5" s="102">
        <v>200</v>
      </c>
      <c r="J5" s="102"/>
      <c r="K5" s="149"/>
      <c r="L5" s="105">
        <v>20201118</v>
      </c>
    </row>
    <row r="6" s="146" customFormat="1" ht="16" customHeight="1" spans="1:12">
      <c r="A6" s="132">
        <v>4</v>
      </c>
      <c r="B6" s="102" t="s">
        <v>12263</v>
      </c>
      <c r="C6" s="102" t="s">
        <v>3631</v>
      </c>
      <c r="D6" s="102" t="s">
        <v>12269</v>
      </c>
      <c r="E6" s="102" t="s">
        <v>10250</v>
      </c>
      <c r="F6" s="149">
        <v>2020</v>
      </c>
      <c r="G6" s="128" t="s">
        <v>3359</v>
      </c>
      <c r="H6" s="102">
        <v>200</v>
      </c>
      <c r="I6" s="102">
        <v>200</v>
      </c>
      <c r="J6" s="102"/>
      <c r="K6" s="149"/>
      <c r="L6" s="105">
        <v>20201118</v>
      </c>
    </row>
    <row r="7" s="146" customFormat="1" ht="16" customHeight="1" spans="1:12">
      <c r="A7" s="132">
        <v>5</v>
      </c>
      <c r="B7" s="102" t="s">
        <v>12263</v>
      </c>
      <c r="C7" s="102" t="s">
        <v>12270</v>
      </c>
      <c r="D7" s="102" t="s">
        <v>12271</v>
      </c>
      <c r="E7" s="102" t="s">
        <v>10250</v>
      </c>
      <c r="F7" s="149">
        <v>2020</v>
      </c>
      <c r="G7" s="128" t="s">
        <v>3359</v>
      </c>
      <c r="H7" s="102">
        <v>200</v>
      </c>
      <c r="I7" s="102">
        <v>200</v>
      </c>
      <c r="J7" s="102"/>
      <c r="K7" s="149"/>
      <c r="L7" s="105">
        <v>20201118</v>
      </c>
    </row>
    <row r="8" s="146" customFormat="1" ht="16" customHeight="1" spans="1:12">
      <c r="A8" s="132">
        <v>6</v>
      </c>
      <c r="B8" s="102" t="s">
        <v>12263</v>
      </c>
      <c r="C8" s="102" t="s">
        <v>12272</v>
      </c>
      <c r="D8" s="102" t="s">
        <v>12273</v>
      </c>
      <c r="E8" s="102" t="s">
        <v>10250</v>
      </c>
      <c r="F8" s="149">
        <v>2020</v>
      </c>
      <c r="G8" s="128" t="s">
        <v>3359</v>
      </c>
      <c r="H8" s="102">
        <v>200</v>
      </c>
      <c r="I8" s="102">
        <v>200</v>
      </c>
      <c r="J8" s="102"/>
      <c r="K8" s="149"/>
      <c r="L8" s="105">
        <v>20201118</v>
      </c>
    </row>
    <row r="9" s="146" customFormat="1" ht="16" customHeight="1" spans="1:12">
      <c r="A9" s="132">
        <v>7</v>
      </c>
      <c r="B9" s="102" t="s">
        <v>12263</v>
      </c>
      <c r="C9" s="102" t="s">
        <v>12274</v>
      </c>
      <c r="D9" s="102" t="s">
        <v>12275</v>
      </c>
      <c r="E9" s="102" t="s">
        <v>10250</v>
      </c>
      <c r="F9" s="149">
        <v>2020</v>
      </c>
      <c r="G9" s="128" t="s">
        <v>3359</v>
      </c>
      <c r="H9" s="102">
        <v>200</v>
      </c>
      <c r="I9" s="102">
        <v>200</v>
      </c>
      <c r="J9" s="102"/>
      <c r="K9" s="149"/>
      <c r="L9" s="105">
        <v>20201118</v>
      </c>
    </row>
    <row r="10" s="146" customFormat="1" ht="16" customHeight="1" spans="1:12">
      <c r="A10" s="132">
        <v>8</v>
      </c>
      <c r="B10" s="102" t="s">
        <v>12263</v>
      </c>
      <c r="C10" s="102" t="s">
        <v>12276</v>
      </c>
      <c r="D10" s="102" t="s">
        <v>12277</v>
      </c>
      <c r="E10" s="102" t="s">
        <v>10250</v>
      </c>
      <c r="F10" s="149">
        <v>2020</v>
      </c>
      <c r="G10" s="128" t="s">
        <v>3359</v>
      </c>
      <c r="H10" s="102">
        <v>200</v>
      </c>
      <c r="I10" s="102">
        <v>200</v>
      </c>
      <c r="J10" s="102"/>
      <c r="K10" s="149"/>
      <c r="L10" s="105">
        <v>20201118</v>
      </c>
    </row>
    <row r="11" s="146" customFormat="1" ht="16" customHeight="1" spans="1:12">
      <c r="A11" s="132">
        <v>9</v>
      </c>
      <c r="B11" s="102" t="s">
        <v>12263</v>
      </c>
      <c r="C11" s="102" t="s">
        <v>12278</v>
      </c>
      <c r="D11" s="102" t="s">
        <v>12279</v>
      </c>
      <c r="E11" s="102" t="s">
        <v>10250</v>
      </c>
      <c r="F11" s="149">
        <v>2020</v>
      </c>
      <c r="G11" s="128" t="s">
        <v>3359</v>
      </c>
      <c r="H11" s="102">
        <v>200</v>
      </c>
      <c r="I11" s="102">
        <v>200</v>
      </c>
      <c r="J11" s="102"/>
      <c r="K11" s="149"/>
      <c r="L11" s="105">
        <v>20201118</v>
      </c>
    </row>
    <row r="12" s="146" customFormat="1" ht="16" customHeight="1" spans="1:12">
      <c r="A12" s="132">
        <v>10</v>
      </c>
      <c r="B12" s="102" t="s">
        <v>12263</v>
      </c>
      <c r="C12" s="102" t="s">
        <v>12280</v>
      </c>
      <c r="D12" s="102" t="s">
        <v>12281</v>
      </c>
      <c r="E12" s="102" t="s">
        <v>10250</v>
      </c>
      <c r="F12" s="149">
        <v>2020</v>
      </c>
      <c r="G12" s="128" t="s">
        <v>3359</v>
      </c>
      <c r="H12" s="102">
        <v>200</v>
      </c>
      <c r="I12" s="102">
        <v>200</v>
      </c>
      <c r="J12" s="102"/>
      <c r="K12" s="149"/>
      <c r="L12" s="105">
        <v>20201118</v>
      </c>
    </row>
    <row r="13" s="146" customFormat="1" ht="16" customHeight="1" spans="1:12">
      <c r="A13" s="132">
        <v>11</v>
      </c>
      <c r="B13" s="102" t="s">
        <v>12263</v>
      </c>
      <c r="C13" s="102" t="s">
        <v>12282</v>
      </c>
      <c r="D13" s="102" t="s">
        <v>12283</v>
      </c>
      <c r="E13" s="102" t="s">
        <v>10250</v>
      </c>
      <c r="F13" s="149">
        <v>2020</v>
      </c>
      <c r="G13" s="128" t="s">
        <v>3359</v>
      </c>
      <c r="H13" s="102">
        <v>400</v>
      </c>
      <c r="I13" s="102">
        <v>400</v>
      </c>
      <c r="J13" s="102"/>
      <c r="K13" s="149"/>
      <c r="L13" s="105">
        <v>20201118</v>
      </c>
    </row>
    <row r="14" s="146" customFormat="1" ht="16" customHeight="1" spans="1:12">
      <c r="A14" s="132">
        <v>12</v>
      </c>
      <c r="B14" s="102" t="s">
        <v>12263</v>
      </c>
      <c r="C14" s="102" t="s">
        <v>12284</v>
      </c>
      <c r="D14" s="102" t="s">
        <v>12285</v>
      </c>
      <c r="E14" s="102" t="s">
        <v>10250</v>
      </c>
      <c r="F14" s="149">
        <v>2020</v>
      </c>
      <c r="G14" s="128" t="s">
        <v>3359</v>
      </c>
      <c r="H14" s="102">
        <v>400</v>
      </c>
      <c r="I14" s="102">
        <v>400</v>
      </c>
      <c r="J14" s="102"/>
      <c r="K14" s="149"/>
      <c r="L14" s="105">
        <v>20201118</v>
      </c>
    </row>
    <row r="15" s="146" customFormat="1" ht="16" customHeight="1" spans="1:12">
      <c r="A15" s="132">
        <v>13</v>
      </c>
      <c r="B15" s="102" t="s">
        <v>12263</v>
      </c>
      <c r="C15" s="102" t="s">
        <v>12286</v>
      </c>
      <c r="D15" s="102" t="s">
        <v>12287</v>
      </c>
      <c r="E15" s="102" t="s">
        <v>10250</v>
      </c>
      <c r="F15" s="149">
        <v>2020</v>
      </c>
      <c r="G15" s="128" t="s">
        <v>3359</v>
      </c>
      <c r="H15" s="102">
        <v>200</v>
      </c>
      <c r="I15" s="102">
        <v>200</v>
      </c>
      <c r="J15" s="102"/>
      <c r="K15" s="149"/>
      <c r="L15" s="105">
        <v>20201118</v>
      </c>
    </row>
    <row r="16" s="146" customFormat="1" ht="16" customHeight="1" spans="1:12">
      <c r="A16" s="132">
        <v>14</v>
      </c>
      <c r="B16" s="102" t="s">
        <v>12263</v>
      </c>
      <c r="C16" s="102" t="s">
        <v>12288</v>
      </c>
      <c r="D16" s="102" t="s">
        <v>12289</v>
      </c>
      <c r="E16" s="102" t="s">
        <v>10250</v>
      </c>
      <c r="F16" s="149">
        <v>2020</v>
      </c>
      <c r="G16" s="128" t="s">
        <v>3359</v>
      </c>
      <c r="H16" s="102">
        <v>200</v>
      </c>
      <c r="I16" s="102">
        <v>200</v>
      </c>
      <c r="J16" s="102"/>
      <c r="K16" s="149"/>
      <c r="L16" s="105">
        <v>20201118</v>
      </c>
    </row>
    <row r="17" s="146" customFormat="1" ht="16" customHeight="1" spans="1:12">
      <c r="A17" s="132">
        <v>15</v>
      </c>
      <c r="B17" s="102" t="s">
        <v>12263</v>
      </c>
      <c r="C17" s="102" t="s">
        <v>12290</v>
      </c>
      <c r="D17" s="102" t="s">
        <v>12291</v>
      </c>
      <c r="E17" s="102" t="s">
        <v>10250</v>
      </c>
      <c r="F17" s="149">
        <v>2020</v>
      </c>
      <c r="G17" s="128" t="s">
        <v>3359</v>
      </c>
      <c r="H17" s="102">
        <v>200</v>
      </c>
      <c r="I17" s="102">
        <v>200</v>
      </c>
      <c r="J17" s="102"/>
      <c r="K17" s="149"/>
      <c r="L17" s="105">
        <v>20201118</v>
      </c>
    </row>
    <row r="18" s="146" customFormat="1" ht="16" customHeight="1" spans="1:12">
      <c r="A18" s="132">
        <v>16</v>
      </c>
      <c r="B18" s="102" t="s">
        <v>12263</v>
      </c>
      <c r="C18" s="102" t="s">
        <v>12292</v>
      </c>
      <c r="D18" s="102" t="s">
        <v>12293</v>
      </c>
      <c r="E18" s="102" t="s">
        <v>10250</v>
      </c>
      <c r="F18" s="149">
        <v>2020</v>
      </c>
      <c r="G18" s="128" t="s">
        <v>3359</v>
      </c>
      <c r="H18" s="102">
        <v>200</v>
      </c>
      <c r="I18" s="102">
        <v>200</v>
      </c>
      <c r="J18" s="102"/>
      <c r="K18" s="149"/>
      <c r="L18" s="105">
        <v>20201118</v>
      </c>
    </row>
    <row r="19" s="146" customFormat="1" ht="16" customHeight="1" spans="1:12">
      <c r="A19" s="132">
        <v>17</v>
      </c>
      <c r="B19" s="102" t="s">
        <v>12263</v>
      </c>
      <c r="C19" s="102" t="s">
        <v>12294</v>
      </c>
      <c r="D19" s="102" t="s">
        <v>12295</v>
      </c>
      <c r="E19" s="102" t="s">
        <v>10250</v>
      </c>
      <c r="F19" s="149">
        <v>2020</v>
      </c>
      <c r="G19" s="128" t="s">
        <v>3359</v>
      </c>
      <c r="H19" s="102">
        <v>200</v>
      </c>
      <c r="I19" s="102">
        <v>200</v>
      </c>
      <c r="J19" s="102"/>
      <c r="K19" s="149"/>
      <c r="L19" s="105">
        <v>20201118</v>
      </c>
    </row>
    <row r="20" s="146" customFormat="1" ht="16" customHeight="1" spans="1:12">
      <c r="A20" s="132">
        <v>18</v>
      </c>
      <c r="B20" s="102" t="s">
        <v>12263</v>
      </c>
      <c r="C20" s="102" t="s">
        <v>12296</v>
      </c>
      <c r="D20" s="102" t="s">
        <v>12297</v>
      </c>
      <c r="E20" s="102" t="s">
        <v>10250</v>
      </c>
      <c r="F20" s="149">
        <v>2020</v>
      </c>
      <c r="G20" s="128" t="s">
        <v>3359</v>
      </c>
      <c r="H20" s="102">
        <v>200</v>
      </c>
      <c r="I20" s="102">
        <v>200</v>
      </c>
      <c r="J20" s="102"/>
      <c r="K20" s="149"/>
      <c r="L20" s="105">
        <v>20201118</v>
      </c>
    </row>
    <row r="21" s="146" customFormat="1" ht="16" customHeight="1" spans="1:12">
      <c r="A21" s="132">
        <v>19</v>
      </c>
      <c r="B21" s="102" t="s">
        <v>12263</v>
      </c>
      <c r="C21" s="102" t="s">
        <v>12298</v>
      </c>
      <c r="D21" s="102" t="s">
        <v>12299</v>
      </c>
      <c r="E21" s="102" t="s">
        <v>10250</v>
      </c>
      <c r="F21" s="149">
        <v>2020</v>
      </c>
      <c r="G21" s="128" t="s">
        <v>3359</v>
      </c>
      <c r="H21" s="102">
        <v>200</v>
      </c>
      <c r="I21" s="102">
        <v>200</v>
      </c>
      <c r="J21" s="102"/>
      <c r="K21" s="149"/>
      <c r="L21" s="105">
        <v>20201118</v>
      </c>
    </row>
    <row r="22" s="146" customFormat="1" ht="16" customHeight="1" spans="1:12">
      <c r="A22" s="132">
        <v>20</v>
      </c>
      <c r="B22" s="102" t="s">
        <v>12263</v>
      </c>
      <c r="C22" s="102" t="s">
        <v>12300</v>
      </c>
      <c r="D22" s="102" t="s">
        <v>12301</v>
      </c>
      <c r="E22" s="102" t="s">
        <v>10250</v>
      </c>
      <c r="F22" s="149">
        <v>2020</v>
      </c>
      <c r="G22" s="128" t="s">
        <v>3359</v>
      </c>
      <c r="H22" s="102">
        <v>200</v>
      </c>
      <c r="I22" s="102">
        <v>200</v>
      </c>
      <c r="J22" s="102"/>
      <c r="K22" s="149"/>
      <c r="L22" s="105">
        <v>20201118</v>
      </c>
    </row>
    <row r="23" s="146" customFormat="1" ht="16" customHeight="1" spans="1:12">
      <c r="A23" s="132">
        <v>21</v>
      </c>
      <c r="B23" s="102" t="s">
        <v>12263</v>
      </c>
      <c r="C23" s="102" t="s">
        <v>6469</v>
      </c>
      <c r="D23" s="102" t="s">
        <v>12302</v>
      </c>
      <c r="E23" s="102" t="s">
        <v>10250</v>
      </c>
      <c r="F23" s="149">
        <v>2020</v>
      </c>
      <c r="G23" s="128" t="s">
        <v>3359</v>
      </c>
      <c r="H23" s="102">
        <v>200</v>
      </c>
      <c r="I23" s="102">
        <v>200</v>
      </c>
      <c r="J23" s="102"/>
      <c r="K23" s="149"/>
      <c r="L23" s="105">
        <v>20201118</v>
      </c>
    </row>
    <row r="24" s="146" customFormat="1" ht="16" customHeight="1" spans="1:12">
      <c r="A24" s="132">
        <v>22</v>
      </c>
      <c r="B24" s="102" t="s">
        <v>12263</v>
      </c>
      <c r="C24" s="102" t="s">
        <v>12303</v>
      </c>
      <c r="D24" s="102" t="s">
        <v>12304</v>
      </c>
      <c r="E24" s="102" t="s">
        <v>10250</v>
      </c>
      <c r="F24" s="149">
        <v>2020</v>
      </c>
      <c r="G24" s="128" t="s">
        <v>3359</v>
      </c>
      <c r="H24" s="102">
        <v>200</v>
      </c>
      <c r="I24" s="102">
        <v>200</v>
      </c>
      <c r="J24" s="102"/>
      <c r="K24" s="149"/>
      <c r="L24" s="105">
        <v>20201118</v>
      </c>
    </row>
    <row r="25" s="146" customFormat="1" ht="16" customHeight="1" spans="1:12">
      <c r="A25" s="132">
        <v>23</v>
      </c>
      <c r="B25" s="102" t="s">
        <v>12263</v>
      </c>
      <c r="C25" s="102" t="s">
        <v>12305</v>
      </c>
      <c r="D25" s="102" t="s">
        <v>12306</v>
      </c>
      <c r="E25" s="102" t="s">
        <v>10250</v>
      </c>
      <c r="F25" s="149">
        <v>2020</v>
      </c>
      <c r="G25" s="128" t="s">
        <v>3359</v>
      </c>
      <c r="H25" s="102">
        <v>200</v>
      </c>
      <c r="I25" s="102">
        <v>200</v>
      </c>
      <c r="J25" s="102"/>
      <c r="K25" s="149"/>
      <c r="L25" s="105">
        <v>20201118</v>
      </c>
    </row>
    <row r="26" s="146" customFormat="1" ht="16" customHeight="1" spans="1:12">
      <c r="A26" s="132">
        <v>24</v>
      </c>
      <c r="B26" s="102" t="s">
        <v>12263</v>
      </c>
      <c r="C26" s="102" t="s">
        <v>12307</v>
      </c>
      <c r="D26" s="102" t="s">
        <v>12308</v>
      </c>
      <c r="E26" s="102" t="s">
        <v>10250</v>
      </c>
      <c r="F26" s="149">
        <v>2020</v>
      </c>
      <c r="G26" s="128" t="s">
        <v>3359</v>
      </c>
      <c r="H26" s="102">
        <v>200</v>
      </c>
      <c r="I26" s="102">
        <v>200</v>
      </c>
      <c r="J26" s="102"/>
      <c r="K26" s="149"/>
      <c r="L26" s="105">
        <v>20201118</v>
      </c>
    </row>
    <row r="27" s="146" customFormat="1" ht="16" customHeight="1" spans="1:12">
      <c r="A27" s="132">
        <v>25</v>
      </c>
      <c r="B27" s="102" t="s">
        <v>12263</v>
      </c>
      <c r="C27" s="102" t="s">
        <v>12309</v>
      </c>
      <c r="D27" s="102" t="s">
        <v>12310</v>
      </c>
      <c r="E27" s="102" t="s">
        <v>10250</v>
      </c>
      <c r="F27" s="149">
        <v>2020</v>
      </c>
      <c r="G27" s="128" t="s">
        <v>3359</v>
      </c>
      <c r="H27" s="102">
        <v>200</v>
      </c>
      <c r="I27" s="102">
        <v>200</v>
      </c>
      <c r="J27" s="102"/>
      <c r="K27" s="149"/>
      <c r="L27" s="105">
        <v>20201118</v>
      </c>
    </row>
    <row r="28" s="146" customFormat="1" ht="16" customHeight="1" spans="1:12">
      <c r="A28" s="132">
        <v>26</v>
      </c>
      <c r="B28" s="102" t="s">
        <v>12263</v>
      </c>
      <c r="C28" s="102" t="s">
        <v>12311</v>
      </c>
      <c r="D28" s="102" t="s">
        <v>12312</v>
      </c>
      <c r="E28" s="102" t="s">
        <v>10250</v>
      </c>
      <c r="F28" s="149">
        <v>2020</v>
      </c>
      <c r="G28" s="128" t="s">
        <v>3359</v>
      </c>
      <c r="H28" s="102">
        <v>200</v>
      </c>
      <c r="I28" s="102">
        <v>200</v>
      </c>
      <c r="J28" s="102"/>
      <c r="K28" s="149"/>
      <c r="L28" s="105">
        <v>20201118</v>
      </c>
    </row>
    <row r="29" s="146" customFormat="1" ht="16" customHeight="1" spans="1:12">
      <c r="A29" s="132">
        <v>27</v>
      </c>
      <c r="B29" s="102" t="s">
        <v>12263</v>
      </c>
      <c r="C29" s="102" t="s">
        <v>12313</v>
      </c>
      <c r="D29" s="102" t="s">
        <v>12314</v>
      </c>
      <c r="E29" s="102" t="s">
        <v>10250</v>
      </c>
      <c r="F29" s="149">
        <v>2020</v>
      </c>
      <c r="G29" s="128" t="s">
        <v>3359</v>
      </c>
      <c r="H29" s="102">
        <v>500</v>
      </c>
      <c r="I29" s="102">
        <v>500</v>
      </c>
      <c r="J29" s="102"/>
      <c r="K29" s="149"/>
      <c r="L29" s="105">
        <v>20201118</v>
      </c>
    </row>
    <row r="30" s="146" customFormat="1" ht="16" customHeight="1" spans="1:12">
      <c r="A30" s="132">
        <v>28</v>
      </c>
      <c r="B30" s="102" t="s">
        <v>12263</v>
      </c>
      <c r="C30" s="102" t="s">
        <v>12315</v>
      </c>
      <c r="D30" s="102" t="s">
        <v>12316</v>
      </c>
      <c r="E30" s="102" t="s">
        <v>10250</v>
      </c>
      <c r="F30" s="149">
        <v>2020</v>
      </c>
      <c r="G30" s="128" t="s">
        <v>3359</v>
      </c>
      <c r="H30" s="102">
        <v>500</v>
      </c>
      <c r="I30" s="102">
        <v>500</v>
      </c>
      <c r="J30" s="102"/>
      <c r="K30" s="149"/>
      <c r="L30" s="105">
        <v>20201118</v>
      </c>
    </row>
    <row r="31" s="146" customFormat="1" ht="16" customHeight="1" spans="1:12">
      <c r="A31" s="132">
        <v>29</v>
      </c>
      <c r="B31" s="102" t="s">
        <v>12263</v>
      </c>
      <c r="C31" s="102" t="s">
        <v>7999</v>
      </c>
      <c r="D31" s="102" t="s">
        <v>12317</v>
      </c>
      <c r="E31" s="102" t="s">
        <v>10250</v>
      </c>
      <c r="F31" s="149">
        <v>2020</v>
      </c>
      <c r="G31" s="128" t="s">
        <v>3359</v>
      </c>
      <c r="H31" s="102">
        <v>200</v>
      </c>
      <c r="I31" s="102">
        <v>200</v>
      </c>
      <c r="J31" s="102"/>
      <c r="K31" s="149"/>
      <c r="L31" s="105">
        <v>20201118</v>
      </c>
    </row>
    <row r="32" s="146" customFormat="1" ht="16" customHeight="1" spans="1:12">
      <c r="A32" s="132">
        <v>30</v>
      </c>
      <c r="B32" s="102" t="s">
        <v>12263</v>
      </c>
      <c r="C32" s="102" t="s">
        <v>12318</v>
      </c>
      <c r="D32" s="102" t="s">
        <v>12319</v>
      </c>
      <c r="E32" s="102" t="s">
        <v>10250</v>
      </c>
      <c r="F32" s="149">
        <v>2020</v>
      </c>
      <c r="G32" s="128" t="s">
        <v>3359</v>
      </c>
      <c r="H32" s="102">
        <v>200</v>
      </c>
      <c r="I32" s="102">
        <v>200</v>
      </c>
      <c r="J32" s="102"/>
      <c r="K32" s="149"/>
      <c r="L32" s="105">
        <v>20201118</v>
      </c>
    </row>
    <row r="33" s="146" customFormat="1" ht="16" customHeight="1" spans="1:12">
      <c r="A33" s="132">
        <v>31</v>
      </c>
      <c r="B33" s="102" t="s">
        <v>12263</v>
      </c>
      <c r="C33" s="102" t="s">
        <v>12320</v>
      </c>
      <c r="D33" s="102" t="s">
        <v>12321</v>
      </c>
      <c r="E33" s="102" t="s">
        <v>10250</v>
      </c>
      <c r="F33" s="149">
        <v>2020</v>
      </c>
      <c r="G33" s="128" t="s">
        <v>3359</v>
      </c>
      <c r="H33" s="102">
        <v>200</v>
      </c>
      <c r="I33" s="102">
        <v>200</v>
      </c>
      <c r="J33" s="102"/>
      <c r="K33" s="149"/>
      <c r="L33" s="105">
        <v>20201118</v>
      </c>
    </row>
    <row r="34" s="146" customFormat="1" ht="16" customHeight="1" spans="1:12">
      <c r="A34" s="132">
        <v>32</v>
      </c>
      <c r="B34" s="102" t="s">
        <v>12263</v>
      </c>
      <c r="C34" s="102" t="s">
        <v>12322</v>
      </c>
      <c r="D34" s="102" t="s">
        <v>12323</v>
      </c>
      <c r="E34" s="102" t="s">
        <v>10250</v>
      </c>
      <c r="F34" s="149">
        <v>2020</v>
      </c>
      <c r="G34" s="128" t="s">
        <v>3359</v>
      </c>
      <c r="H34" s="102">
        <v>200</v>
      </c>
      <c r="I34" s="102">
        <v>200</v>
      </c>
      <c r="J34" s="102"/>
      <c r="K34" s="149"/>
      <c r="L34" s="105">
        <v>20201118</v>
      </c>
    </row>
    <row r="35" s="146" customFormat="1" ht="16" customHeight="1" spans="1:12">
      <c r="A35" s="132">
        <v>33</v>
      </c>
      <c r="B35" s="102" t="s">
        <v>12263</v>
      </c>
      <c r="C35" s="102" t="s">
        <v>12324</v>
      </c>
      <c r="D35" s="102" t="s">
        <v>12325</v>
      </c>
      <c r="E35" s="102" t="s">
        <v>10250</v>
      </c>
      <c r="F35" s="149">
        <v>2020</v>
      </c>
      <c r="G35" s="128" t="s">
        <v>3359</v>
      </c>
      <c r="H35" s="102">
        <v>200</v>
      </c>
      <c r="I35" s="102">
        <v>200</v>
      </c>
      <c r="J35" s="102" t="s">
        <v>108</v>
      </c>
      <c r="K35" s="149"/>
      <c r="L35" s="105">
        <v>20201118</v>
      </c>
    </row>
    <row r="36" s="146" customFormat="1" ht="16" customHeight="1" spans="1:12">
      <c r="A36" s="132">
        <v>34</v>
      </c>
      <c r="B36" s="102" t="s">
        <v>12263</v>
      </c>
      <c r="C36" s="102" t="s">
        <v>12326</v>
      </c>
      <c r="D36" s="102" t="s">
        <v>12327</v>
      </c>
      <c r="E36" s="102" t="s">
        <v>10250</v>
      </c>
      <c r="F36" s="149">
        <v>2020</v>
      </c>
      <c r="G36" s="128" t="s">
        <v>3359</v>
      </c>
      <c r="H36" s="102">
        <v>200</v>
      </c>
      <c r="I36" s="102">
        <v>200</v>
      </c>
      <c r="J36" s="102"/>
      <c r="K36" s="149"/>
      <c r="L36" s="105">
        <v>20201118</v>
      </c>
    </row>
    <row r="37" s="146" customFormat="1" ht="16" customHeight="1" spans="1:12">
      <c r="A37" s="132">
        <v>35</v>
      </c>
      <c r="B37" s="102" t="s">
        <v>12263</v>
      </c>
      <c r="C37" s="102" t="s">
        <v>12328</v>
      </c>
      <c r="D37" s="102" t="s">
        <v>12329</v>
      </c>
      <c r="E37" s="102" t="s">
        <v>10250</v>
      </c>
      <c r="F37" s="149">
        <v>2020</v>
      </c>
      <c r="G37" s="128" t="s">
        <v>3359</v>
      </c>
      <c r="H37" s="102">
        <v>200</v>
      </c>
      <c r="I37" s="102">
        <v>200</v>
      </c>
      <c r="J37" s="102"/>
      <c r="K37" s="149"/>
      <c r="L37" s="105">
        <v>20201118</v>
      </c>
    </row>
    <row r="38" s="146" customFormat="1" ht="16" customHeight="1" spans="1:12">
      <c r="A38" s="132">
        <v>36</v>
      </c>
      <c r="B38" s="102" t="s">
        <v>12263</v>
      </c>
      <c r="C38" s="102" t="s">
        <v>7179</v>
      </c>
      <c r="D38" s="102" t="s">
        <v>12330</v>
      </c>
      <c r="E38" s="102" t="s">
        <v>10250</v>
      </c>
      <c r="F38" s="149">
        <v>2020</v>
      </c>
      <c r="G38" s="128" t="s">
        <v>3359</v>
      </c>
      <c r="H38" s="102">
        <v>200</v>
      </c>
      <c r="I38" s="102">
        <v>200</v>
      </c>
      <c r="J38" s="102"/>
      <c r="K38" s="149"/>
      <c r="L38" s="105">
        <v>20201118</v>
      </c>
    </row>
    <row r="39" s="146" customFormat="1" ht="16" customHeight="1" spans="1:12">
      <c r="A39" s="132">
        <v>37</v>
      </c>
      <c r="B39" s="102" t="s">
        <v>12263</v>
      </c>
      <c r="C39" s="102" t="s">
        <v>12331</v>
      </c>
      <c r="D39" s="102" t="s">
        <v>12332</v>
      </c>
      <c r="E39" s="102" t="s">
        <v>10250</v>
      </c>
      <c r="F39" s="149">
        <v>2020</v>
      </c>
      <c r="G39" s="128" t="s">
        <v>3359</v>
      </c>
      <c r="H39" s="102">
        <v>200</v>
      </c>
      <c r="I39" s="102">
        <v>200</v>
      </c>
      <c r="J39" s="102"/>
      <c r="K39" s="149"/>
      <c r="L39" s="105">
        <v>20201118</v>
      </c>
    </row>
    <row r="40" s="146" customFormat="1" ht="16" customHeight="1" spans="1:12">
      <c r="A40" s="132">
        <v>38</v>
      </c>
      <c r="B40" s="102" t="s">
        <v>12263</v>
      </c>
      <c r="C40" s="102" t="s">
        <v>12333</v>
      </c>
      <c r="D40" s="102" t="s">
        <v>12334</v>
      </c>
      <c r="E40" s="102" t="s">
        <v>10250</v>
      </c>
      <c r="F40" s="149">
        <v>2020</v>
      </c>
      <c r="G40" s="128" t="s">
        <v>3359</v>
      </c>
      <c r="H40" s="102">
        <v>200</v>
      </c>
      <c r="I40" s="102">
        <v>200</v>
      </c>
      <c r="J40" s="102"/>
      <c r="K40" s="149"/>
      <c r="L40" s="105">
        <v>20201118</v>
      </c>
    </row>
    <row r="41" s="146" customFormat="1" ht="16" customHeight="1" spans="1:12">
      <c r="A41" s="132">
        <v>39</v>
      </c>
      <c r="B41" s="102" t="s">
        <v>12263</v>
      </c>
      <c r="C41" s="102" t="s">
        <v>12335</v>
      </c>
      <c r="D41" s="102" t="s">
        <v>12336</v>
      </c>
      <c r="E41" s="102" t="s">
        <v>10250</v>
      </c>
      <c r="F41" s="149">
        <v>2020</v>
      </c>
      <c r="G41" s="128" t="s">
        <v>3359</v>
      </c>
      <c r="H41" s="102">
        <v>200</v>
      </c>
      <c r="I41" s="102">
        <v>200</v>
      </c>
      <c r="J41" s="102"/>
      <c r="K41" s="149"/>
      <c r="L41" s="105">
        <v>20201118</v>
      </c>
    </row>
    <row r="42" s="146" customFormat="1" ht="16" customHeight="1" spans="1:12">
      <c r="A42" s="132">
        <v>40</v>
      </c>
      <c r="B42" s="102" t="s">
        <v>12263</v>
      </c>
      <c r="C42" s="102" t="s">
        <v>12337</v>
      </c>
      <c r="D42" s="102" t="s">
        <v>12338</v>
      </c>
      <c r="E42" s="102" t="s">
        <v>10250</v>
      </c>
      <c r="F42" s="149">
        <v>2020</v>
      </c>
      <c r="G42" s="128" t="s">
        <v>3359</v>
      </c>
      <c r="H42" s="102">
        <v>500</v>
      </c>
      <c r="I42" s="102">
        <v>500</v>
      </c>
      <c r="J42" s="102"/>
      <c r="K42" s="149"/>
      <c r="L42" s="105">
        <v>20201118</v>
      </c>
    </row>
    <row r="43" s="146" customFormat="1" ht="16" customHeight="1" spans="1:12">
      <c r="A43" s="132">
        <v>41</v>
      </c>
      <c r="B43" s="102" t="s">
        <v>12263</v>
      </c>
      <c r="C43" s="102" t="s">
        <v>12339</v>
      </c>
      <c r="D43" s="102" t="s">
        <v>12340</v>
      </c>
      <c r="E43" s="102" t="s">
        <v>10250</v>
      </c>
      <c r="F43" s="149">
        <v>2020</v>
      </c>
      <c r="G43" s="128" t="s">
        <v>3359</v>
      </c>
      <c r="H43" s="102">
        <v>500</v>
      </c>
      <c r="I43" s="102">
        <v>500</v>
      </c>
      <c r="J43" s="102"/>
      <c r="K43" s="149"/>
      <c r="L43" s="105">
        <v>20201118</v>
      </c>
    </row>
    <row r="44" s="146" customFormat="1" ht="16" customHeight="1" spans="1:12">
      <c r="A44" s="132">
        <v>42</v>
      </c>
      <c r="B44" s="102" t="s">
        <v>12263</v>
      </c>
      <c r="C44" s="102" t="s">
        <v>3471</v>
      </c>
      <c r="D44" s="102" t="s">
        <v>12341</v>
      </c>
      <c r="E44" s="102" t="s">
        <v>10250</v>
      </c>
      <c r="F44" s="149">
        <v>2020</v>
      </c>
      <c r="G44" s="128" t="s">
        <v>3359</v>
      </c>
      <c r="H44" s="102">
        <v>200</v>
      </c>
      <c r="I44" s="102">
        <v>200</v>
      </c>
      <c r="J44" s="102"/>
      <c r="K44" s="149"/>
      <c r="L44" s="105">
        <v>20201118</v>
      </c>
    </row>
    <row r="45" s="146" customFormat="1" ht="16" customHeight="1" spans="1:12">
      <c r="A45" s="132">
        <v>43</v>
      </c>
      <c r="B45" s="102" t="s">
        <v>12263</v>
      </c>
      <c r="C45" s="102" t="s">
        <v>12342</v>
      </c>
      <c r="D45" s="102" t="s">
        <v>12343</v>
      </c>
      <c r="E45" s="102" t="s">
        <v>10250</v>
      </c>
      <c r="F45" s="149">
        <v>2020</v>
      </c>
      <c r="G45" s="128" t="s">
        <v>3359</v>
      </c>
      <c r="H45" s="102">
        <v>200</v>
      </c>
      <c r="I45" s="102">
        <v>200</v>
      </c>
      <c r="J45" s="102"/>
      <c r="K45" s="149"/>
      <c r="L45" s="105">
        <v>20201118</v>
      </c>
    </row>
    <row r="46" s="146" customFormat="1" ht="16" customHeight="1" spans="1:12">
      <c r="A46" s="132">
        <v>44</v>
      </c>
      <c r="B46" s="102" t="s">
        <v>12263</v>
      </c>
      <c r="C46" s="102" t="s">
        <v>12344</v>
      </c>
      <c r="D46" s="102" t="s">
        <v>12345</v>
      </c>
      <c r="E46" s="102" t="s">
        <v>10250</v>
      </c>
      <c r="F46" s="149">
        <v>2020</v>
      </c>
      <c r="G46" s="128" t="s">
        <v>3359</v>
      </c>
      <c r="H46" s="102">
        <v>200</v>
      </c>
      <c r="I46" s="102">
        <v>200</v>
      </c>
      <c r="J46" s="102"/>
      <c r="K46" s="149"/>
      <c r="L46" s="105">
        <v>20201118</v>
      </c>
    </row>
    <row r="47" s="146" customFormat="1" ht="16" customHeight="1" spans="1:12">
      <c r="A47" s="132">
        <v>45</v>
      </c>
      <c r="B47" s="102" t="s">
        <v>12263</v>
      </c>
      <c r="C47" s="102" t="s">
        <v>12346</v>
      </c>
      <c r="D47" s="102" t="s">
        <v>12347</v>
      </c>
      <c r="E47" s="102" t="s">
        <v>10250</v>
      </c>
      <c r="F47" s="149">
        <v>2020</v>
      </c>
      <c r="G47" s="128" t="s">
        <v>3359</v>
      </c>
      <c r="H47" s="102">
        <v>200</v>
      </c>
      <c r="I47" s="102">
        <v>200</v>
      </c>
      <c r="J47" s="102"/>
      <c r="K47" s="149"/>
      <c r="L47" s="105">
        <v>20201118</v>
      </c>
    </row>
    <row r="48" s="146" customFormat="1" ht="16" customHeight="1" spans="1:12">
      <c r="A48" s="132">
        <v>46</v>
      </c>
      <c r="B48" s="102" t="s">
        <v>12263</v>
      </c>
      <c r="C48" s="102" t="s">
        <v>12348</v>
      </c>
      <c r="D48" s="102" t="s">
        <v>12349</v>
      </c>
      <c r="E48" s="102" t="s">
        <v>10250</v>
      </c>
      <c r="F48" s="149">
        <v>2020</v>
      </c>
      <c r="G48" s="128" t="s">
        <v>3359</v>
      </c>
      <c r="H48" s="102">
        <v>200</v>
      </c>
      <c r="I48" s="102">
        <v>200</v>
      </c>
      <c r="J48" s="102"/>
      <c r="K48" s="149"/>
      <c r="L48" s="105">
        <v>20201118</v>
      </c>
    </row>
    <row r="49" s="146" customFormat="1" ht="16" customHeight="1" spans="1:12">
      <c r="A49" s="132">
        <v>47</v>
      </c>
      <c r="B49" s="102" t="s">
        <v>12263</v>
      </c>
      <c r="C49" s="102" t="s">
        <v>12350</v>
      </c>
      <c r="D49" s="102" t="s">
        <v>12351</v>
      </c>
      <c r="E49" s="102" t="s">
        <v>10250</v>
      </c>
      <c r="F49" s="149">
        <v>2020</v>
      </c>
      <c r="G49" s="128" t="s">
        <v>3359</v>
      </c>
      <c r="H49" s="102">
        <v>200</v>
      </c>
      <c r="I49" s="102">
        <v>200</v>
      </c>
      <c r="J49" s="102"/>
      <c r="K49" s="149"/>
      <c r="L49" s="105">
        <v>20201118</v>
      </c>
    </row>
    <row r="50" s="146" customFormat="1" ht="16" customHeight="1" spans="1:12">
      <c r="A50" s="132">
        <v>48</v>
      </c>
      <c r="B50" s="102" t="s">
        <v>12263</v>
      </c>
      <c r="C50" s="102" t="s">
        <v>12352</v>
      </c>
      <c r="D50" s="102" t="s">
        <v>12353</v>
      </c>
      <c r="E50" s="102" t="s">
        <v>10250</v>
      </c>
      <c r="F50" s="149">
        <v>2020</v>
      </c>
      <c r="G50" s="128" t="s">
        <v>3359</v>
      </c>
      <c r="H50" s="102">
        <v>200</v>
      </c>
      <c r="I50" s="102">
        <v>200</v>
      </c>
      <c r="J50" s="102"/>
      <c r="K50" s="149"/>
      <c r="L50" s="105">
        <v>20201118</v>
      </c>
    </row>
    <row r="51" s="146" customFormat="1" ht="16" customHeight="1" spans="1:12">
      <c r="A51" s="132">
        <v>49</v>
      </c>
      <c r="B51" s="102" t="s">
        <v>12263</v>
      </c>
      <c r="C51" s="102" t="s">
        <v>12354</v>
      </c>
      <c r="D51" s="102" t="s">
        <v>12355</v>
      </c>
      <c r="E51" s="102" t="s">
        <v>10250</v>
      </c>
      <c r="F51" s="149">
        <v>2020</v>
      </c>
      <c r="G51" s="128" t="s">
        <v>3359</v>
      </c>
      <c r="H51" s="102">
        <v>200</v>
      </c>
      <c r="I51" s="102">
        <v>200</v>
      </c>
      <c r="J51" s="102"/>
      <c r="K51" s="149"/>
      <c r="L51" s="105">
        <v>20201118</v>
      </c>
    </row>
    <row r="52" s="146" customFormat="1" ht="16" customHeight="1" spans="1:12">
      <c r="A52" s="132">
        <v>50</v>
      </c>
      <c r="B52" s="102" t="s">
        <v>12263</v>
      </c>
      <c r="C52" s="102" t="s">
        <v>3161</v>
      </c>
      <c r="D52" s="102" t="s">
        <v>12356</v>
      </c>
      <c r="E52" s="102" t="s">
        <v>10250</v>
      </c>
      <c r="F52" s="149">
        <v>2020</v>
      </c>
      <c r="G52" s="128" t="s">
        <v>3359</v>
      </c>
      <c r="H52" s="102">
        <v>200</v>
      </c>
      <c r="I52" s="102">
        <v>200</v>
      </c>
      <c r="J52" s="102"/>
      <c r="K52" s="149"/>
      <c r="L52" s="105">
        <v>20201118</v>
      </c>
    </row>
    <row r="53" s="146" customFormat="1" ht="16" customHeight="1" spans="1:12">
      <c r="A53" s="132">
        <v>51</v>
      </c>
      <c r="B53" s="102" t="s">
        <v>12263</v>
      </c>
      <c r="C53" s="102" t="s">
        <v>12357</v>
      </c>
      <c r="D53" s="102" t="s">
        <v>12358</v>
      </c>
      <c r="E53" s="102" t="s">
        <v>10250</v>
      </c>
      <c r="F53" s="149">
        <v>2020</v>
      </c>
      <c r="G53" s="128" t="s">
        <v>3359</v>
      </c>
      <c r="H53" s="102">
        <v>200</v>
      </c>
      <c r="I53" s="102">
        <v>200</v>
      </c>
      <c r="J53" s="102"/>
      <c r="K53" s="149"/>
      <c r="L53" s="105">
        <v>20201118</v>
      </c>
    </row>
    <row r="54" s="146" customFormat="1" ht="16" customHeight="1" spans="1:12">
      <c r="A54" s="132">
        <v>52</v>
      </c>
      <c r="B54" s="102" t="s">
        <v>12263</v>
      </c>
      <c r="C54" s="102" t="s">
        <v>12359</v>
      </c>
      <c r="D54" s="102" t="s">
        <v>12360</v>
      </c>
      <c r="E54" s="102" t="s">
        <v>10250</v>
      </c>
      <c r="F54" s="149">
        <v>2020</v>
      </c>
      <c r="G54" s="128" t="s">
        <v>3359</v>
      </c>
      <c r="H54" s="102">
        <v>200</v>
      </c>
      <c r="I54" s="102">
        <v>200</v>
      </c>
      <c r="J54" s="102"/>
      <c r="K54" s="149"/>
      <c r="L54" s="105">
        <v>20201118</v>
      </c>
    </row>
    <row r="55" s="146" customFormat="1" ht="16" customHeight="1" spans="1:12">
      <c r="A55" s="132">
        <v>53</v>
      </c>
      <c r="B55" s="102" t="s">
        <v>12263</v>
      </c>
      <c r="C55" s="102" t="s">
        <v>12361</v>
      </c>
      <c r="D55" s="102" t="s">
        <v>12362</v>
      </c>
      <c r="E55" s="102" t="s">
        <v>10250</v>
      </c>
      <c r="F55" s="149">
        <v>2020</v>
      </c>
      <c r="G55" s="128" t="s">
        <v>3359</v>
      </c>
      <c r="H55" s="102">
        <v>200</v>
      </c>
      <c r="I55" s="102">
        <v>200</v>
      </c>
      <c r="J55" s="102"/>
      <c r="K55" s="149"/>
      <c r="L55" s="105">
        <v>20201118</v>
      </c>
    </row>
    <row r="56" s="146" customFormat="1" ht="16" customHeight="1" spans="1:12">
      <c r="A56" s="132">
        <v>54</v>
      </c>
      <c r="B56" s="102" t="s">
        <v>12263</v>
      </c>
      <c r="C56" s="102" t="s">
        <v>12363</v>
      </c>
      <c r="D56" s="102" t="s">
        <v>12364</v>
      </c>
      <c r="E56" s="102" t="s">
        <v>10250</v>
      </c>
      <c r="F56" s="149">
        <v>2020</v>
      </c>
      <c r="G56" s="128" t="s">
        <v>3359</v>
      </c>
      <c r="H56" s="102">
        <v>200</v>
      </c>
      <c r="I56" s="102">
        <v>200</v>
      </c>
      <c r="J56" s="102"/>
      <c r="K56" s="149"/>
      <c r="L56" s="105">
        <v>20201118</v>
      </c>
    </row>
    <row r="57" s="146" customFormat="1" ht="16" customHeight="1" spans="1:12">
      <c r="A57" s="132">
        <v>55</v>
      </c>
      <c r="B57" s="102" t="s">
        <v>12263</v>
      </c>
      <c r="C57" s="102" t="s">
        <v>12365</v>
      </c>
      <c r="D57" s="102" t="s">
        <v>12366</v>
      </c>
      <c r="E57" s="102" t="s">
        <v>10250</v>
      </c>
      <c r="F57" s="149">
        <v>2020</v>
      </c>
      <c r="G57" s="128" t="s">
        <v>3359</v>
      </c>
      <c r="H57" s="102">
        <v>200</v>
      </c>
      <c r="I57" s="102">
        <v>200</v>
      </c>
      <c r="J57" s="102"/>
      <c r="K57" s="149"/>
      <c r="L57" s="105">
        <v>20201118</v>
      </c>
    </row>
    <row r="58" s="146" customFormat="1" ht="16" customHeight="1" spans="1:12">
      <c r="A58" s="132">
        <v>56</v>
      </c>
      <c r="B58" s="102" t="s">
        <v>12263</v>
      </c>
      <c r="C58" s="102" t="s">
        <v>12367</v>
      </c>
      <c r="D58" s="102" t="s">
        <v>12368</v>
      </c>
      <c r="E58" s="102" t="s">
        <v>10250</v>
      </c>
      <c r="F58" s="149">
        <v>2020</v>
      </c>
      <c r="G58" s="128" t="s">
        <v>3359</v>
      </c>
      <c r="H58" s="102">
        <v>200</v>
      </c>
      <c r="I58" s="102">
        <v>200</v>
      </c>
      <c r="J58" s="102"/>
      <c r="K58" s="149"/>
      <c r="L58" s="105">
        <v>20201118</v>
      </c>
    </row>
    <row r="59" s="146" customFormat="1" ht="16" customHeight="1" spans="1:12">
      <c r="A59" s="132">
        <v>57</v>
      </c>
      <c r="B59" s="102" t="s">
        <v>12263</v>
      </c>
      <c r="C59" s="102" t="s">
        <v>12369</v>
      </c>
      <c r="D59" s="102" t="s">
        <v>12370</v>
      </c>
      <c r="E59" s="102" t="s">
        <v>10250</v>
      </c>
      <c r="F59" s="149">
        <v>2020</v>
      </c>
      <c r="G59" s="128" t="s">
        <v>3359</v>
      </c>
      <c r="H59" s="102">
        <v>200</v>
      </c>
      <c r="I59" s="102">
        <v>200</v>
      </c>
      <c r="J59" s="102"/>
      <c r="K59" s="149"/>
      <c r="L59" s="105">
        <v>20201118</v>
      </c>
    </row>
    <row r="60" s="146" customFormat="1" ht="16" customHeight="1" spans="1:12">
      <c r="A60" s="132">
        <v>58</v>
      </c>
      <c r="B60" s="102" t="s">
        <v>12263</v>
      </c>
      <c r="C60" s="102" t="s">
        <v>12371</v>
      </c>
      <c r="D60" s="102" t="s">
        <v>12372</v>
      </c>
      <c r="E60" s="102" t="s">
        <v>10250</v>
      </c>
      <c r="F60" s="149">
        <v>2020</v>
      </c>
      <c r="G60" s="128" t="s">
        <v>3359</v>
      </c>
      <c r="H60" s="102">
        <v>200</v>
      </c>
      <c r="I60" s="102">
        <v>200</v>
      </c>
      <c r="J60" s="102"/>
      <c r="K60" s="149"/>
      <c r="L60" s="105">
        <v>20201118</v>
      </c>
    </row>
    <row r="61" s="146" customFormat="1" ht="16" customHeight="1" spans="1:12">
      <c r="A61" s="132">
        <v>59</v>
      </c>
      <c r="B61" s="102" t="s">
        <v>12263</v>
      </c>
      <c r="C61" s="102" t="s">
        <v>12373</v>
      </c>
      <c r="D61" s="102" t="s">
        <v>12374</v>
      </c>
      <c r="E61" s="102" t="s">
        <v>10250</v>
      </c>
      <c r="F61" s="149">
        <v>2020</v>
      </c>
      <c r="G61" s="128" t="s">
        <v>3359</v>
      </c>
      <c r="H61" s="102">
        <v>200</v>
      </c>
      <c r="I61" s="102">
        <v>200</v>
      </c>
      <c r="J61" s="102"/>
      <c r="K61" s="149"/>
      <c r="L61" s="105">
        <v>20201118</v>
      </c>
    </row>
    <row r="62" s="146" customFormat="1" ht="16" customHeight="1" spans="1:12">
      <c r="A62" s="132">
        <v>60</v>
      </c>
      <c r="B62" s="102" t="s">
        <v>12263</v>
      </c>
      <c r="C62" s="102" t="s">
        <v>12375</v>
      </c>
      <c r="D62" s="102" t="s">
        <v>12376</v>
      </c>
      <c r="E62" s="102" t="s">
        <v>10250</v>
      </c>
      <c r="F62" s="149">
        <v>2020</v>
      </c>
      <c r="G62" s="128" t="s">
        <v>3359</v>
      </c>
      <c r="H62" s="102">
        <v>200</v>
      </c>
      <c r="I62" s="102">
        <v>200</v>
      </c>
      <c r="J62" s="102"/>
      <c r="K62" s="149"/>
      <c r="L62" s="105">
        <v>20201118</v>
      </c>
    </row>
    <row r="63" s="146" customFormat="1" ht="16" customHeight="1" spans="1:12">
      <c r="A63" s="132">
        <v>61</v>
      </c>
      <c r="B63" s="5" t="s">
        <v>12263</v>
      </c>
      <c r="C63" s="5" t="s">
        <v>12377</v>
      </c>
      <c r="D63" s="5" t="s">
        <v>12378</v>
      </c>
      <c r="E63" s="102" t="s">
        <v>10250</v>
      </c>
      <c r="F63" s="149">
        <v>2020</v>
      </c>
      <c r="G63" s="128" t="s">
        <v>3359</v>
      </c>
      <c r="H63" s="5">
        <v>200</v>
      </c>
      <c r="I63" s="5">
        <v>200</v>
      </c>
      <c r="J63" s="5"/>
      <c r="K63" s="149"/>
      <c r="L63" s="105">
        <v>20201118</v>
      </c>
    </row>
    <row r="64" s="146" customFormat="1" ht="16" customHeight="1" spans="1:12">
      <c r="A64" s="132">
        <v>62</v>
      </c>
      <c r="B64" s="102" t="s">
        <v>12263</v>
      </c>
      <c r="C64" s="102" t="s">
        <v>12379</v>
      </c>
      <c r="D64" s="102" t="s">
        <v>12380</v>
      </c>
      <c r="E64" s="102" t="s">
        <v>10250</v>
      </c>
      <c r="F64" s="149">
        <v>2020</v>
      </c>
      <c r="G64" s="128" t="s">
        <v>3359</v>
      </c>
      <c r="H64" s="102">
        <v>200</v>
      </c>
      <c r="I64" s="102">
        <v>200</v>
      </c>
      <c r="J64" s="102"/>
      <c r="K64" s="149"/>
      <c r="L64" s="105">
        <v>20201118</v>
      </c>
    </row>
    <row r="65" s="146" customFormat="1" ht="16" customHeight="1" spans="1:12">
      <c r="A65" s="132">
        <v>63</v>
      </c>
      <c r="B65" s="102" t="s">
        <v>12263</v>
      </c>
      <c r="C65" s="102" t="s">
        <v>8885</v>
      </c>
      <c r="D65" s="102" t="s">
        <v>12381</v>
      </c>
      <c r="E65" s="102" t="s">
        <v>10250</v>
      </c>
      <c r="F65" s="149">
        <v>2020</v>
      </c>
      <c r="G65" s="128" t="s">
        <v>3359</v>
      </c>
      <c r="H65" s="102">
        <v>200</v>
      </c>
      <c r="I65" s="102">
        <v>200</v>
      </c>
      <c r="J65" s="102"/>
      <c r="K65" s="149"/>
      <c r="L65" s="105">
        <v>20201118</v>
      </c>
    </row>
    <row r="66" s="146" customFormat="1" ht="16" customHeight="1" spans="1:12">
      <c r="A66" s="132">
        <v>64</v>
      </c>
      <c r="B66" s="102" t="s">
        <v>12263</v>
      </c>
      <c r="C66" s="102" t="s">
        <v>12382</v>
      </c>
      <c r="D66" s="102" t="s">
        <v>12383</v>
      </c>
      <c r="E66" s="102" t="s">
        <v>10250</v>
      </c>
      <c r="F66" s="149">
        <v>2020</v>
      </c>
      <c r="G66" s="128" t="s">
        <v>3359</v>
      </c>
      <c r="H66" s="102">
        <v>200</v>
      </c>
      <c r="I66" s="102">
        <v>200</v>
      </c>
      <c r="J66" s="102"/>
      <c r="K66" s="149"/>
      <c r="L66" s="105">
        <v>20201118</v>
      </c>
    </row>
    <row r="67" s="146" customFormat="1" ht="16" customHeight="1" spans="1:12">
      <c r="A67" s="132">
        <v>65</v>
      </c>
      <c r="B67" s="102" t="s">
        <v>12263</v>
      </c>
      <c r="C67" s="102" t="s">
        <v>12384</v>
      </c>
      <c r="D67" s="102" t="s">
        <v>12385</v>
      </c>
      <c r="E67" s="102" t="s">
        <v>10250</v>
      </c>
      <c r="F67" s="149">
        <v>2020</v>
      </c>
      <c r="G67" s="128" t="s">
        <v>3359</v>
      </c>
      <c r="H67" s="102">
        <v>200</v>
      </c>
      <c r="I67" s="102">
        <v>200</v>
      </c>
      <c r="J67" s="102"/>
      <c r="K67" s="149"/>
      <c r="L67" s="105">
        <v>20201118</v>
      </c>
    </row>
    <row r="68" s="146" customFormat="1" ht="16" customHeight="1" spans="1:12">
      <c r="A68" s="132">
        <v>66</v>
      </c>
      <c r="B68" s="102" t="s">
        <v>12263</v>
      </c>
      <c r="C68" s="102" t="s">
        <v>12386</v>
      </c>
      <c r="D68" s="102" t="s">
        <v>12387</v>
      </c>
      <c r="E68" s="102" t="s">
        <v>10250</v>
      </c>
      <c r="F68" s="149">
        <v>2020</v>
      </c>
      <c r="G68" s="128" t="s">
        <v>3359</v>
      </c>
      <c r="H68" s="102">
        <v>300</v>
      </c>
      <c r="I68" s="102">
        <v>300</v>
      </c>
      <c r="J68" s="102"/>
      <c r="K68" s="149"/>
      <c r="L68" s="105">
        <v>20201118</v>
      </c>
    </row>
    <row r="69" s="146" customFormat="1" ht="16" customHeight="1" spans="1:12">
      <c r="A69" s="132">
        <v>67</v>
      </c>
      <c r="B69" s="102" t="s">
        <v>12263</v>
      </c>
      <c r="C69" s="102" t="s">
        <v>12388</v>
      </c>
      <c r="D69" s="102" t="s">
        <v>12389</v>
      </c>
      <c r="E69" s="102" t="s">
        <v>10250</v>
      </c>
      <c r="F69" s="149">
        <v>2020</v>
      </c>
      <c r="G69" s="128" t="s">
        <v>3359</v>
      </c>
      <c r="H69" s="102">
        <v>200</v>
      </c>
      <c r="I69" s="102">
        <v>200</v>
      </c>
      <c r="J69" s="102"/>
      <c r="K69" s="149"/>
      <c r="L69" s="105">
        <v>20201118</v>
      </c>
    </row>
    <row r="70" s="146" customFormat="1" ht="16" customHeight="1" spans="1:12">
      <c r="A70" s="132">
        <v>68</v>
      </c>
      <c r="B70" s="102" t="s">
        <v>12263</v>
      </c>
      <c r="C70" s="102" t="s">
        <v>12390</v>
      </c>
      <c r="D70" s="102" t="s">
        <v>12391</v>
      </c>
      <c r="E70" s="102" t="s">
        <v>10250</v>
      </c>
      <c r="F70" s="149">
        <v>2020</v>
      </c>
      <c r="G70" s="128" t="s">
        <v>3359</v>
      </c>
      <c r="H70" s="102">
        <v>300</v>
      </c>
      <c r="I70" s="102">
        <v>300</v>
      </c>
      <c r="J70" s="102"/>
      <c r="K70" s="149"/>
      <c r="L70" s="105">
        <v>20201118</v>
      </c>
    </row>
    <row r="71" s="146" customFormat="1" ht="16" customHeight="1" spans="1:12">
      <c r="A71" s="132">
        <v>69</v>
      </c>
      <c r="B71" s="102" t="s">
        <v>12263</v>
      </c>
      <c r="C71" s="102" t="s">
        <v>9173</v>
      </c>
      <c r="D71" s="102" t="s">
        <v>12392</v>
      </c>
      <c r="E71" s="102" t="s">
        <v>10250</v>
      </c>
      <c r="F71" s="149">
        <v>2020</v>
      </c>
      <c r="G71" s="128" t="s">
        <v>3359</v>
      </c>
      <c r="H71" s="102">
        <v>300</v>
      </c>
      <c r="I71" s="102">
        <v>300</v>
      </c>
      <c r="J71" s="102"/>
      <c r="K71" s="149"/>
      <c r="L71" s="105">
        <v>20201118</v>
      </c>
    </row>
    <row r="72" s="146" customFormat="1" ht="16" customHeight="1" spans="1:12">
      <c r="A72" s="132">
        <v>70</v>
      </c>
      <c r="B72" s="102" t="s">
        <v>12263</v>
      </c>
      <c r="C72" s="102" t="s">
        <v>12393</v>
      </c>
      <c r="D72" s="102" t="s">
        <v>12394</v>
      </c>
      <c r="E72" s="102" t="s">
        <v>10250</v>
      </c>
      <c r="F72" s="149">
        <v>2020</v>
      </c>
      <c r="G72" s="128" t="s">
        <v>3359</v>
      </c>
      <c r="H72" s="102">
        <v>200</v>
      </c>
      <c r="I72" s="102">
        <v>200</v>
      </c>
      <c r="J72" s="102"/>
      <c r="K72" s="149"/>
      <c r="L72" s="105">
        <v>20201118</v>
      </c>
    </row>
    <row r="73" s="146" customFormat="1" ht="16" customHeight="1" spans="1:12">
      <c r="A73" s="132">
        <v>71</v>
      </c>
      <c r="B73" s="102" t="s">
        <v>12263</v>
      </c>
      <c r="C73" s="102" t="s">
        <v>12395</v>
      </c>
      <c r="D73" s="102" t="s">
        <v>12396</v>
      </c>
      <c r="E73" s="102" t="s">
        <v>10250</v>
      </c>
      <c r="F73" s="149">
        <v>2020</v>
      </c>
      <c r="G73" s="128" t="s">
        <v>3359</v>
      </c>
      <c r="H73" s="102">
        <v>200</v>
      </c>
      <c r="I73" s="102">
        <v>200</v>
      </c>
      <c r="J73" s="102"/>
      <c r="K73" s="149"/>
      <c r="L73" s="105">
        <v>20201118</v>
      </c>
    </row>
    <row r="74" s="146" customFormat="1" ht="16" customHeight="1" spans="1:12">
      <c r="A74" s="132">
        <v>72</v>
      </c>
      <c r="B74" s="102" t="s">
        <v>12263</v>
      </c>
      <c r="C74" s="102" t="s">
        <v>12397</v>
      </c>
      <c r="D74" s="102" t="s">
        <v>12398</v>
      </c>
      <c r="E74" s="102" t="s">
        <v>10250</v>
      </c>
      <c r="F74" s="149">
        <v>2020</v>
      </c>
      <c r="G74" s="128" t="s">
        <v>3359</v>
      </c>
      <c r="H74" s="102">
        <v>200</v>
      </c>
      <c r="I74" s="102">
        <v>200</v>
      </c>
      <c r="J74" s="102"/>
      <c r="K74" s="149"/>
      <c r="L74" s="105">
        <v>20201118</v>
      </c>
    </row>
    <row r="75" s="146" customFormat="1" ht="16" customHeight="1" spans="1:12">
      <c r="A75" s="132">
        <v>73</v>
      </c>
      <c r="B75" s="102" t="s">
        <v>12263</v>
      </c>
      <c r="C75" s="102" t="s">
        <v>12399</v>
      </c>
      <c r="D75" s="102" t="s">
        <v>12400</v>
      </c>
      <c r="E75" s="102" t="s">
        <v>10250</v>
      </c>
      <c r="F75" s="149">
        <v>2020</v>
      </c>
      <c r="G75" s="128" t="s">
        <v>3359</v>
      </c>
      <c r="H75" s="102">
        <v>200</v>
      </c>
      <c r="I75" s="102">
        <v>200</v>
      </c>
      <c r="J75" s="102"/>
      <c r="K75" s="149"/>
      <c r="L75" s="105">
        <v>20201118</v>
      </c>
    </row>
    <row r="76" s="146" customFormat="1" ht="16" customHeight="1" spans="1:12">
      <c r="A76" s="132">
        <v>74</v>
      </c>
      <c r="B76" s="102" t="s">
        <v>12263</v>
      </c>
      <c r="C76" s="102" t="s">
        <v>12401</v>
      </c>
      <c r="D76" s="102" t="s">
        <v>12402</v>
      </c>
      <c r="E76" s="102" t="s">
        <v>10250</v>
      </c>
      <c r="F76" s="149">
        <v>2020</v>
      </c>
      <c r="G76" s="128" t="s">
        <v>3359</v>
      </c>
      <c r="H76" s="102">
        <v>200</v>
      </c>
      <c r="I76" s="102">
        <v>200</v>
      </c>
      <c r="J76" s="102"/>
      <c r="K76" s="149"/>
      <c r="L76" s="105">
        <v>20201118</v>
      </c>
    </row>
    <row r="77" s="146" customFormat="1" ht="16" customHeight="1" spans="1:12">
      <c r="A77" s="132">
        <v>75</v>
      </c>
      <c r="B77" s="102" t="s">
        <v>12263</v>
      </c>
      <c r="C77" s="102" t="s">
        <v>12403</v>
      </c>
      <c r="D77" s="102" t="s">
        <v>12404</v>
      </c>
      <c r="E77" s="102" t="s">
        <v>10250</v>
      </c>
      <c r="F77" s="149">
        <v>2020</v>
      </c>
      <c r="G77" s="128" t="s">
        <v>3359</v>
      </c>
      <c r="H77" s="102">
        <v>200</v>
      </c>
      <c r="I77" s="102">
        <v>200</v>
      </c>
      <c r="J77" s="102"/>
      <c r="K77" s="149"/>
      <c r="L77" s="105">
        <v>20201118</v>
      </c>
    </row>
    <row r="78" s="146" customFormat="1" ht="16" customHeight="1" spans="1:12">
      <c r="A78" s="132">
        <v>76</v>
      </c>
      <c r="B78" s="102" t="s">
        <v>12263</v>
      </c>
      <c r="C78" s="102" t="s">
        <v>12405</v>
      </c>
      <c r="D78" s="102" t="s">
        <v>12406</v>
      </c>
      <c r="E78" s="102" t="s">
        <v>10250</v>
      </c>
      <c r="F78" s="149">
        <v>2020</v>
      </c>
      <c r="G78" s="128" t="s">
        <v>3359</v>
      </c>
      <c r="H78" s="102">
        <v>200</v>
      </c>
      <c r="I78" s="102">
        <v>200</v>
      </c>
      <c r="J78" s="102"/>
      <c r="K78" s="149"/>
      <c r="L78" s="105">
        <v>20201118</v>
      </c>
    </row>
    <row r="79" s="146" customFormat="1" ht="16" customHeight="1" spans="1:12">
      <c r="A79" s="132">
        <v>77</v>
      </c>
      <c r="B79" s="102" t="s">
        <v>12263</v>
      </c>
      <c r="C79" s="102" t="s">
        <v>12407</v>
      </c>
      <c r="D79" s="102" t="s">
        <v>12408</v>
      </c>
      <c r="E79" s="102" t="s">
        <v>10250</v>
      </c>
      <c r="F79" s="149">
        <v>2020</v>
      </c>
      <c r="G79" s="128" t="s">
        <v>3359</v>
      </c>
      <c r="H79" s="102">
        <v>200</v>
      </c>
      <c r="I79" s="102">
        <v>200</v>
      </c>
      <c r="J79" s="102"/>
      <c r="K79" s="149"/>
      <c r="L79" s="105">
        <v>20201118</v>
      </c>
    </row>
    <row r="80" s="146" customFormat="1" ht="16" customHeight="1" spans="1:12">
      <c r="A80" s="132">
        <v>78</v>
      </c>
      <c r="B80" s="102" t="s">
        <v>12263</v>
      </c>
      <c r="C80" s="102" t="s">
        <v>12409</v>
      </c>
      <c r="D80" s="102" t="s">
        <v>12410</v>
      </c>
      <c r="E80" s="102" t="s">
        <v>10250</v>
      </c>
      <c r="F80" s="149">
        <v>2020</v>
      </c>
      <c r="G80" s="128" t="s">
        <v>3359</v>
      </c>
      <c r="H80" s="102">
        <v>500</v>
      </c>
      <c r="I80" s="102">
        <v>500</v>
      </c>
      <c r="J80" s="102"/>
      <c r="K80" s="149"/>
      <c r="L80" s="105">
        <v>20201118</v>
      </c>
    </row>
    <row r="81" s="146" customFormat="1" ht="16" customHeight="1" spans="1:12">
      <c r="A81" s="132">
        <v>79</v>
      </c>
      <c r="B81" s="102" t="s">
        <v>12263</v>
      </c>
      <c r="C81" s="102" t="s">
        <v>12411</v>
      </c>
      <c r="D81" s="102" t="s">
        <v>12412</v>
      </c>
      <c r="E81" s="102" t="s">
        <v>10250</v>
      </c>
      <c r="F81" s="149">
        <v>2020</v>
      </c>
      <c r="G81" s="128" t="s">
        <v>3359</v>
      </c>
      <c r="H81" s="102">
        <v>200</v>
      </c>
      <c r="I81" s="102">
        <v>200</v>
      </c>
      <c r="J81" s="102"/>
      <c r="K81" s="149"/>
      <c r="L81" s="105">
        <v>20201118</v>
      </c>
    </row>
    <row r="82" s="146" customFormat="1" ht="16" customHeight="1" spans="1:12">
      <c r="A82" s="132">
        <v>80</v>
      </c>
      <c r="B82" s="102" t="s">
        <v>12263</v>
      </c>
      <c r="C82" s="102" t="s">
        <v>12413</v>
      </c>
      <c r="D82" s="102" t="s">
        <v>12414</v>
      </c>
      <c r="E82" s="102" t="s">
        <v>10250</v>
      </c>
      <c r="F82" s="149">
        <v>2020</v>
      </c>
      <c r="G82" s="128" t="s">
        <v>3359</v>
      </c>
      <c r="H82" s="102">
        <v>200</v>
      </c>
      <c r="I82" s="102">
        <v>200</v>
      </c>
      <c r="J82" s="102"/>
      <c r="K82" s="149"/>
      <c r="L82" s="105">
        <v>20201118</v>
      </c>
    </row>
    <row r="83" s="146" customFormat="1" ht="16" customHeight="1" spans="1:12">
      <c r="A83" s="132">
        <v>81</v>
      </c>
      <c r="B83" s="102" t="s">
        <v>12263</v>
      </c>
      <c r="C83" s="102" t="s">
        <v>12415</v>
      </c>
      <c r="D83" s="102" t="s">
        <v>12416</v>
      </c>
      <c r="E83" s="102" t="s">
        <v>10250</v>
      </c>
      <c r="F83" s="149">
        <v>2020</v>
      </c>
      <c r="G83" s="128" t="s">
        <v>3359</v>
      </c>
      <c r="H83" s="102">
        <v>200</v>
      </c>
      <c r="I83" s="102">
        <v>200</v>
      </c>
      <c r="J83" s="102"/>
      <c r="K83" s="149"/>
      <c r="L83" s="105">
        <v>20201118</v>
      </c>
    </row>
    <row r="84" s="146" customFormat="1" ht="16" customHeight="1" spans="1:12">
      <c r="A84" s="132">
        <v>82</v>
      </c>
      <c r="B84" s="102" t="s">
        <v>12263</v>
      </c>
      <c r="C84" s="102" t="s">
        <v>12417</v>
      </c>
      <c r="D84" s="102" t="s">
        <v>12418</v>
      </c>
      <c r="E84" s="102" t="s">
        <v>10250</v>
      </c>
      <c r="F84" s="149">
        <v>2020</v>
      </c>
      <c r="G84" s="128" t="s">
        <v>3359</v>
      </c>
      <c r="H84" s="102">
        <v>200</v>
      </c>
      <c r="I84" s="102">
        <v>200</v>
      </c>
      <c r="J84" s="102"/>
      <c r="K84" s="149"/>
      <c r="L84" s="105">
        <v>20201118</v>
      </c>
    </row>
    <row r="85" s="146" customFormat="1" ht="16" customHeight="1" spans="1:12">
      <c r="A85" s="132">
        <v>83</v>
      </c>
      <c r="B85" s="102" t="s">
        <v>12263</v>
      </c>
      <c r="C85" s="102" t="s">
        <v>12419</v>
      </c>
      <c r="D85" s="102" t="s">
        <v>12420</v>
      </c>
      <c r="E85" s="102" t="s">
        <v>10250</v>
      </c>
      <c r="F85" s="149">
        <v>2020</v>
      </c>
      <c r="G85" s="128" t="s">
        <v>3359</v>
      </c>
      <c r="H85" s="102">
        <v>200</v>
      </c>
      <c r="I85" s="102">
        <v>200</v>
      </c>
      <c r="J85" s="102"/>
      <c r="K85" s="149"/>
      <c r="L85" s="105">
        <v>20201118</v>
      </c>
    </row>
    <row r="86" s="146" customFormat="1" ht="16" customHeight="1" spans="1:12">
      <c r="A86" s="132">
        <v>84</v>
      </c>
      <c r="B86" s="102" t="s">
        <v>12263</v>
      </c>
      <c r="C86" s="102" t="s">
        <v>12421</v>
      </c>
      <c r="D86" s="102" t="s">
        <v>12422</v>
      </c>
      <c r="E86" s="102" t="s">
        <v>10250</v>
      </c>
      <c r="F86" s="149">
        <v>2020</v>
      </c>
      <c r="G86" s="128" t="s">
        <v>3359</v>
      </c>
      <c r="H86" s="102">
        <v>200</v>
      </c>
      <c r="I86" s="102">
        <v>200</v>
      </c>
      <c r="J86" s="102"/>
      <c r="K86" s="149"/>
      <c r="L86" s="105">
        <v>20201118</v>
      </c>
    </row>
    <row r="87" s="146" customFormat="1" ht="16" customHeight="1" spans="1:12">
      <c r="A87" s="132">
        <v>85</v>
      </c>
      <c r="B87" s="102" t="s">
        <v>12263</v>
      </c>
      <c r="C87" s="102" t="s">
        <v>12423</v>
      </c>
      <c r="D87" s="102" t="s">
        <v>12424</v>
      </c>
      <c r="E87" s="102" t="s">
        <v>10250</v>
      </c>
      <c r="F87" s="149">
        <v>2020</v>
      </c>
      <c r="G87" s="128" t="s">
        <v>3359</v>
      </c>
      <c r="H87" s="102">
        <v>200</v>
      </c>
      <c r="I87" s="102">
        <v>200</v>
      </c>
      <c r="J87" s="102"/>
      <c r="K87" s="149"/>
      <c r="L87" s="105">
        <v>20201118</v>
      </c>
    </row>
    <row r="88" s="146" customFormat="1" ht="16" customHeight="1" spans="1:12">
      <c r="A88" s="132">
        <v>86</v>
      </c>
      <c r="B88" s="102" t="s">
        <v>12263</v>
      </c>
      <c r="C88" s="102" t="s">
        <v>12425</v>
      </c>
      <c r="D88" s="102" t="s">
        <v>12426</v>
      </c>
      <c r="E88" s="102" t="s">
        <v>10250</v>
      </c>
      <c r="F88" s="149">
        <v>2020</v>
      </c>
      <c r="G88" s="128" t="s">
        <v>3359</v>
      </c>
      <c r="H88" s="102">
        <v>200</v>
      </c>
      <c r="I88" s="102">
        <v>200</v>
      </c>
      <c r="J88" s="102"/>
      <c r="K88" s="149"/>
      <c r="L88" s="105">
        <v>20201118</v>
      </c>
    </row>
    <row r="89" s="146" customFormat="1" ht="16" customHeight="1" spans="1:12">
      <c r="A89" s="132">
        <v>87</v>
      </c>
      <c r="B89" s="102" t="s">
        <v>12263</v>
      </c>
      <c r="C89" s="102" t="s">
        <v>1369</v>
      </c>
      <c r="D89" s="102" t="s">
        <v>12427</v>
      </c>
      <c r="E89" s="102" t="s">
        <v>10250</v>
      </c>
      <c r="F89" s="149">
        <v>2020</v>
      </c>
      <c r="G89" s="128" t="s">
        <v>3359</v>
      </c>
      <c r="H89" s="102">
        <v>200</v>
      </c>
      <c r="I89" s="102">
        <v>200</v>
      </c>
      <c r="J89" s="102"/>
      <c r="K89" s="149"/>
      <c r="L89" s="105">
        <v>20201118</v>
      </c>
    </row>
    <row r="90" s="146" customFormat="1" ht="16" customHeight="1" spans="1:12">
      <c r="A90" s="132">
        <v>88</v>
      </c>
      <c r="B90" s="102" t="s">
        <v>12263</v>
      </c>
      <c r="C90" s="102" t="s">
        <v>12428</v>
      </c>
      <c r="D90" s="102" t="s">
        <v>12429</v>
      </c>
      <c r="E90" s="102" t="s">
        <v>10250</v>
      </c>
      <c r="F90" s="149">
        <v>2020</v>
      </c>
      <c r="G90" s="128" t="s">
        <v>3359</v>
      </c>
      <c r="H90" s="102">
        <v>200</v>
      </c>
      <c r="I90" s="102">
        <v>200</v>
      </c>
      <c r="J90" s="102"/>
      <c r="K90" s="149"/>
      <c r="L90" s="105">
        <v>20201118</v>
      </c>
    </row>
    <row r="91" s="146" customFormat="1" ht="16" customHeight="1" spans="1:12">
      <c r="A91" s="132">
        <v>89</v>
      </c>
      <c r="B91" s="102" t="s">
        <v>12263</v>
      </c>
      <c r="C91" s="102" t="s">
        <v>12430</v>
      </c>
      <c r="D91" s="102" t="s">
        <v>12431</v>
      </c>
      <c r="E91" s="102" t="s">
        <v>10250</v>
      </c>
      <c r="F91" s="149">
        <v>2020</v>
      </c>
      <c r="G91" s="128" t="s">
        <v>3359</v>
      </c>
      <c r="H91" s="102">
        <v>200</v>
      </c>
      <c r="I91" s="102">
        <v>200</v>
      </c>
      <c r="J91" s="102"/>
      <c r="K91" s="149"/>
      <c r="L91" s="105">
        <v>20201118</v>
      </c>
    </row>
    <row r="92" s="146" customFormat="1" ht="16" customHeight="1" spans="1:12">
      <c r="A92" s="132">
        <v>90</v>
      </c>
      <c r="B92" s="102" t="s">
        <v>12263</v>
      </c>
      <c r="C92" s="102" t="s">
        <v>12432</v>
      </c>
      <c r="D92" s="102" t="s">
        <v>12433</v>
      </c>
      <c r="E92" s="102" t="s">
        <v>10250</v>
      </c>
      <c r="F92" s="149">
        <v>2020</v>
      </c>
      <c r="G92" s="128" t="s">
        <v>3359</v>
      </c>
      <c r="H92" s="102">
        <v>200</v>
      </c>
      <c r="I92" s="102">
        <v>200</v>
      </c>
      <c r="J92" s="102"/>
      <c r="K92" s="149"/>
      <c r="L92" s="105">
        <v>20201118</v>
      </c>
    </row>
    <row r="93" s="146" customFormat="1" ht="16" customHeight="1" spans="1:12">
      <c r="A93" s="132">
        <v>91</v>
      </c>
      <c r="B93" s="102" t="s">
        <v>12263</v>
      </c>
      <c r="C93" s="102" t="s">
        <v>12434</v>
      </c>
      <c r="D93" s="102" t="s">
        <v>12435</v>
      </c>
      <c r="E93" s="102" t="s">
        <v>10250</v>
      </c>
      <c r="F93" s="149">
        <v>2020</v>
      </c>
      <c r="G93" s="128" t="s">
        <v>3359</v>
      </c>
      <c r="H93" s="102">
        <v>200</v>
      </c>
      <c r="I93" s="102">
        <v>200</v>
      </c>
      <c r="J93" s="102"/>
      <c r="K93" s="149"/>
      <c r="L93" s="105">
        <v>20201118</v>
      </c>
    </row>
    <row r="94" s="146" customFormat="1" ht="16" customHeight="1" spans="1:12">
      <c r="A94" s="132">
        <v>92</v>
      </c>
      <c r="B94" s="102" t="s">
        <v>12263</v>
      </c>
      <c r="C94" s="102" t="s">
        <v>12436</v>
      </c>
      <c r="D94" s="102" t="s">
        <v>12437</v>
      </c>
      <c r="E94" s="102" t="s">
        <v>10250</v>
      </c>
      <c r="F94" s="149">
        <v>2020</v>
      </c>
      <c r="G94" s="128" t="s">
        <v>3359</v>
      </c>
      <c r="H94" s="102">
        <v>200</v>
      </c>
      <c r="I94" s="102">
        <v>200</v>
      </c>
      <c r="J94" s="102"/>
      <c r="K94" s="149"/>
      <c r="L94" s="105">
        <v>20201118</v>
      </c>
    </row>
    <row r="95" s="146" customFormat="1" ht="16" customHeight="1" spans="1:12">
      <c r="A95" s="132">
        <v>93</v>
      </c>
      <c r="B95" s="102" t="s">
        <v>12263</v>
      </c>
      <c r="C95" s="102" t="s">
        <v>12438</v>
      </c>
      <c r="D95" s="102" t="s">
        <v>12439</v>
      </c>
      <c r="E95" s="102" t="s">
        <v>10250</v>
      </c>
      <c r="F95" s="149">
        <v>2020</v>
      </c>
      <c r="G95" s="128" t="s">
        <v>3359</v>
      </c>
      <c r="H95" s="102">
        <v>500</v>
      </c>
      <c r="I95" s="102">
        <v>500</v>
      </c>
      <c r="J95" s="102"/>
      <c r="K95" s="149"/>
      <c r="L95" s="105">
        <v>20201118</v>
      </c>
    </row>
    <row r="96" s="146" customFormat="1" ht="16" customHeight="1" spans="1:12">
      <c r="A96" s="132">
        <v>94</v>
      </c>
      <c r="B96" s="102" t="s">
        <v>12263</v>
      </c>
      <c r="C96" s="102" t="s">
        <v>12440</v>
      </c>
      <c r="D96" s="102" t="s">
        <v>12441</v>
      </c>
      <c r="E96" s="102" t="s">
        <v>10250</v>
      </c>
      <c r="F96" s="149">
        <v>2020</v>
      </c>
      <c r="G96" s="128" t="s">
        <v>3359</v>
      </c>
      <c r="H96" s="102">
        <v>200</v>
      </c>
      <c r="I96" s="102">
        <v>200</v>
      </c>
      <c r="J96" s="102"/>
      <c r="K96" s="149"/>
      <c r="L96" s="105">
        <v>20201118</v>
      </c>
    </row>
    <row r="97" s="146" customFormat="1" ht="16" customHeight="1" spans="1:12">
      <c r="A97" s="132">
        <v>95</v>
      </c>
      <c r="B97" s="102" t="s">
        <v>12263</v>
      </c>
      <c r="C97" s="102" t="s">
        <v>12442</v>
      </c>
      <c r="D97" s="102" t="s">
        <v>12443</v>
      </c>
      <c r="E97" s="102" t="s">
        <v>10250</v>
      </c>
      <c r="F97" s="149">
        <v>2020</v>
      </c>
      <c r="G97" s="128" t="s">
        <v>3359</v>
      </c>
      <c r="H97" s="102">
        <v>200</v>
      </c>
      <c r="I97" s="102">
        <v>200</v>
      </c>
      <c r="J97" s="102"/>
      <c r="K97" s="149"/>
      <c r="L97" s="105">
        <v>20201118</v>
      </c>
    </row>
    <row r="98" s="146" customFormat="1" ht="16" customHeight="1" spans="1:12">
      <c r="A98" s="132">
        <v>96</v>
      </c>
      <c r="B98" s="102" t="s">
        <v>12263</v>
      </c>
      <c r="C98" s="102" t="s">
        <v>12444</v>
      </c>
      <c r="D98" s="102" t="s">
        <v>12445</v>
      </c>
      <c r="E98" s="102" t="s">
        <v>10250</v>
      </c>
      <c r="F98" s="149">
        <v>2020</v>
      </c>
      <c r="G98" s="128" t="s">
        <v>3359</v>
      </c>
      <c r="H98" s="102">
        <v>200</v>
      </c>
      <c r="I98" s="102">
        <v>200</v>
      </c>
      <c r="J98" s="102"/>
      <c r="K98" s="149"/>
      <c r="L98" s="105">
        <v>20201118</v>
      </c>
    </row>
    <row r="99" s="146" customFormat="1" ht="16" customHeight="1" spans="1:12">
      <c r="A99" s="132">
        <v>97</v>
      </c>
      <c r="B99" s="102" t="s">
        <v>12263</v>
      </c>
      <c r="C99" s="102" t="s">
        <v>12446</v>
      </c>
      <c r="D99" s="102" t="s">
        <v>12447</v>
      </c>
      <c r="E99" s="102" t="s">
        <v>10250</v>
      </c>
      <c r="F99" s="149">
        <v>2020</v>
      </c>
      <c r="G99" s="128" t="s">
        <v>3359</v>
      </c>
      <c r="H99" s="102">
        <v>200</v>
      </c>
      <c r="I99" s="102">
        <v>200</v>
      </c>
      <c r="J99" s="102"/>
      <c r="K99" s="149"/>
      <c r="L99" s="105">
        <v>20201118</v>
      </c>
    </row>
    <row r="100" s="146" customFormat="1" ht="16" customHeight="1" spans="1:12">
      <c r="A100" s="132">
        <v>98</v>
      </c>
      <c r="B100" s="102" t="s">
        <v>12263</v>
      </c>
      <c r="C100" s="102" t="s">
        <v>12448</v>
      </c>
      <c r="D100" s="102" t="s">
        <v>12449</v>
      </c>
      <c r="E100" s="102" t="s">
        <v>10250</v>
      </c>
      <c r="F100" s="149">
        <v>2020</v>
      </c>
      <c r="G100" s="128" t="s">
        <v>3359</v>
      </c>
      <c r="H100" s="102">
        <v>3000</v>
      </c>
      <c r="I100" s="102">
        <v>3000</v>
      </c>
      <c r="J100" s="102"/>
      <c r="K100" s="149"/>
      <c r="L100" s="105">
        <v>20201118</v>
      </c>
    </row>
    <row r="101" s="146" customFormat="1" ht="16" customHeight="1" spans="1:12">
      <c r="A101" s="132">
        <v>99</v>
      </c>
      <c r="B101" s="102" t="s">
        <v>12263</v>
      </c>
      <c r="C101" s="102" t="s">
        <v>12450</v>
      </c>
      <c r="D101" s="102" t="s">
        <v>12451</v>
      </c>
      <c r="E101" s="102" t="s">
        <v>10250</v>
      </c>
      <c r="F101" s="149">
        <v>2020</v>
      </c>
      <c r="G101" s="128" t="s">
        <v>3359</v>
      </c>
      <c r="H101" s="102">
        <v>200</v>
      </c>
      <c r="I101" s="102">
        <v>200</v>
      </c>
      <c r="J101" s="102"/>
      <c r="K101" s="149"/>
      <c r="L101" s="105">
        <v>20201118</v>
      </c>
    </row>
    <row r="102" s="146" customFormat="1" ht="16" customHeight="1" spans="1:12">
      <c r="A102" s="132">
        <v>100</v>
      </c>
      <c r="B102" s="102" t="s">
        <v>12263</v>
      </c>
      <c r="C102" s="102" t="s">
        <v>104</v>
      </c>
      <c r="D102" s="102" t="s">
        <v>12452</v>
      </c>
      <c r="E102" s="102" t="s">
        <v>10250</v>
      </c>
      <c r="F102" s="149">
        <v>2020</v>
      </c>
      <c r="G102" s="128" t="s">
        <v>3359</v>
      </c>
      <c r="H102" s="102">
        <v>200</v>
      </c>
      <c r="I102" s="102">
        <v>200</v>
      </c>
      <c r="J102" s="102"/>
      <c r="K102" s="149"/>
      <c r="L102" s="105">
        <v>20201118</v>
      </c>
    </row>
    <row r="103" s="146" customFormat="1" ht="16" customHeight="1" spans="1:12">
      <c r="A103" s="132">
        <v>101</v>
      </c>
      <c r="B103" s="102" t="s">
        <v>12263</v>
      </c>
      <c r="C103" s="102" t="s">
        <v>12453</v>
      </c>
      <c r="D103" s="102" t="s">
        <v>12454</v>
      </c>
      <c r="E103" s="102" t="s">
        <v>10250</v>
      </c>
      <c r="F103" s="149">
        <v>2020</v>
      </c>
      <c r="G103" s="128" t="s">
        <v>3359</v>
      </c>
      <c r="H103" s="102">
        <v>200</v>
      </c>
      <c r="I103" s="102">
        <v>200</v>
      </c>
      <c r="J103" s="102"/>
      <c r="K103" s="149"/>
      <c r="L103" s="105">
        <v>20201118</v>
      </c>
    </row>
    <row r="104" s="146" customFormat="1" ht="16" customHeight="1" spans="1:12">
      <c r="A104" s="132">
        <v>102</v>
      </c>
      <c r="B104" s="102" t="s">
        <v>12263</v>
      </c>
      <c r="C104" s="102" t="s">
        <v>12455</v>
      </c>
      <c r="D104" s="102" t="s">
        <v>12456</v>
      </c>
      <c r="E104" s="102" t="s">
        <v>10250</v>
      </c>
      <c r="F104" s="149">
        <v>2020</v>
      </c>
      <c r="G104" s="128" t="s">
        <v>3359</v>
      </c>
      <c r="H104" s="102">
        <v>200</v>
      </c>
      <c r="I104" s="102">
        <v>200</v>
      </c>
      <c r="J104" s="102"/>
      <c r="K104" s="149"/>
      <c r="L104" s="105">
        <v>20201118</v>
      </c>
    </row>
    <row r="105" s="146" customFormat="1" ht="16" customHeight="1" spans="1:12">
      <c r="A105" s="132">
        <v>103</v>
      </c>
      <c r="B105" s="102" t="s">
        <v>12263</v>
      </c>
      <c r="C105" s="102" t="s">
        <v>1858</v>
      </c>
      <c r="D105" s="102" t="s">
        <v>12457</v>
      </c>
      <c r="E105" s="102" t="s">
        <v>10250</v>
      </c>
      <c r="F105" s="149">
        <v>2020</v>
      </c>
      <c r="G105" s="128" t="s">
        <v>3359</v>
      </c>
      <c r="H105" s="102">
        <v>200</v>
      </c>
      <c r="I105" s="102">
        <v>200</v>
      </c>
      <c r="J105" s="102"/>
      <c r="K105" s="149"/>
      <c r="L105" s="105">
        <v>20201118</v>
      </c>
    </row>
    <row r="106" s="146" customFormat="1" ht="16" customHeight="1" spans="1:12">
      <c r="A106" s="132">
        <v>104</v>
      </c>
      <c r="B106" s="102" t="s">
        <v>12263</v>
      </c>
      <c r="C106" s="102" t="s">
        <v>12458</v>
      </c>
      <c r="D106" s="102" t="s">
        <v>12459</v>
      </c>
      <c r="E106" s="102" t="s">
        <v>10250</v>
      </c>
      <c r="F106" s="149">
        <v>2020</v>
      </c>
      <c r="G106" s="128" t="s">
        <v>3359</v>
      </c>
      <c r="H106" s="102">
        <v>200</v>
      </c>
      <c r="I106" s="102">
        <v>200</v>
      </c>
      <c r="J106" s="102"/>
      <c r="K106" s="149"/>
      <c r="L106" s="105">
        <v>20201118</v>
      </c>
    </row>
    <row r="107" s="146" customFormat="1" ht="16" customHeight="1" spans="1:12">
      <c r="A107" s="132">
        <v>105</v>
      </c>
      <c r="B107" s="102" t="s">
        <v>12263</v>
      </c>
      <c r="C107" s="102" t="s">
        <v>12460</v>
      </c>
      <c r="D107" s="102" t="s">
        <v>12461</v>
      </c>
      <c r="E107" s="102" t="s">
        <v>10250</v>
      </c>
      <c r="F107" s="149">
        <v>2020</v>
      </c>
      <c r="G107" s="128" t="s">
        <v>3359</v>
      </c>
      <c r="H107" s="102">
        <v>200</v>
      </c>
      <c r="I107" s="102">
        <v>200</v>
      </c>
      <c r="J107" s="102"/>
      <c r="K107" s="149"/>
      <c r="L107" s="105">
        <v>20201118</v>
      </c>
    </row>
    <row r="108" s="146" customFormat="1" ht="16" customHeight="1" spans="1:12">
      <c r="A108" s="132">
        <v>106</v>
      </c>
      <c r="B108" s="102" t="s">
        <v>12263</v>
      </c>
      <c r="C108" s="102" t="s">
        <v>12462</v>
      </c>
      <c r="D108" s="102" t="s">
        <v>12463</v>
      </c>
      <c r="E108" s="102" t="s">
        <v>10250</v>
      </c>
      <c r="F108" s="149">
        <v>2020</v>
      </c>
      <c r="G108" s="128" t="s">
        <v>3359</v>
      </c>
      <c r="H108" s="102">
        <v>200</v>
      </c>
      <c r="I108" s="102">
        <v>200</v>
      </c>
      <c r="J108" s="102"/>
      <c r="K108" s="149"/>
      <c r="L108" s="105">
        <v>20201118</v>
      </c>
    </row>
    <row r="109" s="146" customFormat="1" ht="16" customHeight="1" spans="1:12">
      <c r="A109" s="132">
        <v>107</v>
      </c>
      <c r="B109" s="102" t="s">
        <v>12263</v>
      </c>
      <c r="C109" s="102" t="s">
        <v>12464</v>
      </c>
      <c r="D109" s="102" t="s">
        <v>12465</v>
      </c>
      <c r="E109" s="102" t="s">
        <v>10250</v>
      </c>
      <c r="F109" s="149">
        <v>2020</v>
      </c>
      <c r="G109" s="128" t="s">
        <v>3359</v>
      </c>
      <c r="H109" s="102">
        <v>200</v>
      </c>
      <c r="I109" s="102">
        <v>200</v>
      </c>
      <c r="J109" s="102"/>
      <c r="K109" s="149"/>
      <c r="L109" s="105">
        <v>20201118</v>
      </c>
    </row>
    <row r="110" s="146" customFormat="1" ht="16" customHeight="1" spans="1:12">
      <c r="A110" s="132">
        <v>108</v>
      </c>
      <c r="B110" s="102" t="s">
        <v>12263</v>
      </c>
      <c r="C110" s="102" t="s">
        <v>12466</v>
      </c>
      <c r="D110" s="102" t="s">
        <v>12467</v>
      </c>
      <c r="E110" s="102" t="s">
        <v>10250</v>
      </c>
      <c r="F110" s="149">
        <v>2020</v>
      </c>
      <c r="G110" s="128" t="s">
        <v>3359</v>
      </c>
      <c r="H110" s="102">
        <v>200</v>
      </c>
      <c r="I110" s="102">
        <v>200</v>
      </c>
      <c r="J110" s="102"/>
      <c r="K110" s="149"/>
      <c r="L110" s="105">
        <v>20201118</v>
      </c>
    </row>
    <row r="111" s="146" customFormat="1" ht="16" customHeight="1" spans="1:12">
      <c r="A111" s="132">
        <v>109</v>
      </c>
      <c r="B111" s="102" t="s">
        <v>12263</v>
      </c>
      <c r="C111" s="102" t="s">
        <v>12468</v>
      </c>
      <c r="D111" s="102" t="s">
        <v>12469</v>
      </c>
      <c r="E111" s="102" t="s">
        <v>10250</v>
      </c>
      <c r="F111" s="149">
        <v>2020</v>
      </c>
      <c r="G111" s="128" t="s">
        <v>3359</v>
      </c>
      <c r="H111" s="102">
        <v>200</v>
      </c>
      <c r="I111" s="102">
        <v>200</v>
      </c>
      <c r="J111" s="102"/>
      <c r="K111" s="149"/>
      <c r="L111" s="105">
        <v>20201118</v>
      </c>
    </row>
    <row r="112" s="146" customFormat="1" ht="16" customHeight="1" spans="1:12">
      <c r="A112" s="132">
        <v>110</v>
      </c>
      <c r="B112" s="102" t="s">
        <v>12263</v>
      </c>
      <c r="C112" s="102" t="s">
        <v>12470</v>
      </c>
      <c r="D112" s="102" t="s">
        <v>12471</v>
      </c>
      <c r="E112" s="102" t="s">
        <v>10250</v>
      </c>
      <c r="F112" s="149">
        <v>2020</v>
      </c>
      <c r="G112" s="128" t="s">
        <v>3359</v>
      </c>
      <c r="H112" s="102">
        <v>200</v>
      </c>
      <c r="I112" s="102">
        <v>200</v>
      </c>
      <c r="J112" s="102"/>
      <c r="K112" s="149"/>
      <c r="L112" s="105">
        <v>20201118</v>
      </c>
    </row>
    <row r="113" s="146" customFormat="1" ht="16" customHeight="1" spans="1:12">
      <c r="A113" s="132">
        <v>111</v>
      </c>
      <c r="B113" s="102" t="s">
        <v>12263</v>
      </c>
      <c r="C113" s="102" t="s">
        <v>12472</v>
      </c>
      <c r="D113" s="102" t="s">
        <v>12473</v>
      </c>
      <c r="E113" s="102" t="s">
        <v>10250</v>
      </c>
      <c r="F113" s="149">
        <v>2020</v>
      </c>
      <c r="G113" s="128" t="s">
        <v>3359</v>
      </c>
      <c r="H113" s="102">
        <v>200</v>
      </c>
      <c r="I113" s="102">
        <v>200</v>
      </c>
      <c r="J113" s="102"/>
      <c r="K113" s="149"/>
      <c r="L113" s="105">
        <v>20201118</v>
      </c>
    </row>
    <row r="114" s="146" customFormat="1" ht="16" customHeight="1" spans="1:12">
      <c r="A114" s="132">
        <v>112</v>
      </c>
      <c r="B114" s="102" t="s">
        <v>12263</v>
      </c>
      <c r="C114" s="102" t="s">
        <v>12474</v>
      </c>
      <c r="D114" s="102" t="s">
        <v>12475</v>
      </c>
      <c r="E114" s="102" t="s">
        <v>10250</v>
      </c>
      <c r="F114" s="149">
        <v>2020</v>
      </c>
      <c r="G114" s="128" t="s">
        <v>3359</v>
      </c>
      <c r="H114" s="102">
        <v>200</v>
      </c>
      <c r="I114" s="102">
        <v>200</v>
      </c>
      <c r="J114" s="102"/>
      <c r="K114" s="149"/>
      <c r="L114" s="105">
        <v>20201118</v>
      </c>
    </row>
    <row r="115" s="146" customFormat="1" ht="16" customHeight="1" spans="1:12">
      <c r="A115" s="132">
        <v>113</v>
      </c>
      <c r="B115" s="102" t="s">
        <v>12263</v>
      </c>
      <c r="C115" s="102" t="s">
        <v>12476</v>
      </c>
      <c r="D115" s="102" t="s">
        <v>12477</v>
      </c>
      <c r="E115" s="102" t="s">
        <v>10250</v>
      </c>
      <c r="F115" s="149">
        <v>2020</v>
      </c>
      <c r="G115" s="128" t="s">
        <v>3359</v>
      </c>
      <c r="H115" s="102">
        <v>200</v>
      </c>
      <c r="I115" s="102">
        <v>200</v>
      </c>
      <c r="J115" s="102"/>
      <c r="K115" s="149"/>
      <c r="L115" s="105">
        <v>20201118</v>
      </c>
    </row>
    <row r="116" s="146" customFormat="1" ht="16" customHeight="1" spans="1:12">
      <c r="A116" s="132">
        <v>114</v>
      </c>
      <c r="B116" s="102" t="s">
        <v>12263</v>
      </c>
      <c r="C116" s="102" t="s">
        <v>12478</v>
      </c>
      <c r="D116" s="102" t="s">
        <v>12479</v>
      </c>
      <c r="E116" s="102" t="s">
        <v>10250</v>
      </c>
      <c r="F116" s="149">
        <v>2020</v>
      </c>
      <c r="G116" s="128" t="s">
        <v>3359</v>
      </c>
      <c r="H116" s="102">
        <v>200</v>
      </c>
      <c r="I116" s="102">
        <v>200</v>
      </c>
      <c r="J116" s="102"/>
      <c r="K116" s="149"/>
      <c r="L116" s="105">
        <v>20201118</v>
      </c>
    </row>
    <row r="117" s="146" customFormat="1" ht="16" customHeight="1" spans="1:12">
      <c r="A117" s="132">
        <v>115</v>
      </c>
      <c r="B117" s="102" t="s">
        <v>12263</v>
      </c>
      <c r="C117" s="102" t="s">
        <v>6539</v>
      </c>
      <c r="D117" s="102" t="s">
        <v>12480</v>
      </c>
      <c r="E117" s="102" t="s">
        <v>10250</v>
      </c>
      <c r="F117" s="149">
        <v>2020</v>
      </c>
      <c r="G117" s="128" t="s">
        <v>3359</v>
      </c>
      <c r="H117" s="102">
        <v>200</v>
      </c>
      <c r="I117" s="102">
        <v>200</v>
      </c>
      <c r="J117" s="102"/>
      <c r="K117" s="149"/>
      <c r="L117" s="105">
        <v>20201118</v>
      </c>
    </row>
    <row r="118" s="146" customFormat="1" ht="16" customHeight="1" spans="1:12">
      <c r="A118" s="132">
        <v>116</v>
      </c>
      <c r="B118" s="102" t="s">
        <v>12263</v>
      </c>
      <c r="C118" s="102" t="s">
        <v>12481</v>
      </c>
      <c r="D118" s="102" t="s">
        <v>12482</v>
      </c>
      <c r="E118" s="102" t="s">
        <v>10250</v>
      </c>
      <c r="F118" s="149">
        <v>2020</v>
      </c>
      <c r="G118" s="128" t="s">
        <v>3359</v>
      </c>
      <c r="H118" s="102">
        <v>200</v>
      </c>
      <c r="I118" s="102">
        <v>200</v>
      </c>
      <c r="J118" s="102"/>
      <c r="K118" s="149"/>
      <c r="L118" s="105">
        <v>20201118</v>
      </c>
    </row>
    <row r="119" s="146" customFormat="1" ht="16" customHeight="1" spans="1:12">
      <c r="A119" s="132">
        <v>117</v>
      </c>
      <c r="B119" s="102" t="s">
        <v>12263</v>
      </c>
      <c r="C119" s="102" t="s">
        <v>12483</v>
      </c>
      <c r="D119" s="102" t="s">
        <v>12484</v>
      </c>
      <c r="E119" s="102" t="s">
        <v>10250</v>
      </c>
      <c r="F119" s="149">
        <v>2020</v>
      </c>
      <c r="G119" s="128" t="s">
        <v>3359</v>
      </c>
      <c r="H119" s="102">
        <v>200</v>
      </c>
      <c r="I119" s="102">
        <v>200</v>
      </c>
      <c r="J119" s="102" t="s">
        <v>5331</v>
      </c>
      <c r="K119" s="149"/>
      <c r="L119" s="105">
        <v>20201118</v>
      </c>
    </row>
    <row r="120" s="146" customFormat="1" ht="16" customHeight="1" spans="1:12">
      <c r="A120" s="132">
        <v>118</v>
      </c>
      <c r="B120" s="102" t="s">
        <v>12263</v>
      </c>
      <c r="C120" s="102" t="s">
        <v>12485</v>
      </c>
      <c r="D120" s="102" t="s">
        <v>12486</v>
      </c>
      <c r="E120" s="102" t="s">
        <v>10250</v>
      </c>
      <c r="F120" s="149">
        <v>2020</v>
      </c>
      <c r="G120" s="128" t="s">
        <v>3359</v>
      </c>
      <c r="H120" s="102">
        <v>200</v>
      </c>
      <c r="I120" s="102">
        <v>200</v>
      </c>
      <c r="J120" s="102" t="s">
        <v>5331</v>
      </c>
      <c r="K120" s="149"/>
      <c r="L120" s="105">
        <v>20201118</v>
      </c>
    </row>
    <row r="121" s="146" customFormat="1" ht="16" customHeight="1" spans="1:12">
      <c r="A121" s="132">
        <v>119</v>
      </c>
      <c r="B121" s="102" t="s">
        <v>12263</v>
      </c>
      <c r="C121" s="102" t="s">
        <v>12487</v>
      </c>
      <c r="D121" s="102" t="s">
        <v>12488</v>
      </c>
      <c r="E121" s="102" t="s">
        <v>10250</v>
      </c>
      <c r="F121" s="149">
        <v>2020</v>
      </c>
      <c r="G121" s="128" t="s">
        <v>3359</v>
      </c>
      <c r="H121" s="102">
        <v>200</v>
      </c>
      <c r="I121" s="102">
        <v>200</v>
      </c>
      <c r="J121" s="102"/>
      <c r="K121" s="149"/>
      <c r="L121" s="105">
        <v>20201118</v>
      </c>
    </row>
    <row r="122" s="146" customFormat="1" ht="16" customHeight="1" spans="1:12">
      <c r="A122" s="132">
        <v>120</v>
      </c>
      <c r="B122" s="102" t="s">
        <v>12263</v>
      </c>
      <c r="C122" s="102" t="s">
        <v>9065</v>
      </c>
      <c r="D122" s="102" t="s">
        <v>12489</v>
      </c>
      <c r="E122" s="102" t="s">
        <v>10250</v>
      </c>
      <c r="F122" s="149">
        <v>2020</v>
      </c>
      <c r="G122" s="128" t="s">
        <v>3359</v>
      </c>
      <c r="H122" s="102">
        <v>200</v>
      </c>
      <c r="I122" s="102">
        <v>200</v>
      </c>
      <c r="J122" s="102"/>
      <c r="K122" s="149"/>
      <c r="L122" s="105">
        <v>20201118</v>
      </c>
    </row>
    <row r="123" s="146" customFormat="1" ht="16" customHeight="1" spans="1:12">
      <c r="A123" s="132">
        <v>121</v>
      </c>
      <c r="B123" s="102" t="s">
        <v>12263</v>
      </c>
      <c r="C123" s="102" t="s">
        <v>12490</v>
      </c>
      <c r="D123" s="102" t="s">
        <v>12491</v>
      </c>
      <c r="E123" s="102" t="s">
        <v>10250</v>
      </c>
      <c r="F123" s="149">
        <v>2020</v>
      </c>
      <c r="G123" s="128" t="s">
        <v>3359</v>
      </c>
      <c r="H123" s="102">
        <v>200</v>
      </c>
      <c r="I123" s="102">
        <v>200</v>
      </c>
      <c r="J123" s="102"/>
      <c r="K123" s="149"/>
      <c r="L123" s="105">
        <v>20201118</v>
      </c>
    </row>
    <row r="124" s="146" customFormat="1" ht="16" customHeight="1" spans="1:12">
      <c r="A124" s="132">
        <v>122</v>
      </c>
      <c r="B124" s="102" t="s">
        <v>12263</v>
      </c>
      <c r="C124" s="102" t="s">
        <v>12492</v>
      </c>
      <c r="D124" s="102" t="s">
        <v>12493</v>
      </c>
      <c r="E124" s="102" t="s">
        <v>10250</v>
      </c>
      <c r="F124" s="149">
        <v>2020</v>
      </c>
      <c r="G124" s="128" t="s">
        <v>3359</v>
      </c>
      <c r="H124" s="102">
        <v>200</v>
      </c>
      <c r="I124" s="102">
        <v>200</v>
      </c>
      <c r="J124" s="102"/>
      <c r="K124" s="149"/>
      <c r="L124" s="105">
        <v>20201118</v>
      </c>
    </row>
    <row r="125" s="146" customFormat="1" ht="16" customHeight="1" spans="1:12">
      <c r="A125" s="132">
        <v>123</v>
      </c>
      <c r="B125" s="102" t="s">
        <v>12263</v>
      </c>
      <c r="C125" s="102" t="s">
        <v>12494</v>
      </c>
      <c r="D125" s="102" t="s">
        <v>12495</v>
      </c>
      <c r="E125" s="102" t="s">
        <v>10250</v>
      </c>
      <c r="F125" s="149">
        <v>2020</v>
      </c>
      <c r="G125" s="128" t="s">
        <v>3359</v>
      </c>
      <c r="H125" s="102">
        <v>200</v>
      </c>
      <c r="I125" s="102">
        <v>200</v>
      </c>
      <c r="J125" s="102"/>
      <c r="K125" s="149"/>
      <c r="L125" s="105">
        <v>20201118</v>
      </c>
    </row>
    <row r="126" s="146" customFormat="1" ht="16" customHeight="1" spans="1:12">
      <c r="A126" s="132">
        <v>124</v>
      </c>
      <c r="B126" s="102" t="s">
        <v>12263</v>
      </c>
      <c r="C126" s="102" t="s">
        <v>12496</v>
      </c>
      <c r="D126" s="102" t="s">
        <v>12497</v>
      </c>
      <c r="E126" s="102" t="s">
        <v>10250</v>
      </c>
      <c r="F126" s="149">
        <v>2020</v>
      </c>
      <c r="G126" s="128" t="s">
        <v>3359</v>
      </c>
      <c r="H126" s="102">
        <v>200</v>
      </c>
      <c r="I126" s="102">
        <v>200</v>
      </c>
      <c r="J126" s="102"/>
      <c r="K126" s="149"/>
      <c r="L126" s="105">
        <v>20201118</v>
      </c>
    </row>
    <row r="127" s="146" customFormat="1" ht="16" customHeight="1" spans="1:12">
      <c r="A127" s="132">
        <v>125</v>
      </c>
      <c r="B127" s="102" t="s">
        <v>12263</v>
      </c>
      <c r="C127" s="102" t="s">
        <v>12498</v>
      </c>
      <c r="D127" s="102" t="s">
        <v>12499</v>
      </c>
      <c r="E127" s="102" t="s">
        <v>10250</v>
      </c>
      <c r="F127" s="149">
        <v>2020</v>
      </c>
      <c r="G127" s="128" t="s">
        <v>3359</v>
      </c>
      <c r="H127" s="102">
        <v>200</v>
      </c>
      <c r="I127" s="102">
        <v>200</v>
      </c>
      <c r="J127" s="102"/>
      <c r="K127" s="149"/>
      <c r="L127" s="105">
        <v>20201118</v>
      </c>
    </row>
    <row r="128" s="146" customFormat="1" ht="16" customHeight="1" spans="1:12">
      <c r="A128" s="132">
        <v>126</v>
      </c>
      <c r="B128" s="102" t="s">
        <v>12263</v>
      </c>
      <c r="C128" s="102" t="s">
        <v>12500</v>
      </c>
      <c r="D128" s="102" t="s">
        <v>12501</v>
      </c>
      <c r="E128" s="102" t="s">
        <v>10250</v>
      </c>
      <c r="F128" s="149">
        <v>2020</v>
      </c>
      <c r="G128" s="128" t="s">
        <v>3359</v>
      </c>
      <c r="H128" s="102">
        <v>200</v>
      </c>
      <c r="I128" s="102">
        <v>200</v>
      </c>
      <c r="J128" s="102"/>
      <c r="K128" s="149"/>
      <c r="L128" s="105">
        <v>20201118</v>
      </c>
    </row>
    <row r="129" s="146" customFormat="1" ht="16" customHeight="1" spans="1:12">
      <c r="A129" s="132">
        <v>127</v>
      </c>
      <c r="B129" s="102" t="s">
        <v>12263</v>
      </c>
      <c r="C129" s="102" t="s">
        <v>2118</v>
      </c>
      <c r="D129" s="102" t="s">
        <v>12502</v>
      </c>
      <c r="E129" s="102" t="s">
        <v>10250</v>
      </c>
      <c r="F129" s="149">
        <v>2020</v>
      </c>
      <c r="G129" s="128" t="s">
        <v>3359</v>
      </c>
      <c r="H129" s="102">
        <v>200</v>
      </c>
      <c r="I129" s="102">
        <v>200</v>
      </c>
      <c r="J129" s="102"/>
      <c r="K129" s="149"/>
      <c r="L129" s="105">
        <v>20201118</v>
      </c>
    </row>
    <row r="130" s="146" customFormat="1" ht="16" customHeight="1" spans="1:12">
      <c r="A130" s="132">
        <v>128</v>
      </c>
      <c r="B130" s="102" t="s">
        <v>12263</v>
      </c>
      <c r="C130" s="102" t="s">
        <v>12503</v>
      </c>
      <c r="D130" s="102" t="s">
        <v>12504</v>
      </c>
      <c r="E130" s="102" t="s">
        <v>10250</v>
      </c>
      <c r="F130" s="149">
        <v>2020</v>
      </c>
      <c r="G130" s="128" t="s">
        <v>3359</v>
      </c>
      <c r="H130" s="102">
        <v>200</v>
      </c>
      <c r="I130" s="102">
        <v>200</v>
      </c>
      <c r="J130" s="102"/>
      <c r="K130" s="149"/>
      <c r="L130" s="105">
        <v>20201118</v>
      </c>
    </row>
    <row r="131" s="146" customFormat="1" ht="16" customHeight="1" spans="1:12">
      <c r="A131" s="132">
        <v>129</v>
      </c>
      <c r="B131" s="102" t="s">
        <v>12263</v>
      </c>
      <c r="C131" s="102" t="s">
        <v>12505</v>
      </c>
      <c r="D131" s="102" t="s">
        <v>12506</v>
      </c>
      <c r="E131" s="102" t="s">
        <v>10250</v>
      </c>
      <c r="F131" s="149">
        <v>2020</v>
      </c>
      <c r="G131" s="128" t="s">
        <v>3359</v>
      </c>
      <c r="H131" s="102">
        <v>200</v>
      </c>
      <c r="I131" s="102">
        <v>200</v>
      </c>
      <c r="J131" s="102"/>
      <c r="K131" s="149"/>
      <c r="L131" s="105">
        <v>20201118</v>
      </c>
    </row>
    <row r="132" s="146" customFormat="1" ht="16" customHeight="1" spans="1:12">
      <c r="A132" s="132">
        <v>130</v>
      </c>
      <c r="B132" s="102" t="s">
        <v>12263</v>
      </c>
      <c r="C132" s="102" t="s">
        <v>12507</v>
      </c>
      <c r="D132" s="102" t="s">
        <v>12508</v>
      </c>
      <c r="E132" s="102" t="s">
        <v>10250</v>
      </c>
      <c r="F132" s="149">
        <v>2020</v>
      </c>
      <c r="G132" s="128" t="s">
        <v>3359</v>
      </c>
      <c r="H132" s="102">
        <v>200</v>
      </c>
      <c r="I132" s="102">
        <v>200</v>
      </c>
      <c r="J132" s="102"/>
      <c r="K132" s="149"/>
      <c r="L132" s="105">
        <v>20201118</v>
      </c>
    </row>
    <row r="133" s="146" customFormat="1" ht="16" customHeight="1" spans="1:12">
      <c r="A133" s="132">
        <v>131</v>
      </c>
      <c r="B133" s="102" t="s">
        <v>12263</v>
      </c>
      <c r="C133" s="102" t="s">
        <v>7519</v>
      </c>
      <c r="D133" s="102" t="s">
        <v>12509</v>
      </c>
      <c r="E133" s="102" t="s">
        <v>10250</v>
      </c>
      <c r="F133" s="149">
        <v>2020</v>
      </c>
      <c r="G133" s="128" t="s">
        <v>3359</v>
      </c>
      <c r="H133" s="102">
        <v>200</v>
      </c>
      <c r="I133" s="102">
        <v>200</v>
      </c>
      <c r="J133" s="102" t="s">
        <v>5331</v>
      </c>
      <c r="K133" s="149"/>
      <c r="L133" s="105">
        <v>20201118</v>
      </c>
    </row>
    <row r="134" s="146" customFormat="1" ht="16" customHeight="1" spans="1:12">
      <c r="A134" s="132">
        <v>132</v>
      </c>
      <c r="B134" s="102" t="s">
        <v>12263</v>
      </c>
      <c r="C134" s="102" t="s">
        <v>12510</v>
      </c>
      <c r="D134" s="102" t="s">
        <v>12511</v>
      </c>
      <c r="E134" s="102" t="s">
        <v>10250</v>
      </c>
      <c r="F134" s="149">
        <v>2020</v>
      </c>
      <c r="G134" s="128" t="s">
        <v>3359</v>
      </c>
      <c r="H134" s="102">
        <v>200</v>
      </c>
      <c r="I134" s="102">
        <v>200</v>
      </c>
      <c r="J134" s="102"/>
      <c r="K134" s="149"/>
      <c r="L134" s="105">
        <v>20201118</v>
      </c>
    </row>
    <row r="135" s="146" customFormat="1" ht="16" customHeight="1" spans="1:12">
      <c r="A135" s="132">
        <v>133</v>
      </c>
      <c r="B135" s="102" t="s">
        <v>12263</v>
      </c>
      <c r="C135" s="102" t="s">
        <v>12512</v>
      </c>
      <c r="D135" s="102" t="s">
        <v>12513</v>
      </c>
      <c r="E135" s="102" t="s">
        <v>10250</v>
      </c>
      <c r="F135" s="149">
        <v>2020</v>
      </c>
      <c r="G135" s="128" t="s">
        <v>3359</v>
      </c>
      <c r="H135" s="102">
        <v>200</v>
      </c>
      <c r="I135" s="102">
        <v>200</v>
      </c>
      <c r="J135" s="102"/>
      <c r="K135" s="149"/>
      <c r="L135" s="105">
        <v>20201118</v>
      </c>
    </row>
    <row r="136" s="146" customFormat="1" ht="16" customHeight="1" spans="1:12">
      <c r="A136" s="132">
        <v>134</v>
      </c>
      <c r="B136" s="102" t="s">
        <v>12263</v>
      </c>
      <c r="C136" s="102" t="s">
        <v>12514</v>
      </c>
      <c r="D136" s="102" t="s">
        <v>12515</v>
      </c>
      <c r="E136" s="102" t="s">
        <v>10250</v>
      </c>
      <c r="F136" s="149">
        <v>2020</v>
      </c>
      <c r="G136" s="128" t="s">
        <v>3359</v>
      </c>
      <c r="H136" s="102">
        <v>200</v>
      </c>
      <c r="I136" s="102">
        <v>200</v>
      </c>
      <c r="J136" s="102"/>
      <c r="K136" s="149"/>
      <c r="L136" s="105">
        <v>20201118</v>
      </c>
    </row>
    <row r="137" s="146" customFormat="1" ht="16" customHeight="1" spans="1:12">
      <c r="A137" s="132">
        <v>135</v>
      </c>
      <c r="B137" s="102" t="s">
        <v>12263</v>
      </c>
      <c r="C137" s="102" t="s">
        <v>12516</v>
      </c>
      <c r="D137" s="102" t="s">
        <v>12517</v>
      </c>
      <c r="E137" s="102" t="s">
        <v>10250</v>
      </c>
      <c r="F137" s="149">
        <v>2020</v>
      </c>
      <c r="G137" s="128" t="s">
        <v>3359</v>
      </c>
      <c r="H137" s="102">
        <v>200</v>
      </c>
      <c r="I137" s="102">
        <v>200</v>
      </c>
      <c r="J137" s="102"/>
      <c r="K137" s="149"/>
      <c r="L137" s="105">
        <v>20201118</v>
      </c>
    </row>
    <row r="138" s="146" customFormat="1" ht="16" customHeight="1" spans="1:12">
      <c r="A138" s="132">
        <v>136</v>
      </c>
      <c r="B138" s="102" t="s">
        <v>12263</v>
      </c>
      <c r="C138" s="102" t="s">
        <v>12518</v>
      </c>
      <c r="D138" s="102" t="s">
        <v>12519</v>
      </c>
      <c r="E138" s="102" t="s">
        <v>10250</v>
      </c>
      <c r="F138" s="149">
        <v>2020</v>
      </c>
      <c r="G138" s="128" t="s">
        <v>3359</v>
      </c>
      <c r="H138" s="102">
        <v>200</v>
      </c>
      <c r="I138" s="102">
        <v>200</v>
      </c>
      <c r="J138" s="102"/>
      <c r="K138" s="149"/>
      <c r="L138" s="105">
        <v>20201118</v>
      </c>
    </row>
    <row r="139" s="146" customFormat="1" ht="16" customHeight="1" spans="1:12">
      <c r="A139" s="132">
        <v>137</v>
      </c>
      <c r="B139" s="102" t="s">
        <v>12263</v>
      </c>
      <c r="C139" s="102" t="s">
        <v>12520</v>
      </c>
      <c r="D139" s="102" t="s">
        <v>12521</v>
      </c>
      <c r="E139" s="102" t="s">
        <v>10250</v>
      </c>
      <c r="F139" s="149">
        <v>2020</v>
      </c>
      <c r="G139" s="128" t="s">
        <v>3359</v>
      </c>
      <c r="H139" s="102">
        <v>200</v>
      </c>
      <c r="I139" s="102">
        <v>200</v>
      </c>
      <c r="J139" s="102"/>
      <c r="K139" s="149"/>
      <c r="L139" s="105">
        <v>20201118</v>
      </c>
    </row>
    <row r="140" s="146" customFormat="1" ht="16" customHeight="1" spans="1:12">
      <c r="A140" s="132">
        <v>138</v>
      </c>
      <c r="B140" s="102" t="s">
        <v>12263</v>
      </c>
      <c r="C140" s="102" t="s">
        <v>12522</v>
      </c>
      <c r="D140" s="102" t="s">
        <v>12523</v>
      </c>
      <c r="E140" s="102" t="s">
        <v>10250</v>
      </c>
      <c r="F140" s="149">
        <v>2020</v>
      </c>
      <c r="G140" s="128" t="s">
        <v>3359</v>
      </c>
      <c r="H140" s="102">
        <v>200</v>
      </c>
      <c r="I140" s="102">
        <v>200</v>
      </c>
      <c r="J140" s="102"/>
      <c r="K140" s="149"/>
      <c r="L140" s="105">
        <v>20201118</v>
      </c>
    </row>
    <row r="141" s="146" customFormat="1" ht="16" customHeight="1" spans="1:12">
      <c r="A141" s="132">
        <v>139</v>
      </c>
      <c r="B141" s="102" t="s">
        <v>12263</v>
      </c>
      <c r="C141" s="102" t="s">
        <v>12524</v>
      </c>
      <c r="D141" s="102" t="s">
        <v>12525</v>
      </c>
      <c r="E141" s="102" t="s">
        <v>10250</v>
      </c>
      <c r="F141" s="149">
        <v>2020</v>
      </c>
      <c r="G141" s="128" t="s">
        <v>3359</v>
      </c>
      <c r="H141" s="102">
        <v>3000</v>
      </c>
      <c r="I141" s="102">
        <v>3000</v>
      </c>
      <c r="J141" s="102"/>
      <c r="K141" s="149"/>
      <c r="L141" s="105">
        <v>20201118</v>
      </c>
    </row>
    <row r="142" s="146" customFormat="1" ht="16" customHeight="1" spans="1:12">
      <c r="A142" s="132">
        <v>140</v>
      </c>
      <c r="B142" s="102" t="s">
        <v>12263</v>
      </c>
      <c r="C142" s="102" t="s">
        <v>12526</v>
      </c>
      <c r="D142" s="102" t="s">
        <v>12527</v>
      </c>
      <c r="E142" s="102" t="s">
        <v>10250</v>
      </c>
      <c r="F142" s="149">
        <v>2020</v>
      </c>
      <c r="G142" s="128" t="s">
        <v>3359</v>
      </c>
      <c r="H142" s="102">
        <v>200</v>
      </c>
      <c r="I142" s="102">
        <v>200</v>
      </c>
      <c r="J142" s="102"/>
      <c r="K142" s="149"/>
      <c r="L142" s="105">
        <v>20201118</v>
      </c>
    </row>
    <row r="143" s="146" customFormat="1" ht="16" customHeight="1" spans="1:12">
      <c r="A143" s="132">
        <v>141</v>
      </c>
      <c r="B143" s="102" t="s">
        <v>12263</v>
      </c>
      <c r="C143" s="102" t="s">
        <v>12528</v>
      </c>
      <c r="D143" s="102" t="s">
        <v>12529</v>
      </c>
      <c r="E143" s="102" t="s">
        <v>10250</v>
      </c>
      <c r="F143" s="149">
        <v>2020</v>
      </c>
      <c r="G143" s="128" t="s">
        <v>3359</v>
      </c>
      <c r="H143" s="102">
        <v>200</v>
      </c>
      <c r="I143" s="102">
        <v>200</v>
      </c>
      <c r="J143" s="102"/>
      <c r="K143" s="149"/>
      <c r="L143" s="105">
        <v>20201118</v>
      </c>
    </row>
    <row r="144" s="146" customFormat="1" ht="16" customHeight="1" spans="1:12">
      <c r="A144" s="132">
        <v>142</v>
      </c>
      <c r="B144" s="102" t="s">
        <v>12263</v>
      </c>
      <c r="C144" s="102" t="s">
        <v>12530</v>
      </c>
      <c r="D144" s="102" t="s">
        <v>12531</v>
      </c>
      <c r="E144" s="102" t="s">
        <v>10250</v>
      </c>
      <c r="F144" s="149">
        <v>2020</v>
      </c>
      <c r="G144" s="128" t="s">
        <v>3359</v>
      </c>
      <c r="H144" s="102">
        <v>200</v>
      </c>
      <c r="I144" s="102">
        <v>200</v>
      </c>
      <c r="J144" s="102"/>
      <c r="K144" s="149"/>
      <c r="L144" s="105">
        <v>20201118</v>
      </c>
    </row>
    <row r="145" s="146" customFormat="1" ht="16" customHeight="1" spans="1:12">
      <c r="A145" s="132">
        <v>143</v>
      </c>
      <c r="B145" s="102" t="s">
        <v>12263</v>
      </c>
      <c r="C145" s="102" t="s">
        <v>12532</v>
      </c>
      <c r="D145" s="102" t="s">
        <v>12533</v>
      </c>
      <c r="E145" s="102" t="s">
        <v>10250</v>
      </c>
      <c r="F145" s="149">
        <v>2020</v>
      </c>
      <c r="G145" s="128" t="s">
        <v>3359</v>
      </c>
      <c r="H145" s="102">
        <v>200</v>
      </c>
      <c r="I145" s="102">
        <v>200</v>
      </c>
      <c r="J145" s="102"/>
      <c r="K145" s="149"/>
      <c r="L145" s="105">
        <v>20201118</v>
      </c>
    </row>
    <row r="146" s="146" customFormat="1" ht="16" customHeight="1" spans="1:12">
      <c r="A146" s="132">
        <v>144</v>
      </c>
      <c r="B146" s="102" t="s">
        <v>12263</v>
      </c>
      <c r="C146" s="102" t="s">
        <v>6491</v>
      </c>
      <c r="D146" s="102" t="s">
        <v>12534</v>
      </c>
      <c r="E146" s="102" t="s">
        <v>10250</v>
      </c>
      <c r="F146" s="149">
        <v>2020</v>
      </c>
      <c r="G146" s="128" t="s">
        <v>3359</v>
      </c>
      <c r="H146" s="102">
        <v>200</v>
      </c>
      <c r="I146" s="102">
        <v>200</v>
      </c>
      <c r="J146" s="102"/>
      <c r="K146" s="149"/>
      <c r="L146" s="105">
        <v>20201118</v>
      </c>
    </row>
    <row r="147" s="146" customFormat="1" ht="16" customHeight="1" spans="1:12">
      <c r="A147" s="132">
        <v>145</v>
      </c>
      <c r="B147" s="102" t="s">
        <v>12263</v>
      </c>
      <c r="C147" s="102" t="s">
        <v>12535</v>
      </c>
      <c r="D147" s="102" t="s">
        <v>12536</v>
      </c>
      <c r="E147" s="102" t="s">
        <v>10250</v>
      </c>
      <c r="F147" s="149">
        <v>2020</v>
      </c>
      <c r="G147" s="128" t="s">
        <v>3359</v>
      </c>
      <c r="H147" s="102">
        <v>200</v>
      </c>
      <c r="I147" s="102">
        <v>200</v>
      </c>
      <c r="J147" s="102"/>
      <c r="K147" s="149"/>
      <c r="L147" s="105">
        <v>20201118</v>
      </c>
    </row>
    <row r="148" s="146" customFormat="1" ht="16" customHeight="1" spans="1:12">
      <c r="A148" s="132">
        <v>146</v>
      </c>
      <c r="B148" s="102" t="s">
        <v>12263</v>
      </c>
      <c r="C148" s="102" t="s">
        <v>12537</v>
      </c>
      <c r="D148" s="102" t="s">
        <v>12538</v>
      </c>
      <c r="E148" s="102" t="s">
        <v>10250</v>
      </c>
      <c r="F148" s="149">
        <v>2020</v>
      </c>
      <c r="G148" s="128" t="s">
        <v>3359</v>
      </c>
      <c r="H148" s="102">
        <v>200</v>
      </c>
      <c r="I148" s="102">
        <v>200</v>
      </c>
      <c r="J148" s="102"/>
      <c r="K148" s="149"/>
      <c r="L148" s="105">
        <v>20201118</v>
      </c>
    </row>
    <row r="149" s="146" customFormat="1" ht="16" customHeight="1" spans="1:12">
      <c r="A149" s="132">
        <v>147</v>
      </c>
      <c r="B149" s="102" t="s">
        <v>12263</v>
      </c>
      <c r="C149" s="102" t="s">
        <v>12539</v>
      </c>
      <c r="D149" s="102" t="s">
        <v>12540</v>
      </c>
      <c r="E149" s="102" t="s">
        <v>10250</v>
      </c>
      <c r="F149" s="149">
        <v>2020</v>
      </c>
      <c r="G149" s="128" t="s">
        <v>3359</v>
      </c>
      <c r="H149" s="102">
        <v>200</v>
      </c>
      <c r="I149" s="102">
        <v>200</v>
      </c>
      <c r="J149" s="102"/>
      <c r="K149" s="149"/>
      <c r="L149" s="105">
        <v>20201118</v>
      </c>
    </row>
    <row r="150" s="146" customFormat="1" ht="16" customHeight="1" spans="1:12">
      <c r="A150" s="132">
        <v>148</v>
      </c>
      <c r="B150" s="102" t="s">
        <v>12263</v>
      </c>
      <c r="C150" s="102" t="s">
        <v>12541</v>
      </c>
      <c r="D150" s="102" t="s">
        <v>12542</v>
      </c>
      <c r="E150" s="102" t="s">
        <v>10250</v>
      </c>
      <c r="F150" s="149">
        <v>2020</v>
      </c>
      <c r="G150" s="128" t="s">
        <v>3359</v>
      </c>
      <c r="H150" s="102">
        <v>200</v>
      </c>
      <c r="I150" s="102">
        <v>200</v>
      </c>
      <c r="J150" s="102"/>
      <c r="K150" s="149"/>
      <c r="L150" s="105">
        <v>20201118</v>
      </c>
    </row>
    <row r="151" s="146" customFormat="1" ht="16" customHeight="1" spans="1:12">
      <c r="A151" s="132">
        <v>149</v>
      </c>
      <c r="B151" s="102" t="s">
        <v>12263</v>
      </c>
      <c r="C151" s="102" t="s">
        <v>12543</v>
      </c>
      <c r="D151" s="102" t="s">
        <v>12544</v>
      </c>
      <c r="E151" s="102" t="s">
        <v>10250</v>
      </c>
      <c r="F151" s="149">
        <v>2020</v>
      </c>
      <c r="G151" s="128" t="s">
        <v>3359</v>
      </c>
      <c r="H151" s="102">
        <v>200</v>
      </c>
      <c r="I151" s="102">
        <v>200</v>
      </c>
      <c r="J151" s="102"/>
      <c r="K151" s="149"/>
      <c r="L151" s="105">
        <v>20201118</v>
      </c>
    </row>
    <row r="152" s="146" customFormat="1" ht="16" customHeight="1" spans="1:12">
      <c r="A152" s="132">
        <v>150</v>
      </c>
      <c r="B152" s="102" t="s">
        <v>12263</v>
      </c>
      <c r="C152" s="102" t="s">
        <v>12545</v>
      </c>
      <c r="D152" s="102" t="s">
        <v>12546</v>
      </c>
      <c r="E152" s="102" t="s">
        <v>10250</v>
      </c>
      <c r="F152" s="149">
        <v>2020</v>
      </c>
      <c r="G152" s="128" t="s">
        <v>3359</v>
      </c>
      <c r="H152" s="102">
        <v>200</v>
      </c>
      <c r="I152" s="102">
        <v>200</v>
      </c>
      <c r="J152" s="102"/>
      <c r="K152" s="149"/>
      <c r="L152" s="105">
        <v>20201118</v>
      </c>
    </row>
    <row r="153" s="147" customFormat="1" ht="16" customHeight="1" spans="1:12">
      <c r="A153" s="132">
        <v>151</v>
      </c>
      <c r="B153" s="93" t="s">
        <v>12263</v>
      </c>
      <c r="C153" s="93" t="s">
        <v>12547</v>
      </c>
      <c r="D153" s="93" t="s">
        <v>12548</v>
      </c>
      <c r="E153" s="93" t="s">
        <v>10250</v>
      </c>
      <c r="F153" s="151">
        <v>2020</v>
      </c>
      <c r="G153" s="152" t="s">
        <v>3359</v>
      </c>
      <c r="H153" s="93">
        <v>200</v>
      </c>
      <c r="I153" s="93">
        <v>200</v>
      </c>
      <c r="J153" s="93"/>
      <c r="K153" s="151" t="s">
        <v>12549</v>
      </c>
      <c r="L153" s="105">
        <v>20201118</v>
      </c>
    </row>
    <row r="154" s="147" customFormat="1" ht="16" customHeight="1" spans="1:12">
      <c r="A154" s="132">
        <v>152</v>
      </c>
      <c r="B154" s="93" t="s">
        <v>12263</v>
      </c>
      <c r="C154" s="93" t="s">
        <v>12550</v>
      </c>
      <c r="D154" s="93" t="s">
        <v>12551</v>
      </c>
      <c r="E154" s="93" t="s">
        <v>10250</v>
      </c>
      <c r="F154" s="151">
        <v>2020</v>
      </c>
      <c r="G154" s="152" t="s">
        <v>3359</v>
      </c>
      <c r="H154" s="93">
        <v>200</v>
      </c>
      <c r="I154" s="93">
        <v>200</v>
      </c>
      <c r="J154" s="93"/>
      <c r="K154" s="151" t="s">
        <v>12552</v>
      </c>
      <c r="L154" s="105">
        <v>20201118</v>
      </c>
    </row>
    <row r="155" s="146" customFormat="1" ht="16" customHeight="1" spans="1:12">
      <c r="A155" s="132">
        <v>153</v>
      </c>
      <c r="B155" s="102" t="s">
        <v>12263</v>
      </c>
      <c r="C155" s="102" t="s">
        <v>12553</v>
      </c>
      <c r="D155" s="102" t="s">
        <v>12554</v>
      </c>
      <c r="E155" s="102" t="s">
        <v>10250</v>
      </c>
      <c r="F155" s="149">
        <v>2020</v>
      </c>
      <c r="G155" s="128" t="s">
        <v>3359</v>
      </c>
      <c r="H155" s="102">
        <v>200</v>
      </c>
      <c r="I155" s="102">
        <v>200</v>
      </c>
      <c r="J155" s="102"/>
      <c r="K155" s="149"/>
      <c r="L155" s="105">
        <v>20201118</v>
      </c>
    </row>
    <row r="156" s="146" customFormat="1" ht="16" customHeight="1" spans="1:12">
      <c r="A156" s="132">
        <v>154</v>
      </c>
      <c r="B156" s="102" t="s">
        <v>12263</v>
      </c>
      <c r="C156" s="102" t="s">
        <v>12555</v>
      </c>
      <c r="D156" s="102" t="s">
        <v>12556</v>
      </c>
      <c r="E156" s="102" t="s">
        <v>10250</v>
      </c>
      <c r="F156" s="149">
        <v>2020</v>
      </c>
      <c r="G156" s="128" t="s">
        <v>3359</v>
      </c>
      <c r="H156" s="102">
        <v>200</v>
      </c>
      <c r="I156" s="102">
        <v>200</v>
      </c>
      <c r="J156" s="102"/>
      <c r="K156" s="149"/>
      <c r="L156" s="105">
        <v>20201118</v>
      </c>
    </row>
    <row r="157" s="146" customFormat="1" ht="16" customHeight="1" spans="1:12">
      <c r="A157" s="132">
        <v>155</v>
      </c>
      <c r="B157" s="102" t="s">
        <v>12263</v>
      </c>
      <c r="C157" s="102" t="s">
        <v>12557</v>
      </c>
      <c r="D157" s="102" t="s">
        <v>12558</v>
      </c>
      <c r="E157" s="102" t="s">
        <v>10250</v>
      </c>
      <c r="F157" s="149">
        <v>2020</v>
      </c>
      <c r="G157" s="128" t="s">
        <v>3359</v>
      </c>
      <c r="H157" s="102">
        <v>200</v>
      </c>
      <c r="I157" s="102">
        <v>200</v>
      </c>
      <c r="J157" s="102"/>
      <c r="K157" s="149"/>
      <c r="L157" s="105">
        <v>20201118</v>
      </c>
    </row>
    <row r="158" s="146" customFormat="1" ht="16" customHeight="1" spans="1:12">
      <c r="A158" s="132">
        <v>156</v>
      </c>
      <c r="B158" s="102" t="s">
        <v>12263</v>
      </c>
      <c r="C158" s="102" t="s">
        <v>7222</v>
      </c>
      <c r="D158" s="102" t="s">
        <v>12559</v>
      </c>
      <c r="E158" s="102" t="s">
        <v>10250</v>
      </c>
      <c r="F158" s="149">
        <v>2020</v>
      </c>
      <c r="G158" s="128" t="s">
        <v>3359</v>
      </c>
      <c r="H158" s="102">
        <v>200</v>
      </c>
      <c r="I158" s="102">
        <v>200</v>
      </c>
      <c r="J158" s="102"/>
      <c r="K158" s="149"/>
      <c r="L158" s="105">
        <v>20201118</v>
      </c>
    </row>
    <row r="159" s="146" customFormat="1" ht="16" customHeight="1" spans="1:12">
      <c r="A159" s="132">
        <v>157</v>
      </c>
      <c r="B159" s="102" t="s">
        <v>12263</v>
      </c>
      <c r="C159" s="102" t="s">
        <v>12560</v>
      </c>
      <c r="D159" s="102" t="s">
        <v>12561</v>
      </c>
      <c r="E159" s="102" t="s">
        <v>10250</v>
      </c>
      <c r="F159" s="149">
        <v>2020</v>
      </c>
      <c r="G159" s="128" t="s">
        <v>3359</v>
      </c>
      <c r="H159" s="102">
        <v>200</v>
      </c>
      <c r="I159" s="102">
        <v>200</v>
      </c>
      <c r="J159" s="102"/>
      <c r="K159" s="149"/>
      <c r="L159" s="105">
        <v>20201118</v>
      </c>
    </row>
    <row r="160" s="146" customFormat="1" ht="16" customHeight="1" spans="1:12">
      <c r="A160" s="132">
        <v>158</v>
      </c>
      <c r="B160" s="102" t="s">
        <v>12263</v>
      </c>
      <c r="C160" s="102" t="s">
        <v>12562</v>
      </c>
      <c r="D160" s="102" t="s">
        <v>12563</v>
      </c>
      <c r="E160" s="102" t="s">
        <v>10250</v>
      </c>
      <c r="F160" s="149">
        <v>2020</v>
      </c>
      <c r="G160" s="128" t="s">
        <v>3359</v>
      </c>
      <c r="H160" s="102">
        <v>200</v>
      </c>
      <c r="I160" s="102">
        <v>200</v>
      </c>
      <c r="J160" s="102"/>
      <c r="K160" s="149"/>
      <c r="L160" s="105">
        <v>20201118</v>
      </c>
    </row>
    <row r="161" s="146" customFormat="1" ht="16" customHeight="1" spans="1:12">
      <c r="A161" s="132">
        <v>159</v>
      </c>
      <c r="B161" s="102" t="s">
        <v>12263</v>
      </c>
      <c r="C161" s="102" t="s">
        <v>12564</v>
      </c>
      <c r="D161" s="102" t="s">
        <v>12565</v>
      </c>
      <c r="E161" s="102" t="s">
        <v>10250</v>
      </c>
      <c r="F161" s="149">
        <v>2020</v>
      </c>
      <c r="G161" s="128" t="s">
        <v>3359</v>
      </c>
      <c r="H161" s="102">
        <v>200</v>
      </c>
      <c r="I161" s="102">
        <v>200</v>
      </c>
      <c r="J161" s="102"/>
      <c r="K161" s="149"/>
      <c r="L161" s="105">
        <v>20201118</v>
      </c>
    </row>
    <row r="162" s="146" customFormat="1" ht="16" customHeight="1" spans="1:12">
      <c r="A162" s="132">
        <v>160</v>
      </c>
      <c r="B162" s="102" t="s">
        <v>12263</v>
      </c>
      <c r="C162" s="102" t="s">
        <v>12566</v>
      </c>
      <c r="D162" s="102" t="s">
        <v>12567</v>
      </c>
      <c r="E162" s="102" t="s">
        <v>10250</v>
      </c>
      <c r="F162" s="149">
        <v>2020</v>
      </c>
      <c r="G162" s="128" t="s">
        <v>3359</v>
      </c>
      <c r="H162" s="102">
        <v>200</v>
      </c>
      <c r="I162" s="102">
        <v>200</v>
      </c>
      <c r="J162" s="102"/>
      <c r="K162" s="149"/>
      <c r="L162" s="105">
        <v>20201118</v>
      </c>
    </row>
    <row r="163" s="146" customFormat="1" ht="16" customHeight="1" spans="1:12">
      <c r="A163" s="132">
        <v>161</v>
      </c>
      <c r="B163" s="102" t="s">
        <v>12263</v>
      </c>
      <c r="C163" s="102" t="s">
        <v>12568</v>
      </c>
      <c r="D163" s="102" t="s">
        <v>12569</v>
      </c>
      <c r="E163" s="102" t="s">
        <v>10250</v>
      </c>
      <c r="F163" s="149">
        <v>2020</v>
      </c>
      <c r="G163" s="128" t="s">
        <v>3359</v>
      </c>
      <c r="H163" s="102">
        <v>200</v>
      </c>
      <c r="I163" s="102">
        <v>200</v>
      </c>
      <c r="J163" s="102"/>
      <c r="K163" s="149"/>
      <c r="L163" s="105">
        <v>20201118</v>
      </c>
    </row>
    <row r="164" s="146" customFormat="1" ht="16" customHeight="1" spans="1:12">
      <c r="A164" s="132">
        <v>162</v>
      </c>
      <c r="B164" s="102" t="s">
        <v>12263</v>
      </c>
      <c r="C164" s="102" t="s">
        <v>12570</v>
      </c>
      <c r="D164" s="102" t="s">
        <v>12571</v>
      </c>
      <c r="E164" s="102" t="s">
        <v>10250</v>
      </c>
      <c r="F164" s="149">
        <v>2020</v>
      </c>
      <c r="G164" s="128" t="s">
        <v>3359</v>
      </c>
      <c r="H164" s="102">
        <v>200</v>
      </c>
      <c r="I164" s="102">
        <v>200</v>
      </c>
      <c r="J164" s="102"/>
      <c r="K164" s="149"/>
      <c r="L164" s="105">
        <v>20201118</v>
      </c>
    </row>
    <row r="165" s="146" customFormat="1" ht="16" customHeight="1" spans="1:12">
      <c r="A165" s="132">
        <v>163</v>
      </c>
      <c r="B165" s="102" t="s">
        <v>12263</v>
      </c>
      <c r="C165" s="102" t="s">
        <v>12572</v>
      </c>
      <c r="D165" s="102" t="s">
        <v>12573</v>
      </c>
      <c r="E165" s="102" t="s">
        <v>10250</v>
      </c>
      <c r="F165" s="149">
        <v>2020</v>
      </c>
      <c r="G165" s="128" t="s">
        <v>3359</v>
      </c>
      <c r="H165" s="102">
        <v>500</v>
      </c>
      <c r="I165" s="102">
        <v>500</v>
      </c>
      <c r="J165" s="102"/>
      <c r="K165" s="149"/>
      <c r="L165" s="105">
        <v>20201118</v>
      </c>
    </row>
    <row r="166" s="146" customFormat="1" ht="16" customHeight="1" spans="1:12">
      <c r="A166" s="132">
        <v>164</v>
      </c>
      <c r="B166" s="102" t="s">
        <v>12263</v>
      </c>
      <c r="C166" s="102" t="s">
        <v>12574</v>
      </c>
      <c r="D166" s="102" t="s">
        <v>12575</v>
      </c>
      <c r="E166" s="102" t="s">
        <v>10250</v>
      </c>
      <c r="F166" s="149">
        <v>2020</v>
      </c>
      <c r="G166" s="128" t="s">
        <v>3359</v>
      </c>
      <c r="H166" s="102">
        <v>500</v>
      </c>
      <c r="I166" s="102">
        <v>500</v>
      </c>
      <c r="J166" s="102"/>
      <c r="K166" s="149"/>
      <c r="L166" s="105">
        <v>20201118</v>
      </c>
    </row>
    <row r="167" s="146" customFormat="1" ht="16" customHeight="1" spans="1:12">
      <c r="A167" s="132">
        <v>165</v>
      </c>
      <c r="B167" s="102" t="s">
        <v>12263</v>
      </c>
      <c r="C167" s="102" t="s">
        <v>12576</v>
      </c>
      <c r="D167" s="102" t="s">
        <v>12577</v>
      </c>
      <c r="E167" s="102" t="s">
        <v>10250</v>
      </c>
      <c r="F167" s="149">
        <v>2020</v>
      </c>
      <c r="G167" s="128" t="s">
        <v>3359</v>
      </c>
      <c r="H167" s="102">
        <v>500</v>
      </c>
      <c r="I167" s="102">
        <v>500</v>
      </c>
      <c r="J167" s="102"/>
      <c r="K167" s="149"/>
      <c r="L167" s="105">
        <v>20201118</v>
      </c>
    </row>
    <row r="168" s="146" customFormat="1" ht="16" customHeight="1" spans="1:12">
      <c r="A168" s="132">
        <v>166</v>
      </c>
      <c r="B168" s="102" t="s">
        <v>12263</v>
      </c>
      <c r="C168" s="102" t="s">
        <v>2041</v>
      </c>
      <c r="D168" s="102" t="s">
        <v>12578</v>
      </c>
      <c r="E168" s="102" t="s">
        <v>10250</v>
      </c>
      <c r="F168" s="149">
        <v>2020</v>
      </c>
      <c r="G168" s="128" t="s">
        <v>3359</v>
      </c>
      <c r="H168" s="102">
        <v>500</v>
      </c>
      <c r="I168" s="102">
        <v>500</v>
      </c>
      <c r="J168" s="102"/>
      <c r="K168" s="149"/>
      <c r="L168" s="105">
        <v>20201118</v>
      </c>
    </row>
    <row r="169" s="146" customFormat="1" ht="16" customHeight="1" spans="1:12">
      <c r="A169" s="132">
        <v>167</v>
      </c>
      <c r="B169" s="102" t="s">
        <v>12263</v>
      </c>
      <c r="C169" s="102" t="s">
        <v>12579</v>
      </c>
      <c r="D169" s="102" t="s">
        <v>12580</v>
      </c>
      <c r="E169" s="102" t="s">
        <v>10250</v>
      </c>
      <c r="F169" s="149">
        <v>2020</v>
      </c>
      <c r="G169" s="128" t="s">
        <v>3359</v>
      </c>
      <c r="H169" s="102">
        <v>500</v>
      </c>
      <c r="I169" s="102">
        <v>500</v>
      </c>
      <c r="J169" s="102"/>
      <c r="K169" s="149"/>
      <c r="L169" s="105">
        <v>20201118</v>
      </c>
    </row>
    <row r="170" s="146" customFormat="1" ht="16" customHeight="1" spans="1:12">
      <c r="A170" s="132">
        <v>168</v>
      </c>
      <c r="B170" s="102" t="s">
        <v>12263</v>
      </c>
      <c r="C170" s="102" t="s">
        <v>12581</v>
      </c>
      <c r="D170" s="102" t="s">
        <v>12582</v>
      </c>
      <c r="E170" s="102" t="s">
        <v>10250</v>
      </c>
      <c r="F170" s="149">
        <v>2020</v>
      </c>
      <c r="G170" s="128" t="s">
        <v>3359</v>
      </c>
      <c r="H170" s="102">
        <v>500</v>
      </c>
      <c r="I170" s="102">
        <v>500</v>
      </c>
      <c r="J170" s="102"/>
      <c r="K170" s="149"/>
      <c r="L170" s="105">
        <v>20201118</v>
      </c>
    </row>
    <row r="171" s="146" customFormat="1" ht="16" customHeight="1" spans="1:12">
      <c r="A171" s="132">
        <v>169</v>
      </c>
      <c r="B171" s="102" t="s">
        <v>12263</v>
      </c>
      <c r="C171" s="102" t="s">
        <v>12583</v>
      </c>
      <c r="D171" s="102" t="s">
        <v>12584</v>
      </c>
      <c r="E171" s="102" t="s">
        <v>10250</v>
      </c>
      <c r="F171" s="149">
        <v>2020</v>
      </c>
      <c r="G171" s="128" t="s">
        <v>3359</v>
      </c>
      <c r="H171" s="102">
        <v>300</v>
      </c>
      <c r="I171" s="102">
        <v>300</v>
      </c>
      <c r="J171" s="102" t="s">
        <v>5331</v>
      </c>
      <c r="K171" s="149"/>
      <c r="L171" s="105">
        <v>20201118</v>
      </c>
    </row>
    <row r="172" s="146" customFormat="1" ht="16" customHeight="1" spans="1:12">
      <c r="A172" s="132">
        <v>170</v>
      </c>
      <c r="B172" s="102" t="s">
        <v>12263</v>
      </c>
      <c r="C172" s="102" t="s">
        <v>12585</v>
      </c>
      <c r="D172" s="102" t="s">
        <v>12586</v>
      </c>
      <c r="E172" s="102" t="s">
        <v>10250</v>
      </c>
      <c r="F172" s="149">
        <v>2020</v>
      </c>
      <c r="G172" s="128" t="s">
        <v>3359</v>
      </c>
      <c r="H172" s="102">
        <v>300</v>
      </c>
      <c r="I172" s="102">
        <v>300</v>
      </c>
      <c r="J172" s="102" t="s">
        <v>5331</v>
      </c>
      <c r="K172" s="149"/>
      <c r="L172" s="105">
        <v>20201118</v>
      </c>
    </row>
    <row r="173" s="146" customFormat="1" ht="16" customHeight="1" spans="1:12">
      <c r="A173" s="132">
        <v>171</v>
      </c>
      <c r="B173" s="102" t="s">
        <v>12263</v>
      </c>
      <c r="C173" s="102" t="s">
        <v>12587</v>
      </c>
      <c r="D173" s="102" t="s">
        <v>12588</v>
      </c>
      <c r="E173" s="102" t="s">
        <v>10250</v>
      </c>
      <c r="F173" s="149">
        <v>2020</v>
      </c>
      <c r="G173" s="128" t="s">
        <v>3359</v>
      </c>
      <c r="H173" s="102">
        <v>500</v>
      </c>
      <c r="I173" s="102">
        <v>500</v>
      </c>
      <c r="J173" s="102"/>
      <c r="K173" s="149"/>
      <c r="L173" s="105">
        <v>20201118</v>
      </c>
    </row>
    <row r="174" s="146" customFormat="1" ht="16" customHeight="1" spans="1:12">
      <c r="A174" s="132">
        <v>172</v>
      </c>
      <c r="B174" s="102" t="s">
        <v>12263</v>
      </c>
      <c r="C174" s="102" t="s">
        <v>12589</v>
      </c>
      <c r="D174" s="102" t="s">
        <v>12590</v>
      </c>
      <c r="E174" s="102" t="s">
        <v>10250</v>
      </c>
      <c r="F174" s="149">
        <v>2020</v>
      </c>
      <c r="G174" s="128" t="s">
        <v>3359</v>
      </c>
      <c r="H174" s="102">
        <v>500</v>
      </c>
      <c r="I174" s="102">
        <v>500</v>
      </c>
      <c r="J174" s="102"/>
      <c r="K174" s="149"/>
      <c r="L174" s="105">
        <v>20201118</v>
      </c>
    </row>
    <row r="175" s="146" customFormat="1" ht="16" customHeight="1" spans="1:12">
      <c r="A175" s="132">
        <v>173</v>
      </c>
      <c r="B175" s="102" t="s">
        <v>12263</v>
      </c>
      <c r="C175" s="102" t="s">
        <v>12591</v>
      </c>
      <c r="D175" s="102" t="s">
        <v>12592</v>
      </c>
      <c r="E175" s="102" t="s">
        <v>10250</v>
      </c>
      <c r="F175" s="149">
        <v>2020</v>
      </c>
      <c r="G175" s="128" t="s">
        <v>3359</v>
      </c>
      <c r="H175" s="102">
        <v>500</v>
      </c>
      <c r="I175" s="102">
        <v>500</v>
      </c>
      <c r="J175" s="102"/>
      <c r="K175" s="149"/>
      <c r="L175" s="105">
        <v>20201118</v>
      </c>
    </row>
    <row r="176" s="146" customFormat="1" ht="16" customHeight="1" spans="1:12">
      <c r="A176" s="132">
        <v>174</v>
      </c>
      <c r="B176" s="102" t="s">
        <v>12263</v>
      </c>
      <c r="C176" s="102" t="s">
        <v>12593</v>
      </c>
      <c r="D176" s="102" t="s">
        <v>12594</v>
      </c>
      <c r="E176" s="102" t="s">
        <v>10250</v>
      </c>
      <c r="F176" s="149">
        <v>2020</v>
      </c>
      <c r="G176" s="128" t="s">
        <v>3359</v>
      </c>
      <c r="H176" s="102">
        <v>200</v>
      </c>
      <c r="I176" s="102">
        <v>200</v>
      </c>
      <c r="J176" s="102"/>
      <c r="K176" s="149"/>
      <c r="L176" s="105">
        <v>20201118</v>
      </c>
    </row>
    <row r="177" s="146" customFormat="1" ht="16" customHeight="1" spans="1:12">
      <c r="A177" s="132">
        <v>175</v>
      </c>
      <c r="B177" s="102" t="s">
        <v>12263</v>
      </c>
      <c r="C177" s="102" t="s">
        <v>212</v>
      </c>
      <c r="D177" s="102" t="s">
        <v>12595</v>
      </c>
      <c r="E177" s="102" t="s">
        <v>10250</v>
      </c>
      <c r="F177" s="149">
        <v>2020</v>
      </c>
      <c r="G177" s="128" t="s">
        <v>3359</v>
      </c>
      <c r="H177" s="102">
        <v>200</v>
      </c>
      <c r="I177" s="102">
        <v>200</v>
      </c>
      <c r="J177" s="102"/>
      <c r="K177" s="149"/>
      <c r="L177" s="105">
        <v>20201118</v>
      </c>
    </row>
    <row r="178" s="146" customFormat="1" ht="16" customHeight="1" spans="1:12">
      <c r="A178" s="132">
        <v>176</v>
      </c>
      <c r="B178" s="102" t="s">
        <v>12263</v>
      </c>
      <c r="C178" s="102" t="s">
        <v>12596</v>
      </c>
      <c r="D178" s="102" t="s">
        <v>12597</v>
      </c>
      <c r="E178" s="102" t="s">
        <v>10250</v>
      </c>
      <c r="F178" s="149">
        <v>2020</v>
      </c>
      <c r="G178" s="128" t="s">
        <v>3359</v>
      </c>
      <c r="H178" s="102">
        <v>200</v>
      </c>
      <c r="I178" s="102">
        <v>200</v>
      </c>
      <c r="J178" s="102"/>
      <c r="K178" s="149"/>
      <c r="L178" s="105">
        <v>20201118</v>
      </c>
    </row>
    <row r="179" s="146" customFormat="1" ht="16" customHeight="1" spans="1:12">
      <c r="A179" s="132">
        <v>177</v>
      </c>
      <c r="B179" s="102" t="s">
        <v>12263</v>
      </c>
      <c r="C179" s="102" t="s">
        <v>12598</v>
      </c>
      <c r="D179" s="102" t="s">
        <v>12599</v>
      </c>
      <c r="E179" s="102" t="s">
        <v>10250</v>
      </c>
      <c r="F179" s="149">
        <v>2020</v>
      </c>
      <c r="G179" s="128" t="s">
        <v>3359</v>
      </c>
      <c r="H179" s="102">
        <v>200</v>
      </c>
      <c r="I179" s="102">
        <v>200</v>
      </c>
      <c r="J179" s="102"/>
      <c r="K179" s="149"/>
      <c r="L179" s="105">
        <v>20201118</v>
      </c>
    </row>
    <row r="180" s="146" customFormat="1" ht="16" customHeight="1" spans="1:12">
      <c r="A180" s="132">
        <v>178</v>
      </c>
      <c r="B180" s="102" t="s">
        <v>12263</v>
      </c>
      <c r="C180" s="102" t="s">
        <v>12600</v>
      </c>
      <c r="D180" s="102" t="s">
        <v>12601</v>
      </c>
      <c r="E180" s="102" t="s">
        <v>10250</v>
      </c>
      <c r="F180" s="149">
        <v>2020</v>
      </c>
      <c r="G180" s="128" t="s">
        <v>3359</v>
      </c>
      <c r="H180" s="102">
        <v>200</v>
      </c>
      <c r="I180" s="102">
        <v>200</v>
      </c>
      <c r="J180" s="102"/>
      <c r="K180" s="149"/>
      <c r="L180" s="105">
        <v>20201118</v>
      </c>
    </row>
    <row r="181" s="146" customFormat="1" ht="16" customHeight="1" spans="1:12">
      <c r="A181" s="132">
        <v>179</v>
      </c>
      <c r="B181" s="102" t="s">
        <v>12263</v>
      </c>
      <c r="C181" s="102" t="s">
        <v>12602</v>
      </c>
      <c r="D181" s="102" t="s">
        <v>12603</v>
      </c>
      <c r="E181" s="102" t="s">
        <v>10250</v>
      </c>
      <c r="F181" s="149">
        <v>2020</v>
      </c>
      <c r="G181" s="128" t="s">
        <v>3359</v>
      </c>
      <c r="H181" s="102">
        <v>200</v>
      </c>
      <c r="I181" s="102">
        <v>200</v>
      </c>
      <c r="J181" s="102"/>
      <c r="K181" s="149"/>
      <c r="L181" s="105">
        <v>20201118</v>
      </c>
    </row>
    <row r="182" s="146" customFormat="1" ht="16" customHeight="1" spans="1:12">
      <c r="A182" s="132">
        <v>180</v>
      </c>
      <c r="B182" s="102" t="s">
        <v>12263</v>
      </c>
      <c r="C182" s="102" t="s">
        <v>11840</v>
      </c>
      <c r="D182" s="102" t="s">
        <v>12604</v>
      </c>
      <c r="E182" s="102" t="s">
        <v>10250</v>
      </c>
      <c r="F182" s="149">
        <v>2020</v>
      </c>
      <c r="G182" s="128" t="s">
        <v>3359</v>
      </c>
      <c r="H182" s="102">
        <v>3000</v>
      </c>
      <c r="I182" s="102">
        <v>3000</v>
      </c>
      <c r="J182" s="102"/>
      <c r="K182" s="149"/>
      <c r="L182" s="105">
        <v>20201118</v>
      </c>
    </row>
    <row r="183" s="146" customFormat="1" ht="16" customHeight="1" spans="1:12">
      <c r="A183" s="132">
        <v>181</v>
      </c>
      <c r="B183" s="102" t="s">
        <v>12263</v>
      </c>
      <c r="C183" s="102" t="s">
        <v>12605</v>
      </c>
      <c r="D183" s="102" t="s">
        <v>12606</v>
      </c>
      <c r="E183" s="102" t="s">
        <v>10250</v>
      </c>
      <c r="F183" s="149">
        <v>2020</v>
      </c>
      <c r="G183" s="128" t="s">
        <v>3359</v>
      </c>
      <c r="H183" s="102">
        <v>3000</v>
      </c>
      <c r="I183" s="102">
        <v>3000</v>
      </c>
      <c r="J183" s="102"/>
      <c r="K183" s="149"/>
      <c r="L183" s="105">
        <v>20201118</v>
      </c>
    </row>
    <row r="184" s="146" customFormat="1" ht="16" customHeight="1" spans="1:12">
      <c r="A184" s="132">
        <v>182</v>
      </c>
      <c r="B184" s="102" t="s">
        <v>12263</v>
      </c>
      <c r="C184" s="102" t="s">
        <v>12607</v>
      </c>
      <c r="D184" s="102" t="s">
        <v>12608</v>
      </c>
      <c r="E184" s="102" t="s">
        <v>10250</v>
      </c>
      <c r="F184" s="149">
        <v>2020</v>
      </c>
      <c r="G184" s="128" t="s">
        <v>3359</v>
      </c>
      <c r="H184" s="102">
        <v>3000</v>
      </c>
      <c r="I184" s="102">
        <v>3000</v>
      </c>
      <c r="J184" s="102"/>
      <c r="K184" s="149"/>
      <c r="L184" s="105">
        <v>20201118</v>
      </c>
    </row>
    <row r="185" s="146" customFormat="1" ht="16" customHeight="1" spans="1:12">
      <c r="A185" s="132">
        <v>183</v>
      </c>
      <c r="B185" s="102" t="s">
        <v>12263</v>
      </c>
      <c r="C185" s="102" t="s">
        <v>12609</v>
      </c>
      <c r="D185" s="102" t="s">
        <v>12610</v>
      </c>
      <c r="E185" s="102" t="s">
        <v>10250</v>
      </c>
      <c r="F185" s="149">
        <v>2020</v>
      </c>
      <c r="G185" s="128" t="s">
        <v>3359</v>
      </c>
      <c r="H185" s="102">
        <v>200</v>
      </c>
      <c r="I185" s="102">
        <v>200</v>
      </c>
      <c r="J185" s="102"/>
      <c r="K185" s="149"/>
      <c r="L185" s="105">
        <v>20201118</v>
      </c>
    </row>
    <row r="186" s="146" customFormat="1" ht="16" customHeight="1" spans="1:12">
      <c r="A186" s="132">
        <v>184</v>
      </c>
      <c r="B186" s="102" t="s">
        <v>12263</v>
      </c>
      <c r="C186" s="102" t="s">
        <v>12611</v>
      </c>
      <c r="D186" s="102" t="s">
        <v>12612</v>
      </c>
      <c r="E186" s="102" t="s">
        <v>10250</v>
      </c>
      <c r="F186" s="149">
        <v>2020</v>
      </c>
      <c r="G186" s="128" t="s">
        <v>3359</v>
      </c>
      <c r="H186" s="102">
        <v>200</v>
      </c>
      <c r="I186" s="102">
        <v>200</v>
      </c>
      <c r="J186" s="102"/>
      <c r="K186" s="149"/>
      <c r="L186" s="105">
        <v>20201118</v>
      </c>
    </row>
    <row r="187" s="146" customFormat="1" ht="16" customHeight="1" spans="1:12">
      <c r="A187" s="132">
        <v>185</v>
      </c>
      <c r="B187" s="102" t="s">
        <v>12263</v>
      </c>
      <c r="C187" s="102" t="s">
        <v>12613</v>
      </c>
      <c r="D187" s="102" t="s">
        <v>12614</v>
      </c>
      <c r="E187" s="102" t="s">
        <v>10250</v>
      </c>
      <c r="F187" s="149">
        <v>2020</v>
      </c>
      <c r="G187" s="128" t="s">
        <v>3359</v>
      </c>
      <c r="H187" s="102">
        <v>200</v>
      </c>
      <c r="I187" s="102">
        <v>200</v>
      </c>
      <c r="J187" s="102" t="s">
        <v>108</v>
      </c>
      <c r="K187" s="149"/>
      <c r="L187" s="105">
        <v>20201118</v>
      </c>
    </row>
    <row r="188" s="146" customFormat="1" ht="16" customHeight="1" spans="1:12">
      <c r="A188" s="132">
        <v>186</v>
      </c>
      <c r="B188" s="102" t="s">
        <v>12263</v>
      </c>
      <c r="C188" s="102" t="s">
        <v>12615</v>
      </c>
      <c r="D188" s="102" t="s">
        <v>12616</v>
      </c>
      <c r="E188" s="102" t="s">
        <v>10250</v>
      </c>
      <c r="F188" s="149">
        <v>2020</v>
      </c>
      <c r="G188" s="128" t="s">
        <v>3359</v>
      </c>
      <c r="H188" s="102">
        <v>200</v>
      </c>
      <c r="I188" s="102">
        <v>200</v>
      </c>
      <c r="J188" s="102" t="s">
        <v>108</v>
      </c>
      <c r="K188" s="149"/>
      <c r="L188" s="105">
        <v>20201118</v>
      </c>
    </row>
    <row r="189" s="146" customFormat="1" ht="16" customHeight="1" spans="1:12">
      <c r="A189" s="132">
        <v>187</v>
      </c>
      <c r="B189" s="102" t="s">
        <v>12263</v>
      </c>
      <c r="C189" s="102" t="s">
        <v>12617</v>
      </c>
      <c r="D189" s="102" t="s">
        <v>12618</v>
      </c>
      <c r="E189" s="102" t="s">
        <v>10250</v>
      </c>
      <c r="F189" s="149">
        <v>2020</v>
      </c>
      <c r="G189" s="128" t="s">
        <v>3359</v>
      </c>
      <c r="H189" s="102">
        <v>200</v>
      </c>
      <c r="I189" s="102">
        <v>200</v>
      </c>
      <c r="J189" s="102"/>
      <c r="K189" s="149"/>
      <c r="L189" s="105">
        <v>20201118</v>
      </c>
    </row>
    <row r="190" s="146" customFormat="1" ht="16" customHeight="1" spans="1:12">
      <c r="A190" s="132">
        <v>188</v>
      </c>
      <c r="B190" s="102" t="s">
        <v>12263</v>
      </c>
      <c r="C190" s="102" t="s">
        <v>12619</v>
      </c>
      <c r="D190" s="102" t="s">
        <v>12620</v>
      </c>
      <c r="E190" s="102" t="s">
        <v>10250</v>
      </c>
      <c r="F190" s="149">
        <v>2020</v>
      </c>
      <c r="G190" s="128" t="s">
        <v>3359</v>
      </c>
      <c r="H190" s="102">
        <v>200</v>
      </c>
      <c r="I190" s="102">
        <v>200</v>
      </c>
      <c r="J190" s="102" t="s">
        <v>108</v>
      </c>
      <c r="K190" s="149"/>
      <c r="L190" s="105">
        <v>20201118</v>
      </c>
    </row>
    <row r="191" s="146" customFormat="1" ht="16" customHeight="1" spans="1:12">
      <c r="A191" s="132">
        <v>189</v>
      </c>
      <c r="B191" s="102" t="s">
        <v>12263</v>
      </c>
      <c r="C191" s="102" t="s">
        <v>12621</v>
      </c>
      <c r="D191" s="102" t="s">
        <v>12622</v>
      </c>
      <c r="E191" s="102" t="s">
        <v>10250</v>
      </c>
      <c r="F191" s="149">
        <v>2020</v>
      </c>
      <c r="G191" s="128" t="s">
        <v>3359</v>
      </c>
      <c r="H191" s="102">
        <v>200</v>
      </c>
      <c r="I191" s="102">
        <v>200</v>
      </c>
      <c r="J191" s="102" t="s">
        <v>108</v>
      </c>
      <c r="K191" s="149"/>
      <c r="L191" s="105">
        <v>20201118</v>
      </c>
    </row>
    <row r="192" s="146" customFormat="1" ht="16" customHeight="1" spans="1:12">
      <c r="A192" s="132">
        <v>190</v>
      </c>
      <c r="B192" s="102" t="s">
        <v>12263</v>
      </c>
      <c r="C192" s="102" t="s">
        <v>12623</v>
      </c>
      <c r="D192" s="102" t="s">
        <v>12624</v>
      </c>
      <c r="E192" s="102" t="s">
        <v>10250</v>
      </c>
      <c r="F192" s="149">
        <v>2020</v>
      </c>
      <c r="G192" s="128" t="s">
        <v>3359</v>
      </c>
      <c r="H192" s="102">
        <v>200</v>
      </c>
      <c r="I192" s="102">
        <v>200</v>
      </c>
      <c r="J192" s="102" t="s">
        <v>108</v>
      </c>
      <c r="K192" s="149"/>
      <c r="L192" s="105">
        <v>20201118</v>
      </c>
    </row>
    <row r="193" s="146" customFormat="1" ht="16" customHeight="1" spans="1:12">
      <c r="A193" s="132">
        <v>191</v>
      </c>
      <c r="B193" s="102" t="s">
        <v>12263</v>
      </c>
      <c r="C193" s="102" t="s">
        <v>12625</v>
      </c>
      <c r="D193" s="102" t="s">
        <v>12626</v>
      </c>
      <c r="E193" s="102" t="s">
        <v>10250</v>
      </c>
      <c r="F193" s="149">
        <v>2020</v>
      </c>
      <c r="G193" s="128" t="s">
        <v>3359</v>
      </c>
      <c r="H193" s="102">
        <v>200</v>
      </c>
      <c r="I193" s="102">
        <v>200</v>
      </c>
      <c r="J193" s="102" t="s">
        <v>108</v>
      </c>
      <c r="K193" s="149"/>
      <c r="L193" s="105">
        <v>20201118</v>
      </c>
    </row>
    <row r="194" s="146" customFormat="1" ht="16" customHeight="1" spans="1:12">
      <c r="A194" s="132">
        <v>192</v>
      </c>
      <c r="B194" s="102" t="s">
        <v>12263</v>
      </c>
      <c r="C194" s="102" t="s">
        <v>12507</v>
      </c>
      <c r="D194" s="102" t="s">
        <v>12627</v>
      </c>
      <c r="E194" s="102" t="s">
        <v>10250</v>
      </c>
      <c r="F194" s="149">
        <v>2020</v>
      </c>
      <c r="G194" s="128" t="s">
        <v>3359</v>
      </c>
      <c r="H194" s="102">
        <v>200</v>
      </c>
      <c r="I194" s="102">
        <v>200</v>
      </c>
      <c r="J194" s="102"/>
      <c r="K194" s="149"/>
      <c r="L194" s="105">
        <v>20201118</v>
      </c>
    </row>
    <row r="195" s="146" customFormat="1" ht="16" customHeight="1" spans="1:12">
      <c r="A195" s="132">
        <v>193</v>
      </c>
      <c r="B195" s="102" t="s">
        <v>12263</v>
      </c>
      <c r="C195" s="102" t="s">
        <v>12628</v>
      </c>
      <c r="D195" s="102" t="s">
        <v>12629</v>
      </c>
      <c r="E195" s="102" t="s">
        <v>10250</v>
      </c>
      <c r="F195" s="149">
        <v>2020</v>
      </c>
      <c r="G195" s="128" t="s">
        <v>3359</v>
      </c>
      <c r="H195" s="102">
        <v>200</v>
      </c>
      <c r="I195" s="102">
        <v>200</v>
      </c>
      <c r="J195" s="102"/>
      <c r="K195" s="149"/>
      <c r="L195" s="105">
        <v>20201118</v>
      </c>
    </row>
    <row r="196" s="146" customFormat="1" ht="16" customHeight="1" spans="1:12">
      <c r="A196" s="132">
        <v>194</v>
      </c>
      <c r="B196" s="102" t="s">
        <v>12263</v>
      </c>
      <c r="C196" s="102" t="s">
        <v>12630</v>
      </c>
      <c r="D196" s="102" t="s">
        <v>12631</v>
      </c>
      <c r="E196" s="102" t="s">
        <v>10250</v>
      </c>
      <c r="F196" s="149">
        <v>2020</v>
      </c>
      <c r="G196" s="128" t="s">
        <v>3359</v>
      </c>
      <c r="H196" s="102">
        <v>200</v>
      </c>
      <c r="I196" s="102">
        <v>200</v>
      </c>
      <c r="J196" s="102"/>
      <c r="K196" s="149"/>
      <c r="L196" s="105">
        <v>20201118</v>
      </c>
    </row>
    <row r="197" s="146" customFormat="1" ht="16" customHeight="1" spans="1:12">
      <c r="A197" s="132">
        <v>195</v>
      </c>
      <c r="B197" s="102" t="s">
        <v>12263</v>
      </c>
      <c r="C197" s="102" t="s">
        <v>12632</v>
      </c>
      <c r="D197" s="102" t="s">
        <v>12633</v>
      </c>
      <c r="E197" s="102" t="s">
        <v>10250</v>
      </c>
      <c r="F197" s="149">
        <v>2020</v>
      </c>
      <c r="G197" s="128" t="s">
        <v>3359</v>
      </c>
      <c r="H197" s="102">
        <v>200</v>
      </c>
      <c r="I197" s="102">
        <v>200</v>
      </c>
      <c r="J197" s="102"/>
      <c r="K197" s="149"/>
      <c r="L197" s="105">
        <v>20201118</v>
      </c>
    </row>
    <row r="198" s="146" customFormat="1" ht="16" customHeight="1" spans="1:12">
      <c r="A198" s="132">
        <v>196</v>
      </c>
      <c r="B198" s="102" t="s">
        <v>12263</v>
      </c>
      <c r="C198" s="102" t="s">
        <v>12634</v>
      </c>
      <c r="D198" s="102" t="s">
        <v>12635</v>
      </c>
      <c r="E198" s="102" t="s">
        <v>10250</v>
      </c>
      <c r="F198" s="149">
        <v>2020</v>
      </c>
      <c r="G198" s="128" t="s">
        <v>3359</v>
      </c>
      <c r="H198" s="102">
        <v>200</v>
      </c>
      <c r="I198" s="102">
        <v>200</v>
      </c>
      <c r="J198" s="102"/>
      <c r="K198" s="149"/>
      <c r="L198" s="105">
        <v>20201118</v>
      </c>
    </row>
    <row r="199" s="146" customFormat="1" ht="16" customHeight="1" spans="1:12">
      <c r="A199" s="132">
        <v>197</v>
      </c>
      <c r="B199" s="102" t="s">
        <v>12263</v>
      </c>
      <c r="C199" s="102" t="s">
        <v>881</v>
      </c>
      <c r="D199" s="102" t="s">
        <v>12636</v>
      </c>
      <c r="E199" s="102" t="s">
        <v>10250</v>
      </c>
      <c r="F199" s="149">
        <v>2020</v>
      </c>
      <c r="G199" s="128" t="s">
        <v>3359</v>
      </c>
      <c r="H199" s="102">
        <v>200</v>
      </c>
      <c r="I199" s="102">
        <v>200</v>
      </c>
      <c r="J199" s="102"/>
      <c r="K199" s="149"/>
      <c r="L199" s="105">
        <v>20201118</v>
      </c>
    </row>
    <row r="200" s="146" customFormat="1" ht="16" customHeight="1" spans="1:12">
      <c r="A200" s="132">
        <v>198</v>
      </c>
      <c r="B200" s="102" t="s">
        <v>12263</v>
      </c>
      <c r="C200" s="102" t="s">
        <v>12637</v>
      </c>
      <c r="D200" s="102" t="s">
        <v>12638</v>
      </c>
      <c r="E200" s="102" t="s">
        <v>10250</v>
      </c>
      <c r="F200" s="149">
        <v>2020</v>
      </c>
      <c r="G200" s="128" t="s">
        <v>3359</v>
      </c>
      <c r="H200" s="102">
        <v>200</v>
      </c>
      <c r="I200" s="102">
        <v>200</v>
      </c>
      <c r="J200" s="102"/>
      <c r="K200" s="149"/>
      <c r="L200" s="105">
        <v>20201118</v>
      </c>
    </row>
    <row r="201" s="146" customFormat="1" ht="16" customHeight="1" spans="1:12">
      <c r="A201" s="132">
        <v>199</v>
      </c>
      <c r="B201" s="102" t="s">
        <v>12263</v>
      </c>
      <c r="C201" s="102" t="s">
        <v>12639</v>
      </c>
      <c r="D201" s="102" t="s">
        <v>12640</v>
      </c>
      <c r="E201" s="102" t="s">
        <v>10250</v>
      </c>
      <c r="F201" s="149">
        <v>2020</v>
      </c>
      <c r="G201" s="128" t="s">
        <v>3359</v>
      </c>
      <c r="H201" s="102">
        <v>200</v>
      </c>
      <c r="I201" s="102">
        <v>200</v>
      </c>
      <c r="J201" s="102"/>
      <c r="K201" s="149"/>
      <c r="L201" s="105">
        <v>20201118</v>
      </c>
    </row>
    <row r="202" s="146" customFormat="1" ht="16" customHeight="1" spans="1:12">
      <c r="A202" s="132">
        <v>200</v>
      </c>
      <c r="B202" s="102" t="s">
        <v>12263</v>
      </c>
      <c r="C202" s="102" t="s">
        <v>12641</v>
      </c>
      <c r="D202" s="102" t="s">
        <v>12642</v>
      </c>
      <c r="E202" s="102" t="s">
        <v>10250</v>
      </c>
      <c r="F202" s="149">
        <v>2020</v>
      </c>
      <c r="G202" s="128" t="s">
        <v>3359</v>
      </c>
      <c r="H202" s="102">
        <v>200</v>
      </c>
      <c r="I202" s="102">
        <v>200</v>
      </c>
      <c r="J202" s="102"/>
      <c r="K202" s="149"/>
      <c r="L202" s="105">
        <v>20201118</v>
      </c>
    </row>
    <row r="203" s="146" customFormat="1" ht="16" customHeight="1" spans="1:12">
      <c r="A203" s="132">
        <v>201</v>
      </c>
      <c r="B203" s="102" t="s">
        <v>12263</v>
      </c>
      <c r="C203" s="102" t="s">
        <v>12643</v>
      </c>
      <c r="D203" s="102" t="s">
        <v>12644</v>
      </c>
      <c r="E203" s="102" t="s">
        <v>10250</v>
      </c>
      <c r="F203" s="149">
        <v>2020</v>
      </c>
      <c r="G203" s="128" t="s">
        <v>3359</v>
      </c>
      <c r="H203" s="102">
        <v>200</v>
      </c>
      <c r="I203" s="102">
        <v>200</v>
      </c>
      <c r="J203" s="102"/>
      <c r="K203" s="149"/>
      <c r="L203" s="105">
        <v>20201118</v>
      </c>
    </row>
    <row r="204" s="146" customFormat="1" ht="16" customHeight="1" spans="1:12">
      <c r="A204" s="132">
        <v>202</v>
      </c>
      <c r="B204" s="102" t="s">
        <v>12263</v>
      </c>
      <c r="C204" s="102" t="s">
        <v>12645</v>
      </c>
      <c r="D204" s="102" t="s">
        <v>12646</v>
      </c>
      <c r="E204" s="102" t="s">
        <v>10250</v>
      </c>
      <c r="F204" s="149">
        <v>2020</v>
      </c>
      <c r="G204" s="128" t="s">
        <v>3359</v>
      </c>
      <c r="H204" s="102">
        <v>200</v>
      </c>
      <c r="I204" s="102">
        <v>200</v>
      </c>
      <c r="J204" s="102"/>
      <c r="K204" s="149"/>
      <c r="L204" s="105">
        <v>20201118</v>
      </c>
    </row>
    <row r="205" s="146" customFormat="1" ht="16" customHeight="1" spans="1:12">
      <c r="A205" s="132">
        <v>203</v>
      </c>
      <c r="B205" s="102" t="s">
        <v>12263</v>
      </c>
      <c r="C205" s="102" t="s">
        <v>12647</v>
      </c>
      <c r="D205" s="102" t="s">
        <v>12648</v>
      </c>
      <c r="E205" s="102" t="s">
        <v>10250</v>
      </c>
      <c r="F205" s="149">
        <v>2020</v>
      </c>
      <c r="G205" s="128" t="s">
        <v>3359</v>
      </c>
      <c r="H205" s="102">
        <v>200</v>
      </c>
      <c r="I205" s="102">
        <v>200</v>
      </c>
      <c r="J205" s="102"/>
      <c r="K205" s="149"/>
      <c r="L205" s="105">
        <v>20201118</v>
      </c>
    </row>
    <row r="206" s="146" customFormat="1" ht="16" customHeight="1" spans="1:12">
      <c r="A206" s="132">
        <v>204</v>
      </c>
      <c r="B206" s="102" t="s">
        <v>12263</v>
      </c>
      <c r="C206" s="102" t="s">
        <v>12649</v>
      </c>
      <c r="D206" s="102" t="s">
        <v>12650</v>
      </c>
      <c r="E206" s="102" t="s">
        <v>10250</v>
      </c>
      <c r="F206" s="149">
        <v>2020</v>
      </c>
      <c r="G206" s="128" t="s">
        <v>3359</v>
      </c>
      <c r="H206" s="102">
        <v>200</v>
      </c>
      <c r="I206" s="102">
        <v>200</v>
      </c>
      <c r="J206" s="102"/>
      <c r="K206" s="149"/>
      <c r="L206" s="105">
        <v>20201118</v>
      </c>
    </row>
    <row r="207" s="146" customFormat="1" ht="16" customHeight="1" spans="1:12">
      <c r="A207" s="132">
        <v>205</v>
      </c>
      <c r="B207" s="102" t="s">
        <v>12263</v>
      </c>
      <c r="C207" s="102" t="s">
        <v>12651</v>
      </c>
      <c r="D207" s="102" t="s">
        <v>12652</v>
      </c>
      <c r="E207" s="102" t="s">
        <v>10250</v>
      </c>
      <c r="F207" s="149">
        <v>2020</v>
      </c>
      <c r="G207" s="128" t="s">
        <v>3359</v>
      </c>
      <c r="H207" s="102">
        <v>200</v>
      </c>
      <c r="I207" s="102">
        <v>200</v>
      </c>
      <c r="J207" s="102"/>
      <c r="K207" s="149"/>
      <c r="L207" s="105">
        <v>20201118</v>
      </c>
    </row>
    <row r="208" s="146" customFormat="1" ht="16" customHeight="1" spans="1:12">
      <c r="A208" s="132">
        <v>206</v>
      </c>
      <c r="B208" s="102" t="s">
        <v>12263</v>
      </c>
      <c r="C208" s="102" t="s">
        <v>12653</v>
      </c>
      <c r="D208" s="102" t="s">
        <v>12654</v>
      </c>
      <c r="E208" s="102" t="s">
        <v>10250</v>
      </c>
      <c r="F208" s="149">
        <v>2020</v>
      </c>
      <c r="G208" s="128" t="s">
        <v>3359</v>
      </c>
      <c r="H208" s="102">
        <v>200</v>
      </c>
      <c r="I208" s="102">
        <v>200</v>
      </c>
      <c r="J208" s="102"/>
      <c r="K208" s="149"/>
      <c r="L208" s="105">
        <v>20201118</v>
      </c>
    </row>
    <row r="209" s="146" customFormat="1" ht="16" customHeight="1" spans="1:12">
      <c r="A209" s="132">
        <v>207</v>
      </c>
      <c r="B209" s="102" t="s">
        <v>12263</v>
      </c>
      <c r="C209" s="102" t="s">
        <v>12655</v>
      </c>
      <c r="D209" s="102" t="s">
        <v>12656</v>
      </c>
      <c r="E209" s="102" t="s">
        <v>10250</v>
      </c>
      <c r="F209" s="149">
        <v>2020</v>
      </c>
      <c r="G209" s="128" t="s">
        <v>3359</v>
      </c>
      <c r="H209" s="102">
        <v>500</v>
      </c>
      <c r="I209" s="102">
        <v>500</v>
      </c>
      <c r="J209" s="102"/>
      <c r="K209" s="149"/>
      <c r="L209" s="105">
        <v>20201118</v>
      </c>
    </row>
    <row r="210" s="146" customFormat="1" ht="16" customHeight="1" spans="1:12">
      <c r="A210" s="132">
        <v>208</v>
      </c>
      <c r="B210" s="102" t="s">
        <v>12263</v>
      </c>
      <c r="C210" s="102" t="s">
        <v>12657</v>
      </c>
      <c r="D210" s="102" t="s">
        <v>12658</v>
      </c>
      <c r="E210" s="102" t="s">
        <v>10250</v>
      </c>
      <c r="F210" s="149">
        <v>2020</v>
      </c>
      <c r="G210" s="128" t="s">
        <v>3359</v>
      </c>
      <c r="H210" s="102" t="s">
        <v>311</v>
      </c>
      <c r="I210" s="102">
        <v>200</v>
      </c>
      <c r="J210" s="102"/>
      <c r="K210" s="149"/>
      <c r="L210" s="105">
        <v>20201118</v>
      </c>
    </row>
    <row r="211" s="146" customFormat="1" ht="16" customHeight="1" spans="1:12">
      <c r="A211" s="132">
        <v>209</v>
      </c>
      <c r="B211" s="102" t="s">
        <v>12263</v>
      </c>
      <c r="C211" s="102" t="s">
        <v>12659</v>
      </c>
      <c r="D211" s="102" t="s">
        <v>12660</v>
      </c>
      <c r="E211" s="102" t="s">
        <v>10250</v>
      </c>
      <c r="F211" s="149">
        <v>2020</v>
      </c>
      <c r="G211" s="128" t="s">
        <v>3359</v>
      </c>
      <c r="H211" s="102" t="s">
        <v>311</v>
      </c>
      <c r="I211" s="102">
        <v>200</v>
      </c>
      <c r="J211" s="102"/>
      <c r="K211" s="149"/>
      <c r="L211" s="105">
        <v>20201118</v>
      </c>
    </row>
    <row r="212" s="146" customFormat="1" ht="16" customHeight="1" spans="1:12">
      <c r="A212" s="132">
        <v>210</v>
      </c>
      <c r="B212" s="102" t="s">
        <v>12263</v>
      </c>
      <c r="C212" s="102" t="s">
        <v>12661</v>
      </c>
      <c r="D212" s="102" t="s">
        <v>12662</v>
      </c>
      <c r="E212" s="102" t="s">
        <v>10250</v>
      </c>
      <c r="F212" s="149">
        <v>2020</v>
      </c>
      <c r="G212" s="128" t="s">
        <v>3359</v>
      </c>
      <c r="H212" s="102" t="s">
        <v>311</v>
      </c>
      <c r="I212" s="102">
        <v>200</v>
      </c>
      <c r="J212" s="102"/>
      <c r="K212" s="149"/>
      <c r="L212" s="105">
        <v>20201118</v>
      </c>
    </row>
    <row r="213" s="146" customFormat="1" ht="16" customHeight="1" spans="1:12">
      <c r="A213" s="132">
        <v>211</v>
      </c>
      <c r="B213" s="102" t="s">
        <v>12263</v>
      </c>
      <c r="C213" s="102" t="s">
        <v>12663</v>
      </c>
      <c r="D213" s="102" t="s">
        <v>12664</v>
      </c>
      <c r="E213" s="102" t="s">
        <v>10250</v>
      </c>
      <c r="F213" s="149">
        <v>2020</v>
      </c>
      <c r="G213" s="128" t="s">
        <v>3359</v>
      </c>
      <c r="H213" s="102" t="s">
        <v>311</v>
      </c>
      <c r="I213" s="102">
        <v>200</v>
      </c>
      <c r="J213" s="102"/>
      <c r="K213" s="149"/>
      <c r="L213" s="105">
        <v>20201118</v>
      </c>
    </row>
    <row r="214" s="146" customFormat="1" ht="16" customHeight="1" spans="1:12">
      <c r="A214" s="132">
        <v>212</v>
      </c>
      <c r="B214" s="102" t="s">
        <v>12263</v>
      </c>
      <c r="C214" s="102" t="s">
        <v>12665</v>
      </c>
      <c r="D214" s="102" t="s">
        <v>12666</v>
      </c>
      <c r="E214" s="102" t="s">
        <v>10250</v>
      </c>
      <c r="F214" s="149">
        <v>2020</v>
      </c>
      <c r="G214" s="128" t="s">
        <v>3359</v>
      </c>
      <c r="H214" s="102" t="s">
        <v>311</v>
      </c>
      <c r="I214" s="102">
        <v>200</v>
      </c>
      <c r="J214" s="102"/>
      <c r="K214" s="149"/>
      <c r="L214" s="105">
        <v>20201118</v>
      </c>
    </row>
    <row r="215" s="146" customFormat="1" ht="16" customHeight="1" spans="1:12">
      <c r="A215" s="132">
        <v>213</v>
      </c>
      <c r="B215" s="102" t="s">
        <v>12263</v>
      </c>
      <c r="C215" s="102" t="s">
        <v>12667</v>
      </c>
      <c r="D215" s="102" t="s">
        <v>12668</v>
      </c>
      <c r="E215" s="102" t="s">
        <v>10250</v>
      </c>
      <c r="F215" s="149">
        <v>2020</v>
      </c>
      <c r="G215" s="128" t="s">
        <v>3359</v>
      </c>
      <c r="H215" s="102" t="s">
        <v>311</v>
      </c>
      <c r="I215" s="102">
        <v>200</v>
      </c>
      <c r="J215" s="102"/>
      <c r="K215" s="149"/>
      <c r="L215" s="105">
        <v>20201118</v>
      </c>
    </row>
    <row r="216" s="146" customFormat="1" ht="16" customHeight="1" spans="1:12">
      <c r="A216" s="132">
        <v>214</v>
      </c>
      <c r="B216" s="102" t="s">
        <v>12263</v>
      </c>
      <c r="C216" s="102" t="s">
        <v>12669</v>
      </c>
      <c r="D216" s="102" t="s">
        <v>12670</v>
      </c>
      <c r="E216" s="102" t="s">
        <v>10250</v>
      </c>
      <c r="F216" s="149">
        <v>2020</v>
      </c>
      <c r="G216" s="128" t="s">
        <v>3359</v>
      </c>
      <c r="H216" s="102" t="s">
        <v>311</v>
      </c>
      <c r="I216" s="102">
        <v>200</v>
      </c>
      <c r="J216" s="102"/>
      <c r="K216" s="149"/>
      <c r="L216" s="105">
        <v>20201118</v>
      </c>
    </row>
    <row r="217" s="146" customFormat="1" ht="16" customHeight="1" spans="1:12">
      <c r="A217" s="132">
        <v>215</v>
      </c>
      <c r="B217" s="102" t="s">
        <v>12263</v>
      </c>
      <c r="C217" s="102" t="s">
        <v>12671</v>
      </c>
      <c r="D217" s="102" t="s">
        <v>12672</v>
      </c>
      <c r="E217" s="102" t="s">
        <v>10250</v>
      </c>
      <c r="F217" s="149">
        <v>2020</v>
      </c>
      <c r="G217" s="128" t="s">
        <v>3359</v>
      </c>
      <c r="H217" s="102" t="s">
        <v>311</v>
      </c>
      <c r="I217" s="102">
        <v>200</v>
      </c>
      <c r="J217" s="102"/>
      <c r="K217" s="149"/>
      <c r="L217" s="105">
        <v>20201118</v>
      </c>
    </row>
    <row r="218" s="146" customFormat="1" ht="16" customHeight="1" spans="1:12">
      <c r="A218" s="132">
        <v>216</v>
      </c>
      <c r="B218" s="102" t="s">
        <v>12263</v>
      </c>
      <c r="C218" s="102" t="s">
        <v>3874</v>
      </c>
      <c r="D218" s="102" t="s">
        <v>12673</v>
      </c>
      <c r="E218" s="102" t="s">
        <v>10250</v>
      </c>
      <c r="F218" s="149">
        <v>2020</v>
      </c>
      <c r="G218" s="128" t="s">
        <v>3359</v>
      </c>
      <c r="H218" s="102" t="s">
        <v>311</v>
      </c>
      <c r="I218" s="102">
        <v>200</v>
      </c>
      <c r="J218" s="102"/>
      <c r="K218" s="149"/>
      <c r="L218" s="105">
        <v>20201118</v>
      </c>
    </row>
    <row r="219" s="146" customFormat="1" ht="16" customHeight="1" spans="1:12">
      <c r="A219" s="132">
        <v>217</v>
      </c>
      <c r="B219" s="102" t="s">
        <v>12263</v>
      </c>
      <c r="C219" s="102" t="s">
        <v>12674</v>
      </c>
      <c r="D219" s="102" t="s">
        <v>12675</v>
      </c>
      <c r="E219" s="102" t="s">
        <v>10250</v>
      </c>
      <c r="F219" s="149">
        <v>2020</v>
      </c>
      <c r="G219" s="128" t="s">
        <v>3359</v>
      </c>
      <c r="H219" s="102" t="s">
        <v>311</v>
      </c>
      <c r="I219" s="102">
        <v>200</v>
      </c>
      <c r="J219" s="102"/>
      <c r="K219" s="149"/>
      <c r="L219" s="105">
        <v>20201118</v>
      </c>
    </row>
    <row r="220" s="146" customFormat="1" ht="16" customHeight="1" spans="1:12">
      <c r="A220" s="132">
        <v>218</v>
      </c>
      <c r="B220" s="102" t="s">
        <v>12263</v>
      </c>
      <c r="C220" s="102" t="s">
        <v>12676</v>
      </c>
      <c r="D220" s="102" t="s">
        <v>12677</v>
      </c>
      <c r="E220" s="102" t="s">
        <v>10250</v>
      </c>
      <c r="F220" s="149">
        <v>2020</v>
      </c>
      <c r="G220" s="128" t="s">
        <v>3359</v>
      </c>
      <c r="H220" s="102" t="s">
        <v>311</v>
      </c>
      <c r="I220" s="102">
        <v>200</v>
      </c>
      <c r="J220" s="102"/>
      <c r="K220" s="149"/>
      <c r="L220" s="105">
        <v>20201118</v>
      </c>
    </row>
    <row r="221" s="146" customFormat="1" ht="16" customHeight="1" spans="1:12">
      <c r="A221" s="132">
        <v>219</v>
      </c>
      <c r="B221" s="102" t="s">
        <v>12263</v>
      </c>
      <c r="C221" s="102" t="s">
        <v>12678</v>
      </c>
      <c r="D221" s="102" t="s">
        <v>12679</v>
      </c>
      <c r="E221" s="102" t="s">
        <v>10250</v>
      </c>
      <c r="F221" s="149">
        <v>2020</v>
      </c>
      <c r="G221" s="128" t="s">
        <v>3359</v>
      </c>
      <c r="H221" s="102" t="s">
        <v>311</v>
      </c>
      <c r="I221" s="102">
        <v>200</v>
      </c>
      <c r="J221" s="102"/>
      <c r="K221" s="149"/>
      <c r="L221" s="105">
        <v>20201118</v>
      </c>
    </row>
    <row r="222" s="146" customFormat="1" ht="16" customHeight="1" spans="1:12">
      <c r="A222" s="132">
        <v>220</v>
      </c>
      <c r="B222" s="102" t="s">
        <v>12263</v>
      </c>
      <c r="C222" s="102" t="s">
        <v>12680</v>
      </c>
      <c r="D222" s="102" t="s">
        <v>12681</v>
      </c>
      <c r="E222" s="102" t="s">
        <v>10250</v>
      </c>
      <c r="F222" s="149">
        <v>2020</v>
      </c>
      <c r="G222" s="128" t="s">
        <v>3359</v>
      </c>
      <c r="H222" s="102" t="s">
        <v>311</v>
      </c>
      <c r="I222" s="102">
        <v>200</v>
      </c>
      <c r="J222" s="102"/>
      <c r="K222" s="149"/>
      <c r="L222" s="105">
        <v>20201118</v>
      </c>
    </row>
    <row r="223" s="146" customFormat="1" ht="16" customHeight="1" spans="1:12">
      <c r="A223" s="132">
        <v>221</v>
      </c>
      <c r="B223" s="102" t="s">
        <v>12263</v>
      </c>
      <c r="C223" s="102" t="s">
        <v>12682</v>
      </c>
      <c r="D223" s="102" t="s">
        <v>12683</v>
      </c>
      <c r="E223" s="102" t="s">
        <v>10250</v>
      </c>
      <c r="F223" s="149">
        <v>2020</v>
      </c>
      <c r="G223" s="128" t="s">
        <v>3359</v>
      </c>
      <c r="H223" s="102" t="s">
        <v>311</v>
      </c>
      <c r="I223" s="102">
        <v>200</v>
      </c>
      <c r="J223" s="102"/>
      <c r="K223" s="149"/>
      <c r="L223" s="105">
        <v>20201118</v>
      </c>
    </row>
    <row r="224" s="146" customFormat="1" ht="16" customHeight="1" spans="1:12">
      <c r="A224" s="132">
        <v>222</v>
      </c>
      <c r="B224" s="102" t="s">
        <v>12263</v>
      </c>
      <c r="C224" s="102" t="s">
        <v>12684</v>
      </c>
      <c r="D224" s="102" t="s">
        <v>12685</v>
      </c>
      <c r="E224" s="102" t="s">
        <v>10250</v>
      </c>
      <c r="F224" s="149">
        <v>2020</v>
      </c>
      <c r="G224" s="128" t="s">
        <v>3359</v>
      </c>
      <c r="H224" s="102" t="s">
        <v>311</v>
      </c>
      <c r="I224" s="102">
        <v>200</v>
      </c>
      <c r="J224" s="102"/>
      <c r="K224" s="149"/>
      <c r="L224" s="105">
        <v>20201118</v>
      </c>
    </row>
    <row r="225" s="146" customFormat="1" ht="16" customHeight="1" spans="1:12">
      <c r="A225" s="132">
        <v>223</v>
      </c>
      <c r="B225" s="102" t="s">
        <v>12263</v>
      </c>
      <c r="C225" s="102" t="s">
        <v>12686</v>
      </c>
      <c r="D225" s="102" t="s">
        <v>12687</v>
      </c>
      <c r="E225" s="102" t="s">
        <v>10250</v>
      </c>
      <c r="F225" s="149">
        <v>2020</v>
      </c>
      <c r="G225" s="128" t="s">
        <v>3359</v>
      </c>
      <c r="H225" s="102" t="s">
        <v>311</v>
      </c>
      <c r="I225" s="102">
        <v>200</v>
      </c>
      <c r="J225" s="102"/>
      <c r="K225" s="149"/>
      <c r="L225" s="105">
        <v>20201118</v>
      </c>
    </row>
    <row r="226" s="146" customFormat="1" ht="16" customHeight="1" spans="1:12">
      <c r="A226" s="132">
        <v>224</v>
      </c>
      <c r="B226" s="102" t="s">
        <v>12263</v>
      </c>
      <c r="C226" s="102" t="s">
        <v>12688</v>
      </c>
      <c r="D226" s="102" t="s">
        <v>12689</v>
      </c>
      <c r="E226" s="102" t="s">
        <v>10250</v>
      </c>
      <c r="F226" s="149">
        <v>2020</v>
      </c>
      <c r="G226" s="128" t="s">
        <v>3359</v>
      </c>
      <c r="H226" s="102" t="s">
        <v>311</v>
      </c>
      <c r="I226" s="102">
        <v>200</v>
      </c>
      <c r="J226" s="102"/>
      <c r="K226" s="149"/>
      <c r="L226" s="105">
        <v>20201118</v>
      </c>
    </row>
    <row r="227" s="146" customFormat="1" ht="16" customHeight="1" spans="1:12">
      <c r="A227" s="132">
        <v>225</v>
      </c>
      <c r="B227" s="102" t="s">
        <v>12263</v>
      </c>
      <c r="C227" s="102" t="s">
        <v>12690</v>
      </c>
      <c r="D227" s="102" t="s">
        <v>12691</v>
      </c>
      <c r="E227" s="102" t="s">
        <v>10250</v>
      </c>
      <c r="F227" s="149">
        <v>2020</v>
      </c>
      <c r="G227" s="128" t="s">
        <v>3359</v>
      </c>
      <c r="H227" s="102" t="s">
        <v>311</v>
      </c>
      <c r="I227" s="102">
        <v>200</v>
      </c>
      <c r="J227" s="102"/>
      <c r="K227" s="149"/>
      <c r="L227" s="105">
        <v>20201118</v>
      </c>
    </row>
    <row r="228" s="146" customFormat="1" ht="16" customHeight="1" spans="1:12">
      <c r="A228" s="132">
        <v>226</v>
      </c>
      <c r="B228" s="102" t="s">
        <v>12263</v>
      </c>
      <c r="C228" s="102" t="s">
        <v>12692</v>
      </c>
      <c r="D228" s="102" t="s">
        <v>12693</v>
      </c>
      <c r="E228" s="102" t="s">
        <v>10250</v>
      </c>
      <c r="F228" s="149">
        <v>2020</v>
      </c>
      <c r="G228" s="128" t="s">
        <v>3359</v>
      </c>
      <c r="H228" s="102" t="s">
        <v>311</v>
      </c>
      <c r="I228" s="102">
        <v>200</v>
      </c>
      <c r="J228" s="102"/>
      <c r="K228" s="149"/>
      <c r="L228" s="105">
        <v>20201118</v>
      </c>
    </row>
    <row r="229" s="146" customFormat="1" ht="16" customHeight="1" spans="1:12">
      <c r="A229" s="132">
        <v>227</v>
      </c>
      <c r="B229" s="102" t="s">
        <v>12263</v>
      </c>
      <c r="C229" s="102" t="s">
        <v>12694</v>
      </c>
      <c r="D229" s="102" t="s">
        <v>12695</v>
      </c>
      <c r="E229" s="102" t="s">
        <v>10250</v>
      </c>
      <c r="F229" s="149">
        <v>2020</v>
      </c>
      <c r="G229" s="128" t="s">
        <v>3359</v>
      </c>
      <c r="H229" s="102" t="s">
        <v>311</v>
      </c>
      <c r="I229" s="102">
        <v>200</v>
      </c>
      <c r="J229" s="102"/>
      <c r="K229" s="149"/>
      <c r="L229" s="105">
        <v>20201118</v>
      </c>
    </row>
    <row r="230" s="146" customFormat="1" ht="16" customHeight="1" spans="1:12">
      <c r="A230" s="132">
        <v>228</v>
      </c>
      <c r="B230" s="102" t="s">
        <v>12263</v>
      </c>
      <c r="C230" s="102" t="s">
        <v>12696</v>
      </c>
      <c r="D230" s="102" t="s">
        <v>12697</v>
      </c>
      <c r="E230" s="102" t="s">
        <v>10250</v>
      </c>
      <c r="F230" s="149">
        <v>2020</v>
      </c>
      <c r="G230" s="128" t="s">
        <v>3359</v>
      </c>
      <c r="H230" s="102" t="s">
        <v>311</v>
      </c>
      <c r="I230" s="102">
        <v>200</v>
      </c>
      <c r="J230" s="102"/>
      <c r="K230" s="149"/>
      <c r="L230" s="105">
        <v>20201118</v>
      </c>
    </row>
    <row r="231" s="146" customFormat="1" ht="16" customHeight="1" spans="1:12">
      <c r="A231" s="132">
        <v>229</v>
      </c>
      <c r="B231" s="102" t="s">
        <v>12263</v>
      </c>
      <c r="C231" s="102" t="s">
        <v>12698</v>
      </c>
      <c r="D231" s="102" t="s">
        <v>12699</v>
      </c>
      <c r="E231" s="102" t="s">
        <v>10250</v>
      </c>
      <c r="F231" s="149">
        <v>2020</v>
      </c>
      <c r="G231" s="128" t="s">
        <v>3359</v>
      </c>
      <c r="H231" s="102" t="s">
        <v>311</v>
      </c>
      <c r="I231" s="102">
        <v>200</v>
      </c>
      <c r="J231" s="102"/>
      <c r="K231" s="149"/>
      <c r="L231" s="105">
        <v>20201118</v>
      </c>
    </row>
    <row r="232" s="146" customFormat="1" ht="16" customHeight="1" spans="1:12">
      <c r="A232" s="132">
        <v>230</v>
      </c>
      <c r="B232" s="102" t="s">
        <v>12263</v>
      </c>
      <c r="C232" s="102" t="s">
        <v>12700</v>
      </c>
      <c r="D232" s="102" t="s">
        <v>12701</v>
      </c>
      <c r="E232" s="102" t="s">
        <v>10250</v>
      </c>
      <c r="F232" s="149">
        <v>2020</v>
      </c>
      <c r="G232" s="128" t="s">
        <v>3359</v>
      </c>
      <c r="H232" s="102" t="s">
        <v>1700</v>
      </c>
      <c r="I232" s="102">
        <v>300</v>
      </c>
      <c r="J232" s="102"/>
      <c r="K232" s="149"/>
      <c r="L232" s="105">
        <v>20201118</v>
      </c>
    </row>
    <row r="233" s="146" customFormat="1" ht="16" customHeight="1" spans="1:12">
      <c r="A233" s="132">
        <v>231</v>
      </c>
      <c r="B233" s="102" t="s">
        <v>12263</v>
      </c>
      <c r="C233" s="102" t="s">
        <v>12702</v>
      </c>
      <c r="D233" s="102" t="s">
        <v>12703</v>
      </c>
      <c r="E233" s="102" t="s">
        <v>10250</v>
      </c>
      <c r="F233" s="149">
        <v>2020</v>
      </c>
      <c r="G233" s="128" t="s">
        <v>3359</v>
      </c>
      <c r="H233" s="102" t="s">
        <v>1700</v>
      </c>
      <c r="I233" s="102">
        <v>300</v>
      </c>
      <c r="J233" s="102"/>
      <c r="K233" s="149"/>
      <c r="L233" s="105">
        <v>20201118</v>
      </c>
    </row>
    <row r="234" s="146" customFormat="1" ht="16" customHeight="1" spans="1:12">
      <c r="A234" s="132">
        <v>232</v>
      </c>
      <c r="B234" s="102" t="s">
        <v>12263</v>
      </c>
      <c r="C234" s="102" t="s">
        <v>12704</v>
      </c>
      <c r="D234" s="102" t="s">
        <v>12705</v>
      </c>
      <c r="E234" s="102" t="s">
        <v>10250</v>
      </c>
      <c r="F234" s="149">
        <v>2020</v>
      </c>
      <c r="G234" s="128" t="s">
        <v>3359</v>
      </c>
      <c r="H234" s="102" t="s">
        <v>311</v>
      </c>
      <c r="I234" s="102">
        <v>200</v>
      </c>
      <c r="J234" s="102"/>
      <c r="K234" s="149"/>
      <c r="L234" s="105">
        <v>20201118</v>
      </c>
    </row>
    <row r="235" s="146" customFormat="1" ht="16" customHeight="1" spans="1:12">
      <c r="A235" s="132">
        <v>233</v>
      </c>
      <c r="B235" s="102" t="s">
        <v>12263</v>
      </c>
      <c r="C235" s="102" t="s">
        <v>12706</v>
      </c>
      <c r="D235" s="102" t="s">
        <v>12707</v>
      </c>
      <c r="E235" s="102" t="s">
        <v>10250</v>
      </c>
      <c r="F235" s="149">
        <v>2020</v>
      </c>
      <c r="G235" s="128" t="s">
        <v>3359</v>
      </c>
      <c r="H235" s="102" t="s">
        <v>2295</v>
      </c>
      <c r="I235" s="102">
        <v>500</v>
      </c>
      <c r="J235" s="102"/>
      <c r="K235" s="149"/>
      <c r="L235" s="105">
        <v>20201118</v>
      </c>
    </row>
    <row r="236" s="146" customFormat="1" ht="16" customHeight="1" spans="1:12">
      <c r="A236" s="132">
        <v>234</v>
      </c>
      <c r="B236" s="102" t="s">
        <v>12263</v>
      </c>
      <c r="C236" s="102" t="s">
        <v>12708</v>
      </c>
      <c r="D236" s="102" t="s">
        <v>12709</v>
      </c>
      <c r="E236" s="102" t="s">
        <v>10250</v>
      </c>
      <c r="F236" s="149">
        <v>2020</v>
      </c>
      <c r="G236" s="128" t="s">
        <v>3359</v>
      </c>
      <c r="H236" s="102" t="s">
        <v>311</v>
      </c>
      <c r="I236" s="102">
        <v>200</v>
      </c>
      <c r="J236" s="102"/>
      <c r="K236" s="149"/>
      <c r="L236" s="105">
        <v>20201118</v>
      </c>
    </row>
    <row r="237" s="146" customFormat="1" ht="16" customHeight="1" spans="1:12">
      <c r="A237" s="132">
        <v>235</v>
      </c>
      <c r="B237" s="102" t="s">
        <v>12263</v>
      </c>
      <c r="C237" s="102" t="s">
        <v>12710</v>
      </c>
      <c r="D237" s="102" t="s">
        <v>12711</v>
      </c>
      <c r="E237" s="102" t="s">
        <v>10250</v>
      </c>
      <c r="F237" s="149">
        <v>2020</v>
      </c>
      <c r="G237" s="128" t="s">
        <v>3359</v>
      </c>
      <c r="H237" s="102" t="s">
        <v>311</v>
      </c>
      <c r="I237" s="102">
        <v>200</v>
      </c>
      <c r="J237" s="102"/>
      <c r="K237" s="149"/>
      <c r="L237" s="105">
        <v>20201118</v>
      </c>
    </row>
    <row r="238" s="146" customFormat="1" ht="16" customHeight="1" spans="1:12">
      <c r="A238" s="132">
        <v>236</v>
      </c>
      <c r="B238" s="102" t="s">
        <v>12263</v>
      </c>
      <c r="C238" s="102" t="s">
        <v>12712</v>
      </c>
      <c r="D238" s="102" t="s">
        <v>12713</v>
      </c>
      <c r="E238" s="102" t="s">
        <v>10250</v>
      </c>
      <c r="F238" s="149">
        <v>2020</v>
      </c>
      <c r="G238" s="128" t="s">
        <v>3359</v>
      </c>
      <c r="H238" s="102" t="s">
        <v>311</v>
      </c>
      <c r="I238" s="102">
        <v>200</v>
      </c>
      <c r="J238" s="102"/>
      <c r="K238" s="149"/>
      <c r="L238" s="105">
        <v>20201118</v>
      </c>
    </row>
    <row r="239" s="146" customFormat="1" ht="16" customHeight="1" spans="1:12">
      <c r="A239" s="132">
        <v>237</v>
      </c>
      <c r="B239" s="102" t="s">
        <v>12263</v>
      </c>
      <c r="C239" s="102" t="s">
        <v>12714</v>
      </c>
      <c r="D239" s="102" t="s">
        <v>12715</v>
      </c>
      <c r="E239" s="102" t="s">
        <v>10250</v>
      </c>
      <c r="F239" s="149">
        <v>2020</v>
      </c>
      <c r="G239" s="128" t="s">
        <v>3359</v>
      </c>
      <c r="H239" s="102" t="s">
        <v>2295</v>
      </c>
      <c r="I239" s="102">
        <v>500</v>
      </c>
      <c r="J239" s="102"/>
      <c r="K239" s="149"/>
      <c r="L239" s="105">
        <v>20201118</v>
      </c>
    </row>
    <row r="240" s="146" customFormat="1" ht="16" customHeight="1" spans="1:12">
      <c r="A240" s="132">
        <v>238</v>
      </c>
      <c r="B240" s="102" t="s">
        <v>12263</v>
      </c>
      <c r="C240" s="102" t="s">
        <v>12716</v>
      </c>
      <c r="D240" s="102" t="s">
        <v>12717</v>
      </c>
      <c r="E240" s="102" t="s">
        <v>10250</v>
      </c>
      <c r="F240" s="149">
        <v>2020</v>
      </c>
      <c r="G240" s="128" t="s">
        <v>3359</v>
      </c>
      <c r="H240" s="102" t="s">
        <v>2295</v>
      </c>
      <c r="I240" s="102">
        <v>500</v>
      </c>
      <c r="J240" s="102"/>
      <c r="K240" s="149"/>
      <c r="L240" s="105">
        <v>20201118</v>
      </c>
    </row>
    <row r="241" s="146" customFormat="1" ht="16" customHeight="1" spans="1:12">
      <c r="A241" s="132">
        <v>239</v>
      </c>
      <c r="B241" s="102" t="s">
        <v>12263</v>
      </c>
      <c r="C241" s="102" t="s">
        <v>12718</v>
      </c>
      <c r="D241" s="102" t="s">
        <v>12719</v>
      </c>
      <c r="E241" s="102" t="s">
        <v>10250</v>
      </c>
      <c r="F241" s="149">
        <v>2020</v>
      </c>
      <c r="G241" s="128" t="s">
        <v>3359</v>
      </c>
      <c r="H241" s="102" t="s">
        <v>311</v>
      </c>
      <c r="I241" s="102">
        <v>200</v>
      </c>
      <c r="J241" s="102"/>
      <c r="K241" s="149"/>
      <c r="L241" s="105">
        <v>20201118</v>
      </c>
    </row>
    <row r="242" s="146" customFormat="1" ht="16" customHeight="1" spans="1:12">
      <c r="A242" s="132">
        <v>240</v>
      </c>
      <c r="B242" s="102" t="s">
        <v>12263</v>
      </c>
      <c r="C242" s="102" t="s">
        <v>12720</v>
      </c>
      <c r="D242" s="102" t="s">
        <v>12721</v>
      </c>
      <c r="E242" s="102" t="s">
        <v>10250</v>
      </c>
      <c r="F242" s="149">
        <v>2020</v>
      </c>
      <c r="G242" s="128" t="s">
        <v>3359</v>
      </c>
      <c r="H242" s="102" t="s">
        <v>311</v>
      </c>
      <c r="I242" s="102">
        <v>200</v>
      </c>
      <c r="J242" s="102"/>
      <c r="K242" s="149"/>
      <c r="L242" s="105">
        <v>20201118</v>
      </c>
    </row>
    <row r="243" s="146" customFormat="1" ht="16" customHeight="1" spans="1:12">
      <c r="A243" s="132">
        <v>241</v>
      </c>
      <c r="B243" s="102" t="s">
        <v>12263</v>
      </c>
      <c r="C243" s="102" t="s">
        <v>12722</v>
      </c>
      <c r="D243" s="102" t="s">
        <v>12723</v>
      </c>
      <c r="E243" s="102" t="s">
        <v>10250</v>
      </c>
      <c r="F243" s="149">
        <v>2020</v>
      </c>
      <c r="G243" s="128" t="s">
        <v>3359</v>
      </c>
      <c r="H243" s="102" t="s">
        <v>311</v>
      </c>
      <c r="I243" s="102">
        <v>200</v>
      </c>
      <c r="J243" s="102"/>
      <c r="K243" s="149"/>
      <c r="L243" s="105">
        <v>20201118</v>
      </c>
    </row>
    <row r="244" s="146" customFormat="1" ht="16" customHeight="1" spans="1:12">
      <c r="A244" s="132">
        <v>242</v>
      </c>
      <c r="B244" s="102" t="s">
        <v>12263</v>
      </c>
      <c r="C244" s="102" t="s">
        <v>12724</v>
      </c>
      <c r="D244" s="102" t="s">
        <v>12725</v>
      </c>
      <c r="E244" s="102" t="s">
        <v>10250</v>
      </c>
      <c r="F244" s="149">
        <v>2020</v>
      </c>
      <c r="G244" s="128" t="s">
        <v>3359</v>
      </c>
      <c r="H244" s="102" t="s">
        <v>311</v>
      </c>
      <c r="I244" s="102">
        <v>200</v>
      </c>
      <c r="J244" s="102"/>
      <c r="K244" s="149"/>
      <c r="L244" s="105">
        <v>20201118</v>
      </c>
    </row>
    <row r="245" s="146" customFormat="1" ht="16" customHeight="1" spans="1:12">
      <c r="A245" s="132">
        <v>243</v>
      </c>
      <c r="B245" s="102" t="s">
        <v>12263</v>
      </c>
      <c r="C245" s="102" t="s">
        <v>12726</v>
      </c>
      <c r="D245" s="102" t="s">
        <v>12727</v>
      </c>
      <c r="E245" s="102" t="s">
        <v>10250</v>
      </c>
      <c r="F245" s="149">
        <v>2020</v>
      </c>
      <c r="G245" s="128" t="s">
        <v>3359</v>
      </c>
      <c r="H245" s="102" t="s">
        <v>311</v>
      </c>
      <c r="I245" s="102">
        <v>200</v>
      </c>
      <c r="J245" s="102"/>
      <c r="K245" s="149"/>
      <c r="L245" s="105">
        <v>20201118</v>
      </c>
    </row>
    <row r="246" s="146" customFormat="1" ht="16" customHeight="1" spans="1:12">
      <c r="A246" s="132">
        <v>244</v>
      </c>
      <c r="B246" s="102" t="s">
        <v>12263</v>
      </c>
      <c r="C246" s="102" t="s">
        <v>12728</v>
      </c>
      <c r="D246" s="102" t="s">
        <v>12729</v>
      </c>
      <c r="E246" s="102" t="s">
        <v>10250</v>
      </c>
      <c r="F246" s="149">
        <v>2020</v>
      </c>
      <c r="G246" s="128" t="s">
        <v>3359</v>
      </c>
      <c r="H246" s="102" t="s">
        <v>311</v>
      </c>
      <c r="I246" s="102">
        <v>200</v>
      </c>
      <c r="J246" s="102"/>
      <c r="K246" s="149"/>
      <c r="L246" s="105">
        <v>20201118</v>
      </c>
    </row>
    <row r="247" s="146" customFormat="1" ht="16" customHeight="1" spans="1:12">
      <c r="A247" s="132">
        <v>245</v>
      </c>
      <c r="B247" s="102" t="s">
        <v>12263</v>
      </c>
      <c r="C247" s="102" t="s">
        <v>12730</v>
      </c>
      <c r="D247" s="102" t="s">
        <v>12731</v>
      </c>
      <c r="E247" s="102" t="s">
        <v>10250</v>
      </c>
      <c r="F247" s="149">
        <v>2020</v>
      </c>
      <c r="G247" s="128" t="s">
        <v>3359</v>
      </c>
      <c r="H247" s="102" t="s">
        <v>311</v>
      </c>
      <c r="I247" s="102">
        <v>200</v>
      </c>
      <c r="J247" s="102"/>
      <c r="K247" s="149"/>
      <c r="L247" s="105">
        <v>20201118</v>
      </c>
    </row>
    <row r="248" s="146" customFormat="1" ht="16" customHeight="1" spans="1:12">
      <c r="A248" s="132">
        <v>246</v>
      </c>
      <c r="B248" s="102" t="s">
        <v>12263</v>
      </c>
      <c r="C248" s="102" t="s">
        <v>12732</v>
      </c>
      <c r="D248" s="102" t="s">
        <v>12733</v>
      </c>
      <c r="E248" s="102" t="s">
        <v>10250</v>
      </c>
      <c r="F248" s="149">
        <v>2020</v>
      </c>
      <c r="G248" s="128" t="s">
        <v>3359</v>
      </c>
      <c r="H248" s="102" t="s">
        <v>311</v>
      </c>
      <c r="I248" s="102">
        <v>200</v>
      </c>
      <c r="J248" s="102"/>
      <c r="K248" s="149"/>
      <c r="L248" s="105">
        <v>20201118</v>
      </c>
    </row>
    <row r="249" s="146" customFormat="1" ht="16" customHeight="1" spans="1:12">
      <c r="A249" s="132">
        <v>247</v>
      </c>
      <c r="B249" s="102" t="s">
        <v>12263</v>
      </c>
      <c r="C249" s="102" t="s">
        <v>12734</v>
      </c>
      <c r="D249" s="102" t="s">
        <v>12735</v>
      </c>
      <c r="E249" s="102" t="s">
        <v>10250</v>
      </c>
      <c r="F249" s="149">
        <v>2020</v>
      </c>
      <c r="G249" s="128" t="s">
        <v>3359</v>
      </c>
      <c r="H249" s="102" t="s">
        <v>311</v>
      </c>
      <c r="I249" s="102">
        <v>200</v>
      </c>
      <c r="J249" s="102"/>
      <c r="K249" s="149"/>
      <c r="L249" s="105">
        <v>20201118</v>
      </c>
    </row>
    <row r="250" s="146" customFormat="1" ht="16" customHeight="1" spans="1:12">
      <c r="A250" s="132">
        <v>248</v>
      </c>
      <c r="B250" s="102" t="s">
        <v>12263</v>
      </c>
      <c r="C250" s="102" t="s">
        <v>11873</v>
      </c>
      <c r="D250" s="102" t="s">
        <v>12736</v>
      </c>
      <c r="E250" s="102" t="s">
        <v>10250</v>
      </c>
      <c r="F250" s="149">
        <v>2020</v>
      </c>
      <c r="G250" s="128" t="s">
        <v>3359</v>
      </c>
      <c r="H250" s="102" t="s">
        <v>311</v>
      </c>
      <c r="I250" s="102">
        <v>200</v>
      </c>
      <c r="J250" s="102"/>
      <c r="K250" s="149"/>
      <c r="L250" s="105">
        <v>20201118</v>
      </c>
    </row>
    <row r="251" s="146" customFormat="1" ht="16" customHeight="1" spans="1:12">
      <c r="A251" s="132">
        <v>249</v>
      </c>
      <c r="B251" s="102" t="s">
        <v>12263</v>
      </c>
      <c r="C251" s="102" t="s">
        <v>12737</v>
      </c>
      <c r="D251" s="102" t="s">
        <v>12738</v>
      </c>
      <c r="E251" s="102" t="s">
        <v>10250</v>
      </c>
      <c r="F251" s="149">
        <v>2020</v>
      </c>
      <c r="G251" s="128" t="s">
        <v>3359</v>
      </c>
      <c r="H251" s="102" t="s">
        <v>311</v>
      </c>
      <c r="I251" s="102">
        <v>200</v>
      </c>
      <c r="J251" s="102"/>
      <c r="K251" s="149"/>
      <c r="L251" s="105">
        <v>20201118</v>
      </c>
    </row>
    <row r="252" s="146" customFormat="1" ht="16" customHeight="1" spans="1:12">
      <c r="A252" s="132">
        <v>250</v>
      </c>
      <c r="B252" s="102" t="s">
        <v>12263</v>
      </c>
      <c r="C252" s="102" t="s">
        <v>12739</v>
      </c>
      <c r="D252" s="102" t="s">
        <v>12740</v>
      </c>
      <c r="E252" s="102" t="s">
        <v>10250</v>
      </c>
      <c r="F252" s="149">
        <v>2020</v>
      </c>
      <c r="G252" s="128" t="s">
        <v>3359</v>
      </c>
      <c r="H252" s="102" t="s">
        <v>311</v>
      </c>
      <c r="I252" s="102">
        <v>200</v>
      </c>
      <c r="J252" s="102"/>
      <c r="K252" s="149"/>
      <c r="L252" s="105">
        <v>20201118</v>
      </c>
    </row>
    <row r="253" s="146" customFormat="1" ht="16" customHeight="1" spans="1:12">
      <c r="A253" s="132">
        <v>251</v>
      </c>
      <c r="B253" s="102" t="s">
        <v>12263</v>
      </c>
      <c r="C253" s="102" t="s">
        <v>3078</v>
      </c>
      <c r="D253" s="102" t="s">
        <v>12741</v>
      </c>
      <c r="E253" s="102" t="s">
        <v>10250</v>
      </c>
      <c r="F253" s="149">
        <v>2020</v>
      </c>
      <c r="G253" s="128" t="s">
        <v>3359</v>
      </c>
      <c r="H253" s="102" t="s">
        <v>311</v>
      </c>
      <c r="I253" s="102">
        <v>200</v>
      </c>
      <c r="J253" s="102"/>
      <c r="K253" s="149"/>
      <c r="L253" s="105">
        <v>20201118</v>
      </c>
    </row>
    <row r="254" s="146" customFormat="1" ht="16" customHeight="1" spans="1:12">
      <c r="A254" s="132">
        <v>252</v>
      </c>
      <c r="B254" s="102" t="s">
        <v>12263</v>
      </c>
      <c r="C254" s="102" t="s">
        <v>12742</v>
      </c>
      <c r="D254" s="102" t="s">
        <v>12743</v>
      </c>
      <c r="E254" s="102" t="s">
        <v>10250</v>
      </c>
      <c r="F254" s="149">
        <v>2020</v>
      </c>
      <c r="G254" s="128" t="s">
        <v>3359</v>
      </c>
      <c r="H254" s="102" t="s">
        <v>311</v>
      </c>
      <c r="I254" s="102">
        <v>200</v>
      </c>
      <c r="J254" s="102"/>
      <c r="K254" s="149"/>
      <c r="L254" s="105">
        <v>20201118</v>
      </c>
    </row>
    <row r="255" s="146" customFormat="1" ht="16" customHeight="1" spans="1:12">
      <c r="A255" s="132">
        <v>253</v>
      </c>
      <c r="B255" s="102" t="s">
        <v>12263</v>
      </c>
      <c r="C255" s="102" t="s">
        <v>12744</v>
      </c>
      <c r="D255" s="102" t="s">
        <v>12745</v>
      </c>
      <c r="E255" s="102" t="s">
        <v>10250</v>
      </c>
      <c r="F255" s="149">
        <v>2020</v>
      </c>
      <c r="G255" s="128" t="s">
        <v>3359</v>
      </c>
      <c r="H255" s="102" t="s">
        <v>311</v>
      </c>
      <c r="I255" s="102">
        <v>200</v>
      </c>
      <c r="J255" s="102" t="s">
        <v>108</v>
      </c>
      <c r="K255" s="149"/>
      <c r="L255" s="105">
        <v>20201118</v>
      </c>
    </row>
    <row r="256" s="146" customFormat="1" ht="16" customHeight="1" spans="1:12">
      <c r="A256" s="132">
        <v>254</v>
      </c>
      <c r="B256" s="102" t="s">
        <v>12263</v>
      </c>
      <c r="C256" s="102" t="s">
        <v>12746</v>
      </c>
      <c r="D256" s="102" t="s">
        <v>12747</v>
      </c>
      <c r="E256" s="102" t="s">
        <v>10250</v>
      </c>
      <c r="F256" s="149">
        <v>2020</v>
      </c>
      <c r="G256" s="128" t="s">
        <v>3359</v>
      </c>
      <c r="H256" s="102" t="s">
        <v>311</v>
      </c>
      <c r="I256" s="102">
        <v>200</v>
      </c>
      <c r="J256" s="102" t="s">
        <v>108</v>
      </c>
      <c r="K256" s="149"/>
      <c r="L256" s="105">
        <v>20201118</v>
      </c>
    </row>
    <row r="257" s="146" customFormat="1" ht="16" customHeight="1" spans="1:12">
      <c r="A257" s="132">
        <v>255</v>
      </c>
      <c r="B257" s="102" t="s">
        <v>12263</v>
      </c>
      <c r="C257" s="102" t="s">
        <v>12748</v>
      </c>
      <c r="D257" s="102" t="s">
        <v>12749</v>
      </c>
      <c r="E257" s="102" t="s">
        <v>10250</v>
      </c>
      <c r="F257" s="149">
        <v>2020</v>
      </c>
      <c r="G257" s="128" t="s">
        <v>3359</v>
      </c>
      <c r="H257" s="102" t="s">
        <v>311</v>
      </c>
      <c r="I257" s="102">
        <v>200</v>
      </c>
      <c r="J257" s="102"/>
      <c r="K257" s="149"/>
      <c r="L257" s="105">
        <v>20201118</v>
      </c>
    </row>
    <row r="258" s="146" customFormat="1" ht="16" customHeight="1" spans="1:12">
      <c r="A258" s="132">
        <v>256</v>
      </c>
      <c r="B258" s="102" t="s">
        <v>12263</v>
      </c>
      <c r="C258" s="102" t="s">
        <v>12750</v>
      </c>
      <c r="D258" s="102" t="s">
        <v>12751</v>
      </c>
      <c r="E258" s="102" t="s">
        <v>10250</v>
      </c>
      <c r="F258" s="149">
        <v>2020</v>
      </c>
      <c r="G258" s="128" t="s">
        <v>3359</v>
      </c>
      <c r="H258" s="102" t="s">
        <v>311</v>
      </c>
      <c r="I258" s="102">
        <v>200</v>
      </c>
      <c r="J258" s="102"/>
      <c r="K258" s="149"/>
      <c r="L258" s="105">
        <v>20201118</v>
      </c>
    </row>
    <row r="259" s="146" customFormat="1" ht="16" customHeight="1" spans="1:12">
      <c r="A259" s="132">
        <v>257</v>
      </c>
      <c r="B259" s="102" t="s">
        <v>12263</v>
      </c>
      <c r="C259" s="102" t="s">
        <v>12752</v>
      </c>
      <c r="D259" s="102" t="s">
        <v>12753</v>
      </c>
      <c r="E259" s="102" t="s">
        <v>10250</v>
      </c>
      <c r="F259" s="149">
        <v>2020</v>
      </c>
      <c r="G259" s="128" t="s">
        <v>3359</v>
      </c>
      <c r="H259" s="102" t="s">
        <v>311</v>
      </c>
      <c r="I259" s="102">
        <v>200</v>
      </c>
      <c r="J259" s="102"/>
      <c r="K259" s="149"/>
      <c r="L259" s="105">
        <v>20201118</v>
      </c>
    </row>
    <row r="260" s="146" customFormat="1" ht="16" customHeight="1" spans="1:12">
      <c r="A260" s="132">
        <v>258</v>
      </c>
      <c r="B260" s="102" t="s">
        <v>12263</v>
      </c>
      <c r="C260" s="102" t="s">
        <v>12754</v>
      </c>
      <c r="D260" s="102" t="s">
        <v>12755</v>
      </c>
      <c r="E260" s="102" t="s">
        <v>10250</v>
      </c>
      <c r="F260" s="149">
        <v>2020</v>
      </c>
      <c r="G260" s="128" t="s">
        <v>3359</v>
      </c>
      <c r="H260" s="102" t="s">
        <v>311</v>
      </c>
      <c r="I260" s="102">
        <v>200</v>
      </c>
      <c r="J260" s="102"/>
      <c r="K260" s="149"/>
      <c r="L260" s="105">
        <v>20201118</v>
      </c>
    </row>
    <row r="261" s="146" customFormat="1" ht="16" customHeight="1" spans="1:12">
      <c r="A261" s="132">
        <v>259</v>
      </c>
      <c r="B261" s="102" t="s">
        <v>12263</v>
      </c>
      <c r="C261" s="102" t="s">
        <v>5734</v>
      </c>
      <c r="D261" s="102" t="s">
        <v>12756</v>
      </c>
      <c r="E261" s="102" t="s">
        <v>10250</v>
      </c>
      <c r="F261" s="149">
        <v>2020</v>
      </c>
      <c r="G261" s="128" t="s">
        <v>3359</v>
      </c>
      <c r="H261" s="102" t="s">
        <v>311</v>
      </c>
      <c r="I261" s="102">
        <v>200</v>
      </c>
      <c r="J261" s="102"/>
      <c r="K261" s="149"/>
      <c r="L261" s="105">
        <v>20201118</v>
      </c>
    </row>
    <row r="262" s="146" customFormat="1" ht="16" customHeight="1" spans="1:12">
      <c r="A262" s="132">
        <v>260</v>
      </c>
      <c r="B262" s="102" t="s">
        <v>12263</v>
      </c>
      <c r="C262" s="102" t="s">
        <v>12757</v>
      </c>
      <c r="D262" s="102" t="s">
        <v>12758</v>
      </c>
      <c r="E262" s="102" t="s">
        <v>10250</v>
      </c>
      <c r="F262" s="149">
        <v>2020</v>
      </c>
      <c r="G262" s="128" t="s">
        <v>3359</v>
      </c>
      <c r="H262" s="102" t="s">
        <v>311</v>
      </c>
      <c r="I262" s="102">
        <v>200</v>
      </c>
      <c r="J262" s="102"/>
      <c r="K262" s="149"/>
      <c r="L262" s="105">
        <v>20201118</v>
      </c>
    </row>
    <row r="263" s="146" customFormat="1" ht="16" customHeight="1" spans="1:12">
      <c r="A263" s="132">
        <v>261</v>
      </c>
      <c r="B263" s="102" t="s">
        <v>12263</v>
      </c>
      <c r="C263" s="102" t="s">
        <v>12759</v>
      </c>
      <c r="D263" s="102" t="s">
        <v>12760</v>
      </c>
      <c r="E263" s="102" t="s">
        <v>10250</v>
      </c>
      <c r="F263" s="149">
        <v>2020</v>
      </c>
      <c r="G263" s="128" t="s">
        <v>3359</v>
      </c>
      <c r="H263" s="102" t="s">
        <v>311</v>
      </c>
      <c r="I263" s="102">
        <v>200</v>
      </c>
      <c r="J263" s="102"/>
      <c r="K263" s="149"/>
      <c r="L263" s="105">
        <v>20201118</v>
      </c>
    </row>
    <row r="264" s="146" customFormat="1" ht="16" customHeight="1" spans="1:12">
      <c r="A264" s="132">
        <v>262</v>
      </c>
      <c r="B264" s="102" t="s">
        <v>12263</v>
      </c>
      <c r="C264" s="102" t="s">
        <v>12761</v>
      </c>
      <c r="D264" s="102" t="s">
        <v>12762</v>
      </c>
      <c r="E264" s="102" t="s">
        <v>10250</v>
      </c>
      <c r="F264" s="149">
        <v>2020</v>
      </c>
      <c r="G264" s="128" t="s">
        <v>3359</v>
      </c>
      <c r="H264" s="102" t="s">
        <v>311</v>
      </c>
      <c r="I264" s="102">
        <v>200</v>
      </c>
      <c r="J264" s="102"/>
      <c r="K264" s="149"/>
      <c r="L264" s="105">
        <v>20201118</v>
      </c>
    </row>
    <row r="265" s="146" customFormat="1" ht="16" customHeight="1" spans="1:12">
      <c r="A265" s="132">
        <v>263</v>
      </c>
      <c r="B265" s="102" t="s">
        <v>12263</v>
      </c>
      <c r="C265" s="102" t="s">
        <v>12763</v>
      </c>
      <c r="D265" s="102" t="s">
        <v>12764</v>
      </c>
      <c r="E265" s="102" t="s">
        <v>10250</v>
      </c>
      <c r="F265" s="149">
        <v>2020</v>
      </c>
      <c r="G265" s="128" t="s">
        <v>3359</v>
      </c>
      <c r="H265" s="102" t="s">
        <v>311</v>
      </c>
      <c r="I265" s="102">
        <v>200</v>
      </c>
      <c r="J265" s="102"/>
      <c r="K265" s="149"/>
      <c r="L265" s="105">
        <v>20201118</v>
      </c>
    </row>
    <row r="266" s="146" customFormat="1" ht="16" customHeight="1" spans="1:12">
      <c r="A266" s="132">
        <v>264</v>
      </c>
      <c r="B266" s="102" t="s">
        <v>12263</v>
      </c>
      <c r="C266" s="102" t="s">
        <v>12765</v>
      </c>
      <c r="D266" s="102" t="s">
        <v>12766</v>
      </c>
      <c r="E266" s="102" t="s">
        <v>10250</v>
      </c>
      <c r="F266" s="149">
        <v>2020</v>
      </c>
      <c r="G266" s="128" t="s">
        <v>3359</v>
      </c>
      <c r="H266" s="102" t="s">
        <v>311</v>
      </c>
      <c r="I266" s="102">
        <v>200</v>
      </c>
      <c r="J266" s="102"/>
      <c r="K266" s="149"/>
      <c r="L266" s="105">
        <v>20201118</v>
      </c>
    </row>
    <row r="267" s="146" customFormat="1" ht="16" customHeight="1" spans="1:12">
      <c r="A267" s="132">
        <v>265</v>
      </c>
      <c r="B267" s="102" t="s">
        <v>12263</v>
      </c>
      <c r="C267" s="102" t="s">
        <v>12767</v>
      </c>
      <c r="D267" s="102" t="s">
        <v>12768</v>
      </c>
      <c r="E267" s="102" t="s">
        <v>10250</v>
      </c>
      <c r="F267" s="149">
        <v>2020</v>
      </c>
      <c r="G267" s="128" t="s">
        <v>3359</v>
      </c>
      <c r="H267" s="102" t="s">
        <v>311</v>
      </c>
      <c r="I267" s="102">
        <v>200</v>
      </c>
      <c r="J267" s="102"/>
      <c r="K267" s="149"/>
      <c r="L267" s="105">
        <v>20201118</v>
      </c>
    </row>
    <row r="268" s="146" customFormat="1" ht="16" customHeight="1" spans="1:12">
      <c r="A268" s="132">
        <v>266</v>
      </c>
      <c r="B268" s="102" t="s">
        <v>12263</v>
      </c>
      <c r="C268" s="102" t="s">
        <v>12769</v>
      </c>
      <c r="D268" s="102" t="s">
        <v>12770</v>
      </c>
      <c r="E268" s="102" t="s">
        <v>10250</v>
      </c>
      <c r="F268" s="149">
        <v>2020</v>
      </c>
      <c r="G268" s="128" t="s">
        <v>3359</v>
      </c>
      <c r="H268" s="102" t="s">
        <v>311</v>
      </c>
      <c r="I268" s="102">
        <v>200</v>
      </c>
      <c r="J268" s="102"/>
      <c r="K268" s="149"/>
      <c r="L268" s="105">
        <v>20201118</v>
      </c>
    </row>
    <row r="269" s="146" customFormat="1" ht="16" customHeight="1" spans="1:12">
      <c r="A269" s="132">
        <v>267</v>
      </c>
      <c r="B269" s="102" t="s">
        <v>12263</v>
      </c>
      <c r="C269" s="102" t="s">
        <v>12771</v>
      </c>
      <c r="D269" s="102" t="s">
        <v>12772</v>
      </c>
      <c r="E269" s="102" t="s">
        <v>10250</v>
      </c>
      <c r="F269" s="149">
        <v>2020</v>
      </c>
      <c r="G269" s="128" t="s">
        <v>3359</v>
      </c>
      <c r="H269" s="102" t="s">
        <v>311</v>
      </c>
      <c r="I269" s="102">
        <v>200</v>
      </c>
      <c r="J269" s="102"/>
      <c r="K269" s="149"/>
      <c r="L269" s="105">
        <v>20201118</v>
      </c>
    </row>
    <row r="270" s="146" customFormat="1" ht="16" customHeight="1" spans="1:12">
      <c r="A270" s="132">
        <v>268</v>
      </c>
      <c r="B270" s="102" t="s">
        <v>12263</v>
      </c>
      <c r="C270" s="102" t="s">
        <v>12773</v>
      </c>
      <c r="D270" s="102" t="s">
        <v>12774</v>
      </c>
      <c r="E270" s="102" t="s">
        <v>10250</v>
      </c>
      <c r="F270" s="149">
        <v>2020</v>
      </c>
      <c r="G270" s="128" t="s">
        <v>3359</v>
      </c>
      <c r="H270" s="102" t="s">
        <v>311</v>
      </c>
      <c r="I270" s="102">
        <v>200</v>
      </c>
      <c r="J270" s="102"/>
      <c r="K270" s="149"/>
      <c r="L270" s="105">
        <v>20201118</v>
      </c>
    </row>
    <row r="271" s="146" customFormat="1" ht="16" customHeight="1" spans="1:12">
      <c r="A271" s="132">
        <v>269</v>
      </c>
      <c r="B271" s="102" t="s">
        <v>12263</v>
      </c>
      <c r="C271" s="102" t="s">
        <v>12775</v>
      </c>
      <c r="D271" s="102" t="s">
        <v>12776</v>
      </c>
      <c r="E271" s="102" t="s">
        <v>10250</v>
      </c>
      <c r="F271" s="149">
        <v>2020</v>
      </c>
      <c r="G271" s="128" t="s">
        <v>3359</v>
      </c>
      <c r="H271" s="102" t="s">
        <v>311</v>
      </c>
      <c r="I271" s="102">
        <v>200</v>
      </c>
      <c r="J271" s="102"/>
      <c r="K271" s="149"/>
      <c r="L271" s="105">
        <v>20201118</v>
      </c>
    </row>
    <row r="272" s="146" customFormat="1" ht="16" customHeight="1" spans="1:12">
      <c r="A272" s="132">
        <v>270</v>
      </c>
      <c r="B272" s="102" t="s">
        <v>12263</v>
      </c>
      <c r="C272" s="102" t="s">
        <v>12777</v>
      </c>
      <c r="D272" s="102" t="s">
        <v>12778</v>
      </c>
      <c r="E272" s="102" t="s">
        <v>10250</v>
      </c>
      <c r="F272" s="149">
        <v>2020</v>
      </c>
      <c r="G272" s="128" t="s">
        <v>3359</v>
      </c>
      <c r="H272" s="102" t="s">
        <v>311</v>
      </c>
      <c r="I272" s="102">
        <v>200</v>
      </c>
      <c r="J272" s="102"/>
      <c r="K272" s="149"/>
      <c r="L272" s="105">
        <v>20201118</v>
      </c>
    </row>
    <row r="273" s="146" customFormat="1" ht="16" customHeight="1" spans="1:12">
      <c r="A273" s="132">
        <v>271</v>
      </c>
      <c r="B273" s="102" t="s">
        <v>12263</v>
      </c>
      <c r="C273" s="102" t="s">
        <v>12537</v>
      </c>
      <c r="D273" s="102" t="s">
        <v>12779</v>
      </c>
      <c r="E273" s="102" t="s">
        <v>10250</v>
      </c>
      <c r="F273" s="149">
        <v>2020</v>
      </c>
      <c r="G273" s="128" t="s">
        <v>3359</v>
      </c>
      <c r="H273" s="102" t="s">
        <v>311</v>
      </c>
      <c r="I273" s="102">
        <v>200</v>
      </c>
      <c r="J273" s="102"/>
      <c r="K273" s="149"/>
      <c r="L273" s="105">
        <v>20201118</v>
      </c>
    </row>
    <row r="274" s="146" customFormat="1" ht="16" customHeight="1" spans="1:12">
      <c r="A274" s="132">
        <v>272</v>
      </c>
      <c r="B274" s="102" t="s">
        <v>12263</v>
      </c>
      <c r="C274" s="102" t="s">
        <v>12780</v>
      </c>
      <c r="D274" s="102" t="s">
        <v>12781</v>
      </c>
      <c r="E274" s="102" t="s">
        <v>10250</v>
      </c>
      <c r="F274" s="149">
        <v>2020</v>
      </c>
      <c r="G274" s="128" t="s">
        <v>3359</v>
      </c>
      <c r="H274" s="102" t="s">
        <v>311</v>
      </c>
      <c r="I274" s="102">
        <v>200</v>
      </c>
      <c r="J274" s="102"/>
      <c r="K274" s="149"/>
      <c r="L274" s="105">
        <v>20201118</v>
      </c>
    </row>
    <row r="275" s="146" customFormat="1" ht="16" customHeight="1" spans="1:12">
      <c r="A275" s="132">
        <v>273</v>
      </c>
      <c r="B275" s="102" t="s">
        <v>12263</v>
      </c>
      <c r="C275" s="102" t="s">
        <v>12782</v>
      </c>
      <c r="D275" s="102" t="s">
        <v>12783</v>
      </c>
      <c r="E275" s="102" t="s">
        <v>10250</v>
      </c>
      <c r="F275" s="149">
        <v>2020</v>
      </c>
      <c r="G275" s="128" t="s">
        <v>3359</v>
      </c>
      <c r="H275" s="102" t="s">
        <v>311</v>
      </c>
      <c r="I275" s="102">
        <v>200</v>
      </c>
      <c r="J275" s="102"/>
      <c r="K275" s="149"/>
      <c r="L275" s="105">
        <v>20201118</v>
      </c>
    </row>
    <row r="276" s="146" customFormat="1" ht="16" customHeight="1" spans="1:12">
      <c r="A276" s="132">
        <v>274</v>
      </c>
      <c r="B276" s="102" t="s">
        <v>12263</v>
      </c>
      <c r="C276" s="102" t="s">
        <v>12784</v>
      </c>
      <c r="D276" s="102" t="s">
        <v>12785</v>
      </c>
      <c r="E276" s="102" t="s">
        <v>10250</v>
      </c>
      <c r="F276" s="149">
        <v>2020</v>
      </c>
      <c r="G276" s="128" t="s">
        <v>3359</v>
      </c>
      <c r="H276" s="102" t="s">
        <v>311</v>
      </c>
      <c r="I276" s="102">
        <v>200</v>
      </c>
      <c r="J276" s="102"/>
      <c r="K276" s="149"/>
      <c r="L276" s="105">
        <v>20201118</v>
      </c>
    </row>
    <row r="277" s="146" customFormat="1" ht="16" customHeight="1" spans="1:12">
      <c r="A277" s="132">
        <v>275</v>
      </c>
      <c r="B277" s="102" t="s">
        <v>12263</v>
      </c>
      <c r="C277" s="102" t="s">
        <v>12786</v>
      </c>
      <c r="D277" s="102" t="s">
        <v>12787</v>
      </c>
      <c r="E277" s="102" t="s">
        <v>10250</v>
      </c>
      <c r="F277" s="149">
        <v>2020</v>
      </c>
      <c r="G277" s="128" t="s">
        <v>3359</v>
      </c>
      <c r="H277" s="102" t="s">
        <v>311</v>
      </c>
      <c r="I277" s="102">
        <v>200</v>
      </c>
      <c r="J277" s="102"/>
      <c r="K277" s="149"/>
      <c r="L277" s="105">
        <v>20201118</v>
      </c>
    </row>
    <row r="278" s="146" customFormat="1" ht="16" customHeight="1" spans="1:12">
      <c r="A278" s="132">
        <v>276</v>
      </c>
      <c r="B278" s="102" t="s">
        <v>12263</v>
      </c>
      <c r="C278" s="102" t="s">
        <v>12788</v>
      </c>
      <c r="D278" s="102" t="s">
        <v>12789</v>
      </c>
      <c r="E278" s="102" t="s">
        <v>10250</v>
      </c>
      <c r="F278" s="149">
        <v>2020</v>
      </c>
      <c r="G278" s="128" t="s">
        <v>3359</v>
      </c>
      <c r="H278" s="102" t="s">
        <v>311</v>
      </c>
      <c r="I278" s="102">
        <v>200</v>
      </c>
      <c r="J278" s="102"/>
      <c r="K278" s="149"/>
      <c r="L278" s="105">
        <v>20201118</v>
      </c>
    </row>
    <row r="279" s="146" customFormat="1" ht="16" customHeight="1" spans="1:12">
      <c r="A279" s="132">
        <v>277</v>
      </c>
      <c r="B279" s="102" t="s">
        <v>12263</v>
      </c>
      <c r="C279" s="102" t="s">
        <v>12790</v>
      </c>
      <c r="D279" s="102" t="s">
        <v>12791</v>
      </c>
      <c r="E279" s="102" t="s">
        <v>10250</v>
      </c>
      <c r="F279" s="149">
        <v>2020</v>
      </c>
      <c r="G279" s="128" t="s">
        <v>3359</v>
      </c>
      <c r="H279" s="102" t="s">
        <v>311</v>
      </c>
      <c r="I279" s="102">
        <v>200</v>
      </c>
      <c r="J279" s="102"/>
      <c r="K279" s="149"/>
      <c r="L279" s="105">
        <v>20201118</v>
      </c>
    </row>
    <row r="280" s="146" customFormat="1" ht="16" customHeight="1" spans="1:12">
      <c r="A280" s="132">
        <v>278</v>
      </c>
      <c r="B280" s="102" t="s">
        <v>12263</v>
      </c>
      <c r="C280" s="102" t="s">
        <v>9085</v>
      </c>
      <c r="D280" s="102" t="s">
        <v>12792</v>
      </c>
      <c r="E280" s="102" t="s">
        <v>10250</v>
      </c>
      <c r="F280" s="149">
        <v>2020</v>
      </c>
      <c r="G280" s="128" t="s">
        <v>3359</v>
      </c>
      <c r="H280" s="102" t="s">
        <v>311</v>
      </c>
      <c r="I280" s="102">
        <v>200</v>
      </c>
      <c r="J280" s="102"/>
      <c r="K280" s="149"/>
      <c r="L280" s="105">
        <v>20201118</v>
      </c>
    </row>
    <row r="281" s="146" customFormat="1" ht="16" customHeight="1" spans="1:12">
      <c r="A281" s="132">
        <v>279</v>
      </c>
      <c r="B281" s="102" t="s">
        <v>12263</v>
      </c>
      <c r="C281" s="102" t="s">
        <v>12793</v>
      </c>
      <c r="D281" s="102" t="s">
        <v>12794</v>
      </c>
      <c r="E281" s="102" t="s">
        <v>10250</v>
      </c>
      <c r="F281" s="149">
        <v>2020</v>
      </c>
      <c r="G281" s="128" t="s">
        <v>3359</v>
      </c>
      <c r="H281" s="102" t="s">
        <v>311</v>
      </c>
      <c r="I281" s="102">
        <v>200</v>
      </c>
      <c r="J281" s="102"/>
      <c r="K281" s="149"/>
      <c r="L281" s="105">
        <v>20201118</v>
      </c>
    </row>
    <row r="282" s="146" customFormat="1" ht="16" customHeight="1" spans="1:12">
      <c r="A282" s="132">
        <v>280</v>
      </c>
      <c r="B282" s="102" t="s">
        <v>12263</v>
      </c>
      <c r="C282" s="102" t="s">
        <v>12795</v>
      </c>
      <c r="D282" s="102" t="s">
        <v>12796</v>
      </c>
      <c r="E282" s="102" t="s">
        <v>10250</v>
      </c>
      <c r="F282" s="149">
        <v>2020</v>
      </c>
      <c r="G282" s="128" t="s">
        <v>3359</v>
      </c>
      <c r="H282" s="102" t="s">
        <v>311</v>
      </c>
      <c r="I282" s="102">
        <v>200</v>
      </c>
      <c r="J282" s="102"/>
      <c r="K282" s="149"/>
      <c r="L282" s="105">
        <v>20201118</v>
      </c>
    </row>
    <row r="283" s="146" customFormat="1" ht="16" customHeight="1" spans="1:12">
      <c r="A283" s="132">
        <v>281</v>
      </c>
      <c r="B283" s="102" t="s">
        <v>12263</v>
      </c>
      <c r="C283" s="102" t="s">
        <v>8695</v>
      </c>
      <c r="D283" s="102" t="s">
        <v>12797</v>
      </c>
      <c r="E283" s="102" t="s">
        <v>10250</v>
      </c>
      <c r="F283" s="149">
        <v>2020</v>
      </c>
      <c r="G283" s="128" t="s">
        <v>3359</v>
      </c>
      <c r="H283" s="102" t="s">
        <v>311</v>
      </c>
      <c r="I283" s="102">
        <v>200</v>
      </c>
      <c r="J283" s="102"/>
      <c r="K283" s="149"/>
      <c r="L283" s="105">
        <v>20201118</v>
      </c>
    </row>
    <row r="284" s="146" customFormat="1" ht="16" customHeight="1" spans="1:12">
      <c r="A284" s="132">
        <v>282</v>
      </c>
      <c r="B284" s="102" t="s">
        <v>12263</v>
      </c>
      <c r="C284" s="102" t="s">
        <v>12798</v>
      </c>
      <c r="D284" s="102" t="s">
        <v>12799</v>
      </c>
      <c r="E284" s="102" t="s">
        <v>10250</v>
      </c>
      <c r="F284" s="149">
        <v>2020</v>
      </c>
      <c r="G284" s="128" t="s">
        <v>3359</v>
      </c>
      <c r="H284" s="102" t="s">
        <v>311</v>
      </c>
      <c r="I284" s="102">
        <v>200</v>
      </c>
      <c r="J284" s="102"/>
      <c r="K284" s="149"/>
      <c r="L284" s="105">
        <v>20201118</v>
      </c>
    </row>
    <row r="285" s="146" customFormat="1" ht="16" customHeight="1" spans="1:12">
      <c r="A285" s="132">
        <v>283</v>
      </c>
      <c r="B285" s="102" t="s">
        <v>12263</v>
      </c>
      <c r="C285" s="102" t="s">
        <v>12800</v>
      </c>
      <c r="D285" s="102" t="s">
        <v>12801</v>
      </c>
      <c r="E285" s="102" t="s">
        <v>10250</v>
      </c>
      <c r="F285" s="149">
        <v>2020</v>
      </c>
      <c r="G285" s="128" t="s">
        <v>3359</v>
      </c>
      <c r="H285" s="102" t="s">
        <v>311</v>
      </c>
      <c r="I285" s="102">
        <v>200</v>
      </c>
      <c r="J285" s="102"/>
      <c r="K285" s="149"/>
      <c r="L285" s="105">
        <v>20201118</v>
      </c>
    </row>
    <row r="286" s="146" customFormat="1" ht="16" customHeight="1" spans="1:12">
      <c r="A286" s="132">
        <v>284</v>
      </c>
      <c r="B286" s="102" t="s">
        <v>12263</v>
      </c>
      <c r="C286" s="102" t="s">
        <v>12802</v>
      </c>
      <c r="D286" s="102" t="s">
        <v>12803</v>
      </c>
      <c r="E286" s="102" t="s">
        <v>10250</v>
      </c>
      <c r="F286" s="149">
        <v>2020</v>
      </c>
      <c r="G286" s="128" t="s">
        <v>3359</v>
      </c>
      <c r="H286" s="102" t="s">
        <v>311</v>
      </c>
      <c r="I286" s="102">
        <v>200</v>
      </c>
      <c r="J286" s="102"/>
      <c r="K286" s="149"/>
      <c r="L286" s="105">
        <v>20201118</v>
      </c>
    </row>
    <row r="287" s="146" customFormat="1" ht="16" customHeight="1" spans="1:12">
      <c r="A287" s="132">
        <v>285</v>
      </c>
      <c r="B287" s="102" t="s">
        <v>12263</v>
      </c>
      <c r="C287" s="102" t="s">
        <v>12804</v>
      </c>
      <c r="D287" s="102" t="s">
        <v>12805</v>
      </c>
      <c r="E287" s="102" t="s">
        <v>10250</v>
      </c>
      <c r="F287" s="149">
        <v>2020</v>
      </c>
      <c r="G287" s="128" t="s">
        <v>3359</v>
      </c>
      <c r="H287" s="102" t="s">
        <v>311</v>
      </c>
      <c r="I287" s="102">
        <v>200</v>
      </c>
      <c r="J287" s="102"/>
      <c r="K287" s="149"/>
      <c r="L287" s="105">
        <v>20201118</v>
      </c>
    </row>
    <row r="288" s="146" customFormat="1" ht="16" customHeight="1" spans="1:12">
      <c r="A288" s="132">
        <v>286</v>
      </c>
      <c r="B288" s="102" t="s">
        <v>12263</v>
      </c>
      <c r="C288" s="102" t="s">
        <v>12806</v>
      </c>
      <c r="D288" s="102" t="s">
        <v>12807</v>
      </c>
      <c r="E288" s="102" t="s">
        <v>10250</v>
      </c>
      <c r="F288" s="149">
        <v>2020</v>
      </c>
      <c r="G288" s="128" t="s">
        <v>3359</v>
      </c>
      <c r="H288" s="102" t="s">
        <v>311</v>
      </c>
      <c r="I288" s="102">
        <v>200</v>
      </c>
      <c r="J288" s="102"/>
      <c r="K288" s="149"/>
      <c r="L288" s="105">
        <v>20201118</v>
      </c>
    </row>
    <row r="289" s="146" customFormat="1" ht="16" customHeight="1" spans="1:12">
      <c r="A289" s="132">
        <v>287</v>
      </c>
      <c r="B289" s="102" t="s">
        <v>12263</v>
      </c>
      <c r="C289" s="102" t="s">
        <v>12808</v>
      </c>
      <c r="D289" s="102" t="s">
        <v>12809</v>
      </c>
      <c r="E289" s="102" t="s">
        <v>10250</v>
      </c>
      <c r="F289" s="149">
        <v>2020</v>
      </c>
      <c r="G289" s="128" t="s">
        <v>3359</v>
      </c>
      <c r="H289" s="102" t="s">
        <v>311</v>
      </c>
      <c r="I289" s="102">
        <v>200</v>
      </c>
      <c r="J289" s="102"/>
      <c r="K289" s="149"/>
      <c r="L289" s="105">
        <v>20201118</v>
      </c>
    </row>
    <row r="290" s="146" customFormat="1" ht="16" customHeight="1" spans="1:12">
      <c r="A290" s="132">
        <v>288</v>
      </c>
      <c r="B290" s="102" t="s">
        <v>12263</v>
      </c>
      <c r="C290" s="102" t="s">
        <v>1369</v>
      </c>
      <c r="D290" s="102" t="s">
        <v>12810</v>
      </c>
      <c r="E290" s="102" t="s">
        <v>10250</v>
      </c>
      <c r="F290" s="149">
        <v>2020</v>
      </c>
      <c r="G290" s="128" t="s">
        <v>3359</v>
      </c>
      <c r="H290" s="102" t="s">
        <v>311</v>
      </c>
      <c r="I290" s="102">
        <v>200</v>
      </c>
      <c r="J290" s="102"/>
      <c r="K290" s="149"/>
      <c r="L290" s="105">
        <v>20201118</v>
      </c>
    </row>
    <row r="291" s="146" customFormat="1" ht="16" customHeight="1" spans="1:12">
      <c r="A291" s="132">
        <v>289</v>
      </c>
      <c r="B291" s="102" t="s">
        <v>12263</v>
      </c>
      <c r="C291" s="102" t="s">
        <v>11397</v>
      </c>
      <c r="D291" s="102" t="s">
        <v>12811</v>
      </c>
      <c r="E291" s="102" t="s">
        <v>10250</v>
      </c>
      <c r="F291" s="149">
        <v>2020</v>
      </c>
      <c r="G291" s="128" t="s">
        <v>3359</v>
      </c>
      <c r="H291" s="102" t="s">
        <v>311</v>
      </c>
      <c r="I291" s="102">
        <v>200</v>
      </c>
      <c r="J291" s="102"/>
      <c r="K291" s="149"/>
      <c r="L291" s="105">
        <v>20201118</v>
      </c>
    </row>
    <row r="292" s="146" customFormat="1" ht="16" customHeight="1" spans="1:12">
      <c r="A292" s="132">
        <v>290</v>
      </c>
      <c r="B292" s="102" t="s">
        <v>12263</v>
      </c>
      <c r="C292" s="102" t="s">
        <v>12812</v>
      </c>
      <c r="D292" s="102" t="s">
        <v>12813</v>
      </c>
      <c r="E292" s="102" t="s">
        <v>10250</v>
      </c>
      <c r="F292" s="149">
        <v>2020</v>
      </c>
      <c r="G292" s="128" t="s">
        <v>3359</v>
      </c>
      <c r="H292" s="102" t="s">
        <v>311</v>
      </c>
      <c r="I292" s="102">
        <v>200</v>
      </c>
      <c r="J292" s="102"/>
      <c r="K292" s="149"/>
      <c r="L292" s="105">
        <v>20201118</v>
      </c>
    </row>
    <row r="293" s="146" customFormat="1" ht="16" customHeight="1" spans="1:12">
      <c r="A293" s="132">
        <v>291</v>
      </c>
      <c r="B293" s="102" t="s">
        <v>12263</v>
      </c>
      <c r="C293" s="102" t="s">
        <v>10833</v>
      </c>
      <c r="D293" s="102" t="s">
        <v>12814</v>
      </c>
      <c r="E293" s="102" t="s">
        <v>10250</v>
      </c>
      <c r="F293" s="149">
        <v>2020</v>
      </c>
      <c r="G293" s="128" t="s">
        <v>3359</v>
      </c>
      <c r="H293" s="102" t="s">
        <v>311</v>
      </c>
      <c r="I293" s="102">
        <v>200</v>
      </c>
      <c r="J293" s="102"/>
      <c r="K293" s="149"/>
      <c r="L293" s="105">
        <v>20201118</v>
      </c>
    </row>
    <row r="294" s="146" customFormat="1" ht="16" customHeight="1" spans="1:12">
      <c r="A294" s="132">
        <v>292</v>
      </c>
      <c r="B294" s="102" t="s">
        <v>12263</v>
      </c>
      <c r="C294" s="102" t="s">
        <v>12815</v>
      </c>
      <c r="D294" s="102" t="s">
        <v>12816</v>
      </c>
      <c r="E294" s="102" t="s">
        <v>10250</v>
      </c>
      <c r="F294" s="149">
        <v>2020</v>
      </c>
      <c r="G294" s="128" t="s">
        <v>3359</v>
      </c>
      <c r="H294" s="102" t="s">
        <v>311</v>
      </c>
      <c r="I294" s="102">
        <v>200</v>
      </c>
      <c r="J294" s="102"/>
      <c r="K294" s="149"/>
      <c r="L294" s="105">
        <v>20201118</v>
      </c>
    </row>
    <row r="295" s="146" customFormat="1" ht="16" customHeight="1" spans="1:12">
      <c r="A295" s="132">
        <v>293</v>
      </c>
      <c r="B295" s="102" t="s">
        <v>12263</v>
      </c>
      <c r="C295" s="102" t="s">
        <v>12817</v>
      </c>
      <c r="D295" s="102" t="s">
        <v>12818</v>
      </c>
      <c r="E295" s="102" t="s">
        <v>10250</v>
      </c>
      <c r="F295" s="149">
        <v>2020</v>
      </c>
      <c r="G295" s="128" t="s">
        <v>3359</v>
      </c>
      <c r="H295" s="102" t="s">
        <v>311</v>
      </c>
      <c r="I295" s="102">
        <v>200</v>
      </c>
      <c r="J295" s="102"/>
      <c r="K295" s="149"/>
      <c r="L295" s="105">
        <v>20201118</v>
      </c>
    </row>
    <row r="296" s="146" customFormat="1" ht="16" customHeight="1" spans="1:12">
      <c r="A296" s="132">
        <v>294</v>
      </c>
      <c r="B296" s="102" t="s">
        <v>12263</v>
      </c>
      <c r="C296" s="102" t="s">
        <v>12819</v>
      </c>
      <c r="D296" s="102" t="s">
        <v>12820</v>
      </c>
      <c r="E296" s="102" t="s">
        <v>10250</v>
      </c>
      <c r="F296" s="149">
        <v>2020</v>
      </c>
      <c r="G296" s="128" t="s">
        <v>3359</v>
      </c>
      <c r="H296" s="102" t="s">
        <v>311</v>
      </c>
      <c r="I296" s="102">
        <v>200</v>
      </c>
      <c r="J296" s="102"/>
      <c r="K296" s="149"/>
      <c r="L296" s="105">
        <v>20201118</v>
      </c>
    </row>
    <row r="297" s="146" customFormat="1" ht="16" customHeight="1" spans="1:12">
      <c r="A297" s="132">
        <v>295</v>
      </c>
      <c r="B297" s="102" t="s">
        <v>12263</v>
      </c>
      <c r="C297" s="102" t="s">
        <v>12821</v>
      </c>
      <c r="D297" s="102" t="s">
        <v>12822</v>
      </c>
      <c r="E297" s="102" t="s">
        <v>10250</v>
      </c>
      <c r="F297" s="149">
        <v>2020</v>
      </c>
      <c r="G297" s="128" t="s">
        <v>3359</v>
      </c>
      <c r="H297" s="102" t="s">
        <v>311</v>
      </c>
      <c r="I297" s="102">
        <v>200</v>
      </c>
      <c r="J297" s="102"/>
      <c r="K297" s="149"/>
      <c r="L297" s="105">
        <v>20201118</v>
      </c>
    </row>
    <row r="298" s="146" customFormat="1" ht="16" customHeight="1" spans="1:12">
      <c r="A298" s="132">
        <v>296</v>
      </c>
      <c r="B298" s="102" t="s">
        <v>12263</v>
      </c>
      <c r="C298" s="102" t="s">
        <v>12823</v>
      </c>
      <c r="D298" s="102" t="s">
        <v>12824</v>
      </c>
      <c r="E298" s="102" t="s">
        <v>10250</v>
      </c>
      <c r="F298" s="149">
        <v>2020</v>
      </c>
      <c r="G298" s="128" t="s">
        <v>3359</v>
      </c>
      <c r="H298" s="102" t="s">
        <v>311</v>
      </c>
      <c r="I298" s="102">
        <v>200</v>
      </c>
      <c r="J298" s="102"/>
      <c r="K298" s="149"/>
      <c r="L298" s="105">
        <v>20201118</v>
      </c>
    </row>
    <row r="299" s="146" customFormat="1" ht="16" customHeight="1" spans="1:12">
      <c r="A299" s="132">
        <v>297</v>
      </c>
      <c r="B299" s="102" t="s">
        <v>12263</v>
      </c>
      <c r="C299" s="102" t="s">
        <v>12825</v>
      </c>
      <c r="D299" s="102" t="s">
        <v>12826</v>
      </c>
      <c r="E299" s="102" t="s">
        <v>10250</v>
      </c>
      <c r="F299" s="149">
        <v>2020</v>
      </c>
      <c r="G299" s="128" t="s">
        <v>3359</v>
      </c>
      <c r="H299" s="102" t="s">
        <v>311</v>
      </c>
      <c r="I299" s="102">
        <v>200</v>
      </c>
      <c r="J299" s="102"/>
      <c r="K299" s="149"/>
      <c r="L299" s="105">
        <v>20201118</v>
      </c>
    </row>
    <row r="300" s="146" customFormat="1" ht="16" customHeight="1" spans="1:12">
      <c r="A300" s="132">
        <v>298</v>
      </c>
      <c r="B300" s="102" t="s">
        <v>12263</v>
      </c>
      <c r="C300" s="102" t="s">
        <v>12827</v>
      </c>
      <c r="D300" s="102" t="s">
        <v>12828</v>
      </c>
      <c r="E300" s="102" t="s">
        <v>10250</v>
      </c>
      <c r="F300" s="149">
        <v>2020</v>
      </c>
      <c r="G300" s="128" t="s">
        <v>3359</v>
      </c>
      <c r="H300" s="102" t="s">
        <v>311</v>
      </c>
      <c r="I300" s="102">
        <v>200</v>
      </c>
      <c r="J300" s="102"/>
      <c r="K300" s="149"/>
      <c r="L300" s="105">
        <v>20201118</v>
      </c>
    </row>
    <row r="301" s="146" customFormat="1" ht="16" customHeight="1" spans="1:12">
      <c r="A301" s="132">
        <v>299</v>
      </c>
      <c r="B301" s="102" t="s">
        <v>12263</v>
      </c>
      <c r="C301" s="102" t="s">
        <v>12829</v>
      </c>
      <c r="D301" s="102" t="s">
        <v>12830</v>
      </c>
      <c r="E301" s="102" t="s">
        <v>10250</v>
      </c>
      <c r="F301" s="149">
        <v>2020</v>
      </c>
      <c r="G301" s="128" t="s">
        <v>3359</v>
      </c>
      <c r="H301" s="102" t="s">
        <v>311</v>
      </c>
      <c r="I301" s="102">
        <v>200</v>
      </c>
      <c r="J301" s="102"/>
      <c r="K301" s="149"/>
      <c r="L301" s="105">
        <v>20201118</v>
      </c>
    </row>
    <row r="302" s="146" customFormat="1" ht="16" customHeight="1" spans="1:12">
      <c r="A302" s="132">
        <v>300</v>
      </c>
      <c r="B302" s="102" t="s">
        <v>12263</v>
      </c>
      <c r="C302" s="102" t="s">
        <v>12831</v>
      </c>
      <c r="D302" s="102" t="s">
        <v>12832</v>
      </c>
      <c r="E302" s="102" t="s">
        <v>10250</v>
      </c>
      <c r="F302" s="149">
        <v>2020</v>
      </c>
      <c r="G302" s="128" t="s">
        <v>3359</v>
      </c>
      <c r="H302" s="102" t="s">
        <v>311</v>
      </c>
      <c r="I302" s="102">
        <v>200</v>
      </c>
      <c r="J302" s="102"/>
      <c r="K302" s="149"/>
      <c r="L302" s="105">
        <v>20201118</v>
      </c>
    </row>
    <row r="303" s="146" customFormat="1" ht="16" customHeight="1" spans="1:12">
      <c r="A303" s="132">
        <v>301</v>
      </c>
      <c r="B303" s="102" t="s">
        <v>12263</v>
      </c>
      <c r="C303" s="102" t="s">
        <v>12833</v>
      </c>
      <c r="D303" s="102" t="s">
        <v>12834</v>
      </c>
      <c r="E303" s="102" t="s">
        <v>10250</v>
      </c>
      <c r="F303" s="149">
        <v>2020</v>
      </c>
      <c r="G303" s="128" t="s">
        <v>3359</v>
      </c>
      <c r="H303" s="102" t="s">
        <v>2295</v>
      </c>
      <c r="I303" s="102">
        <v>500</v>
      </c>
      <c r="J303" s="102"/>
      <c r="K303" s="149"/>
      <c r="L303" s="105">
        <v>20201118</v>
      </c>
    </row>
    <row r="304" s="146" customFormat="1" ht="16" customHeight="1" spans="1:12">
      <c r="A304" s="132">
        <v>302</v>
      </c>
      <c r="B304" s="102" t="s">
        <v>12263</v>
      </c>
      <c r="C304" s="102" t="s">
        <v>12835</v>
      </c>
      <c r="D304" s="102" t="s">
        <v>12836</v>
      </c>
      <c r="E304" s="102" t="s">
        <v>10250</v>
      </c>
      <c r="F304" s="149">
        <v>2020</v>
      </c>
      <c r="G304" s="128" t="s">
        <v>3359</v>
      </c>
      <c r="H304" s="102" t="s">
        <v>2295</v>
      </c>
      <c r="I304" s="102">
        <v>500</v>
      </c>
      <c r="J304" s="102"/>
      <c r="K304" s="149"/>
      <c r="L304" s="105">
        <v>20201118</v>
      </c>
    </row>
    <row r="305" s="146" customFormat="1" ht="16" customHeight="1" spans="1:12">
      <c r="A305" s="132">
        <v>303</v>
      </c>
      <c r="B305" s="102" t="s">
        <v>12263</v>
      </c>
      <c r="C305" s="102" t="s">
        <v>12837</v>
      </c>
      <c r="D305" s="102" t="s">
        <v>12838</v>
      </c>
      <c r="E305" s="102" t="s">
        <v>10250</v>
      </c>
      <c r="F305" s="149">
        <v>2020</v>
      </c>
      <c r="G305" s="128" t="s">
        <v>3359</v>
      </c>
      <c r="H305" s="102" t="s">
        <v>311</v>
      </c>
      <c r="I305" s="102">
        <v>200</v>
      </c>
      <c r="J305" s="102"/>
      <c r="K305" s="149"/>
      <c r="L305" s="105">
        <v>20201118</v>
      </c>
    </row>
    <row r="306" s="146" customFormat="1" ht="16" customHeight="1" spans="1:12">
      <c r="A306" s="132">
        <v>304</v>
      </c>
      <c r="B306" s="102" t="s">
        <v>12263</v>
      </c>
      <c r="C306" s="102" t="s">
        <v>12839</v>
      </c>
      <c r="D306" s="102" t="s">
        <v>12840</v>
      </c>
      <c r="E306" s="102" t="s">
        <v>10250</v>
      </c>
      <c r="F306" s="149">
        <v>2020</v>
      </c>
      <c r="G306" s="128" t="s">
        <v>3359</v>
      </c>
      <c r="H306" s="102">
        <v>300</v>
      </c>
      <c r="I306" s="102">
        <v>300</v>
      </c>
      <c r="J306" s="102"/>
      <c r="K306" s="149"/>
      <c r="L306" s="105">
        <v>20201118</v>
      </c>
    </row>
    <row r="307" s="146" customFormat="1" ht="16" customHeight="1" spans="1:12">
      <c r="A307" s="132">
        <v>305</v>
      </c>
      <c r="B307" s="102" t="s">
        <v>12263</v>
      </c>
      <c r="C307" s="102" t="s">
        <v>12841</v>
      </c>
      <c r="D307" s="102" t="s">
        <v>12842</v>
      </c>
      <c r="E307" s="102" t="s">
        <v>10250</v>
      </c>
      <c r="F307" s="149">
        <v>2020</v>
      </c>
      <c r="G307" s="128" t="s">
        <v>3359</v>
      </c>
      <c r="H307" s="102">
        <v>300</v>
      </c>
      <c r="I307" s="102">
        <v>300</v>
      </c>
      <c r="J307" s="102"/>
      <c r="K307" s="149"/>
      <c r="L307" s="105">
        <v>20201118</v>
      </c>
    </row>
    <row r="308" s="146" customFormat="1" ht="16" customHeight="1" spans="1:12">
      <c r="A308" s="132">
        <v>306</v>
      </c>
      <c r="B308" s="102" t="s">
        <v>12263</v>
      </c>
      <c r="C308" s="102" t="s">
        <v>12843</v>
      </c>
      <c r="D308" s="102" t="s">
        <v>12844</v>
      </c>
      <c r="E308" s="102" t="s">
        <v>10250</v>
      </c>
      <c r="F308" s="149">
        <v>2020</v>
      </c>
      <c r="G308" s="128" t="s">
        <v>3359</v>
      </c>
      <c r="H308" s="102">
        <v>300</v>
      </c>
      <c r="I308" s="102">
        <v>300</v>
      </c>
      <c r="J308" s="102"/>
      <c r="K308" s="149"/>
      <c r="L308" s="105">
        <v>20201118</v>
      </c>
    </row>
    <row r="309" s="146" customFormat="1" ht="16" customHeight="1" spans="1:12">
      <c r="A309" s="132">
        <v>307</v>
      </c>
      <c r="B309" s="102" t="s">
        <v>12263</v>
      </c>
      <c r="C309" s="102" t="s">
        <v>754</v>
      </c>
      <c r="D309" s="102" t="s">
        <v>12845</v>
      </c>
      <c r="E309" s="102" t="s">
        <v>10250</v>
      </c>
      <c r="F309" s="149">
        <v>2020</v>
      </c>
      <c r="G309" s="128" t="s">
        <v>3359</v>
      </c>
      <c r="H309" s="102">
        <v>200</v>
      </c>
      <c r="I309" s="102">
        <v>200</v>
      </c>
      <c r="J309" s="102"/>
      <c r="K309" s="149"/>
      <c r="L309" s="105">
        <v>20201118</v>
      </c>
    </row>
    <row r="310" s="146" customFormat="1" ht="16" customHeight="1" spans="1:12">
      <c r="A310" s="132">
        <v>308</v>
      </c>
      <c r="B310" s="102" t="s">
        <v>12263</v>
      </c>
      <c r="C310" s="102" t="s">
        <v>12846</v>
      </c>
      <c r="D310" s="102" t="s">
        <v>12847</v>
      </c>
      <c r="E310" s="102" t="s">
        <v>10250</v>
      </c>
      <c r="F310" s="149">
        <v>2020</v>
      </c>
      <c r="G310" s="128" t="s">
        <v>3359</v>
      </c>
      <c r="H310" s="102">
        <v>200</v>
      </c>
      <c r="I310" s="102">
        <v>200</v>
      </c>
      <c r="J310" s="102"/>
      <c r="K310" s="149"/>
      <c r="L310" s="105">
        <v>20201118</v>
      </c>
    </row>
    <row r="311" s="146" customFormat="1" ht="16" customHeight="1" spans="1:12">
      <c r="A311" s="132">
        <v>309</v>
      </c>
      <c r="B311" s="102" t="s">
        <v>12263</v>
      </c>
      <c r="C311" s="102" t="s">
        <v>12848</v>
      </c>
      <c r="D311" s="102" t="s">
        <v>12849</v>
      </c>
      <c r="E311" s="102" t="s">
        <v>10250</v>
      </c>
      <c r="F311" s="149">
        <v>2020</v>
      </c>
      <c r="G311" s="128" t="s">
        <v>3359</v>
      </c>
      <c r="H311" s="102">
        <v>200</v>
      </c>
      <c r="I311" s="102">
        <v>200</v>
      </c>
      <c r="J311" s="102"/>
      <c r="K311" s="149"/>
      <c r="L311" s="105">
        <v>20201118</v>
      </c>
    </row>
    <row r="312" s="146" customFormat="1" ht="16" customHeight="1" spans="1:12">
      <c r="A312" s="132">
        <v>310</v>
      </c>
      <c r="B312" s="102" t="s">
        <v>12263</v>
      </c>
      <c r="C312" s="102" t="s">
        <v>12850</v>
      </c>
      <c r="D312" s="102" t="s">
        <v>12851</v>
      </c>
      <c r="E312" s="102" t="s">
        <v>10250</v>
      </c>
      <c r="F312" s="149">
        <v>2020</v>
      </c>
      <c r="G312" s="128" t="s">
        <v>3359</v>
      </c>
      <c r="H312" s="102">
        <v>200</v>
      </c>
      <c r="I312" s="102">
        <v>200</v>
      </c>
      <c r="J312" s="102"/>
      <c r="K312" s="149"/>
      <c r="L312" s="105">
        <v>20201118</v>
      </c>
    </row>
    <row r="313" s="146" customFormat="1" ht="16" customHeight="1" spans="1:12">
      <c r="A313" s="132">
        <v>311</v>
      </c>
      <c r="B313" s="102" t="s">
        <v>12263</v>
      </c>
      <c r="C313" s="102" t="s">
        <v>12852</v>
      </c>
      <c r="D313" s="102" t="s">
        <v>12853</v>
      </c>
      <c r="E313" s="102" t="s">
        <v>10250</v>
      </c>
      <c r="F313" s="149">
        <v>2020</v>
      </c>
      <c r="G313" s="128" t="s">
        <v>3359</v>
      </c>
      <c r="H313" s="102">
        <v>200</v>
      </c>
      <c r="I313" s="102">
        <v>200</v>
      </c>
      <c r="J313" s="102"/>
      <c r="K313" s="149"/>
      <c r="L313" s="105">
        <v>20201118</v>
      </c>
    </row>
    <row r="314" s="146" customFormat="1" ht="16" customHeight="1" spans="1:12">
      <c r="A314" s="132">
        <v>312</v>
      </c>
      <c r="B314" s="102" t="s">
        <v>12263</v>
      </c>
      <c r="C314" s="102" t="s">
        <v>12854</v>
      </c>
      <c r="D314" s="102" t="s">
        <v>12855</v>
      </c>
      <c r="E314" s="102" t="s">
        <v>10250</v>
      </c>
      <c r="F314" s="149">
        <v>2020</v>
      </c>
      <c r="G314" s="128" t="s">
        <v>3359</v>
      </c>
      <c r="H314" s="102">
        <v>500</v>
      </c>
      <c r="I314" s="102">
        <v>500</v>
      </c>
      <c r="J314" s="102"/>
      <c r="K314" s="149"/>
      <c r="L314" s="105">
        <v>20201118</v>
      </c>
    </row>
    <row r="315" s="146" customFormat="1" ht="16" customHeight="1" spans="1:12">
      <c r="A315" s="132">
        <v>313</v>
      </c>
      <c r="B315" s="102" t="s">
        <v>12263</v>
      </c>
      <c r="C315" s="102" t="s">
        <v>12856</v>
      </c>
      <c r="D315" s="102" t="s">
        <v>12857</v>
      </c>
      <c r="E315" s="102" t="s">
        <v>10250</v>
      </c>
      <c r="F315" s="149">
        <v>2020</v>
      </c>
      <c r="G315" s="128" t="s">
        <v>3359</v>
      </c>
      <c r="H315" s="102">
        <v>200</v>
      </c>
      <c r="I315" s="102">
        <v>200</v>
      </c>
      <c r="J315" s="102"/>
      <c r="K315" s="149"/>
      <c r="L315" s="105">
        <v>20201118</v>
      </c>
    </row>
    <row r="316" s="146" customFormat="1" ht="16" customHeight="1" spans="1:12">
      <c r="A316" s="132">
        <v>314</v>
      </c>
      <c r="B316" s="102" t="s">
        <v>12263</v>
      </c>
      <c r="C316" s="102" t="s">
        <v>7867</v>
      </c>
      <c r="D316" s="102" t="s">
        <v>12858</v>
      </c>
      <c r="E316" s="102" t="s">
        <v>10250</v>
      </c>
      <c r="F316" s="149">
        <v>2020</v>
      </c>
      <c r="G316" s="128" t="s">
        <v>3359</v>
      </c>
      <c r="H316" s="102">
        <v>200</v>
      </c>
      <c r="I316" s="102">
        <v>200</v>
      </c>
      <c r="J316" s="102"/>
      <c r="K316" s="149"/>
      <c r="L316" s="105">
        <v>20201118</v>
      </c>
    </row>
    <row r="317" s="146" customFormat="1" ht="16" customHeight="1" spans="1:12">
      <c r="A317" s="132">
        <v>315</v>
      </c>
      <c r="B317" s="102" t="s">
        <v>12263</v>
      </c>
      <c r="C317" s="102" t="s">
        <v>12859</v>
      </c>
      <c r="D317" s="102" t="s">
        <v>12860</v>
      </c>
      <c r="E317" s="102" t="s">
        <v>10250</v>
      </c>
      <c r="F317" s="149">
        <v>2020</v>
      </c>
      <c r="G317" s="128" t="s">
        <v>3359</v>
      </c>
      <c r="H317" s="102">
        <v>200</v>
      </c>
      <c r="I317" s="102">
        <v>200</v>
      </c>
      <c r="J317" s="102"/>
      <c r="K317" s="149"/>
      <c r="L317" s="105">
        <v>20201118</v>
      </c>
    </row>
    <row r="318" s="146" customFormat="1" ht="16" customHeight="1" spans="1:12">
      <c r="A318" s="132">
        <v>316</v>
      </c>
      <c r="B318" s="102" t="s">
        <v>12263</v>
      </c>
      <c r="C318" s="102" t="s">
        <v>12861</v>
      </c>
      <c r="D318" s="102" t="s">
        <v>12862</v>
      </c>
      <c r="E318" s="102" t="s">
        <v>10250</v>
      </c>
      <c r="F318" s="149">
        <v>2020</v>
      </c>
      <c r="G318" s="128" t="s">
        <v>3359</v>
      </c>
      <c r="H318" s="102">
        <v>200</v>
      </c>
      <c r="I318" s="102">
        <v>200</v>
      </c>
      <c r="J318" s="102"/>
      <c r="K318" s="149"/>
      <c r="L318" s="105">
        <v>20201118</v>
      </c>
    </row>
    <row r="319" s="146" customFormat="1" ht="16" customHeight="1" spans="1:12">
      <c r="A319" s="132">
        <v>317</v>
      </c>
      <c r="B319" s="102" t="s">
        <v>12263</v>
      </c>
      <c r="C319" s="102" t="s">
        <v>12863</v>
      </c>
      <c r="D319" s="102" t="s">
        <v>12864</v>
      </c>
      <c r="E319" s="102" t="s">
        <v>10250</v>
      </c>
      <c r="F319" s="149">
        <v>2020</v>
      </c>
      <c r="G319" s="128" t="s">
        <v>3359</v>
      </c>
      <c r="H319" s="102">
        <v>200</v>
      </c>
      <c r="I319" s="102">
        <v>200</v>
      </c>
      <c r="J319" s="102"/>
      <c r="K319" s="149"/>
      <c r="L319" s="105">
        <v>20201118</v>
      </c>
    </row>
    <row r="320" s="146" customFormat="1" ht="16" customHeight="1" spans="1:12">
      <c r="A320" s="132">
        <v>318</v>
      </c>
      <c r="B320" s="102" t="s">
        <v>12263</v>
      </c>
      <c r="C320" s="102" t="s">
        <v>12865</v>
      </c>
      <c r="D320" s="102" t="s">
        <v>12866</v>
      </c>
      <c r="E320" s="102" t="s">
        <v>10250</v>
      </c>
      <c r="F320" s="149">
        <v>2020</v>
      </c>
      <c r="G320" s="128" t="s">
        <v>3359</v>
      </c>
      <c r="H320" s="102">
        <v>200</v>
      </c>
      <c r="I320" s="102">
        <v>200</v>
      </c>
      <c r="J320" s="102"/>
      <c r="K320" s="149"/>
      <c r="L320" s="105">
        <v>20201118</v>
      </c>
    </row>
    <row r="321" s="146" customFormat="1" ht="16" customHeight="1" spans="1:12">
      <c r="A321" s="132">
        <v>319</v>
      </c>
      <c r="B321" s="102" t="s">
        <v>12263</v>
      </c>
      <c r="C321" s="102" t="s">
        <v>12867</v>
      </c>
      <c r="D321" s="102" t="s">
        <v>12868</v>
      </c>
      <c r="E321" s="102" t="s">
        <v>10250</v>
      </c>
      <c r="F321" s="149">
        <v>2020</v>
      </c>
      <c r="G321" s="128" t="s">
        <v>3359</v>
      </c>
      <c r="H321" s="102">
        <v>200</v>
      </c>
      <c r="I321" s="102">
        <v>200</v>
      </c>
      <c r="J321" s="102"/>
      <c r="K321" s="149"/>
      <c r="L321" s="105">
        <v>20201118</v>
      </c>
    </row>
    <row r="322" s="146" customFormat="1" ht="16" customHeight="1" spans="1:12">
      <c r="A322" s="132">
        <v>320</v>
      </c>
      <c r="B322" s="102" t="s">
        <v>12263</v>
      </c>
      <c r="C322" s="102" t="s">
        <v>12869</v>
      </c>
      <c r="D322" s="102" t="s">
        <v>12870</v>
      </c>
      <c r="E322" s="102" t="s">
        <v>10250</v>
      </c>
      <c r="F322" s="149">
        <v>2020</v>
      </c>
      <c r="G322" s="128" t="s">
        <v>3359</v>
      </c>
      <c r="H322" s="102">
        <v>200</v>
      </c>
      <c r="I322" s="102">
        <v>200</v>
      </c>
      <c r="J322" s="102"/>
      <c r="K322" s="149"/>
      <c r="L322" s="105">
        <v>20201118</v>
      </c>
    </row>
    <row r="323" s="146" customFormat="1" ht="16" customHeight="1" spans="1:12">
      <c r="A323" s="132">
        <v>321</v>
      </c>
      <c r="B323" s="102" t="s">
        <v>12263</v>
      </c>
      <c r="C323" s="102" t="s">
        <v>12871</v>
      </c>
      <c r="D323" s="102" t="s">
        <v>12872</v>
      </c>
      <c r="E323" s="102" t="s">
        <v>10250</v>
      </c>
      <c r="F323" s="149">
        <v>2020</v>
      </c>
      <c r="G323" s="128" t="s">
        <v>3359</v>
      </c>
      <c r="H323" s="102">
        <v>500</v>
      </c>
      <c r="I323" s="102">
        <v>500</v>
      </c>
      <c r="J323" s="102"/>
      <c r="K323" s="149"/>
      <c r="L323" s="105">
        <v>20201118</v>
      </c>
    </row>
    <row r="324" s="146" customFormat="1" ht="16" customHeight="1" spans="1:12">
      <c r="A324" s="132">
        <v>322</v>
      </c>
      <c r="B324" s="102" t="s">
        <v>12263</v>
      </c>
      <c r="C324" s="102" t="s">
        <v>12873</v>
      </c>
      <c r="D324" s="102" t="s">
        <v>12874</v>
      </c>
      <c r="E324" s="102" t="s">
        <v>10250</v>
      </c>
      <c r="F324" s="149">
        <v>2020</v>
      </c>
      <c r="G324" s="128" t="s">
        <v>3359</v>
      </c>
      <c r="H324" s="102">
        <v>200</v>
      </c>
      <c r="I324" s="102">
        <v>200</v>
      </c>
      <c r="J324" s="102"/>
      <c r="K324" s="149"/>
      <c r="L324" s="105">
        <v>20201118</v>
      </c>
    </row>
    <row r="325" s="146" customFormat="1" ht="16" customHeight="1" spans="1:12">
      <c r="A325" s="132">
        <v>323</v>
      </c>
      <c r="B325" s="102" t="s">
        <v>12263</v>
      </c>
      <c r="C325" s="102" t="s">
        <v>12875</v>
      </c>
      <c r="D325" s="102" t="s">
        <v>12876</v>
      </c>
      <c r="E325" s="102" t="s">
        <v>10250</v>
      </c>
      <c r="F325" s="149">
        <v>2020</v>
      </c>
      <c r="G325" s="128" t="s">
        <v>3359</v>
      </c>
      <c r="H325" s="102">
        <v>200</v>
      </c>
      <c r="I325" s="102">
        <v>200</v>
      </c>
      <c r="J325" s="102"/>
      <c r="K325" s="149"/>
      <c r="L325" s="105">
        <v>20201118</v>
      </c>
    </row>
    <row r="326" s="146" customFormat="1" ht="16" customHeight="1" spans="1:12">
      <c r="A326" s="132">
        <v>324</v>
      </c>
      <c r="B326" s="102" t="s">
        <v>12263</v>
      </c>
      <c r="C326" s="102" t="s">
        <v>12877</v>
      </c>
      <c r="D326" s="102" t="s">
        <v>12878</v>
      </c>
      <c r="E326" s="102" t="s">
        <v>10250</v>
      </c>
      <c r="F326" s="149">
        <v>2020</v>
      </c>
      <c r="G326" s="128" t="s">
        <v>3359</v>
      </c>
      <c r="H326" s="102">
        <v>200</v>
      </c>
      <c r="I326" s="102">
        <v>200</v>
      </c>
      <c r="J326" s="102"/>
      <c r="K326" s="149"/>
      <c r="L326" s="105">
        <v>20201118</v>
      </c>
    </row>
    <row r="327" s="146" customFormat="1" ht="16" customHeight="1" spans="1:12">
      <c r="A327" s="132">
        <v>325</v>
      </c>
      <c r="B327" s="102" t="s">
        <v>12263</v>
      </c>
      <c r="C327" s="102" t="s">
        <v>12879</v>
      </c>
      <c r="D327" s="102" t="s">
        <v>12880</v>
      </c>
      <c r="E327" s="102" t="s">
        <v>10250</v>
      </c>
      <c r="F327" s="149">
        <v>2020</v>
      </c>
      <c r="G327" s="128" t="s">
        <v>3359</v>
      </c>
      <c r="H327" s="102">
        <v>200</v>
      </c>
      <c r="I327" s="102">
        <v>200</v>
      </c>
      <c r="J327" s="102"/>
      <c r="K327" s="149"/>
      <c r="L327" s="105">
        <v>20201118</v>
      </c>
    </row>
    <row r="328" s="146" customFormat="1" ht="16" customHeight="1" spans="1:12">
      <c r="A328" s="132">
        <v>326</v>
      </c>
      <c r="B328" s="102" t="s">
        <v>12263</v>
      </c>
      <c r="C328" s="102" t="s">
        <v>12881</v>
      </c>
      <c r="D328" s="102" t="s">
        <v>12882</v>
      </c>
      <c r="E328" s="102" t="s">
        <v>10250</v>
      </c>
      <c r="F328" s="149">
        <v>2020</v>
      </c>
      <c r="G328" s="128" t="s">
        <v>3359</v>
      </c>
      <c r="H328" s="102">
        <v>200</v>
      </c>
      <c r="I328" s="102">
        <v>200</v>
      </c>
      <c r="J328" s="102"/>
      <c r="K328" s="149"/>
      <c r="L328" s="105">
        <v>20201118</v>
      </c>
    </row>
    <row r="329" s="146" customFormat="1" ht="16" customHeight="1" spans="1:12">
      <c r="A329" s="132">
        <v>327</v>
      </c>
      <c r="B329" s="102" t="s">
        <v>12263</v>
      </c>
      <c r="C329" s="102" t="s">
        <v>12883</v>
      </c>
      <c r="D329" s="102" t="s">
        <v>12884</v>
      </c>
      <c r="E329" s="102" t="s">
        <v>10250</v>
      </c>
      <c r="F329" s="149">
        <v>2020</v>
      </c>
      <c r="G329" s="128" t="s">
        <v>3359</v>
      </c>
      <c r="H329" s="102">
        <v>500</v>
      </c>
      <c r="I329" s="102">
        <v>500</v>
      </c>
      <c r="J329" s="102"/>
      <c r="K329" s="149"/>
      <c r="L329" s="105">
        <v>20201118</v>
      </c>
    </row>
    <row r="330" s="146" customFormat="1" ht="16" customHeight="1" spans="1:12">
      <c r="A330" s="132">
        <v>328</v>
      </c>
      <c r="B330" s="102" t="s">
        <v>12263</v>
      </c>
      <c r="C330" s="102" t="s">
        <v>12885</v>
      </c>
      <c r="D330" s="102" t="s">
        <v>12886</v>
      </c>
      <c r="E330" s="102" t="s">
        <v>10250</v>
      </c>
      <c r="F330" s="149">
        <v>2020</v>
      </c>
      <c r="G330" s="128" t="s">
        <v>3359</v>
      </c>
      <c r="H330" s="102">
        <v>500</v>
      </c>
      <c r="I330" s="102">
        <v>500</v>
      </c>
      <c r="J330" s="102"/>
      <c r="K330" s="149"/>
      <c r="L330" s="105">
        <v>20201118</v>
      </c>
    </row>
    <row r="331" s="146" customFormat="1" ht="16" customHeight="1" spans="1:12">
      <c r="A331" s="132">
        <v>329</v>
      </c>
      <c r="B331" s="102" t="s">
        <v>12263</v>
      </c>
      <c r="C331" s="102" t="s">
        <v>12887</v>
      </c>
      <c r="D331" s="102" t="s">
        <v>12888</v>
      </c>
      <c r="E331" s="102" t="s">
        <v>10250</v>
      </c>
      <c r="F331" s="149">
        <v>2020</v>
      </c>
      <c r="G331" s="128" t="s">
        <v>3359</v>
      </c>
      <c r="H331" s="102">
        <v>1000</v>
      </c>
      <c r="I331" s="102">
        <v>1000</v>
      </c>
      <c r="J331" s="102"/>
      <c r="K331" s="149"/>
      <c r="L331" s="105">
        <v>20201118</v>
      </c>
    </row>
    <row r="332" s="146" customFormat="1" ht="16" customHeight="1" spans="1:12">
      <c r="A332" s="132">
        <v>330</v>
      </c>
      <c r="B332" s="102" t="s">
        <v>12263</v>
      </c>
      <c r="C332" s="102" t="s">
        <v>12889</v>
      </c>
      <c r="D332" s="102" t="s">
        <v>12890</v>
      </c>
      <c r="E332" s="102" t="s">
        <v>10250</v>
      </c>
      <c r="F332" s="149">
        <v>2020</v>
      </c>
      <c r="G332" s="128" t="s">
        <v>3359</v>
      </c>
      <c r="H332" s="102">
        <v>200</v>
      </c>
      <c r="I332" s="102">
        <v>200</v>
      </c>
      <c r="J332" s="102"/>
      <c r="K332" s="149"/>
      <c r="L332" s="105">
        <v>20201118</v>
      </c>
    </row>
    <row r="333" s="146" customFormat="1" ht="16" customHeight="1" spans="1:12">
      <c r="A333" s="132">
        <v>331</v>
      </c>
      <c r="B333" s="102" t="s">
        <v>12263</v>
      </c>
      <c r="C333" s="102" t="s">
        <v>12891</v>
      </c>
      <c r="D333" s="102" t="s">
        <v>12892</v>
      </c>
      <c r="E333" s="102" t="s">
        <v>10250</v>
      </c>
      <c r="F333" s="149">
        <v>2020</v>
      </c>
      <c r="G333" s="128" t="s">
        <v>3359</v>
      </c>
      <c r="H333" s="102">
        <v>200</v>
      </c>
      <c r="I333" s="102">
        <v>200</v>
      </c>
      <c r="J333" s="102"/>
      <c r="K333" s="149"/>
      <c r="L333" s="105">
        <v>20201118</v>
      </c>
    </row>
    <row r="334" s="146" customFormat="1" ht="16" customHeight="1" spans="1:12">
      <c r="A334" s="132">
        <v>332</v>
      </c>
      <c r="B334" s="102" t="s">
        <v>12263</v>
      </c>
      <c r="C334" s="102" t="s">
        <v>12893</v>
      </c>
      <c r="D334" s="102" t="s">
        <v>12894</v>
      </c>
      <c r="E334" s="102" t="s">
        <v>10250</v>
      </c>
      <c r="F334" s="149">
        <v>2020</v>
      </c>
      <c r="G334" s="128" t="s">
        <v>3359</v>
      </c>
      <c r="H334" s="102">
        <v>200</v>
      </c>
      <c r="I334" s="102">
        <v>200</v>
      </c>
      <c r="J334" s="102"/>
      <c r="K334" s="149"/>
      <c r="L334" s="105">
        <v>20201118</v>
      </c>
    </row>
    <row r="335" s="146" customFormat="1" ht="16" customHeight="1" spans="1:12">
      <c r="A335" s="132">
        <v>333</v>
      </c>
      <c r="B335" s="102" t="s">
        <v>12263</v>
      </c>
      <c r="C335" s="102" t="s">
        <v>12895</v>
      </c>
      <c r="D335" s="102" t="s">
        <v>12896</v>
      </c>
      <c r="E335" s="102" t="s">
        <v>10250</v>
      </c>
      <c r="F335" s="149">
        <v>2020</v>
      </c>
      <c r="G335" s="128" t="s">
        <v>3359</v>
      </c>
      <c r="H335" s="102">
        <v>200</v>
      </c>
      <c r="I335" s="102">
        <v>200</v>
      </c>
      <c r="J335" s="102"/>
      <c r="K335" s="149"/>
      <c r="L335" s="105">
        <v>20201118</v>
      </c>
    </row>
    <row r="336" s="146" customFormat="1" ht="16" customHeight="1" spans="1:12">
      <c r="A336" s="132">
        <v>334</v>
      </c>
      <c r="B336" s="102" t="s">
        <v>12263</v>
      </c>
      <c r="C336" s="102" t="s">
        <v>12897</v>
      </c>
      <c r="D336" s="102" t="s">
        <v>12898</v>
      </c>
      <c r="E336" s="102" t="s">
        <v>10250</v>
      </c>
      <c r="F336" s="149">
        <v>2020</v>
      </c>
      <c r="G336" s="128" t="s">
        <v>3359</v>
      </c>
      <c r="H336" s="102">
        <v>200</v>
      </c>
      <c r="I336" s="102">
        <v>200</v>
      </c>
      <c r="J336" s="102"/>
      <c r="K336" s="149"/>
      <c r="L336" s="105">
        <v>20201118</v>
      </c>
    </row>
    <row r="337" s="146" customFormat="1" ht="16" customHeight="1" spans="1:12">
      <c r="A337" s="132">
        <v>335</v>
      </c>
      <c r="B337" s="102" t="s">
        <v>12263</v>
      </c>
      <c r="C337" s="102" t="s">
        <v>12899</v>
      </c>
      <c r="D337" s="102" t="s">
        <v>12900</v>
      </c>
      <c r="E337" s="102" t="s">
        <v>10250</v>
      </c>
      <c r="F337" s="149">
        <v>2020</v>
      </c>
      <c r="G337" s="128" t="s">
        <v>3359</v>
      </c>
      <c r="H337" s="102">
        <v>200</v>
      </c>
      <c r="I337" s="102">
        <v>200</v>
      </c>
      <c r="J337" s="102"/>
      <c r="K337" s="149"/>
      <c r="L337" s="105">
        <v>20201118</v>
      </c>
    </row>
    <row r="338" s="146" customFormat="1" ht="16" customHeight="1" spans="1:12">
      <c r="A338" s="132">
        <v>336</v>
      </c>
      <c r="B338" s="102" t="s">
        <v>12263</v>
      </c>
      <c r="C338" s="102" t="s">
        <v>12901</v>
      </c>
      <c r="D338" s="102" t="s">
        <v>12902</v>
      </c>
      <c r="E338" s="102" t="s">
        <v>10250</v>
      </c>
      <c r="F338" s="149">
        <v>2020</v>
      </c>
      <c r="G338" s="128" t="s">
        <v>3359</v>
      </c>
      <c r="H338" s="102">
        <v>200</v>
      </c>
      <c r="I338" s="102">
        <v>200</v>
      </c>
      <c r="J338" s="102"/>
      <c r="K338" s="149"/>
      <c r="L338" s="105">
        <v>20201118</v>
      </c>
    </row>
    <row r="339" s="146" customFormat="1" ht="16" customHeight="1" spans="1:12">
      <c r="A339" s="132">
        <v>337</v>
      </c>
      <c r="B339" s="102" t="s">
        <v>12263</v>
      </c>
      <c r="C339" s="102" t="s">
        <v>12903</v>
      </c>
      <c r="D339" s="102" t="s">
        <v>12904</v>
      </c>
      <c r="E339" s="102" t="s">
        <v>10250</v>
      </c>
      <c r="F339" s="149">
        <v>2020</v>
      </c>
      <c r="G339" s="128" t="s">
        <v>3359</v>
      </c>
      <c r="H339" s="102">
        <v>200</v>
      </c>
      <c r="I339" s="102">
        <v>200</v>
      </c>
      <c r="J339" s="102" t="s">
        <v>108</v>
      </c>
      <c r="K339" s="149"/>
      <c r="L339" s="105">
        <v>20201118</v>
      </c>
    </row>
    <row r="340" s="146" customFormat="1" ht="16" customHeight="1" spans="1:12">
      <c r="A340" s="132">
        <v>338</v>
      </c>
      <c r="B340" s="102" t="s">
        <v>12263</v>
      </c>
      <c r="C340" s="102" t="s">
        <v>12905</v>
      </c>
      <c r="D340" s="102" t="s">
        <v>12906</v>
      </c>
      <c r="E340" s="102" t="s">
        <v>10250</v>
      </c>
      <c r="F340" s="149">
        <v>2020</v>
      </c>
      <c r="G340" s="128" t="s">
        <v>3359</v>
      </c>
      <c r="H340" s="102">
        <v>200</v>
      </c>
      <c r="I340" s="102">
        <v>200</v>
      </c>
      <c r="J340" s="102" t="s">
        <v>108</v>
      </c>
      <c r="K340" s="149"/>
      <c r="L340" s="105">
        <v>20201118</v>
      </c>
    </row>
    <row r="341" s="146" customFormat="1" ht="16" customHeight="1" spans="1:12">
      <c r="A341" s="132">
        <v>339</v>
      </c>
      <c r="B341" s="102" t="s">
        <v>12263</v>
      </c>
      <c r="C341" s="102" t="s">
        <v>62</v>
      </c>
      <c r="D341" s="102" t="s">
        <v>12907</v>
      </c>
      <c r="E341" s="102" t="s">
        <v>10250</v>
      </c>
      <c r="F341" s="149">
        <v>2020</v>
      </c>
      <c r="G341" s="128" t="s">
        <v>3359</v>
      </c>
      <c r="H341" s="102">
        <v>200</v>
      </c>
      <c r="I341" s="102">
        <v>200</v>
      </c>
      <c r="J341" s="102" t="s">
        <v>5331</v>
      </c>
      <c r="K341" s="149"/>
      <c r="L341" s="105">
        <v>20201118</v>
      </c>
    </row>
    <row r="342" s="146" customFormat="1" ht="16" customHeight="1" spans="1:12">
      <c r="A342" s="132">
        <v>340</v>
      </c>
      <c r="B342" s="102" t="s">
        <v>12263</v>
      </c>
      <c r="C342" s="102" t="s">
        <v>12908</v>
      </c>
      <c r="D342" s="102" t="s">
        <v>12909</v>
      </c>
      <c r="E342" s="102" t="s">
        <v>10250</v>
      </c>
      <c r="F342" s="149">
        <v>2020</v>
      </c>
      <c r="G342" s="128" t="s">
        <v>3359</v>
      </c>
      <c r="H342" s="102">
        <v>200</v>
      </c>
      <c r="I342" s="102">
        <v>200</v>
      </c>
      <c r="J342" s="102" t="s">
        <v>5331</v>
      </c>
      <c r="K342" s="149"/>
      <c r="L342" s="105">
        <v>20201118</v>
      </c>
    </row>
    <row r="343" s="146" customFormat="1" ht="16" customHeight="1" spans="1:12">
      <c r="A343" s="132">
        <v>341</v>
      </c>
      <c r="B343" s="102" t="s">
        <v>12263</v>
      </c>
      <c r="C343" s="102" t="s">
        <v>12910</v>
      </c>
      <c r="D343" s="102" t="s">
        <v>12911</v>
      </c>
      <c r="E343" s="102" t="s">
        <v>10250</v>
      </c>
      <c r="F343" s="149">
        <v>2020</v>
      </c>
      <c r="G343" s="128" t="s">
        <v>3359</v>
      </c>
      <c r="H343" s="102">
        <v>200</v>
      </c>
      <c r="I343" s="102">
        <v>200</v>
      </c>
      <c r="J343" s="102" t="s">
        <v>5331</v>
      </c>
      <c r="K343" s="149"/>
      <c r="L343" s="105">
        <v>20201118</v>
      </c>
    </row>
    <row r="344" s="146" customFormat="1" ht="16" customHeight="1" spans="1:12">
      <c r="A344" s="132">
        <v>342</v>
      </c>
      <c r="B344" s="102" t="s">
        <v>12263</v>
      </c>
      <c r="C344" s="102" t="s">
        <v>12912</v>
      </c>
      <c r="D344" s="102" t="s">
        <v>12913</v>
      </c>
      <c r="E344" s="102" t="s">
        <v>10250</v>
      </c>
      <c r="F344" s="149">
        <v>2020</v>
      </c>
      <c r="G344" s="128" t="s">
        <v>3359</v>
      </c>
      <c r="H344" s="102">
        <v>200</v>
      </c>
      <c r="I344" s="102">
        <v>200</v>
      </c>
      <c r="J344" s="102"/>
      <c r="K344" s="149"/>
      <c r="L344" s="105">
        <v>20201118</v>
      </c>
    </row>
    <row r="345" s="146" customFormat="1" ht="16" customHeight="1" spans="1:12">
      <c r="A345" s="132">
        <v>343</v>
      </c>
      <c r="B345" s="102" t="s">
        <v>12263</v>
      </c>
      <c r="C345" s="102" t="s">
        <v>12914</v>
      </c>
      <c r="D345" s="102" t="s">
        <v>12915</v>
      </c>
      <c r="E345" s="102" t="s">
        <v>10250</v>
      </c>
      <c r="F345" s="149">
        <v>2020</v>
      </c>
      <c r="G345" s="128" t="s">
        <v>3359</v>
      </c>
      <c r="H345" s="102">
        <v>200</v>
      </c>
      <c r="I345" s="102">
        <v>200</v>
      </c>
      <c r="J345" s="102"/>
      <c r="K345" s="149"/>
      <c r="L345" s="105">
        <v>20201118</v>
      </c>
    </row>
    <row r="346" s="146" customFormat="1" ht="16" customHeight="1" spans="1:12">
      <c r="A346" s="132">
        <v>344</v>
      </c>
      <c r="B346" s="102" t="s">
        <v>12263</v>
      </c>
      <c r="C346" s="102" t="s">
        <v>12916</v>
      </c>
      <c r="D346" s="102" t="s">
        <v>12917</v>
      </c>
      <c r="E346" s="102" t="s">
        <v>10250</v>
      </c>
      <c r="F346" s="149">
        <v>2020</v>
      </c>
      <c r="G346" s="128" t="s">
        <v>3359</v>
      </c>
      <c r="H346" s="102">
        <v>200</v>
      </c>
      <c r="I346" s="102">
        <v>200</v>
      </c>
      <c r="J346" s="102"/>
      <c r="K346" s="149"/>
      <c r="L346" s="105">
        <v>20201118</v>
      </c>
    </row>
    <row r="347" s="146" customFormat="1" ht="16" customHeight="1" spans="1:12">
      <c r="A347" s="132">
        <v>345</v>
      </c>
      <c r="B347" s="102" t="s">
        <v>12263</v>
      </c>
      <c r="C347" s="102" t="s">
        <v>12918</v>
      </c>
      <c r="D347" s="102" t="s">
        <v>12919</v>
      </c>
      <c r="E347" s="102" t="s">
        <v>10250</v>
      </c>
      <c r="F347" s="149">
        <v>2020</v>
      </c>
      <c r="G347" s="128" t="s">
        <v>3359</v>
      </c>
      <c r="H347" s="102">
        <v>200</v>
      </c>
      <c r="I347" s="102">
        <v>200</v>
      </c>
      <c r="J347" s="102"/>
      <c r="K347" s="149"/>
      <c r="L347" s="105">
        <v>20201118</v>
      </c>
    </row>
    <row r="348" s="146" customFormat="1" ht="16" customHeight="1" spans="1:12">
      <c r="A348" s="132">
        <v>346</v>
      </c>
      <c r="B348" s="102" t="s">
        <v>12263</v>
      </c>
      <c r="C348" s="102" t="s">
        <v>11043</v>
      </c>
      <c r="D348" s="102" t="s">
        <v>12920</v>
      </c>
      <c r="E348" s="102" t="s">
        <v>10250</v>
      </c>
      <c r="F348" s="149">
        <v>2020</v>
      </c>
      <c r="G348" s="128" t="s">
        <v>3359</v>
      </c>
      <c r="H348" s="102">
        <v>200</v>
      </c>
      <c r="I348" s="102">
        <v>200</v>
      </c>
      <c r="J348" s="102"/>
      <c r="K348" s="149"/>
      <c r="L348" s="105">
        <v>20201118</v>
      </c>
    </row>
    <row r="349" s="146" customFormat="1" ht="16" customHeight="1" spans="1:12">
      <c r="A349" s="132">
        <v>347</v>
      </c>
      <c r="B349" s="102" t="s">
        <v>12263</v>
      </c>
      <c r="C349" s="102" t="s">
        <v>12921</v>
      </c>
      <c r="D349" s="102" t="s">
        <v>12922</v>
      </c>
      <c r="E349" s="102" t="s">
        <v>10250</v>
      </c>
      <c r="F349" s="149">
        <v>2020</v>
      </c>
      <c r="G349" s="128" t="s">
        <v>3359</v>
      </c>
      <c r="H349" s="102">
        <v>200</v>
      </c>
      <c r="I349" s="102">
        <v>200</v>
      </c>
      <c r="J349" s="102"/>
      <c r="K349" s="149"/>
      <c r="L349" s="105">
        <v>20201118</v>
      </c>
    </row>
    <row r="350" s="146" customFormat="1" ht="16" customHeight="1" spans="1:12">
      <c r="A350" s="132">
        <v>348</v>
      </c>
      <c r="B350" s="102" t="s">
        <v>12263</v>
      </c>
      <c r="C350" s="102" t="s">
        <v>12923</v>
      </c>
      <c r="D350" s="102" t="s">
        <v>12924</v>
      </c>
      <c r="E350" s="102" t="s">
        <v>10250</v>
      </c>
      <c r="F350" s="149">
        <v>2020</v>
      </c>
      <c r="G350" s="128" t="s">
        <v>3359</v>
      </c>
      <c r="H350" s="102">
        <v>200</v>
      </c>
      <c r="I350" s="102">
        <v>200</v>
      </c>
      <c r="J350" s="102"/>
      <c r="K350" s="149"/>
      <c r="L350" s="105">
        <v>20201118</v>
      </c>
    </row>
    <row r="351" s="146" customFormat="1" ht="16" customHeight="1" spans="1:12">
      <c r="A351" s="132">
        <v>349</v>
      </c>
      <c r="B351" s="102" t="s">
        <v>12263</v>
      </c>
      <c r="C351" s="102" t="s">
        <v>12925</v>
      </c>
      <c r="D351" s="102" t="s">
        <v>12926</v>
      </c>
      <c r="E351" s="102" t="s">
        <v>10250</v>
      </c>
      <c r="F351" s="149">
        <v>2020</v>
      </c>
      <c r="G351" s="128" t="s">
        <v>3359</v>
      </c>
      <c r="H351" s="102">
        <v>200</v>
      </c>
      <c r="I351" s="102">
        <v>200</v>
      </c>
      <c r="J351" s="102"/>
      <c r="K351" s="149"/>
      <c r="L351" s="105">
        <v>20201118</v>
      </c>
    </row>
    <row r="352" s="146" customFormat="1" ht="16" customHeight="1" spans="1:12">
      <c r="A352" s="132">
        <v>350</v>
      </c>
      <c r="B352" s="102" t="s">
        <v>12263</v>
      </c>
      <c r="C352" s="102" t="s">
        <v>12927</v>
      </c>
      <c r="D352" s="102" t="s">
        <v>12928</v>
      </c>
      <c r="E352" s="102" t="s">
        <v>10250</v>
      </c>
      <c r="F352" s="149">
        <v>2020</v>
      </c>
      <c r="G352" s="128" t="s">
        <v>3359</v>
      </c>
      <c r="H352" s="102">
        <v>200</v>
      </c>
      <c r="I352" s="102">
        <v>200</v>
      </c>
      <c r="J352" s="102"/>
      <c r="K352" s="149"/>
      <c r="L352" s="105">
        <v>20201118</v>
      </c>
    </row>
    <row r="353" s="146" customFormat="1" ht="16" customHeight="1" spans="1:12">
      <c r="A353" s="132">
        <v>351</v>
      </c>
      <c r="B353" s="102" t="s">
        <v>12263</v>
      </c>
      <c r="C353" s="102" t="s">
        <v>12929</v>
      </c>
      <c r="D353" s="102" t="s">
        <v>12930</v>
      </c>
      <c r="E353" s="102" t="s">
        <v>10250</v>
      </c>
      <c r="F353" s="149">
        <v>2020</v>
      </c>
      <c r="G353" s="128" t="s">
        <v>3359</v>
      </c>
      <c r="H353" s="102">
        <v>200</v>
      </c>
      <c r="I353" s="102">
        <v>200</v>
      </c>
      <c r="J353" s="102"/>
      <c r="K353" s="149"/>
      <c r="L353" s="105">
        <v>20201118</v>
      </c>
    </row>
    <row r="354" s="146" customFormat="1" ht="16" customHeight="1" spans="1:12">
      <c r="A354" s="132">
        <v>352</v>
      </c>
      <c r="B354" s="102" t="s">
        <v>12263</v>
      </c>
      <c r="C354" s="102" t="s">
        <v>12931</v>
      </c>
      <c r="D354" s="102" t="s">
        <v>12932</v>
      </c>
      <c r="E354" s="102" t="s">
        <v>10250</v>
      </c>
      <c r="F354" s="149">
        <v>2020</v>
      </c>
      <c r="G354" s="128" t="s">
        <v>3359</v>
      </c>
      <c r="H354" s="102">
        <v>200</v>
      </c>
      <c r="I354" s="102">
        <v>200</v>
      </c>
      <c r="J354" s="102"/>
      <c r="K354" s="149"/>
      <c r="L354" s="105">
        <v>20201118</v>
      </c>
    </row>
    <row r="355" s="146" customFormat="1" ht="16" customHeight="1" spans="1:12">
      <c r="A355" s="132">
        <v>353</v>
      </c>
      <c r="B355" s="102" t="s">
        <v>12263</v>
      </c>
      <c r="C355" s="102" t="s">
        <v>12933</v>
      </c>
      <c r="D355" s="102" t="s">
        <v>12934</v>
      </c>
      <c r="E355" s="102" t="s">
        <v>10250</v>
      </c>
      <c r="F355" s="149">
        <v>2020</v>
      </c>
      <c r="G355" s="128" t="s">
        <v>3359</v>
      </c>
      <c r="H355" s="102">
        <v>200</v>
      </c>
      <c r="I355" s="102">
        <v>200</v>
      </c>
      <c r="J355" s="102"/>
      <c r="K355" s="149"/>
      <c r="L355" s="105">
        <v>20201118</v>
      </c>
    </row>
    <row r="356" s="146" customFormat="1" ht="16" customHeight="1" spans="1:12">
      <c r="A356" s="132">
        <v>354</v>
      </c>
      <c r="B356" s="102" t="s">
        <v>12263</v>
      </c>
      <c r="C356" s="102" t="s">
        <v>12935</v>
      </c>
      <c r="D356" s="102" t="s">
        <v>12936</v>
      </c>
      <c r="E356" s="102" t="s">
        <v>10250</v>
      </c>
      <c r="F356" s="149">
        <v>2020</v>
      </c>
      <c r="G356" s="128" t="s">
        <v>3359</v>
      </c>
      <c r="H356" s="102">
        <v>200</v>
      </c>
      <c r="I356" s="102">
        <v>200</v>
      </c>
      <c r="J356" s="102"/>
      <c r="K356" s="149"/>
      <c r="L356" s="105">
        <v>20201118</v>
      </c>
    </row>
    <row r="357" s="146" customFormat="1" ht="16" customHeight="1" spans="1:12">
      <c r="A357" s="132">
        <v>355</v>
      </c>
      <c r="B357" s="102" t="s">
        <v>12263</v>
      </c>
      <c r="C357" s="102" t="s">
        <v>12937</v>
      </c>
      <c r="D357" s="102" t="s">
        <v>12938</v>
      </c>
      <c r="E357" s="102" t="s">
        <v>10250</v>
      </c>
      <c r="F357" s="149">
        <v>2020</v>
      </c>
      <c r="G357" s="128" t="s">
        <v>3359</v>
      </c>
      <c r="H357" s="102">
        <v>200</v>
      </c>
      <c r="I357" s="102">
        <v>200</v>
      </c>
      <c r="J357" s="102"/>
      <c r="K357" s="149"/>
      <c r="L357" s="105">
        <v>20201118</v>
      </c>
    </row>
    <row r="358" s="146" customFormat="1" ht="16" customHeight="1" spans="1:12">
      <c r="A358" s="132">
        <v>356</v>
      </c>
      <c r="B358" s="102" t="s">
        <v>12263</v>
      </c>
      <c r="C358" s="102" t="s">
        <v>12939</v>
      </c>
      <c r="D358" s="102" t="s">
        <v>12940</v>
      </c>
      <c r="E358" s="102" t="s">
        <v>10250</v>
      </c>
      <c r="F358" s="149">
        <v>2020</v>
      </c>
      <c r="G358" s="128" t="s">
        <v>3359</v>
      </c>
      <c r="H358" s="102">
        <v>500</v>
      </c>
      <c r="I358" s="102">
        <v>500</v>
      </c>
      <c r="J358" s="102"/>
      <c r="K358" s="149"/>
      <c r="L358" s="105">
        <v>20201118</v>
      </c>
    </row>
    <row r="359" s="146" customFormat="1" ht="16" customHeight="1" spans="1:12">
      <c r="A359" s="132">
        <v>357</v>
      </c>
      <c r="B359" s="102" t="s">
        <v>12263</v>
      </c>
      <c r="C359" s="102" t="s">
        <v>12941</v>
      </c>
      <c r="D359" s="102" t="s">
        <v>12942</v>
      </c>
      <c r="E359" s="102" t="s">
        <v>10250</v>
      </c>
      <c r="F359" s="149">
        <v>2020</v>
      </c>
      <c r="G359" s="128" t="s">
        <v>3359</v>
      </c>
      <c r="H359" s="102">
        <v>500</v>
      </c>
      <c r="I359" s="102">
        <v>500</v>
      </c>
      <c r="J359" s="102"/>
      <c r="K359" s="149"/>
      <c r="L359" s="105">
        <v>20201118</v>
      </c>
    </row>
    <row r="360" s="146" customFormat="1" ht="16" customHeight="1" spans="1:12">
      <c r="A360" s="132">
        <v>358</v>
      </c>
      <c r="B360" s="102" t="s">
        <v>12263</v>
      </c>
      <c r="C360" s="102" t="s">
        <v>12943</v>
      </c>
      <c r="D360" s="102" t="s">
        <v>12944</v>
      </c>
      <c r="E360" s="102" t="s">
        <v>10250</v>
      </c>
      <c r="F360" s="149">
        <v>2020</v>
      </c>
      <c r="G360" s="128" t="s">
        <v>3359</v>
      </c>
      <c r="H360" s="102">
        <v>500</v>
      </c>
      <c r="I360" s="102">
        <v>500</v>
      </c>
      <c r="J360" s="102"/>
      <c r="K360" s="149"/>
      <c r="L360" s="105">
        <v>20201118</v>
      </c>
    </row>
    <row r="361" s="146" customFormat="1" ht="16" customHeight="1" spans="1:12">
      <c r="A361" s="132">
        <v>359</v>
      </c>
      <c r="B361" s="102" t="s">
        <v>12263</v>
      </c>
      <c r="C361" s="102" t="s">
        <v>12945</v>
      </c>
      <c r="D361" s="102" t="s">
        <v>12946</v>
      </c>
      <c r="E361" s="102" t="s">
        <v>10250</v>
      </c>
      <c r="F361" s="149">
        <v>2020</v>
      </c>
      <c r="G361" s="128" t="s">
        <v>3359</v>
      </c>
      <c r="H361" s="102">
        <v>500</v>
      </c>
      <c r="I361" s="102">
        <v>500</v>
      </c>
      <c r="J361" s="102"/>
      <c r="K361" s="149"/>
      <c r="L361" s="105">
        <v>20201118</v>
      </c>
    </row>
    <row r="362" s="148" customFormat="1" ht="16" customHeight="1" spans="1:12">
      <c r="A362" s="14">
        <v>360</v>
      </c>
      <c r="B362" s="5" t="s">
        <v>12263</v>
      </c>
      <c r="C362" s="5" t="s">
        <v>12947</v>
      </c>
      <c r="D362" s="5" t="s">
        <v>12948</v>
      </c>
      <c r="E362" s="5" t="s">
        <v>320</v>
      </c>
      <c r="F362" s="153">
        <v>2020</v>
      </c>
      <c r="G362" s="107" t="s">
        <v>295</v>
      </c>
      <c r="H362" s="5">
        <v>200</v>
      </c>
      <c r="I362" s="5">
        <v>1600</v>
      </c>
      <c r="J362" s="5"/>
      <c r="K362" s="153"/>
      <c r="L362" s="105">
        <v>20201118</v>
      </c>
    </row>
    <row r="363" s="148" customFormat="1" ht="16" customHeight="1" spans="1:12">
      <c r="A363" s="14">
        <v>361</v>
      </c>
      <c r="B363" s="5" t="s">
        <v>12263</v>
      </c>
      <c r="C363" s="5" t="s">
        <v>12949</v>
      </c>
      <c r="D363" s="5" t="s">
        <v>12950</v>
      </c>
      <c r="E363" s="5" t="s">
        <v>310</v>
      </c>
      <c r="F363" s="153">
        <v>2020</v>
      </c>
      <c r="G363" s="107" t="s">
        <v>295</v>
      </c>
      <c r="H363" s="5">
        <v>200</v>
      </c>
      <c r="I363" s="5">
        <v>2000</v>
      </c>
      <c r="J363" s="5"/>
      <c r="K363" s="153"/>
      <c r="L363" s="105">
        <v>20201118</v>
      </c>
    </row>
    <row r="364" s="148" customFormat="1" ht="16" customHeight="1" spans="1:12">
      <c r="A364" s="14">
        <v>362</v>
      </c>
      <c r="B364" s="5" t="s">
        <v>12263</v>
      </c>
      <c r="C364" s="5" t="s">
        <v>12951</v>
      </c>
      <c r="D364" s="5" t="s">
        <v>12952</v>
      </c>
      <c r="E364" s="5" t="s">
        <v>310</v>
      </c>
      <c r="F364" s="153">
        <v>2020</v>
      </c>
      <c r="G364" s="107" t="s">
        <v>295</v>
      </c>
      <c r="H364" s="5">
        <v>200</v>
      </c>
      <c r="I364" s="5">
        <v>2000</v>
      </c>
      <c r="J364" s="5"/>
      <c r="K364" s="153"/>
      <c r="L364" s="105">
        <v>20201118</v>
      </c>
    </row>
    <row r="365" s="148" customFormat="1" ht="16" customHeight="1" spans="1:12">
      <c r="A365" s="14">
        <v>363</v>
      </c>
      <c r="B365" s="5" t="s">
        <v>12263</v>
      </c>
      <c r="C365" s="5" t="s">
        <v>12953</v>
      </c>
      <c r="D365" s="5" t="s">
        <v>12954</v>
      </c>
      <c r="E365" s="5" t="s">
        <v>6651</v>
      </c>
      <c r="F365" s="153">
        <v>2017</v>
      </c>
      <c r="G365" s="107" t="s">
        <v>289</v>
      </c>
      <c r="H365" s="5" t="s">
        <v>311</v>
      </c>
      <c r="I365" s="5">
        <v>800</v>
      </c>
      <c r="J365" s="5"/>
      <c r="K365" s="153"/>
      <c r="L365" s="105">
        <v>20201118</v>
      </c>
    </row>
    <row r="366" s="148" customFormat="1" ht="16" customHeight="1" spans="1:12">
      <c r="A366" s="14">
        <v>364</v>
      </c>
      <c r="B366" s="5" t="s">
        <v>12263</v>
      </c>
      <c r="C366" s="5" t="s">
        <v>12955</v>
      </c>
      <c r="D366" s="5" t="s">
        <v>12956</v>
      </c>
      <c r="E366" s="5" t="s">
        <v>6651</v>
      </c>
      <c r="F366" s="153">
        <v>2020</v>
      </c>
      <c r="G366" s="107" t="s">
        <v>295</v>
      </c>
      <c r="H366" s="5" t="s">
        <v>311</v>
      </c>
      <c r="I366" s="5">
        <v>1400</v>
      </c>
      <c r="J366" s="5"/>
      <c r="K366" s="153"/>
      <c r="L366" s="105">
        <v>20201118</v>
      </c>
    </row>
    <row r="367" s="148" customFormat="1" ht="16" customHeight="1" spans="1:12">
      <c r="A367" s="14">
        <v>365</v>
      </c>
      <c r="B367" s="5" t="s">
        <v>12263</v>
      </c>
      <c r="C367" s="5" t="s">
        <v>12957</v>
      </c>
      <c r="D367" s="5" t="s">
        <v>12958</v>
      </c>
      <c r="E367" s="5" t="s">
        <v>2472</v>
      </c>
      <c r="F367" s="153">
        <v>2016</v>
      </c>
      <c r="G367" s="93" t="s">
        <v>289</v>
      </c>
      <c r="H367" s="5" t="s">
        <v>311</v>
      </c>
      <c r="I367" s="5">
        <v>400</v>
      </c>
      <c r="J367" s="5"/>
      <c r="K367" s="153"/>
      <c r="L367" s="105">
        <v>20201118</v>
      </c>
    </row>
    <row r="368" s="148" customFormat="1" ht="16" customHeight="1" spans="1:12">
      <c r="A368" s="14">
        <v>366</v>
      </c>
      <c r="B368" s="5" t="s">
        <v>12263</v>
      </c>
      <c r="C368" s="5" t="s">
        <v>12959</v>
      </c>
      <c r="D368" s="5" t="s">
        <v>12960</v>
      </c>
      <c r="E368" s="5" t="s">
        <v>310</v>
      </c>
      <c r="F368" s="153">
        <v>2020</v>
      </c>
      <c r="G368" s="107" t="s">
        <v>295</v>
      </c>
      <c r="H368" s="5">
        <v>200</v>
      </c>
      <c r="I368" s="5">
        <v>2000</v>
      </c>
      <c r="J368" s="5"/>
      <c r="K368" s="153"/>
      <c r="L368" s="105">
        <v>20201118</v>
      </c>
    </row>
    <row r="369" s="148" customFormat="1" ht="16" customHeight="1" spans="1:12">
      <c r="A369" s="14">
        <v>367</v>
      </c>
      <c r="B369" s="5" t="s">
        <v>12263</v>
      </c>
      <c r="C369" s="5" t="s">
        <v>12961</v>
      </c>
      <c r="D369" s="5" t="s">
        <v>12962</v>
      </c>
      <c r="E369" s="5" t="s">
        <v>310</v>
      </c>
      <c r="F369" s="153">
        <v>2020</v>
      </c>
      <c r="G369" s="107" t="s">
        <v>295</v>
      </c>
      <c r="H369" s="5">
        <v>200</v>
      </c>
      <c r="I369" s="5">
        <v>2000</v>
      </c>
      <c r="J369" s="5"/>
      <c r="K369" s="153"/>
      <c r="L369" s="105">
        <v>20201118</v>
      </c>
    </row>
    <row r="370" s="148" customFormat="1" ht="16" customHeight="1" spans="1:12">
      <c r="A370" s="14">
        <v>368</v>
      </c>
      <c r="B370" s="5" t="s">
        <v>12263</v>
      </c>
      <c r="C370" s="5" t="s">
        <v>12963</v>
      </c>
      <c r="D370" s="5" t="s">
        <v>12964</v>
      </c>
      <c r="E370" s="5" t="s">
        <v>10250</v>
      </c>
      <c r="F370" s="153">
        <v>2020</v>
      </c>
      <c r="G370" s="107" t="s">
        <v>295</v>
      </c>
      <c r="H370" s="5">
        <v>200</v>
      </c>
      <c r="I370" s="5">
        <v>2000</v>
      </c>
      <c r="J370" s="5"/>
      <c r="K370" s="153"/>
      <c r="L370" s="105">
        <v>20201118</v>
      </c>
    </row>
    <row r="371" s="148" customFormat="1" ht="16" customHeight="1" spans="1:12">
      <c r="A371" s="14">
        <v>369</v>
      </c>
      <c r="B371" s="5" t="s">
        <v>12263</v>
      </c>
      <c r="C371" s="5" t="s">
        <v>12965</v>
      </c>
      <c r="D371" s="5" t="s">
        <v>12966</v>
      </c>
      <c r="E371" s="5" t="s">
        <v>310</v>
      </c>
      <c r="F371" s="153">
        <v>2020</v>
      </c>
      <c r="G371" s="107" t="s">
        <v>295</v>
      </c>
      <c r="H371" s="5">
        <v>200</v>
      </c>
      <c r="I371" s="5">
        <v>2000</v>
      </c>
      <c r="J371" s="5"/>
      <c r="K371" s="153"/>
      <c r="L371" s="105">
        <v>20201118</v>
      </c>
    </row>
    <row r="372" s="148" customFormat="1" ht="16" customHeight="1" spans="1:12">
      <c r="A372" s="14">
        <v>370</v>
      </c>
      <c r="B372" s="5" t="s">
        <v>12263</v>
      </c>
      <c r="C372" s="5" t="s">
        <v>12967</v>
      </c>
      <c r="D372" s="5" t="s">
        <v>12968</v>
      </c>
      <c r="E372" s="5" t="s">
        <v>2472</v>
      </c>
      <c r="F372" s="153">
        <v>2020</v>
      </c>
      <c r="G372" s="107" t="s">
        <v>295</v>
      </c>
      <c r="H372" s="5">
        <v>500</v>
      </c>
      <c r="I372" s="5">
        <v>3000</v>
      </c>
      <c r="J372" s="5"/>
      <c r="K372" s="153"/>
      <c r="L372" s="105">
        <v>20201118</v>
      </c>
    </row>
    <row r="373" s="148" customFormat="1" ht="16" customHeight="1" spans="1:12">
      <c r="A373" s="14">
        <v>371</v>
      </c>
      <c r="B373" s="5" t="s">
        <v>12263</v>
      </c>
      <c r="C373" s="5" t="s">
        <v>12969</v>
      </c>
      <c r="D373" s="5" t="s">
        <v>12970</v>
      </c>
      <c r="E373" s="5" t="s">
        <v>292</v>
      </c>
      <c r="F373" s="153">
        <v>2020</v>
      </c>
      <c r="G373" s="107" t="s">
        <v>295</v>
      </c>
      <c r="H373" s="5">
        <v>500</v>
      </c>
      <c r="I373" s="5">
        <v>2500</v>
      </c>
      <c r="J373" s="5"/>
      <c r="K373" s="153"/>
      <c r="L373" s="105">
        <v>20201118</v>
      </c>
    </row>
    <row r="374" s="148" customFormat="1" ht="16" customHeight="1" spans="1:12">
      <c r="A374" s="14">
        <v>372</v>
      </c>
      <c r="B374" s="5" t="s">
        <v>12263</v>
      </c>
      <c r="C374" s="5" t="s">
        <v>12971</v>
      </c>
      <c r="D374" s="5" t="s">
        <v>12972</v>
      </c>
      <c r="E374" s="5" t="s">
        <v>310</v>
      </c>
      <c r="F374" s="153">
        <v>2020</v>
      </c>
      <c r="G374" s="107" t="s">
        <v>295</v>
      </c>
      <c r="H374" s="5">
        <v>200</v>
      </c>
      <c r="I374" s="5">
        <v>2000</v>
      </c>
      <c r="J374" s="5" t="s">
        <v>108</v>
      </c>
      <c r="K374" s="153"/>
      <c r="L374" s="105">
        <v>20201118</v>
      </c>
    </row>
    <row r="375" s="148" customFormat="1" ht="16" customHeight="1" spans="1:12">
      <c r="A375" s="14">
        <v>373</v>
      </c>
      <c r="B375" s="5" t="s">
        <v>12263</v>
      </c>
      <c r="C375" s="5" t="s">
        <v>12973</v>
      </c>
      <c r="D375" s="5" t="s">
        <v>12974</v>
      </c>
      <c r="E375" s="5" t="s">
        <v>2472</v>
      </c>
      <c r="F375" s="153">
        <v>2015</v>
      </c>
      <c r="G375" s="93" t="s">
        <v>289</v>
      </c>
      <c r="H375" s="5">
        <v>200</v>
      </c>
      <c r="I375" s="5">
        <v>200</v>
      </c>
      <c r="J375" s="5"/>
      <c r="K375" s="153"/>
      <c r="L375" s="105">
        <v>20201118</v>
      </c>
    </row>
    <row r="376" s="148" customFormat="1" ht="16" customHeight="1" spans="1:12">
      <c r="A376" s="14">
        <v>374</v>
      </c>
      <c r="B376" s="5" t="s">
        <v>12263</v>
      </c>
      <c r="C376" s="5" t="s">
        <v>12975</v>
      </c>
      <c r="D376" s="5" t="s">
        <v>12976</v>
      </c>
      <c r="E376" s="5" t="s">
        <v>2472</v>
      </c>
      <c r="F376" s="153">
        <v>2015</v>
      </c>
      <c r="G376" s="93" t="s">
        <v>289</v>
      </c>
      <c r="H376" s="5">
        <v>200</v>
      </c>
      <c r="I376" s="5">
        <v>200</v>
      </c>
      <c r="J376" s="5"/>
      <c r="K376" s="153"/>
      <c r="L376" s="105">
        <v>20201118</v>
      </c>
    </row>
    <row r="377" s="148" customFormat="1" ht="16" customHeight="1" spans="1:12">
      <c r="A377" s="14">
        <v>375</v>
      </c>
      <c r="B377" s="5" t="s">
        <v>12263</v>
      </c>
      <c r="C377" s="5" t="s">
        <v>12977</v>
      </c>
      <c r="D377" s="5" t="s">
        <v>12978</v>
      </c>
      <c r="E377" s="5" t="s">
        <v>1047</v>
      </c>
      <c r="F377" s="153">
        <v>2020</v>
      </c>
      <c r="G377" s="93" t="s">
        <v>289</v>
      </c>
      <c r="H377" s="5">
        <v>200</v>
      </c>
      <c r="I377" s="5">
        <v>400</v>
      </c>
      <c r="J377" s="5"/>
      <c r="K377" s="153"/>
      <c r="L377" s="105">
        <v>20201118</v>
      </c>
    </row>
    <row r="378" s="148" customFormat="1" ht="16" customHeight="1" spans="1:12">
      <c r="A378" s="14">
        <v>376</v>
      </c>
      <c r="B378" s="5" t="s">
        <v>12263</v>
      </c>
      <c r="C378" s="5" t="s">
        <v>12979</v>
      </c>
      <c r="D378" s="5" t="s">
        <v>12980</v>
      </c>
      <c r="E378" s="5" t="s">
        <v>1047</v>
      </c>
      <c r="F378" s="153">
        <v>2020</v>
      </c>
      <c r="G378" s="93" t="s">
        <v>289</v>
      </c>
      <c r="H378" s="5">
        <v>200</v>
      </c>
      <c r="I378" s="5">
        <v>400</v>
      </c>
      <c r="J378" s="5"/>
      <c r="K378" s="153"/>
      <c r="L378" s="105">
        <v>20201118</v>
      </c>
    </row>
    <row r="379" s="148" customFormat="1" ht="16" customHeight="1" spans="1:12">
      <c r="A379" s="14">
        <v>377</v>
      </c>
      <c r="B379" s="5" t="s">
        <v>12263</v>
      </c>
      <c r="C379" s="5" t="s">
        <v>12981</v>
      </c>
      <c r="D379" s="5" t="s">
        <v>12982</v>
      </c>
      <c r="E379" s="5" t="s">
        <v>2472</v>
      </c>
      <c r="F379" s="153">
        <v>2019</v>
      </c>
      <c r="G379" s="93" t="s">
        <v>289</v>
      </c>
      <c r="H379" s="153">
        <v>200</v>
      </c>
      <c r="I379" s="5">
        <v>1000</v>
      </c>
      <c r="J379" s="5"/>
      <c r="K379" s="153"/>
      <c r="L379" s="105">
        <v>20201118</v>
      </c>
    </row>
    <row r="380" s="148" customFormat="1" ht="16" customHeight="1" spans="1:12">
      <c r="A380" s="14">
        <v>378</v>
      </c>
      <c r="B380" s="5" t="s">
        <v>12263</v>
      </c>
      <c r="C380" s="5" t="s">
        <v>12983</v>
      </c>
      <c r="D380" s="5" t="s">
        <v>12984</v>
      </c>
      <c r="E380" s="5" t="s">
        <v>2472</v>
      </c>
      <c r="F380" s="153">
        <v>2019</v>
      </c>
      <c r="G380" s="93" t="s">
        <v>289</v>
      </c>
      <c r="H380" s="153">
        <v>200</v>
      </c>
      <c r="I380" s="5">
        <v>1000</v>
      </c>
      <c r="J380" s="5"/>
      <c r="K380" s="153"/>
      <c r="L380" s="105">
        <v>20201118</v>
      </c>
    </row>
    <row r="381" s="148" customFormat="1" ht="16" customHeight="1" spans="1:12">
      <c r="A381" s="14">
        <v>379</v>
      </c>
      <c r="B381" s="5" t="s">
        <v>12263</v>
      </c>
      <c r="C381" s="5" t="s">
        <v>12985</v>
      </c>
      <c r="D381" s="5" t="s">
        <v>12986</v>
      </c>
      <c r="E381" s="5" t="s">
        <v>310</v>
      </c>
      <c r="F381" s="153">
        <v>2020</v>
      </c>
      <c r="G381" s="93" t="s">
        <v>289</v>
      </c>
      <c r="H381" s="5">
        <v>200</v>
      </c>
      <c r="I381" s="5">
        <v>2000</v>
      </c>
      <c r="J381" s="5"/>
      <c r="K381" s="153"/>
      <c r="L381" s="105">
        <v>20201118</v>
      </c>
    </row>
    <row r="382" s="148" customFormat="1" ht="16" customHeight="1" spans="1:12">
      <c r="A382" s="14">
        <v>380</v>
      </c>
      <c r="B382" s="5" t="s">
        <v>12263</v>
      </c>
      <c r="C382" s="5" t="s">
        <v>12987</v>
      </c>
      <c r="D382" s="5" t="s">
        <v>12988</v>
      </c>
      <c r="E382" s="5" t="s">
        <v>4184</v>
      </c>
      <c r="F382" s="153">
        <v>2020</v>
      </c>
      <c r="G382" s="93" t="s">
        <v>289</v>
      </c>
      <c r="H382" s="5">
        <v>200</v>
      </c>
      <c r="I382" s="5">
        <v>600</v>
      </c>
      <c r="J382" s="5"/>
      <c r="K382" s="153"/>
      <c r="L382" s="105">
        <v>20201118</v>
      </c>
    </row>
    <row r="383" s="148" customFormat="1" ht="16" customHeight="1" spans="1:12">
      <c r="A383" s="132">
        <v>381</v>
      </c>
      <c r="B383" s="5" t="s">
        <v>12263</v>
      </c>
      <c r="C383" s="5" t="s">
        <v>12989</v>
      </c>
      <c r="D383" s="5" t="s">
        <v>12990</v>
      </c>
      <c r="E383" s="102" t="s">
        <v>10250</v>
      </c>
      <c r="F383" s="149">
        <v>2020</v>
      </c>
      <c r="G383" s="93" t="s">
        <v>295</v>
      </c>
      <c r="H383" s="5" t="s">
        <v>311</v>
      </c>
      <c r="I383" s="5">
        <v>200</v>
      </c>
      <c r="J383" s="5"/>
      <c r="K383" s="153"/>
      <c r="L383" s="105">
        <v>20201118</v>
      </c>
    </row>
    <row r="384" s="148" customFormat="1" ht="16" customHeight="1" spans="1:12">
      <c r="A384" s="132">
        <v>382</v>
      </c>
      <c r="B384" s="5" t="s">
        <v>12263</v>
      </c>
      <c r="C384" s="5" t="s">
        <v>12991</v>
      </c>
      <c r="D384" s="5" t="s">
        <v>12992</v>
      </c>
      <c r="E384" s="102" t="s">
        <v>10250</v>
      </c>
      <c r="F384" s="149">
        <v>2020</v>
      </c>
      <c r="G384" s="107" t="s">
        <v>295</v>
      </c>
      <c r="H384" s="5" t="s">
        <v>311</v>
      </c>
      <c r="I384" s="5">
        <v>200</v>
      </c>
      <c r="J384" s="5"/>
      <c r="K384" s="153"/>
      <c r="L384" s="105">
        <v>20201118</v>
      </c>
    </row>
    <row r="385" s="148" customFormat="1" ht="16" customHeight="1" spans="1:12">
      <c r="A385" s="132">
        <v>383</v>
      </c>
      <c r="B385" s="5" t="s">
        <v>12263</v>
      </c>
      <c r="C385" s="5" t="s">
        <v>12993</v>
      </c>
      <c r="D385" s="5" t="s">
        <v>12994</v>
      </c>
      <c r="E385" s="102" t="s">
        <v>10250</v>
      </c>
      <c r="F385" s="149">
        <v>2020</v>
      </c>
      <c r="G385" s="107" t="s">
        <v>295</v>
      </c>
      <c r="H385" s="5" t="s">
        <v>2295</v>
      </c>
      <c r="I385" s="5">
        <v>500</v>
      </c>
      <c r="J385" s="5"/>
      <c r="K385" s="153"/>
      <c r="L385" s="105">
        <v>20201118</v>
      </c>
    </row>
    <row r="386" s="148" customFormat="1" ht="16" customHeight="1" spans="1:12">
      <c r="A386" s="132">
        <v>384</v>
      </c>
      <c r="B386" s="5" t="s">
        <v>12263</v>
      </c>
      <c r="C386" s="5" t="s">
        <v>12995</v>
      </c>
      <c r="D386" s="5" t="s">
        <v>12996</v>
      </c>
      <c r="E386" s="102" t="s">
        <v>10250</v>
      </c>
      <c r="F386" s="149">
        <v>2020</v>
      </c>
      <c r="G386" s="107" t="s">
        <v>295</v>
      </c>
      <c r="H386" s="5" t="s">
        <v>311</v>
      </c>
      <c r="I386" s="5">
        <v>200</v>
      </c>
      <c r="J386" s="5"/>
      <c r="K386" s="153"/>
      <c r="L386" s="105">
        <v>20201118</v>
      </c>
    </row>
    <row r="387" s="148" customFormat="1" ht="16" customHeight="1" spans="1:12">
      <c r="A387" s="132">
        <v>385</v>
      </c>
      <c r="B387" s="5" t="s">
        <v>12263</v>
      </c>
      <c r="C387" s="5" t="s">
        <v>12997</v>
      </c>
      <c r="D387" s="5" t="s">
        <v>12998</v>
      </c>
      <c r="E387" s="102" t="s">
        <v>10250</v>
      </c>
      <c r="F387" s="149">
        <v>2020</v>
      </c>
      <c r="G387" s="107" t="s">
        <v>295</v>
      </c>
      <c r="H387" s="5">
        <v>200</v>
      </c>
      <c r="I387" s="5">
        <v>200</v>
      </c>
      <c r="J387" s="5"/>
      <c r="K387" s="153"/>
      <c r="L387" s="105">
        <v>20201118</v>
      </c>
    </row>
    <row r="388" s="148" customFormat="1" ht="16" customHeight="1" spans="1:12">
      <c r="A388" s="132">
        <v>386</v>
      </c>
      <c r="B388" s="5" t="s">
        <v>12263</v>
      </c>
      <c r="C388" s="5" t="s">
        <v>7098</v>
      </c>
      <c r="D388" s="5" t="s">
        <v>12999</v>
      </c>
      <c r="E388" s="102" t="s">
        <v>15</v>
      </c>
      <c r="F388" s="102">
        <v>2020</v>
      </c>
      <c r="G388" s="107" t="s">
        <v>295</v>
      </c>
      <c r="H388" s="5">
        <v>200</v>
      </c>
      <c r="I388" s="5">
        <v>200</v>
      </c>
      <c r="J388" s="5"/>
      <c r="K388" s="5"/>
      <c r="L388" s="105">
        <v>20201118</v>
      </c>
    </row>
    <row r="389" s="148" customFormat="1" ht="16" customHeight="1" spans="1:12">
      <c r="A389" s="132">
        <v>387</v>
      </c>
      <c r="B389" s="5" t="s">
        <v>12263</v>
      </c>
      <c r="C389" s="5" t="s">
        <v>13000</v>
      </c>
      <c r="D389" s="5" t="s">
        <v>13001</v>
      </c>
      <c r="E389" s="102" t="s">
        <v>15</v>
      </c>
      <c r="F389" s="102">
        <v>2020</v>
      </c>
      <c r="G389" s="107" t="s">
        <v>295</v>
      </c>
      <c r="H389" s="5">
        <v>500</v>
      </c>
      <c r="I389" s="5">
        <v>500</v>
      </c>
      <c r="J389" s="5"/>
      <c r="K389" s="5"/>
      <c r="L389" s="105">
        <v>20201118</v>
      </c>
    </row>
    <row r="390" s="148" customFormat="1" ht="16" customHeight="1" spans="1:12">
      <c r="A390" s="132">
        <v>388</v>
      </c>
      <c r="B390" s="5" t="s">
        <v>12263</v>
      </c>
      <c r="C390" s="5" t="s">
        <v>13002</v>
      </c>
      <c r="D390" s="5" t="s">
        <v>13003</v>
      </c>
      <c r="E390" s="102" t="s">
        <v>15</v>
      </c>
      <c r="F390" s="102">
        <v>2020</v>
      </c>
      <c r="G390" s="107" t="s">
        <v>295</v>
      </c>
      <c r="H390" s="5">
        <v>500</v>
      </c>
      <c r="I390" s="5">
        <v>500</v>
      </c>
      <c r="J390" s="5"/>
      <c r="K390" s="5"/>
      <c r="L390" s="105">
        <v>20201118</v>
      </c>
    </row>
    <row r="391" s="148" customFormat="1" ht="16" customHeight="1" spans="1:12">
      <c r="A391" s="132">
        <v>389</v>
      </c>
      <c r="B391" s="5" t="s">
        <v>12263</v>
      </c>
      <c r="C391" s="5" t="s">
        <v>13004</v>
      </c>
      <c r="D391" s="5" t="s">
        <v>13005</v>
      </c>
      <c r="E391" s="102" t="s">
        <v>15</v>
      </c>
      <c r="F391" s="102">
        <v>2020</v>
      </c>
      <c r="G391" s="107" t="s">
        <v>295</v>
      </c>
      <c r="H391" s="5">
        <v>200</v>
      </c>
      <c r="I391" s="5">
        <v>200</v>
      </c>
      <c r="J391" s="5"/>
      <c r="K391" s="5"/>
      <c r="L391" s="105">
        <v>20201118</v>
      </c>
    </row>
    <row r="392" s="148" customFormat="1" ht="16" customHeight="1" spans="1:12">
      <c r="A392" s="132">
        <v>390</v>
      </c>
      <c r="B392" s="5" t="s">
        <v>12263</v>
      </c>
      <c r="C392" s="5" t="s">
        <v>13006</v>
      </c>
      <c r="D392" s="5" t="s">
        <v>13007</v>
      </c>
      <c r="E392" s="102" t="s">
        <v>15</v>
      </c>
      <c r="F392" s="102">
        <v>2020</v>
      </c>
      <c r="G392" s="107" t="s">
        <v>295</v>
      </c>
      <c r="H392" s="5">
        <v>200</v>
      </c>
      <c r="I392" s="5">
        <v>200</v>
      </c>
      <c r="J392" s="5"/>
      <c r="K392" s="5"/>
      <c r="L392" s="105">
        <v>20201118</v>
      </c>
    </row>
    <row r="393" s="146" customFormat="1" ht="16" customHeight="1" spans="1:12">
      <c r="A393" s="132">
        <v>391</v>
      </c>
      <c r="B393" s="102" t="s">
        <v>12263</v>
      </c>
      <c r="C393" s="102" t="s">
        <v>13008</v>
      </c>
      <c r="D393" s="102" t="s">
        <v>13009</v>
      </c>
      <c r="E393" s="102" t="s">
        <v>15</v>
      </c>
      <c r="F393" s="102">
        <v>2020</v>
      </c>
      <c r="G393" s="107" t="s">
        <v>295</v>
      </c>
      <c r="H393" s="102" t="s">
        <v>2295</v>
      </c>
      <c r="I393" s="102">
        <v>500</v>
      </c>
      <c r="J393" s="102"/>
      <c r="K393" s="102"/>
      <c r="L393" s="105">
        <v>20201118</v>
      </c>
    </row>
    <row r="394" s="146" customFormat="1" ht="16" customHeight="1" spans="1:12">
      <c r="A394" s="132">
        <v>392</v>
      </c>
      <c r="B394" s="130" t="s">
        <v>12263</v>
      </c>
      <c r="C394" s="130" t="s">
        <v>13010</v>
      </c>
      <c r="D394" s="154" t="s">
        <v>13011</v>
      </c>
      <c r="E394" s="154" t="s">
        <v>2472</v>
      </c>
      <c r="F394" s="102" t="s">
        <v>292</v>
      </c>
      <c r="G394" s="155" t="s">
        <v>289</v>
      </c>
      <c r="H394" s="154">
        <v>200</v>
      </c>
      <c r="I394" s="154">
        <v>400</v>
      </c>
      <c r="J394" s="102"/>
      <c r="K394" s="102"/>
      <c r="L394" s="105">
        <v>20200814</v>
      </c>
    </row>
    <row r="395" s="146" customFormat="1" ht="16" customHeight="1" spans="1:12">
      <c r="A395" s="132">
        <v>393</v>
      </c>
      <c r="B395" s="130" t="s">
        <v>12263</v>
      </c>
      <c r="C395" s="130" t="s">
        <v>13012</v>
      </c>
      <c r="D395" s="154" t="s">
        <v>13013</v>
      </c>
      <c r="E395" s="154" t="s">
        <v>6651</v>
      </c>
      <c r="F395" s="102" t="s">
        <v>2472</v>
      </c>
      <c r="G395" s="155" t="s">
        <v>289</v>
      </c>
      <c r="H395" s="154" t="s">
        <v>311</v>
      </c>
      <c r="I395" s="156">
        <v>400</v>
      </c>
      <c r="J395" s="102"/>
      <c r="K395" s="102"/>
      <c r="L395" s="105">
        <v>20200814</v>
      </c>
    </row>
    <row r="396" s="146" customFormat="1" ht="16" customHeight="1" spans="1:12">
      <c r="A396" s="132">
        <v>394</v>
      </c>
      <c r="B396" s="130" t="s">
        <v>12263</v>
      </c>
      <c r="C396" s="130" t="s">
        <v>3718</v>
      </c>
      <c r="D396" s="154" t="s">
        <v>13014</v>
      </c>
      <c r="E396" s="154" t="s">
        <v>6651</v>
      </c>
      <c r="F396" s="102" t="s">
        <v>2472</v>
      </c>
      <c r="G396" s="155" t="s">
        <v>289</v>
      </c>
      <c r="H396" s="154" t="s">
        <v>311</v>
      </c>
      <c r="I396" s="156">
        <v>400</v>
      </c>
      <c r="J396" s="102"/>
      <c r="K396" s="102"/>
      <c r="L396" s="105">
        <v>20200814</v>
      </c>
    </row>
    <row r="397" ht="16" customHeight="1" spans="1:12">
      <c r="A397" s="132">
        <v>395</v>
      </c>
      <c r="B397" s="130" t="s">
        <v>12263</v>
      </c>
      <c r="C397" s="130" t="s">
        <v>13015</v>
      </c>
      <c r="D397" s="154" t="s">
        <v>13016</v>
      </c>
      <c r="E397" s="154" t="s">
        <v>2472</v>
      </c>
      <c r="F397" s="102" t="s">
        <v>2472</v>
      </c>
      <c r="G397" s="155" t="s">
        <v>289</v>
      </c>
      <c r="H397" s="154" t="s">
        <v>311</v>
      </c>
      <c r="I397" s="156">
        <v>200</v>
      </c>
      <c r="J397" s="102"/>
      <c r="K397" s="102"/>
      <c r="L397" s="105">
        <v>20200814</v>
      </c>
    </row>
    <row r="398" ht="16" customHeight="1" spans="1:12">
      <c r="A398" s="132">
        <v>396</v>
      </c>
      <c r="B398" s="130" t="s">
        <v>12263</v>
      </c>
      <c r="C398" s="130" t="s">
        <v>13017</v>
      </c>
      <c r="D398" s="154" t="s">
        <v>13018</v>
      </c>
      <c r="E398" s="154" t="s">
        <v>2472</v>
      </c>
      <c r="F398" s="102" t="s">
        <v>2472</v>
      </c>
      <c r="G398" s="155" t="s">
        <v>289</v>
      </c>
      <c r="H398" s="154" t="s">
        <v>311</v>
      </c>
      <c r="I398" s="156">
        <v>200</v>
      </c>
      <c r="J398" s="102"/>
      <c r="K398" s="102"/>
      <c r="L398" s="105">
        <v>20200814</v>
      </c>
    </row>
    <row r="399" ht="16" customHeight="1" spans="1:12">
      <c r="A399" s="132">
        <v>397</v>
      </c>
      <c r="B399" s="111" t="s">
        <v>12263</v>
      </c>
      <c r="C399" s="111" t="s">
        <v>13019</v>
      </c>
      <c r="D399" s="313" t="s">
        <v>13020</v>
      </c>
      <c r="E399" s="111">
        <v>2020</v>
      </c>
      <c r="F399" s="111">
        <v>2020</v>
      </c>
      <c r="G399" s="128" t="s">
        <v>3359</v>
      </c>
      <c r="H399" s="111">
        <v>3000</v>
      </c>
      <c r="I399" s="111">
        <v>3000</v>
      </c>
      <c r="J399" s="102"/>
      <c r="K399" s="102"/>
      <c r="L399" s="105">
        <v>20201224</v>
      </c>
    </row>
    <row r="400" ht="16" customHeight="1" spans="1:12">
      <c r="A400" s="132">
        <v>398</v>
      </c>
      <c r="B400" s="111" t="s">
        <v>12263</v>
      </c>
      <c r="C400" s="111" t="s">
        <v>13021</v>
      </c>
      <c r="D400" s="313" t="s">
        <v>13022</v>
      </c>
      <c r="E400" s="111">
        <v>2020</v>
      </c>
      <c r="F400" s="111">
        <v>2020</v>
      </c>
      <c r="G400" s="128" t="s">
        <v>3359</v>
      </c>
      <c r="H400" s="111">
        <v>200</v>
      </c>
      <c r="I400" s="111">
        <v>200</v>
      </c>
      <c r="J400" s="102"/>
      <c r="K400" s="102"/>
      <c r="L400" s="105">
        <v>20201224</v>
      </c>
    </row>
    <row r="401" ht="16" customHeight="1" spans="1:12">
      <c r="A401" s="132">
        <v>399</v>
      </c>
      <c r="B401" s="111" t="s">
        <v>12263</v>
      </c>
      <c r="C401" s="111" t="s">
        <v>13023</v>
      </c>
      <c r="D401" s="313" t="s">
        <v>13024</v>
      </c>
      <c r="E401" s="111">
        <v>2020</v>
      </c>
      <c r="F401" s="111">
        <v>2020</v>
      </c>
      <c r="G401" s="128" t="s">
        <v>3359</v>
      </c>
      <c r="H401" s="111">
        <v>200</v>
      </c>
      <c r="I401" s="111">
        <v>200</v>
      </c>
      <c r="J401" s="102"/>
      <c r="K401" s="102"/>
      <c r="L401" s="105">
        <v>20201224</v>
      </c>
    </row>
    <row r="402" s="98" customFormat="1" ht="16" customHeight="1" spans="1:16376">
      <c r="A402" s="14">
        <v>400</v>
      </c>
      <c r="B402" s="13" t="s">
        <v>12263</v>
      </c>
      <c r="C402" s="13" t="s">
        <v>12547</v>
      </c>
      <c r="D402" s="314" t="s">
        <v>12548</v>
      </c>
      <c r="E402" s="13">
        <v>2020</v>
      </c>
      <c r="F402" s="13">
        <v>2020</v>
      </c>
      <c r="G402" s="17" t="s">
        <v>3359</v>
      </c>
      <c r="H402" s="13">
        <v>200</v>
      </c>
      <c r="I402" s="13">
        <v>200</v>
      </c>
      <c r="J402" s="5"/>
      <c r="K402" s="5"/>
      <c r="L402" s="105">
        <v>20201224</v>
      </c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8"/>
      <c r="DF402" s="148"/>
      <c r="DG402" s="148"/>
      <c r="DH402" s="148"/>
      <c r="DI402" s="148"/>
      <c r="DJ402" s="148"/>
      <c r="DK402" s="148"/>
      <c r="DL402" s="148"/>
      <c r="DM402" s="148"/>
      <c r="DN402" s="148"/>
      <c r="DO402" s="148"/>
      <c r="DP402" s="148"/>
      <c r="DQ402" s="148"/>
      <c r="DR402" s="148"/>
      <c r="DS402" s="148"/>
      <c r="DT402" s="148"/>
      <c r="DU402" s="148"/>
      <c r="DV402" s="148"/>
      <c r="DW402" s="148"/>
      <c r="DX402" s="148"/>
      <c r="DY402" s="148"/>
      <c r="DZ402" s="148"/>
      <c r="EA402" s="148"/>
      <c r="EB402" s="148"/>
      <c r="EC402" s="148"/>
      <c r="ED402" s="148"/>
      <c r="EE402" s="148"/>
      <c r="EF402" s="148"/>
      <c r="EG402" s="148"/>
      <c r="EH402" s="148"/>
      <c r="EI402" s="148"/>
      <c r="EJ402" s="148"/>
      <c r="EK402" s="148"/>
      <c r="EL402" s="148"/>
      <c r="EM402" s="148"/>
      <c r="EN402" s="148"/>
      <c r="EO402" s="148"/>
      <c r="EP402" s="148"/>
      <c r="EQ402" s="148"/>
      <c r="ER402" s="148"/>
      <c r="ES402" s="148"/>
      <c r="ET402" s="148"/>
      <c r="EU402" s="148"/>
      <c r="EV402" s="148"/>
      <c r="EW402" s="148"/>
      <c r="EX402" s="148"/>
      <c r="EY402" s="148"/>
      <c r="EZ402" s="148"/>
      <c r="FA402" s="148"/>
      <c r="FB402" s="148"/>
      <c r="FC402" s="148"/>
      <c r="FD402" s="148"/>
      <c r="FE402" s="148"/>
      <c r="FF402" s="148"/>
      <c r="FG402" s="148"/>
      <c r="FH402" s="148"/>
      <c r="FI402" s="148"/>
      <c r="FJ402" s="148"/>
      <c r="FK402" s="148"/>
      <c r="FL402" s="148"/>
      <c r="FM402" s="148"/>
      <c r="FN402" s="148"/>
      <c r="FO402" s="148"/>
      <c r="FP402" s="148"/>
      <c r="FQ402" s="148"/>
      <c r="FR402" s="148"/>
      <c r="FS402" s="148"/>
      <c r="FT402" s="148"/>
      <c r="FU402" s="148"/>
      <c r="FV402" s="148"/>
      <c r="FW402" s="148"/>
      <c r="FX402" s="148"/>
      <c r="FY402" s="148"/>
      <c r="FZ402" s="148"/>
      <c r="GA402" s="148"/>
      <c r="GB402" s="148"/>
      <c r="GC402" s="148"/>
      <c r="GD402" s="148"/>
      <c r="GE402" s="148"/>
      <c r="GF402" s="148"/>
      <c r="GG402" s="148"/>
      <c r="GH402" s="148"/>
      <c r="GI402" s="148"/>
      <c r="GJ402" s="148"/>
      <c r="GK402" s="148"/>
      <c r="GL402" s="148"/>
      <c r="GM402" s="148"/>
      <c r="GN402" s="148"/>
      <c r="GO402" s="148"/>
      <c r="GP402" s="148"/>
      <c r="GQ402" s="148"/>
      <c r="GR402" s="148"/>
      <c r="GS402" s="148"/>
      <c r="GT402" s="148"/>
      <c r="GU402" s="148"/>
      <c r="GV402" s="148"/>
      <c r="GW402" s="148"/>
      <c r="GX402" s="148"/>
      <c r="GY402" s="148"/>
      <c r="GZ402" s="148"/>
      <c r="HA402" s="148"/>
      <c r="HB402" s="148"/>
      <c r="HC402" s="148"/>
      <c r="HD402" s="148"/>
      <c r="HE402" s="148"/>
      <c r="HF402" s="148"/>
      <c r="HG402" s="148"/>
      <c r="HH402" s="148"/>
      <c r="HI402" s="148"/>
      <c r="HJ402" s="148"/>
      <c r="HK402" s="148"/>
      <c r="HL402" s="148"/>
      <c r="HM402" s="148"/>
      <c r="HN402" s="148"/>
      <c r="HO402" s="148"/>
      <c r="HP402" s="148"/>
      <c r="HQ402" s="148"/>
      <c r="HR402" s="148"/>
      <c r="HS402" s="148"/>
      <c r="HT402" s="148"/>
      <c r="HU402" s="148"/>
      <c r="HV402" s="148"/>
      <c r="HW402" s="148"/>
      <c r="HX402" s="148"/>
      <c r="HY402" s="148"/>
      <c r="HZ402" s="148"/>
      <c r="IA402" s="148"/>
      <c r="IB402" s="148"/>
      <c r="IC402" s="148"/>
      <c r="ID402" s="148"/>
      <c r="IE402" s="148"/>
      <c r="IF402" s="148"/>
      <c r="IG402" s="148"/>
      <c r="IH402" s="148"/>
      <c r="II402" s="148"/>
      <c r="IJ402" s="148"/>
      <c r="IK402" s="148"/>
      <c r="IL402" s="148"/>
      <c r="IM402" s="148"/>
      <c r="IN402" s="148"/>
      <c r="IO402" s="148"/>
      <c r="IP402" s="148"/>
      <c r="IQ402" s="148"/>
      <c r="IR402" s="148"/>
      <c r="IS402" s="148"/>
      <c r="IT402" s="148"/>
      <c r="IU402" s="148"/>
      <c r="IV402" s="148"/>
      <c r="IW402" s="148"/>
      <c r="IX402" s="148"/>
      <c r="IY402" s="148"/>
      <c r="IZ402" s="148"/>
      <c r="JA402" s="148"/>
      <c r="JB402" s="148"/>
      <c r="JC402" s="148"/>
      <c r="JD402" s="148"/>
      <c r="JE402" s="148"/>
      <c r="JF402" s="148"/>
      <c r="JG402" s="148"/>
      <c r="JH402" s="148"/>
      <c r="JI402" s="148"/>
      <c r="JJ402" s="148"/>
      <c r="JK402" s="148"/>
      <c r="JL402" s="148"/>
      <c r="JM402" s="148"/>
      <c r="JN402" s="148"/>
      <c r="JO402" s="148"/>
      <c r="JP402" s="148"/>
      <c r="JQ402" s="148"/>
      <c r="JR402" s="148"/>
      <c r="JS402" s="148"/>
      <c r="JT402" s="148"/>
      <c r="JU402" s="148"/>
      <c r="JV402" s="148"/>
      <c r="JW402" s="148"/>
      <c r="JX402" s="148"/>
      <c r="JY402" s="148"/>
      <c r="JZ402" s="148"/>
      <c r="KA402" s="148"/>
      <c r="KB402" s="148"/>
      <c r="KC402" s="148"/>
      <c r="KD402" s="148"/>
      <c r="KE402" s="148"/>
      <c r="KF402" s="148"/>
      <c r="KG402" s="148"/>
      <c r="KH402" s="148"/>
      <c r="KI402" s="148"/>
      <c r="KJ402" s="148"/>
      <c r="KK402" s="148"/>
      <c r="KL402" s="148"/>
      <c r="KM402" s="148"/>
      <c r="KN402" s="148"/>
      <c r="KO402" s="148"/>
      <c r="KP402" s="148"/>
      <c r="KQ402" s="148"/>
      <c r="KR402" s="148"/>
      <c r="KS402" s="148"/>
      <c r="KT402" s="148"/>
      <c r="KU402" s="148"/>
      <c r="KV402" s="148"/>
      <c r="KW402" s="148"/>
      <c r="KX402" s="148"/>
      <c r="KY402" s="148"/>
      <c r="KZ402" s="148"/>
      <c r="LA402" s="148"/>
      <c r="LB402" s="148"/>
      <c r="LC402" s="148"/>
      <c r="LD402" s="148"/>
      <c r="LE402" s="148"/>
      <c r="LF402" s="148"/>
      <c r="LG402" s="148"/>
      <c r="LH402" s="148"/>
      <c r="LI402" s="148"/>
      <c r="LJ402" s="148"/>
      <c r="LK402" s="148"/>
      <c r="LL402" s="148"/>
      <c r="LM402" s="148"/>
      <c r="LN402" s="148"/>
      <c r="LO402" s="148"/>
      <c r="LP402" s="148"/>
      <c r="LQ402" s="148"/>
      <c r="LR402" s="148"/>
      <c r="LS402" s="148"/>
      <c r="LT402" s="148"/>
      <c r="LU402" s="148"/>
      <c r="LV402" s="148"/>
      <c r="LW402" s="148"/>
      <c r="LX402" s="148"/>
      <c r="LY402" s="148"/>
      <c r="LZ402" s="148"/>
      <c r="MA402" s="148"/>
      <c r="MB402" s="148"/>
      <c r="MC402" s="148"/>
      <c r="MD402" s="148"/>
      <c r="ME402" s="148"/>
      <c r="MF402" s="148"/>
      <c r="MG402" s="148"/>
      <c r="MH402" s="148"/>
      <c r="MI402" s="148"/>
      <c r="MJ402" s="148"/>
      <c r="MK402" s="148"/>
      <c r="ML402" s="148"/>
      <c r="MM402" s="148"/>
      <c r="MN402" s="148"/>
      <c r="MO402" s="148"/>
      <c r="MP402" s="148"/>
      <c r="MQ402" s="148"/>
      <c r="MR402" s="148"/>
      <c r="MS402" s="148"/>
      <c r="MT402" s="148"/>
      <c r="MU402" s="148"/>
      <c r="MV402" s="148"/>
      <c r="MW402" s="148"/>
      <c r="MX402" s="148"/>
      <c r="MY402" s="148"/>
      <c r="MZ402" s="148"/>
      <c r="NA402" s="148"/>
      <c r="NB402" s="148"/>
      <c r="NC402" s="148"/>
      <c r="ND402" s="148"/>
      <c r="NE402" s="148"/>
      <c r="NF402" s="148"/>
      <c r="NG402" s="148"/>
      <c r="NH402" s="148"/>
      <c r="NI402" s="148"/>
      <c r="NJ402" s="148"/>
      <c r="NK402" s="148"/>
      <c r="NL402" s="148"/>
      <c r="NM402" s="148"/>
      <c r="NN402" s="148"/>
      <c r="NO402" s="148"/>
      <c r="NP402" s="148"/>
      <c r="NQ402" s="148"/>
      <c r="NR402" s="148"/>
      <c r="NS402" s="148"/>
      <c r="NT402" s="148"/>
      <c r="NU402" s="148"/>
      <c r="NV402" s="148"/>
      <c r="NW402" s="148"/>
      <c r="NX402" s="148"/>
      <c r="NY402" s="148"/>
      <c r="NZ402" s="148"/>
      <c r="OA402" s="148"/>
      <c r="OB402" s="148"/>
      <c r="OC402" s="148"/>
      <c r="OD402" s="148"/>
      <c r="OE402" s="148"/>
      <c r="OF402" s="148"/>
      <c r="OG402" s="148"/>
      <c r="OH402" s="148"/>
      <c r="OI402" s="148"/>
      <c r="OJ402" s="148"/>
      <c r="OK402" s="148"/>
      <c r="OL402" s="148"/>
      <c r="OM402" s="148"/>
      <c r="ON402" s="148"/>
      <c r="OO402" s="148"/>
      <c r="OP402" s="148"/>
      <c r="OQ402" s="148"/>
      <c r="OR402" s="148"/>
      <c r="OS402" s="148"/>
      <c r="OT402" s="148"/>
      <c r="OU402" s="148"/>
      <c r="OV402" s="148"/>
      <c r="OW402" s="148"/>
      <c r="OX402" s="148"/>
      <c r="OY402" s="148"/>
      <c r="OZ402" s="148"/>
      <c r="PA402" s="148"/>
      <c r="PB402" s="148"/>
      <c r="PC402" s="148"/>
      <c r="PD402" s="148"/>
      <c r="PE402" s="148"/>
      <c r="PF402" s="148"/>
      <c r="PG402" s="148"/>
      <c r="PH402" s="148"/>
      <c r="PI402" s="148"/>
      <c r="PJ402" s="148"/>
      <c r="PK402" s="148"/>
      <c r="PL402" s="148"/>
      <c r="PM402" s="148"/>
      <c r="PN402" s="148"/>
      <c r="PO402" s="148"/>
      <c r="PP402" s="148"/>
      <c r="PQ402" s="148"/>
      <c r="PR402" s="148"/>
      <c r="PS402" s="148"/>
      <c r="PT402" s="148"/>
      <c r="PU402" s="148"/>
      <c r="PV402" s="148"/>
      <c r="PW402" s="148"/>
      <c r="PX402" s="148"/>
      <c r="PY402" s="148"/>
      <c r="PZ402" s="148"/>
      <c r="QA402" s="148"/>
      <c r="QB402" s="148"/>
      <c r="QC402" s="148"/>
      <c r="QD402" s="148"/>
      <c r="QE402" s="148"/>
      <c r="QF402" s="148"/>
      <c r="QG402" s="148"/>
      <c r="QH402" s="148"/>
      <c r="QI402" s="148"/>
      <c r="QJ402" s="148"/>
      <c r="QK402" s="148"/>
      <c r="QL402" s="148"/>
      <c r="QM402" s="148"/>
      <c r="QN402" s="148"/>
      <c r="QO402" s="148"/>
      <c r="QP402" s="148"/>
      <c r="QQ402" s="148"/>
      <c r="QR402" s="148"/>
      <c r="QS402" s="148"/>
      <c r="QT402" s="148"/>
      <c r="QU402" s="148"/>
      <c r="QV402" s="148"/>
      <c r="QW402" s="148"/>
      <c r="QX402" s="148"/>
      <c r="QY402" s="148"/>
      <c r="QZ402" s="148"/>
      <c r="RA402" s="148"/>
      <c r="RB402" s="148"/>
      <c r="RC402" s="148"/>
      <c r="RD402" s="148"/>
      <c r="RE402" s="148"/>
      <c r="RF402" s="148"/>
      <c r="RG402" s="148"/>
      <c r="RH402" s="148"/>
      <c r="RI402" s="148"/>
      <c r="RJ402" s="148"/>
      <c r="RK402" s="148"/>
      <c r="RL402" s="148"/>
      <c r="RM402" s="148"/>
      <c r="RN402" s="148"/>
      <c r="RO402" s="148"/>
      <c r="RP402" s="148"/>
      <c r="RQ402" s="148"/>
      <c r="RR402" s="148"/>
      <c r="RS402" s="148"/>
      <c r="RT402" s="148"/>
      <c r="RU402" s="148"/>
      <c r="RV402" s="148"/>
      <c r="RW402" s="148"/>
      <c r="RX402" s="148"/>
      <c r="RY402" s="148"/>
      <c r="RZ402" s="148"/>
      <c r="SA402" s="148"/>
      <c r="SB402" s="148"/>
      <c r="SC402" s="148"/>
      <c r="SD402" s="148"/>
      <c r="SE402" s="148"/>
      <c r="SF402" s="148"/>
      <c r="SG402" s="148"/>
      <c r="SH402" s="148"/>
      <c r="SI402" s="148"/>
      <c r="SJ402" s="148"/>
      <c r="SK402" s="148"/>
      <c r="SL402" s="148"/>
      <c r="SM402" s="148"/>
      <c r="SN402" s="148"/>
      <c r="SO402" s="148"/>
      <c r="SP402" s="148"/>
      <c r="SQ402" s="148"/>
      <c r="SR402" s="148"/>
      <c r="SS402" s="148"/>
      <c r="ST402" s="148"/>
      <c r="SU402" s="148"/>
      <c r="SV402" s="148"/>
      <c r="SW402" s="148"/>
      <c r="SX402" s="148"/>
      <c r="SY402" s="148"/>
      <c r="SZ402" s="148"/>
      <c r="TA402" s="148"/>
      <c r="TB402" s="148"/>
      <c r="TC402" s="148"/>
      <c r="TD402" s="148"/>
      <c r="TE402" s="148"/>
      <c r="TF402" s="148"/>
      <c r="TG402" s="148"/>
      <c r="TH402" s="148"/>
      <c r="TI402" s="148"/>
      <c r="TJ402" s="148"/>
      <c r="TK402" s="148"/>
      <c r="TL402" s="148"/>
      <c r="TM402" s="148"/>
      <c r="TN402" s="148"/>
      <c r="TO402" s="148"/>
      <c r="TP402" s="148"/>
      <c r="TQ402" s="148"/>
      <c r="TR402" s="148"/>
      <c r="TS402" s="148"/>
      <c r="TT402" s="148"/>
      <c r="TU402" s="148"/>
      <c r="TV402" s="148"/>
      <c r="TW402" s="148"/>
      <c r="TX402" s="148"/>
      <c r="TY402" s="148"/>
      <c r="TZ402" s="148"/>
      <c r="UA402" s="148"/>
      <c r="UB402" s="148"/>
      <c r="UC402" s="148"/>
      <c r="UD402" s="148"/>
      <c r="UE402" s="148"/>
      <c r="UF402" s="148"/>
      <c r="UG402" s="148"/>
      <c r="UH402" s="148"/>
      <c r="UI402" s="148"/>
      <c r="UJ402" s="148"/>
      <c r="UK402" s="148"/>
      <c r="UL402" s="148"/>
      <c r="UM402" s="148"/>
      <c r="UN402" s="148"/>
      <c r="UO402" s="148"/>
      <c r="UP402" s="148"/>
      <c r="UQ402" s="148"/>
      <c r="UR402" s="148"/>
      <c r="US402" s="148"/>
      <c r="UT402" s="148"/>
      <c r="UU402" s="148"/>
      <c r="UV402" s="148"/>
      <c r="UW402" s="148"/>
      <c r="UX402" s="148"/>
      <c r="UY402" s="148"/>
      <c r="UZ402" s="148"/>
      <c r="VA402" s="148"/>
      <c r="VB402" s="148"/>
      <c r="VC402" s="148"/>
      <c r="VD402" s="148"/>
      <c r="VE402" s="148"/>
      <c r="VF402" s="148"/>
      <c r="VG402" s="148"/>
      <c r="VH402" s="148"/>
      <c r="VI402" s="148"/>
      <c r="VJ402" s="148"/>
      <c r="VK402" s="148"/>
      <c r="VL402" s="148"/>
      <c r="VM402" s="148"/>
      <c r="VN402" s="148"/>
      <c r="VO402" s="148"/>
      <c r="VP402" s="148"/>
      <c r="VQ402" s="148"/>
      <c r="VR402" s="148"/>
      <c r="VS402" s="148"/>
      <c r="VT402" s="148"/>
      <c r="VU402" s="148"/>
      <c r="VV402" s="148"/>
      <c r="VW402" s="148"/>
      <c r="VX402" s="148"/>
      <c r="VY402" s="148"/>
      <c r="VZ402" s="148"/>
      <c r="WA402" s="148"/>
      <c r="WB402" s="148"/>
      <c r="WC402" s="148"/>
      <c r="WD402" s="148"/>
      <c r="WE402" s="148"/>
      <c r="WF402" s="148"/>
      <c r="WG402" s="148"/>
      <c r="WH402" s="148"/>
      <c r="WI402" s="148"/>
      <c r="WJ402" s="148"/>
      <c r="WK402" s="148"/>
      <c r="WL402" s="148"/>
      <c r="WM402" s="148"/>
      <c r="WN402" s="148"/>
      <c r="WO402" s="148"/>
      <c r="WP402" s="148"/>
      <c r="WQ402" s="148"/>
      <c r="WR402" s="148"/>
      <c r="WS402" s="148"/>
      <c r="WT402" s="148"/>
      <c r="WU402" s="148"/>
      <c r="WV402" s="148"/>
      <c r="WW402" s="148"/>
      <c r="WX402" s="148"/>
      <c r="WY402" s="148"/>
      <c r="WZ402" s="148"/>
      <c r="XA402" s="148"/>
      <c r="XB402" s="148"/>
      <c r="XC402" s="148"/>
      <c r="XD402" s="148"/>
      <c r="XE402" s="148"/>
      <c r="XF402" s="148"/>
      <c r="XG402" s="148"/>
      <c r="XH402" s="148"/>
      <c r="XI402" s="148"/>
      <c r="XJ402" s="148"/>
      <c r="XK402" s="148"/>
      <c r="XL402" s="148"/>
      <c r="XM402" s="148"/>
      <c r="XN402" s="148"/>
      <c r="XO402" s="148"/>
      <c r="XP402" s="148"/>
      <c r="XQ402" s="148"/>
      <c r="XR402" s="148"/>
      <c r="XS402" s="148"/>
      <c r="XT402" s="148"/>
      <c r="XU402" s="148"/>
      <c r="XV402" s="148"/>
      <c r="XW402" s="148"/>
      <c r="XX402" s="148"/>
      <c r="XY402" s="148"/>
      <c r="XZ402" s="148"/>
      <c r="YA402" s="148"/>
      <c r="YB402" s="148"/>
      <c r="YC402" s="148"/>
      <c r="YD402" s="148"/>
      <c r="YE402" s="148"/>
      <c r="YF402" s="148"/>
      <c r="YG402" s="148"/>
      <c r="YH402" s="148"/>
      <c r="YI402" s="148"/>
      <c r="YJ402" s="148"/>
      <c r="YK402" s="148"/>
      <c r="YL402" s="148"/>
      <c r="YM402" s="148"/>
      <c r="YN402" s="148"/>
      <c r="YO402" s="148"/>
      <c r="YP402" s="148"/>
      <c r="YQ402" s="148"/>
      <c r="YR402" s="148"/>
      <c r="YS402" s="148"/>
      <c r="YT402" s="148"/>
      <c r="YU402" s="148"/>
      <c r="YV402" s="148"/>
      <c r="YW402" s="148"/>
      <c r="YX402" s="148"/>
      <c r="YY402" s="148"/>
      <c r="YZ402" s="148"/>
      <c r="ZA402" s="148"/>
      <c r="ZB402" s="148"/>
      <c r="ZC402" s="148"/>
      <c r="ZD402" s="148"/>
      <c r="ZE402" s="148"/>
      <c r="ZF402" s="148"/>
      <c r="ZG402" s="148"/>
      <c r="ZH402" s="148"/>
      <c r="ZI402" s="148"/>
      <c r="ZJ402" s="148"/>
      <c r="ZK402" s="148"/>
      <c r="ZL402" s="148"/>
      <c r="ZM402" s="148"/>
      <c r="ZN402" s="148"/>
      <c r="ZO402" s="148"/>
      <c r="ZP402" s="148"/>
      <c r="ZQ402" s="148"/>
      <c r="ZR402" s="148"/>
      <c r="ZS402" s="148"/>
      <c r="ZT402" s="148"/>
      <c r="ZU402" s="148"/>
      <c r="ZV402" s="148"/>
      <c r="ZW402" s="148"/>
      <c r="ZX402" s="148"/>
      <c r="ZY402" s="148"/>
      <c r="ZZ402" s="148"/>
      <c r="AAA402" s="148"/>
      <c r="AAB402" s="148"/>
      <c r="AAC402" s="148"/>
      <c r="AAD402" s="148"/>
      <c r="AAE402" s="148"/>
      <c r="AAF402" s="148"/>
      <c r="AAG402" s="148"/>
      <c r="AAH402" s="148"/>
      <c r="AAI402" s="148"/>
      <c r="AAJ402" s="148"/>
      <c r="AAK402" s="148"/>
      <c r="AAL402" s="148"/>
      <c r="AAM402" s="148"/>
      <c r="AAN402" s="148"/>
      <c r="AAO402" s="148"/>
      <c r="AAP402" s="148"/>
      <c r="AAQ402" s="148"/>
      <c r="AAR402" s="148"/>
      <c r="AAS402" s="148"/>
      <c r="AAT402" s="148"/>
      <c r="AAU402" s="148"/>
      <c r="AAV402" s="148"/>
      <c r="AAW402" s="148"/>
      <c r="AAX402" s="148"/>
      <c r="AAY402" s="148"/>
      <c r="AAZ402" s="148"/>
      <c r="ABA402" s="148"/>
      <c r="ABB402" s="148"/>
      <c r="ABC402" s="148"/>
      <c r="ABD402" s="148"/>
      <c r="ABE402" s="148"/>
      <c r="ABF402" s="148"/>
      <c r="ABG402" s="148"/>
      <c r="ABH402" s="148"/>
      <c r="ABI402" s="148"/>
      <c r="ABJ402" s="148"/>
      <c r="ABK402" s="148"/>
      <c r="ABL402" s="148"/>
      <c r="ABM402" s="148"/>
      <c r="ABN402" s="148"/>
      <c r="ABO402" s="148"/>
      <c r="ABP402" s="148"/>
      <c r="ABQ402" s="148"/>
      <c r="ABR402" s="148"/>
      <c r="ABS402" s="148"/>
      <c r="ABT402" s="148"/>
      <c r="ABU402" s="148"/>
      <c r="ABV402" s="148"/>
      <c r="ABW402" s="148"/>
      <c r="ABX402" s="148"/>
      <c r="ABY402" s="148"/>
      <c r="ABZ402" s="148"/>
      <c r="ACA402" s="148"/>
      <c r="ACB402" s="148"/>
      <c r="ACC402" s="148"/>
      <c r="ACD402" s="148"/>
      <c r="ACE402" s="148"/>
      <c r="ACF402" s="148"/>
      <c r="ACG402" s="148"/>
      <c r="ACH402" s="148"/>
      <c r="ACI402" s="148"/>
      <c r="ACJ402" s="148"/>
      <c r="ACK402" s="148"/>
      <c r="ACL402" s="148"/>
      <c r="ACM402" s="148"/>
      <c r="ACN402" s="148"/>
      <c r="ACO402" s="148"/>
      <c r="ACP402" s="148"/>
      <c r="ACQ402" s="148"/>
      <c r="ACR402" s="148"/>
      <c r="ACS402" s="148"/>
      <c r="ACT402" s="148"/>
      <c r="ACU402" s="148"/>
      <c r="ACV402" s="148"/>
      <c r="ACW402" s="148"/>
      <c r="ACX402" s="148"/>
      <c r="ACY402" s="148"/>
      <c r="ACZ402" s="148"/>
      <c r="ADA402" s="148"/>
      <c r="ADB402" s="148"/>
      <c r="ADC402" s="148"/>
      <c r="ADD402" s="148"/>
      <c r="ADE402" s="148"/>
      <c r="ADF402" s="148"/>
      <c r="ADG402" s="148"/>
      <c r="ADH402" s="148"/>
      <c r="ADI402" s="148"/>
      <c r="ADJ402" s="148"/>
      <c r="ADK402" s="148"/>
      <c r="ADL402" s="148"/>
      <c r="ADM402" s="148"/>
      <c r="ADN402" s="148"/>
      <c r="ADO402" s="148"/>
      <c r="ADP402" s="148"/>
      <c r="ADQ402" s="148"/>
      <c r="ADR402" s="148"/>
      <c r="ADS402" s="148"/>
      <c r="ADT402" s="148"/>
      <c r="ADU402" s="148"/>
      <c r="ADV402" s="148"/>
      <c r="ADW402" s="148"/>
      <c r="ADX402" s="148"/>
      <c r="ADY402" s="148"/>
      <c r="ADZ402" s="148"/>
      <c r="AEA402" s="148"/>
      <c r="AEB402" s="148"/>
      <c r="AEC402" s="148"/>
      <c r="AED402" s="148"/>
      <c r="AEE402" s="148"/>
      <c r="AEF402" s="148"/>
      <c r="AEG402" s="148"/>
      <c r="AEH402" s="148"/>
      <c r="AEI402" s="148"/>
      <c r="AEJ402" s="148"/>
      <c r="AEK402" s="148"/>
      <c r="AEL402" s="148"/>
      <c r="AEM402" s="148"/>
      <c r="AEN402" s="148"/>
      <c r="AEO402" s="148"/>
      <c r="AEP402" s="148"/>
      <c r="AEQ402" s="148"/>
      <c r="AER402" s="148"/>
      <c r="AES402" s="148"/>
      <c r="AET402" s="148"/>
      <c r="AEU402" s="148"/>
      <c r="AEV402" s="148"/>
      <c r="AEW402" s="148"/>
      <c r="AEX402" s="148"/>
      <c r="AEY402" s="148"/>
      <c r="AEZ402" s="148"/>
      <c r="AFA402" s="148"/>
      <c r="AFB402" s="148"/>
      <c r="AFC402" s="148"/>
      <c r="AFD402" s="148"/>
      <c r="AFE402" s="148"/>
      <c r="AFF402" s="148"/>
      <c r="AFG402" s="148"/>
      <c r="AFH402" s="148"/>
      <c r="AFI402" s="148"/>
      <c r="AFJ402" s="148"/>
      <c r="AFK402" s="148"/>
      <c r="AFL402" s="148"/>
      <c r="AFM402" s="148"/>
      <c r="AFN402" s="148"/>
      <c r="AFO402" s="148"/>
      <c r="AFP402" s="148"/>
      <c r="AFQ402" s="148"/>
      <c r="AFR402" s="148"/>
      <c r="AFS402" s="148"/>
      <c r="AFT402" s="148"/>
      <c r="AFU402" s="148"/>
      <c r="AFV402" s="148"/>
      <c r="AFW402" s="148"/>
      <c r="AFX402" s="148"/>
      <c r="AFY402" s="148"/>
      <c r="AFZ402" s="148"/>
      <c r="AGA402" s="148"/>
      <c r="AGB402" s="148"/>
      <c r="AGC402" s="148"/>
      <c r="AGD402" s="148"/>
      <c r="AGE402" s="148"/>
      <c r="AGF402" s="148"/>
      <c r="AGG402" s="148"/>
      <c r="AGH402" s="148"/>
      <c r="AGI402" s="148"/>
      <c r="AGJ402" s="148"/>
      <c r="AGK402" s="148"/>
      <c r="AGL402" s="148"/>
      <c r="AGM402" s="148"/>
      <c r="AGN402" s="148"/>
      <c r="AGO402" s="148"/>
      <c r="AGP402" s="148"/>
      <c r="AGQ402" s="148"/>
      <c r="AGR402" s="148"/>
      <c r="AGS402" s="148"/>
      <c r="AGT402" s="148"/>
      <c r="AGU402" s="148"/>
      <c r="AGV402" s="148"/>
      <c r="AGW402" s="148"/>
      <c r="AGX402" s="148"/>
      <c r="AGY402" s="148"/>
      <c r="AGZ402" s="148"/>
      <c r="AHA402" s="148"/>
      <c r="AHB402" s="148"/>
      <c r="AHC402" s="148"/>
      <c r="AHD402" s="148"/>
      <c r="AHE402" s="148"/>
      <c r="AHF402" s="148"/>
      <c r="AHG402" s="148"/>
      <c r="AHH402" s="148"/>
      <c r="AHI402" s="148"/>
      <c r="AHJ402" s="148"/>
      <c r="AHK402" s="148"/>
      <c r="AHL402" s="148"/>
      <c r="AHM402" s="148"/>
      <c r="AHN402" s="148"/>
      <c r="AHO402" s="148"/>
      <c r="AHP402" s="148"/>
      <c r="AHQ402" s="148"/>
      <c r="AHR402" s="148"/>
      <c r="AHS402" s="148"/>
      <c r="AHT402" s="148"/>
      <c r="AHU402" s="148"/>
      <c r="AHV402" s="148"/>
      <c r="AHW402" s="148"/>
      <c r="AHX402" s="148"/>
      <c r="AHY402" s="148"/>
      <c r="AHZ402" s="148"/>
      <c r="AIA402" s="148"/>
      <c r="AIB402" s="148"/>
      <c r="AIC402" s="148"/>
      <c r="AID402" s="148"/>
      <c r="AIE402" s="148"/>
      <c r="AIF402" s="148"/>
      <c r="AIG402" s="148"/>
      <c r="AIH402" s="148"/>
      <c r="AII402" s="148"/>
      <c r="AIJ402" s="148"/>
      <c r="AIK402" s="148"/>
      <c r="AIL402" s="148"/>
      <c r="AIM402" s="148"/>
      <c r="AIN402" s="148"/>
      <c r="AIO402" s="148"/>
      <c r="AIP402" s="148"/>
      <c r="AIQ402" s="148"/>
      <c r="AIR402" s="148"/>
      <c r="AIS402" s="148"/>
      <c r="AIT402" s="148"/>
      <c r="AIU402" s="148"/>
      <c r="AIV402" s="148"/>
      <c r="AIW402" s="148"/>
      <c r="AIX402" s="148"/>
      <c r="AIY402" s="148"/>
      <c r="AIZ402" s="148"/>
      <c r="AJA402" s="148"/>
      <c r="AJB402" s="148"/>
      <c r="AJC402" s="148"/>
      <c r="AJD402" s="148"/>
      <c r="AJE402" s="148"/>
      <c r="AJF402" s="148"/>
      <c r="AJG402" s="148"/>
      <c r="AJH402" s="148"/>
      <c r="AJI402" s="148"/>
      <c r="AJJ402" s="148"/>
      <c r="AJK402" s="148"/>
      <c r="AJL402" s="148"/>
      <c r="AJM402" s="148"/>
      <c r="AJN402" s="148"/>
      <c r="AJO402" s="148"/>
      <c r="AJP402" s="148"/>
      <c r="AJQ402" s="148"/>
      <c r="AJR402" s="148"/>
      <c r="AJS402" s="148"/>
      <c r="AJT402" s="148"/>
      <c r="AJU402" s="148"/>
      <c r="AJV402" s="148"/>
      <c r="AJW402" s="148"/>
      <c r="AJX402" s="148"/>
      <c r="AJY402" s="148"/>
      <c r="AJZ402" s="148"/>
      <c r="AKA402" s="148"/>
      <c r="AKB402" s="148"/>
      <c r="AKC402" s="148"/>
      <c r="AKD402" s="148"/>
      <c r="AKE402" s="148"/>
      <c r="AKF402" s="148"/>
      <c r="AKG402" s="148"/>
      <c r="AKH402" s="148"/>
      <c r="AKI402" s="148"/>
      <c r="AKJ402" s="148"/>
      <c r="AKK402" s="148"/>
      <c r="AKL402" s="148"/>
      <c r="AKM402" s="148"/>
      <c r="AKN402" s="148"/>
      <c r="AKO402" s="148"/>
      <c r="AKP402" s="148"/>
      <c r="AKQ402" s="148"/>
      <c r="AKR402" s="148"/>
      <c r="AKS402" s="148"/>
      <c r="AKT402" s="148"/>
      <c r="AKU402" s="148"/>
      <c r="AKV402" s="148"/>
      <c r="AKW402" s="148"/>
      <c r="AKX402" s="148"/>
      <c r="AKY402" s="148"/>
      <c r="AKZ402" s="148"/>
      <c r="ALA402" s="148"/>
      <c r="ALB402" s="148"/>
      <c r="ALC402" s="148"/>
      <c r="ALD402" s="148"/>
      <c r="ALE402" s="148"/>
      <c r="ALF402" s="148"/>
      <c r="ALG402" s="148"/>
      <c r="ALH402" s="148"/>
      <c r="ALI402" s="148"/>
      <c r="ALJ402" s="148"/>
      <c r="ALK402" s="148"/>
      <c r="ALL402" s="148"/>
      <c r="ALM402" s="148"/>
      <c r="ALN402" s="148"/>
      <c r="ALO402" s="148"/>
      <c r="ALP402" s="148"/>
      <c r="ALQ402" s="148"/>
      <c r="ALR402" s="148"/>
      <c r="ALS402" s="148"/>
      <c r="ALT402" s="148"/>
      <c r="ALU402" s="148"/>
      <c r="ALV402" s="148"/>
      <c r="ALW402" s="148"/>
      <c r="ALX402" s="148"/>
      <c r="ALY402" s="148"/>
      <c r="ALZ402" s="148"/>
      <c r="AMA402" s="148"/>
      <c r="AMB402" s="148"/>
      <c r="AMC402" s="148"/>
      <c r="AMD402" s="148"/>
      <c r="AME402" s="148"/>
      <c r="AMF402" s="148"/>
      <c r="AMG402" s="148"/>
      <c r="AMH402" s="148"/>
      <c r="AMI402" s="148"/>
      <c r="AMJ402" s="148"/>
      <c r="AMK402" s="148"/>
      <c r="AML402" s="148"/>
      <c r="AMM402" s="148"/>
      <c r="AMN402" s="148"/>
      <c r="AMO402" s="148"/>
      <c r="AMP402" s="148"/>
      <c r="AMQ402" s="148"/>
      <c r="AMR402" s="148"/>
      <c r="AMS402" s="148"/>
      <c r="AMT402" s="148"/>
      <c r="AMU402" s="148"/>
      <c r="AMV402" s="148"/>
      <c r="AMW402" s="148"/>
      <c r="AMX402" s="148"/>
      <c r="AMY402" s="148"/>
      <c r="AMZ402" s="148"/>
      <c r="ANA402" s="148"/>
      <c r="ANB402" s="148"/>
      <c r="ANC402" s="148"/>
      <c r="AND402" s="148"/>
      <c r="ANE402" s="148"/>
      <c r="ANF402" s="148"/>
      <c r="ANG402" s="148"/>
      <c r="ANH402" s="148"/>
      <c r="ANI402" s="148"/>
      <c r="ANJ402" s="148"/>
      <c r="ANK402" s="148"/>
      <c r="ANL402" s="148"/>
      <c r="ANM402" s="148"/>
      <c r="ANN402" s="148"/>
      <c r="ANO402" s="148"/>
      <c r="ANP402" s="148"/>
      <c r="ANQ402" s="148"/>
      <c r="ANR402" s="148"/>
      <c r="ANS402" s="148"/>
      <c r="ANT402" s="148"/>
      <c r="ANU402" s="148"/>
      <c r="ANV402" s="148"/>
      <c r="ANW402" s="148"/>
      <c r="ANX402" s="148"/>
      <c r="ANY402" s="148"/>
      <c r="ANZ402" s="148"/>
      <c r="AOA402" s="148"/>
      <c r="AOB402" s="148"/>
      <c r="AOC402" s="148"/>
      <c r="AOD402" s="148"/>
      <c r="AOE402" s="148"/>
      <c r="AOF402" s="148"/>
      <c r="AOG402" s="148"/>
      <c r="AOH402" s="148"/>
      <c r="AOI402" s="148"/>
      <c r="AOJ402" s="148"/>
      <c r="AOK402" s="148"/>
      <c r="AOL402" s="148"/>
      <c r="AOM402" s="148"/>
      <c r="AON402" s="148"/>
      <c r="AOO402" s="148"/>
      <c r="AOP402" s="148"/>
      <c r="AOQ402" s="148"/>
      <c r="AOR402" s="148"/>
      <c r="AOS402" s="148"/>
      <c r="AOT402" s="148"/>
      <c r="AOU402" s="148"/>
      <c r="AOV402" s="148"/>
      <c r="AOW402" s="148"/>
      <c r="AOX402" s="148"/>
      <c r="AOY402" s="148"/>
      <c r="AOZ402" s="148"/>
      <c r="APA402" s="148"/>
      <c r="APB402" s="148"/>
      <c r="APC402" s="148"/>
      <c r="APD402" s="148"/>
      <c r="APE402" s="148"/>
      <c r="APF402" s="148"/>
      <c r="APG402" s="148"/>
      <c r="APH402" s="148"/>
      <c r="API402" s="148"/>
      <c r="APJ402" s="148"/>
      <c r="APK402" s="148"/>
      <c r="APL402" s="148"/>
      <c r="APM402" s="148"/>
      <c r="APN402" s="148"/>
      <c r="APO402" s="148"/>
      <c r="APP402" s="148"/>
      <c r="APQ402" s="148"/>
      <c r="APR402" s="148"/>
      <c r="APS402" s="148"/>
      <c r="APT402" s="148"/>
      <c r="APU402" s="148"/>
      <c r="APV402" s="148"/>
      <c r="APW402" s="148"/>
      <c r="APX402" s="148"/>
      <c r="APY402" s="148"/>
      <c r="APZ402" s="148"/>
      <c r="AQA402" s="148"/>
      <c r="AQB402" s="148"/>
      <c r="AQC402" s="148"/>
      <c r="AQD402" s="148"/>
      <c r="AQE402" s="148"/>
      <c r="AQF402" s="148"/>
      <c r="AQG402" s="148"/>
      <c r="AQH402" s="148"/>
      <c r="AQI402" s="148"/>
      <c r="AQJ402" s="148"/>
      <c r="AQK402" s="148"/>
      <c r="AQL402" s="148"/>
      <c r="AQM402" s="148"/>
      <c r="AQN402" s="148"/>
      <c r="AQO402" s="148"/>
      <c r="AQP402" s="148"/>
      <c r="AQQ402" s="148"/>
      <c r="AQR402" s="148"/>
      <c r="AQS402" s="148"/>
      <c r="AQT402" s="148"/>
      <c r="AQU402" s="148"/>
      <c r="AQV402" s="148"/>
      <c r="AQW402" s="148"/>
      <c r="AQX402" s="148"/>
      <c r="AQY402" s="148"/>
      <c r="AQZ402" s="148"/>
      <c r="ARA402" s="148"/>
      <c r="ARB402" s="148"/>
      <c r="ARC402" s="148"/>
      <c r="ARD402" s="148"/>
      <c r="ARE402" s="148"/>
      <c r="ARF402" s="148"/>
      <c r="ARG402" s="148"/>
      <c r="ARH402" s="148"/>
      <c r="ARI402" s="148"/>
      <c r="ARJ402" s="148"/>
      <c r="ARK402" s="148"/>
      <c r="ARL402" s="148"/>
      <c r="ARM402" s="148"/>
      <c r="ARN402" s="148"/>
      <c r="ARO402" s="148"/>
      <c r="ARP402" s="148"/>
      <c r="ARQ402" s="148"/>
      <c r="ARR402" s="148"/>
      <c r="ARS402" s="148"/>
      <c r="ART402" s="148"/>
      <c r="ARU402" s="148"/>
      <c r="ARV402" s="148"/>
      <c r="ARW402" s="148"/>
      <c r="ARX402" s="148"/>
      <c r="ARY402" s="148"/>
      <c r="ARZ402" s="148"/>
      <c r="ASA402" s="148"/>
      <c r="ASB402" s="148"/>
      <c r="ASC402" s="148"/>
      <c r="ASD402" s="148"/>
      <c r="ASE402" s="148"/>
      <c r="ASF402" s="148"/>
      <c r="ASG402" s="148"/>
      <c r="ASH402" s="148"/>
      <c r="ASI402" s="148"/>
      <c r="ASJ402" s="148"/>
      <c r="ASK402" s="148"/>
      <c r="ASL402" s="148"/>
      <c r="ASM402" s="148"/>
      <c r="ASN402" s="148"/>
      <c r="ASO402" s="148"/>
      <c r="ASP402" s="148"/>
      <c r="ASQ402" s="148"/>
      <c r="ASR402" s="148"/>
      <c r="ASS402" s="148"/>
      <c r="AST402" s="148"/>
      <c r="ASU402" s="148"/>
      <c r="ASV402" s="148"/>
      <c r="ASW402" s="148"/>
      <c r="ASX402" s="148"/>
      <c r="ASY402" s="148"/>
      <c r="ASZ402" s="148"/>
      <c r="ATA402" s="148"/>
      <c r="ATB402" s="148"/>
      <c r="ATC402" s="148"/>
      <c r="ATD402" s="148"/>
      <c r="ATE402" s="148"/>
      <c r="ATF402" s="148"/>
      <c r="ATG402" s="148"/>
      <c r="ATH402" s="148"/>
      <c r="ATI402" s="148"/>
      <c r="ATJ402" s="148"/>
      <c r="ATK402" s="148"/>
      <c r="ATL402" s="148"/>
      <c r="ATM402" s="148"/>
      <c r="ATN402" s="148"/>
      <c r="ATO402" s="148"/>
      <c r="ATP402" s="148"/>
      <c r="ATQ402" s="148"/>
      <c r="ATR402" s="148"/>
      <c r="ATS402" s="148"/>
      <c r="ATT402" s="148"/>
      <c r="ATU402" s="148"/>
      <c r="ATV402" s="148"/>
      <c r="ATW402" s="148"/>
      <c r="ATX402" s="148"/>
      <c r="ATY402" s="148"/>
      <c r="ATZ402" s="148"/>
      <c r="AUA402" s="148"/>
      <c r="AUB402" s="148"/>
      <c r="AUC402" s="148"/>
      <c r="AUD402" s="148"/>
      <c r="AUE402" s="148"/>
      <c r="AUF402" s="148"/>
      <c r="AUG402" s="148"/>
      <c r="AUH402" s="148"/>
      <c r="AUI402" s="148"/>
      <c r="AUJ402" s="148"/>
      <c r="AUK402" s="148"/>
      <c r="AUL402" s="148"/>
      <c r="AUM402" s="148"/>
      <c r="AUN402" s="148"/>
      <c r="AUO402" s="148"/>
      <c r="AUP402" s="148"/>
      <c r="AUQ402" s="148"/>
      <c r="AUR402" s="148"/>
      <c r="AUS402" s="148"/>
      <c r="AUT402" s="148"/>
      <c r="AUU402" s="148"/>
      <c r="AUV402" s="148"/>
      <c r="AUW402" s="148"/>
      <c r="AUX402" s="148"/>
      <c r="AUY402" s="148"/>
      <c r="AUZ402" s="148"/>
      <c r="AVA402" s="148"/>
      <c r="AVB402" s="148"/>
      <c r="AVC402" s="148"/>
      <c r="AVD402" s="148"/>
      <c r="AVE402" s="148"/>
      <c r="AVF402" s="148"/>
      <c r="AVG402" s="148"/>
      <c r="AVH402" s="148"/>
      <c r="AVI402" s="148"/>
      <c r="AVJ402" s="148"/>
      <c r="AVK402" s="148"/>
      <c r="AVL402" s="148"/>
      <c r="AVM402" s="148"/>
      <c r="AVN402" s="148"/>
      <c r="AVO402" s="148"/>
      <c r="AVP402" s="148"/>
      <c r="AVQ402" s="148"/>
      <c r="AVR402" s="148"/>
      <c r="AVS402" s="148"/>
      <c r="AVT402" s="148"/>
      <c r="AVU402" s="148"/>
      <c r="AVV402" s="148"/>
      <c r="AVW402" s="148"/>
      <c r="AVX402" s="148"/>
      <c r="AVY402" s="148"/>
      <c r="AVZ402" s="148"/>
      <c r="AWA402" s="148"/>
      <c r="AWB402" s="148"/>
      <c r="AWC402" s="148"/>
      <c r="AWD402" s="148"/>
      <c r="AWE402" s="148"/>
      <c r="AWF402" s="148"/>
      <c r="AWG402" s="148"/>
      <c r="AWH402" s="148"/>
      <c r="AWI402" s="148"/>
      <c r="AWJ402" s="148"/>
      <c r="AWK402" s="148"/>
      <c r="AWL402" s="148"/>
      <c r="AWM402" s="148"/>
      <c r="AWN402" s="148"/>
      <c r="AWO402" s="148"/>
      <c r="AWP402" s="148"/>
      <c r="AWQ402" s="148"/>
      <c r="AWR402" s="148"/>
      <c r="AWS402" s="148"/>
      <c r="AWT402" s="148"/>
      <c r="AWU402" s="148"/>
      <c r="AWV402" s="148"/>
      <c r="AWW402" s="148"/>
      <c r="AWX402" s="148"/>
      <c r="AWY402" s="148"/>
      <c r="AWZ402" s="148"/>
      <c r="AXA402" s="148"/>
      <c r="AXB402" s="148"/>
      <c r="AXC402" s="148"/>
      <c r="AXD402" s="148"/>
      <c r="AXE402" s="148"/>
      <c r="AXF402" s="148"/>
      <c r="AXG402" s="148"/>
      <c r="AXH402" s="148"/>
      <c r="AXI402" s="148"/>
      <c r="AXJ402" s="148"/>
      <c r="AXK402" s="148"/>
      <c r="AXL402" s="148"/>
      <c r="AXM402" s="148"/>
      <c r="AXN402" s="148"/>
      <c r="AXO402" s="148"/>
      <c r="AXP402" s="148"/>
      <c r="AXQ402" s="148"/>
      <c r="AXR402" s="148"/>
      <c r="AXS402" s="148"/>
      <c r="AXT402" s="148"/>
      <c r="AXU402" s="148"/>
      <c r="AXV402" s="148"/>
      <c r="AXW402" s="148"/>
      <c r="AXX402" s="148"/>
      <c r="AXY402" s="148"/>
      <c r="AXZ402" s="148"/>
      <c r="AYA402" s="148"/>
      <c r="AYB402" s="148"/>
      <c r="AYC402" s="148"/>
      <c r="AYD402" s="148"/>
      <c r="AYE402" s="148"/>
      <c r="AYF402" s="148"/>
      <c r="AYG402" s="148"/>
      <c r="AYH402" s="148"/>
      <c r="AYI402" s="148"/>
      <c r="AYJ402" s="148"/>
      <c r="AYK402" s="148"/>
      <c r="AYL402" s="148"/>
      <c r="AYM402" s="148"/>
      <c r="AYN402" s="148"/>
      <c r="AYO402" s="148"/>
      <c r="AYP402" s="148"/>
      <c r="AYQ402" s="148"/>
      <c r="AYR402" s="148"/>
      <c r="AYS402" s="148"/>
      <c r="AYT402" s="148"/>
      <c r="AYU402" s="148"/>
      <c r="AYV402" s="148"/>
      <c r="AYW402" s="148"/>
      <c r="AYX402" s="148"/>
      <c r="AYY402" s="148"/>
      <c r="AYZ402" s="148"/>
      <c r="AZA402" s="148"/>
      <c r="AZB402" s="148"/>
      <c r="AZC402" s="148"/>
      <c r="AZD402" s="148"/>
      <c r="AZE402" s="148"/>
      <c r="AZF402" s="148"/>
      <c r="AZG402" s="148"/>
      <c r="AZH402" s="148"/>
      <c r="AZI402" s="148"/>
      <c r="AZJ402" s="148"/>
      <c r="AZK402" s="148"/>
      <c r="AZL402" s="148"/>
      <c r="AZM402" s="148"/>
      <c r="AZN402" s="148"/>
      <c r="AZO402" s="148"/>
      <c r="AZP402" s="148"/>
      <c r="AZQ402" s="148"/>
      <c r="AZR402" s="148"/>
      <c r="AZS402" s="148"/>
      <c r="AZT402" s="148"/>
      <c r="AZU402" s="148"/>
      <c r="AZV402" s="148"/>
      <c r="AZW402" s="148"/>
      <c r="AZX402" s="148"/>
      <c r="AZY402" s="148"/>
      <c r="AZZ402" s="148"/>
      <c r="BAA402" s="148"/>
      <c r="BAB402" s="148"/>
      <c r="BAC402" s="148"/>
      <c r="BAD402" s="148"/>
      <c r="BAE402" s="148"/>
      <c r="BAF402" s="148"/>
      <c r="BAG402" s="148"/>
      <c r="BAH402" s="148"/>
      <c r="BAI402" s="148"/>
      <c r="BAJ402" s="148"/>
      <c r="BAK402" s="148"/>
      <c r="BAL402" s="148"/>
      <c r="BAM402" s="148"/>
      <c r="BAN402" s="148"/>
      <c r="BAO402" s="148"/>
      <c r="BAP402" s="148"/>
      <c r="BAQ402" s="148"/>
      <c r="BAR402" s="148"/>
      <c r="BAS402" s="148"/>
      <c r="BAT402" s="148"/>
      <c r="BAU402" s="148"/>
      <c r="BAV402" s="148"/>
      <c r="BAW402" s="148"/>
      <c r="BAX402" s="148"/>
      <c r="BAY402" s="148"/>
      <c r="BAZ402" s="148"/>
      <c r="BBA402" s="148"/>
      <c r="BBB402" s="148"/>
      <c r="BBC402" s="148"/>
      <c r="BBD402" s="148"/>
      <c r="BBE402" s="148"/>
      <c r="BBF402" s="148"/>
      <c r="BBG402" s="148"/>
      <c r="BBH402" s="148"/>
      <c r="BBI402" s="148"/>
      <c r="BBJ402" s="148"/>
      <c r="BBK402" s="148"/>
      <c r="BBL402" s="148"/>
      <c r="BBM402" s="148"/>
      <c r="BBN402" s="148"/>
      <c r="BBO402" s="148"/>
      <c r="BBP402" s="148"/>
      <c r="BBQ402" s="148"/>
      <c r="BBR402" s="148"/>
      <c r="BBS402" s="148"/>
      <c r="BBT402" s="148"/>
      <c r="BBU402" s="148"/>
      <c r="BBV402" s="148"/>
      <c r="BBW402" s="148"/>
      <c r="BBX402" s="148"/>
      <c r="BBY402" s="148"/>
      <c r="BBZ402" s="148"/>
      <c r="BCA402" s="148"/>
      <c r="BCB402" s="148"/>
      <c r="BCC402" s="148"/>
      <c r="BCD402" s="148"/>
      <c r="BCE402" s="148"/>
      <c r="BCF402" s="148"/>
      <c r="BCG402" s="148"/>
      <c r="BCH402" s="148"/>
      <c r="BCI402" s="148"/>
      <c r="BCJ402" s="148"/>
      <c r="BCK402" s="148"/>
      <c r="BCL402" s="148"/>
      <c r="BCM402" s="148"/>
      <c r="BCN402" s="148"/>
      <c r="BCO402" s="148"/>
      <c r="BCP402" s="148"/>
      <c r="BCQ402" s="148"/>
      <c r="BCR402" s="148"/>
      <c r="BCS402" s="148"/>
      <c r="BCT402" s="148"/>
      <c r="BCU402" s="148"/>
      <c r="BCV402" s="148"/>
      <c r="BCW402" s="148"/>
      <c r="BCX402" s="148"/>
      <c r="BCY402" s="148"/>
      <c r="BCZ402" s="148"/>
      <c r="BDA402" s="148"/>
      <c r="BDB402" s="148"/>
      <c r="BDC402" s="148"/>
      <c r="BDD402" s="148"/>
      <c r="BDE402" s="148"/>
      <c r="BDF402" s="148"/>
      <c r="BDG402" s="148"/>
      <c r="BDH402" s="148"/>
      <c r="BDI402" s="148"/>
      <c r="BDJ402" s="148"/>
      <c r="BDK402" s="148"/>
      <c r="BDL402" s="148"/>
      <c r="BDM402" s="148"/>
      <c r="BDN402" s="148"/>
      <c r="BDO402" s="148"/>
      <c r="BDP402" s="148"/>
      <c r="BDQ402" s="148"/>
      <c r="BDR402" s="148"/>
      <c r="BDS402" s="148"/>
      <c r="BDT402" s="148"/>
      <c r="BDU402" s="148"/>
      <c r="BDV402" s="148"/>
      <c r="BDW402" s="148"/>
      <c r="BDX402" s="148"/>
      <c r="BDY402" s="148"/>
      <c r="BDZ402" s="148"/>
      <c r="BEA402" s="148"/>
      <c r="BEB402" s="148"/>
      <c r="BEC402" s="148"/>
      <c r="BED402" s="148"/>
      <c r="BEE402" s="148"/>
      <c r="BEF402" s="148"/>
      <c r="BEG402" s="148"/>
      <c r="BEH402" s="148"/>
      <c r="BEI402" s="148"/>
      <c r="BEJ402" s="148"/>
      <c r="BEK402" s="148"/>
      <c r="BEL402" s="148"/>
      <c r="BEM402" s="148"/>
      <c r="BEN402" s="148"/>
      <c r="BEO402" s="148"/>
      <c r="BEP402" s="148"/>
      <c r="BEQ402" s="148"/>
      <c r="BER402" s="148"/>
      <c r="BES402" s="148"/>
      <c r="BET402" s="148"/>
      <c r="BEU402" s="148"/>
      <c r="BEV402" s="148"/>
      <c r="BEW402" s="148"/>
      <c r="BEX402" s="148"/>
      <c r="BEY402" s="148"/>
      <c r="BEZ402" s="148"/>
      <c r="BFA402" s="148"/>
      <c r="BFB402" s="148"/>
      <c r="BFC402" s="148"/>
      <c r="BFD402" s="148"/>
      <c r="BFE402" s="148"/>
      <c r="BFF402" s="148"/>
      <c r="BFG402" s="148"/>
      <c r="BFH402" s="148"/>
      <c r="BFI402" s="148"/>
      <c r="BFJ402" s="148"/>
      <c r="BFK402" s="148"/>
      <c r="BFL402" s="148"/>
      <c r="BFM402" s="148"/>
      <c r="BFN402" s="148"/>
      <c r="BFO402" s="148"/>
      <c r="BFP402" s="148"/>
      <c r="BFQ402" s="148"/>
      <c r="BFR402" s="148"/>
      <c r="BFS402" s="148"/>
      <c r="BFT402" s="148"/>
      <c r="BFU402" s="148"/>
      <c r="BFV402" s="148"/>
      <c r="BFW402" s="148"/>
      <c r="BFX402" s="148"/>
      <c r="BFY402" s="148"/>
      <c r="BFZ402" s="148"/>
      <c r="BGA402" s="148"/>
      <c r="BGB402" s="148"/>
      <c r="BGC402" s="148"/>
      <c r="BGD402" s="148"/>
      <c r="BGE402" s="148"/>
      <c r="BGF402" s="148"/>
      <c r="BGG402" s="148"/>
      <c r="BGH402" s="148"/>
      <c r="BGI402" s="148"/>
      <c r="BGJ402" s="148"/>
      <c r="BGK402" s="148"/>
      <c r="BGL402" s="148"/>
      <c r="BGM402" s="148"/>
      <c r="BGN402" s="148"/>
      <c r="BGO402" s="148"/>
      <c r="BGP402" s="148"/>
      <c r="BGQ402" s="148"/>
      <c r="BGR402" s="148"/>
      <c r="BGS402" s="148"/>
      <c r="BGT402" s="148"/>
      <c r="BGU402" s="148"/>
      <c r="BGV402" s="148"/>
      <c r="BGW402" s="148"/>
      <c r="BGX402" s="148"/>
      <c r="BGY402" s="148"/>
      <c r="BGZ402" s="148"/>
      <c r="BHA402" s="148"/>
      <c r="BHB402" s="148"/>
      <c r="BHC402" s="148"/>
      <c r="BHD402" s="148"/>
      <c r="BHE402" s="148"/>
      <c r="BHF402" s="148"/>
      <c r="BHG402" s="148"/>
      <c r="BHH402" s="148"/>
      <c r="BHI402" s="148"/>
      <c r="BHJ402" s="148"/>
      <c r="BHK402" s="148"/>
      <c r="BHL402" s="148"/>
      <c r="BHM402" s="148"/>
      <c r="BHN402" s="148"/>
      <c r="BHO402" s="148"/>
      <c r="BHP402" s="148"/>
      <c r="BHQ402" s="148"/>
      <c r="BHR402" s="148"/>
      <c r="BHS402" s="148"/>
      <c r="BHT402" s="148"/>
      <c r="BHU402" s="148"/>
      <c r="BHV402" s="148"/>
      <c r="BHW402" s="148"/>
      <c r="BHX402" s="148"/>
      <c r="BHY402" s="148"/>
      <c r="BHZ402" s="148"/>
      <c r="BIA402" s="148"/>
      <c r="BIB402" s="148"/>
      <c r="BIC402" s="148"/>
      <c r="BID402" s="148"/>
      <c r="BIE402" s="148"/>
      <c r="BIF402" s="148"/>
      <c r="BIG402" s="148"/>
      <c r="BIH402" s="148"/>
      <c r="BII402" s="148"/>
      <c r="BIJ402" s="148"/>
      <c r="BIK402" s="148"/>
      <c r="BIL402" s="148"/>
      <c r="BIM402" s="148"/>
      <c r="BIN402" s="148"/>
      <c r="BIO402" s="148"/>
      <c r="BIP402" s="148"/>
      <c r="BIQ402" s="148"/>
      <c r="BIR402" s="148"/>
      <c r="BIS402" s="148"/>
      <c r="BIT402" s="148"/>
      <c r="BIU402" s="148"/>
      <c r="BIV402" s="148"/>
      <c r="BIW402" s="148"/>
      <c r="BIX402" s="148"/>
      <c r="BIY402" s="148"/>
      <c r="BIZ402" s="148"/>
      <c r="BJA402" s="148"/>
      <c r="BJB402" s="148"/>
      <c r="BJC402" s="148"/>
      <c r="BJD402" s="148"/>
      <c r="BJE402" s="148"/>
      <c r="BJF402" s="148"/>
      <c r="BJG402" s="148"/>
      <c r="BJH402" s="148"/>
      <c r="BJI402" s="148"/>
      <c r="BJJ402" s="148"/>
      <c r="BJK402" s="148"/>
      <c r="BJL402" s="148"/>
      <c r="BJM402" s="148"/>
      <c r="BJN402" s="148"/>
      <c r="BJO402" s="148"/>
      <c r="BJP402" s="148"/>
      <c r="BJQ402" s="148"/>
      <c r="BJR402" s="148"/>
      <c r="BJS402" s="148"/>
      <c r="BJT402" s="148"/>
      <c r="BJU402" s="148"/>
      <c r="BJV402" s="148"/>
      <c r="BJW402" s="148"/>
      <c r="BJX402" s="148"/>
      <c r="BJY402" s="148"/>
      <c r="BJZ402" s="148"/>
      <c r="BKA402" s="148"/>
      <c r="BKB402" s="148"/>
      <c r="BKC402" s="148"/>
      <c r="BKD402" s="148"/>
      <c r="BKE402" s="148"/>
      <c r="BKF402" s="148"/>
      <c r="BKG402" s="148"/>
      <c r="BKH402" s="148"/>
      <c r="BKI402" s="148"/>
      <c r="BKJ402" s="148"/>
      <c r="BKK402" s="148"/>
      <c r="BKL402" s="148"/>
      <c r="BKM402" s="148"/>
      <c r="BKN402" s="148"/>
      <c r="BKO402" s="148"/>
      <c r="BKP402" s="148"/>
      <c r="BKQ402" s="148"/>
      <c r="BKR402" s="148"/>
      <c r="BKS402" s="148"/>
      <c r="BKT402" s="148"/>
      <c r="BKU402" s="148"/>
      <c r="BKV402" s="148"/>
      <c r="BKW402" s="148"/>
      <c r="BKX402" s="148"/>
      <c r="BKY402" s="148"/>
      <c r="BKZ402" s="148"/>
      <c r="BLA402" s="148"/>
      <c r="BLB402" s="148"/>
      <c r="BLC402" s="148"/>
      <c r="BLD402" s="148"/>
      <c r="BLE402" s="148"/>
      <c r="BLF402" s="148"/>
      <c r="BLG402" s="148"/>
      <c r="BLH402" s="148"/>
      <c r="BLI402" s="148"/>
      <c r="BLJ402" s="148"/>
      <c r="BLK402" s="148"/>
      <c r="BLL402" s="148"/>
      <c r="BLM402" s="148"/>
      <c r="BLN402" s="148"/>
      <c r="BLO402" s="148"/>
      <c r="BLP402" s="148"/>
      <c r="BLQ402" s="148"/>
      <c r="BLR402" s="148"/>
      <c r="BLS402" s="148"/>
      <c r="BLT402" s="148"/>
      <c r="BLU402" s="148"/>
      <c r="BLV402" s="148"/>
      <c r="BLW402" s="148"/>
      <c r="BLX402" s="148"/>
      <c r="BLY402" s="148"/>
      <c r="BLZ402" s="148"/>
      <c r="BMA402" s="148"/>
      <c r="BMB402" s="148"/>
      <c r="BMC402" s="148"/>
      <c r="BMD402" s="148"/>
      <c r="BME402" s="148"/>
      <c r="BMF402" s="148"/>
      <c r="BMG402" s="148"/>
      <c r="BMH402" s="148"/>
      <c r="BMI402" s="148"/>
      <c r="BMJ402" s="148"/>
      <c r="BMK402" s="148"/>
      <c r="BML402" s="148"/>
      <c r="BMM402" s="148"/>
      <c r="BMN402" s="148"/>
      <c r="BMO402" s="148"/>
      <c r="BMP402" s="148"/>
      <c r="BMQ402" s="148"/>
      <c r="BMR402" s="148"/>
      <c r="BMS402" s="148"/>
      <c r="BMT402" s="148"/>
      <c r="BMU402" s="148"/>
      <c r="BMV402" s="148"/>
      <c r="BMW402" s="148"/>
      <c r="BMX402" s="148"/>
      <c r="BMY402" s="148"/>
      <c r="BMZ402" s="148"/>
      <c r="BNA402" s="148"/>
      <c r="BNB402" s="148"/>
      <c r="BNC402" s="148"/>
      <c r="BND402" s="148"/>
      <c r="BNE402" s="148"/>
      <c r="BNF402" s="148"/>
      <c r="BNG402" s="148"/>
      <c r="BNH402" s="148"/>
      <c r="BNI402" s="148"/>
      <c r="BNJ402" s="148"/>
      <c r="BNK402" s="148"/>
      <c r="BNL402" s="148"/>
      <c r="BNM402" s="148"/>
      <c r="BNN402" s="148"/>
      <c r="BNO402" s="148"/>
      <c r="BNP402" s="148"/>
      <c r="BNQ402" s="148"/>
      <c r="BNR402" s="148"/>
      <c r="BNS402" s="148"/>
      <c r="BNT402" s="148"/>
      <c r="BNU402" s="148"/>
      <c r="BNV402" s="148"/>
      <c r="BNW402" s="148"/>
      <c r="BNX402" s="148"/>
      <c r="BNY402" s="148"/>
      <c r="BNZ402" s="148"/>
      <c r="BOA402" s="148"/>
      <c r="BOB402" s="148"/>
      <c r="BOC402" s="148"/>
      <c r="BOD402" s="148"/>
      <c r="BOE402" s="148"/>
      <c r="BOF402" s="148"/>
      <c r="BOG402" s="148"/>
      <c r="BOH402" s="148"/>
      <c r="BOI402" s="148"/>
      <c r="BOJ402" s="148"/>
      <c r="BOK402" s="148"/>
      <c r="BOL402" s="148"/>
      <c r="BOM402" s="148"/>
      <c r="BON402" s="148"/>
      <c r="BOO402" s="148"/>
      <c r="BOP402" s="148"/>
      <c r="BOQ402" s="148"/>
      <c r="BOR402" s="148"/>
      <c r="BOS402" s="148"/>
      <c r="BOT402" s="148"/>
      <c r="BOU402" s="148"/>
      <c r="BOV402" s="148"/>
      <c r="BOW402" s="148"/>
      <c r="BOX402" s="148"/>
      <c r="BOY402" s="148"/>
      <c r="BOZ402" s="148"/>
      <c r="BPA402" s="148"/>
      <c r="BPB402" s="148"/>
      <c r="BPC402" s="148"/>
      <c r="BPD402" s="148"/>
      <c r="BPE402" s="148"/>
      <c r="BPF402" s="148"/>
      <c r="BPG402" s="148"/>
      <c r="BPH402" s="148"/>
      <c r="BPI402" s="148"/>
      <c r="BPJ402" s="148"/>
      <c r="BPK402" s="148"/>
      <c r="BPL402" s="148"/>
      <c r="BPM402" s="148"/>
      <c r="BPN402" s="148"/>
      <c r="BPO402" s="148"/>
      <c r="BPP402" s="148"/>
      <c r="BPQ402" s="148"/>
      <c r="BPR402" s="148"/>
      <c r="BPS402" s="148"/>
      <c r="BPT402" s="148"/>
      <c r="BPU402" s="148"/>
      <c r="BPV402" s="148"/>
      <c r="BPW402" s="148"/>
      <c r="BPX402" s="148"/>
      <c r="BPY402" s="148"/>
      <c r="BPZ402" s="148"/>
      <c r="BQA402" s="148"/>
      <c r="BQB402" s="148"/>
      <c r="BQC402" s="148"/>
      <c r="BQD402" s="148"/>
      <c r="BQE402" s="148"/>
      <c r="BQF402" s="148"/>
      <c r="BQG402" s="148"/>
      <c r="BQH402" s="148"/>
      <c r="BQI402" s="148"/>
      <c r="BQJ402" s="148"/>
      <c r="BQK402" s="148"/>
      <c r="BQL402" s="148"/>
      <c r="BQM402" s="148"/>
      <c r="BQN402" s="148"/>
      <c r="BQO402" s="148"/>
      <c r="BQP402" s="148"/>
      <c r="BQQ402" s="148"/>
      <c r="BQR402" s="148"/>
      <c r="BQS402" s="148"/>
      <c r="BQT402" s="148"/>
      <c r="BQU402" s="148"/>
      <c r="BQV402" s="148"/>
      <c r="BQW402" s="148"/>
      <c r="BQX402" s="148"/>
      <c r="BQY402" s="148"/>
      <c r="BQZ402" s="148"/>
      <c r="BRA402" s="148"/>
      <c r="BRB402" s="148"/>
      <c r="BRC402" s="148"/>
      <c r="BRD402" s="148"/>
      <c r="BRE402" s="148"/>
      <c r="BRF402" s="148"/>
      <c r="BRG402" s="148"/>
      <c r="BRH402" s="148"/>
      <c r="BRI402" s="148"/>
      <c r="BRJ402" s="148"/>
      <c r="BRK402" s="148"/>
      <c r="BRL402" s="148"/>
      <c r="BRM402" s="148"/>
      <c r="BRN402" s="148"/>
      <c r="BRO402" s="148"/>
      <c r="BRP402" s="148"/>
      <c r="BRQ402" s="148"/>
      <c r="BRR402" s="148"/>
      <c r="BRS402" s="148"/>
      <c r="BRT402" s="148"/>
      <c r="BRU402" s="148"/>
      <c r="BRV402" s="148"/>
      <c r="BRW402" s="148"/>
      <c r="BRX402" s="148"/>
      <c r="BRY402" s="148"/>
      <c r="BRZ402" s="148"/>
      <c r="BSA402" s="148"/>
      <c r="BSB402" s="148"/>
      <c r="BSC402" s="148"/>
      <c r="BSD402" s="148"/>
      <c r="BSE402" s="148"/>
      <c r="BSF402" s="148"/>
      <c r="BSG402" s="148"/>
      <c r="BSH402" s="148"/>
      <c r="BSI402" s="148"/>
      <c r="BSJ402" s="148"/>
      <c r="BSK402" s="148"/>
      <c r="BSL402" s="148"/>
      <c r="BSM402" s="148"/>
      <c r="BSN402" s="148"/>
      <c r="BSO402" s="148"/>
      <c r="BSP402" s="148"/>
      <c r="BSQ402" s="148"/>
      <c r="BSR402" s="148"/>
      <c r="BSS402" s="148"/>
      <c r="BST402" s="148"/>
      <c r="BSU402" s="148"/>
      <c r="BSV402" s="148"/>
      <c r="BSW402" s="148"/>
      <c r="BSX402" s="148"/>
      <c r="BSY402" s="148"/>
      <c r="BSZ402" s="148"/>
      <c r="BTA402" s="148"/>
      <c r="BTB402" s="148"/>
      <c r="BTC402" s="148"/>
      <c r="BTD402" s="148"/>
      <c r="BTE402" s="148"/>
      <c r="BTF402" s="148"/>
      <c r="BTG402" s="148"/>
      <c r="BTH402" s="148"/>
      <c r="BTI402" s="148"/>
      <c r="BTJ402" s="148"/>
      <c r="BTK402" s="148"/>
      <c r="BTL402" s="148"/>
      <c r="BTM402" s="148"/>
      <c r="BTN402" s="148"/>
      <c r="BTO402" s="148"/>
      <c r="BTP402" s="148"/>
      <c r="BTQ402" s="148"/>
      <c r="BTR402" s="148"/>
      <c r="BTS402" s="148"/>
      <c r="BTT402" s="148"/>
      <c r="BTU402" s="148"/>
      <c r="BTV402" s="148"/>
      <c r="BTW402" s="148"/>
      <c r="BTX402" s="148"/>
      <c r="BTY402" s="148"/>
      <c r="BTZ402" s="148"/>
      <c r="BUA402" s="148"/>
      <c r="BUB402" s="148"/>
      <c r="BUC402" s="148"/>
      <c r="BUD402" s="148"/>
      <c r="BUE402" s="148"/>
      <c r="BUF402" s="148"/>
      <c r="BUG402" s="148"/>
      <c r="BUH402" s="148"/>
      <c r="BUI402" s="148"/>
      <c r="BUJ402" s="148"/>
      <c r="BUK402" s="148"/>
      <c r="BUL402" s="148"/>
      <c r="BUM402" s="148"/>
      <c r="BUN402" s="148"/>
      <c r="BUO402" s="148"/>
      <c r="BUP402" s="148"/>
      <c r="BUQ402" s="148"/>
      <c r="BUR402" s="148"/>
      <c r="BUS402" s="148"/>
      <c r="BUT402" s="148"/>
      <c r="BUU402" s="148"/>
      <c r="BUV402" s="148"/>
      <c r="BUW402" s="148"/>
      <c r="BUX402" s="148"/>
      <c r="BUY402" s="148"/>
      <c r="BUZ402" s="148"/>
      <c r="BVA402" s="148"/>
      <c r="BVB402" s="148"/>
      <c r="BVC402" s="148"/>
      <c r="BVD402" s="148"/>
      <c r="BVE402" s="148"/>
      <c r="BVF402" s="148"/>
      <c r="BVG402" s="148"/>
      <c r="BVH402" s="148"/>
      <c r="BVI402" s="148"/>
      <c r="BVJ402" s="148"/>
      <c r="BVK402" s="148"/>
      <c r="BVL402" s="148"/>
      <c r="BVM402" s="148"/>
      <c r="BVN402" s="148"/>
      <c r="BVO402" s="148"/>
      <c r="BVP402" s="148"/>
      <c r="BVQ402" s="148"/>
      <c r="BVR402" s="148"/>
      <c r="BVS402" s="148"/>
      <c r="BVT402" s="148"/>
      <c r="BVU402" s="148"/>
      <c r="BVV402" s="148"/>
      <c r="BVW402" s="148"/>
      <c r="BVX402" s="148"/>
      <c r="BVY402" s="148"/>
      <c r="BVZ402" s="148"/>
      <c r="BWA402" s="148"/>
      <c r="BWB402" s="148"/>
      <c r="BWC402" s="148"/>
      <c r="BWD402" s="148"/>
      <c r="BWE402" s="148"/>
      <c r="BWF402" s="148"/>
      <c r="BWG402" s="148"/>
      <c r="BWH402" s="148"/>
      <c r="BWI402" s="148"/>
      <c r="BWJ402" s="148"/>
      <c r="BWK402" s="148"/>
      <c r="BWL402" s="148"/>
      <c r="BWM402" s="148"/>
      <c r="BWN402" s="148"/>
      <c r="BWO402" s="148"/>
      <c r="BWP402" s="148"/>
      <c r="BWQ402" s="148"/>
      <c r="BWR402" s="148"/>
      <c r="BWS402" s="148"/>
      <c r="BWT402" s="148"/>
      <c r="BWU402" s="148"/>
      <c r="BWV402" s="148"/>
      <c r="BWW402" s="148"/>
      <c r="BWX402" s="148"/>
      <c r="BWY402" s="148"/>
      <c r="BWZ402" s="148"/>
      <c r="BXA402" s="148"/>
      <c r="BXB402" s="148"/>
      <c r="BXC402" s="148"/>
      <c r="BXD402" s="148"/>
      <c r="BXE402" s="148"/>
      <c r="BXF402" s="148"/>
      <c r="BXG402" s="148"/>
      <c r="BXH402" s="148"/>
      <c r="BXI402" s="148"/>
      <c r="BXJ402" s="148"/>
      <c r="BXK402" s="148"/>
      <c r="BXL402" s="148"/>
      <c r="BXM402" s="148"/>
      <c r="BXN402" s="148"/>
      <c r="BXO402" s="148"/>
      <c r="BXP402" s="148"/>
      <c r="BXQ402" s="148"/>
      <c r="BXR402" s="148"/>
      <c r="BXS402" s="148"/>
      <c r="BXT402" s="148"/>
      <c r="BXU402" s="148"/>
      <c r="BXV402" s="148"/>
      <c r="BXW402" s="148"/>
      <c r="BXX402" s="148"/>
      <c r="BXY402" s="148"/>
      <c r="BXZ402" s="148"/>
      <c r="BYA402" s="148"/>
      <c r="BYB402" s="148"/>
      <c r="BYC402" s="148"/>
      <c r="BYD402" s="148"/>
      <c r="BYE402" s="148"/>
      <c r="BYF402" s="148"/>
      <c r="BYG402" s="148"/>
      <c r="BYH402" s="148"/>
      <c r="BYI402" s="148"/>
      <c r="BYJ402" s="148"/>
      <c r="BYK402" s="148"/>
      <c r="BYL402" s="148"/>
      <c r="BYM402" s="148"/>
      <c r="BYN402" s="148"/>
      <c r="BYO402" s="148"/>
      <c r="BYP402" s="148"/>
      <c r="BYQ402" s="148"/>
      <c r="BYR402" s="148"/>
      <c r="BYS402" s="148"/>
      <c r="BYT402" s="148"/>
      <c r="BYU402" s="148"/>
      <c r="BYV402" s="148"/>
      <c r="BYW402" s="148"/>
      <c r="BYX402" s="148"/>
      <c r="BYY402" s="148"/>
      <c r="BYZ402" s="148"/>
      <c r="BZA402" s="148"/>
      <c r="BZB402" s="148"/>
      <c r="BZC402" s="148"/>
      <c r="BZD402" s="148"/>
      <c r="BZE402" s="148"/>
      <c r="BZF402" s="148"/>
      <c r="BZG402" s="148"/>
      <c r="BZH402" s="148"/>
      <c r="BZI402" s="148"/>
      <c r="BZJ402" s="148"/>
      <c r="BZK402" s="148"/>
      <c r="BZL402" s="148"/>
      <c r="BZM402" s="148"/>
      <c r="BZN402" s="148"/>
      <c r="BZO402" s="148"/>
      <c r="BZP402" s="148"/>
      <c r="BZQ402" s="148"/>
      <c r="BZR402" s="148"/>
      <c r="BZS402" s="148"/>
      <c r="BZT402" s="148"/>
      <c r="BZU402" s="148"/>
      <c r="BZV402" s="148"/>
      <c r="BZW402" s="148"/>
      <c r="BZX402" s="148"/>
      <c r="BZY402" s="148"/>
      <c r="BZZ402" s="148"/>
      <c r="CAA402" s="148"/>
      <c r="CAB402" s="148"/>
      <c r="CAC402" s="148"/>
      <c r="CAD402" s="148"/>
      <c r="CAE402" s="148"/>
      <c r="CAF402" s="148"/>
      <c r="CAG402" s="148"/>
      <c r="CAH402" s="148"/>
      <c r="CAI402" s="148"/>
      <c r="CAJ402" s="148"/>
      <c r="CAK402" s="148"/>
      <c r="CAL402" s="148"/>
      <c r="CAM402" s="148"/>
      <c r="CAN402" s="148"/>
      <c r="CAO402" s="148"/>
      <c r="CAP402" s="148"/>
      <c r="CAQ402" s="148"/>
      <c r="CAR402" s="148"/>
      <c r="CAS402" s="148"/>
      <c r="CAT402" s="148"/>
      <c r="CAU402" s="148"/>
      <c r="CAV402" s="148"/>
      <c r="CAW402" s="148"/>
      <c r="CAX402" s="148"/>
      <c r="CAY402" s="148"/>
      <c r="CAZ402" s="148"/>
      <c r="CBA402" s="148"/>
      <c r="CBB402" s="148"/>
      <c r="CBC402" s="148"/>
      <c r="CBD402" s="148"/>
      <c r="CBE402" s="148"/>
      <c r="CBF402" s="148"/>
      <c r="CBG402" s="148"/>
      <c r="CBH402" s="148"/>
      <c r="CBI402" s="148"/>
      <c r="CBJ402" s="148"/>
      <c r="CBK402" s="148"/>
      <c r="CBL402" s="148"/>
      <c r="CBM402" s="148"/>
      <c r="CBN402" s="148"/>
      <c r="CBO402" s="148"/>
      <c r="CBP402" s="148"/>
      <c r="CBQ402" s="148"/>
      <c r="CBR402" s="148"/>
      <c r="CBS402" s="148"/>
      <c r="CBT402" s="148"/>
      <c r="CBU402" s="148"/>
      <c r="CBV402" s="148"/>
      <c r="CBW402" s="148"/>
      <c r="CBX402" s="148"/>
      <c r="CBY402" s="148"/>
      <c r="CBZ402" s="148"/>
      <c r="CCA402" s="148"/>
      <c r="CCB402" s="148"/>
      <c r="CCC402" s="148"/>
      <c r="CCD402" s="148"/>
      <c r="CCE402" s="148"/>
      <c r="CCF402" s="148"/>
      <c r="CCG402" s="148"/>
      <c r="CCH402" s="148"/>
      <c r="CCI402" s="148"/>
      <c r="CCJ402" s="148"/>
      <c r="CCK402" s="148"/>
      <c r="CCL402" s="148"/>
      <c r="CCM402" s="148"/>
      <c r="CCN402" s="148"/>
      <c r="CCO402" s="148"/>
      <c r="CCP402" s="148"/>
      <c r="CCQ402" s="148"/>
      <c r="CCR402" s="148"/>
      <c r="CCS402" s="148"/>
      <c r="CCT402" s="148"/>
      <c r="CCU402" s="148"/>
      <c r="CCV402" s="148"/>
      <c r="CCW402" s="148"/>
      <c r="CCX402" s="148"/>
      <c r="CCY402" s="148"/>
      <c r="CCZ402" s="148"/>
      <c r="CDA402" s="148"/>
      <c r="CDB402" s="148"/>
      <c r="CDC402" s="148"/>
      <c r="CDD402" s="148"/>
      <c r="CDE402" s="148"/>
      <c r="CDF402" s="148"/>
      <c r="CDG402" s="148"/>
      <c r="CDH402" s="148"/>
      <c r="CDI402" s="148"/>
      <c r="CDJ402" s="148"/>
      <c r="CDK402" s="148"/>
      <c r="CDL402" s="148"/>
      <c r="CDM402" s="148"/>
      <c r="CDN402" s="148"/>
      <c r="CDO402" s="148"/>
      <c r="CDP402" s="148"/>
      <c r="CDQ402" s="148"/>
      <c r="CDR402" s="148"/>
      <c r="CDS402" s="148"/>
      <c r="CDT402" s="148"/>
      <c r="CDU402" s="148"/>
      <c r="CDV402" s="148"/>
      <c r="CDW402" s="148"/>
      <c r="CDX402" s="148"/>
      <c r="CDY402" s="148"/>
      <c r="CDZ402" s="148"/>
      <c r="CEA402" s="148"/>
      <c r="CEB402" s="148"/>
      <c r="CEC402" s="148"/>
      <c r="CED402" s="148"/>
      <c r="CEE402" s="148"/>
      <c r="CEF402" s="148"/>
      <c r="CEG402" s="148"/>
      <c r="CEH402" s="148"/>
      <c r="CEI402" s="148"/>
      <c r="CEJ402" s="148"/>
      <c r="CEK402" s="148"/>
      <c r="CEL402" s="148"/>
      <c r="CEM402" s="148"/>
      <c r="CEN402" s="148"/>
      <c r="CEO402" s="148"/>
      <c r="CEP402" s="148"/>
      <c r="CEQ402" s="148"/>
      <c r="CER402" s="148"/>
      <c r="CES402" s="148"/>
      <c r="CET402" s="148"/>
      <c r="CEU402" s="148"/>
      <c r="CEV402" s="148"/>
      <c r="CEW402" s="148"/>
      <c r="CEX402" s="148"/>
      <c r="CEY402" s="148"/>
      <c r="CEZ402" s="148"/>
      <c r="CFA402" s="148"/>
      <c r="CFB402" s="148"/>
      <c r="CFC402" s="148"/>
      <c r="CFD402" s="148"/>
      <c r="CFE402" s="148"/>
      <c r="CFF402" s="148"/>
      <c r="CFG402" s="148"/>
      <c r="CFH402" s="148"/>
      <c r="CFI402" s="148"/>
      <c r="CFJ402" s="148"/>
      <c r="CFK402" s="148"/>
      <c r="CFL402" s="148"/>
      <c r="CFM402" s="148"/>
      <c r="CFN402" s="148"/>
      <c r="CFO402" s="148"/>
      <c r="CFP402" s="148"/>
      <c r="CFQ402" s="148"/>
      <c r="CFR402" s="148"/>
      <c r="CFS402" s="148"/>
      <c r="CFT402" s="148"/>
      <c r="CFU402" s="148"/>
      <c r="CFV402" s="148"/>
      <c r="CFW402" s="148"/>
      <c r="CFX402" s="148"/>
      <c r="CFY402" s="148"/>
      <c r="CFZ402" s="148"/>
      <c r="CGA402" s="148"/>
      <c r="CGB402" s="148"/>
      <c r="CGC402" s="148"/>
      <c r="CGD402" s="148"/>
      <c r="CGE402" s="148"/>
      <c r="CGF402" s="148"/>
      <c r="CGG402" s="148"/>
      <c r="CGH402" s="148"/>
      <c r="CGI402" s="148"/>
      <c r="CGJ402" s="148"/>
      <c r="CGK402" s="148"/>
      <c r="CGL402" s="148"/>
      <c r="CGM402" s="148"/>
      <c r="CGN402" s="148"/>
      <c r="CGO402" s="148"/>
      <c r="CGP402" s="148"/>
      <c r="CGQ402" s="148"/>
      <c r="CGR402" s="148"/>
      <c r="CGS402" s="148"/>
      <c r="CGT402" s="148"/>
      <c r="CGU402" s="148"/>
      <c r="CGV402" s="148"/>
      <c r="CGW402" s="148"/>
      <c r="CGX402" s="148"/>
      <c r="CGY402" s="148"/>
      <c r="CGZ402" s="148"/>
      <c r="CHA402" s="148"/>
      <c r="CHB402" s="148"/>
      <c r="CHC402" s="148"/>
      <c r="CHD402" s="148"/>
      <c r="CHE402" s="148"/>
      <c r="CHF402" s="148"/>
      <c r="CHG402" s="148"/>
      <c r="CHH402" s="148"/>
      <c r="CHI402" s="148"/>
      <c r="CHJ402" s="148"/>
      <c r="CHK402" s="148"/>
      <c r="CHL402" s="148"/>
      <c r="CHM402" s="148"/>
      <c r="CHN402" s="148"/>
      <c r="CHO402" s="148"/>
      <c r="CHP402" s="148"/>
      <c r="CHQ402" s="148"/>
      <c r="CHR402" s="148"/>
      <c r="CHS402" s="148"/>
      <c r="CHT402" s="148"/>
      <c r="CHU402" s="148"/>
      <c r="CHV402" s="148"/>
      <c r="CHW402" s="148"/>
      <c r="CHX402" s="148"/>
      <c r="CHY402" s="148"/>
      <c r="CHZ402" s="148"/>
      <c r="CIA402" s="148"/>
      <c r="CIB402" s="148"/>
      <c r="CIC402" s="148"/>
      <c r="CID402" s="148"/>
      <c r="CIE402" s="148"/>
      <c r="CIF402" s="148"/>
      <c r="CIG402" s="148"/>
      <c r="CIH402" s="148"/>
      <c r="CII402" s="148"/>
      <c r="CIJ402" s="148"/>
      <c r="CIK402" s="148"/>
      <c r="CIL402" s="148"/>
      <c r="CIM402" s="148"/>
      <c r="CIN402" s="148"/>
      <c r="CIO402" s="148"/>
      <c r="CIP402" s="148"/>
      <c r="CIQ402" s="148"/>
      <c r="CIR402" s="148"/>
      <c r="CIS402" s="148"/>
      <c r="CIT402" s="148"/>
      <c r="CIU402" s="148"/>
      <c r="CIV402" s="148"/>
      <c r="CIW402" s="148"/>
      <c r="CIX402" s="148"/>
      <c r="CIY402" s="148"/>
      <c r="CIZ402" s="148"/>
      <c r="CJA402" s="148"/>
      <c r="CJB402" s="148"/>
      <c r="CJC402" s="148"/>
      <c r="CJD402" s="148"/>
      <c r="CJE402" s="148"/>
      <c r="CJF402" s="148"/>
      <c r="CJG402" s="148"/>
      <c r="CJH402" s="148"/>
      <c r="CJI402" s="148"/>
      <c r="CJJ402" s="148"/>
      <c r="CJK402" s="148"/>
      <c r="CJL402" s="148"/>
      <c r="CJM402" s="148"/>
      <c r="CJN402" s="148"/>
      <c r="CJO402" s="148"/>
      <c r="CJP402" s="148"/>
      <c r="CJQ402" s="148"/>
      <c r="CJR402" s="148"/>
      <c r="CJS402" s="148"/>
      <c r="CJT402" s="148"/>
      <c r="CJU402" s="148"/>
      <c r="CJV402" s="148"/>
      <c r="CJW402" s="148"/>
      <c r="CJX402" s="148"/>
      <c r="CJY402" s="148"/>
      <c r="CJZ402" s="148"/>
      <c r="CKA402" s="148"/>
      <c r="CKB402" s="148"/>
      <c r="CKC402" s="148"/>
      <c r="CKD402" s="148"/>
      <c r="CKE402" s="148"/>
      <c r="CKF402" s="148"/>
      <c r="CKG402" s="148"/>
      <c r="CKH402" s="148"/>
      <c r="CKI402" s="148"/>
      <c r="CKJ402" s="148"/>
      <c r="CKK402" s="148"/>
      <c r="CKL402" s="148"/>
      <c r="CKM402" s="148"/>
      <c r="CKN402" s="148"/>
      <c r="CKO402" s="148"/>
      <c r="CKP402" s="148"/>
      <c r="CKQ402" s="148"/>
      <c r="CKR402" s="148"/>
      <c r="CKS402" s="148"/>
      <c r="CKT402" s="148"/>
      <c r="CKU402" s="148"/>
      <c r="CKV402" s="148"/>
      <c r="CKW402" s="148"/>
      <c r="CKX402" s="148"/>
      <c r="CKY402" s="148"/>
      <c r="CKZ402" s="148"/>
      <c r="CLA402" s="148"/>
      <c r="CLB402" s="148"/>
      <c r="CLC402" s="148"/>
      <c r="CLD402" s="148"/>
      <c r="CLE402" s="148"/>
      <c r="CLF402" s="148"/>
      <c r="CLG402" s="148"/>
      <c r="CLH402" s="148"/>
      <c r="CLI402" s="148"/>
      <c r="CLJ402" s="148"/>
      <c r="CLK402" s="148"/>
      <c r="CLL402" s="148"/>
      <c r="CLM402" s="148"/>
      <c r="CLN402" s="148"/>
      <c r="CLO402" s="148"/>
      <c r="CLP402" s="148"/>
      <c r="CLQ402" s="148"/>
      <c r="CLR402" s="148"/>
      <c r="CLS402" s="148"/>
      <c r="CLT402" s="148"/>
      <c r="CLU402" s="148"/>
      <c r="CLV402" s="148"/>
      <c r="CLW402" s="148"/>
      <c r="CLX402" s="148"/>
      <c r="CLY402" s="148"/>
      <c r="CLZ402" s="148"/>
      <c r="CMA402" s="148"/>
      <c r="CMB402" s="148"/>
      <c r="CMC402" s="148"/>
      <c r="CMD402" s="148"/>
      <c r="CME402" s="148"/>
      <c r="CMF402" s="148"/>
      <c r="CMG402" s="148"/>
      <c r="CMH402" s="148"/>
      <c r="CMI402" s="148"/>
      <c r="CMJ402" s="148"/>
      <c r="CMK402" s="148"/>
      <c r="CML402" s="148"/>
      <c r="CMM402" s="148"/>
      <c r="CMN402" s="148"/>
      <c r="CMO402" s="148"/>
      <c r="CMP402" s="148"/>
      <c r="CMQ402" s="148"/>
      <c r="CMR402" s="148"/>
      <c r="CMS402" s="148"/>
      <c r="CMT402" s="148"/>
      <c r="CMU402" s="148"/>
      <c r="CMV402" s="148"/>
      <c r="CMW402" s="148"/>
      <c r="CMX402" s="148"/>
      <c r="CMY402" s="148"/>
      <c r="CMZ402" s="148"/>
      <c r="CNA402" s="148"/>
      <c r="CNB402" s="148"/>
      <c r="CNC402" s="148"/>
      <c r="CND402" s="148"/>
      <c r="CNE402" s="148"/>
      <c r="CNF402" s="148"/>
      <c r="CNG402" s="148"/>
      <c r="CNH402" s="148"/>
      <c r="CNI402" s="148"/>
      <c r="CNJ402" s="148"/>
      <c r="CNK402" s="148"/>
      <c r="CNL402" s="148"/>
      <c r="CNM402" s="148"/>
      <c r="CNN402" s="148"/>
      <c r="CNO402" s="148"/>
      <c r="CNP402" s="148"/>
      <c r="CNQ402" s="148"/>
      <c r="CNR402" s="148"/>
      <c r="CNS402" s="148"/>
      <c r="CNT402" s="148"/>
      <c r="CNU402" s="148"/>
      <c r="CNV402" s="148"/>
      <c r="CNW402" s="148"/>
      <c r="CNX402" s="148"/>
      <c r="CNY402" s="148"/>
      <c r="CNZ402" s="148"/>
      <c r="COA402" s="148"/>
      <c r="COB402" s="148"/>
      <c r="COC402" s="148"/>
      <c r="COD402" s="148"/>
      <c r="COE402" s="148"/>
      <c r="COF402" s="148"/>
      <c r="COG402" s="148"/>
      <c r="COH402" s="148"/>
      <c r="COI402" s="148"/>
      <c r="COJ402" s="148"/>
      <c r="COK402" s="148"/>
      <c r="COL402" s="148"/>
      <c r="COM402" s="148"/>
      <c r="CON402" s="148"/>
      <c r="COO402" s="148"/>
      <c r="COP402" s="148"/>
      <c r="COQ402" s="148"/>
      <c r="COR402" s="148"/>
      <c r="COS402" s="148"/>
      <c r="COT402" s="148"/>
      <c r="COU402" s="148"/>
      <c r="COV402" s="148"/>
      <c r="COW402" s="148"/>
      <c r="COX402" s="148"/>
      <c r="COY402" s="148"/>
      <c r="COZ402" s="148"/>
      <c r="CPA402" s="148"/>
      <c r="CPB402" s="148"/>
      <c r="CPC402" s="148"/>
      <c r="CPD402" s="148"/>
      <c r="CPE402" s="148"/>
      <c r="CPF402" s="148"/>
      <c r="CPG402" s="148"/>
      <c r="CPH402" s="148"/>
      <c r="CPI402" s="148"/>
      <c r="CPJ402" s="148"/>
      <c r="CPK402" s="148"/>
      <c r="CPL402" s="148"/>
      <c r="CPM402" s="148"/>
      <c r="CPN402" s="148"/>
      <c r="CPO402" s="148"/>
      <c r="CPP402" s="148"/>
      <c r="CPQ402" s="148"/>
      <c r="CPR402" s="148"/>
      <c r="CPS402" s="148"/>
      <c r="CPT402" s="148"/>
      <c r="CPU402" s="148"/>
      <c r="CPV402" s="148"/>
      <c r="CPW402" s="148"/>
      <c r="CPX402" s="148"/>
      <c r="CPY402" s="148"/>
      <c r="CPZ402" s="148"/>
      <c r="CQA402" s="148"/>
      <c r="CQB402" s="148"/>
      <c r="CQC402" s="148"/>
      <c r="CQD402" s="148"/>
      <c r="CQE402" s="148"/>
      <c r="CQF402" s="148"/>
      <c r="CQG402" s="148"/>
      <c r="CQH402" s="148"/>
      <c r="CQI402" s="148"/>
      <c r="CQJ402" s="148"/>
      <c r="CQK402" s="148"/>
      <c r="CQL402" s="148"/>
      <c r="CQM402" s="148"/>
      <c r="CQN402" s="148"/>
      <c r="CQO402" s="148"/>
      <c r="CQP402" s="148"/>
      <c r="CQQ402" s="148"/>
      <c r="CQR402" s="148"/>
      <c r="CQS402" s="148"/>
      <c r="CQT402" s="148"/>
      <c r="CQU402" s="148"/>
      <c r="CQV402" s="148"/>
      <c r="CQW402" s="148"/>
      <c r="CQX402" s="148"/>
      <c r="CQY402" s="148"/>
      <c r="CQZ402" s="148"/>
      <c r="CRA402" s="148"/>
      <c r="CRB402" s="148"/>
      <c r="CRC402" s="148"/>
      <c r="CRD402" s="148"/>
      <c r="CRE402" s="148"/>
      <c r="CRF402" s="148"/>
      <c r="CRG402" s="148"/>
      <c r="CRH402" s="148"/>
      <c r="CRI402" s="148"/>
      <c r="CRJ402" s="148"/>
      <c r="CRK402" s="148"/>
      <c r="CRL402" s="148"/>
      <c r="CRM402" s="148"/>
      <c r="CRN402" s="148"/>
      <c r="CRO402" s="148"/>
      <c r="CRP402" s="148"/>
      <c r="CRQ402" s="148"/>
      <c r="CRR402" s="148"/>
      <c r="CRS402" s="148"/>
      <c r="CRT402" s="148"/>
      <c r="CRU402" s="148"/>
      <c r="CRV402" s="148"/>
      <c r="CRW402" s="148"/>
      <c r="CRX402" s="148"/>
      <c r="CRY402" s="148"/>
      <c r="CRZ402" s="148"/>
      <c r="CSA402" s="148"/>
      <c r="CSB402" s="148"/>
      <c r="CSC402" s="148"/>
      <c r="CSD402" s="148"/>
      <c r="CSE402" s="148"/>
      <c r="CSF402" s="148"/>
      <c r="CSG402" s="148"/>
      <c r="CSH402" s="148"/>
      <c r="CSI402" s="148"/>
      <c r="CSJ402" s="148"/>
      <c r="CSK402" s="148"/>
      <c r="CSL402" s="148"/>
      <c r="CSM402" s="148"/>
      <c r="CSN402" s="148"/>
      <c r="CSO402" s="148"/>
      <c r="CSP402" s="148"/>
      <c r="CSQ402" s="148"/>
      <c r="CSR402" s="148"/>
      <c r="CSS402" s="148"/>
      <c r="CST402" s="148"/>
      <c r="CSU402" s="148"/>
      <c r="CSV402" s="148"/>
      <c r="CSW402" s="148"/>
      <c r="CSX402" s="148"/>
      <c r="CSY402" s="148"/>
      <c r="CSZ402" s="148"/>
      <c r="CTA402" s="148"/>
      <c r="CTB402" s="148"/>
      <c r="CTC402" s="148"/>
      <c r="CTD402" s="148"/>
      <c r="CTE402" s="148"/>
      <c r="CTF402" s="148"/>
      <c r="CTG402" s="148"/>
      <c r="CTH402" s="148"/>
      <c r="CTI402" s="148"/>
      <c r="CTJ402" s="148"/>
      <c r="CTK402" s="148"/>
      <c r="CTL402" s="148"/>
      <c r="CTM402" s="148"/>
      <c r="CTN402" s="148"/>
      <c r="CTO402" s="148"/>
      <c r="CTP402" s="148"/>
      <c r="CTQ402" s="148"/>
      <c r="CTR402" s="148"/>
      <c r="CTS402" s="148"/>
      <c r="CTT402" s="148"/>
      <c r="CTU402" s="148"/>
      <c r="CTV402" s="148"/>
      <c r="CTW402" s="148"/>
      <c r="CTX402" s="148"/>
      <c r="CTY402" s="148"/>
      <c r="CTZ402" s="148"/>
      <c r="CUA402" s="148"/>
      <c r="CUB402" s="148"/>
      <c r="CUC402" s="148"/>
      <c r="CUD402" s="148"/>
      <c r="CUE402" s="148"/>
      <c r="CUF402" s="148"/>
      <c r="CUG402" s="148"/>
      <c r="CUH402" s="148"/>
      <c r="CUI402" s="148"/>
      <c r="CUJ402" s="148"/>
      <c r="CUK402" s="148"/>
      <c r="CUL402" s="148"/>
      <c r="CUM402" s="148"/>
      <c r="CUN402" s="148"/>
      <c r="CUO402" s="148"/>
      <c r="CUP402" s="148"/>
      <c r="CUQ402" s="148"/>
      <c r="CUR402" s="148"/>
      <c r="CUS402" s="148"/>
      <c r="CUT402" s="148"/>
      <c r="CUU402" s="148"/>
      <c r="CUV402" s="148"/>
      <c r="CUW402" s="148"/>
      <c r="CUX402" s="148"/>
      <c r="CUY402" s="148"/>
      <c r="CUZ402" s="148"/>
      <c r="CVA402" s="148"/>
      <c r="CVB402" s="148"/>
      <c r="CVC402" s="148"/>
      <c r="CVD402" s="148"/>
      <c r="CVE402" s="148"/>
      <c r="CVF402" s="148"/>
      <c r="CVG402" s="148"/>
      <c r="CVH402" s="148"/>
      <c r="CVI402" s="148"/>
      <c r="CVJ402" s="148"/>
      <c r="CVK402" s="148"/>
      <c r="CVL402" s="148"/>
      <c r="CVM402" s="148"/>
      <c r="CVN402" s="148"/>
      <c r="CVO402" s="148"/>
      <c r="CVP402" s="148"/>
      <c r="CVQ402" s="148"/>
      <c r="CVR402" s="148"/>
      <c r="CVS402" s="148"/>
      <c r="CVT402" s="148"/>
      <c r="CVU402" s="148"/>
      <c r="CVV402" s="148"/>
      <c r="CVW402" s="148"/>
      <c r="CVX402" s="148"/>
      <c r="CVY402" s="148"/>
      <c r="CVZ402" s="148"/>
      <c r="CWA402" s="148"/>
      <c r="CWB402" s="148"/>
      <c r="CWC402" s="148"/>
      <c r="CWD402" s="148"/>
      <c r="CWE402" s="148"/>
      <c r="CWF402" s="148"/>
      <c r="CWG402" s="148"/>
      <c r="CWH402" s="148"/>
      <c r="CWI402" s="148"/>
      <c r="CWJ402" s="148"/>
      <c r="CWK402" s="148"/>
      <c r="CWL402" s="148"/>
      <c r="CWM402" s="148"/>
      <c r="CWN402" s="148"/>
      <c r="CWO402" s="148"/>
      <c r="CWP402" s="148"/>
      <c r="CWQ402" s="148"/>
      <c r="CWR402" s="148"/>
      <c r="CWS402" s="148"/>
      <c r="CWT402" s="148"/>
      <c r="CWU402" s="148"/>
      <c r="CWV402" s="148"/>
      <c r="CWW402" s="148"/>
      <c r="CWX402" s="148"/>
      <c r="CWY402" s="148"/>
      <c r="CWZ402" s="148"/>
      <c r="CXA402" s="148"/>
      <c r="CXB402" s="148"/>
      <c r="CXC402" s="148"/>
      <c r="CXD402" s="148"/>
      <c r="CXE402" s="148"/>
      <c r="CXF402" s="148"/>
      <c r="CXG402" s="148"/>
      <c r="CXH402" s="148"/>
      <c r="CXI402" s="148"/>
      <c r="CXJ402" s="148"/>
      <c r="CXK402" s="148"/>
      <c r="CXL402" s="148"/>
      <c r="CXM402" s="148"/>
      <c r="CXN402" s="148"/>
      <c r="CXO402" s="148"/>
      <c r="CXP402" s="148"/>
      <c r="CXQ402" s="148"/>
      <c r="CXR402" s="148"/>
      <c r="CXS402" s="148"/>
      <c r="CXT402" s="148"/>
      <c r="CXU402" s="148"/>
      <c r="CXV402" s="148"/>
      <c r="CXW402" s="148"/>
      <c r="CXX402" s="148"/>
      <c r="CXY402" s="148"/>
      <c r="CXZ402" s="148"/>
      <c r="CYA402" s="148"/>
      <c r="CYB402" s="148"/>
      <c r="CYC402" s="148"/>
      <c r="CYD402" s="148"/>
      <c r="CYE402" s="148"/>
      <c r="CYF402" s="148"/>
      <c r="CYG402" s="148"/>
      <c r="CYH402" s="148"/>
      <c r="CYI402" s="148"/>
      <c r="CYJ402" s="148"/>
      <c r="CYK402" s="148"/>
      <c r="CYL402" s="148"/>
      <c r="CYM402" s="148"/>
      <c r="CYN402" s="148"/>
      <c r="CYO402" s="148"/>
      <c r="CYP402" s="148"/>
      <c r="CYQ402" s="148"/>
      <c r="CYR402" s="148"/>
      <c r="CYS402" s="148"/>
      <c r="CYT402" s="148"/>
      <c r="CYU402" s="148"/>
      <c r="CYV402" s="148"/>
      <c r="CYW402" s="148"/>
      <c r="CYX402" s="148"/>
      <c r="CYY402" s="148"/>
      <c r="CYZ402" s="148"/>
      <c r="CZA402" s="148"/>
      <c r="CZB402" s="148"/>
      <c r="CZC402" s="148"/>
      <c r="CZD402" s="148"/>
      <c r="CZE402" s="148"/>
      <c r="CZF402" s="148"/>
      <c r="CZG402" s="148"/>
      <c r="CZH402" s="148"/>
      <c r="CZI402" s="148"/>
      <c r="CZJ402" s="148"/>
      <c r="CZK402" s="148"/>
      <c r="CZL402" s="148"/>
      <c r="CZM402" s="148"/>
      <c r="CZN402" s="148"/>
      <c r="CZO402" s="148"/>
      <c r="CZP402" s="148"/>
      <c r="CZQ402" s="148"/>
      <c r="CZR402" s="148"/>
      <c r="CZS402" s="148"/>
      <c r="CZT402" s="148"/>
      <c r="CZU402" s="148"/>
      <c r="CZV402" s="148"/>
      <c r="CZW402" s="148"/>
      <c r="CZX402" s="148"/>
      <c r="CZY402" s="148"/>
      <c r="CZZ402" s="148"/>
      <c r="DAA402" s="148"/>
      <c r="DAB402" s="148"/>
      <c r="DAC402" s="148"/>
      <c r="DAD402" s="148"/>
      <c r="DAE402" s="148"/>
      <c r="DAF402" s="148"/>
      <c r="DAG402" s="148"/>
      <c r="DAH402" s="148"/>
      <c r="DAI402" s="148"/>
      <c r="DAJ402" s="148"/>
      <c r="DAK402" s="148"/>
      <c r="DAL402" s="148"/>
      <c r="DAM402" s="148"/>
      <c r="DAN402" s="148"/>
      <c r="DAO402" s="148"/>
      <c r="DAP402" s="148"/>
      <c r="DAQ402" s="148"/>
      <c r="DAR402" s="148"/>
      <c r="DAS402" s="148"/>
      <c r="DAT402" s="148"/>
      <c r="DAU402" s="148"/>
      <c r="DAV402" s="148"/>
      <c r="DAW402" s="148"/>
      <c r="DAX402" s="148"/>
      <c r="DAY402" s="148"/>
      <c r="DAZ402" s="148"/>
      <c r="DBA402" s="148"/>
      <c r="DBB402" s="148"/>
      <c r="DBC402" s="148"/>
      <c r="DBD402" s="148"/>
      <c r="DBE402" s="148"/>
      <c r="DBF402" s="148"/>
      <c r="DBG402" s="148"/>
      <c r="DBH402" s="148"/>
      <c r="DBI402" s="148"/>
      <c r="DBJ402" s="148"/>
      <c r="DBK402" s="148"/>
      <c r="DBL402" s="148"/>
      <c r="DBM402" s="148"/>
      <c r="DBN402" s="148"/>
      <c r="DBO402" s="148"/>
      <c r="DBP402" s="148"/>
      <c r="DBQ402" s="148"/>
      <c r="DBR402" s="148"/>
      <c r="DBS402" s="148"/>
      <c r="DBT402" s="148"/>
      <c r="DBU402" s="148"/>
      <c r="DBV402" s="148"/>
      <c r="DBW402" s="148"/>
      <c r="DBX402" s="148"/>
      <c r="DBY402" s="148"/>
      <c r="DBZ402" s="148"/>
      <c r="DCA402" s="148"/>
      <c r="DCB402" s="148"/>
      <c r="DCC402" s="148"/>
      <c r="DCD402" s="148"/>
      <c r="DCE402" s="148"/>
      <c r="DCF402" s="148"/>
      <c r="DCG402" s="148"/>
      <c r="DCH402" s="148"/>
      <c r="DCI402" s="148"/>
      <c r="DCJ402" s="148"/>
      <c r="DCK402" s="148"/>
      <c r="DCL402" s="148"/>
      <c r="DCM402" s="148"/>
      <c r="DCN402" s="148"/>
      <c r="DCO402" s="148"/>
      <c r="DCP402" s="148"/>
      <c r="DCQ402" s="148"/>
      <c r="DCR402" s="148"/>
      <c r="DCS402" s="148"/>
      <c r="DCT402" s="148"/>
      <c r="DCU402" s="148"/>
      <c r="DCV402" s="148"/>
      <c r="DCW402" s="148"/>
      <c r="DCX402" s="148"/>
      <c r="DCY402" s="148"/>
      <c r="DCZ402" s="148"/>
      <c r="DDA402" s="148"/>
      <c r="DDB402" s="148"/>
      <c r="DDC402" s="148"/>
      <c r="DDD402" s="148"/>
      <c r="DDE402" s="148"/>
      <c r="DDF402" s="148"/>
      <c r="DDG402" s="148"/>
      <c r="DDH402" s="148"/>
      <c r="DDI402" s="148"/>
      <c r="DDJ402" s="148"/>
      <c r="DDK402" s="148"/>
      <c r="DDL402" s="148"/>
      <c r="DDM402" s="148"/>
      <c r="DDN402" s="148"/>
      <c r="DDO402" s="148"/>
      <c r="DDP402" s="148"/>
      <c r="DDQ402" s="148"/>
      <c r="DDR402" s="148"/>
      <c r="DDS402" s="148"/>
      <c r="DDT402" s="148"/>
      <c r="DDU402" s="148"/>
      <c r="DDV402" s="148"/>
      <c r="DDW402" s="148"/>
      <c r="DDX402" s="148"/>
      <c r="DDY402" s="148"/>
      <c r="DDZ402" s="148"/>
      <c r="DEA402" s="148"/>
      <c r="DEB402" s="148"/>
      <c r="DEC402" s="148"/>
      <c r="DED402" s="148"/>
      <c r="DEE402" s="148"/>
      <c r="DEF402" s="148"/>
      <c r="DEG402" s="148"/>
      <c r="DEH402" s="148"/>
      <c r="DEI402" s="148"/>
      <c r="DEJ402" s="148"/>
      <c r="DEK402" s="148"/>
      <c r="DEL402" s="148"/>
      <c r="DEM402" s="148"/>
      <c r="DEN402" s="148"/>
      <c r="DEO402" s="148"/>
      <c r="DEP402" s="148"/>
      <c r="DEQ402" s="148"/>
      <c r="DER402" s="148"/>
      <c r="DES402" s="148"/>
      <c r="DET402" s="148"/>
      <c r="DEU402" s="148"/>
      <c r="DEV402" s="148"/>
      <c r="DEW402" s="148"/>
      <c r="DEX402" s="148"/>
      <c r="DEY402" s="148"/>
      <c r="DEZ402" s="148"/>
      <c r="DFA402" s="148"/>
      <c r="DFB402" s="148"/>
      <c r="DFC402" s="148"/>
      <c r="DFD402" s="148"/>
      <c r="DFE402" s="148"/>
      <c r="DFF402" s="148"/>
      <c r="DFG402" s="148"/>
      <c r="DFH402" s="148"/>
      <c r="DFI402" s="148"/>
      <c r="DFJ402" s="148"/>
      <c r="DFK402" s="148"/>
      <c r="DFL402" s="148"/>
      <c r="DFM402" s="148"/>
      <c r="DFN402" s="148"/>
      <c r="DFO402" s="148"/>
      <c r="DFP402" s="148"/>
      <c r="DFQ402" s="148"/>
      <c r="DFR402" s="148"/>
      <c r="DFS402" s="148"/>
      <c r="DFT402" s="148"/>
      <c r="DFU402" s="148"/>
      <c r="DFV402" s="148"/>
      <c r="DFW402" s="148"/>
      <c r="DFX402" s="148"/>
      <c r="DFY402" s="148"/>
      <c r="DFZ402" s="148"/>
      <c r="DGA402" s="148"/>
      <c r="DGB402" s="148"/>
      <c r="DGC402" s="148"/>
      <c r="DGD402" s="148"/>
      <c r="DGE402" s="148"/>
      <c r="DGF402" s="148"/>
      <c r="DGG402" s="148"/>
      <c r="DGH402" s="148"/>
      <c r="DGI402" s="148"/>
      <c r="DGJ402" s="148"/>
      <c r="DGK402" s="148"/>
      <c r="DGL402" s="148"/>
      <c r="DGM402" s="148"/>
      <c r="DGN402" s="148"/>
      <c r="DGO402" s="148"/>
      <c r="DGP402" s="148"/>
      <c r="DGQ402" s="148"/>
      <c r="DGR402" s="148"/>
      <c r="DGS402" s="148"/>
      <c r="DGT402" s="148"/>
      <c r="DGU402" s="148"/>
      <c r="DGV402" s="148"/>
      <c r="DGW402" s="148"/>
      <c r="DGX402" s="148"/>
      <c r="DGY402" s="148"/>
      <c r="DGZ402" s="148"/>
      <c r="DHA402" s="148"/>
      <c r="DHB402" s="148"/>
      <c r="DHC402" s="148"/>
      <c r="DHD402" s="148"/>
      <c r="DHE402" s="148"/>
      <c r="DHF402" s="148"/>
      <c r="DHG402" s="148"/>
      <c r="DHH402" s="148"/>
      <c r="DHI402" s="148"/>
      <c r="DHJ402" s="148"/>
      <c r="DHK402" s="148"/>
      <c r="DHL402" s="148"/>
      <c r="DHM402" s="148"/>
      <c r="DHN402" s="148"/>
      <c r="DHO402" s="148"/>
      <c r="DHP402" s="148"/>
      <c r="DHQ402" s="148"/>
      <c r="DHR402" s="148"/>
      <c r="DHS402" s="148"/>
      <c r="DHT402" s="148"/>
      <c r="DHU402" s="148"/>
      <c r="DHV402" s="148"/>
      <c r="DHW402" s="148"/>
      <c r="DHX402" s="148"/>
      <c r="DHY402" s="148"/>
      <c r="DHZ402" s="148"/>
      <c r="DIA402" s="148"/>
      <c r="DIB402" s="148"/>
      <c r="DIC402" s="148"/>
      <c r="DID402" s="148"/>
      <c r="DIE402" s="148"/>
      <c r="DIF402" s="148"/>
      <c r="DIG402" s="148"/>
      <c r="DIH402" s="148"/>
      <c r="DII402" s="148"/>
      <c r="DIJ402" s="148"/>
      <c r="DIK402" s="148"/>
      <c r="DIL402" s="148"/>
      <c r="DIM402" s="148"/>
      <c r="DIN402" s="148"/>
      <c r="DIO402" s="148"/>
      <c r="DIP402" s="148"/>
      <c r="DIQ402" s="148"/>
      <c r="DIR402" s="148"/>
      <c r="DIS402" s="148"/>
      <c r="DIT402" s="148"/>
      <c r="DIU402" s="148"/>
      <c r="DIV402" s="148"/>
      <c r="DIW402" s="148"/>
      <c r="DIX402" s="148"/>
      <c r="DIY402" s="148"/>
      <c r="DIZ402" s="148"/>
      <c r="DJA402" s="148"/>
      <c r="DJB402" s="148"/>
      <c r="DJC402" s="148"/>
      <c r="DJD402" s="148"/>
      <c r="DJE402" s="148"/>
      <c r="DJF402" s="148"/>
      <c r="DJG402" s="148"/>
      <c r="DJH402" s="148"/>
      <c r="DJI402" s="148"/>
      <c r="DJJ402" s="148"/>
      <c r="DJK402" s="148"/>
      <c r="DJL402" s="148"/>
      <c r="DJM402" s="148"/>
      <c r="DJN402" s="148"/>
      <c r="DJO402" s="148"/>
      <c r="DJP402" s="148"/>
      <c r="DJQ402" s="148"/>
      <c r="DJR402" s="148"/>
      <c r="DJS402" s="148"/>
      <c r="DJT402" s="148"/>
      <c r="DJU402" s="148"/>
      <c r="DJV402" s="148"/>
      <c r="DJW402" s="148"/>
      <c r="DJX402" s="148"/>
      <c r="DJY402" s="148"/>
      <c r="DJZ402" s="148"/>
      <c r="DKA402" s="148"/>
      <c r="DKB402" s="148"/>
      <c r="DKC402" s="148"/>
      <c r="DKD402" s="148"/>
      <c r="DKE402" s="148"/>
      <c r="DKF402" s="148"/>
      <c r="DKG402" s="148"/>
      <c r="DKH402" s="148"/>
      <c r="DKI402" s="148"/>
      <c r="DKJ402" s="148"/>
      <c r="DKK402" s="148"/>
      <c r="DKL402" s="148"/>
      <c r="DKM402" s="148"/>
      <c r="DKN402" s="148"/>
      <c r="DKO402" s="148"/>
      <c r="DKP402" s="148"/>
      <c r="DKQ402" s="148"/>
      <c r="DKR402" s="148"/>
      <c r="DKS402" s="148"/>
      <c r="DKT402" s="148"/>
      <c r="DKU402" s="148"/>
      <c r="DKV402" s="148"/>
      <c r="DKW402" s="148"/>
      <c r="DKX402" s="148"/>
      <c r="DKY402" s="148"/>
      <c r="DKZ402" s="148"/>
      <c r="DLA402" s="148"/>
      <c r="DLB402" s="148"/>
      <c r="DLC402" s="148"/>
      <c r="DLD402" s="148"/>
      <c r="DLE402" s="148"/>
      <c r="DLF402" s="148"/>
      <c r="DLG402" s="148"/>
      <c r="DLH402" s="148"/>
      <c r="DLI402" s="148"/>
      <c r="DLJ402" s="148"/>
      <c r="DLK402" s="148"/>
      <c r="DLL402" s="148"/>
      <c r="DLM402" s="148"/>
      <c r="DLN402" s="148"/>
      <c r="DLO402" s="148"/>
      <c r="DLP402" s="148"/>
      <c r="DLQ402" s="148"/>
      <c r="DLR402" s="148"/>
      <c r="DLS402" s="148"/>
      <c r="DLT402" s="148"/>
      <c r="DLU402" s="148"/>
      <c r="DLV402" s="148"/>
      <c r="DLW402" s="148"/>
      <c r="DLX402" s="148"/>
      <c r="DLY402" s="148"/>
      <c r="DLZ402" s="148"/>
      <c r="DMA402" s="148"/>
      <c r="DMB402" s="148"/>
      <c r="DMC402" s="148"/>
      <c r="DMD402" s="148"/>
      <c r="DME402" s="148"/>
      <c r="DMF402" s="148"/>
      <c r="DMG402" s="148"/>
      <c r="DMH402" s="148"/>
      <c r="DMI402" s="148"/>
      <c r="DMJ402" s="148"/>
      <c r="DMK402" s="148"/>
      <c r="DML402" s="148"/>
      <c r="DMM402" s="148"/>
      <c r="DMN402" s="148"/>
      <c r="DMO402" s="148"/>
      <c r="DMP402" s="148"/>
      <c r="DMQ402" s="148"/>
      <c r="DMR402" s="148"/>
      <c r="DMS402" s="148"/>
      <c r="DMT402" s="148"/>
      <c r="DMU402" s="148"/>
      <c r="DMV402" s="148"/>
      <c r="DMW402" s="148"/>
      <c r="DMX402" s="148"/>
      <c r="DMY402" s="148"/>
      <c r="DMZ402" s="148"/>
      <c r="DNA402" s="148"/>
      <c r="DNB402" s="148"/>
      <c r="DNC402" s="148"/>
      <c r="DND402" s="148"/>
      <c r="DNE402" s="148"/>
      <c r="DNF402" s="148"/>
      <c r="DNG402" s="148"/>
      <c r="DNH402" s="148"/>
      <c r="DNI402" s="148"/>
      <c r="DNJ402" s="148"/>
      <c r="DNK402" s="148"/>
      <c r="DNL402" s="148"/>
      <c r="DNM402" s="148"/>
      <c r="DNN402" s="148"/>
      <c r="DNO402" s="148"/>
      <c r="DNP402" s="148"/>
      <c r="DNQ402" s="148"/>
      <c r="DNR402" s="148"/>
      <c r="DNS402" s="148"/>
      <c r="DNT402" s="148"/>
      <c r="DNU402" s="148"/>
      <c r="DNV402" s="148"/>
      <c r="DNW402" s="148"/>
      <c r="DNX402" s="148"/>
      <c r="DNY402" s="148"/>
      <c r="DNZ402" s="148"/>
      <c r="DOA402" s="148"/>
      <c r="DOB402" s="148"/>
      <c r="DOC402" s="148"/>
      <c r="DOD402" s="148"/>
      <c r="DOE402" s="148"/>
      <c r="DOF402" s="148"/>
      <c r="DOG402" s="148"/>
      <c r="DOH402" s="148"/>
      <c r="DOI402" s="148"/>
      <c r="DOJ402" s="148"/>
      <c r="DOK402" s="148"/>
      <c r="DOL402" s="148"/>
      <c r="DOM402" s="148"/>
      <c r="DON402" s="148"/>
      <c r="DOO402" s="148"/>
      <c r="DOP402" s="148"/>
      <c r="DOQ402" s="148"/>
      <c r="DOR402" s="148"/>
      <c r="DOS402" s="148"/>
      <c r="DOT402" s="148"/>
      <c r="DOU402" s="148"/>
      <c r="DOV402" s="148"/>
      <c r="DOW402" s="148"/>
      <c r="DOX402" s="148"/>
      <c r="DOY402" s="148"/>
      <c r="DOZ402" s="148"/>
      <c r="DPA402" s="148"/>
      <c r="DPB402" s="148"/>
      <c r="DPC402" s="148"/>
      <c r="DPD402" s="148"/>
      <c r="DPE402" s="148"/>
      <c r="DPF402" s="148"/>
      <c r="DPG402" s="148"/>
      <c r="DPH402" s="148"/>
      <c r="DPI402" s="148"/>
      <c r="DPJ402" s="148"/>
      <c r="DPK402" s="148"/>
      <c r="DPL402" s="148"/>
      <c r="DPM402" s="148"/>
      <c r="DPN402" s="148"/>
      <c r="DPO402" s="148"/>
      <c r="DPP402" s="148"/>
      <c r="DPQ402" s="148"/>
      <c r="DPR402" s="148"/>
      <c r="DPS402" s="148"/>
      <c r="DPT402" s="148"/>
      <c r="DPU402" s="148"/>
      <c r="DPV402" s="148"/>
      <c r="DPW402" s="148"/>
      <c r="DPX402" s="148"/>
      <c r="DPY402" s="148"/>
      <c r="DPZ402" s="148"/>
      <c r="DQA402" s="148"/>
      <c r="DQB402" s="148"/>
      <c r="DQC402" s="148"/>
      <c r="DQD402" s="148"/>
      <c r="DQE402" s="148"/>
      <c r="DQF402" s="148"/>
      <c r="DQG402" s="148"/>
      <c r="DQH402" s="148"/>
      <c r="DQI402" s="148"/>
      <c r="DQJ402" s="148"/>
      <c r="DQK402" s="148"/>
      <c r="DQL402" s="148"/>
      <c r="DQM402" s="148"/>
      <c r="DQN402" s="148"/>
      <c r="DQO402" s="148"/>
      <c r="DQP402" s="148"/>
      <c r="DQQ402" s="148"/>
      <c r="DQR402" s="148"/>
      <c r="DQS402" s="148"/>
      <c r="DQT402" s="148"/>
      <c r="DQU402" s="148"/>
      <c r="DQV402" s="148"/>
      <c r="DQW402" s="148"/>
      <c r="DQX402" s="148"/>
      <c r="DQY402" s="148"/>
      <c r="DQZ402" s="148"/>
      <c r="DRA402" s="148"/>
      <c r="DRB402" s="148"/>
      <c r="DRC402" s="148"/>
      <c r="DRD402" s="148"/>
      <c r="DRE402" s="148"/>
      <c r="DRF402" s="148"/>
      <c r="DRG402" s="148"/>
      <c r="DRH402" s="148"/>
      <c r="DRI402" s="148"/>
      <c r="DRJ402" s="148"/>
      <c r="DRK402" s="148"/>
      <c r="DRL402" s="148"/>
      <c r="DRM402" s="148"/>
      <c r="DRN402" s="148"/>
      <c r="DRO402" s="148"/>
      <c r="DRP402" s="148"/>
      <c r="DRQ402" s="148"/>
      <c r="DRR402" s="148"/>
      <c r="DRS402" s="148"/>
      <c r="DRT402" s="148"/>
      <c r="DRU402" s="148"/>
      <c r="DRV402" s="148"/>
      <c r="DRW402" s="148"/>
      <c r="DRX402" s="148"/>
      <c r="DRY402" s="148"/>
      <c r="DRZ402" s="148"/>
      <c r="DSA402" s="148"/>
      <c r="DSB402" s="148"/>
      <c r="DSC402" s="148"/>
      <c r="DSD402" s="148"/>
      <c r="DSE402" s="148"/>
      <c r="DSF402" s="148"/>
      <c r="DSG402" s="148"/>
      <c r="DSH402" s="148"/>
      <c r="DSI402" s="148"/>
      <c r="DSJ402" s="148"/>
      <c r="DSK402" s="148"/>
      <c r="DSL402" s="148"/>
      <c r="DSM402" s="148"/>
      <c r="DSN402" s="148"/>
      <c r="DSO402" s="148"/>
      <c r="DSP402" s="148"/>
      <c r="DSQ402" s="148"/>
      <c r="DSR402" s="148"/>
      <c r="DSS402" s="148"/>
      <c r="DST402" s="148"/>
      <c r="DSU402" s="148"/>
      <c r="DSV402" s="148"/>
      <c r="DSW402" s="148"/>
      <c r="DSX402" s="148"/>
      <c r="DSY402" s="148"/>
      <c r="DSZ402" s="148"/>
      <c r="DTA402" s="148"/>
      <c r="DTB402" s="148"/>
      <c r="DTC402" s="148"/>
      <c r="DTD402" s="148"/>
      <c r="DTE402" s="148"/>
      <c r="DTF402" s="148"/>
      <c r="DTG402" s="148"/>
      <c r="DTH402" s="148"/>
      <c r="DTI402" s="148"/>
      <c r="DTJ402" s="148"/>
      <c r="DTK402" s="148"/>
      <c r="DTL402" s="148"/>
      <c r="DTM402" s="148"/>
      <c r="DTN402" s="148"/>
      <c r="DTO402" s="148"/>
      <c r="DTP402" s="148"/>
      <c r="DTQ402" s="148"/>
      <c r="DTR402" s="148"/>
      <c r="DTS402" s="148"/>
      <c r="DTT402" s="148"/>
      <c r="DTU402" s="148"/>
      <c r="DTV402" s="148"/>
      <c r="DTW402" s="148"/>
      <c r="DTX402" s="148"/>
      <c r="DTY402" s="148"/>
      <c r="DTZ402" s="148"/>
      <c r="DUA402" s="148"/>
      <c r="DUB402" s="148"/>
      <c r="DUC402" s="148"/>
      <c r="DUD402" s="148"/>
      <c r="DUE402" s="148"/>
      <c r="DUF402" s="148"/>
      <c r="DUG402" s="148"/>
      <c r="DUH402" s="148"/>
      <c r="DUI402" s="148"/>
      <c r="DUJ402" s="148"/>
      <c r="DUK402" s="148"/>
      <c r="DUL402" s="148"/>
      <c r="DUM402" s="148"/>
      <c r="DUN402" s="148"/>
      <c r="DUO402" s="148"/>
      <c r="DUP402" s="148"/>
      <c r="DUQ402" s="148"/>
      <c r="DUR402" s="148"/>
      <c r="DUS402" s="148"/>
      <c r="DUT402" s="148"/>
      <c r="DUU402" s="148"/>
      <c r="DUV402" s="148"/>
      <c r="DUW402" s="148"/>
      <c r="DUX402" s="148"/>
      <c r="DUY402" s="148"/>
      <c r="DUZ402" s="148"/>
      <c r="DVA402" s="148"/>
      <c r="DVB402" s="148"/>
      <c r="DVC402" s="148"/>
      <c r="DVD402" s="148"/>
      <c r="DVE402" s="148"/>
      <c r="DVF402" s="148"/>
      <c r="DVG402" s="148"/>
      <c r="DVH402" s="148"/>
      <c r="DVI402" s="148"/>
      <c r="DVJ402" s="148"/>
      <c r="DVK402" s="148"/>
      <c r="DVL402" s="148"/>
      <c r="DVM402" s="148"/>
      <c r="DVN402" s="148"/>
      <c r="DVO402" s="148"/>
      <c r="DVP402" s="148"/>
      <c r="DVQ402" s="148"/>
      <c r="DVR402" s="148"/>
      <c r="DVS402" s="148"/>
      <c r="DVT402" s="148"/>
      <c r="DVU402" s="148"/>
      <c r="DVV402" s="148"/>
      <c r="DVW402" s="148"/>
      <c r="DVX402" s="148"/>
      <c r="DVY402" s="148"/>
      <c r="DVZ402" s="148"/>
      <c r="DWA402" s="148"/>
      <c r="DWB402" s="148"/>
      <c r="DWC402" s="148"/>
      <c r="DWD402" s="148"/>
      <c r="DWE402" s="148"/>
      <c r="DWF402" s="148"/>
      <c r="DWG402" s="148"/>
      <c r="DWH402" s="148"/>
      <c r="DWI402" s="148"/>
      <c r="DWJ402" s="148"/>
      <c r="DWK402" s="148"/>
      <c r="DWL402" s="148"/>
      <c r="DWM402" s="148"/>
      <c r="DWN402" s="148"/>
      <c r="DWO402" s="148"/>
      <c r="DWP402" s="148"/>
      <c r="DWQ402" s="148"/>
      <c r="DWR402" s="148"/>
      <c r="DWS402" s="148"/>
      <c r="DWT402" s="148"/>
      <c r="DWU402" s="148"/>
      <c r="DWV402" s="148"/>
      <c r="DWW402" s="148"/>
      <c r="DWX402" s="148"/>
      <c r="DWY402" s="148"/>
      <c r="DWZ402" s="148"/>
      <c r="DXA402" s="148"/>
      <c r="DXB402" s="148"/>
      <c r="DXC402" s="148"/>
      <c r="DXD402" s="148"/>
      <c r="DXE402" s="148"/>
      <c r="DXF402" s="148"/>
      <c r="DXG402" s="148"/>
      <c r="DXH402" s="148"/>
      <c r="DXI402" s="148"/>
      <c r="DXJ402" s="148"/>
      <c r="DXK402" s="148"/>
      <c r="DXL402" s="148"/>
      <c r="DXM402" s="148"/>
      <c r="DXN402" s="148"/>
      <c r="DXO402" s="148"/>
      <c r="DXP402" s="148"/>
      <c r="DXQ402" s="148"/>
      <c r="DXR402" s="148"/>
      <c r="DXS402" s="148"/>
      <c r="DXT402" s="148"/>
      <c r="DXU402" s="148"/>
      <c r="DXV402" s="148"/>
      <c r="DXW402" s="148"/>
      <c r="DXX402" s="148"/>
      <c r="DXY402" s="148"/>
      <c r="DXZ402" s="148"/>
      <c r="DYA402" s="148"/>
      <c r="DYB402" s="148"/>
      <c r="DYC402" s="148"/>
      <c r="DYD402" s="148"/>
      <c r="DYE402" s="148"/>
      <c r="DYF402" s="148"/>
      <c r="DYG402" s="148"/>
      <c r="DYH402" s="148"/>
      <c r="DYI402" s="148"/>
      <c r="DYJ402" s="148"/>
      <c r="DYK402" s="148"/>
      <c r="DYL402" s="148"/>
      <c r="DYM402" s="148"/>
      <c r="DYN402" s="148"/>
      <c r="DYO402" s="148"/>
      <c r="DYP402" s="148"/>
      <c r="DYQ402" s="148"/>
      <c r="DYR402" s="148"/>
      <c r="DYS402" s="148"/>
      <c r="DYT402" s="148"/>
      <c r="DYU402" s="148"/>
      <c r="DYV402" s="148"/>
      <c r="DYW402" s="148"/>
      <c r="DYX402" s="148"/>
      <c r="DYY402" s="148"/>
      <c r="DYZ402" s="148"/>
      <c r="DZA402" s="148"/>
      <c r="DZB402" s="148"/>
      <c r="DZC402" s="148"/>
      <c r="DZD402" s="148"/>
      <c r="DZE402" s="148"/>
      <c r="DZF402" s="148"/>
      <c r="DZG402" s="148"/>
      <c r="DZH402" s="148"/>
      <c r="DZI402" s="148"/>
      <c r="DZJ402" s="148"/>
      <c r="DZK402" s="148"/>
      <c r="DZL402" s="148"/>
      <c r="DZM402" s="148"/>
      <c r="DZN402" s="148"/>
      <c r="DZO402" s="148"/>
      <c r="DZP402" s="148"/>
      <c r="DZQ402" s="148"/>
      <c r="DZR402" s="148"/>
      <c r="DZS402" s="148"/>
      <c r="DZT402" s="148"/>
      <c r="DZU402" s="148"/>
      <c r="DZV402" s="148"/>
      <c r="DZW402" s="148"/>
      <c r="DZX402" s="148"/>
      <c r="DZY402" s="148"/>
      <c r="DZZ402" s="148"/>
      <c r="EAA402" s="148"/>
      <c r="EAB402" s="148"/>
      <c r="EAC402" s="148"/>
      <c r="EAD402" s="148"/>
      <c r="EAE402" s="148"/>
      <c r="EAF402" s="148"/>
      <c r="EAG402" s="148"/>
      <c r="EAH402" s="148"/>
      <c r="EAI402" s="148"/>
      <c r="EAJ402" s="148"/>
      <c r="EAK402" s="148"/>
      <c r="EAL402" s="148"/>
      <c r="EAM402" s="148"/>
      <c r="EAN402" s="148"/>
      <c r="EAO402" s="148"/>
      <c r="EAP402" s="148"/>
      <c r="EAQ402" s="148"/>
      <c r="EAR402" s="148"/>
      <c r="EAS402" s="148"/>
      <c r="EAT402" s="148"/>
      <c r="EAU402" s="148"/>
      <c r="EAV402" s="148"/>
      <c r="EAW402" s="148"/>
      <c r="EAX402" s="148"/>
      <c r="EAY402" s="148"/>
      <c r="EAZ402" s="148"/>
      <c r="EBA402" s="148"/>
      <c r="EBB402" s="148"/>
      <c r="EBC402" s="148"/>
      <c r="EBD402" s="148"/>
      <c r="EBE402" s="148"/>
      <c r="EBF402" s="148"/>
      <c r="EBG402" s="148"/>
      <c r="EBH402" s="148"/>
      <c r="EBI402" s="148"/>
      <c r="EBJ402" s="148"/>
      <c r="EBK402" s="148"/>
      <c r="EBL402" s="148"/>
      <c r="EBM402" s="148"/>
      <c r="EBN402" s="148"/>
      <c r="EBO402" s="148"/>
      <c r="EBP402" s="148"/>
      <c r="EBQ402" s="148"/>
      <c r="EBR402" s="148"/>
      <c r="EBS402" s="148"/>
      <c r="EBT402" s="148"/>
      <c r="EBU402" s="148"/>
      <c r="EBV402" s="148"/>
      <c r="EBW402" s="148"/>
      <c r="EBX402" s="148"/>
      <c r="EBY402" s="148"/>
      <c r="EBZ402" s="148"/>
      <c r="ECA402" s="148"/>
      <c r="ECB402" s="148"/>
      <c r="ECC402" s="148"/>
      <c r="ECD402" s="148"/>
      <c r="ECE402" s="148"/>
      <c r="ECF402" s="148"/>
      <c r="ECG402" s="148"/>
      <c r="ECH402" s="148"/>
      <c r="ECI402" s="148"/>
      <c r="ECJ402" s="148"/>
      <c r="ECK402" s="148"/>
      <c r="ECL402" s="148"/>
      <c r="ECM402" s="148"/>
      <c r="ECN402" s="148"/>
      <c r="ECO402" s="148"/>
      <c r="ECP402" s="148"/>
      <c r="ECQ402" s="148"/>
      <c r="ECR402" s="148"/>
      <c r="ECS402" s="148"/>
      <c r="ECT402" s="148"/>
      <c r="ECU402" s="148"/>
      <c r="ECV402" s="148"/>
      <c r="ECW402" s="148"/>
      <c r="ECX402" s="148"/>
      <c r="ECY402" s="148"/>
      <c r="ECZ402" s="148"/>
      <c r="EDA402" s="148"/>
      <c r="EDB402" s="148"/>
      <c r="EDC402" s="148"/>
      <c r="EDD402" s="148"/>
      <c r="EDE402" s="148"/>
      <c r="EDF402" s="148"/>
      <c r="EDG402" s="148"/>
      <c r="EDH402" s="148"/>
      <c r="EDI402" s="148"/>
      <c r="EDJ402" s="148"/>
      <c r="EDK402" s="148"/>
      <c r="EDL402" s="148"/>
      <c r="EDM402" s="148"/>
      <c r="EDN402" s="148"/>
      <c r="EDO402" s="148"/>
      <c r="EDP402" s="148"/>
      <c r="EDQ402" s="148"/>
      <c r="EDR402" s="148"/>
      <c r="EDS402" s="148"/>
      <c r="EDT402" s="148"/>
      <c r="EDU402" s="148"/>
      <c r="EDV402" s="148"/>
      <c r="EDW402" s="148"/>
      <c r="EDX402" s="148"/>
      <c r="EDY402" s="148"/>
      <c r="EDZ402" s="148"/>
      <c r="EEA402" s="148"/>
      <c r="EEB402" s="148"/>
      <c r="EEC402" s="148"/>
      <c r="EED402" s="148"/>
      <c r="EEE402" s="148"/>
      <c r="EEF402" s="148"/>
      <c r="EEG402" s="148"/>
      <c r="EEH402" s="148"/>
      <c r="EEI402" s="148"/>
      <c r="EEJ402" s="148"/>
      <c r="EEK402" s="148"/>
      <c r="EEL402" s="148"/>
      <c r="EEM402" s="148"/>
      <c r="EEN402" s="148"/>
      <c r="EEO402" s="148"/>
      <c r="EEP402" s="148"/>
      <c r="EEQ402" s="148"/>
      <c r="EER402" s="148"/>
      <c r="EES402" s="148"/>
      <c r="EET402" s="148"/>
      <c r="EEU402" s="148"/>
      <c r="EEV402" s="148"/>
      <c r="EEW402" s="148"/>
      <c r="EEX402" s="148"/>
      <c r="EEY402" s="148"/>
      <c r="EEZ402" s="148"/>
      <c r="EFA402" s="148"/>
      <c r="EFB402" s="148"/>
      <c r="EFC402" s="148"/>
      <c r="EFD402" s="148"/>
      <c r="EFE402" s="148"/>
      <c r="EFF402" s="148"/>
      <c r="EFG402" s="148"/>
      <c r="EFH402" s="148"/>
      <c r="EFI402" s="148"/>
      <c r="EFJ402" s="148"/>
      <c r="EFK402" s="148"/>
      <c r="EFL402" s="148"/>
      <c r="EFM402" s="148"/>
      <c r="EFN402" s="148"/>
      <c r="EFO402" s="148"/>
      <c r="EFP402" s="148"/>
      <c r="EFQ402" s="148"/>
      <c r="EFR402" s="148"/>
      <c r="EFS402" s="148"/>
      <c r="EFT402" s="148"/>
      <c r="EFU402" s="148"/>
      <c r="EFV402" s="148"/>
      <c r="EFW402" s="148"/>
      <c r="EFX402" s="148"/>
      <c r="EFY402" s="148"/>
      <c r="EFZ402" s="148"/>
      <c r="EGA402" s="148"/>
      <c r="EGB402" s="148"/>
      <c r="EGC402" s="148"/>
      <c r="EGD402" s="148"/>
      <c r="EGE402" s="148"/>
      <c r="EGF402" s="148"/>
      <c r="EGG402" s="148"/>
      <c r="EGH402" s="148"/>
      <c r="EGI402" s="148"/>
      <c r="EGJ402" s="148"/>
      <c r="EGK402" s="148"/>
      <c r="EGL402" s="148"/>
      <c r="EGM402" s="148"/>
      <c r="EGN402" s="148"/>
      <c r="EGO402" s="148"/>
      <c r="EGP402" s="148"/>
      <c r="EGQ402" s="148"/>
      <c r="EGR402" s="148"/>
      <c r="EGS402" s="148"/>
      <c r="EGT402" s="148"/>
      <c r="EGU402" s="148"/>
      <c r="EGV402" s="148"/>
      <c r="EGW402" s="148"/>
      <c r="EGX402" s="148"/>
      <c r="EGY402" s="148"/>
      <c r="EGZ402" s="148"/>
      <c r="EHA402" s="148"/>
      <c r="EHB402" s="148"/>
      <c r="EHC402" s="148"/>
      <c r="EHD402" s="148"/>
      <c r="EHE402" s="148"/>
      <c r="EHF402" s="148"/>
      <c r="EHG402" s="148"/>
      <c r="EHH402" s="148"/>
      <c r="EHI402" s="148"/>
      <c r="EHJ402" s="148"/>
      <c r="EHK402" s="148"/>
      <c r="EHL402" s="148"/>
      <c r="EHM402" s="148"/>
      <c r="EHN402" s="148"/>
      <c r="EHO402" s="148"/>
      <c r="EHP402" s="148"/>
      <c r="EHQ402" s="148"/>
      <c r="EHR402" s="148"/>
      <c r="EHS402" s="148"/>
      <c r="EHT402" s="148"/>
      <c r="EHU402" s="148"/>
      <c r="EHV402" s="148"/>
      <c r="EHW402" s="148"/>
      <c r="EHX402" s="148"/>
      <c r="EHY402" s="148"/>
      <c r="EHZ402" s="148"/>
      <c r="EIA402" s="148"/>
      <c r="EIB402" s="148"/>
      <c r="EIC402" s="148"/>
      <c r="EID402" s="148"/>
      <c r="EIE402" s="148"/>
      <c r="EIF402" s="148"/>
      <c r="EIG402" s="148"/>
      <c r="EIH402" s="148"/>
      <c r="EII402" s="148"/>
      <c r="EIJ402" s="148"/>
      <c r="EIK402" s="148"/>
      <c r="EIL402" s="148"/>
      <c r="EIM402" s="148"/>
      <c r="EIN402" s="148"/>
      <c r="EIO402" s="148"/>
      <c r="EIP402" s="148"/>
      <c r="EIQ402" s="148"/>
      <c r="EIR402" s="148"/>
      <c r="EIS402" s="148"/>
      <c r="EIT402" s="148"/>
      <c r="EIU402" s="148"/>
      <c r="EIV402" s="148"/>
      <c r="EIW402" s="148"/>
      <c r="EIX402" s="148"/>
      <c r="EIY402" s="148"/>
      <c r="EIZ402" s="148"/>
      <c r="EJA402" s="148"/>
      <c r="EJB402" s="148"/>
      <c r="EJC402" s="148"/>
      <c r="EJD402" s="148"/>
      <c r="EJE402" s="148"/>
      <c r="EJF402" s="148"/>
      <c r="EJG402" s="148"/>
      <c r="EJH402" s="148"/>
      <c r="EJI402" s="148"/>
      <c r="EJJ402" s="148"/>
      <c r="EJK402" s="148"/>
      <c r="EJL402" s="148"/>
      <c r="EJM402" s="148"/>
      <c r="EJN402" s="148"/>
      <c r="EJO402" s="148"/>
      <c r="EJP402" s="148"/>
      <c r="EJQ402" s="148"/>
      <c r="EJR402" s="148"/>
      <c r="EJS402" s="148"/>
      <c r="EJT402" s="148"/>
      <c r="EJU402" s="148"/>
      <c r="EJV402" s="148"/>
      <c r="EJW402" s="148"/>
      <c r="EJX402" s="148"/>
      <c r="EJY402" s="148"/>
      <c r="EJZ402" s="148"/>
      <c r="EKA402" s="148"/>
      <c r="EKB402" s="148"/>
      <c r="EKC402" s="148"/>
      <c r="EKD402" s="148"/>
      <c r="EKE402" s="148"/>
      <c r="EKF402" s="148"/>
      <c r="EKG402" s="148"/>
      <c r="EKH402" s="148"/>
      <c r="EKI402" s="148"/>
      <c r="EKJ402" s="148"/>
      <c r="EKK402" s="148"/>
      <c r="EKL402" s="148"/>
      <c r="EKM402" s="148"/>
      <c r="EKN402" s="148"/>
      <c r="EKO402" s="148"/>
      <c r="EKP402" s="148"/>
      <c r="EKQ402" s="148"/>
      <c r="EKR402" s="148"/>
      <c r="EKS402" s="148"/>
      <c r="EKT402" s="148"/>
      <c r="EKU402" s="148"/>
      <c r="EKV402" s="148"/>
      <c r="EKW402" s="148"/>
      <c r="EKX402" s="148"/>
      <c r="EKY402" s="148"/>
      <c r="EKZ402" s="148"/>
      <c r="ELA402" s="148"/>
      <c r="ELB402" s="148"/>
      <c r="ELC402" s="148"/>
      <c r="ELD402" s="148"/>
      <c r="ELE402" s="148"/>
      <c r="ELF402" s="148"/>
      <c r="ELG402" s="148"/>
      <c r="ELH402" s="148"/>
      <c r="ELI402" s="148"/>
      <c r="ELJ402" s="148"/>
      <c r="ELK402" s="148"/>
      <c r="ELL402" s="148"/>
      <c r="ELM402" s="148"/>
      <c r="ELN402" s="148"/>
      <c r="ELO402" s="148"/>
      <c r="ELP402" s="148"/>
      <c r="ELQ402" s="148"/>
      <c r="ELR402" s="148"/>
      <c r="ELS402" s="148"/>
      <c r="ELT402" s="148"/>
      <c r="ELU402" s="148"/>
      <c r="ELV402" s="148"/>
      <c r="ELW402" s="148"/>
      <c r="ELX402" s="148"/>
      <c r="ELY402" s="148"/>
      <c r="ELZ402" s="148"/>
      <c r="EMA402" s="148"/>
      <c r="EMB402" s="148"/>
      <c r="EMC402" s="148"/>
      <c r="EMD402" s="148"/>
      <c r="EME402" s="148"/>
      <c r="EMF402" s="148"/>
      <c r="EMG402" s="148"/>
      <c r="EMH402" s="148"/>
      <c r="EMI402" s="148"/>
      <c r="EMJ402" s="148"/>
      <c r="EMK402" s="148"/>
      <c r="EML402" s="148"/>
      <c r="EMM402" s="148"/>
      <c r="EMN402" s="148"/>
      <c r="EMO402" s="148"/>
      <c r="EMP402" s="148"/>
      <c r="EMQ402" s="148"/>
      <c r="EMR402" s="148"/>
      <c r="EMS402" s="148"/>
      <c r="EMT402" s="148"/>
      <c r="EMU402" s="148"/>
      <c r="EMV402" s="148"/>
      <c r="EMW402" s="148"/>
      <c r="EMX402" s="148"/>
      <c r="EMY402" s="148"/>
      <c r="EMZ402" s="148"/>
      <c r="ENA402" s="148"/>
      <c r="ENB402" s="148"/>
      <c r="ENC402" s="148"/>
      <c r="END402" s="148"/>
      <c r="ENE402" s="148"/>
      <c r="ENF402" s="148"/>
      <c r="ENG402" s="148"/>
      <c r="ENH402" s="148"/>
      <c r="ENI402" s="148"/>
      <c r="ENJ402" s="148"/>
      <c r="ENK402" s="148"/>
      <c r="ENL402" s="148"/>
      <c r="ENM402" s="148"/>
      <c r="ENN402" s="148"/>
      <c r="ENO402" s="148"/>
      <c r="ENP402" s="148"/>
      <c r="ENQ402" s="148"/>
      <c r="ENR402" s="148"/>
      <c r="ENS402" s="148"/>
      <c r="ENT402" s="148"/>
      <c r="ENU402" s="148"/>
      <c r="ENV402" s="148"/>
      <c r="ENW402" s="148"/>
      <c r="ENX402" s="148"/>
      <c r="ENY402" s="148"/>
      <c r="ENZ402" s="148"/>
      <c r="EOA402" s="148"/>
      <c r="EOB402" s="148"/>
      <c r="EOC402" s="148"/>
      <c r="EOD402" s="148"/>
      <c r="EOE402" s="148"/>
      <c r="EOF402" s="148"/>
      <c r="EOG402" s="148"/>
      <c r="EOH402" s="148"/>
      <c r="EOI402" s="148"/>
      <c r="EOJ402" s="148"/>
      <c r="EOK402" s="148"/>
      <c r="EOL402" s="148"/>
      <c r="EOM402" s="148"/>
      <c r="EON402" s="148"/>
      <c r="EOO402" s="148"/>
      <c r="EOP402" s="148"/>
      <c r="EOQ402" s="148"/>
      <c r="EOR402" s="148"/>
      <c r="EOS402" s="148"/>
      <c r="EOT402" s="148"/>
      <c r="EOU402" s="148"/>
      <c r="EOV402" s="148"/>
      <c r="EOW402" s="148"/>
      <c r="EOX402" s="148"/>
      <c r="EOY402" s="148"/>
      <c r="EOZ402" s="148"/>
      <c r="EPA402" s="148"/>
      <c r="EPB402" s="148"/>
      <c r="EPC402" s="148"/>
      <c r="EPD402" s="148"/>
      <c r="EPE402" s="148"/>
      <c r="EPF402" s="148"/>
      <c r="EPG402" s="148"/>
      <c r="EPH402" s="148"/>
      <c r="EPI402" s="148"/>
      <c r="EPJ402" s="148"/>
      <c r="EPK402" s="148"/>
      <c r="EPL402" s="148"/>
      <c r="EPM402" s="148"/>
      <c r="EPN402" s="148"/>
      <c r="EPO402" s="148"/>
      <c r="EPP402" s="148"/>
      <c r="EPQ402" s="148"/>
      <c r="EPR402" s="148"/>
      <c r="EPS402" s="148"/>
      <c r="EPT402" s="148"/>
      <c r="EPU402" s="148"/>
      <c r="EPV402" s="148"/>
      <c r="EPW402" s="148"/>
      <c r="EPX402" s="148"/>
      <c r="EPY402" s="148"/>
      <c r="EPZ402" s="148"/>
      <c r="EQA402" s="148"/>
      <c r="EQB402" s="148"/>
      <c r="EQC402" s="148"/>
      <c r="EQD402" s="148"/>
      <c r="EQE402" s="148"/>
      <c r="EQF402" s="148"/>
      <c r="EQG402" s="148"/>
      <c r="EQH402" s="148"/>
      <c r="EQI402" s="148"/>
      <c r="EQJ402" s="148"/>
      <c r="EQK402" s="148"/>
      <c r="EQL402" s="148"/>
      <c r="EQM402" s="148"/>
      <c r="EQN402" s="148"/>
      <c r="EQO402" s="148"/>
      <c r="EQP402" s="148"/>
      <c r="EQQ402" s="148"/>
      <c r="EQR402" s="148"/>
      <c r="EQS402" s="148"/>
      <c r="EQT402" s="148"/>
      <c r="EQU402" s="148"/>
      <c r="EQV402" s="148"/>
      <c r="EQW402" s="148"/>
      <c r="EQX402" s="148"/>
      <c r="EQY402" s="148"/>
      <c r="EQZ402" s="148"/>
      <c r="ERA402" s="148"/>
      <c r="ERB402" s="148"/>
      <c r="ERC402" s="148"/>
      <c r="ERD402" s="148"/>
      <c r="ERE402" s="148"/>
      <c r="ERF402" s="148"/>
      <c r="ERG402" s="148"/>
      <c r="ERH402" s="148"/>
      <c r="ERI402" s="148"/>
      <c r="ERJ402" s="148"/>
      <c r="ERK402" s="148"/>
      <c r="ERL402" s="148"/>
      <c r="ERM402" s="148"/>
      <c r="ERN402" s="148"/>
      <c r="ERO402" s="148"/>
      <c r="ERP402" s="148"/>
      <c r="ERQ402" s="148"/>
      <c r="ERR402" s="148"/>
      <c r="ERS402" s="148"/>
      <c r="ERT402" s="148"/>
      <c r="ERU402" s="148"/>
      <c r="ERV402" s="148"/>
      <c r="ERW402" s="148"/>
      <c r="ERX402" s="148"/>
      <c r="ERY402" s="148"/>
      <c r="ERZ402" s="148"/>
      <c r="ESA402" s="148"/>
      <c r="ESB402" s="148"/>
      <c r="ESC402" s="148"/>
      <c r="ESD402" s="148"/>
      <c r="ESE402" s="148"/>
      <c r="ESF402" s="148"/>
      <c r="ESG402" s="148"/>
      <c r="ESH402" s="148"/>
      <c r="ESI402" s="148"/>
      <c r="ESJ402" s="148"/>
      <c r="ESK402" s="148"/>
      <c r="ESL402" s="148"/>
      <c r="ESM402" s="148"/>
      <c r="ESN402" s="148"/>
      <c r="ESO402" s="148"/>
      <c r="ESP402" s="148"/>
      <c r="ESQ402" s="148"/>
      <c r="ESR402" s="148"/>
      <c r="ESS402" s="148"/>
      <c r="EST402" s="148"/>
      <c r="ESU402" s="148"/>
      <c r="ESV402" s="148"/>
      <c r="ESW402" s="148"/>
      <c r="ESX402" s="148"/>
      <c r="ESY402" s="148"/>
      <c r="ESZ402" s="148"/>
      <c r="ETA402" s="148"/>
      <c r="ETB402" s="148"/>
      <c r="ETC402" s="148"/>
      <c r="ETD402" s="148"/>
      <c r="ETE402" s="148"/>
      <c r="ETF402" s="148"/>
      <c r="ETG402" s="148"/>
      <c r="ETH402" s="148"/>
      <c r="ETI402" s="148"/>
      <c r="ETJ402" s="148"/>
      <c r="ETK402" s="148"/>
      <c r="ETL402" s="148"/>
      <c r="ETM402" s="148"/>
      <c r="ETN402" s="148"/>
      <c r="ETO402" s="148"/>
      <c r="ETP402" s="148"/>
      <c r="ETQ402" s="148"/>
      <c r="ETR402" s="148"/>
      <c r="ETS402" s="148"/>
      <c r="ETT402" s="148"/>
      <c r="ETU402" s="148"/>
      <c r="ETV402" s="148"/>
      <c r="ETW402" s="148"/>
      <c r="ETX402" s="148"/>
      <c r="ETY402" s="148"/>
      <c r="ETZ402" s="148"/>
      <c r="EUA402" s="148"/>
      <c r="EUB402" s="148"/>
      <c r="EUC402" s="148"/>
      <c r="EUD402" s="148"/>
      <c r="EUE402" s="148"/>
      <c r="EUF402" s="148"/>
      <c r="EUG402" s="148"/>
      <c r="EUH402" s="148"/>
      <c r="EUI402" s="148"/>
      <c r="EUJ402" s="148"/>
      <c r="EUK402" s="148"/>
      <c r="EUL402" s="148"/>
      <c r="EUM402" s="148"/>
      <c r="EUN402" s="148"/>
      <c r="EUO402" s="148"/>
      <c r="EUP402" s="148"/>
      <c r="EUQ402" s="148"/>
      <c r="EUR402" s="148"/>
      <c r="EUS402" s="148"/>
      <c r="EUT402" s="148"/>
      <c r="EUU402" s="148"/>
      <c r="EUV402" s="148"/>
      <c r="EUW402" s="148"/>
      <c r="EUX402" s="148"/>
      <c r="EUY402" s="148"/>
      <c r="EUZ402" s="148"/>
      <c r="EVA402" s="148"/>
      <c r="EVB402" s="148"/>
      <c r="EVC402" s="148"/>
      <c r="EVD402" s="148"/>
      <c r="EVE402" s="148"/>
      <c r="EVF402" s="148"/>
      <c r="EVG402" s="148"/>
      <c r="EVH402" s="148"/>
      <c r="EVI402" s="148"/>
      <c r="EVJ402" s="148"/>
      <c r="EVK402" s="148"/>
      <c r="EVL402" s="148"/>
      <c r="EVM402" s="148"/>
      <c r="EVN402" s="148"/>
      <c r="EVO402" s="148"/>
      <c r="EVP402" s="148"/>
      <c r="EVQ402" s="148"/>
      <c r="EVR402" s="148"/>
      <c r="EVS402" s="148"/>
      <c r="EVT402" s="148"/>
      <c r="EVU402" s="148"/>
      <c r="EVV402" s="148"/>
      <c r="EVW402" s="148"/>
      <c r="EVX402" s="148"/>
      <c r="EVY402" s="148"/>
      <c r="EVZ402" s="148"/>
      <c r="EWA402" s="148"/>
      <c r="EWB402" s="148"/>
      <c r="EWC402" s="148"/>
      <c r="EWD402" s="148"/>
      <c r="EWE402" s="148"/>
      <c r="EWF402" s="148"/>
      <c r="EWG402" s="148"/>
      <c r="EWH402" s="148"/>
      <c r="EWI402" s="148"/>
      <c r="EWJ402" s="148"/>
      <c r="EWK402" s="148"/>
      <c r="EWL402" s="148"/>
      <c r="EWM402" s="148"/>
      <c r="EWN402" s="148"/>
      <c r="EWO402" s="148"/>
      <c r="EWP402" s="148"/>
      <c r="EWQ402" s="148"/>
      <c r="EWR402" s="148"/>
      <c r="EWS402" s="148"/>
      <c r="EWT402" s="148"/>
      <c r="EWU402" s="148"/>
      <c r="EWV402" s="148"/>
      <c r="EWW402" s="148"/>
      <c r="EWX402" s="148"/>
      <c r="EWY402" s="148"/>
      <c r="EWZ402" s="148"/>
      <c r="EXA402" s="148"/>
      <c r="EXB402" s="148"/>
      <c r="EXC402" s="148"/>
      <c r="EXD402" s="148"/>
      <c r="EXE402" s="148"/>
      <c r="EXF402" s="148"/>
      <c r="EXG402" s="148"/>
      <c r="EXH402" s="148"/>
      <c r="EXI402" s="148"/>
      <c r="EXJ402" s="148"/>
      <c r="EXK402" s="148"/>
      <c r="EXL402" s="148"/>
      <c r="EXM402" s="148"/>
      <c r="EXN402" s="148"/>
      <c r="EXO402" s="148"/>
      <c r="EXP402" s="148"/>
      <c r="EXQ402" s="148"/>
      <c r="EXR402" s="148"/>
      <c r="EXS402" s="148"/>
      <c r="EXT402" s="148"/>
      <c r="EXU402" s="148"/>
      <c r="EXV402" s="148"/>
      <c r="EXW402" s="148"/>
      <c r="EXX402" s="148"/>
      <c r="EXY402" s="148"/>
      <c r="EXZ402" s="148"/>
      <c r="EYA402" s="148"/>
      <c r="EYB402" s="148"/>
      <c r="EYC402" s="148"/>
      <c r="EYD402" s="148"/>
      <c r="EYE402" s="148"/>
      <c r="EYF402" s="148"/>
      <c r="EYG402" s="148"/>
      <c r="EYH402" s="148"/>
      <c r="EYI402" s="148"/>
      <c r="EYJ402" s="148"/>
      <c r="EYK402" s="148"/>
      <c r="EYL402" s="148"/>
      <c r="EYM402" s="148"/>
      <c r="EYN402" s="148"/>
      <c r="EYO402" s="148"/>
      <c r="EYP402" s="148"/>
      <c r="EYQ402" s="148"/>
      <c r="EYR402" s="148"/>
      <c r="EYS402" s="148"/>
      <c r="EYT402" s="148"/>
      <c r="EYU402" s="148"/>
      <c r="EYV402" s="148"/>
      <c r="EYW402" s="148"/>
      <c r="EYX402" s="148"/>
      <c r="EYY402" s="148"/>
      <c r="EYZ402" s="148"/>
      <c r="EZA402" s="148"/>
      <c r="EZB402" s="148"/>
      <c r="EZC402" s="148"/>
      <c r="EZD402" s="148"/>
      <c r="EZE402" s="148"/>
      <c r="EZF402" s="148"/>
      <c r="EZG402" s="148"/>
      <c r="EZH402" s="148"/>
      <c r="EZI402" s="148"/>
      <c r="EZJ402" s="148"/>
      <c r="EZK402" s="148"/>
      <c r="EZL402" s="148"/>
      <c r="EZM402" s="148"/>
      <c r="EZN402" s="148"/>
      <c r="EZO402" s="148"/>
      <c r="EZP402" s="148"/>
      <c r="EZQ402" s="148"/>
      <c r="EZR402" s="148"/>
      <c r="EZS402" s="148"/>
      <c r="EZT402" s="148"/>
      <c r="EZU402" s="148"/>
      <c r="EZV402" s="148"/>
      <c r="EZW402" s="148"/>
      <c r="EZX402" s="148"/>
      <c r="EZY402" s="148"/>
      <c r="EZZ402" s="148"/>
      <c r="FAA402" s="148"/>
      <c r="FAB402" s="148"/>
      <c r="FAC402" s="148"/>
      <c r="FAD402" s="148"/>
      <c r="FAE402" s="148"/>
      <c r="FAF402" s="148"/>
      <c r="FAG402" s="148"/>
      <c r="FAH402" s="148"/>
      <c r="FAI402" s="148"/>
      <c r="FAJ402" s="148"/>
      <c r="FAK402" s="148"/>
      <c r="FAL402" s="148"/>
      <c r="FAM402" s="148"/>
      <c r="FAN402" s="148"/>
      <c r="FAO402" s="148"/>
      <c r="FAP402" s="148"/>
      <c r="FAQ402" s="148"/>
      <c r="FAR402" s="148"/>
      <c r="FAS402" s="148"/>
      <c r="FAT402" s="148"/>
      <c r="FAU402" s="148"/>
      <c r="FAV402" s="148"/>
      <c r="FAW402" s="148"/>
      <c r="FAX402" s="148"/>
      <c r="FAY402" s="148"/>
      <c r="FAZ402" s="148"/>
      <c r="FBA402" s="148"/>
      <c r="FBB402" s="148"/>
      <c r="FBC402" s="148"/>
      <c r="FBD402" s="148"/>
      <c r="FBE402" s="148"/>
      <c r="FBF402" s="148"/>
      <c r="FBG402" s="148"/>
      <c r="FBH402" s="148"/>
      <c r="FBI402" s="148"/>
      <c r="FBJ402" s="148"/>
      <c r="FBK402" s="148"/>
      <c r="FBL402" s="148"/>
      <c r="FBM402" s="148"/>
      <c r="FBN402" s="148"/>
      <c r="FBO402" s="148"/>
      <c r="FBP402" s="148"/>
      <c r="FBQ402" s="148"/>
      <c r="FBR402" s="148"/>
      <c r="FBS402" s="148"/>
      <c r="FBT402" s="148"/>
      <c r="FBU402" s="148"/>
      <c r="FBV402" s="148"/>
      <c r="FBW402" s="148"/>
      <c r="FBX402" s="148"/>
      <c r="FBY402" s="148"/>
      <c r="FBZ402" s="148"/>
      <c r="FCA402" s="148"/>
      <c r="FCB402" s="148"/>
      <c r="FCC402" s="148"/>
      <c r="FCD402" s="148"/>
      <c r="FCE402" s="148"/>
      <c r="FCF402" s="148"/>
      <c r="FCG402" s="148"/>
      <c r="FCH402" s="148"/>
      <c r="FCI402" s="148"/>
      <c r="FCJ402" s="148"/>
      <c r="FCK402" s="148"/>
      <c r="FCL402" s="148"/>
      <c r="FCM402" s="148"/>
      <c r="FCN402" s="148"/>
      <c r="FCO402" s="148"/>
      <c r="FCP402" s="148"/>
      <c r="FCQ402" s="148"/>
      <c r="FCR402" s="148"/>
      <c r="FCS402" s="148"/>
      <c r="FCT402" s="148"/>
      <c r="FCU402" s="148"/>
      <c r="FCV402" s="148"/>
      <c r="FCW402" s="148"/>
      <c r="FCX402" s="148"/>
      <c r="FCY402" s="148"/>
      <c r="FCZ402" s="148"/>
      <c r="FDA402" s="148"/>
      <c r="FDB402" s="148"/>
      <c r="FDC402" s="148"/>
      <c r="FDD402" s="148"/>
      <c r="FDE402" s="148"/>
      <c r="FDF402" s="148"/>
      <c r="FDG402" s="148"/>
      <c r="FDH402" s="148"/>
      <c r="FDI402" s="148"/>
      <c r="FDJ402" s="148"/>
      <c r="FDK402" s="148"/>
      <c r="FDL402" s="148"/>
      <c r="FDM402" s="148"/>
      <c r="FDN402" s="148"/>
      <c r="FDO402" s="148"/>
      <c r="FDP402" s="148"/>
      <c r="FDQ402" s="148"/>
      <c r="FDR402" s="148"/>
      <c r="FDS402" s="148"/>
      <c r="FDT402" s="148"/>
      <c r="FDU402" s="148"/>
      <c r="FDV402" s="148"/>
      <c r="FDW402" s="148"/>
      <c r="FDX402" s="148"/>
      <c r="FDY402" s="148"/>
      <c r="FDZ402" s="148"/>
      <c r="FEA402" s="148"/>
      <c r="FEB402" s="148"/>
      <c r="FEC402" s="148"/>
      <c r="FED402" s="148"/>
      <c r="FEE402" s="148"/>
      <c r="FEF402" s="148"/>
      <c r="FEG402" s="148"/>
      <c r="FEH402" s="148"/>
      <c r="FEI402" s="148"/>
      <c r="FEJ402" s="148"/>
      <c r="FEK402" s="148"/>
      <c r="FEL402" s="148"/>
      <c r="FEM402" s="148"/>
      <c r="FEN402" s="148"/>
      <c r="FEO402" s="148"/>
      <c r="FEP402" s="148"/>
      <c r="FEQ402" s="148"/>
      <c r="FER402" s="148"/>
      <c r="FES402" s="148"/>
      <c r="FET402" s="148"/>
      <c r="FEU402" s="148"/>
      <c r="FEV402" s="148"/>
      <c r="FEW402" s="148"/>
      <c r="FEX402" s="148"/>
      <c r="FEY402" s="148"/>
      <c r="FEZ402" s="148"/>
      <c r="FFA402" s="148"/>
      <c r="FFB402" s="148"/>
      <c r="FFC402" s="148"/>
      <c r="FFD402" s="148"/>
      <c r="FFE402" s="148"/>
      <c r="FFF402" s="148"/>
      <c r="FFG402" s="148"/>
      <c r="FFH402" s="148"/>
      <c r="FFI402" s="148"/>
      <c r="FFJ402" s="148"/>
      <c r="FFK402" s="148"/>
      <c r="FFL402" s="148"/>
      <c r="FFM402" s="148"/>
      <c r="FFN402" s="148"/>
      <c r="FFO402" s="148"/>
      <c r="FFP402" s="148"/>
      <c r="FFQ402" s="148"/>
      <c r="FFR402" s="148"/>
      <c r="FFS402" s="148"/>
      <c r="FFT402" s="148"/>
      <c r="FFU402" s="148"/>
      <c r="FFV402" s="148"/>
      <c r="FFW402" s="148"/>
      <c r="FFX402" s="148"/>
      <c r="FFY402" s="148"/>
      <c r="FFZ402" s="148"/>
      <c r="FGA402" s="148"/>
      <c r="FGB402" s="148"/>
      <c r="FGC402" s="148"/>
      <c r="FGD402" s="148"/>
      <c r="FGE402" s="148"/>
      <c r="FGF402" s="148"/>
      <c r="FGG402" s="148"/>
      <c r="FGH402" s="148"/>
      <c r="FGI402" s="148"/>
      <c r="FGJ402" s="148"/>
      <c r="FGK402" s="148"/>
      <c r="FGL402" s="148"/>
      <c r="FGM402" s="148"/>
      <c r="FGN402" s="148"/>
      <c r="FGO402" s="148"/>
      <c r="FGP402" s="148"/>
      <c r="FGQ402" s="148"/>
      <c r="FGR402" s="148"/>
      <c r="FGS402" s="148"/>
      <c r="FGT402" s="148"/>
      <c r="FGU402" s="148"/>
      <c r="FGV402" s="148"/>
      <c r="FGW402" s="148"/>
      <c r="FGX402" s="148"/>
      <c r="FGY402" s="148"/>
      <c r="FGZ402" s="148"/>
      <c r="FHA402" s="148"/>
      <c r="FHB402" s="148"/>
      <c r="FHC402" s="148"/>
      <c r="FHD402" s="148"/>
      <c r="FHE402" s="148"/>
      <c r="FHF402" s="148"/>
      <c r="FHG402" s="148"/>
      <c r="FHH402" s="148"/>
      <c r="FHI402" s="148"/>
      <c r="FHJ402" s="148"/>
      <c r="FHK402" s="148"/>
      <c r="FHL402" s="148"/>
      <c r="FHM402" s="148"/>
      <c r="FHN402" s="148"/>
      <c r="FHO402" s="148"/>
      <c r="FHP402" s="148"/>
      <c r="FHQ402" s="148"/>
      <c r="FHR402" s="148"/>
      <c r="FHS402" s="148"/>
      <c r="FHT402" s="148"/>
      <c r="FHU402" s="148"/>
      <c r="FHV402" s="148"/>
      <c r="FHW402" s="148"/>
      <c r="FHX402" s="148"/>
      <c r="FHY402" s="148"/>
      <c r="FHZ402" s="148"/>
      <c r="FIA402" s="148"/>
      <c r="FIB402" s="148"/>
      <c r="FIC402" s="148"/>
      <c r="FID402" s="148"/>
      <c r="FIE402" s="148"/>
      <c r="FIF402" s="148"/>
      <c r="FIG402" s="148"/>
      <c r="FIH402" s="148"/>
      <c r="FII402" s="148"/>
      <c r="FIJ402" s="148"/>
      <c r="FIK402" s="148"/>
      <c r="FIL402" s="148"/>
      <c r="FIM402" s="148"/>
      <c r="FIN402" s="148"/>
      <c r="FIO402" s="148"/>
      <c r="FIP402" s="148"/>
      <c r="FIQ402" s="148"/>
      <c r="FIR402" s="148"/>
      <c r="FIS402" s="148"/>
      <c r="FIT402" s="148"/>
      <c r="FIU402" s="148"/>
      <c r="FIV402" s="148"/>
      <c r="FIW402" s="148"/>
      <c r="FIX402" s="148"/>
      <c r="FIY402" s="148"/>
      <c r="FIZ402" s="148"/>
      <c r="FJA402" s="148"/>
      <c r="FJB402" s="148"/>
      <c r="FJC402" s="148"/>
      <c r="FJD402" s="148"/>
      <c r="FJE402" s="148"/>
      <c r="FJF402" s="148"/>
      <c r="FJG402" s="148"/>
      <c r="FJH402" s="148"/>
      <c r="FJI402" s="148"/>
      <c r="FJJ402" s="148"/>
      <c r="FJK402" s="148"/>
      <c r="FJL402" s="148"/>
      <c r="FJM402" s="148"/>
      <c r="FJN402" s="148"/>
      <c r="FJO402" s="148"/>
      <c r="FJP402" s="148"/>
      <c r="FJQ402" s="148"/>
      <c r="FJR402" s="148"/>
      <c r="FJS402" s="148"/>
      <c r="FJT402" s="148"/>
      <c r="FJU402" s="148"/>
      <c r="FJV402" s="148"/>
      <c r="FJW402" s="148"/>
      <c r="FJX402" s="148"/>
      <c r="FJY402" s="148"/>
      <c r="FJZ402" s="148"/>
      <c r="FKA402" s="148"/>
      <c r="FKB402" s="148"/>
      <c r="FKC402" s="148"/>
      <c r="FKD402" s="148"/>
      <c r="FKE402" s="148"/>
      <c r="FKF402" s="148"/>
      <c r="FKG402" s="148"/>
      <c r="FKH402" s="148"/>
      <c r="FKI402" s="148"/>
      <c r="FKJ402" s="148"/>
      <c r="FKK402" s="148"/>
      <c r="FKL402" s="148"/>
      <c r="FKM402" s="148"/>
      <c r="FKN402" s="148"/>
      <c r="FKO402" s="148"/>
      <c r="FKP402" s="148"/>
      <c r="FKQ402" s="148"/>
      <c r="FKR402" s="148"/>
      <c r="FKS402" s="148"/>
      <c r="FKT402" s="148"/>
      <c r="FKU402" s="148"/>
      <c r="FKV402" s="148"/>
      <c r="FKW402" s="148"/>
      <c r="FKX402" s="148"/>
      <c r="FKY402" s="148"/>
      <c r="FKZ402" s="148"/>
      <c r="FLA402" s="148"/>
      <c r="FLB402" s="148"/>
      <c r="FLC402" s="148"/>
      <c r="FLD402" s="148"/>
      <c r="FLE402" s="148"/>
      <c r="FLF402" s="148"/>
      <c r="FLG402" s="148"/>
      <c r="FLH402" s="148"/>
      <c r="FLI402" s="148"/>
      <c r="FLJ402" s="148"/>
      <c r="FLK402" s="148"/>
      <c r="FLL402" s="148"/>
      <c r="FLM402" s="148"/>
      <c r="FLN402" s="148"/>
      <c r="FLO402" s="148"/>
      <c r="FLP402" s="148"/>
      <c r="FLQ402" s="148"/>
      <c r="FLR402" s="148"/>
      <c r="FLS402" s="148"/>
      <c r="FLT402" s="148"/>
      <c r="FLU402" s="148"/>
      <c r="FLV402" s="148"/>
      <c r="FLW402" s="148"/>
      <c r="FLX402" s="148"/>
      <c r="FLY402" s="148"/>
      <c r="FLZ402" s="148"/>
      <c r="FMA402" s="148"/>
      <c r="FMB402" s="148"/>
      <c r="FMC402" s="148"/>
      <c r="FMD402" s="148"/>
      <c r="FME402" s="148"/>
      <c r="FMF402" s="148"/>
      <c r="FMG402" s="148"/>
      <c r="FMH402" s="148"/>
      <c r="FMI402" s="148"/>
      <c r="FMJ402" s="148"/>
      <c r="FMK402" s="148"/>
      <c r="FML402" s="148"/>
      <c r="FMM402" s="148"/>
      <c r="FMN402" s="148"/>
      <c r="FMO402" s="148"/>
      <c r="FMP402" s="148"/>
      <c r="FMQ402" s="148"/>
      <c r="FMR402" s="148"/>
      <c r="FMS402" s="148"/>
      <c r="FMT402" s="148"/>
      <c r="FMU402" s="148"/>
      <c r="FMV402" s="148"/>
      <c r="FMW402" s="148"/>
      <c r="FMX402" s="148"/>
      <c r="FMY402" s="148"/>
      <c r="FMZ402" s="148"/>
      <c r="FNA402" s="148"/>
      <c r="FNB402" s="148"/>
      <c r="FNC402" s="148"/>
      <c r="FND402" s="148"/>
      <c r="FNE402" s="148"/>
      <c r="FNF402" s="148"/>
      <c r="FNG402" s="148"/>
      <c r="FNH402" s="148"/>
      <c r="FNI402" s="148"/>
      <c r="FNJ402" s="148"/>
      <c r="FNK402" s="148"/>
      <c r="FNL402" s="148"/>
      <c r="FNM402" s="148"/>
      <c r="FNN402" s="148"/>
      <c r="FNO402" s="148"/>
      <c r="FNP402" s="148"/>
      <c r="FNQ402" s="148"/>
      <c r="FNR402" s="148"/>
      <c r="FNS402" s="148"/>
      <c r="FNT402" s="148"/>
      <c r="FNU402" s="148"/>
      <c r="FNV402" s="148"/>
      <c r="FNW402" s="148"/>
      <c r="FNX402" s="148"/>
      <c r="FNY402" s="148"/>
      <c r="FNZ402" s="148"/>
      <c r="FOA402" s="148"/>
      <c r="FOB402" s="148"/>
      <c r="FOC402" s="148"/>
      <c r="FOD402" s="148"/>
      <c r="FOE402" s="148"/>
      <c r="FOF402" s="148"/>
      <c r="FOG402" s="148"/>
      <c r="FOH402" s="148"/>
      <c r="FOI402" s="148"/>
      <c r="FOJ402" s="148"/>
      <c r="FOK402" s="148"/>
      <c r="FOL402" s="148"/>
      <c r="FOM402" s="148"/>
      <c r="FON402" s="148"/>
      <c r="FOO402" s="148"/>
      <c r="FOP402" s="148"/>
      <c r="FOQ402" s="148"/>
      <c r="FOR402" s="148"/>
      <c r="FOS402" s="148"/>
      <c r="FOT402" s="148"/>
      <c r="FOU402" s="148"/>
      <c r="FOV402" s="148"/>
      <c r="FOW402" s="148"/>
      <c r="FOX402" s="148"/>
      <c r="FOY402" s="148"/>
      <c r="FOZ402" s="148"/>
      <c r="FPA402" s="148"/>
      <c r="FPB402" s="148"/>
      <c r="FPC402" s="148"/>
      <c r="FPD402" s="148"/>
      <c r="FPE402" s="148"/>
      <c r="FPF402" s="148"/>
      <c r="FPG402" s="148"/>
      <c r="FPH402" s="148"/>
      <c r="FPI402" s="148"/>
      <c r="FPJ402" s="148"/>
      <c r="FPK402" s="148"/>
      <c r="FPL402" s="148"/>
      <c r="FPM402" s="148"/>
      <c r="FPN402" s="148"/>
      <c r="FPO402" s="148"/>
      <c r="FPP402" s="148"/>
      <c r="FPQ402" s="148"/>
      <c r="FPR402" s="148"/>
      <c r="FPS402" s="148"/>
      <c r="FPT402" s="148"/>
      <c r="FPU402" s="148"/>
      <c r="FPV402" s="148"/>
      <c r="FPW402" s="148"/>
      <c r="FPX402" s="148"/>
      <c r="FPY402" s="148"/>
      <c r="FPZ402" s="148"/>
      <c r="FQA402" s="148"/>
      <c r="FQB402" s="148"/>
      <c r="FQC402" s="148"/>
      <c r="FQD402" s="148"/>
      <c r="FQE402" s="148"/>
      <c r="FQF402" s="148"/>
      <c r="FQG402" s="148"/>
      <c r="FQH402" s="148"/>
      <c r="FQI402" s="148"/>
      <c r="FQJ402" s="148"/>
      <c r="FQK402" s="148"/>
      <c r="FQL402" s="148"/>
      <c r="FQM402" s="148"/>
      <c r="FQN402" s="148"/>
      <c r="FQO402" s="148"/>
      <c r="FQP402" s="148"/>
      <c r="FQQ402" s="148"/>
      <c r="FQR402" s="148"/>
      <c r="FQS402" s="148"/>
      <c r="FQT402" s="148"/>
      <c r="FQU402" s="148"/>
      <c r="FQV402" s="148"/>
      <c r="FQW402" s="148"/>
      <c r="FQX402" s="148"/>
      <c r="FQY402" s="148"/>
      <c r="FQZ402" s="148"/>
      <c r="FRA402" s="148"/>
      <c r="FRB402" s="148"/>
      <c r="FRC402" s="148"/>
      <c r="FRD402" s="148"/>
      <c r="FRE402" s="148"/>
      <c r="FRF402" s="148"/>
      <c r="FRG402" s="148"/>
      <c r="FRH402" s="148"/>
      <c r="FRI402" s="148"/>
      <c r="FRJ402" s="148"/>
      <c r="FRK402" s="148"/>
      <c r="FRL402" s="148"/>
      <c r="FRM402" s="148"/>
      <c r="FRN402" s="148"/>
      <c r="FRO402" s="148"/>
      <c r="FRP402" s="148"/>
      <c r="FRQ402" s="148"/>
      <c r="FRR402" s="148"/>
      <c r="FRS402" s="148"/>
      <c r="FRT402" s="148"/>
      <c r="FRU402" s="148"/>
      <c r="FRV402" s="148"/>
      <c r="FRW402" s="148"/>
      <c r="FRX402" s="148"/>
      <c r="FRY402" s="148"/>
      <c r="FRZ402" s="148"/>
      <c r="FSA402" s="148"/>
      <c r="FSB402" s="148"/>
      <c r="FSC402" s="148"/>
      <c r="FSD402" s="148"/>
      <c r="FSE402" s="148"/>
      <c r="FSF402" s="148"/>
      <c r="FSG402" s="148"/>
      <c r="FSH402" s="148"/>
      <c r="FSI402" s="148"/>
      <c r="FSJ402" s="148"/>
      <c r="FSK402" s="148"/>
      <c r="FSL402" s="148"/>
      <c r="FSM402" s="148"/>
      <c r="FSN402" s="148"/>
      <c r="FSO402" s="148"/>
      <c r="FSP402" s="148"/>
      <c r="FSQ402" s="148"/>
      <c r="FSR402" s="148"/>
      <c r="FSS402" s="148"/>
      <c r="FST402" s="148"/>
      <c r="FSU402" s="148"/>
      <c r="FSV402" s="148"/>
      <c r="FSW402" s="148"/>
      <c r="FSX402" s="148"/>
      <c r="FSY402" s="148"/>
      <c r="FSZ402" s="148"/>
      <c r="FTA402" s="148"/>
      <c r="FTB402" s="148"/>
      <c r="FTC402" s="148"/>
      <c r="FTD402" s="148"/>
      <c r="FTE402" s="148"/>
      <c r="FTF402" s="148"/>
      <c r="FTG402" s="148"/>
      <c r="FTH402" s="148"/>
      <c r="FTI402" s="148"/>
      <c r="FTJ402" s="148"/>
      <c r="FTK402" s="148"/>
      <c r="FTL402" s="148"/>
      <c r="FTM402" s="148"/>
      <c r="FTN402" s="148"/>
      <c r="FTO402" s="148"/>
      <c r="FTP402" s="148"/>
      <c r="FTQ402" s="148"/>
      <c r="FTR402" s="148"/>
      <c r="FTS402" s="148"/>
      <c r="FTT402" s="148"/>
      <c r="FTU402" s="148"/>
      <c r="FTV402" s="148"/>
      <c r="FTW402" s="148"/>
      <c r="FTX402" s="148"/>
      <c r="FTY402" s="148"/>
      <c r="FTZ402" s="148"/>
      <c r="FUA402" s="148"/>
      <c r="FUB402" s="148"/>
      <c r="FUC402" s="148"/>
      <c r="FUD402" s="148"/>
      <c r="FUE402" s="148"/>
      <c r="FUF402" s="148"/>
      <c r="FUG402" s="148"/>
      <c r="FUH402" s="148"/>
      <c r="FUI402" s="148"/>
      <c r="FUJ402" s="148"/>
      <c r="FUK402" s="148"/>
      <c r="FUL402" s="148"/>
      <c r="FUM402" s="148"/>
      <c r="FUN402" s="148"/>
      <c r="FUO402" s="148"/>
      <c r="FUP402" s="148"/>
      <c r="FUQ402" s="148"/>
      <c r="FUR402" s="148"/>
      <c r="FUS402" s="148"/>
      <c r="FUT402" s="148"/>
      <c r="FUU402" s="148"/>
      <c r="FUV402" s="148"/>
      <c r="FUW402" s="148"/>
      <c r="FUX402" s="148"/>
      <c r="FUY402" s="148"/>
      <c r="FUZ402" s="148"/>
      <c r="FVA402" s="148"/>
      <c r="FVB402" s="148"/>
      <c r="FVC402" s="148"/>
      <c r="FVD402" s="148"/>
      <c r="FVE402" s="148"/>
      <c r="FVF402" s="148"/>
      <c r="FVG402" s="148"/>
      <c r="FVH402" s="148"/>
      <c r="FVI402" s="148"/>
      <c r="FVJ402" s="148"/>
      <c r="FVK402" s="148"/>
      <c r="FVL402" s="148"/>
      <c r="FVM402" s="148"/>
      <c r="FVN402" s="148"/>
      <c r="FVO402" s="148"/>
      <c r="FVP402" s="148"/>
      <c r="FVQ402" s="148"/>
      <c r="FVR402" s="148"/>
      <c r="FVS402" s="148"/>
      <c r="FVT402" s="148"/>
      <c r="FVU402" s="148"/>
      <c r="FVV402" s="148"/>
      <c r="FVW402" s="148"/>
      <c r="FVX402" s="148"/>
      <c r="FVY402" s="148"/>
      <c r="FVZ402" s="148"/>
      <c r="FWA402" s="148"/>
      <c r="FWB402" s="148"/>
      <c r="FWC402" s="148"/>
      <c r="FWD402" s="148"/>
      <c r="FWE402" s="148"/>
      <c r="FWF402" s="148"/>
      <c r="FWG402" s="148"/>
      <c r="FWH402" s="148"/>
      <c r="FWI402" s="148"/>
      <c r="FWJ402" s="148"/>
      <c r="FWK402" s="148"/>
      <c r="FWL402" s="148"/>
      <c r="FWM402" s="148"/>
      <c r="FWN402" s="148"/>
      <c r="FWO402" s="148"/>
      <c r="FWP402" s="148"/>
      <c r="FWQ402" s="148"/>
      <c r="FWR402" s="148"/>
      <c r="FWS402" s="148"/>
      <c r="FWT402" s="148"/>
      <c r="FWU402" s="148"/>
      <c r="FWV402" s="148"/>
      <c r="FWW402" s="148"/>
      <c r="FWX402" s="148"/>
      <c r="FWY402" s="148"/>
      <c r="FWZ402" s="148"/>
      <c r="FXA402" s="148"/>
      <c r="FXB402" s="148"/>
      <c r="FXC402" s="148"/>
      <c r="FXD402" s="148"/>
      <c r="FXE402" s="148"/>
      <c r="FXF402" s="148"/>
      <c r="FXG402" s="148"/>
      <c r="FXH402" s="148"/>
      <c r="FXI402" s="148"/>
      <c r="FXJ402" s="148"/>
      <c r="FXK402" s="148"/>
      <c r="FXL402" s="148"/>
      <c r="FXM402" s="148"/>
      <c r="FXN402" s="148"/>
      <c r="FXO402" s="148"/>
      <c r="FXP402" s="148"/>
      <c r="FXQ402" s="148"/>
      <c r="FXR402" s="148"/>
      <c r="FXS402" s="148"/>
      <c r="FXT402" s="148"/>
      <c r="FXU402" s="148"/>
      <c r="FXV402" s="148"/>
      <c r="FXW402" s="148"/>
      <c r="FXX402" s="148"/>
      <c r="FXY402" s="148"/>
      <c r="FXZ402" s="148"/>
      <c r="FYA402" s="148"/>
      <c r="FYB402" s="148"/>
      <c r="FYC402" s="148"/>
      <c r="FYD402" s="148"/>
      <c r="FYE402" s="148"/>
      <c r="FYF402" s="148"/>
      <c r="FYG402" s="148"/>
      <c r="FYH402" s="148"/>
      <c r="FYI402" s="148"/>
      <c r="FYJ402" s="148"/>
      <c r="FYK402" s="148"/>
      <c r="FYL402" s="148"/>
      <c r="FYM402" s="148"/>
      <c r="FYN402" s="148"/>
      <c r="FYO402" s="148"/>
      <c r="FYP402" s="148"/>
      <c r="FYQ402" s="148"/>
      <c r="FYR402" s="148"/>
      <c r="FYS402" s="148"/>
      <c r="FYT402" s="148"/>
      <c r="FYU402" s="148"/>
      <c r="FYV402" s="148"/>
      <c r="FYW402" s="148"/>
      <c r="FYX402" s="148"/>
      <c r="FYY402" s="148"/>
      <c r="FYZ402" s="148"/>
      <c r="FZA402" s="148"/>
      <c r="FZB402" s="148"/>
      <c r="FZC402" s="148"/>
      <c r="FZD402" s="148"/>
      <c r="FZE402" s="148"/>
      <c r="FZF402" s="148"/>
      <c r="FZG402" s="148"/>
      <c r="FZH402" s="148"/>
      <c r="FZI402" s="148"/>
      <c r="FZJ402" s="148"/>
      <c r="FZK402" s="148"/>
      <c r="FZL402" s="148"/>
      <c r="FZM402" s="148"/>
      <c r="FZN402" s="148"/>
      <c r="FZO402" s="148"/>
      <c r="FZP402" s="148"/>
      <c r="FZQ402" s="148"/>
      <c r="FZR402" s="148"/>
      <c r="FZS402" s="148"/>
      <c r="FZT402" s="148"/>
      <c r="FZU402" s="148"/>
      <c r="FZV402" s="148"/>
      <c r="FZW402" s="148"/>
      <c r="FZX402" s="148"/>
      <c r="FZY402" s="148"/>
      <c r="FZZ402" s="148"/>
      <c r="GAA402" s="148"/>
      <c r="GAB402" s="148"/>
      <c r="GAC402" s="148"/>
      <c r="GAD402" s="148"/>
      <c r="GAE402" s="148"/>
      <c r="GAF402" s="148"/>
      <c r="GAG402" s="148"/>
      <c r="GAH402" s="148"/>
      <c r="GAI402" s="148"/>
      <c r="GAJ402" s="148"/>
      <c r="GAK402" s="148"/>
      <c r="GAL402" s="148"/>
      <c r="GAM402" s="148"/>
      <c r="GAN402" s="148"/>
      <c r="GAO402" s="148"/>
      <c r="GAP402" s="148"/>
      <c r="GAQ402" s="148"/>
      <c r="GAR402" s="148"/>
      <c r="GAS402" s="148"/>
      <c r="GAT402" s="148"/>
      <c r="GAU402" s="148"/>
      <c r="GAV402" s="148"/>
      <c r="GAW402" s="148"/>
      <c r="GAX402" s="148"/>
      <c r="GAY402" s="148"/>
      <c r="GAZ402" s="148"/>
      <c r="GBA402" s="148"/>
      <c r="GBB402" s="148"/>
      <c r="GBC402" s="148"/>
      <c r="GBD402" s="148"/>
      <c r="GBE402" s="148"/>
      <c r="GBF402" s="148"/>
      <c r="GBG402" s="148"/>
      <c r="GBH402" s="148"/>
      <c r="GBI402" s="148"/>
      <c r="GBJ402" s="148"/>
      <c r="GBK402" s="148"/>
      <c r="GBL402" s="148"/>
      <c r="GBM402" s="148"/>
      <c r="GBN402" s="148"/>
      <c r="GBO402" s="148"/>
      <c r="GBP402" s="148"/>
      <c r="GBQ402" s="148"/>
      <c r="GBR402" s="148"/>
      <c r="GBS402" s="148"/>
      <c r="GBT402" s="148"/>
      <c r="GBU402" s="148"/>
      <c r="GBV402" s="148"/>
      <c r="GBW402" s="148"/>
      <c r="GBX402" s="148"/>
      <c r="GBY402" s="148"/>
      <c r="GBZ402" s="148"/>
      <c r="GCA402" s="148"/>
      <c r="GCB402" s="148"/>
      <c r="GCC402" s="148"/>
      <c r="GCD402" s="148"/>
      <c r="GCE402" s="148"/>
      <c r="GCF402" s="148"/>
      <c r="GCG402" s="148"/>
      <c r="GCH402" s="148"/>
      <c r="GCI402" s="148"/>
      <c r="GCJ402" s="148"/>
      <c r="GCK402" s="148"/>
      <c r="GCL402" s="148"/>
      <c r="GCM402" s="148"/>
      <c r="GCN402" s="148"/>
      <c r="GCO402" s="148"/>
      <c r="GCP402" s="148"/>
      <c r="GCQ402" s="148"/>
      <c r="GCR402" s="148"/>
      <c r="GCS402" s="148"/>
      <c r="GCT402" s="148"/>
      <c r="GCU402" s="148"/>
      <c r="GCV402" s="148"/>
      <c r="GCW402" s="148"/>
      <c r="GCX402" s="148"/>
      <c r="GCY402" s="148"/>
      <c r="GCZ402" s="148"/>
      <c r="GDA402" s="148"/>
      <c r="GDB402" s="148"/>
      <c r="GDC402" s="148"/>
      <c r="GDD402" s="148"/>
      <c r="GDE402" s="148"/>
      <c r="GDF402" s="148"/>
      <c r="GDG402" s="148"/>
      <c r="GDH402" s="148"/>
      <c r="GDI402" s="148"/>
      <c r="GDJ402" s="148"/>
      <c r="GDK402" s="148"/>
      <c r="GDL402" s="148"/>
      <c r="GDM402" s="148"/>
      <c r="GDN402" s="148"/>
      <c r="GDO402" s="148"/>
      <c r="GDP402" s="148"/>
      <c r="GDQ402" s="148"/>
      <c r="GDR402" s="148"/>
      <c r="GDS402" s="148"/>
      <c r="GDT402" s="148"/>
      <c r="GDU402" s="148"/>
      <c r="GDV402" s="148"/>
      <c r="GDW402" s="148"/>
      <c r="GDX402" s="148"/>
      <c r="GDY402" s="148"/>
      <c r="GDZ402" s="148"/>
      <c r="GEA402" s="148"/>
      <c r="GEB402" s="148"/>
      <c r="GEC402" s="148"/>
      <c r="GED402" s="148"/>
      <c r="GEE402" s="148"/>
      <c r="GEF402" s="148"/>
      <c r="GEG402" s="148"/>
      <c r="GEH402" s="148"/>
      <c r="GEI402" s="148"/>
      <c r="GEJ402" s="148"/>
      <c r="GEK402" s="148"/>
      <c r="GEL402" s="148"/>
      <c r="GEM402" s="148"/>
      <c r="GEN402" s="148"/>
      <c r="GEO402" s="148"/>
      <c r="GEP402" s="148"/>
      <c r="GEQ402" s="148"/>
      <c r="GER402" s="148"/>
      <c r="GES402" s="148"/>
      <c r="GET402" s="148"/>
      <c r="GEU402" s="148"/>
      <c r="GEV402" s="148"/>
      <c r="GEW402" s="148"/>
      <c r="GEX402" s="148"/>
      <c r="GEY402" s="148"/>
      <c r="GEZ402" s="148"/>
      <c r="GFA402" s="148"/>
      <c r="GFB402" s="148"/>
      <c r="GFC402" s="148"/>
      <c r="GFD402" s="148"/>
      <c r="GFE402" s="148"/>
      <c r="GFF402" s="148"/>
      <c r="GFG402" s="148"/>
      <c r="GFH402" s="148"/>
      <c r="GFI402" s="148"/>
      <c r="GFJ402" s="148"/>
      <c r="GFK402" s="148"/>
      <c r="GFL402" s="148"/>
      <c r="GFM402" s="148"/>
      <c r="GFN402" s="148"/>
      <c r="GFO402" s="148"/>
      <c r="GFP402" s="148"/>
      <c r="GFQ402" s="148"/>
      <c r="GFR402" s="148"/>
      <c r="GFS402" s="148"/>
      <c r="GFT402" s="148"/>
      <c r="GFU402" s="148"/>
      <c r="GFV402" s="148"/>
      <c r="GFW402" s="148"/>
      <c r="GFX402" s="148"/>
      <c r="GFY402" s="148"/>
      <c r="GFZ402" s="148"/>
      <c r="GGA402" s="148"/>
      <c r="GGB402" s="148"/>
      <c r="GGC402" s="148"/>
      <c r="GGD402" s="148"/>
      <c r="GGE402" s="148"/>
      <c r="GGF402" s="148"/>
      <c r="GGG402" s="148"/>
      <c r="GGH402" s="148"/>
      <c r="GGI402" s="148"/>
      <c r="GGJ402" s="148"/>
      <c r="GGK402" s="148"/>
      <c r="GGL402" s="148"/>
      <c r="GGM402" s="148"/>
      <c r="GGN402" s="148"/>
      <c r="GGO402" s="148"/>
      <c r="GGP402" s="148"/>
      <c r="GGQ402" s="148"/>
      <c r="GGR402" s="148"/>
      <c r="GGS402" s="148"/>
      <c r="GGT402" s="148"/>
      <c r="GGU402" s="148"/>
      <c r="GGV402" s="148"/>
      <c r="GGW402" s="148"/>
      <c r="GGX402" s="148"/>
      <c r="GGY402" s="148"/>
      <c r="GGZ402" s="148"/>
      <c r="GHA402" s="148"/>
      <c r="GHB402" s="148"/>
      <c r="GHC402" s="148"/>
      <c r="GHD402" s="148"/>
      <c r="GHE402" s="148"/>
      <c r="GHF402" s="148"/>
      <c r="GHG402" s="148"/>
      <c r="GHH402" s="148"/>
      <c r="GHI402" s="148"/>
      <c r="GHJ402" s="148"/>
      <c r="GHK402" s="148"/>
      <c r="GHL402" s="148"/>
      <c r="GHM402" s="148"/>
      <c r="GHN402" s="148"/>
      <c r="GHO402" s="148"/>
      <c r="GHP402" s="148"/>
      <c r="GHQ402" s="148"/>
      <c r="GHR402" s="148"/>
      <c r="GHS402" s="148"/>
      <c r="GHT402" s="148"/>
      <c r="GHU402" s="148"/>
      <c r="GHV402" s="148"/>
      <c r="GHW402" s="148"/>
      <c r="GHX402" s="148"/>
      <c r="GHY402" s="148"/>
      <c r="GHZ402" s="148"/>
      <c r="GIA402" s="148"/>
      <c r="GIB402" s="148"/>
      <c r="GIC402" s="148"/>
      <c r="GID402" s="148"/>
      <c r="GIE402" s="148"/>
      <c r="GIF402" s="148"/>
      <c r="GIG402" s="148"/>
      <c r="GIH402" s="148"/>
      <c r="GII402" s="148"/>
      <c r="GIJ402" s="148"/>
      <c r="GIK402" s="148"/>
      <c r="GIL402" s="148"/>
      <c r="GIM402" s="148"/>
      <c r="GIN402" s="148"/>
      <c r="GIO402" s="148"/>
      <c r="GIP402" s="148"/>
      <c r="GIQ402" s="148"/>
      <c r="GIR402" s="148"/>
      <c r="GIS402" s="148"/>
      <c r="GIT402" s="148"/>
      <c r="GIU402" s="148"/>
      <c r="GIV402" s="148"/>
      <c r="GIW402" s="148"/>
      <c r="GIX402" s="148"/>
      <c r="GIY402" s="148"/>
      <c r="GIZ402" s="148"/>
      <c r="GJA402" s="148"/>
      <c r="GJB402" s="148"/>
      <c r="GJC402" s="148"/>
      <c r="GJD402" s="148"/>
      <c r="GJE402" s="148"/>
      <c r="GJF402" s="148"/>
      <c r="GJG402" s="148"/>
      <c r="GJH402" s="148"/>
      <c r="GJI402" s="148"/>
      <c r="GJJ402" s="148"/>
      <c r="GJK402" s="148"/>
      <c r="GJL402" s="148"/>
      <c r="GJM402" s="148"/>
      <c r="GJN402" s="148"/>
      <c r="GJO402" s="148"/>
      <c r="GJP402" s="148"/>
      <c r="GJQ402" s="148"/>
      <c r="GJR402" s="148"/>
      <c r="GJS402" s="148"/>
      <c r="GJT402" s="148"/>
      <c r="GJU402" s="148"/>
      <c r="GJV402" s="148"/>
      <c r="GJW402" s="148"/>
      <c r="GJX402" s="148"/>
      <c r="GJY402" s="148"/>
      <c r="GJZ402" s="148"/>
      <c r="GKA402" s="148"/>
      <c r="GKB402" s="148"/>
      <c r="GKC402" s="148"/>
      <c r="GKD402" s="148"/>
      <c r="GKE402" s="148"/>
      <c r="GKF402" s="148"/>
      <c r="GKG402" s="148"/>
      <c r="GKH402" s="148"/>
      <c r="GKI402" s="148"/>
      <c r="GKJ402" s="148"/>
      <c r="GKK402" s="148"/>
      <c r="GKL402" s="148"/>
      <c r="GKM402" s="148"/>
      <c r="GKN402" s="148"/>
      <c r="GKO402" s="148"/>
      <c r="GKP402" s="148"/>
      <c r="GKQ402" s="148"/>
      <c r="GKR402" s="148"/>
      <c r="GKS402" s="148"/>
      <c r="GKT402" s="148"/>
      <c r="GKU402" s="148"/>
      <c r="GKV402" s="148"/>
      <c r="GKW402" s="148"/>
      <c r="GKX402" s="148"/>
      <c r="GKY402" s="148"/>
      <c r="GKZ402" s="148"/>
      <c r="GLA402" s="148"/>
      <c r="GLB402" s="148"/>
      <c r="GLC402" s="148"/>
      <c r="GLD402" s="148"/>
      <c r="GLE402" s="148"/>
      <c r="GLF402" s="148"/>
      <c r="GLG402" s="148"/>
      <c r="GLH402" s="148"/>
      <c r="GLI402" s="148"/>
      <c r="GLJ402" s="148"/>
      <c r="GLK402" s="148"/>
      <c r="GLL402" s="148"/>
      <c r="GLM402" s="148"/>
      <c r="GLN402" s="148"/>
      <c r="GLO402" s="148"/>
      <c r="GLP402" s="148"/>
      <c r="GLQ402" s="148"/>
      <c r="GLR402" s="148"/>
      <c r="GLS402" s="148"/>
      <c r="GLT402" s="148"/>
      <c r="GLU402" s="148"/>
      <c r="GLV402" s="148"/>
      <c r="GLW402" s="148"/>
      <c r="GLX402" s="148"/>
      <c r="GLY402" s="148"/>
      <c r="GLZ402" s="148"/>
      <c r="GMA402" s="148"/>
      <c r="GMB402" s="148"/>
      <c r="GMC402" s="148"/>
      <c r="GMD402" s="148"/>
      <c r="GME402" s="148"/>
      <c r="GMF402" s="148"/>
      <c r="GMG402" s="148"/>
      <c r="GMH402" s="148"/>
      <c r="GMI402" s="148"/>
      <c r="GMJ402" s="148"/>
      <c r="GMK402" s="148"/>
      <c r="GML402" s="148"/>
      <c r="GMM402" s="148"/>
      <c r="GMN402" s="148"/>
      <c r="GMO402" s="148"/>
      <c r="GMP402" s="148"/>
      <c r="GMQ402" s="148"/>
      <c r="GMR402" s="148"/>
      <c r="GMS402" s="148"/>
      <c r="GMT402" s="148"/>
      <c r="GMU402" s="148"/>
      <c r="GMV402" s="148"/>
      <c r="GMW402" s="148"/>
      <c r="GMX402" s="148"/>
      <c r="GMY402" s="148"/>
      <c r="GMZ402" s="148"/>
      <c r="GNA402" s="148"/>
      <c r="GNB402" s="148"/>
      <c r="GNC402" s="148"/>
      <c r="GND402" s="148"/>
      <c r="GNE402" s="148"/>
      <c r="GNF402" s="148"/>
      <c r="GNG402" s="148"/>
      <c r="GNH402" s="148"/>
      <c r="GNI402" s="148"/>
      <c r="GNJ402" s="148"/>
      <c r="GNK402" s="148"/>
      <c r="GNL402" s="148"/>
      <c r="GNM402" s="148"/>
      <c r="GNN402" s="148"/>
      <c r="GNO402" s="148"/>
      <c r="GNP402" s="148"/>
      <c r="GNQ402" s="148"/>
      <c r="GNR402" s="148"/>
      <c r="GNS402" s="148"/>
      <c r="GNT402" s="148"/>
      <c r="GNU402" s="148"/>
      <c r="GNV402" s="148"/>
      <c r="GNW402" s="148"/>
      <c r="GNX402" s="148"/>
      <c r="GNY402" s="148"/>
      <c r="GNZ402" s="148"/>
      <c r="GOA402" s="148"/>
      <c r="GOB402" s="148"/>
      <c r="GOC402" s="148"/>
      <c r="GOD402" s="148"/>
      <c r="GOE402" s="148"/>
      <c r="GOF402" s="148"/>
      <c r="GOG402" s="148"/>
      <c r="GOH402" s="148"/>
      <c r="GOI402" s="148"/>
      <c r="GOJ402" s="148"/>
      <c r="GOK402" s="148"/>
      <c r="GOL402" s="148"/>
      <c r="GOM402" s="148"/>
      <c r="GON402" s="148"/>
      <c r="GOO402" s="148"/>
      <c r="GOP402" s="148"/>
      <c r="GOQ402" s="148"/>
      <c r="GOR402" s="148"/>
      <c r="GOS402" s="148"/>
      <c r="GOT402" s="148"/>
      <c r="GOU402" s="148"/>
      <c r="GOV402" s="148"/>
      <c r="GOW402" s="148"/>
      <c r="GOX402" s="148"/>
      <c r="GOY402" s="148"/>
      <c r="GOZ402" s="148"/>
      <c r="GPA402" s="148"/>
      <c r="GPB402" s="148"/>
      <c r="GPC402" s="148"/>
      <c r="GPD402" s="148"/>
      <c r="GPE402" s="148"/>
      <c r="GPF402" s="148"/>
      <c r="GPG402" s="148"/>
      <c r="GPH402" s="148"/>
      <c r="GPI402" s="148"/>
      <c r="GPJ402" s="148"/>
      <c r="GPK402" s="148"/>
      <c r="GPL402" s="148"/>
      <c r="GPM402" s="148"/>
      <c r="GPN402" s="148"/>
      <c r="GPO402" s="148"/>
      <c r="GPP402" s="148"/>
      <c r="GPQ402" s="148"/>
      <c r="GPR402" s="148"/>
      <c r="GPS402" s="148"/>
      <c r="GPT402" s="148"/>
      <c r="GPU402" s="148"/>
      <c r="GPV402" s="148"/>
      <c r="GPW402" s="148"/>
      <c r="GPX402" s="148"/>
      <c r="GPY402" s="148"/>
      <c r="GPZ402" s="148"/>
      <c r="GQA402" s="148"/>
      <c r="GQB402" s="148"/>
      <c r="GQC402" s="148"/>
      <c r="GQD402" s="148"/>
      <c r="GQE402" s="148"/>
      <c r="GQF402" s="148"/>
      <c r="GQG402" s="148"/>
      <c r="GQH402" s="148"/>
      <c r="GQI402" s="148"/>
      <c r="GQJ402" s="148"/>
      <c r="GQK402" s="148"/>
      <c r="GQL402" s="148"/>
      <c r="GQM402" s="148"/>
      <c r="GQN402" s="148"/>
      <c r="GQO402" s="148"/>
      <c r="GQP402" s="148"/>
      <c r="GQQ402" s="148"/>
      <c r="GQR402" s="148"/>
      <c r="GQS402" s="148"/>
      <c r="GQT402" s="148"/>
      <c r="GQU402" s="148"/>
      <c r="GQV402" s="148"/>
      <c r="GQW402" s="148"/>
      <c r="GQX402" s="148"/>
      <c r="GQY402" s="148"/>
      <c r="GQZ402" s="148"/>
      <c r="GRA402" s="148"/>
      <c r="GRB402" s="148"/>
      <c r="GRC402" s="148"/>
      <c r="GRD402" s="148"/>
      <c r="GRE402" s="148"/>
      <c r="GRF402" s="148"/>
      <c r="GRG402" s="148"/>
      <c r="GRH402" s="148"/>
      <c r="GRI402" s="148"/>
      <c r="GRJ402" s="148"/>
      <c r="GRK402" s="148"/>
      <c r="GRL402" s="148"/>
      <c r="GRM402" s="148"/>
      <c r="GRN402" s="148"/>
      <c r="GRO402" s="148"/>
      <c r="GRP402" s="148"/>
      <c r="GRQ402" s="148"/>
      <c r="GRR402" s="148"/>
      <c r="GRS402" s="148"/>
      <c r="GRT402" s="148"/>
      <c r="GRU402" s="148"/>
      <c r="GRV402" s="148"/>
      <c r="GRW402" s="148"/>
      <c r="GRX402" s="148"/>
      <c r="GRY402" s="148"/>
      <c r="GRZ402" s="148"/>
      <c r="GSA402" s="148"/>
      <c r="GSB402" s="148"/>
      <c r="GSC402" s="148"/>
      <c r="GSD402" s="148"/>
      <c r="GSE402" s="148"/>
      <c r="GSF402" s="148"/>
      <c r="GSG402" s="148"/>
      <c r="GSH402" s="148"/>
      <c r="GSI402" s="148"/>
      <c r="GSJ402" s="148"/>
      <c r="GSK402" s="148"/>
      <c r="GSL402" s="148"/>
      <c r="GSM402" s="148"/>
      <c r="GSN402" s="148"/>
      <c r="GSO402" s="148"/>
      <c r="GSP402" s="148"/>
      <c r="GSQ402" s="148"/>
      <c r="GSR402" s="148"/>
      <c r="GSS402" s="148"/>
      <c r="GST402" s="148"/>
      <c r="GSU402" s="148"/>
      <c r="GSV402" s="148"/>
      <c r="GSW402" s="148"/>
      <c r="GSX402" s="148"/>
      <c r="GSY402" s="148"/>
      <c r="GSZ402" s="148"/>
      <c r="GTA402" s="148"/>
      <c r="GTB402" s="148"/>
      <c r="GTC402" s="148"/>
      <c r="GTD402" s="148"/>
      <c r="GTE402" s="148"/>
      <c r="GTF402" s="148"/>
      <c r="GTG402" s="148"/>
      <c r="GTH402" s="148"/>
      <c r="GTI402" s="148"/>
      <c r="GTJ402" s="148"/>
      <c r="GTK402" s="148"/>
      <c r="GTL402" s="148"/>
      <c r="GTM402" s="148"/>
      <c r="GTN402" s="148"/>
      <c r="GTO402" s="148"/>
      <c r="GTP402" s="148"/>
      <c r="GTQ402" s="148"/>
      <c r="GTR402" s="148"/>
      <c r="GTS402" s="148"/>
      <c r="GTT402" s="148"/>
      <c r="GTU402" s="148"/>
      <c r="GTV402" s="148"/>
      <c r="GTW402" s="148"/>
      <c r="GTX402" s="148"/>
      <c r="GTY402" s="148"/>
      <c r="GTZ402" s="148"/>
      <c r="GUA402" s="148"/>
      <c r="GUB402" s="148"/>
      <c r="GUC402" s="148"/>
      <c r="GUD402" s="148"/>
      <c r="GUE402" s="148"/>
      <c r="GUF402" s="148"/>
      <c r="GUG402" s="148"/>
      <c r="GUH402" s="148"/>
      <c r="GUI402" s="148"/>
      <c r="GUJ402" s="148"/>
      <c r="GUK402" s="148"/>
      <c r="GUL402" s="148"/>
      <c r="GUM402" s="148"/>
      <c r="GUN402" s="148"/>
      <c r="GUO402" s="148"/>
      <c r="GUP402" s="148"/>
      <c r="GUQ402" s="148"/>
      <c r="GUR402" s="148"/>
      <c r="GUS402" s="148"/>
      <c r="GUT402" s="148"/>
      <c r="GUU402" s="148"/>
      <c r="GUV402" s="148"/>
      <c r="GUW402" s="148"/>
      <c r="GUX402" s="148"/>
      <c r="GUY402" s="148"/>
      <c r="GUZ402" s="148"/>
      <c r="GVA402" s="148"/>
      <c r="GVB402" s="148"/>
      <c r="GVC402" s="148"/>
      <c r="GVD402" s="148"/>
      <c r="GVE402" s="148"/>
      <c r="GVF402" s="148"/>
      <c r="GVG402" s="148"/>
      <c r="GVH402" s="148"/>
      <c r="GVI402" s="148"/>
      <c r="GVJ402" s="148"/>
      <c r="GVK402" s="148"/>
      <c r="GVL402" s="148"/>
      <c r="GVM402" s="148"/>
      <c r="GVN402" s="148"/>
      <c r="GVO402" s="148"/>
      <c r="GVP402" s="148"/>
      <c r="GVQ402" s="148"/>
      <c r="GVR402" s="148"/>
      <c r="GVS402" s="148"/>
      <c r="GVT402" s="148"/>
      <c r="GVU402" s="148"/>
      <c r="GVV402" s="148"/>
      <c r="GVW402" s="148"/>
      <c r="GVX402" s="148"/>
      <c r="GVY402" s="148"/>
      <c r="GVZ402" s="148"/>
      <c r="GWA402" s="148"/>
      <c r="GWB402" s="148"/>
      <c r="GWC402" s="148"/>
      <c r="GWD402" s="148"/>
      <c r="GWE402" s="148"/>
      <c r="GWF402" s="148"/>
      <c r="GWG402" s="148"/>
      <c r="GWH402" s="148"/>
      <c r="GWI402" s="148"/>
      <c r="GWJ402" s="148"/>
      <c r="GWK402" s="148"/>
      <c r="GWL402" s="148"/>
      <c r="GWM402" s="148"/>
      <c r="GWN402" s="148"/>
      <c r="GWO402" s="148"/>
      <c r="GWP402" s="148"/>
      <c r="GWQ402" s="148"/>
      <c r="GWR402" s="148"/>
      <c r="GWS402" s="148"/>
      <c r="GWT402" s="148"/>
      <c r="GWU402" s="148"/>
      <c r="GWV402" s="148"/>
      <c r="GWW402" s="148"/>
      <c r="GWX402" s="148"/>
      <c r="GWY402" s="148"/>
      <c r="GWZ402" s="148"/>
      <c r="GXA402" s="148"/>
      <c r="GXB402" s="148"/>
      <c r="GXC402" s="148"/>
      <c r="GXD402" s="148"/>
      <c r="GXE402" s="148"/>
      <c r="GXF402" s="148"/>
      <c r="GXG402" s="148"/>
      <c r="GXH402" s="148"/>
      <c r="GXI402" s="148"/>
      <c r="GXJ402" s="148"/>
      <c r="GXK402" s="148"/>
      <c r="GXL402" s="148"/>
      <c r="GXM402" s="148"/>
      <c r="GXN402" s="148"/>
      <c r="GXO402" s="148"/>
      <c r="GXP402" s="148"/>
      <c r="GXQ402" s="148"/>
      <c r="GXR402" s="148"/>
      <c r="GXS402" s="148"/>
      <c r="GXT402" s="148"/>
      <c r="GXU402" s="148"/>
      <c r="GXV402" s="148"/>
      <c r="GXW402" s="148"/>
      <c r="GXX402" s="148"/>
      <c r="GXY402" s="148"/>
      <c r="GXZ402" s="148"/>
      <c r="GYA402" s="148"/>
      <c r="GYB402" s="148"/>
      <c r="GYC402" s="148"/>
      <c r="GYD402" s="148"/>
      <c r="GYE402" s="148"/>
      <c r="GYF402" s="148"/>
      <c r="GYG402" s="148"/>
      <c r="GYH402" s="148"/>
      <c r="GYI402" s="148"/>
      <c r="GYJ402" s="148"/>
      <c r="GYK402" s="148"/>
      <c r="GYL402" s="148"/>
      <c r="GYM402" s="148"/>
      <c r="GYN402" s="148"/>
      <c r="GYO402" s="148"/>
      <c r="GYP402" s="148"/>
      <c r="GYQ402" s="148"/>
      <c r="GYR402" s="148"/>
      <c r="GYS402" s="148"/>
      <c r="GYT402" s="148"/>
      <c r="GYU402" s="148"/>
      <c r="GYV402" s="148"/>
      <c r="GYW402" s="148"/>
      <c r="GYX402" s="148"/>
      <c r="GYY402" s="148"/>
      <c r="GYZ402" s="148"/>
      <c r="GZA402" s="148"/>
      <c r="GZB402" s="148"/>
      <c r="GZC402" s="148"/>
      <c r="GZD402" s="148"/>
      <c r="GZE402" s="148"/>
      <c r="GZF402" s="148"/>
      <c r="GZG402" s="148"/>
      <c r="GZH402" s="148"/>
      <c r="GZI402" s="148"/>
      <c r="GZJ402" s="148"/>
      <c r="GZK402" s="148"/>
      <c r="GZL402" s="148"/>
      <c r="GZM402" s="148"/>
      <c r="GZN402" s="148"/>
      <c r="GZO402" s="148"/>
      <c r="GZP402" s="148"/>
      <c r="GZQ402" s="148"/>
      <c r="GZR402" s="148"/>
      <c r="GZS402" s="148"/>
      <c r="GZT402" s="148"/>
      <c r="GZU402" s="148"/>
      <c r="GZV402" s="148"/>
      <c r="GZW402" s="148"/>
      <c r="GZX402" s="148"/>
      <c r="GZY402" s="148"/>
      <c r="GZZ402" s="148"/>
      <c r="HAA402" s="148"/>
      <c r="HAB402" s="148"/>
      <c r="HAC402" s="148"/>
      <c r="HAD402" s="148"/>
      <c r="HAE402" s="148"/>
      <c r="HAF402" s="148"/>
      <c r="HAG402" s="148"/>
      <c r="HAH402" s="148"/>
      <c r="HAI402" s="148"/>
      <c r="HAJ402" s="148"/>
      <c r="HAK402" s="148"/>
      <c r="HAL402" s="148"/>
      <c r="HAM402" s="148"/>
      <c r="HAN402" s="148"/>
      <c r="HAO402" s="148"/>
      <c r="HAP402" s="148"/>
      <c r="HAQ402" s="148"/>
      <c r="HAR402" s="148"/>
      <c r="HAS402" s="148"/>
      <c r="HAT402" s="148"/>
      <c r="HAU402" s="148"/>
      <c r="HAV402" s="148"/>
      <c r="HAW402" s="148"/>
      <c r="HAX402" s="148"/>
      <c r="HAY402" s="148"/>
      <c r="HAZ402" s="148"/>
      <c r="HBA402" s="148"/>
      <c r="HBB402" s="148"/>
      <c r="HBC402" s="148"/>
      <c r="HBD402" s="148"/>
      <c r="HBE402" s="148"/>
      <c r="HBF402" s="148"/>
      <c r="HBG402" s="148"/>
      <c r="HBH402" s="148"/>
      <c r="HBI402" s="148"/>
      <c r="HBJ402" s="148"/>
      <c r="HBK402" s="148"/>
      <c r="HBL402" s="148"/>
      <c r="HBM402" s="148"/>
      <c r="HBN402" s="148"/>
      <c r="HBO402" s="148"/>
      <c r="HBP402" s="148"/>
      <c r="HBQ402" s="148"/>
      <c r="HBR402" s="148"/>
      <c r="HBS402" s="148"/>
      <c r="HBT402" s="148"/>
      <c r="HBU402" s="148"/>
      <c r="HBV402" s="148"/>
      <c r="HBW402" s="148"/>
      <c r="HBX402" s="148"/>
      <c r="HBY402" s="148"/>
      <c r="HBZ402" s="148"/>
      <c r="HCA402" s="148"/>
      <c r="HCB402" s="148"/>
      <c r="HCC402" s="148"/>
      <c r="HCD402" s="148"/>
      <c r="HCE402" s="148"/>
      <c r="HCF402" s="148"/>
      <c r="HCG402" s="148"/>
      <c r="HCH402" s="148"/>
      <c r="HCI402" s="148"/>
      <c r="HCJ402" s="148"/>
      <c r="HCK402" s="148"/>
      <c r="HCL402" s="148"/>
      <c r="HCM402" s="148"/>
      <c r="HCN402" s="148"/>
      <c r="HCO402" s="148"/>
      <c r="HCP402" s="148"/>
      <c r="HCQ402" s="148"/>
      <c r="HCR402" s="148"/>
      <c r="HCS402" s="148"/>
      <c r="HCT402" s="148"/>
      <c r="HCU402" s="148"/>
      <c r="HCV402" s="148"/>
      <c r="HCW402" s="148"/>
      <c r="HCX402" s="148"/>
      <c r="HCY402" s="148"/>
      <c r="HCZ402" s="148"/>
      <c r="HDA402" s="148"/>
      <c r="HDB402" s="148"/>
      <c r="HDC402" s="148"/>
      <c r="HDD402" s="148"/>
      <c r="HDE402" s="148"/>
      <c r="HDF402" s="148"/>
      <c r="HDG402" s="148"/>
      <c r="HDH402" s="148"/>
      <c r="HDI402" s="148"/>
      <c r="HDJ402" s="148"/>
      <c r="HDK402" s="148"/>
      <c r="HDL402" s="148"/>
      <c r="HDM402" s="148"/>
      <c r="HDN402" s="148"/>
      <c r="HDO402" s="148"/>
      <c r="HDP402" s="148"/>
      <c r="HDQ402" s="148"/>
      <c r="HDR402" s="148"/>
      <c r="HDS402" s="148"/>
      <c r="HDT402" s="148"/>
      <c r="HDU402" s="148"/>
      <c r="HDV402" s="148"/>
      <c r="HDW402" s="148"/>
      <c r="HDX402" s="148"/>
      <c r="HDY402" s="148"/>
      <c r="HDZ402" s="148"/>
      <c r="HEA402" s="148"/>
      <c r="HEB402" s="148"/>
      <c r="HEC402" s="148"/>
      <c r="HED402" s="148"/>
      <c r="HEE402" s="148"/>
      <c r="HEF402" s="148"/>
      <c r="HEG402" s="148"/>
      <c r="HEH402" s="148"/>
      <c r="HEI402" s="148"/>
      <c r="HEJ402" s="148"/>
      <c r="HEK402" s="148"/>
      <c r="HEL402" s="148"/>
      <c r="HEM402" s="148"/>
      <c r="HEN402" s="148"/>
      <c r="HEO402" s="148"/>
      <c r="HEP402" s="148"/>
      <c r="HEQ402" s="148"/>
      <c r="HER402" s="148"/>
      <c r="HES402" s="148"/>
      <c r="HET402" s="148"/>
      <c r="HEU402" s="148"/>
      <c r="HEV402" s="148"/>
      <c r="HEW402" s="148"/>
      <c r="HEX402" s="148"/>
      <c r="HEY402" s="148"/>
      <c r="HEZ402" s="148"/>
      <c r="HFA402" s="148"/>
      <c r="HFB402" s="148"/>
      <c r="HFC402" s="148"/>
      <c r="HFD402" s="148"/>
      <c r="HFE402" s="148"/>
      <c r="HFF402" s="148"/>
      <c r="HFG402" s="148"/>
      <c r="HFH402" s="148"/>
      <c r="HFI402" s="148"/>
      <c r="HFJ402" s="148"/>
      <c r="HFK402" s="148"/>
      <c r="HFL402" s="148"/>
      <c r="HFM402" s="148"/>
      <c r="HFN402" s="148"/>
      <c r="HFO402" s="148"/>
      <c r="HFP402" s="148"/>
      <c r="HFQ402" s="148"/>
      <c r="HFR402" s="148"/>
      <c r="HFS402" s="148"/>
      <c r="HFT402" s="148"/>
      <c r="HFU402" s="148"/>
      <c r="HFV402" s="148"/>
      <c r="HFW402" s="148"/>
      <c r="HFX402" s="148"/>
      <c r="HFY402" s="148"/>
      <c r="HFZ402" s="148"/>
      <c r="HGA402" s="148"/>
      <c r="HGB402" s="148"/>
      <c r="HGC402" s="148"/>
      <c r="HGD402" s="148"/>
      <c r="HGE402" s="148"/>
      <c r="HGF402" s="148"/>
      <c r="HGG402" s="148"/>
      <c r="HGH402" s="148"/>
      <c r="HGI402" s="148"/>
      <c r="HGJ402" s="148"/>
      <c r="HGK402" s="148"/>
      <c r="HGL402" s="148"/>
      <c r="HGM402" s="148"/>
      <c r="HGN402" s="148"/>
      <c r="HGO402" s="148"/>
      <c r="HGP402" s="148"/>
      <c r="HGQ402" s="148"/>
      <c r="HGR402" s="148"/>
      <c r="HGS402" s="148"/>
      <c r="HGT402" s="148"/>
      <c r="HGU402" s="148"/>
      <c r="HGV402" s="148"/>
      <c r="HGW402" s="148"/>
      <c r="HGX402" s="148"/>
      <c r="HGY402" s="148"/>
      <c r="HGZ402" s="148"/>
      <c r="HHA402" s="148"/>
      <c r="HHB402" s="148"/>
      <c r="HHC402" s="148"/>
      <c r="HHD402" s="148"/>
      <c r="HHE402" s="148"/>
      <c r="HHF402" s="148"/>
      <c r="HHG402" s="148"/>
      <c r="HHH402" s="148"/>
      <c r="HHI402" s="148"/>
      <c r="HHJ402" s="148"/>
      <c r="HHK402" s="148"/>
      <c r="HHL402" s="148"/>
      <c r="HHM402" s="148"/>
      <c r="HHN402" s="148"/>
      <c r="HHO402" s="148"/>
      <c r="HHP402" s="148"/>
      <c r="HHQ402" s="148"/>
      <c r="HHR402" s="148"/>
      <c r="HHS402" s="148"/>
      <c r="HHT402" s="148"/>
      <c r="HHU402" s="148"/>
      <c r="HHV402" s="148"/>
      <c r="HHW402" s="148"/>
      <c r="HHX402" s="148"/>
      <c r="HHY402" s="148"/>
      <c r="HHZ402" s="148"/>
      <c r="HIA402" s="148"/>
      <c r="HIB402" s="148"/>
      <c r="HIC402" s="148"/>
      <c r="HID402" s="148"/>
      <c r="HIE402" s="148"/>
      <c r="HIF402" s="148"/>
      <c r="HIG402" s="148"/>
      <c r="HIH402" s="148"/>
      <c r="HII402" s="148"/>
      <c r="HIJ402" s="148"/>
      <c r="HIK402" s="148"/>
      <c r="HIL402" s="148"/>
      <c r="HIM402" s="148"/>
      <c r="HIN402" s="148"/>
      <c r="HIO402" s="148"/>
      <c r="HIP402" s="148"/>
      <c r="HIQ402" s="148"/>
      <c r="HIR402" s="148"/>
      <c r="HIS402" s="148"/>
      <c r="HIT402" s="148"/>
      <c r="HIU402" s="148"/>
      <c r="HIV402" s="148"/>
      <c r="HIW402" s="148"/>
      <c r="HIX402" s="148"/>
      <c r="HIY402" s="148"/>
      <c r="HIZ402" s="148"/>
      <c r="HJA402" s="148"/>
      <c r="HJB402" s="148"/>
      <c r="HJC402" s="148"/>
      <c r="HJD402" s="148"/>
      <c r="HJE402" s="148"/>
      <c r="HJF402" s="148"/>
      <c r="HJG402" s="148"/>
      <c r="HJH402" s="148"/>
      <c r="HJI402" s="148"/>
      <c r="HJJ402" s="148"/>
      <c r="HJK402" s="148"/>
      <c r="HJL402" s="148"/>
      <c r="HJM402" s="148"/>
      <c r="HJN402" s="148"/>
      <c r="HJO402" s="148"/>
      <c r="HJP402" s="148"/>
      <c r="HJQ402" s="148"/>
      <c r="HJR402" s="148"/>
      <c r="HJS402" s="148"/>
      <c r="HJT402" s="148"/>
      <c r="HJU402" s="148"/>
      <c r="HJV402" s="148"/>
      <c r="HJW402" s="148"/>
      <c r="HJX402" s="148"/>
      <c r="HJY402" s="148"/>
      <c r="HJZ402" s="148"/>
      <c r="HKA402" s="148"/>
      <c r="HKB402" s="148"/>
      <c r="HKC402" s="148"/>
      <c r="HKD402" s="148"/>
      <c r="HKE402" s="148"/>
      <c r="HKF402" s="148"/>
      <c r="HKG402" s="148"/>
      <c r="HKH402" s="148"/>
      <c r="HKI402" s="148"/>
      <c r="HKJ402" s="148"/>
      <c r="HKK402" s="148"/>
      <c r="HKL402" s="148"/>
      <c r="HKM402" s="148"/>
      <c r="HKN402" s="148"/>
      <c r="HKO402" s="148"/>
      <c r="HKP402" s="148"/>
      <c r="HKQ402" s="148"/>
      <c r="HKR402" s="148"/>
      <c r="HKS402" s="148"/>
      <c r="HKT402" s="148"/>
      <c r="HKU402" s="148"/>
      <c r="HKV402" s="148"/>
      <c r="HKW402" s="148"/>
      <c r="HKX402" s="148"/>
      <c r="HKY402" s="148"/>
      <c r="HKZ402" s="148"/>
      <c r="HLA402" s="148"/>
      <c r="HLB402" s="148"/>
      <c r="HLC402" s="148"/>
      <c r="HLD402" s="148"/>
      <c r="HLE402" s="148"/>
      <c r="HLF402" s="148"/>
      <c r="HLG402" s="148"/>
      <c r="HLH402" s="148"/>
      <c r="HLI402" s="148"/>
      <c r="HLJ402" s="148"/>
      <c r="HLK402" s="148"/>
      <c r="HLL402" s="148"/>
      <c r="HLM402" s="148"/>
      <c r="HLN402" s="148"/>
      <c r="HLO402" s="148"/>
      <c r="HLP402" s="148"/>
      <c r="HLQ402" s="148"/>
      <c r="HLR402" s="148"/>
      <c r="HLS402" s="148"/>
      <c r="HLT402" s="148"/>
      <c r="HLU402" s="148"/>
      <c r="HLV402" s="148"/>
      <c r="HLW402" s="148"/>
      <c r="HLX402" s="148"/>
      <c r="HLY402" s="148"/>
      <c r="HLZ402" s="148"/>
      <c r="HMA402" s="148"/>
      <c r="HMB402" s="148"/>
      <c r="HMC402" s="148"/>
      <c r="HMD402" s="148"/>
      <c r="HME402" s="148"/>
      <c r="HMF402" s="148"/>
      <c r="HMG402" s="148"/>
      <c r="HMH402" s="148"/>
      <c r="HMI402" s="148"/>
      <c r="HMJ402" s="148"/>
      <c r="HMK402" s="148"/>
      <c r="HML402" s="148"/>
      <c r="HMM402" s="148"/>
      <c r="HMN402" s="148"/>
      <c r="HMO402" s="148"/>
      <c r="HMP402" s="148"/>
      <c r="HMQ402" s="148"/>
      <c r="HMR402" s="148"/>
      <c r="HMS402" s="148"/>
      <c r="HMT402" s="148"/>
      <c r="HMU402" s="148"/>
      <c r="HMV402" s="148"/>
      <c r="HMW402" s="148"/>
      <c r="HMX402" s="148"/>
      <c r="HMY402" s="148"/>
      <c r="HMZ402" s="148"/>
      <c r="HNA402" s="148"/>
      <c r="HNB402" s="148"/>
      <c r="HNC402" s="148"/>
      <c r="HND402" s="148"/>
      <c r="HNE402" s="148"/>
      <c r="HNF402" s="148"/>
      <c r="HNG402" s="148"/>
      <c r="HNH402" s="148"/>
      <c r="HNI402" s="148"/>
      <c r="HNJ402" s="148"/>
      <c r="HNK402" s="148"/>
      <c r="HNL402" s="148"/>
      <c r="HNM402" s="148"/>
      <c r="HNN402" s="148"/>
      <c r="HNO402" s="148"/>
      <c r="HNP402" s="148"/>
      <c r="HNQ402" s="148"/>
      <c r="HNR402" s="148"/>
      <c r="HNS402" s="148"/>
      <c r="HNT402" s="148"/>
      <c r="HNU402" s="148"/>
      <c r="HNV402" s="148"/>
      <c r="HNW402" s="148"/>
      <c r="HNX402" s="148"/>
      <c r="HNY402" s="148"/>
      <c r="HNZ402" s="148"/>
      <c r="HOA402" s="148"/>
      <c r="HOB402" s="148"/>
      <c r="HOC402" s="148"/>
      <c r="HOD402" s="148"/>
      <c r="HOE402" s="148"/>
      <c r="HOF402" s="148"/>
      <c r="HOG402" s="148"/>
      <c r="HOH402" s="148"/>
      <c r="HOI402" s="148"/>
      <c r="HOJ402" s="148"/>
      <c r="HOK402" s="148"/>
      <c r="HOL402" s="148"/>
      <c r="HOM402" s="148"/>
      <c r="HON402" s="148"/>
      <c r="HOO402" s="148"/>
      <c r="HOP402" s="148"/>
      <c r="HOQ402" s="148"/>
      <c r="HOR402" s="148"/>
      <c r="HOS402" s="148"/>
      <c r="HOT402" s="148"/>
      <c r="HOU402" s="148"/>
      <c r="HOV402" s="148"/>
      <c r="HOW402" s="148"/>
      <c r="HOX402" s="148"/>
      <c r="HOY402" s="148"/>
      <c r="HOZ402" s="148"/>
      <c r="HPA402" s="148"/>
      <c r="HPB402" s="148"/>
      <c r="HPC402" s="148"/>
      <c r="HPD402" s="148"/>
      <c r="HPE402" s="148"/>
      <c r="HPF402" s="148"/>
      <c r="HPG402" s="148"/>
      <c r="HPH402" s="148"/>
      <c r="HPI402" s="148"/>
      <c r="HPJ402" s="148"/>
      <c r="HPK402" s="148"/>
      <c r="HPL402" s="148"/>
      <c r="HPM402" s="148"/>
      <c r="HPN402" s="148"/>
      <c r="HPO402" s="148"/>
      <c r="HPP402" s="148"/>
      <c r="HPQ402" s="148"/>
      <c r="HPR402" s="148"/>
      <c r="HPS402" s="148"/>
      <c r="HPT402" s="148"/>
      <c r="HPU402" s="148"/>
      <c r="HPV402" s="148"/>
      <c r="HPW402" s="148"/>
      <c r="HPX402" s="148"/>
      <c r="HPY402" s="148"/>
      <c r="HPZ402" s="148"/>
      <c r="HQA402" s="148"/>
      <c r="HQB402" s="148"/>
      <c r="HQC402" s="148"/>
      <c r="HQD402" s="148"/>
      <c r="HQE402" s="148"/>
      <c r="HQF402" s="148"/>
      <c r="HQG402" s="148"/>
      <c r="HQH402" s="148"/>
      <c r="HQI402" s="148"/>
      <c r="HQJ402" s="148"/>
      <c r="HQK402" s="148"/>
      <c r="HQL402" s="148"/>
      <c r="HQM402" s="148"/>
      <c r="HQN402" s="148"/>
      <c r="HQO402" s="148"/>
      <c r="HQP402" s="148"/>
      <c r="HQQ402" s="148"/>
      <c r="HQR402" s="148"/>
      <c r="HQS402" s="148"/>
      <c r="HQT402" s="148"/>
      <c r="HQU402" s="148"/>
      <c r="HQV402" s="148"/>
      <c r="HQW402" s="148"/>
      <c r="HQX402" s="148"/>
      <c r="HQY402" s="148"/>
      <c r="HQZ402" s="148"/>
      <c r="HRA402" s="148"/>
      <c r="HRB402" s="148"/>
      <c r="HRC402" s="148"/>
      <c r="HRD402" s="148"/>
      <c r="HRE402" s="148"/>
      <c r="HRF402" s="148"/>
      <c r="HRG402" s="148"/>
      <c r="HRH402" s="148"/>
      <c r="HRI402" s="148"/>
      <c r="HRJ402" s="148"/>
      <c r="HRK402" s="148"/>
      <c r="HRL402" s="148"/>
      <c r="HRM402" s="148"/>
      <c r="HRN402" s="148"/>
      <c r="HRO402" s="148"/>
      <c r="HRP402" s="148"/>
      <c r="HRQ402" s="148"/>
      <c r="HRR402" s="148"/>
      <c r="HRS402" s="148"/>
      <c r="HRT402" s="148"/>
      <c r="HRU402" s="148"/>
      <c r="HRV402" s="148"/>
      <c r="HRW402" s="148"/>
      <c r="HRX402" s="148"/>
      <c r="HRY402" s="148"/>
      <c r="HRZ402" s="148"/>
      <c r="HSA402" s="148"/>
      <c r="HSB402" s="148"/>
      <c r="HSC402" s="148"/>
      <c r="HSD402" s="148"/>
      <c r="HSE402" s="148"/>
      <c r="HSF402" s="148"/>
      <c r="HSG402" s="148"/>
      <c r="HSH402" s="148"/>
      <c r="HSI402" s="148"/>
      <c r="HSJ402" s="148"/>
      <c r="HSK402" s="148"/>
      <c r="HSL402" s="148"/>
      <c r="HSM402" s="148"/>
      <c r="HSN402" s="148"/>
      <c r="HSO402" s="148"/>
      <c r="HSP402" s="148"/>
      <c r="HSQ402" s="148"/>
      <c r="HSR402" s="148"/>
      <c r="HSS402" s="148"/>
      <c r="HST402" s="148"/>
      <c r="HSU402" s="148"/>
      <c r="HSV402" s="148"/>
      <c r="HSW402" s="148"/>
      <c r="HSX402" s="148"/>
      <c r="HSY402" s="148"/>
      <c r="HSZ402" s="148"/>
      <c r="HTA402" s="148"/>
      <c r="HTB402" s="148"/>
      <c r="HTC402" s="148"/>
      <c r="HTD402" s="148"/>
      <c r="HTE402" s="148"/>
      <c r="HTF402" s="148"/>
      <c r="HTG402" s="148"/>
      <c r="HTH402" s="148"/>
      <c r="HTI402" s="148"/>
      <c r="HTJ402" s="148"/>
      <c r="HTK402" s="148"/>
      <c r="HTL402" s="148"/>
      <c r="HTM402" s="148"/>
      <c r="HTN402" s="148"/>
      <c r="HTO402" s="148"/>
      <c r="HTP402" s="148"/>
      <c r="HTQ402" s="148"/>
      <c r="HTR402" s="148"/>
      <c r="HTS402" s="148"/>
      <c r="HTT402" s="148"/>
      <c r="HTU402" s="148"/>
      <c r="HTV402" s="148"/>
      <c r="HTW402" s="148"/>
      <c r="HTX402" s="148"/>
      <c r="HTY402" s="148"/>
      <c r="HTZ402" s="148"/>
      <c r="HUA402" s="148"/>
      <c r="HUB402" s="148"/>
      <c r="HUC402" s="148"/>
      <c r="HUD402" s="148"/>
      <c r="HUE402" s="148"/>
      <c r="HUF402" s="148"/>
      <c r="HUG402" s="148"/>
      <c r="HUH402" s="148"/>
      <c r="HUI402" s="148"/>
      <c r="HUJ402" s="148"/>
      <c r="HUK402" s="148"/>
      <c r="HUL402" s="148"/>
      <c r="HUM402" s="148"/>
      <c r="HUN402" s="148"/>
      <c r="HUO402" s="148"/>
      <c r="HUP402" s="148"/>
      <c r="HUQ402" s="148"/>
      <c r="HUR402" s="148"/>
      <c r="HUS402" s="148"/>
      <c r="HUT402" s="148"/>
      <c r="HUU402" s="148"/>
      <c r="HUV402" s="148"/>
      <c r="HUW402" s="148"/>
      <c r="HUX402" s="148"/>
      <c r="HUY402" s="148"/>
      <c r="HUZ402" s="148"/>
      <c r="HVA402" s="148"/>
      <c r="HVB402" s="148"/>
      <c r="HVC402" s="148"/>
      <c r="HVD402" s="148"/>
      <c r="HVE402" s="148"/>
      <c r="HVF402" s="148"/>
      <c r="HVG402" s="148"/>
      <c r="HVH402" s="148"/>
      <c r="HVI402" s="148"/>
      <c r="HVJ402" s="148"/>
      <c r="HVK402" s="148"/>
      <c r="HVL402" s="148"/>
      <c r="HVM402" s="148"/>
      <c r="HVN402" s="148"/>
      <c r="HVO402" s="148"/>
      <c r="HVP402" s="148"/>
      <c r="HVQ402" s="148"/>
      <c r="HVR402" s="148"/>
      <c r="HVS402" s="148"/>
      <c r="HVT402" s="148"/>
      <c r="HVU402" s="148"/>
      <c r="HVV402" s="148"/>
      <c r="HVW402" s="148"/>
      <c r="HVX402" s="148"/>
      <c r="HVY402" s="148"/>
      <c r="HVZ402" s="148"/>
      <c r="HWA402" s="148"/>
      <c r="HWB402" s="148"/>
      <c r="HWC402" s="148"/>
      <c r="HWD402" s="148"/>
      <c r="HWE402" s="148"/>
      <c r="HWF402" s="148"/>
      <c r="HWG402" s="148"/>
      <c r="HWH402" s="148"/>
      <c r="HWI402" s="148"/>
      <c r="HWJ402" s="148"/>
      <c r="HWK402" s="148"/>
      <c r="HWL402" s="148"/>
      <c r="HWM402" s="148"/>
      <c r="HWN402" s="148"/>
      <c r="HWO402" s="148"/>
      <c r="HWP402" s="148"/>
      <c r="HWQ402" s="148"/>
      <c r="HWR402" s="148"/>
      <c r="HWS402" s="148"/>
      <c r="HWT402" s="148"/>
      <c r="HWU402" s="148"/>
      <c r="HWV402" s="148"/>
      <c r="HWW402" s="148"/>
      <c r="HWX402" s="148"/>
      <c r="HWY402" s="148"/>
      <c r="HWZ402" s="148"/>
      <c r="HXA402" s="148"/>
      <c r="HXB402" s="148"/>
      <c r="HXC402" s="148"/>
      <c r="HXD402" s="148"/>
      <c r="HXE402" s="148"/>
      <c r="HXF402" s="148"/>
      <c r="HXG402" s="148"/>
      <c r="HXH402" s="148"/>
      <c r="HXI402" s="148"/>
      <c r="HXJ402" s="148"/>
      <c r="HXK402" s="148"/>
      <c r="HXL402" s="148"/>
      <c r="HXM402" s="148"/>
      <c r="HXN402" s="148"/>
      <c r="HXO402" s="148"/>
      <c r="HXP402" s="148"/>
      <c r="HXQ402" s="148"/>
      <c r="HXR402" s="148"/>
      <c r="HXS402" s="148"/>
      <c r="HXT402" s="148"/>
      <c r="HXU402" s="148"/>
      <c r="HXV402" s="148"/>
      <c r="HXW402" s="148"/>
      <c r="HXX402" s="148"/>
      <c r="HXY402" s="148"/>
      <c r="HXZ402" s="148"/>
      <c r="HYA402" s="148"/>
      <c r="HYB402" s="148"/>
      <c r="HYC402" s="148"/>
      <c r="HYD402" s="148"/>
      <c r="HYE402" s="148"/>
      <c r="HYF402" s="148"/>
      <c r="HYG402" s="148"/>
      <c r="HYH402" s="148"/>
      <c r="HYI402" s="148"/>
      <c r="HYJ402" s="148"/>
      <c r="HYK402" s="148"/>
      <c r="HYL402" s="148"/>
      <c r="HYM402" s="148"/>
      <c r="HYN402" s="148"/>
      <c r="HYO402" s="148"/>
      <c r="HYP402" s="148"/>
      <c r="HYQ402" s="148"/>
      <c r="HYR402" s="148"/>
      <c r="HYS402" s="148"/>
      <c r="HYT402" s="148"/>
      <c r="HYU402" s="148"/>
      <c r="HYV402" s="148"/>
      <c r="HYW402" s="148"/>
      <c r="HYX402" s="148"/>
      <c r="HYY402" s="148"/>
      <c r="HYZ402" s="148"/>
      <c r="HZA402" s="148"/>
      <c r="HZB402" s="148"/>
      <c r="HZC402" s="148"/>
      <c r="HZD402" s="148"/>
      <c r="HZE402" s="148"/>
      <c r="HZF402" s="148"/>
      <c r="HZG402" s="148"/>
      <c r="HZH402" s="148"/>
      <c r="HZI402" s="148"/>
      <c r="HZJ402" s="148"/>
      <c r="HZK402" s="148"/>
      <c r="HZL402" s="148"/>
      <c r="HZM402" s="148"/>
      <c r="HZN402" s="148"/>
      <c r="HZO402" s="148"/>
      <c r="HZP402" s="148"/>
      <c r="HZQ402" s="148"/>
      <c r="HZR402" s="148"/>
      <c r="HZS402" s="148"/>
      <c r="HZT402" s="148"/>
      <c r="HZU402" s="148"/>
      <c r="HZV402" s="148"/>
      <c r="HZW402" s="148"/>
      <c r="HZX402" s="148"/>
      <c r="HZY402" s="148"/>
      <c r="HZZ402" s="148"/>
      <c r="IAA402" s="148"/>
      <c r="IAB402" s="148"/>
      <c r="IAC402" s="148"/>
      <c r="IAD402" s="148"/>
      <c r="IAE402" s="148"/>
      <c r="IAF402" s="148"/>
      <c r="IAG402" s="148"/>
      <c r="IAH402" s="148"/>
      <c r="IAI402" s="148"/>
      <c r="IAJ402" s="148"/>
      <c r="IAK402" s="148"/>
      <c r="IAL402" s="148"/>
      <c r="IAM402" s="148"/>
      <c r="IAN402" s="148"/>
      <c r="IAO402" s="148"/>
      <c r="IAP402" s="148"/>
      <c r="IAQ402" s="148"/>
      <c r="IAR402" s="148"/>
      <c r="IAS402" s="148"/>
      <c r="IAT402" s="148"/>
      <c r="IAU402" s="148"/>
      <c r="IAV402" s="148"/>
      <c r="IAW402" s="148"/>
      <c r="IAX402" s="148"/>
      <c r="IAY402" s="148"/>
      <c r="IAZ402" s="148"/>
      <c r="IBA402" s="148"/>
      <c r="IBB402" s="148"/>
      <c r="IBC402" s="148"/>
      <c r="IBD402" s="148"/>
      <c r="IBE402" s="148"/>
      <c r="IBF402" s="148"/>
      <c r="IBG402" s="148"/>
      <c r="IBH402" s="148"/>
      <c r="IBI402" s="148"/>
      <c r="IBJ402" s="148"/>
      <c r="IBK402" s="148"/>
      <c r="IBL402" s="148"/>
      <c r="IBM402" s="148"/>
      <c r="IBN402" s="148"/>
      <c r="IBO402" s="148"/>
      <c r="IBP402" s="148"/>
      <c r="IBQ402" s="148"/>
      <c r="IBR402" s="148"/>
      <c r="IBS402" s="148"/>
      <c r="IBT402" s="148"/>
      <c r="IBU402" s="148"/>
      <c r="IBV402" s="148"/>
      <c r="IBW402" s="148"/>
      <c r="IBX402" s="148"/>
      <c r="IBY402" s="148"/>
      <c r="IBZ402" s="148"/>
      <c r="ICA402" s="148"/>
      <c r="ICB402" s="148"/>
      <c r="ICC402" s="148"/>
      <c r="ICD402" s="148"/>
      <c r="ICE402" s="148"/>
      <c r="ICF402" s="148"/>
      <c r="ICG402" s="148"/>
      <c r="ICH402" s="148"/>
      <c r="ICI402" s="148"/>
      <c r="ICJ402" s="148"/>
      <c r="ICK402" s="148"/>
      <c r="ICL402" s="148"/>
      <c r="ICM402" s="148"/>
      <c r="ICN402" s="148"/>
      <c r="ICO402" s="148"/>
      <c r="ICP402" s="148"/>
      <c r="ICQ402" s="148"/>
      <c r="ICR402" s="148"/>
      <c r="ICS402" s="148"/>
      <c r="ICT402" s="148"/>
      <c r="ICU402" s="148"/>
      <c r="ICV402" s="148"/>
      <c r="ICW402" s="148"/>
      <c r="ICX402" s="148"/>
      <c r="ICY402" s="148"/>
      <c r="ICZ402" s="148"/>
      <c r="IDA402" s="148"/>
      <c r="IDB402" s="148"/>
      <c r="IDC402" s="148"/>
      <c r="IDD402" s="148"/>
      <c r="IDE402" s="148"/>
      <c r="IDF402" s="148"/>
      <c r="IDG402" s="148"/>
      <c r="IDH402" s="148"/>
      <c r="IDI402" s="148"/>
      <c r="IDJ402" s="148"/>
      <c r="IDK402" s="148"/>
      <c r="IDL402" s="148"/>
      <c r="IDM402" s="148"/>
      <c r="IDN402" s="148"/>
      <c r="IDO402" s="148"/>
      <c r="IDP402" s="148"/>
      <c r="IDQ402" s="148"/>
      <c r="IDR402" s="148"/>
      <c r="IDS402" s="148"/>
      <c r="IDT402" s="148"/>
      <c r="IDU402" s="148"/>
      <c r="IDV402" s="148"/>
      <c r="IDW402" s="148"/>
      <c r="IDX402" s="148"/>
      <c r="IDY402" s="148"/>
      <c r="IDZ402" s="148"/>
      <c r="IEA402" s="148"/>
      <c r="IEB402" s="148"/>
      <c r="IEC402" s="148"/>
      <c r="IED402" s="148"/>
      <c r="IEE402" s="148"/>
      <c r="IEF402" s="148"/>
      <c r="IEG402" s="148"/>
      <c r="IEH402" s="148"/>
      <c r="IEI402" s="148"/>
      <c r="IEJ402" s="148"/>
      <c r="IEK402" s="148"/>
      <c r="IEL402" s="148"/>
      <c r="IEM402" s="148"/>
      <c r="IEN402" s="148"/>
      <c r="IEO402" s="148"/>
      <c r="IEP402" s="148"/>
      <c r="IEQ402" s="148"/>
      <c r="IER402" s="148"/>
      <c r="IES402" s="148"/>
      <c r="IET402" s="148"/>
      <c r="IEU402" s="148"/>
      <c r="IEV402" s="148"/>
      <c r="IEW402" s="148"/>
      <c r="IEX402" s="148"/>
      <c r="IEY402" s="148"/>
      <c r="IEZ402" s="148"/>
      <c r="IFA402" s="148"/>
      <c r="IFB402" s="148"/>
      <c r="IFC402" s="148"/>
      <c r="IFD402" s="148"/>
      <c r="IFE402" s="148"/>
      <c r="IFF402" s="148"/>
      <c r="IFG402" s="148"/>
      <c r="IFH402" s="148"/>
      <c r="IFI402" s="148"/>
      <c r="IFJ402" s="148"/>
      <c r="IFK402" s="148"/>
      <c r="IFL402" s="148"/>
      <c r="IFM402" s="148"/>
      <c r="IFN402" s="148"/>
      <c r="IFO402" s="148"/>
      <c r="IFP402" s="148"/>
      <c r="IFQ402" s="148"/>
      <c r="IFR402" s="148"/>
      <c r="IFS402" s="148"/>
      <c r="IFT402" s="148"/>
      <c r="IFU402" s="148"/>
      <c r="IFV402" s="148"/>
      <c r="IFW402" s="148"/>
      <c r="IFX402" s="148"/>
      <c r="IFY402" s="148"/>
      <c r="IFZ402" s="148"/>
      <c r="IGA402" s="148"/>
      <c r="IGB402" s="148"/>
      <c r="IGC402" s="148"/>
      <c r="IGD402" s="148"/>
      <c r="IGE402" s="148"/>
      <c r="IGF402" s="148"/>
      <c r="IGG402" s="148"/>
      <c r="IGH402" s="148"/>
      <c r="IGI402" s="148"/>
      <c r="IGJ402" s="148"/>
      <c r="IGK402" s="148"/>
      <c r="IGL402" s="148"/>
      <c r="IGM402" s="148"/>
      <c r="IGN402" s="148"/>
      <c r="IGO402" s="148"/>
      <c r="IGP402" s="148"/>
      <c r="IGQ402" s="148"/>
      <c r="IGR402" s="148"/>
      <c r="IGS402" s="148"/>
      <c r="IGT402" s="148"/>
      <c r="IGU402" s="148"/>
      <c r="IGV402" s="148"/>
      <c r="IGW402" s="148"/>
      <c r="IGX402" s="148"/>
      <c r="IGY402" s="148"/>
      <c r="IGZ402" s="148"/>
      <c r="IHA402" s="148"/>
      <c r="IHB402" s="148"/>
      <c r="IHC402" s="148"/>
      <c r="IHD402" s="148"/>
      <c r="IHE402" s="148"/>
      <c r="IHF402" s="148"/>
      <c r="IHG402" s="148"/>
      <c r="IHH402" s="148"/>
      <c r="IHI402" s="148"/>
      <c r="IHJ402" s="148"/>
      <c r="IHK402" s="148"/>
      <c r="IHL402" s="148"/>
      <c r="IHM402" s="148"/>
      <c r="IHN402" s="148"/>
      <c r="IHO402" s="148"/>
      <c r="IHP402" s="148"/>
      <c r="IHQ402" s="148"/>
      <c r="IHR402" s="148"/>
      <c r="IHS402" s="148"/>
      <c r="IHT402" s="148"/>
      <c r="IHU402" s="148"/>
      <c r="IHV402" s="148"/>
      <c r="IHW402" s="148"/>
      <c r="IHX402" s="148"/>
      <c r="IHY402" s="148"/>
      <c r="IHZ402" s="148"/>
      <c r="IIA402" s="148"/>
      <c r="IIB402" s="148"/>
      <c r="IIC402" s="148"/>
      <c r="IID402" s="148"/>
      <c r="IIE402" s="148"/>
      <c r="IIF402" s="148"/>
      <c r="IIG402" s="148"/>
      <c r="IIH402" s="148"/>
      <c r="III402" s="148"/>
      <c r="IIJ402" s="148"/>
      <c r="IIK402" s="148"/>
      <c r="IIL402" s="148"/>
      <c r="IIM402" s="148"/>
      <c r="IIN402" s="148"/>
      <c r="IIO402" s="148"/>
      <c r="IIP402" s="148"/>
      <c r="IIQ402" s="148"/>
      <c r="IIR402" s="148"/>
      <c r="IIS402" s="148"/>
      <c r="IIT402" s="148"/>
      <c r="IIU402" s="148"/>
      <c r="IIV402" s="148"/>
      <c r="IIW402" s="148"/>
      <c r="IIX402" s="148"/>
      <c r="IIY402" s="148"/>
      <c r="IIZ402" s="148"/>
      <c r="IJA402" s="148"/>
      <c r="IJB402" s="148"/>
      <c r="IJC402" s="148"/>
      <c r="IJD402" s="148"/>
      <c r="IJE402" s="148"/>
      <c r="IJF402" s="148"/>
      <c r="IJG402" s="148"/>
      <c r="IJH402" s="148"/>
      <c r="IJI402" s="148"/>
      <c r="IJJ402" s="148"/>
      <c r="IJK402" s="148"/>
      <c r="IJL402" s="148"/>
      <c r="IJM402" s="148"/>
      <c r="IJN402" s="148"/>
      <c r="IJO402" s="148"/>
      <c r="IJP402" s="148"/>
      <c r="IJQ402" s="148"/>
      <c r="IJR402" s="148"/>
      <c r="IJS402" s="148"/>
      <c r="IJT402" s="148"/>
      <c r="IJU402" s="148"/>
      <c r="IJV402" s="148"/>
      <c r="IJW402" s="148"/>
      <c r="IJX402" s="148"/>
      <c r="IJY402" s="148"/>
      <c r="IJZ402" s="148"/>
      <c r="IKA402" s="148"/>
      <c r="IKB402" s="148"/>
      <c r="IKC402" s="148"/>
      <c r="IKD402" s="148"/>
      <c r="IKE402" s="148"/>
      <c r="IKF402" s="148"/>
      <c r="IKG402" s="148"/>
      <c r="IKH402" s="148"/>
      <c r="IKI402" s="148"/>
      <c r="IKJ402" s="148"/>
      <c r="IKK402" s="148"/>
      <c r="IKL402" s="148"/>
      <c r="IKM402" s="148"/>
      <c r="IKN402" s="148"/>
      <c r="IKO402" s="148"/>
      <c r="IKP402" s="148"/>
      <c r="IKQ402" s="148"/>
      <c r="IKR402" s="148"/>
      <c r="IKS402" s="148"/>
      <c r="IKT402" s="148"/>
      <c r="IKU402" s="148"/>
      <c r="IKV402" s="148"/>
      <c r="IKW402" s="148"/>
      <c r="IKX402" s="148"/>
      <c r="IKY402" s="148"/>
      <c r="IKZ402" s="148"/>
      <c r="ILA402" s="148"/>
      <c r="ILB402" s="148"/>
      <c r="ILC402" s="148"/>
      <c r="ILD402" s="148"/>
      <c r="ILE402" s="148"/>
      <c r="ILF402" s="148"/>
      <c r="ILG402" s="148"/>
      <c r="ILH402" s="148"/>
      <c r="ILI402" s="148"/>
      <c r="ILJ402" s="148"/>
      <c r="ILK402" s="148"/>
      <c r="ILL402" s="148"/>
      <c r="ILM402" s="148"/>
      <c r="ILN402" s="148"/>
      <c r="ILO402" s="148"/>
      <c r="ILP402" s="148"/>
      <c r="ILQ402" s="148"/>
      <c r="ILR402" s="148"/>
      <c r="ILS402" s="148"/>
      <c r="ILT402" s="148"/>
      <c r="ILU402" s="148"/>
      <c r="ILV402" s="148"/>
      <c r="ILW402" s="148"/>
      <c r="ILX402" s="148"/>
      <c r="ILY402" s="148"/>
      <c r="ILZ402" s="148"/>
      <c r="IMA402" s="148"/>
      <c r="IMB402" s="148"/>
      <c r="IMC402" s="148"/>
      <c r="IMD402" s="148"/>
      <c r="IME402" s="148"/>
      <c r="IMF402" s="148"/>
      <c r="IMG402" s="148"/>
      <c r="IMH402" s="148"/>
      <c r="IMI402" s="148"/>
      <c r="IMJ402" s="148"/>
      <c r="IMK402" s="148"/>
      <c r="IML402" s="148"/>
      <c r="IMM402" s="148"/>
      <c r="IMN402" s="148"/>
      <c r="IMO402" s="148"/>
      <c r="IMP402" s="148"/>
      <c r="IMQ402" s="148"/>
      <c r="IMR402" s="148"/>
      <c r="IMS402" s="148"/>
      <c r="IMT402" s="148"/>
      <c r="IMU402" s="148"/>
      <c r="IMV402" s="148"/>
      <c r="IMW402" s="148"/>
      <c r="IMX402" s="148"/>
      <c r="IMY402" s="148"/>
      <c r="IMZ402" s="148"/>
      <c r="INA402" s="148"/>
      <c r="INB402" s="148"/>
      <c r="INC402" s="148"/>
      <c r="IND402" s="148"/>
      <c r="INE402" s="148"/>
      <c r="INF402" s="148"/>
      <c r="ING402" s="148"/>
      <c r="INH402" s="148"/>
      <c r="INI402" s="148"/>
      <c r="INJ402" s="148"/>
      <c r="INK402" s="148"/>
      <c r="INL402" s="148"/>
      <c r="INM402" s="148"/>
      <c r="INN402" s="148"/>
      <c r="INO402" s="148"/>
      <c r="INP402" s="148"/>
      <c r="INQ402" s="148"/>
      <c r="INR402" s="148"/>
      <c r="INS402" s="148"/>
      <c r="INT402" s="148"/>
      <c r="INU402" s="148"/>
      <c r="INV402" s="148"/>
      <c r="INW402" s="148"/>
      <c r="INX402" s="148"/>
      <c r="INY402" s="148"/>
      <c r="INZ402" s="148"/>
      <c r="IOA402" s="148"/>
      <c r="IOB402" s="148"/>
      <c r="IOC402" s="148"/>
      <c r="IOD402" s="148"/>
      <c r="IOE402" s="148"/>
      <c r="IOF402" s="148"/>
      <c r="IOG402" s="148"/>
      <c r="IOH402" s="148"/>
      <c r="IOI402" s="148"/>
      <c r="IOJ402" s="148"/>
      <c r="IOK402" s="148"/>
      <c r="IOL402" s="148"/>
      <c r="IOM402" s="148"/>
      <c r="ION402" s="148"/>
      <c r="IOO402" s="148"/>
      <c r="IOP402" s="148"/>
      <c r="IOQ402" s="148"/>
      <c r="IOR402" s="148"/>
      <c r="IOS402" s="148"/>
      <c r="IOT402" s="148"/>
      <c r="IOU402" s="148"/>
      <c r="IOV402" s="148"/>
      <c r="IOW402" s="148"/>
      <c r="IOX402" s="148"/>
      <c r="IOY402" s="148"/>
      <c r="IOZ402" s="148"/>
      <c r="IPA402" s="148"/>
      <c r="IPB402" s="148"/>
      <c r="IPC402" s="148"/>
      <c r="IPD402" s="148"/>
      <c r="IPE402" s="148"/>
      <c r="IPF402" s="148"/>
      <c r="IPG402" s="148"/>
      <c r="IPH402" s="148"/>
      <c r="IPI402" s="148"/>
      <c r="IPJ402" s="148"/>
      <c r="IPK402" s="148"/>
      <c r="IPL402" s="148"/>
      <c r="IPM402" s="148"/>
      <c r="IPN402" s="148"/>
      <c r="IPO402" s="148"/>
      <c r="IPP402" s="148"/>
      <c r="IPQ402" s="148"/>
      <c r="IPR402" s="148"/>
      <c r="IPS402" s="148"/>
      <c r="IPT402" s="148"/>
      <c r="IPU402" s="148"/>
      <c r="IPV402" s="148"/>
      <c r="IPW402" s="148"/>
      <c r="IPX402" s="148"/>
      <c r="IPY402" s="148"/>
      <c r="IPZ402" s="148"/>
      <c r="IQA402" s="148"/>
      <c r="IQB402" s="148"/>
      <c r="IQC402" s="148"/>
      <c r="IQD402" s="148"/>
      <c r="IQE402" s="148"/>
      <c r="IQF402" s="148"/>
      <c r="IQG402" s="148"/>
      <c r="IQH402" s="148"/>
      <c r="IQI402" s="148"/>
      <c r="IQJ402" s="148"/>
      <c r="IQK402" s="148"/>
      <c r="IQL402" s="148"/>
      <c r="IQM402" s="148"/>
      <c r="IQN402" s="148"/>
      <c r="IQO402" s="148"/>
      <c r="IQP402" s="148"/>
      <c r="IQQ402" s="148"/>
      <c r="IQR402" s="148"/>
      <c r="IQS402" s="148"/>
      <c r="IQT402" s="148"/>
      <c r="IQU402" s="148"/>
      <c r="IQV402" s="148"/>
      <c r="IQW402" s="148"/>
      <c r="IQX402" s="148"/>
      <c r="IQY402" s="148"/>
      <c r="IQZ402" s="148"/>
      <c r="IRA402" s="148"/>
      <c r="IRB402" s="148"/>
      <c r="IRC402" s="148"/>
      <c r="IRD402" s="148"/>
      <c r="IRE402" s="148"/>
      <c r="IRF402" s="148"/>
      <c r="IRG402" s="148"/>
      <c r="IRH402" s="148"/>
      <c r="IRI402" s="148"/>
      <c r="IRJ402" s="148"/>
      <c r="IRK402" s="148"/>
      <c r="IRL402" s="148"/>
      <c r="IRM402" s="148"/>
      <c r="IRN402" s="148"/>
      <c r="IRO402" s="148"/>
      <c r="IRP402" s="148"/>
      <c r="IRQ402" s="148"/>
      <c r="IRR402" s="148"/>
      <c r="IRS402" s="148"/>
      <c r="IRT402" s="148"/>
      <c r="IRU402" s="148"/>
      <c r="IRV402" s="148"/>
      <c r="IRW402" s="148"/>
      <c r="IRX402" s="148"/>
      <c r="IRY402" s="148"/>
      <c r="IRZ402" s="148"/>
      <c r="ISA402" s="148"/>
      <c r="ISB402" s="148"/>
      <c r="ISC402" s="148"/>
      <c r="ISD402" s="148"/>
      <c r="ISE402" s="148"/>
      <c r="ISF402" s="148"/>
      <c r="ISG402" s="148"/>
      <c r="ISH402" s="148"/>
      <c r="ISI402" s="148"/>
      <c r="ISJ402" s="148"/>
      <c r="ISK402" s="148"/>
      <c r="ISL402" s="148"/>
      <c r="ISM402" s="148"/>
      <c r="ISN402" s="148"/>
      <c r="ISO402" s="148"/>
      <c r="ISP402" s="148"/>
      <c r="ISQ402" s="148"/>
      <c r="ISR402" s="148"/>
      <c r="ISS402" s="148"/>
      <c r="IST402" s="148"/>
      <c r="ISU402" s="148"/>
      <c r="ISV402" s="148"/>
      <c r="ISW402" s="148"/>
      <c r="ISX402" s="148"/>
      <c r="ISY402" s="148"/>
      <c r="ISZ402" s="148"/>
      <c r="ITA402" s="148"/>
      <c r="ITB402" s="148"/>
      <c r="ITC402" s="148"/>
      <c r="ITD402" s="148"/>
      <c r="ITE402" s="148"/>
      <c r="ITF402" s="148"/>
      <c r="ITG402" s="148"/>
      <c r="ITH402" s="148"/>
      <c r="ITI402" s="148"/>
      <c r="ITJ402" s="148"/>
      <c r="ITK402" s="148"/>
      <c r="ITL402" s="148"/>
      <c r="ITM402" s="148"/>
      <c r="ITN402" s="148"/>
      <c r="ITO402" s="148"/>
      <c r="ITP402" s="148"/>
      <c r="ITQ402" s="148"/>
      <c r="ITR402" s="148"/>
      <c r="ITS402" s="148"/>
      <c r="ITT402" s="148"/>
      <c r="ITU402" s="148"/>
      <c r="ITV402" s="148"/>
      <c r="ITW402" s="148"/>
      <c r="ITX402" s="148"/>
      <c r="ITY402" s="148"/>
      <c r="ITZ402" s="148"/>
      <c r="IUA402" s="148"/>
      <c r="IUB402" s="148"/>
      <c r="IUC402" s="148"/>
      <c r="IUD402" s="148"/>
      <c r="IUE402" s="148"/>
      <c r="IUF402" s="148"/>
      <c r="IUG402" s="148"/>
      <c r="IUH402" s="148"/>
      <c r="IUI402" s="148"/>
      <c r="IUJ402" s="148"/>
      <c r="IUK402" s="148"/>
      <c r="IUL402" s="148"/>
      <c r="IUM402" s="148"/>
      <c r="IUN402" s="148"/>
      <c r="IUO402" s="148"/>
      <c r="IUP402" s="148"/>
      <c r="IUQ402" s="148"/>
      <c r="IUR402" s="148"/>
      <c r="IUS402" s="148"/>
      <c r="IUT402" s="148"/>
      <c r="IUU402" s="148"/>
      <c r="IUV402" s="148"/>
      <c r="IUW402" s="148"/>
      <c r="IUX402" s="148"/>
      <c r="IUY402" s="148"/>
      <c r="IUZ402" s="148"/>
      <c r="IVA402" s="148"/>
      <c r="IVB402" s="148"/>
      <c r="IVC402" s="148"/>
      <c r="IVD402" s="148"/>
      <c r="IVE402" s="148"/>
      <c r="IVF402" s="148"/>
      <c r="IVG402" s="148"/>
      <c r="IVH402" s="148"/>
      <c r="IVI402" s="148"/>
      <c r="IVJ402" s="148"/>
      <c r="IVK402" s="148"/>
      <c r="IVL402" s="148"/>
      <c r="IVM402" s="148"/>
      <c r="IVN402" s="148"/>
      <c r="IVO402" s="148"/>
      <c r="IVP402" s="148"/>
      <c r="IVQ402" s="148"/>
      <c r="IVR402" s="148"/>
      <c r="IVS402" s="148"/>
      <c r="IVT402" s="148"/>
      <c r="IVU402" s="148"/>
      <c r="IVV402" s="148"/>
      <c r="IVW402" s="148"/>
      <c r="IVX402" s="148"/>
      <c r="IVY402" s="148"/>
      <c r="IVZ402" s="148"/>
      <c r="IWA402" s="148"/>
      <c r="IWB402" s="148"/>
      <c r="IWC402" s="148"/>
      <c r="IWD402" s="148"/>
      <c r="IWE402" s="148"/>
      <c r="IWF402" s="148"/>
      <c r="IWG402" s="148"/>
      <c r="IWH402" s="148"/>
      <c r="IWI402" s="148"/>
      <c r="IWJ402" s="148"/>
      <c r="IWK402" s="148"/>
      <c r="IWL402" s="148"/>
      <c r="IWM402" s="148"/>
      <c r="IWN402" s="148"/>
      <c r="IWO402" s="148"/>
      <c r="IWP402" s="148"/>
      <c r="IWQ402" s="148"/>
      <c r="IWR402" s="148"/>
      <c r="IWS402" s="148"/>
      <c r="IWT402" s="148"/>
      <c r="IWU402" s="148"/>
      <c r="IWV402" s="148"/>
      <c r="IWW402" s="148"/>
      <c r="IWX402" s="148"/>
      <c r="IWY402" s="148"/>
      <c r="IWZ402" s="148"/>
      <c r="IXA402" s="148"/>
      <c r="IXB402" s="148"/>
      <c r="IXC402" s="148"/>
      <c r="IXD402" s="148"/>
      <c r="IXE402" s="148"/>
      <c r="IXF402" s="148"/>
      <c r="IXG402" s="148"/>
      <c r="IXH402" s="148"/>
      <c r="IXI402" s="148"/>
      <c r="IXJ402" s="148"/>
      <c r="IXK402" s="148"/>
      <c r="IXL402" s="148"/>
      <c r="IXM402" s="148"/>
      <c r="IXN402" s="148"/>
      <c r="IXO402" s="148"/>
      <c r="IXP402" s="148"/>
      <c r="IXQ402" s="148"/>
      <c r="IXR402" s="148"/>
      <c r="IXS402" s="148"/>
      <c r="IXT402" s="148"/>
      <c r="IXU402" s="148"/>
      <c r="IXV402" s="148"/>
      <c r="IXW402" s="148"/>
      <c r="IXX402" s="148"/>
      <c r="IXY402" s="148"/>
      <c r="IXZ402" s="148"/>
      <c r="IYA402" s="148"/>
      <c r="IYB402" s="148"/>
      <c r="IYC402" s="148"/>
      <c r="IYD402" s="148"/>
      <c r="IYE402" s="148"/>
      <c r="IYF402" s="148"/>
      <c r="IYG402" s="148"/>
      <c r="IYH402" s="148"/>
      <c r="IYI402" s="148"/>
      <c r="IYJ402" s="148"/>
      <c r="IYK402" s="148"/>
      <c r="IYL402" s="148"/>
      <c r="IYM402" s="148"/>
      <c r="IYN402" s="148"/>
      <c r="IYO402" s="148"/>
      <c r="IYP402" s="148"/>
      <c r="IYQ402" s="148"/>
      <c r="IYR402" s="148"/>
      <c r="IYS402" s="148"/>
      <c r="IYT402" s="148"/>
      <c r="IYU402" s="148"/>
      <c r="IYV402" s="148"/>
      <c r="IYW402" s="148"/>
      <c r="IYX402" s="148"/>
      <c r="IYY402" s="148"/>
      <c r="IYZ402" s="148"/>
      <c r="IZA402" s="148"/>
      <c r="IZB402" s="148"/>
      <c r="IZC402" s="148"/>
      <c r="IZD402" s="148"/>
      <c r="IZE402" s="148"/>
      <c r="IZF402" s="148"/>
      <c r="IZG402" s="148"/>
      <c r="IZH402" s="148"/>
      <c r="IZI402" s="148"/>
      <c r="IZJ402" s="148"/>
      <c r="IZK402" s="148"/>
      <c r="IZL402" s="148"/>
      <c r="IZM402" s="148"/>
      <c r="IZN402" s="148"/>
      <c r="IZO402" s="148"/>
      <c r="IZP402" s="148"/>
      <c r="IZQ402" s="148"/>
      <c r="IZR402" s="148"/>
      <c r="IZS402" s="148"/>
      <c r="IZT402" s="148"/>
      <c r="IZU402" s="148"/>
      <c r="IZV402" s="148"/>
      <c r="IZW402" s="148"/>
      <c r="IZX402" s="148"/>
      <c r="IZY402" s="148"/>
      <c r="IZZ402" s="148"/>
      <c r="JAA402" s="148"/>
      <c r="JAB402" s="148"/>
      <c r="JAC402" s="148"/>
      <c r="JAD402" s="148"/>
      <c r="JAE402" s="148"/>
      <c r="JAF402" s="148"/>
      <c r="JAG402" s="148"/>
      <c r="JAH402" s="148"/>
      <c r="JAI402" s="148"/>
      <c r="JAJ402" s="148"/>
      <c r="JAK402" s="148"/>
      <c r="JAL402" s="148"/>
      <c r="JAM402" s="148"/>
      <c r="JAN402" s="148"/>
      <c r="JAO402" s="148"/>
      <c r="JAP402" s="148"/>
      <c r="JAQ402" s="148"/>
      <c r="JAR402" s="148"/>
      <c r="JAS402" s="148"/>
      <c r="JAT402" s="148"/>
      <c r="JAU402" s="148"/>
      <c r="JAV402" s="148"/>
      <c r="JAW402" s="148"/>
      <c r="JAX402" s="148"/>
      <c r="JAY402" s="148"/>
      <c r="JAZ402" s="148"/>
      <c r="JBA402" s="148"/>
      <c r="JBB402" s="148"/>
      <c r="JBC402" s="148"/>
      <c r="JBD402" s="148"/>
      <c r="JBE402" s="148"/>
      <c r="JBF402" s="148"/>
      <c r="JBG402" s="148"/>
      <c r="JBH402" s="148"/>
      <c r="JBI402" s="148"/>
      <c r="JBJ402" s="148"/>
      <c r="JBK402" s="148"/>
      <c r="JBL402" s="148"/>
      <c r="JBM402" s="148"/>
      <c r="JBN402" s="148"/>
      <c r="JBO402" s="148"/>
      <c r="JBP402" s="148"/>
      <c r="JBQ402" s="148"/>
      <c r="JBR402" s="148"/>
      <c r="JBS402" s="148"/>
      <c r="JBT402" s="148"/>
      <c r="JBU402" s="148"/>
      <c r="JBV402" s="148"/>
      <c r="JBW402" s="148"/>
      <c r="JBX402" s="148"/>
      <c r="JBY402" s="148"/>
      <c r="JBZ402" s="148"/>
      <c r="JCA402" s="148"/>
      <c r="JCB402" s="148"/>
      <c r="JCC402" s="148"/>
      <c r="JCD402" s="148"/>
      <c r="JCE402" s="148"/>
      <c r="JCF402" s="148"/>
      <c r="JCG402" s="148"/>
      <c r="JCH402" s="148"/>
      <c r="JCI402" s="148"/>
      <c r="JCJ402" s="148"/>
      <c r="JCK402" s="148"/>
      <c r="JCL402" s="148"/>
      <c r="JCM402" s="148"/>
      <c r="JCN402" s="148"/>
      <c r="JCO402" s="148"/>
      <c r="JCP402" s="148"/>
      <c r="JCQ402" s="148"/>
      <c r="JCR402" s="148"/>
      <c r="JCS402" s="148"/>
      <c r="JCT402" s="148"/>
      <c r="JCU402" s="148"/>
      <c r="JCV402" s="148"/>
      <c r="JCW402" s="148"/>
      <c r="JCX402" s="148"/>
      <c r="JCY402" s="148"/>
      <c r="JCZ402" s="148"/>
      <c r="JDA402" s="148"/>
      <c r="JDB402" s="148"/>
      <c r="JDC402" s="148"/>
      <c r="JDD402" s="148"/>
      <c r="JDE402" s="148"/>
      <c r="JDF402" s="148"/>
      <c r="JDG402" s="148"/>
      <c r="JDH402" s="148"/>
      <c r="JDI402" s="148"/>
      <c r="JDJ402" s="148"/>
      <c r="JDK402" s="148"/>
      <c r="JDL402" s="148"/>
      <c r="JDM402" s="148"/>
      <c r="JDN402" s="148"/>
      <c r="JDO402" s="148"/>
      <c r="JDP402" s="148"/>
      <c r="JDQ402" s="148"/>
      <c r="JDR402" s="148"/>
      <c r="JDS402" s="148"/>
      <c r="JDT402" s="148"/>
      <c r="JDU402" s="148"/>
      <c r="JDV402" s="148"/>
      <c r="JDW402" s="148"/>
      <c r="JDX402" s="148"/>
      <c r="JDY402" s="148"/>
      <c r="JDZ402" s="148"/>
      <c r="JEA402" s="148"/>
      <c r="JEB402" s="148"/>
      <c r="JEC402" s="148"/>
      <c r="JED402" s="148"/>
      <c r="JEE402" s="148"/>
      <c r="JEF402" s="148"/>
      <c r="JEG402" s="148"/>
      <c r="JEH402" s="148"/>
      <c r="JEI402" s="148"/>
      <c r="JEJ402" s="148"/>
      <c r="JEK402" s="148"/>
      <c r="JEL402" s="148"/>
      <c r="JEM402" s="148"/>
      <c r="JEN402" s="148"/>
      <c r="JEO402" s="148"/>
      <c r="JEP402" s="148"/>
      <c r="JEQ402" s="148"/>
      <c r="JER402" s="148"/>
      <c r="JES402" s="148"/>
      <c r="JET402" s="148"/>
      <c r="JEU402" s="148"/>
      <c r="JEV402" s="148"/>
      <c r="JEW402" s="148"/>
      <c r="JEX402" s="148"/>
      <c r="JEY402" s="148"/>
      <c r="JEZ402" s="148"/>
      <c r="JFA402" s="148"/>
      <c r="JFB402" s="148"/>
      <c r="JFC402" s="148"/>
      <c r="JFD402" s="148"/>
      <c r="JFE402" s="148"/>
      <c r="JFF402" s="148"/>
      <c r="JFG402" s="148"/>
      <c r="JFH402" s="148"/>
      <c r="JFI402" s="148"/>
      <c r="JFJ402" s="148"/>
      <c r="JFK402" s="148"/>
      <c r="JFL402" s="148"/>
      <c r="JFM402" s="148"/>
      <c r="JFN402" s="148"/>
      <c r="JFO402" s="148"/>
      <c r="JFP402" s="148"/>
      <c r="JFQ402" s="148"/>
      <c r="JFR402" s="148"/>
      <c r="JFS402" s="148"/>
      <c r="JFT402" s="148"/>
      <c r="JFU402" s="148"/>
      <c r="JFV402" s="148"/>
      <c r="JFW402" s="148"/>
      <c r="JFX402" s="148"/>
      <c r="JFY402" s="148"/>
      <c r="JFZ402" s="148"/>
      <c r="JGA402" s="148"/>
      <c r="JGB402" s="148"/>
      <c r="JGC402" s="148"/>
      <c r="JGD402" s="148"/>
      <c r="JGE402" s="148"/>
      <c r="JGF402" s="148"/>
      <c r="JGG402" s="148"/>
      <c r="JGH402" s="148"/>
      <c r="JGI402" s="148"/>
      <c r="JGJ402" s="148"/>
      <c r="JGK402" s="148"/>
      <c r="JGL402" s="148"/>
      <c r="JGM402" s="148"/>
      <c r="JGN402" s="148"/>
      <c r="JGO402" s="148"/>
      <c r="JGP402" s="148"/>
      <c r="JGQ402" s="148"/>
      <c r="JGR402" s="148"/>
      <c r="JGS402" s="148"/>
      <c r="JGT402" s="148"/>
      <c r="JGU402" s="148"/>
      <c r="JGV402" s="148"/>
      <c r="JGW402" s="148"/>
      <c r="JGX402" s="148"/>
      <c r="JGY402" s="148"/>
      <c r="JGZ402" s="148"/>
      <c r="JHA402" s="148"/>
      <c r="JHB402" s="148"/>
      <c r="JHC402" s="148"/>
      <c r="JHD402" s="148"/>
      <c r="JHE402" s="148"/>
      <c r="JHF402" s="148"/>
      <c r="JHG402" s="148"/>
      <c r="JHH402" s="148"/>
      <c r="JHI402" s="148"/>
      <c r="JHJ402" s="148"/>
      <c r="JHK402" s="148"/>
      <c r="JHL402" s="148"/>
      <c r="JHM402" s="148"/>
      <c r="JHN402" s="148"/>
      <c r="JHO402" s="148"/>
      <c r="JHP402" s="148"/>
      <c r="JHQ402" s="148"/>
      <c r="JHR402" s="148"/>
      <c r="JHS402" s="148"/>
      <c r="JHT402" s="148"/>
      <c r="JHU402" s="148"/>
      <c r="JHV402" s="148"/>
      <c r="JHW402" s="148"/>
      <c r="JHX402" s="148"/>
      <c r="JHY402" s="148"/>
      <c r="JHZ402" s="148"/>
      <c r="JIA402" s="148"/>
      <c r="JIB402" s="148"/>
      <c r="JIC402" s="148"/>
      <c r="JID402" s="148"/>
      <c r="JIE402" s="148"/>
      <c r="JIF402" s="148"/>
      <c r="JIG402" s="148"/>
      <c r="JIH402" s="148"/>
      <c r="JII402" s="148"/>
      <c r="JIJ402" s="148"/>
      <c r="JIK402" s="148"/>
      <c r="JIL402" s="148"/>
      <c r="JIM402" s="148"/>
      <c r="JIN402" s="148"/>
      <c r="JIO402" s="148"/>
      <c r="JIP402" s="148"/>
      <c r="JIQ402" s="148"/>
      <c r="JIR402" s="148"/>
      <c r="JIS402" s="148"/>
      <c r="JIT402" s="148"/>
      <c r="JIU402" s="148"/>
      <c r="JIV402" s="148"/>
      <c r="JIW402" s="148"/>
      <c r="JIX402" s="148"/>
      <c r="JIY402" s="148"/>
      <c r="JIZ402" s="148"/>
      <c r="JJA402" s="148"/>
      <c r="JJB402" s="148"/>
      <c r="JJC402" s="148"/>
      <c r="JJD402" s="148"/>
      <c r="JJE402" s="148"/>
      <c r="JJF402" s="148"/>
      <c r="JJG402" s="148"/>
      <c r="JJH402" s="148"/>
      <c r="JJI402" s="148"/>
      <c r="JJJ402" s="148"/>
      <c r="JJK402" s="148"/>
      <c r="JJL402" s="148"/>
      <c r="JJM402" s="148"/>
      <c r="JJN402" s="148"/>
      <c r="JJO402" s="148"/>
      <c r="JJP402" s="148"/>
      <c r="JJQ402" s="148"/>
      <c r="JJR402" s="148"/>
      <c r="JJS402" s="148"/>
      <c r="JJT402" s="148"/>
      <c r="JJU402" s="148"/>
      <c r="JJV402" s="148"/>
      <c r="JJW402" s="148"/>
      <c r="JJX402" s="148"/>
      <c r="JJY402" s="148"/>
      <c r="JJZ402" s="148"/>
      <c r="JKA402" s="148"/>
      <c r="JKB402" s="148"/>
      <c r="JKC402" s="148"/>
      <c r="JKD402" s="148"/>
      <c r="JKE402" s="148"/>
      <c r="JKF402" s="148"/>
      <c r="JKG402" s="148"/>
      <c r="JKH402" s="148"/>
      <c r="JKI402" s="148"/>
      <c r="JKJ402" s="148"/>
      <c r="JKK402" s="148"/>
      <c r="JKL402" s="148"/>
      <c r="JKM402" s="148"/>
      <c r="JKN402" s="148"/>
      <c r="JKO402" s="148"/>
      <c r="JKP402" s="148"/>
      <c r="JKQ402" s="148"/>
      <c r="JKR402" s="148"/>
      <c r="JKS402" s="148"/>
      <c r="JKT402" s="148"/>
      <c r="JKU402" s="148"/>
      <c r="JKV402" s="148"/>
      <c r="JKW402" s="148"/>
      <c r="JKX402" s="148"/>
      <c r="JKY402" s="148"/>
      <c r="JKZ402" s="148"/>
      <c r="JLA402" s="148"/>
      <c r="JLB402" s="148"/>
      <c r="JLC402" s="148"/>
      <c r="JLD402" s="148"/>
      <c r="JLE402" s="148"/>
      <c r="JLF402" s="148"/>
      <c r="JLG402" s="148"/>
      <c r="JLH402" s="148"/>
      <c r="JLI402" s="148"/>
      <c r="JLJ402" s="148"/>
      <c r="JLK402" s="148"/>
      <c r="JLL402" s="148"/>
      <c r="JLM402" s="148"/>
      <c r="JLN402" s="148"/>
      <c r="JLO402" s="148"/>
      <c r="JLP402" s="148"/>
      <c r="JLQ402" s="148"/>
      <c r="JLR402" s="148"/>
      <c r="JLS402" s="148"/>
      <c r="JLT402" s="148"/>
      <c r="JLU402" s="148"/>
      <c r="JLV402" s="148"/>
      <c r="JLW402" s="148"/>
      <c r="JLX402" s="148"/>
      <c r="JLY402" s="148"/>
      <c r="JLZ402" s="148"/>
      <c r="JMA402" s="148"/>
      <c r="JMB402" s="148"/>
      <c r="JMC402" s="148"/>
      <c r="JMD402" s="148"/>
      <c r="JME402" s="148"/>
      <c r="JMF402" s="148"/>
      <c r="JMG402" s="148"/>
      <c r="JMH402" s="148"/>
      <c r="JMI402" s="148"/>
      <c r="JMJ402" s="148"/>
      <c r="JMK402" s="148"/>
      <c r="JML402" s="148"/>
      <c r="JMM402" s="148"/>
      <c r="JMN402" s="148"/>
      <c r="JMO402" s="148"/>
      <c r="JMP402" s="148"/>
      <c r="JMQ402" s="148"/>
      <c r="JMR402" s="148"/>
      <c r="JMS402" s="148"/>
      <c r="JMT402" s="148"/>
      <c r="JMU402" s="148"/>
      <c r="JMV402" s="148"/>
      <c r="JMW402" s="148"/>
      <c r="JMX402" s="148"/>
      <c r="JMY402" s="148"/>
      <c r="JMZ402" s="148"/>
      <c r="JNA402" s="148"/>
      <c r="JNB402" s="148"/>
      <c r="JNC402" s="148"/>
      <c r="JND402" s="148"/>
      <c r="JNE402" s="148"/>
      <c r="JNF402" s="148"/>
      <c r="JNG402" s="148"/>
      <c r="JNH402" s="148"/>
      <c r="JNI402" s="148"/>
      <c r="JNJ402" s="148"/>
      <c r="JNK402" s="148"/>
      <c r="JNL402" s="148"/>
      <c r="JNM402" s="148"/>
      <c r="JNN402" s="148"/>
      <c r="JNO402" s="148"/>
      <c r="JNP402" s="148"/>
      <c r="JNQ402" s="148"/>
      <c r="JNR402" s="148"/>
      <c r="JNS402" s="148"/>
      <c r="JNT402" s="148"/>
      <c r="JNU402" s="148"/>
      <c r="JNV402" s="148"/>
      <c r="JNW402" s="148"/>
      <c r="JNX402" s="148"/>
      <c r="JNY402" s="148"/>
      <c r="JNZ402" s="148"/>
      <c r="JOA402" s="148"/>
      <c r="JOB402" s="148"/>
      <c r="JOC402" s="148"/>
      <c r="JOD402" s="148"/>
      <c r="JOE402" s="148"/>
      <c r="JOF402" s="148"/>
      <c r="JOG402" s="148"/>
      <c r="JOH402" s="148"/>
      <c r="JOI402" s="148"/>
      <c r="JOJ402" s="148"/>
      <c r="JOK402" s="148"/>
      <c r="JOL402" s="148"/>
      <c r="JOM402" s="148"/>
      <c r="JON402" s="148"/>
      <c r="JOO402" s="148"/>
      <c r="JOP402" s="148"/>
      <c r="JOQ402" s="148"/>
      <c r="JOR402" s="148"/>
      <c r="JOS402" s="148"/>
      <c r="JOT402" s="148"/>
      <c r="JOU402" s="148"/>
      <c r="JOV402" s="148"/>
      <c r="JOW402" s="148"/>
      <c r="JOX402" s="148"/>
      <c r="JOY402" s="148"/>
      <c r="JOZ402" s="148"/>
      <c r="JPA402" s="148"/>
      <c r="JPB402" s="148"/>
      <c r="JPC402" s="148"/>
      <c r="JPD402" s="148"/>
      <c r="JPE402" s="148"/>
      <c r="JPF402" s="148"/>
      <c r="JPG402" s="148"/>
      <c r="JPH402" s="148"/>
      <c r="JPI402" s="148"/>
      <c r="JPJ402" s="148"/>
      <c r="JPK402" s="148"/>
      <c r="JPL402" s="148"/>
      <c r="JPM402" s="148"/>
      <c r="JPN402" s="148"/>
      <c r="JPO402" s="148"/>
      <c r="JPP402" s="148"/>
      <c r="JPQ402" s="148"/>
      <c r="JPR402" s="148"/>
      <c r="JPS402" s="148"/>
      <c r="JPT402" s="148"/>
      <c r="JPU402" s="148"/>
      <c r="JPV402" s="148"/>
      <c r="JPW402" s="148"/>
      <c r="JPX402" s="148"/>
      <c r="JPY402" s="148"/>
      <c r="JPZ402" s="148"/>
      <c r="JQA402" s="148"/>
      <c r="JQB402" s="148"/>
      <c r="JQC402" s="148"/>
      <c r="JQD402" s="148"/>
      <c r="JQE402" s="148"/>
      <c r="JQF402" s="148"/>
      <c r="JQG402" s="148"/>
      <c r="JQH402" s="148"/>
      <c r="JQI402" s="148"/>
      <c r="JQJ402" s="148"/>
      <c r="JQK402" s="148"/>
      <c r="JQL402" s="148"/>
      <c r="JQM402" s="148"/>
      <c r="JQN402" s="148"/>
      <c r="JQO402" s="148"/>
      <c r="JQP402" s="148"/>
      <c r="JQQ402" s="148"/>
      <c r="JQR402" s="148"/>
      <c r="JQS402" s="148"/>
      <c r="JQT402" s="148"/>
      <c r="JQU402" s="148"/>
      <c r="JQV402" s="148"/>
      <c r="JQW402" s="148"/>
      <c r="JQX402" s="148"/>
      <c r="JQY402" s="148"/>
      <c r="JQZ402" s="148"/>
      <c r="JRA402" s="148"/>
      <c r="JRB402" s="148"/>
      <c r="JRC402" s="148"/>
      <c r="JRD402" s="148"/>
      <c r="JRE402" s="148"/>
      <c r="JRF402" s="148"/>
      <c r="JRG402" s="148"/>
      <c r="JRH402" s="148"/>
      <c r="JRI402" s="148"/>
      <c r="JRJ402" s="148"/>
      <c r="JRK402" s="148"/>
      <c r="JRL402" s="148"/>
      <c r="JRM402" s="148"/>
      <c r="JRN402" s="148"/>
      <c r="JRO402" s="148"/>
      <c r="JRP402" s="148"/>
      <c r="JRQ402" s="148"/>
      <c r="JRR402" s="148"/>
      <c r="JRS402" s="148"/>
      <c r="JRT402" s="148"/>
      <c r="JRU402" s="148"/>
      <c r="JRV402" s="148"/>
      <c r="JRW402" s="148"/>
      <c r="JRX402" s="148"/>
      <c r="JRY402" s="148"/>
      <c r="JRZ402" s="148"/>
      <c r="JSA402" s="148"/>
      <c r="JSB402" s="148"/>
      <c r="JSC402" s="148"/>
      <c r="JSD402" s="148"/>
      <c r="JSE402" s="148"/>
      <c r="JSF402" s="148"/>
      <c r="JSG402" s="148"/>
      <c r="JSH402" s="148"/>
      <c r="JSI402" s="148"/>
      <c r="JSJ402" s="148"/>
      <c r="JSK402" s="148"/>
      <c r="JSL402" s="148"/>
      <c r="JSM402" s="148"/>
      <c r="JSN402" s="148"/>
      <c r="JSO402" s="148"/>
      <c r="JSP402" s="148"/>
      <c r="JSQ402" s="148"/>
      <c r="JSR402" s="148"/>
      <c r="JSS402" s="148"/>
      <c r="JST402" s="148"/>
      <c r="JSU402" s="148"/>
      <c r="JSV402" s="148"/>
      <c r="JSW402" s="148"/>
      <c r="JSX402" s="148"/>
      <c r="JSY402" s="148"/>
      <c r="JSZ402" s="148"/>
      <c r="JTA402" s="148"/>
      <c r="JTB402" s="148"/>
      <c r="JTC402" s="148"/>
      <c r="JTD402" s="148"/>
      <c r="JTE402" s="148"/>
      <c r="JTF402" s="148"/>
      <c r="JTG402" s="148"/>
      <c r="JTH402" s="148"/>
      <c r="JTI402" s="148"/>
      <c r="JTJ402" s="148"/>
      <c r="JTK402" s="148"/>
      <c r="JTL402" s="148"/>
      <c r="JTM402" s="148"/>
      <c r="JTN402" s="148"/>
      <c r="JTO402" s="148"/>
      <c r="JTP402" s="148"/>
      <c r="JTQ402" s="148"/>
      <c r="JTR402" s="148"/>
      <c r="JTS402" s="148"/>
      <c r="JTT402" s="148"/>
      <c r="JTU402" s="148"/>
      <c r="JTV402" s="148"/>
      <c r="JTW402" s="148"/>
      <c r="JTX402" s="148"/>
      <c r="JTY402" s="148"/>
      <c r="JTZ402" s="148"/>
      <c r="JUA402" s="148"/>
      <c r="JUB402" s="148"/>
      <c r="JUC402" s="148"/>
      <c r="JUD402" s="148"/>
      <c r="JUE402" s="148"/>
      <c r="JUF402" s="148"/>
      <c r="JUG402" s="148"/>
      <c r="JUH402" s="148"/>
      <c r="JUI402" s="148"/>
      <c r="JUJ402" s="148"/>
      <c r="JUK402" s="148"/>
      <c r="JUL402" s="148"/>
      <c r="JUM402" s="148"/>
      <c r="JUN402" s="148"/>
      <c r="JUO402" s="148"/>
      <c r="JUP402" s="148"/>
      <c r="JUQ402" s="148"/>
      <c r="JUR402" s="148"/>
      <c r="JUS402" s="148"/>
      <c r="JUT402" s="148"/>
      <c r="JUU402" s="148"/>
      <c r="JUV402" s="148"/>
      <c r="JUW402" s="148"/>
      <c r="JUX402" s="148"/>
      <c r="JUY402" s="148"/>
      <c r="JUZ402" s="148"/>
      <c r="JVA402" s="148"/>
      <c r="JVB402" s="148"/>
      <c r="JVC402" s="148"/>
      <c r="JVD402" s="148"/>
      <c r="JVE402" s="148"/>
      <c r="JVF402" s="148"/>
      <c r="JVG402" s="148"/>
      <c r="JVH402" s="148"/>
      <c r="JVI402" s="148"/>
      <c r="JVJ402" s="148"/>
      <c r="JVK402" s="148"/>
      <c r="JVL402" s="148"/>
      <c r="JVM402" s="148"/>
      <c r="JVN402" s="148"/>
      <c r="JVO402" s="148"/>
      <c r="JVP402" s="148"/>
      <c r="JVQ402" s="148"/>
      <c r="JVR402" s="148"/>
      <c r="JVS402" s="148"/>
      <c r="JVT402" s="148"/>
      <c r="JVU402" s="148"/>
      <c r="JVV402" s="148"/>
      <c r="JVW402" s="148"/>
      <c r="JVX402" s="148"/>
      <c r="JVY402" s="148"/>
      <c r="JVZ402" s="148"/>
      <c r="JWA402" s="148"/>
      <c r="JWB402" s="148"/>
      <c r="JWC402" s="148"/>
      <c r="JWD402" s="148"/>
      <c r="JWE402" s="148"/>
      <c r="JWF402" s="148"/>
      <c r="JWG402" s="148"/>
      <c r="JWH402" s="148"/>
      <c r="JWI402" s="148"/>
      <c r="JWJ402" s="148"/>
      <c r="JWK402" s="148"/>
      <c r="JWL402" s="148"/>
      <c r="JWM402" s="148"/>
      <c r="JWN402" s="148"/>
      <c r="JWO402" s="148"/>
      <c r="JWP402" s="148"/>
      <c r="JWQ402" s="148"/>
      <c r="JWR402" s="148"/>
      <c r="JWS402" s="148"/>
      <c r="JWT402" s="148"/>
      <c r="JWU402" s="148"/>
      <c r="JWV402" s="148"/>
      <c r="JWW402" s="148"/>
      <c r="JWX402" s="148"/>
      <c r="JWY402" s="148"/>
      <c r="JWZ402" s="148"/>
      <c r="JXA402" s="148"/>
      <c r="JXB402" s="148"/>
      <c r="JXC402" s="148"/>
      <c r="JXD402" s="148"/>
      <c r="JXE402" s="148"/>
      <c r="JXF402" s="148"/>
      <c r="JXG402" s="148"/>
      <c r="JXH402" s="148"/>
      <c r="JXI402" s="148"/>
      <c r="JXJ402" s="148"/>
      <c r="JXK402" s="148"/>
      <c r="JXL402" s="148"/>
      <c r="JXM402" s="148"/>
      <c r="JXN402" s="148"/>
      <c r="JXO402" s="148"/>
      <c r="JXP402" s="148"/>
      <c r="JXQ402" s="148"/>
      <c r="JXR402" s="148"/>
      <c r="JXS402" s="148"/>
      <c r="JXT402" s="148"/>
      <c r="JXU402" s="148"/>
      <c r="JXV402" s="148"/>
      <c r="JXW402" s="148"/>
      <c r="JXX402" s="148"/>
      <c r="JXY402" s="148"/>
      <c r="JXZ402" s="148"/>
      <c r="JYA402" s="148"/>
      <c r="JYB402" s="148"/>
      <c r="JYC402" s="148"/>
      <c r="JYD402" s="148"/>
      <c r="JYE402" s="148"/>
      <c r="JYF402" s="148"/>
      <c r="JYG402" s="148"/>
      <c r="JYH402" s="148"/>
      <c r="JYI402" s="148"/>
      <c r="JYJ402" s="148"/>
      <c r="JYK402" s="148"/>
      <c r="JYL402" s="148"/>
      <c r="JYM402" s="148"/>
      <c r="JYN402" s="148"/>
      <c r="JYO402" s="148"/>
      <c r="JYP402" s="148"/>
      <c r="JYQ402" s="148"/>
      <c r="JYR402" s="148"/>
      <c r="JYS402" s="148"/>
      <c r="JYT402" s="148"/>
      <c r="JYU402" s="148"/>
      <c r="JYV402" s="148"/>
      <c r="JYW402" s="148"/>
      <c r="JYX402" s="148"/>
      <c r="JYY402" s="148"/>
      <c r="JYZ402" s="148"/>
      <c r="JZA402" s="148"/>
      <c r="JZB402" s="148"/>
      <c r="JZC402" s="148"/>
      <c r="JZD402" s="148"/>
      <c r="JZE402" s="148"/>
      <c r="JZF402" s="148"/>
      <c r="JZG402" s="148"/>
      <c r="JZH402" s="148"/>
      <c r="JZI402" s="148"/>
      <c r="JZJ402" s="148"/>
      <c r="JZK402" s="148"/>
      <c r="JZL402" s="148"/>
      <c r="JZM402" s="148"/>
      <c r="JZN402" s="148"/>
      <c r="JZO402" s="148"/>
      <c r="JZP402" s="148"/>
      <c r="JZQ402" s="148"/>
      <c r="JZR402" s="148"/>
      <c r="JZS402" s="148"/>
      <c r="JZT402" s="148"/>
      <c r="JZU402" s="148"/>
      <c r="JZV402" s="148"/>
      <c r="JZW402" s="148"/>
      <c r="JZX402" s="148"/>
      <c r="JZY402" s="148"/>
      <c r="JZZ402" s="148"/>
      <c r="KAA402" s="148"/>
      <c r="KAB402" s="148"/>
      <c r="KAC402" s="148"/>
      <c r="KAD402" s="148"/>
      <c r="KAE402" s="148"/>
      <c r="KAF402" s="148"/>
      <c r="KAG402" s="148"/>
      <c r="KAH402" s="148"/>
      <c r="KAI402" s="148"/>
      <c r="KAJ402" s="148"/>
      <c r="KAK402" s="148"/>
      <c r="KAL402" s="148"/>
      <c r="KAM402" s="148"/>
      <c r="KAN402" s="148"/>
      <c r="KAO402" s="148"/>
      <c r="KAP402" s="148"/>
      <c r="KAQ402" s="148"/>
      <c r="KAR402" s="148"/>
      <c r="KAS402" s="148"/>
      <c r="KAT402" s="148"/>
      <c r="KAU402" s="148"/>
      <c r="KAV402" s="148"/>
      <c r="KAW402" s="148"/>
      <c r="KAX402" s="148"/>
      <c r="KAY402" s="148"/>
      <c r="KAZ402" s="148"/>
      <c r="KBA402" s="148"/>
      <c r="KBB402" s="148"/>
      <c r="KBC402" s="148"/>
      <c r="KBD402" s="148"/>
      <c r="KBE402" s="148"/>
      <c r="KBF402" s="148"/>
      <c r="KBG402" s="148"/>
      <c r="KBH402" s="148"/>
      <c r="KBI402" s="148"/>
      <c r="KBJ402" s="148"/>
      <c r="KBK402" s="148"/>
      <c r="KBL402" s="148"/>
      <c r="KBM402" s="148"/>
      <c r="KBN402" s="148"/>
      <c r="KBO402" s="148"/>
      <c r="KBP402" s="148"/>
      <c r="KBQ402" s="148"/>
      <c r="KBR402" s="148"/>
      <c r="KBS402" s="148"/>
      <c r="KBT402" s="148"/>
      <c r="KBU402" s="148"/>
      <c r="KBV402" s="148"/>
      <c r="KBW402" s="148"/>
      <c r="KBX402" s="148"/>
      <c r="KBY402" s="148"/>
      <c r="KBZ402" s="148"/>
      <c r="KCA402" s="148"/>
      <c r="KCB402" s="148"/>
      <c r="KCC402" s="148"/>
      <c r="KCD402" s="148"/>
      <c r="KCE402" s="148"/>
      <c r="KCF402" s="148"/>
      <c r="KCG402" s="148"/>
      <c r="KCH402" s="148"/>
      <c r="KCI402" s="148"/>
      <c r="KCJ402" s="148"/>
      <c r="KCK402" s="148"/>
      <c r="KCL402" s="148"/>
      <c r="KCM402" s="148"/>
      <c r="KCN402" s="148"/>
      <c r="KCO402" s="148"/>
      <c r="KCP402" s="148"/>
      <c r="KCQ402" s="148"/>
      <c r="KCR402" s="148"/>
      <c r="KCS402" s="148"/>
      <c r="KCT402" s="148"/>
      <c r="KCU402" s="148"/>
      <c r="KCV402" s="148"/>
      <c r="KCW402" s="148"/>
      <c r="KCX402" s="148"/>
      <c r="KCY402" s="148"/>
      <c r="KCZ402" s="148"/>
      <c r="KDA402" s="148"/>
      <c r="KDB402" s="148"/>
      <c r="KDC402" s="148"/>
      <c r="KDD402" s="148"/>
      <c r="KDE402" s="148"/>
      <c r="KDF402" s="148"/>
      <c r="KDG402" s="148"/>
      <c r="KDH402" s="148"/>
      <c r="KDI402" s="148"/>
      <c r="KDJ402" s="148"/>
      <c r="KDK402" s="148"/>
      <c r="KDL402" s="148"/>
      <c r="KDM402" s="148"/>
      <c r="KDN402" s="148"/>
      <c r="KDO402" s="148"/>
      <c r="KDP402" s="148"/>
      <c r="KDQ402" s="148"/>
      <c r="KDR402" s="148"/>
      <c r="KDS402" s="148"/>
      <c r="KDT402" s="148"/>
      <c r="KDU402" s="148"/>
      <c r="KDV402" s="148"/>
      <c r="KDW402" s="148"/>
      <c r="KDX402" s="148"/>
      <c r="KDY402" s="148"/>
      <c r="KDZ402" s="148"/>
      <c r="KEA402" s="148"/>
      <c r="KEB402" s="148"/>
      <c r="KEC402" s="148"/>
      <c r="KED402" s="148"/>
      <c r="KEE402" s="148"/>
      <c r="KEF402" s="148"/>
      <c r="KEG402" s="148"/>
      <c r="KEH402" s="148"/>
      <c r="KEI402" s="148"/>
      <c r="KEJ402" s="148"/>
      <c r="KEK402" s="148"/>
      <c r="KEL402" s="148"/>
      <c r="KEM402" s="148"/>
      <c r="KEN402" s="148"/>
      <c r="KEO402" s="148"/>
      <c r="KEP402" s="148"/>
      <c r="KEQ402" s="148"/>
      <c r="KER402" s="148"/>
      <c r="KES402" s="148"/>
      <c r="KET402" s="148"/>
      <c r="KEU402" s="148"/>
      <c r="KEV402" s="148"/>
      <c r="KEW402" s="148"/>
      <c r="KEX402" s="148"/>
      <c r="KEY402" s="148"/>
      <c r="KEZ402" s="148"/>
      <c r="KFA402" s="148"/>
      <c r="KFB402" s="148"/>
      <c r="KFC402" s="148"/>
      <c r="KFD402" s="148"/>
      <c r="KFE402" s="148"/>
      <c r="KFF402" s="148"/>
      <c r="KFG402" s="148"/>
      <c r="KFH402" s="148"/>
      <c r="KFI402" s="148"/>
      <c r="KFJ402" s="148"/>
      <c r="KFK402" s="148"/>
      <c r="KFL402" s="148"/>
      <c r="KFM402" s="148"/>
      <c r="KFN402" s="148"/>
      <c r="KFO402" s="148"/>
      <c r="KFP402" s="148"/>
      <c r="KFQ402" s="148"/>
      <c r="KFR402" s="148"/>
      <c r="KFS402" s="148"/>
      <c r="KFT402" s="148"/>
      <c r="KFU402" s="148"/>
      <c r="KFV402" s="148"/>
      <c r="KFW402" s="148"/>
      <c r="KFX402" s="148"/>
      <c r="KFY402" s="148"/>
      <c r="KFZ402" s="148"/>
      <c r="KGA402" s="148"/>
      <c r="KGB402" s="148"/>
      <c r="KGC402" s="148"/>
      <c r="KGD402" s="148"/>
      <c r="KGE402" s="148"/>
      <c r="KGF402" s="148"/>
      <c r="KGG402" s="148"/>
      <c r="KGH402" s="148"/>
      <c r="KGI402" s="148"/>
      <c r="KGJ402" s="148"/>
      <c r="KGK402" s="148"/>
      <c r="KGL402" s="148"/>
      <c r="KGM402" s="148"/>
      <c r="KGN402" s="148"/>
      <c r="KGO402" s="148"/>
      <c r="KGP402" s="148"/>
      <c r="KGQ402" s="148"/>
      <c r="KGR402" s="148"/>
      <c r="KGS402" s="148"/>
      <c r="KGT402" s="148"/>
      <c r="KGU402" s="148"/>
      <c r="KGV402" s="148"/>
      <c r="KGW402" s="148"/>
      <c r="KGX402" s="148"/>
      <c r="KGY402" s="148"/>
      <c r="KGZ402" s="148"/>
      <c r="KHA402" s="148"/>
      <c r="KHB402" s="148"/>
      <c r="KHC402" s="148"/>
      <c r="KHD402" s="148"/>
      <c r="KHE402" s="148"/>
      <c r="KHF402" s="148"/>
      <c r="KHG402" s="148"/>
      <c r="KHH402" s="148"/>
      <c r="KHI402" s="148"/>
      <c r="KHJ402" s="148"/>
      <c r="KHK402" s="148"/>
      <c r="KHL402" s="148"/>
      <c r="KHM402" s="148"/>
      <c r="KHN402" s="148"/>
      <c r="KHO402" s="148"/>
      <c r="KHP402" s="148"/>
      <c r="KHQ402" s="148"/>
      <c r="KHR402" s="148"/>
      <c r="KHS402" s="148"/>
      <c r="KHT402" s="148"/>
      <c r="KHU402" s="148"/>
      <c r="KHV402" s="148"/>
      <c r="KHW402" s="148"/>
      <c r="KHX402" s="148"/>
      <c r="KHY402" s="148"/>
      <c r="KHZ402" s="148"/>
      <c r="KIA402" s="148"/>
      <c r="KIB402" s="148"/>
      <c r="KIC402" s="148"/>
      <c r="KID402" s="148"/>
      <c r="KIE402" s="148"/>
      <c r="KIF402" s="148"/>
      <c r="KIG402" s="148"/>
      <c r="KIH402" s="148"/>
      <c r="KII402" s="148"/>
      <c r="KIJ402" s="148"/>
      <c r="KIK402" s="148"/>
      <c r="KIL402" s="148"/>
      <c r="KIM402" s="148"/>
      <c r="KIN402" s="148"/>
      <c r="KIO402" s="148"/>
      <c r="KIP402" s="148"/>
      <c r="KIQ402" s="148"/>
      <c r="KIR402" s="148"/>
      <c r="KIS402" s="148"/>
      <c r="KIT402" s="148"/>
      <c r="KIU402" s="148"/>
      <c r="KIV402" s="148"/>
      <c r="KIW402" s="148"/>
      <c r="KIX402" s="148"/>
      <c r="KIY402" s="148"/>
      <c r="KIZ402" s="148"/>
      <c r="KJA402" s="148"/>
      <c r="KJB402" s="148"/>
      <c r="KJC402" s="148"/>
      <c r="KJD402" s="148"/>
      <c r="KJE402" s="148"/>
      <c r="KJF402" s="148"/>
      <c r="KJG402" s="148"/>
      <c r="KJH402" s="148"/>
      <c r="KJI402" s="148"/>
      <c r="KJJ402" s="148"/>
      <c r="KJK402" s="148"/>
      <c r="KJL402" s="148"/>
      <c r="KJM402" s="148"/>
      <c r="KJN402" s="148"/>
      <c r="KJO402" s="148"/>
      <c r="KJP402" s="148"/>
      <c r="KJQ402" s="148"/>
      <c r="KJR402" s="148"/>
      <c r="KJS402" s="148"/>
      <c r="KJT402" s="148"/>
      <c r="KJU402" s="148"/>
      <c r="KJV402" s="148"/>
      <c r="KJW402" s="148"/>
      <c r="KJX402" s="148"/>
      <c r="KJY402" s="148"/>
      <c r="KJZ402" s="148"/>
      <c r="KKA402" s="148"/>
      <c r="KKB402" s="148"/>
      <c r="KKC402" s="148"/>
      <c r="KKD402" s="148"/>
      <c r="KKE402" s="148"/>
      <c r="KKF402" s="148"/>
      <c r="KKG402" s="148"/>
      <c r="KKH402" s="148"/>
      <c r="KKI402" s="148"/>
      <c r="KKJ402" s="148"/>
      <c r="KKK402" s="148"/>
      <c r="KKL402" s="148"/>
      <c r="KKM402" s="148"/>
      <c r="KKN402" s="148"/>
      <c r="KKO402" s="148"/>
      <c r="KKP402" s="148"/>
      <c r="KKQ402" s="148"/>
      <c r="KKR402" s="148"/>
      <c r="KKS402" s="148"/>
      <c r="KKT402" s="148"/>
      <c r="KKU402" s="148"/>
      <c r="KKV402" s="148"/>
      <c r="KKW402" s="148"/>
      <c r="KKX402" s="148"/>
      <c r="KKY402" s="148"/>
      <c r="KKZ402" s="148"/>
      <c r="KLA402" s="148"/>
      <c r="KLB402" s="148"/>
      <c r="KLC402" s="148"/>
      <c r="KLD402" s="148"/>
      <c r="KLE402" s="148"/>
      <c r="KLF402" s="148"/>
      <c r="KLG402" s="148"/>
      <c r="KLH402" s="148"/>
      <c r="KLI402" s="148"/>
      <c r="KLJ402" s="148"/>
      <c r="KLK402" s="148"/>
      <c r="KLL402" s="148"/>
      <c r="KLM402" s="148"/>
      <c r="KLN402" s="148"/>
      <c r="KLO402" s="148"/>
      <c r="KLP402" s="148"/>
      <c r="KLQ402" s="148"/>
      <c r="KLR402" s="148"/>
      <c r="KLS402" s="148"/>
      <c r="KLT402" s="148"/>
      <c r="KLU402" s="148"/>
      <c r="KLV402" s="148"/>
      <c r="KLW402" s="148"/>
      <c r="KLX402" s="148"/>
      <c r="KLY402" s="148"/>
      <c r="KLZ402" s="148"/>
      <c r="KMA402" s="148"/>
      <c r="KMB402" s="148"/>
      <c r="KMC402" s="148"/>
      <c r="KMD402" s="148"/>
      <c r="KME402" s="148"/>
      <c r="KMF402" s="148"/>
      <c r="KMG402" s="148"/>
      <c r="KMH402" s="148"/>
      <c r="KMI402" s="148"/>
      <c r="KMJ402" s="148"/>
      <c r="KMK402" s="148"/>
      <c r="KML402" s="148"/>
      <c r="KMM402" s="148"/>
      <c r="KMN402" s="148"/>
      <c r="KMO402" s="148"/>
      <c r="KMP402" s="148"/>
      <c r="KMQ402" s="148"/>
      <c r="KMR402" s="148"/>
      <c r="KMS402" s="148"/>
      <c r="KMT402" s="148"/>
      <c r="KMU402" s="148"/>
      <c r="KMV402" s="148"/>
      <c r="KMW402" s="148"/>
      <c r="KMX402" s="148"/>
      <c r="KMY402" s="148"/>
      <c r="KMZ402" s="148"/>
      <c r="KNA402" s="148"/>
      <c r="KNB402" s="148"/>
      <c r="KNC402" s="148"/>
      <c r="KND402" s="148"/>
      <c r="KNE402" s="148"/>
      <c r="KNF402" s="148"/>
      <c r="KNG402" s="148"/>
      <c r="KNH402" s="148"/>
      <c r="KNI402" s="148"/>
      <c r="KNJ402" s="148"/>
      <c r="KNK402" s="148"/>
      <c r="KNL402" s="148"/>
      <c r="KNM402" s="148"/>
      <c r="KNN402" s="148"/>
      <c r="KNO402" s="148"/>
      <c r="KNP402" s="148"/>
      <c r="KNQ402" s="148"/>
      <c r="KNR402" s="148"/>
      <c r="KNS402" s="148"/>
      <c r="KNT402" s="148"/>
      <c r="KNU402" s="148"/>
      <c r="KNV402" s="148"/>
      <c r="KNW402" s="148"/>
      <c r="KNX402" s="148"/>
      <c r="KNY402" s="148"/>
      <c r="KNZ402" s="148"/>
      <c r="KOA402" s="148"/>
      <c r="KOB402" s="148"/>
      <c r="KOC402" s="148"/>
      <c r="KOD402" s="148"/>
      <c r="KOE402" s="148"/>
      <c r="KOF402" s="148"/>
      <c r="KOG402" s="148"/>
      <c r="KOH402" s="148"/>
      <c r="KOI402" s="148"/>
      <c r="KOJ402" s="148"/>
      <c r="KOK402" s="148"/>
      <c r="KOL402" s="148"/>
      <c r="KOM402" s="148"/>
      <c r="KON402" s="148"/>
      <c r="KOO402" s="148"/>
      <c r="KOP402" s="148"/>
      <c r="KOQ402" s="148"/>
      <c r="KOR402" s="148"/>
      <c r="KOS402" s="148"/>
      <c r="KOT402" s="148"/>
      <c r="KOU402" s="148"/>
      <c r="KOV402" s="148"/>
      <c r="KOW402" s="148"/>
      <c r="KOX402" s="148"/>
      <c r="KOY402" s="148"/>
      <c r="KOZ402" s="148"/>
      <c r="KPA402" s="148"/>
      <c r="KPB402" s="148"/>
      <c r="KPC402" s="148"/>
      <c r="KPD402" s="148"/>
      <c r="KPE402" s="148"/>
      <c r="KPF402" s="148"/>
      <c r="KPG402" s="148"/>
      <c r="KPH402" s="148"/>
      <c r="KPI402" s="148"/>
      <c r="KPJ402" s="148"/>
      <c r="KPK402" s="148"/>
      <c r="KPL402" s="148"/>
      <c r="KPM402" s="148"/>
      <c r="KPN402" s="148"/>
      <c r="KPO402" s="148"/>
      <c r="KPP402" s="148"/>
      <c r="KPQ402" s="148"/>
      <c r="KPR402" s="148"/>
      <c r="KPS402" s="148"/>
      <c r="KPT402" s="148"/>
      <c r="KPU402" s="148"/>
      <c r="KPV402" s="148"/>
      <c r="KPW402" s="148"/>
      <c r="KPX402" s="148"/>
      <c r="KPY402" s="148"/>
      <c r="KPZ402" s="148"/>
      <c r="KQA402" s="148"/>
      <c r="KQB402" s="148"/>
      <c r="KQC402" s="148"/>
      <c r="KQD402" s="148"/>
      <c r="KQE402" s="148"/>
      <c r="KQF402" s="148"/>
      <c r="KQG402" s="148"/>
      <c r="KQH402" s="148"/>
      <c r="KQI402" s="148"/>
      <c r="KQJ402" s="148"/>
      <c r="KQK402" s="148"/>
      <c r="KQL402" s="148"/>
      <c r="KQM402" s="148"/>
      <c r="KQN402" s="148"/>
      <c r="KQO402" s="148"/>
      <c r="KQP402" s="148"/>
      <c r="KQQ402" s="148"/>
      <c r="KQR402" s="148"/>
      <c r="KQS402" s="148"/>
      <c r="KQT402" s="148"/>
      <c r="KQU402" s="148"/>
      <c r="KQV402" s="148"/>
      <c r="KQW402" s="148"/>
      <c r="KQX402" s="148"/>
      <c r="KQY402" s="148"/>
      <c r="KQZ402" s="148"/>
      <c r="KRA402" s="148"/>
      <c r="KRB402" s="148"/>
      <c r="KRC402" s="148"/>
      <c r="KRD402" s="148"/>
      <c r="KRE402" s="148"/>
      <c r="KRF402" s="148"/>
      <c r="KRG402" s="148"/>
      <c r="KRH402" s="148"/>
      <c r="KRI402" s="148"/>
      <c r="KRJ402" s="148"/>
      <c r="KRK402" s="148"/>
      <c r="KRL402" s="148"/>
      <c r="KRM402" s="148"/>
      <c r="KRN402" s="148"/>
      <c r="KRO402" s="148"/>
      <c r="KRP402" s="148"/>
      <c r="KRQ402" s="148"/>
      <c r="KRR402" s="148"/>
      <c r="KRS402" s="148"/>
      <c r="KRT402" s="148"/>
      <c r="KRU402" s="148"/>
      <c r="KRV402" s="148"/>
      <c r="KRW402" s="148"/>
      <c r="KRX402" s="148"/>
      <c r="KRY402" s="148"/>
      <c r="KRZ402" s="148"/>
      <c r="KSA402" s="148"/>
      <c r="KSB402" s="148"/>
      <c r="KSC402" s="148"/>
      <c r="KSD402" s="148"/>
      <c r="KSE402" s="148"/>
      <c r="KSF402" s="148"/>
      <c r="KSG402" s="148"/>
      <c r="KSH402" s="148"/>
      <c r="KSI402" s="148"/>
      <c r="KSJ402" s="148"/>
      <c r="KSK402" s="148"/>
      <c r="KSL402" s="148"/>
      <c r="KSM402" s="148"/>
      <c r="KSN402" s="148"/>
      <c r="KSO402" s="148"/>
      <c r="KSP402" s="148"/>
      <c r="KSQ402" s="148"/>
      <c r="KSR402" s="148"/>
      <c r="KSS402" s="148"/>
      <c r="KST402" s="148"/>
      <c r="KSU402" s="148"/>
      <c r="KSV402" s="148"/>
      <c r="KSW402" s="148"/>
      <c r="KSX402" s="148"/>
      <c r="KSY402" s="148"/>
      <c r="KSZ402" s="148"/>
      <c r="KTA402" s="148"/>
      <c r="KTB402" s="148"/>
      <c r="KTC402" s="148"/>
      <c r="KTD402" s="148"/>
      <c r="KTE402" s="148"/>
      <c r="KTF402" s="148"/>
      <c r="KTG402" s="148"/>
      <c r="KTH402" s="148"/>
      <c r="KTI402" s="148"/>
      <c r="KTJ402" s="148"/>
      <c r="KTK402" s="148"/>
      <c r="KTL402" s="148"/>
      <c r="KTM402" s="148"/>
      <c r="KTN402" s="148"/>
      <c r="KTO402" s="148"/>
      <c r="KTP402" s="148"/>
      <c r="KTQ402" s="148"/>
      <c r="KTR402" s="148"/>
      <c r="KTS402" s="148"/>
      <c r="KTT402" s="148"/>
      <c r="KTU402" s="148"/>
      <c r="KTV402" s="148"/>
      <c r="KTW402" s="148"/>
      <c r="KTX402" s="148"/>
      <c r="KTY402" s="148"/>
      <c r="KTZ402" s="148"/>
      <c r="KUA402" s="148"/>
      <c r="KUB402" s="148"/>
      <c r="KUC402" s="148"/>
      <c r="KUD402" s="148"/>
      <c r="KUE402" s="148"/>
      <c r="KUF402" s="148"/>
      <c r="KUG402" s="148"/>
      <c r="KUH402" s="148"/>
      <c r="KUI402" s="148"/>
      <c r="KUJ402" s="148"/>
      <c r="KUK402" s="148"/>
      <c r="KUL402" s="148"/>
      <c r="KUM402" s="148"/>
      <c r="KUN402" s="148"/>
      <c r="KUO402" s="148"/>
      <c r="KUP402" s="148"/>
      <c r="KUQ402" s="148"/>
      <c r="KUR402" s="148"/>
      <c r="KUS402" s="148"/>
      <c r="KUT402" s="148"/>
      <c r="KUU402" s="148"/>
      <c r="KUV402" s="148"/>
      <c r="KUW402" s="148"/>
      <c r="KUX402" s="148"/>
      <c r="KUY402" s="148"/>
      <c r="KUZ402" s="148"/>
      <c r="KVA402" s="148"/>
      <c r="KVB402" s="148"/>
      <c r="KVC402" s="148"/>
      <c r="KVD402" s="148"/>
      <c r="KVE402" s="148"/>
      <c r="KVF402" s="148"/>
      <c r="KVG402" s="148"/>
      <c r="KVH402" s="148"/>
      <c r="KVI402" s="148"/>
      <c r="KVJ402" s="148"/>
      <c r="KVK402" s="148"/>
      <c r="KVL402" s="148"/>
      <c r="KVM402" s="148"/>
      <c r="KVN402" s="148"/>
      <c r="KVO402" s="148"/>
      <c r="KVP402" s="148"/>
      <c r="KVQ402" s="148"/>
      <c r="KVR402" s="148"/>
      <c r="KVS402" s="148"/>
      <c r="KVT402" s="148"/>
      <c r="KVU402" s="148"/>
      <c r="KVV402" s="148"/>
      <c r="KVW402" s="148"/>
      <c r="KVX402" s="148"/>
      <c r="KVY402" s="148"/>
      <c r="KVZ402" s="148"/>
      <c r="KWA402" s="148"/>
      <c r="KWB402" s="148"/>
      <c r="KWC402" s="148"/>
      <c r="KWD402" s="148"/>
      <c r="KWE402" s="148"/>
      <c r="KWF402" s="148"/>
      <c r="KWG402" s="148"/>
      <c r="KWH402" s="148"/>
      <c r="KWI402" s="148"/>
      <c r="KWJ402" s="148"/>
      <c r="KWK402" s="148"/>
      <c r="KWL402" s="148"/>
      <c r="KWM402" s="148"/>
      <c r="KWN402" s="148"/>
      <c r="KWO402" s="148"/>
      <c r="KWP402" s="148"/>
      <c r="KWQ402" s="148"/>
      <c r="KWR402" s="148"/>
      <c r="KWS402" s="148"/>
      <c r="KWT402" s="148"/>
      <c r="KWU402" s="148"/>
      <c r="KWV402" s="148"/>
      <c r="KWW402" s="148"/>
      <c r="KWX402" s="148"/>
      <c r="KWY402" s="148"/>
      <c r="KWZ402" s="148"/>
      <c r="KXA402" s="148"/>
      <c r="KXB402" s="148"/>
      <c r="KXC402" s="148"/>
      <c r="KXD402" s="148"/>
      <c r="KXE402" s="148"/>
      <c r="KXF402" s="148"/>
      <c r="KXG402" s="148"/>
      <c r="KXH402" s="148"/>
      <c r="KXI402" s="148"/>
      <c r="KXJ402" s="148"/>
      <c r="KXK402" s="148"/>
      <c r="KXL402" s="148"/>
      <c r="KXM402" s="148"/>
      <c r="KXN402" s="148"/>
      <c r="KXO402" s="148"/>
      <c r="KXP402" s="148"/>
      <c r="KXQ402" s="148"/>
      <c r="KXR402" s="148"/>
      <c r="KXS402" s="148"/>
      <c r="KXT402" s="148"/>
      <c r="KXU402" s="148"/>
      <c r="KXV402" s="148"/>
      <c r="KXW402" s="148"/>
      <c r="KXX402" s="148"/>
      <c r="KXY402" s="148"/>
      <c r="KXZ402" s="148"/>
      <c r="KYA402" s="148"/>
      <c r="KYB402" s="148"/>
      <c r="KYC402" s="148"/>
      <c r="KYD402" s="148"/>
      <c r="KYE402" s="148"/>
      <c r="KYF402" s="148"/>
      <c r="KYG402" s="148"/>
      <c r="KYH402" s="148"/>
      <c r="KYI402" s="148"/>
      <c r="KYJ402" s="148"/>
      <c r="KYK402" s="148"/>
      <c r="KYL402" s="148"/>
      <c r="KYM402" s="148"/>
      <c r="KYN402" s="148"/>
      <c r="KYO402" s="148"/>
      <c r="KYP402" s="148"/>
      <c r="KYQ402" s="148"/>
      <c r="KYR402" s="148"/>
      <c r="KYS402" s="148"/>
      <c r="KYT402" s="148"/>
      <c r="KYU402" s="148"/>
      <c r="KYV402" s="148"/>
      <c r="KYW402" s="148"/>
      <c r="KYX402" s="148"/>
      <c r="KYY402" s="148"/>
      <c r="KYZ402" s="148"/>
      <c r="KZA402" s="148"/>
      <c r="KZB402" s="148"/>
      <c r="KZC402" s="148"/>
      <c r="KZD402" s="148"/>
      <c r="KZE402" s="148"/>
      <c r="KZF402" s="148"/>
      <c r="KZG402" s="148"/>
      <c r="KZH402" s="148"/>
      <c r="KZI402" s="148"/>
      <c r="KZJ402" s="148"/>
      <c r="KZK402" s="148"/>
      <c r="KZL402" s="148"/>
      <c r="KZM402" s="148"/>
      <c r="KZN402" s="148"/>
      <c r="KZO402" s="148"/>
      <c r="KZP402" s="148"/>
      <c r="KZQ402" s="148"/>
      <c r="KZR402" s="148"/>
      <c r="KZS402" s="148"/>
      <c r="KZT402" s="148"/>
      <c r="KZU402" s="148"/>
      <c r="KZV402" s="148"/>
      <c r="KZW402" s="148"/>
      <c r="KZX402" s="148"/>
      <c r="KZY402" s="148"/>
      <c r="KZZ402" s="148"/>
      <c r="LAA402" s="148"/>
      <c r="LAB402" s="148"/>
      <c r="LAC402" s="148"/>
      <c r="LAD402" s="148"/>
      <c r="LAE402" s="148"/>
      <c r="LAF402" s="148"/>
      <c r="LAG402" s="148"/>
      <c r="LAH402" s="148"/>
      <c r="LAI402" s="148"/>
      <c r="LAJ402" s="148"/>
      <c r="LAK402" s="148"/>
      <c r="LAL402" s="148"/>
      <c r="LAM402" s="148"/>
      <c r="LAN402" s="148"/>
      <c r="LAO402" s="148"/>
      <c r="LAP402" s="148"/>
      <c r="LAQ402" s="148"/>
      <c r="LAR402" s="148"/>
      <c r="LAS402" s="148"/>
      <c r="LAT402" s="148"/>
      <c r="LAU402" s="148"/>
      <c r="LAV402" s="148"/>
      <c r="LAW402" s="148"/>
      <c r="LAX402" s="148"/>
      <c r="LAY402" s="148"/>
      <c r="LAZ402" s="148"/>
      <c r="LBA402" s="148"/>
      <c r="LBB402" s="148"/>
      <c r="LBC402" s="148"/>
      <c r="LBD402" s="148"/>
      <c r="LBE402" s="148"/>
      <c r="LBF402" s="148"/>
      <c r="LBG402" s="148"/>
      <c r="LBH402" s="148"/>
      <c r="LBI402" s="148"/>
      <c r="LBJ402" s="148"/>
      <c r="LBK402" s="148"/>
      <c r="LBL402" s="148"/>
      <c r="LBM402" s="148"/>
      <c r="LBN402" s="148"/>
      <c r="LBO402" s="148"/>
      <c r="LBP402" s="148"/>
      <c r="LBQ402" s="148"/>
      <c r="LBR402" s="148"/>
      <c r="LBS402" s="148"/>
      <c r="LBT402" s="148"/>
      <c r="LBU402" s="148"/>
      <c r="LBV402" s="148"/>
      <c r="LBW402" s="148"/>
      <c r="LBX402" s="148"/>
      <c r="LBY402" s="148"/>
      <c r="LBZ402" s="148"/>
      <c r="LCA402" s="148"/>
      <c r="LCB402" s="148"/>
      <c r="LCC402" s="148"/>
      <c r="LCD402" s="148"/>
      <c r="LCE402" s="148"/>
      <c r="LCF402" s="148"/>
      <c r="LCG402" s="148"/>
      <c r="LCH402" s="148"/>
      <c r="LCI402" s="148"/>
      <c r="LCJ402" s="148"/>
      <c r="LCK402" s="148"/>
      <c r="LCL402" s="148"/>
      <c r="LCM402" s="148"/>
      <c r="LCN402" s="148"/>
      <c r="LCO402" s="148"/>
      <c r="LCP402" s="148"/>
      <c r="LCQ402" s="148"/>
      <c r="LCR402" s="148"/>
      <c r="LCS402" s="148"/>
      <c r="LCT402" s="148"/>
      <c r="LCU402" s="148"/>
      <c r="LCV402" s="148"/>
      <c r="LCW402" s="148"/>
      <c r="LCX402" s="148"/>
      <c r="LCY402" s="148"/>
      <c r="LCZ402" s="148"/>
      <c r="LDA402" s="148"/>
      <c r="LDB402" s="148"/>
      <c r="LDC402" s="148"/>
      <c r="LDD402" s="148"/>
      <c r="LDE402" s="148"/>
      <c r="LDF402" s="148"/>
      <c r="LDG402" s="148"/>
      <c r="LDH402" s="148"/>
      <c r="LDI402" s="148"/>
      <c r="LDJ402" s="148"/>
      <c r="LDK402" s="148"/>
      <c r="LDL402" s="148"/>
      <c r="LDM402" s="148"/>
      <c r="LDN402" s="148"/>
      <c r="LDO402" s="148"/>
      <c r="LDP402" s="148"/>
      <c r="LDQ402" s="148"/>
      <c r="LDR402" s="148"/>
      <c r="LDS402" s="148"/>
      <c r="LDT402" s="148"/>
      <c r="LDU402" s="148"/>
      <c r="LDV402" s="148"/>
      <c r="LDW402" s="148"/>
      <c r="LDX402" s="148"/>
      <c r="LDY402" s="148"/>
      <c r="LDZ402" s="148"/>
      <c r="LEA402" s="148"/>
      <c r="LEB402" s="148"/>
      <c r="LEC402" s="148"/>
      <c r="LED402" s="148"/>
      <c r="LEE402" s="148"/>
      <c r="LEF402" s="148"/>
      <c r="LEG402" s="148"/>
      <c r="LEH402" s="148"/>
      <c r="LEI402" s="148"/>
      <c r="LEJ402" s="148"/>
      <c r="LEK402" s="148"/>
      <c r="LEL402" s="148"/>
      <c r="LEM402" s="148"/>
      <c r="LEN402" s="148"/>
      <c r="LEO402" s="148"/>
      <c r="LEP402" s="148"/>
      <c r="LEQ402" s="148"/>
      <c r="LER402" s="148"/>
      <c r="LES402" s="148"/>
      <c r="LET402" s="148"/>
      <c r="LEU402" s="148"/>
      <c r="LEV402" s="148"/>
      <c r="LEW402" s="148"/>
      <c r="LEX402" s="148"/>
      <c r="LEY402" s="148"/>
      <c r="LEZ402" s="148"/>
      <c r="LFA402" s="148"/>
      <c r="LFB402" s="148"/>
      <c r="LFC402" s="148"/>
      <c r="LFD402" s="148"/>
      <c r="LFE402" s="148"/>
      <c r="LFF402" s="148"/>
      <c r="LFG402" s="148"/>
      <c r="LFH402" s="148"/>
      <c r="LFI402" s="148"/>
      <c r="LFJ402" s="148"/>
      <c r="LFK402" s="148"/>
      <c r="LFL402" s="148"/>
      <c r="LFM402" s="148"/>
      <c r="LFN402" s="148"/>
      <c r="LFO402" s="148"/>
      <c r="LFP402" s="148"/>
      <c r="LFQ402" s="148"/>
      <c r="LFR402" s="148"/>
      <c r="LFS402" s="148"/>
      <c r="LFT402" s="148"/>
      <c r="LFU402" s="148"/>
      <c r="LFV402" s="148"/>
      <c r="LFW402" s="148"/>
      <c r="LFX402" s="148"/>
      <c r="LFY402" s="148"/>
      <c r="LFZ402" s="148"/>
      <c r="LGA402" s="148"/>
      <c r="LGB402" s="148"/>
      <c r="LGC402" s="148"/>
      <c r="LGD402" s="148"/>
      <c r="LGE402" s="148"/>
      <c r="LGF402" s="148"/>
      <c r="LGG402" s="148"/>
      <c r="LGH402" s="148"/>
      <c r="LGI402" s="148"/>
      <c r="LGJ402" s="148"/>
      <c r="LGK402" s="148"/>
      <c r="LGL402" s="148"/>
      <c r="LGM402" s="148"/>
      <c r="LGN402" s="148"/>
      <c r="LGO402" s="148"/>
      <c r="LGP402" s="148"/>
      <c r="LGQ402" s="148"/>
      <c r="LGR402" s="148"/>
      <c r="LGS402" s="148"/>
      <c r="LGT402" s="148"/>
      <c r="LGU402" s="148"/>
      <c r="LGV402" s="148"/>
      <c r="LGW402" s="148"/>
      <c r="LGX402" s="148"/>
      <c r="LGY402" s="148"/>
      <c r="LGZ402" s="148"/>
      <c r="LHA402" s="148"/>
      <c r="LHB402" s="148"/>
      <c r="LHC402" s="148"/>
      <c r="LHD402" s="148"/>
      <c r="LHE402" s="148"/>
      <c r="LHF402" s="148"/>
      <c r="LHG402" s="148"/>
      <c r="LHH402" s="148"/>
      <c r="LHI402" s="148"/>
      <c r="LHJ402" s="148"/>
      <c r="LHK402" s="148"/>
      <c r="LHL402" s="148"/>
      <c r="LHM402" s="148"/>
      <c r="LHN402" s="148"/>
      <c r="LHO402" s="148"/>
      <c r="LHP402" s="148"/>
      <c r="LHQ402" s="148"/>
      <c r="LHR402" s="148"/>
      <c r="LHS402" s="148"/>
      <c r="LHT402" s="148"/>
      <c r="LHU402" s="148"/>
      <c r="LHV402" s="148"/>
      <c r="LHW402" s="148"/>
      <c r="LHX402" s="148"/>
      <c r="LHY402" s="148"/>
      <c r="LHZ402" s="148"/>
      <c r="LIA402" s="148"/>
      <c r="LIB402" s="148"/>
      <c r="LIC402" s="148"/>
      <c r="LID402" s="148"/>
      <c r="LIE402" s="148"/>
      <c r="LIF402" s="148"/>
      <c r="LIG402" s="148"/>
      <c r="LIH402" s="148"/>
      <c r="LII402" s="148"/>
      <c r="LIJ402" s="148"/>
      <c r="LIK402" s="148"/>
      <c r="LIL402" s="148"/>
      <c r="LIM402" s="148"/>
      <c r="LIN402" s="148"/>
      <c r="LIO402" s="148"/>
      <c r="LIP402" s="148"/>
      <c r="LIQ402" s="148"/>
      <c r="LIR402" s="148"/>
      <c r="LIS402" s="148"/>
      <c r="LIT402" s="148"/>
      <c r="LIU402" s="148"/>
      <c r="LIV402" s="148"/>
      <c r="LIW402" s="148"/>
      <c r="LIX402" s="148"/>
      <c r="LIY402" s="148"/>
      <c r="LIZ402" s="148"/>
      <c r="LJA402" s="148"/>
      <c r="LJB402" s="148"/>
      <c r="LJC402" s="148"/>
      <c r="LJD402" s="148"/>
      <c r="LJE402" s="148"/>
      <c r="LJF402" s="148"/>
      <c r="LJG402" s="148"/>
      <c r="LJH402" s="148"/>
      <c r="LJI402" s="148"/>
      <c r="LJJ402" s="148"/>
      <c r="LJK402" s="148"/>
      <c r="LJL402" s="148"/>
      <c r="LJM402" s="148"/>
      <c r="LJN402" s="148"/>
      <c r="LJO402" s="148"/>
      <c r="LJP402" s="148"/>
      <c r="LJQ402" s="148"/>
      <c r="LJR402" s="148"/>
      <c r="LJS402" s="148"/>
      <c r="LJT402" s="148"/>
      <c r="LJU402" s="148"/>
      <c r="LJV402" s="148"/>
      <c r="LJW402" s="148"/>
      <c r="LJX402" s="148"/>
      <c r="LJY402" s="148"/>
      <c r="LJZ402" s="148"/>
      <c r="LKA402" s="148"/>
      <c r="LKB402" s="148"/>
      <c r="LKC402" s="148"/>
      <c r="LKD402" s="148"/>
      <c r="LKE402" s="148"/>
      <c r="LKF402" s="148"/>
      <c r="LKG402" s="148"/>
      <c r="LKH402" s="148"/>
      <c r="LKI402" s="148"/>
      <c r="LKJ402" s="148"/>
      <c r="LKK402" s="148"/>
      <c r="LKL402" s="148"/>
      <c r="LKM402" s="148"/>
      <c r="LKN402" s="148"/>
      <c r="LKO402" s="148"/>
      <c r="LKP402" s="148"/>
      <c r="LKQ402" s="148"/>
      <c r="LKR402" s="148"/>
      <c r="LKS402" s="148"/>
      <c r="LKT402" s="148"/>
      <c r="LKU402" s="148"/>
      <c r="LKV402" s="148"/>
      <c r="LKW402" s="148"/>
      <c r="LKX402" s="148"/>
      <c r="LKY402" s="148"/>
      <c r="LKZ402" s="148"/>
      <c r="LLA402" s="148"/>
      <c r="LLB402" s="148"/>
      <c r="LLC402" s="148"/>
      <c r="LLD402" s="148"/>
      <c r="LLE402" s="148"/>
      <c r="LLF402" s="148"/>
      <c r="LLG402" s="148"/>
      <c r="LLH402" s="148"/>
      <c r="LLI402" s="148"/>
      <c r="LLJ402" s="148"/>
      <c r="LLK402" s="148"/>
      <c r="LLL402" s="148"/>
      <c r="LLM402" s="148"/>
      <c r="LLN402" s="148"/>
      <c r="LLO402" s="148"/>
      <c r="LLP402" s="148"/>
      <c r="LLQ402" s="148"/>
      <c r="LLR402" s="148"/>
      <c r="LLS402" s="148"/>
      <c r="LLT402" s="148"/>
      <c r="LLU402" s="148"/>
      <c r="LLV402" s="148"/>
      <c r="LLW402" s="148"/>
      <c r="LLX402" s="148"/>
      <c r="LLY402" s="148"/>
      <c r="LLZ402" s="148"/>
      <c r="LMA402" s="148"/>
      <c r="LMB402" s="148"/>
      <c r="LMC402" s="148"/>
      <c r="LMD402" s="148"/>
      <c r="LME402" s="148"/>
      <c r="LMF402" s="148"/>
      <c r="LMG402" s="148"/>
      <c r="LMH402" s="148"/>
      <c r="LMI402" s="148"/>
      <c r="LMJ402" s="148"/>
      <c r="LMK402" s="148"/>
      <c r="LML402" s="148"/>
      <c r="LMM402" s="148"/>
      <c r="LMN402" s="148"/>
      <c r="LMO402" s="148"/>
      <c r="LMP402" s="148"/>
      <c r="LMQ402" s="148"/>
      <c r="LMR402" s="148"/>
      <c r="LMS402" s="148"/>
      <c r="LMT402" s="148"/>
      <c r="LMU402" s="148"/>
      <c r="LMV402" s="148"/>
      <c r="LMW402" s="148"/>
      <c r="LMX402" s="148"/>
      <c r="LMY402" s="148"/>
      <c r="LMZ402" s="148"/>
      <c r="LNA402" s="148"/>
      <c r="LNB402" s="148"/>
      <c r="LNC402" s="148"/>
      <c r="LND402" s="148"/>
      <c r="LNE402" s="148"/>
      <c r="LNF402" s="148"/>
      <c r="LNG402" s="148"/>
      <c r="LNH402" s="148"/>
      <c r="LNI402" s="148"/>
      <c r="LNJ402" s="148"/>
      <c r="LNK402" s="148"/>
      <c r="LNL402" s="148"/>
      <c r="LNM402" s="148"/>
      <c r="LNN402" s="148"/>
      <c r="LNO402" s="148"/>
      <c r="LNP402" s="148"/>
      <c r="LNQ402" s="148"/>
      <c r="LNR402" s="148"/>
      <c r="LNS402" s="148"/>
      <c r="LNT402" s="148"/>
      <c r="LNU402" s="148"/>
      <c r="LNV402" s="148"/>
      <c r="LNW402" s="148"/>
      <c r="LNX402" s="148"/>
      <c r="LNY402" s="148"/>
      <c r="LNZ402" s="148"/>
      <c r="LOA402" s="148"/>
      <c r="LOB402" s="148"/>
      <c r="LOC402" s="148"/>
      <c r="LOD402" s="148"/>
      <c r="LOE402" s="148"/>
      <c r="LOF402" s="148"/>
      <c r="LOG402" s="148"/>
      <c r="LOH402" s="148"/>
      <c r="LOI402" s="148"/>
      <c r="LOJ402" s="148"/>
      <c r="LOK402" s="148"/>
      <c r="LOL402" s="148"/>
      <c r="LOM402" s="148"/>
      <c r="LON402" s="148"/>
      <c r="LOO402" s="148"/>
      <c r="LOP402" s="148"/>
      <c r="LOQ402" s="148"/>
      <c r="LOR402" s="148"/>
      <c r="LOS402" s="148"/>
      <c r="LOT402" s="148"/>
      <c r="LOU402" s="148"/>
      <c r="LOV402" s="148"/>
      <c r="LOW402" s="148"/>
      <c r="LOX402" s="148"/>
      <c r="LOY402" s="148"/>
      <c r="LOZ402" s="148"/>
      <c r="LPA402" s="148"/>
      <c r="LPB402" s="148"/>
      <c r="LPC402" s="148"/>
      <c r="LPD402" s="148"/>
      <c r="LPE402" s="148"/>
      <c r="LPF402" s="148"/>
      <c r="LPG402" s="148"/>
      <c r="LPH402" s="148"/>
      <c r="LPI402" s="148"/>
      <c r="LPJ402" s="148"/>
      <c r="LPK402" s="148"/>
      <c r="LPL402" s="148"/>
      <c r="LPM402" s="148"/>
      <c r="LPN402" s="148"/>
      <c r="LPO402" s="148"/>
      <c r="LPP402" s="148"/>
      <c r="LPQ402" s="148"/>
      <c r="LPR402" s="148"/>
      <c r="LPS402" s="148"/>
      <c r="LPT402" s="148"/>
      <c r="LPU402" s="148"/>
      <c r="LPV402" s="148"/>
      <c r="LPW402" s="148"/>
      <c r="LPX402" s="148"/>
      <c r="LPY402" s="148"/>
      <c r="LPZ402" s="148"/>
      <c r="LQA402" s="148"/>
      <c r="LQB402" s="148"/>
      <c r="LQC402" s="148"/>
      <c r="LQD402" s="148"/>
      <c r="LQE402" s="148"/>
      <c r="LQF402" s="148"/>
      <c r="LQG402" s="148"/>
      <c r="LQH402" s="148"/>
      <c r="LQI402" s="148"/>
      <c r="LQJ402" s="148"/>
      <c r="LQK402" s="148"/>
      <c r="LQL402" s="148"/>
      <c r="LQM402" s="148"/>
      <c r="LQN402" s="148"/>
      <c r="LQO402" s="148"/>
      <c r="LQP402" s="148"/>
      <c r="LQQ402" s="148"/>
      <c r="LQR402" s="148"/>
      <c r="LQS402" s="148"/>
      <c r="LQT402" s="148"/>
      <c r="LQU402" s="148"/>
      <c r="LQV402" s="148"/>
      <c r="LQW402" s="148"/>
      <c r="LQX402" s="148"/>
      <c r="LQY402" s="148"/>
      <c r="LQZ402" s="148"/>
      <c r="LRA402" s="148"/>
      <c r="LRB402" s="148"/>
      <c r="LRC402" s="148"/>
      <c r="LRD402" s="148"/>
      <c r="LRE402" s="148"/>
      <c r="LRF402" s="148"/>
      <c r="LRG402" s="148"/>
      <c r="LRH402" s="148"/>
      <c r="LRI402" s="148"/>
      <c r="LRJ402" s="148"/>
      <c r="LRK402" s="148"/>
      <c r="LRL402" s="148"/>
      <c r="LRM402" s="148"/>
      <c r="LRN402" s="148"/>
      <c r="LRO402" s="148"/>
      <c r="LRP402" s="148"/>
      <c r="LRQ402" s="148"/>
      <c r="LRR402" s="148"/>
      <c r="LRS402" s="148"/>
      <c r="LRT402" s="148"/>
      <c r="LRU402" s="148"/>
      <c r="LRV402" s="148"/>
      <c r="LRW402" s="148"/>
      <c r="LRX402" s="148"/>
      <c r="LRY402" s="148"/>
      <c r="LRZ402" s="148"/>
      <c r="LSA402" s="148"/>
      <c r="LSB402" s="148"/>
      <c r="LSC402" s="148"/>
      <c r="LSD402" s="148"/>
      <c r="LSE402" s="148"/>
      <c r="LSF402" s="148"/>
      <c r="LSG402" s="148"/>
      <c r="LSH402" s="148"/>
      <c r="LSI402" s="148"/>
      <c r="LSJ402" s="148"/>
      <c r="LSK402" s="148"/>
      <c r="LSL402" s="148"/>
      <c r="LSM402" s="148"/>
      <c r="LSN402" s="148"/>
      <c r="LSO402" s="148"/>
      <c r="LSP402" s="148"/>
      <c r="LSQ402" s="148"/>
      <c r="LSR402" s="148"/>
      <c r="LSS402" s="148"/>
      <c r="LST402" s="148"/>
      <c r="LSU402" s="148"/>
      <c r="LSV402" s="148"/>
      <c r="LSW402" s="148"/>
      <c r="LSX402" s="148"/>
      <c r="LSY402" s="148"/>
      <c r="LSZ402" s="148"/>
      <c r="LTA402" s="148"/>
      <c r="LTB402" s="148"/>
      <c r="LTC402" s="148"/>
      <c r="LTD402" s="148"/>
      <c r="LTE402" s="148"/>
      <c r="LTF402" s="148"/>
      <c r="LTG402" s="148"/>
      <c r="LTH402" s="148"/>
      <c r="LTI402" s="148"/>
      <c r="LTJ402" s="148"/>
      <c r="LTK402" s="148"/>
      <c r="LTL402" s="148"/>
      <c r="LTM402" s="148"/>
      <c r="LTN402" s="148"/>
      <c r="LTO402" s="148"/>
      <c r="LTP402" s="148"/>
      <c r="LTQ402" s="148"/>
      <c r="LTR402" s="148"/>
      <c r="LTS402" s="148"/>
      <c r="LTT402" s="148"/>
      <c r="LTU402" s="148"/>
      <c r="LTV402" s="148"/>
      <c r="LTW402" s="148"/>
      <c r="LTX402" s="148"/>
      <c r="LTY402" s="148"/>
      <c r="LTZ402" s="148"/>
      <c r="LUA402" s="148"/>
      <c r="LUB402" s="148"/>
      <c r="LUC402" s="148"/>
      <c r="LUD402" s="148"/>
      <c r="LUE402" s="148"/>
      <c r="LUF402" s="148"/>
      <c r="LUG402" s="148"/>
      <c r="LUH402" s="148"/>
      <c r="LUI402" s="148"/>
      <c r="LUJ402" s="148"/>
      <c r="LUK402" s="148"/>
      <c r="LUL402" s="148"/>
      <c r="LUM402" s="148"/>
      <c r="LUN402" s="148"/>
      <c r="LUO402" s="148"/>
      <c r="LUP402" s="148"/>
      <c r="LUQ402" s="148"/>
      <c r="LUR402" s="148"/>
      <c r="LUS402" s="148"/>
      <c r="LUT402" s="148"/>
      <c r="LUU402" s="148"/>
      <c r="LUV402" s="148"/>
      <c r="LUW402" s="148"/>
      <c r="LUX402" s="148"/>
      <c r="LUY402" s="148"/>
      <c r="LUZ402" s="148"/>
      <c r="LVA402" s="148"/>
      <c r="LVB402" s="148"/>
      <c r="LVC402" s="148"/>
      <c r="LVD402" s="148"/>
      <c r="LVE402" s="148"/>
      <c r="LVF402" s="148"/>
      <c r="LVG402" s="148"/>
      <c r="LVH402" s="148"/>
      <c r="LVI402" s="148"/>
      <c r="LVJ402" s="148"/>
      <c r="LVK402" s="148"/>
      <c r="LVL402" s="148"/>
      <c r="LVM402" s="148"/>
      <c r="LVN402" s="148"/>
      <c r="LVO402" s="148"/>
      <c r="LVP402" s="148"/>
      <c r="LVQ402" s="148"/>
      <c r="LVR402" s="148"/>
      <c r="LVS402" s="148"/>
      <c r="LVT402" s="148"/>
      <c r="LVU402" s="148"/>
      <c r="LVV402" s="148"/>
      <c r="LVW402" s="148"/>
      <c r="LVX402" s="148"/>
      <c r="LVY402" s="148"/>
      <c r="LVZ402" s="148"/>
      <c r="LWA402" s="148"/>
      <c r="LWB402" s="148"/>
      <c r="LWC402" s="148"/>
      <c r="LWD402" s="148"/>
      <c r="LWE402" s="148"/>
      <c r="LWF402" s="148"/>
      <c r="LWG402" s="148"/>
      <c r="LWH402" s="148"/>
      <c r="LWI402" s="148"/>
      <c r="LWJ402" s="148"/>
      <c r="LWK402" s="148"/>
      <c r="LWL402" s="148"/>
      <c r="LWM402" s="148"/>
      <c r="LWN402" s="148"/>
      <c r="LWO402" s="148"/>
      <c r="LWP402" s="148"/>
      <c r="LWQ402" s="148"/>
      <c r="LWR402" s="148"/>
      <c r="LWS402" s="148"/>
      <c r="LWT402" s="148"/>
      <c r="LWU402" s="148"/>
      <c r="LWV402" s="148"/>
      <c r="LWW402" s="148"/>
      <c r="LWX402" s="148"/>
      <c r="LWY402" s="148"/>
      <c r="LWZ402" s="148"/>
      <c r="LXA402" s="148"/>
      <c r="LXB402" s="148"/>
      <c r="LXC402" s="148"/>
      <c r="LXD402" s="148"/>
      <c r="LXE402" s="148"/>
      <c r="LXF402" s="148"/>
      <c r="LXG402" s="148"/>
      <c r="LXH402" s="148"/>
      <c r="LXI402" s="148"/>
      <c r="LXJ402" s="148"/>
      <c r="LXK402" s="148"/>
      <c r="LXL402" s="148"/>
      <c r="LXM402" s="148"/>
      <c r="LXN402" s="148"/>
      <c r="LXO402" s="148"/>
      <c r="LXP402" s="148"/>
      <c r="LXQ402" s="148"/>
      <c r="LXR402" s="148"/>
      <c r="LXS402" s="148"/>
      <c r="LXT402" s="148"/>
      <c r="LXU402" s="148"/>
      <c r="LXV402" s="148"/>
      <c r="LXW402" s="148"/>
      <c r="LXX402" s="148"/>
      <c r="LXY402" s="148"/>
      <c r="LXZ402" s="148"/>
      <c r="LYA402" s="148"/>
      <c r="LYB402" s="148"/>
      <c r="LYC402" s="148"/>
      <c r="LYD402" s="148"/>
      <c r="LYE402" s="148"/>
      <c r="LYF402" s="148"/>
      <c r="LYG402" s="148"/>
      <c r="LYH402" s="148"/>
      <c r="LYI402" s="148"/>
      <c r="LYJ402" s="148"/>
      <c r="LYK402" s="148"/>
      <c r="LYL402" s="148"/>
      <c r="LYM402" s="148"/>
      <c r="LYN402" s="148"/>
      <c r="LYO402" s="148"/>
      <c r="LYP402" s="148"/>
      <c r="LYQ402" s="148"/>
      <c r="LYR402" s="148"/>
      <c r="LYS402" s="148"/>
      <c r="LYT402" s="148"/>
      <c r="LYU402" s="148"/>
      <c r="LYV402" s="148"/>
      <c r="LYW402" s="148"/>
      <c r="LYX402" s="148"/>
      <c r="LYY402" s="148"/>
      <c r="LYZ402" s="148"/>
      <c r="LZA402" s="148"/>
      <c r="LZB402" s="148"/>
      <c r="LZC402" s="148"/>
      <c r="LZD402" s="148"/>
      <c r="LZE402" s="148"/>
      <c r="LZF402" s="148"/>
      <c r="LZG402" s="148"/>
      <c r="LZH402" s="148"/>
      <c r="LZI402" s="148"/>
      <c r="LZJ402" s="148"/>
      <c r="LZK402" s="148"/>
      <c r="LZL402" s="148"/>
      <c r="LZM402" s="148"/>
      <c r="LZN402" s="148"/>
      <c r="LZO402" s="148"/>
      <c r="LZP402" s="148"/>
      <c r="LZQ402" s="148"/>
      <c r="LZR402" s="148"/>
      <c r="LZS402" s="148"/>
      <c r="LZT402" s="148"/>
      <c r="LZU402" s="148"/>
      <c r="LZV402" s="148"/>
      <c r="LZW402" s="148"/>
      <c r="LZX402" s="148"/>
      <c r="LZY402" s="148"/>
      <c r="LZZ402" s="148"/>
      <c r="MAA402" s="148"/>
      <c r="MAB402" s="148"/>
      <c r="MAC402" s="148"/>
      <c r="MAD402" s="148"/>
      <c r="MAE402" s="148"/>
      <c r="MAF402" s="148"/>
      <c r="MAG402" s="148"/>
      <c r="MAH402" s="148"/>
      <c r="MAI402" s="148"/>
      <c r="MAJ402" s="148"/>
      <c r="MAK402" s="148"/>
      <c r="MAL402" s="148"/>
      <c r="MAM402" s="148"/>
      <c r="MAN402" s="148"/>
      <c r="MAO402" s="148"/>
      <c r="MAP402" s="148"/>
      <c r="MAQ402" s="148"/>
      <c r="MAR402" s="148"/>
      <c r="MAS402" s="148"/>
      <c r="MAT402" s="148"/>
      <c r="MAU402" s="148"/>
      <c r="MAV402" s="148"/>
      <c r="MAW402" s="148"/>
      <c r="MAX402" s="148"/>
      <c r="MAY402" s="148"/>
      <c r="MAZ402" s="148"/>
      <c r="MBA402" s="148"/>
      <c r="MBB402" s="148"/>
      <c r="MBC402" s="148"/>
      <c r="MBD402" s="148"/>
      <c r="MBE402" s="148"/>
      <c r="MBF402" s="148"/>
      <c r="MBG402" s="148"/>
      <c r="MBH402" s="148"/>
      <c r="MBI402" s="148"/>
      <c r="MBJ402" s="148"/>
      <c r="MBK402" s="148"/>
      <c r="MBL402" s="148"/>
      <c r="MBM402" s="148"/>
      <c r="MBN402" s="148"/>
      <c r="MBO402" s="148"/>
      <c r="MBP402" s="148"/>
      <c r="MBQ402" s="148"/>
      <c r="MBR402" s="148"/>
      <c r="MBS402" s="148"/>
      <c r="MBT402" s="148"/>
      <c r="MBU402" s="148"/>
      <c r="MBV402" s="148"/>
      <c r="MBW402" s="148"/>
      <c r="MBX402" s="148"/>
      <c r="MBY402" s="148"/>
      <c r="MBZ402" s="148"/>
      <c r="MCA402" s="148"/>
      <c r="MCB402" s="148"/>
      <c r="MCC402" s="148"/>
      <c r="MCD402" s="148"/>
      <c r="MCE402" s="148"/>
      <c r="MCF402" s="148"/>
      <c r="MCG402" s="148"/>
      <c r="MCH402" s="148"/>
      <c r="MCI402" s="148"/>
      <c r="MCJ402" s="148"/>
      <c r="MCK402" s="148"/>
      <c r="MCL402" s="148"/>
      <c r="MCM402" s="148"/>
      <c r="MCN402" s="148"/>
      <c r="MCO402" s="148"/>
      <c r="MCP402" s="148"/>
      <c r="MCQ402" s="148"/>
      <c r="MCR402" s="148"/>
      <c r="MCS402" s="148"/>
      <c r="MCT402" s="148"/>
      <c r="MCU402" s="148"/>
      <c r="MCV402" s="148"/>
      <c r="MCW402" s="148"/>
      <c r="MCX402" s="148"/>
      <c r="MCY402" s="148"/>
      <c r="MCZ402" s="148"/>
      <c r="MDA402" s="148"/>
      <c r="MDB402" s="148"/>
      <c r="MDC402" s="148"/>
      <c r="MDD402" s="148"/>
      <c r="MDE402" s="148"/>
      <c r="MDF402" s="148"/>
      <c r="MDG402" s="148"/>
      <c r="MDH402" s="148"/>
      <c r="MDI402" s="148"/>
      <c r="MDJ402" s="148"/>
      <c r="MDK402" s="148"/>
      <c r="MDL402" s="148"/>
      <c r="MDM402" s="148"/>
      <c r="MDN402" s="148"/>
      <c r="MDO402" s="148"/>
      <c r="MDP402" s="148"/>
      <c r="MDQ402" s="148"/>
      <c r="MDR402" s="148"/>
      <c r="MDS402" s="148"/>
      <c r="MDT402" s="148"/>
      <c r="MDU402" s="148"/>
      <c r="MDV402" s="148"/>
      <c r="MDW402" s="148"/>
      <c r="MDX402" s="148"/>
      <c r="MDY402" s="148"/>
      <c r="MDZ402" s="148"/>
      <c r="MEA402" s="148"/>
      <c r="MEB402" s="148"/>
      <c r="MEC402" s="148"/>
      <c r="MED402" s="148"/>
      <c r="MEE402" s="148"/>
      <c r="MEF402" s="148"/>
      <c r="MEG402" s="148"/>
      <c r="MEH402" s="148"/>
      <c r="MEI402" s="148"/>
      <c r="MEJ402" s="148"/>
      <c r="MEK402" s="148"/>
      <c r="MEL402" s="148"/>
      <c r="MEM402" s="148"/>
      <c r="MEN402" s="148"/>
      <c r="MEO402" s="148"/>
      <c r="MEP402" s="148"/>
      <c r="MEQ402" s="148"/>
      <c r="MER402" s="148"/>
      <c r="MES402" s="148"/>
      <c r="MET402" s="148"/>
      <c r="MEU402" s="148"/>
      <c r="MEV402" s="148"/>
      <c r="MEW402" s="148"/>
      <c r="MEX402" s="148"/>
      <c r="MEY402" s="148"/>
      <c r="MEZ402" s="148"/>
      <c r="MFA402" s="148"/>
      <c r="MFB402" s="148"/>
      <c r="MFC402" s="148"/>
      <c r="MFD402" s="148"/>
      <c r="MFE402" s="148"/>
      <c r="MFF402" s="148"/>
      <c r="MFG402" s="148"/>
      <c r="MFH402" s="148"/>
      <c r="MFI402" s="148"/>
      <c r="MFJ402" s="148"/>
      <c r="MFK402" s="148"/>
      <c r="MFL402" s="148"/>
      <c r="MFM402" s="148"/>
      <c r="MFN402" s="148"/>
      <c r="MFO402" s="148"/>
      <c r="MFP402" s="148"/>
      <c r="MFQ402" s="148"/>
      <c r="MFR402" s="148"/>
      <c r="MFS402" s="148"/>
      <c r="MFT402" s="148"/>
      <c r="MFU402" s="148"/>
      <c r="MFV402" s="148"/>
      <c r="MFW402" s="148"/>
      <c r="MFX402" s="148"/>
      <c r="MFY402" s="148"/>
      <c r="MFZ402" s="148"/>
      <c r="MGA402" s="148"/>
      <c r="MGB402" s="148"/>
      <c r="MGC402" s="148"/>
      <c r="MGD402" s="148"/>
      <c r="MGE402" s="148"/>
      <c r="MGF402" s="148"/>
      <c r="MGG402" s="148"/>
      <c r="MGH402" s="148"/>
      <c r="MGI402" s="148"/>
      <c r="MGJ402" s="148"/>
      <c r="MGK402" s="148"/>
      <c r="MGL402" s="148"/>
      <c r="MGM402" s="148"/>
      <c r="MGN402" s="148"/>
      <c r="MGO402" s="148"/>
      <c r="MGP402" s="148"/>
      <c r="MGQ402" s="148"/>
      <c r="MGR402" s="148"/>
      <c r="MGS402" s="148"/>
      <c r="MGT402" s="148"/>
      <c r="MGU402" s="148"/>
      <c r="MGV402" s="148"/>
      <c r="MGW402" s="148"/>
      <c r="MGX402" s="148"/>
      <c r="MGY402" s="148"/>
      <c r="MGZ402" s="148"/>
      <c r="MHA402" s="148"/>
      <c r="MHB402" s="148"/>
      <c r="MHC402" s="148"/>
      <c r="MHD402" s="148"/>
      <c r="MHE402" s="148"/>
      <c r="MHF402" s="148"/>
      <c r="MHG402" s="148"/>
      <c r="MHH402" s="148"/>
      <c r="MHI402" s="148"/>
      <c r="MHJ402" s="148"/>
      <c r="MHK402" s="148"/>
      <c r="MHL402" s="148"/>
      <c r="MHM402" s="148"/>
      <c r="MHN402" s="148"/>
      <c r="MHO402" s="148"/>
      <c r="MHP402" s="148"/>
      <c r="MHQ402" s="148"/>
      <c r="MHR402" s="148"/>
      <c r="MHS402" s="148"/>
      <c r="MHT402" s="148"/>
      <c r="MHU402" s="148"/>
      <c r="MHV402" s="148"/>
      <c r="MHW402" s="148"/>
      <c r="MHX402" s="148"/>
      <c r="MHY402" s="148"/>
      <c r="MHZ402" s="148"/>
      <c r="MIA402" s="148"/>
      <c r="MIB402" s="148"/>
      <c r="MIC402" s="148"/>
      <c r="MID402" s="148"/>
      <c r="MIE402" s="148"/>
      <c r="MIF402" s="148"/>
      <c r="MIG402" s="148"/>
      <c r="MIH402" s="148"/>
      <c r="MII402" s="148"/>
      <c r="MIJ402" s="148"/>
      <c r="MIK402" s="148"/>
      <c r="MIL402" s="148"/>
      <c r="MIM402" s="148"/>
      <c r="MIN402" s="148"/>
      <c r="MIO402" s="148"/>
      <c r="MIP402" s="148"/>
      <c r="MIQ402" s="148"/>
      <c r="MIR402" s="148"/>
      <c r="MIS402" s="148"/>
      <c r="MIT402" s="148"/>
      <c r="MIU402" s="148"/>
      <c r="MIV402" s="148"/>
      <c r="MIW402" s="148"/>
      <c r="MIX402" s="148"/>
      <c r="MIY402" s="148"/>
      <c r="MIZ402" s="148"/>
      <c r="MJA402" s="148"/>
      <c r="MJB402" s="148"/>
      <c r="MJC402" s="148"/>
      <c r="MJD402" s="148"/>
      <c r="MJE402" s="148"/>
      <c r="MJF402" s="148"/>
      <c r="MJG402" s="148"/>
      <c r="MJH402" s="148"/>
      <c r="MJI402" s="148"/>
      <c r="MJJ402" s="148"/>
      <c r="MJK402" s="148"/>
      <c r="MJL402" s="148"/>
      <c r="MJM402" s="148"/>
      <c r="MJN402" s="148"/>
      <c r="MJO402" s="148"/>
      <c r="MJP402" s="148"/>
      <c r="MJQ402" s="148"/>
      <c r="MJR402" s="148"/>
      <c r="MJS402" s="148"/>
      <c r="MJT402" s="148"/>
      <c r="MJU402" s="148"/>
      <c r="MJV402" s="148"/>
      <c r="MJW402" s="148"/>
      <c r="MJX402" s="148"/>
      <c r="MJY402" s="148"/>
      <c r="MJZ402" s="148"/>
      <c r="MKA402" s="148"/>
      <c r="MKB402" s="148"/>
      <c r="MKC402" s="148"/>
      <c r="MKD402" s="148"/>
      <c r="MKE402" s="148"/>
      <c r="MKF402" s="148"/>
      <c r="MKG402" s="148"/>
      <c r="MKH402" s="148"/>
      <c r="MKI402" s="148"/>
      <c r="MKJ402" s="148"/>
      <c r="MKK402" s="148"/>
      <c r="MKL402" s="148"/>
      <c r="MKM402" s="148"/>
      <c r="MKN402" s="148"/>
      <c r="MKO402" s="148"/>
      <c r="MKP402" s="148"/>
      <c r="MKQ402" s="148"/>
      <c r="MKR402" s="148"/>
      <c r="MKS402" s="148"/>
      <c r="MKT402" s="148"/>
      <c r="MKU402" s="148"/>
      <c r="MKV402" s="148"/>
      <c r="MKW402" s="148"/>
      <c r="MKX402" s="148"/>
      <c r="MKY402" s="148"/>
      <c r="MKZ402" s="148"/>
      <c r="MLA402" s="148"/>
      <c r="MLB402" s="148"/>
      <c r="MLC402" s="148"/>
      <c r="MLD402" s="148"/>
      <c r="MLE402" s="148"/>
      <c r="MLF402" s="148"/>
      <c r="MLG402" s="148"/>
      <c r="MLH402" s="148"/>
      <c r="MLI402" s="148"/>
      <c r="MLJ402" s="148"/>
      <c r="MLK402" s="148"/>
      <c r="MLL402" s="148"/>
      <c r="MLM402" s="148"/>
      <c r="MLN402" s="148"/>
      <c r="MLO402" s="148"/>
      <c r="MLP402" s="148"/>
      <c r="MLQ402" s="148"/>
      <c r="MLR402" s="148"/>
      <c r="MLS402" s="148"/>
      <c r="MLT402" s="148"/>
      <c r="MLU402" s="148"/>
      <c r="MLV402" s="148"/>
      <c r="MLW402" s="148"/>
      <c r="MLX402" s="148"/>
      <c r="MLY402" s="148"/>
      <c r="MLZ402" s="148"/>
      <c r="MMA402" s="148"/>
      <c r="MMB402" s="148"/>
      <c r="MMC402" s="148"/>
      <c r="MMD402" s="148"/>
      <c r="MME402" s="148"/>
      <c r="MMF402" s="148"/>
      <c r="MMG402" s="148"/>
      <c r="MMH402" s="148"/>
      <c r="MMI402" s="148"/>
      <c r="MMJ402" s="148"/>
      <c r="MMK402" s="148"/>
      <c r="MML402" s="148"/>
      <c r="MMM402" s="148"/>
      <c r="MMN402" s="148"/>
      <c r="MMO402" s="148"/>
      <c r="MMP402" s="148"/>
      <c r="MMQ402" s="148"/>
      <c r="MMR402" s="148"/>
      <c r="MMS402" s="148"/>
      <c r="MMT402" s="148"/>
      <c r="MMU402" s="148"/>
      <c r="MMV402" s="148"/>
      <c r="MMW402" s="148"/>
      <c r="MMX402" s="148"/>
      <c r="MMY402" s="148"/>
      <c r="MMZ402" s="148"/>
      <c r="MNA402" s="148"/>
      <c r="MNB402" s="148"/>
      <c r="MNC402" s="148"/>
      <c r="MND402" s="148"/>
      <c r="MNE402" s="148"/>
      <c r="MNF402" s="148"/>
      <c r="MNG402" s="148"/>
      <c r="MNH402" s="148"/>
      <c r="MNI402" s="148"/>
      <c r="MNJ402" s="148"/>
      <c r="MNK402" s="148"/>
      <c r="MNL402" s="148"/>
      <c r="MNM402" s="148"/>
      <c r="MNN402" s="148"/>
      <c r="MNO402" s="148"/>
      <c r="MNP402" s="148"/>
      <c r="MNQ402" s="148"/>
      <c r="MNR402" s="148"/>
      <c r="MNS402" s="148"/>
      <c r="MNT402" s="148"/>
      <c r="MNU402" s="148"/>
      <c r="MNV402" s="148"/>
      <c r="MNW402" s="148"/>
      <c r="MNX402" s="148"/>
      <c r="MNY402" s="148"/>
      <c r="MNZ402" s="148"/>
      <c r="MOA402" s="148"/>
      <c r="MOB402" s="148"/>
      <c r="MOC402" s="148"/>
      <c r="MOD402" s="148"/>
      <c r="MOE402" s="148"/>
      <c r="MOF402" s="148"/>
      <c r="MOG402" s="148"/>
      <c r="MOH402" s="148"/>
      <c r="MOI402" s="148"/>
      <c r="MOJ402" s="148"/>
      <c r="MOK402" s="148"/>
      <c r="MOL402" s="148"/>
      <c r="MOM402" s="148"/>
      <c r="MON402" s="148"/>
      <c r="MOO402" s="148"/>
      <c r="MOP402" s="148"/>
      <c r="MOQ402" s="148"/>
      <c r="MOR402" s="148"/>
      <c r="MOS402" s="148"/>
      <c r="MOT402" s="148"/>
      <c r="MOU402" s="148"/>
      <c r="MOV402" s="148"/>
      <c r="MOW402" s="148"/>
      <c r="MOX402" s="148"/>
      <c r="MOY402" s="148"/>
      <c r="MOZ402" s="148"/>
      <c r="MPA402" s="148"/>
      <c r="MPB402" s="148"/>
      <c r="MPC402" s="148"/>
      <c r="MPD402" s="148"/>
      <c r="MPE402" s="148"/>
      <c r="MPF402" s="148"/>
      <c r="MPG402" s="148"/>
      <c r="MPH402" s="148"/>
      <c r="MPI402" s="148"/>
      <c r="MPJ402" s="148"/>
      <c r="MPK402" s="148"/>
      <c r="MPL402" s="148"/>
      <c r="MPM402" s="148"/>
      <c r="MPN402" s="148"/>
      <c r="MPO402" s="148"/>
      <c r="MPP402" s="148"/>
      <c r="MPQ402" s="148"/>
      <c r="MPR402" s="148"/>
      <c r="MPS402" s="148"/>
      <c r="MPT402" s="148"/>
      <c r="MPU402" s="148"/>
      <c r="MPV402" s="148"/>
      <c r="MPW402" s="148"/>
      <c r="MPX402" s="148"/>
      <c r="MPY402" s="148"/>
      <c r="MPZ402" s="148"/>
      <c r="MQA402" s="148"/>
      <c r="MQB402" s="148"/>
      <c r="MQC402" s="148"/>
      <c r="MQD402" s="148"/>
      <c r="MQE402" s="148"/>
      <c r="MQF402" s="148"/>
      <c r="MQG402" s="148"/>
      <c r="MQH402" s="148"/>
      <c r="MQI402" s="148"/>
      <c r="MQJ402" s="148"/>
      <c r="MQK402" s="148"/>
      <c r="MQL402" s="148"/>
      <c r="MQM402" s="148"/>
      <c r="MQN402" s="148"/>
      <c r="MQO402" s="148"/>
      <c r="MQP402" s="148"/>
      <c r="MQQ402" s="148"/>
      <c r="MQR402" s="148"/>
      <c r="MQS402" s="148"/>
      <c r="MQT402" s="148"/>
      <c r="MQU402" s="148"/>
      <c r="MQV402" s="148"/>
      <c r="MQW402" s="148"/>
      <c r="MQX402" s="148"/>
      <c r="MQY402" s="148"/>
      <c r="MQZ402" s="148"/>
      <c r="MRA402" s="148"/>
      <c r="MRB402" s="148"/>
      <c r="MRC402" s="148"/>
      <c r="MRD402" s="148"/>
      <c r="MRE402" s="148"/>
      <c r="MRF402" s="148"/>
      <c r="MRG402" s="148"/>
      <c r="MRH402" s="148"/>
      <c r="MRI402" s="148"/>
      <c r="MRJ402" s="148"/>
      <c r="MRK402" s="148"/>
      <c r="MRL402" s="148"/>
      <c r="MRM402" s="148"/>
      <c r="MRN402" s="148"/>
      <c r="MRO402" s="148"/>
      <c r="MRP402" s="148"/>
      <c r="MRQ402" s="148"/>
      <c r="MRR402" s="148"/>
      <c r="MRS402" s="148"/>
      <c r="MRT402" s="148"/>
      <c r="MRU402" s="148"/>
      <c r="MRV402" s="148"/>
      <c r="MRW402" s="148"/>
      <c r="MRX402" s="148"/>
      <c r="MRY402" s="148"/>
      <c r="MRZ402" s="148"/>
      <c r="MSA402" s="148"/>
      <c r="MSB402" s="148"/>
      <c r="MSC402" s="148"/>
      <c r="MSD402" s="148"/>
      <c r="MSE402" s="148"/>
      <c r="MSF402" s="148"/>
      <c r="MSG402" s="148"/>
      <c r="MSH402" s="148"/>
      <c r="MSI402" s="148"/>
      <c r="MSJ402" s="148"/>
      <c r="MSK402" s="148"/>
      <c r="MSL402" s="148"/>
      <c r="MSM402" s="148"/>
      <c r="MSN402" s="148"/>
      <c r="MSO402" s="148"/>
      <c r="MSP402" s="148"/>
      <c r="MSQ402" s="148"/>
      <c r="MSR402" s="148"/>
      <c r="MSS402" s="148"/>
      <c r="MST402" s="148"/>
      <c r="MSU402" s="148"/>
      <c r="MSV402" s="148"/>
      <c r="MSW402" s="148"/>
      <c r="MSX402" s="148"/>
      <c r="MSY402" s="148"/>
      <c r="MSZ402" s="148"/>
      <c r="MTA402" s="148"/>
      <c r="MTB402" s="148"/>
      <c r="MTC402" s="148"/>
      <c r="MTD402" s="148"/>
      <c r="MTE402" s="148"/>
      <c r="MTF402" s="148"/>
      <c r="MTG402" s="148"/>
      <c r="MTH402" s="148"/>
      <c r="MTI402" s="148"/>
      <c r="MTJ402" s="148"/>
      <c r="MTK402" s="148"/>
      <c r="MTL402" s="148"/>
      <c r="MTM402" s="148"/>
      <c r="MTN402" s="148"/>
      <c r="MTO402" s="148"/>
      <c r="MTP402" s="148"/>
      <c r="MTQ402" s="148"/>
      <c r="MTR402" s="148"/>
      <c r="MTS402" s="148"/>
      <c r="MTT402" s="148"/>
      <c r="MTU402" s="148"/>
      <c r="MTV402" s="148"/>
      <c r="MTW402" s="148"/>
      <c r="MTX402" s="148"/>
      <c r="MTY402" s="148"/>
      <c r="MTZ402" s="148"/>
      <c r="MUA402" s="148"/>
      <c r="MUB402" s="148"/>
      <c r="MUC402" s="148"/>
      <c r="MUD402" s="148"/>
      <c r="MUE402" s="148"/>
      <c r="MUF402" s="148"/>
      <c r="MUG402" s="148"/>
      <c r="MUH402" s="148"/>
      <c r="MUI402" s="148"/>
      <c r="MUJ402" s="148"/>
      <c r="MUK402" s="148"/>
      <c r="MUL402" s="148"/>
      <c r="MUM402" s="148"/>
      <c r="MUN402" s="148"/>
      <c r="MUO402" s="148"/>
      <c r="MUP402" s="148"/>
      <c r="MUQ402" s="148"/>
      <c r="MUR402" s="148"/>
      <c r="MUS402" s="148"/>
      <c r="MUT402" s="148"/>
      <c r="MUU402" s="148"/>
      <c r="MUV402" s="148"/>
      <c r="MUW402" s="148"/>
      <c r="MUX402" s="148"/>
      <c r="MUY402" s="148"/>
      <c r="MUZ402" s="148"/>
      <c r="MVA402" s="148"/>
      <c r="MVB402" s="148"/>
      <c r="MVC402" s="148"/>
      <c r="MVD402" s="148"/>
      <c r="MVE402" s="148"/>
      <c r="MVF402" s="148"/>
      <c r="MVG402" s="148"/>
      <c r="MVH402" s="148"/>
      <c r="MVI402" s="148"/>
      <c r="MVJ402" s="148"/>
      <c r="MVK402" s="148"/>
      <c r="MVL402" s="148"/>
      <c r="MVM402" s="148"/>
      <c r="MVN402" s="148"/>
      <c r="MVO402" s="148"/>
      <c r="MVP402" s="148"/>
      <c r="MVQ402" s="148"/>
      <c r="MVR402" s="148"/>
      <c r="MVS402" s="148"/>
      <c r="MVT402" s="148"/>
      <c r="MVU402" s="148"/>
      <c r="MVV402" s="148"/>
      <c r="MVW402" s="148"/>
      <c r="MVX402" s="148"/>
      <c r="MVY402" s="148"/>
      <c r="MVZ402" s="148"/>
      <c r="MWA402" s="148"/>
      <c r="MWB402" s="148"/>
      <c r="MWC402" s="148"/>
      <c r="MWD402" s="148"/>
      <c r="MWE402" s="148"/>
      <c r="MWF402" s="148"/>
      <c r="MWG402" s="148"/>
      <c r="MWH402" s="148"/>
      <c r="MWI402" s="148"/>
      <c r="MWJ402" s="148"/>
      <c r="MWK402" s="148"/>
      <c r="MWL402" s="148"/>
      <c r="MWM402" s="148"/>
      <c r="MWN402" s="148"/>
      <c r="MWO402" s="148"/>
      <c r="MWP402" s="148"/>
      <c r="MWQ402" s="148"/>
      <c r="MWR402" s="148"/>
      <c r="MWS402" s="148"/>
      <c r="MWT402" s="148"/>
      <c r="MWU402" s="148"/>
      <c r="MWV402" s="148"/>
      <c r="MWW402" s="148"/>
      <c r="MWX402" s="148"/>
      <c r="MWY402" s="148"/>
      <c r="MWZ402" s="148"/>
      <c r="MXA402" s="148"/>
      <c r="MXB402" s="148"/>
      <c r="MXC402" s="148"/>
      <c r="MXD402" s="148"/>
      <c r="MXE402" s="148"/>
      <c r="MXF402" s="148"/>
      <c r="MXG402" s="148"/>
      <c r="MXH402" s="148"/>
      <c r="MXI402" s="148"/>
      <c r="MXJ402" s="148"/>
      <c r="MXK402" s="148"/>
      <c r="MXL402" s="148"/>
      <c r="MXM402" s="148"/>
      <c r="MXN402" s="148"/>
      <c r="MXO402" s="148"/>
      <c r="MXP402" s="148"/>
      <c r="MXQ402" s="148"/>
      <c r="MXR402" s="148"/>
      <c r="MXS402" s="148"/>
      <c r="MXT402" s="148"/>
      <c r="MXU402" s="148"/>
      <c r="MXV402" s="148"/>
      <c r="MXW402" s="148"/>
      <c r="MXX402" s="148"/>
      <c r="MXY402" s="148"/>
      <c r="MXZ402" s="148"/>
      <c r="MYA402" s="148"/>
      <c r="MYB402" s="148"/>
      <c r="MYC402" s="148"/>
      <c r="MYD402" s="148"/>
      <c r="MYE402" s="148"/>
      <c r="MYF402" s="148"/>
      <c r="MYG402" s="148"/>
      <c r="MYH402" s="148"/>
      <c r="MYI402" s="148"/>
      <c r="MYJ402" s="148"/>
      <c r="MYK402" s="148"/>
      <c r="MYL402" s="148"/>
      <c r="MYM402" s="148"/>
      <c r="MYN402" s="148"/>
      <c r="MYO402" s="148"/>
      <c r="MYP402" s="148"/>
      <c r="MYQ402" s="148"/>
      <c r="MYR402" s="148"/>
      <c r="MYS402" s="148"/>
      <c r="MYT402" s="148"/>
      <c r="MYU402" s="148"/>
      <c r="MYV402" s="148"/>
      <c r="MYW402" s="148"/>
      <c r="MYX402" s="148"/>
      <c r="MYY402" s="148"/>
      <c r="MYZ402" s="148"/>
      <c r="MZA402" s="148"/>
      <c r="MZB402" s="148"/>
      <c r="MZC402" s="148"/>
      <c r="MZD402" s="148"/>
      <c r="MZE402" s="148"/>
      <c r="MZF402" s="148"/>
      <c r="MZG402" s="148"/>
      <c r="MZH402" s="148"/>
      <c r="MZI402" s="148"/>
      <c r="MZJ402" s="148"/>
      <c r="MZK402" s="148"/>
      <c r="MZL402" s="148"/>
      <c r="MZM402" s="148"/>
      <c r="MZN402" s="148"/>
      <c r="MZO402" s="148"/>
      <c r="MZP402" s="148"/>
      <c r="MZQ402" s="148"/>
      <c r="MZR402" s="148"/>
      <c r="MZS402" s="148"/>
      <c r="MZT402" s="148"/>
      <c r="MZU402" s="148"/>
      <c r="MZV402" s="148"/>
      <c r="MZW402" s="148"/>
      <c r="MZX402" s="148"/>
      <c r="MZY402" s="148"/>
      <c r="MZZ402" s="148"/>
      <c r="NAA402" s="148"/>
      <c r="NAB402" s="148"/>
      <c r="NAC402" s="148"/>
      <c r="NAD402" s="148"/>
      <c r="NAE402" s="148"/>
      <c r="NAF402" s="148"/>
      <c r="NAG402" s="148"/>
      <c r="NAH402" s="148"/>
      <c r="NAI402" s="148"/>
      <c r="NAJ402" s="148"/>
      <c r="NAK402" s="148"/>
      <c r="NAL402" s="148"/>
      <c r="NAM402" s="148"/>
      <c r="NAN402" s="148"/>
      <c r="NAO402" s="148"/>
      <c r="NAP402" s="148"/>
      <c r="NAQ402" s="148"/>
      <c r="NAR402" s="148"/>
      <c r="NAS402" s="148"/>
      <c r="NAT402" s="148"/>
      <c r="NAU402" s="148"/>
      <c r="NAV402" s="148"/>
      <c r="NAW402" s="148"/>
      <c r="NAX402" s="148"/>
      <c r="NAY402" s="148"/>
      <c r="NAZ402" s="148"/>
      <c r="NBA402" s="148"/>
      <c r="NBB402" s="148"/>
      <c r="NBC402" s="148"/>
      <c r="NBD402" s="148"/>
      <c r="NBE402" s="148"/>
      <c r="NBF402" s="148"/>
      <c r="NBG402" s="148"/>
      <c r="NBH402" s="148"/>
      <c r="NBI402" s="148"/>
      <c r="NBJ402" s="148"/>
      <c r="NBK402" s="148"/>
      <c r="NBL402" s="148"/>
      <c r="NBM402" s="148"/>
      <c r="NBN402" s="148"/>
      <c r="NBO402" s="148"/>
      <c r="NBP402" s="148"/>
      <c r="NBQ402" s="148"/>
      <c r="NBR402" s="148"/>
      <c r="NBS402" s="148"/>
      <c r="NBT402" s="148"/>
      <c r="NBU402" s="148"/>
      <c r="NBV402" s="148"/>
      <c r="NBW402" s="148"/>
      <c r="NBX402" s="148"/>
      <c r="NBY402" s="148"/>
      <c r="NBZ402" s="148"/>
      <c r="NCA402" s="148"/>
      <c r="NCB402" s="148"/>
      <c r="NCC402" s="148"/>
      <c r="NCD402" s="148"/>
      <c r="NCE402" s="148"/>
      <c r="NCF402" s="148"/>
      <c r="NCG402" s="148"/>
      <c r="NCH402" s="148"/>
      <c r="NCI402" s="148"/>
      <c r="NCJ402" s="148"/>
      <c r="NCK402" s="148"/>
      <c r="NCL402" s="148"/>
      <c r="NCM402" s="148"/>
      <c r="NCN402" s="148"/>
      <c r="NCO402" s="148"/>
      <c r="NCP402" s="148"/>
      <c r="NCQ402" s="148"/>
      <c r="NCR402" s="148"/>
      <c r="NCS402" s="148"/>
      <c r="NCT402" s="148"/>
      <c r="NCU402" s="148"/>
      <c r="NCV402" s="148"/>
      <c r="NCW402" s="148"/>
      <c r="NCX402" s="148"/>
      <c r="NCY402" s="148"/>
      <c r="NCZ402" s="148"/>
      <c r="NDA402" s="148"/>
      <c r="NDB402" s="148"/>
      <c r="NDC402" s="148"/>
      <c r="NDD402" s="148"/>
      <c r="NDE402" s="148"/>
      <c r="NDF402" s="148"/>
      <c r="NDG402" s="148"/>
      <c r="NDH402" s="148"/>
      <c r="NDI402" s="148"/>
      <c r="NDJ402" s="148"/>
      <c r="NDK402" s="148"/>
      <c r="NDL402" s="148"/>
      <c r="NDM402" s="148"/>
      <c r="NDN402" s="148"/>
      <c r="NDO402" s="148"/>
      <c r="NDP402" s="148"/>
      <c r="NDQ402" s="148"/>
      <c r="NDR402" s="148"/>
      <c r="NDS402" s="148"/>
      <c r="NDT402" s="148"/>
      <c r="NDU402" s="148"/>
      <c r="NDV402" s="148"/>
      <c r="NDW402" s="148"/>
      <c r="NDX402" s="148"/>
      <c r="NDY402" s="148"/>
      <c r="NDZ402" s="148"/>
      <c r="NEA402" s="148"/>
      <c r="NEB402" s="148"/>
      <c r="NEC402" s="148"/>
      <c r="NED402" s="148"/>
      <c r="NEE402" s="148"/>
      <c r="NEF402" s="148"/>
      <c r="NEG402" s="148"/>
      <c r="NEH402" s="148"/>
      <c r="NEI402" s="148"/>
      <c r="NEJ402" s="148"/>
      <c r="NEK402" s="148"/>
      <c r="NEL402" s="148"/>
      <c r="NEM402" s="148"/>
      <c r="NEN402" s="148"/>
      <c r="NEO402" s="148"/>
      <c r="NEP402" s="148"/>
      <c r="NEQ402" s="148"/>
      <c r="NER402" s="148"/>
      <c r="NES402" s="148"/>
      <c r="NET402" s="148"/>
      <c r="NEU402" s="148"/>
      <c r="NEV402" s="148"/>
      <c r="NEW402" s="148"/>
      <c r="NEX402" s="148"/>
      <c r="NEY402" s="148"/>
      <c r="NEZ402" s="148"/>
      <c r="NFA402" s="148"/>
      <c r="NFB402" s="148"/>
      <c r="NFC402" s="148"/>
      <c r="NFD402" s="148"/>
      <c r="NFE402" s="148"/>
      <c r="NFF402" s="148"/>
      <c r="NFG402" s="148"/>
      <c r="NFH402" s="148"/>
      <c r="NFI402" s="148"/>
      <c r="NFJ402" s="148"/>
      <c r="NFK402" s="148"/>
      <c r="NFL402" s="148"/>
      <c r="NFM402" s="148"/>
      <c r="NFN402" s="148"/>
      <c r="NFO402" s="148"/>
      <c r="NFP402" s="148"/>
      <c r="NFQ402" s="148"/>
      <c r="NFR402" s="148"/>
      <c r="NFS402" s="148"/>
      <c r="NFT402" s="148"/>
      <c r="NFU402" s="148"/>
      <c r="NFV402" s="148"/>
      <c r="NFW402" s="148"/>
      <c r="NFX402" s="148"/>
      <c r="NFY402" s="148"/>
      <c r="NFZ402" s="148"/>
      <c r="NGA402" s="148"/>
      <c r="NGB402" s="148"/>
      <c r="NGC402" s="148"/>
      <c r="NGD402" s="148"/>
      <c r="NGE402" s="148"/>
      <c r="NGF402" s="148"/>
      <c r="NGG402" s="148"/>
      <c r="NGH402" s="148"/>
      <c r="NGI402" s="148"/>
      <c r="NGJ402" s="148"/>
      <c r="NGK402" s="148"/>
      <c r="NGL402" s="148"/>
      <c r="NGM402" s="148"/>
      <c r="NGN402" s="148"/>
      <c r="NGO402" s="148"/>
      <c r="NGP402" s="148"/>
      <c r="NGQ402" s="148"/>
      <c r="NGR402" s="148"/>
      <c r="NGS402" s="148"/>
      <c r="NGT402" s="148"/>
      <c r="NGU402" s="148"/>
      <c r="NGV402" s="148"/>
      <c r="NGW402" s="148"/>
      <c r="NGX402" s="148"/>
      <c r="NGY402" s="148"/>
      <c r="NGZ402" s="148"/>
      <c r="NHA402" s="148"/>
      <c r="NHB402" s="148"/>
      <c r="NHC402" s="148"/>
      <c r="NHD402" s="148"/>
      <c r="NHE402" s="148"/>
      <c r="NHF402" s="148"/>
      <c r="NHG402" s="148"/>
      <c r="NHH402" s="148"/>
      <c r="NHI402" s="148"/>
      <c r="NHJ402" s="148"/>
      <c r="NHK402" s="148"/>
      <c r="NHL402" s="148"/>
      <c r="NHM402" s="148"/>
      <c r="NHN402" s="148"/>
      <c r="NHO402" s="148"/>
      <c r="NHP402" s="148"/>
      <c r="NHQ402" s="148"/>
      <c r="NHR402" s="148"/>
      <c r="NHS402" s="148"/>
      <c r="NHT402" s="148"/>
      <c r="NHU402" s="148"/>
      <c r="NHV402" s="148"/>
      <c r="NHW402" s="148"/>
      <c r="NHX402" s="148"/>
      <c r="NHY402" s="148"/>
      <c r="NHZ402" s="148"/>
      <c r="NIA402" s="148"/>
      <c r="NIB402" s="148"/>
      <c r="NIC402" s="148"/>
      <c r="NID402" s="148"/>
      <c r="NIE402" s="148"/>
      <c r="NIF402" s="148"/>
      <c r="NIG402" s="148"/>
      <c r="NIH402" s="148"/>
      <c r="NII402" s="148"/>
      <c r="NIJ402" s="148"/>
      <c r="NIK402" s="148"/>
      <c r="NIL402" s="148"/>
      <c r="NIM402" s="148"/>
      <c r="NIN402" s="148"/>
      <c r="NIO402" s="148"/>
      <c r="NIP402" s="148"/>
      <c r="NIQ402" s="148"/>
      <c r="NIR402" s="148"/>
      <c r="NIS402" s="148"/>
      <c r="NIT402" s="148"/>
      <c r="NIU402" s="148"/>
      <c r="NIV402" s="148"/>
      <c r="NIW402" s="148"/>
      <c r="NIX402" s="148"/>
      <c r="NIY402" s="148"/>
      <c r="NIZ402" s="148"/>
      <c r="NJA402" s="148"/>
      <c r="NJB402" s="148"/>
      <c r="NJC402" s="148"/>
      <c r="NJD402" s="148"/>
      <c r="NJE402" s="148"/>
      <c r="NJF402" s="148"/>
      <c r="NJG402" s="148"/>
      <c r="NJH402" s="148"/>
      <c r="NJI402" s="148"/>
      <c r="NJJ402" s="148"/>
      <c r="NJK402" s="148"/>
      <c r="NJL402" s="148"/>
      <c r="NJM402" s="148"/>
      <c r="NJN402" s="148"/>
      <c r="NJO402" s="148"/>
      <c r="NJP402" s="148"/>
      <c r="NJQ402" s="148"/>
      <c r="NJR402" s="148"/>
      <c r="NJS402" s="148"/>
      <c r="NJT402" s="148"/>
      <c r="NJU402" s="148"/>
      <c r="NJV402" s="148"/>
      <c r="NJW402" s="148"/>
      <c r="NJX402" s="148"/>
      <c r="NJY402" s="148"/>
      <c r="NJZ402" s="148"/>
      <c r="NKA402" s="148"/>
      <c r="NKB402" s="148"/>
      <c r="NKC402" s="148"/>
      <c r="NKD402" s="148"/>
      <c r="NKE402" s="148"/>
      <c r="NKF402" s="148"/>
      <c r="NKG402" s="148"/>
      <c r="NKH402" s="148"/>
      <c r="NKI402" s="148"/>
      <c r="NKJ402" s="148"/>
      <c r="NKK402" s="148"/>
      <c r="NKL402" s="148"/>
      <c r="NKM402" s="148"/>
      <c r="NKN402" s="148"/>
      <c r="NKO402" s="148"/>
      <c r="NKP402" s="148"/>
      <c r="NKQ402" s="148"/>
      <c r="NKR402" s="148"/>
      <c r="NKS402" s="148"/>
      <c r="NKT402" s="148"/>
      <c r="NKU402" s="148"/>
      <c r="NKV402" s="148"/>
      <c r="NKW402" s="148"/>
      <c r="NKX402" s="148"/>
      <c r="NKY402" s="148"/>
      <c r="NKZ402" s="148"/>
      <c r="NLA402" s="148"/>
      <c r="NLB402" s="148"/>
      <c r="NLC402" s="148"/>
      <c r="NLD402" s="148"/>
      <c r="NLE402" s="148"/>
      <c r="NLF402" s="148"/>
      <c r="NLG402" s="148"/>
      <c r="NLH402" s="148"/>
      <c r="NLI402" s="148"/>
      <c r="NLJ402" s="148"/>
      <c r="NLK402" s="148"/>
      <c r="NLL402" s="148"/>
      <c r="NLM402" s="148"/>
      <c r="NLN402" s="148"/>
      <c r="NLO402" s="148"/>
      <c r="NLP402" s="148"/>
      <c r="NLQ402" s="148"/>
      <c r="NLR402" s="148"/>
      <c r="NLS402" s="148"/>
      <c r="NLT402" s="148"/>
      <c r="NLU402" s="148"/>
      <c r="NLV402" s="148"/>
      <c r="NLW402" s="148"/>
      <c r="NLX402" s="148"/>
      <c r="NLY402" s="148"/>
      <c r="NLZ402" s="148"/>
      <c r="NMA402" s="148"/>
      <c r="NMB402" s="148"/>
      <c r="NMC402" s="148"/>
      <c r="NMD402" s="148"/>
      <c r="NME402" s="148"/>
      <c r="NMF402" s="148"/>
      <c r="NMG402" s="148"/>
      <c r="NMH402" s="148"/>
      <c r="NMI402" s="148"/>
      <c r="NMJ402" s="148"/>
      <c r="NMK402" s="148"/>
      <c r="NML402" s="148"/>
      <c r="NMM402" s="148"/>
      <c r="NMN402" s="148"/>
      <c r="NMO402" s="148"/>
      <c r="NMP402" s="148"/>
      <c r="NMQ402" s="148"/>
      <c r="NMR402" s="148"/>
      <c r="NMS402" s="148"/>
      <c r="NMT402" s="148"/>
      <c r="NMU402" s="148"/>
      <c r="NMV402" s="148"/>
      <c r="NMW402" s="148"/>
      <c r="NMX402" s="148"/>
      <c r="NMY402" s="148"/>
      <c r="NMZ402" s="148"/>
      <c r="NNA402" s="148"/>
      <c r="NNB402" s="148"/>
      <c r="NNC402" s="148"/>
      <c r="NND402" s="148"/>
      <c r="NNE402" s="148"/>
      <c r="NNF402" s="148"/>
      <c r="NNG402" s="148"/>
      <c r="NNH402" s="148"/>
      <c r="NNI402" s="148"/>
      <c r="NNJ402" s="148"/>
      <c r="NNK402" s="148"/>
      <c r="NNL402" s="148"/>
      <c r="NNM402" s="148"/>
      <c r="NNN402" s="148"/>
      <c r="NNO402" s="148"/>
      <c r="NNP402" s="148"/>
      <c r="NNQ402" s="148"/>
      <c r="NNR402" s="148"/>
      <c r="NNS402" s="148"/>
      <c r="NNT402" s="148"/>
      <c r="NNU402" s="148"/>
      <c r="NNV402" s="148"/>
      <c r="NNW402" s="148"/>
      <c r="NNX402" s="148"/>
      <c r="NNY402" s="148"/>
      <c r="NNZ402" s="148"/>
      <c r="NOA402" s="148"/>
      <c r="NOB402" s="148"/>
      <c r="NOC402" s="148"/>
      <c r="NOD402" s="148"/>
      <c r="NOE402" s="148"/>
      <c r="NOF402" s="148"/>
      <c r="NOG402" s="148"/>
      <c r="NOH402" s="148"/>
      <c r="NOI402" s="148"/>
      <c r="NOJ402" s="148"/>
      <c r="NOK402" s="148"/>
      <c r="NOL402" s="148"/>
      <c r="NOM402" s="148"/>
      <c r="NON402" s="148"/>
      <c r="NOO402" s="148"/>
      <c r="NOP402" s="148"/>
      <c r="NOQ402" s="148"/>
      <c r="NOR402" s="148"/>
      <c r="NOS402" s="148"/>
      <c r="NOT402" s="148"/>
      <c r="NOU402" s="148"/>
      <c r="NOV402" s="148"/>
      <c r="NOW402" s="148"/>
      <c r="NOX402" s="148"/>
      <c r="NOY402" s="148"/>
      <c r="NOZ402" s="148"/>
      <c r="NPA402" s="148"/>
      <c r="NPB402" s="148"/>
      <c r="NPC402" s="148"/>
      <c r="NPD402" s="148"/>
      <c r="NPE402" s="148"/>
      <c r="NPF402" s="148"/>
      <c r="NPG402" s="148"/>
      <c r="NPH402" s="148"/>
      <c r="NPI402" s="148"/>
      <c r="NPJ402" s="148"/>
      <c r="NPK402" s="148"/>
      <c r="NPL402" s="148"/>
      <c r="NPM402" s="148"/>
      <c r="NPN402" s="148"/>
      <c r="NPO402" s="148"/>
      <c r="NPP402" s="148"/>
      <c r="NPQ402" s="148"/>
      <c r="NPR402" s="148"/>
      <c r="NPS402" s="148"/>
      <c r="NPT402" s="148"/>
      <c r="NPU402" s="148"/>
      <c r="NPV402" s="148"/>
      <c r="NPW402" s="148"/>
      <c r="NPX402" s="148"/>
      <c r="NPY402" s="148"/>
      <c r="NPZ402" s="148"/>
      <c r="NQA402" s="148"/>
      <c r="NQB402" s="148"/>
      <c r="NQC402" s="148"/>
      <c r="NQD402" s="148"/>
      <c r="NQE402" s="148"/>
      <c r="NQF402" s="148"/>
      <c r="NQG402" s="148"/>
      <c r="NQH402" s="148"/>
      <c r="NQI402" s="148"/>
      <c r="NQJ402" s="148"/>
      <c r="NQK402" s="148"/>
      <c r="NQL402" s="148"/>
      <c r="NQM402" s="148"/>
      <c r="NQN402" s="148"/>
      <c r="NQO402" s="148"/>
      <c r="NQP402" s="148"/>
      <c r="NQQ402" s="148"/>
      <c r="NQR402" s="148"/>
      <c r="NQS402" s="148"/>
      <c r="NQT402" s="148"/>
      <c r="NQU402" s="148"/>
      <c r="NQV402" s="148"/>
      <c r="NQW402" s="148"/>
      <c r="NQX402" s="148"/>
      <c r="NQY402" s="148"/>
      <c r="NQZ402" s="148"/>
      <c r="NRA402" s="148"/>
      <c r="NRB402" s="148"/>
      <c r="NRC402" s="148"/>
      <c r="NRD402" s="148"/>
      <c r="NRE402" s="148"/>
      <c r="NRF402" s="148"/>
      <c r="NRG402" s="148"/>
      <c r="NRH402" s="148"/>
      <c r="NRI402" s="148"/>
      <c r="NRJ402" s="148"/>
      <c r="NRK402" s="148"/>
      <c r="NRL402" s="148"/>
      <c r="NRM402" s="148"/>
      <c r="NRN402" s="148"/>
      <c r="NRO402" s="148"/>
      <c r="NRP402" s="148"/>
      <c r="NRQ402" s="148"/>
      <c r="NRR402" s="148"/>
      <c r="NRS402" s="148"/>
      <c r="NRT402" s="148"/>
      <c r="NRU402" s="148"/>
      <c r="NRV402" s="148"/>
      <c r="NRW402" s="148"/>
      <c r="NRX402" s="148"/>
      <c r="NRY402" s="148"/>
      <c r="NRZ402" s="148"/>
      <c r="NSA402" s="148"/>
      <c r="NSB402" s="148"/>
      <c r="NSC402" s="148"/>
      <c r="NSD402" s="148"/>
      <c r="NSE402" s="148"/>
      <c r="NSF402" s="148"/>
      <c r="NSG402" s="148"/>
      <c r="NSH402" s="148"/>
      <c r="NSI402" s="148"/>
      <c r="NSJ402" s="148"/>
      <c r="NSK402" s="148"/>
      <c r="NSL402" s="148"/>
      <c r="NSM402" s="148"/>
      <c r="NSN402" s="148"/>
      <c r="NSO402" s="148"/>
      <c r="NSP402" s="148"/>
      <c r="NSQ402" s="148"/>
      <c r="NSR402" s="148"/>
      <c r="NSS402" s="148"/>
      <c r="NST402" s="148"/>
      <c r="NSU402" s="148"/>
      <c r="NSV402" s="148"/>
      <c r="NSW402" s="148"/>
      <c r="NSX402" s="148"/>
      <c r="NSY402" s="148"/>
      <c r="NSZ402" s="148"/>
      <c r="NTA402" s="148"/>
      <c r="NTB402" s="148"/>
      <c r="NTC402" s="148"/>
      <c r="NTD402" s="148"/>
      <c r="NTE402" s="148"/>
      <c r="NTF402" s="148"/>
      <c r="NTG402" s="148"/>
      <c r="NTH402" s="148"/>
      <c r="NTI402" s="148"/>
      <c r="NTJ402" s="148"/>
      <c r="NTK402" s="148"/>
      <c r="NTL402" s="148"/>
      <c r="NTM402" s="148"/>
      <c r="NTN402" s="148"/>
      <c r="NTO402" s="148"/>
      <c r="NTP402" s="148"/>
      <c r="NTQ402" s="148"/>
      <c r="NTR402" s="148"/>
      <c r="NTS402" s="148"/>
      <c r="NTT402" s="148"/>
      <c r="NTU402" s="148"/>
      <c r="NTV402" s="148"/>
      <c r="NTW402" s="148"/>
      <c r="NTX402" s="148"/>
      <c r="NTY402" s="148"/>
      <c r="NTZ402" s="148"/>
      <c r="NUA402" s="148"/>
      <c r="NUB402" s="148"/>
      <c r="NUC402" s="148"/>
      <c r="NUD402" s="148"/>
      <c r="NUE402" s="148"/>
      <c r="NUF402" s="148"/>
      <c r="NUG402" s="148"/>
      <c r="NUH402" s="148"/>
      <c r="NUI402" s="148"/>
      <c r="NUJ402" s="148"/>
      <c r="NUK402" s="148"/>
      <c r="NUL402" s="148"/>
      <c r="NUM402" s="148"/>
      <c r="NUN402" s="148"/>
      <c r="NUO402" s="148"/>
      <c r="NUP402" s="148"/>
      <c r="NUQ402" s="148"/>
      <c r="NUR402" s="148"/>
      <c r="NUS402" s="148"/>
      <c r="NUT402" s="148"/>
      <c r="NUU402" s="148"/>
      <c r="NUV402" s="148"/>
      <c r="NUW402" s="148"/>
      <c r="NUX402" s="148"/>
      <c r="NUY402" s="148"/>
      <c r="NUZ402" s="148"/>
      <c r="NVA402" s="148"/>
      <c r="NVB402" s="148"/>
      <c r="NVC402" s="148"/>
      <c r="NVD402" s="148"/>
      <c r="NVE402" s="148"/>
      <c r="NVF402" s="148"/>
      <c r="NVG402" s="148"/>
      <c r="NVH402" s="148"/>
      <c r="NVI402" s="148"/>
      <c r="NVJ402" s="148"/>
      <c r="NVK402" s="148"/>
      <c r="NVL402" s="148"/>
      <c r="NVM402" s="148"/>
      <c r="NVN402" s="148"/>
      <c r="NVO402" s="148"/>
      <c r="NVP402" s="148"/>
      <c r="NVQ402" s="148"/>
      <c r="NVR402" s="148"/>
      <c r="NVS402" s="148"/>
      <c r="NVT402" s="148"/>
      <c r="NVU402" s="148"/>
      <c r="NVV402" s="148"/>
      <c r="NVW402" s="148"/>
      <c r="NVX402" s="148"/>
      <c r="NVY402" s="148"/>
      <c r="NVZ402" s="148"/>
      <c r="NWA402" s="148"/>
      <c r="NWB402" s="148"/>
      <c r="NWC402" s="148"/>
      <c r="NWD402" s="148"/>
      <c r="NWE402" s="148"/>
      <c r="NWF402" s="148"/>
      <c r="NWG402" s="148"/>
      <c r="NWH402" s="148"/>
      <c r="NWI402" s="148"/>
      <c r="NWJ402" s="148"/>
      <c r="NWK402" s="148"/>
      <c r="NWL402" s="148"/>
      <c r="NWM402" s="148"/>
      <c r="NWN402" s="148"/>
      <c r="NWO402" s="148"/>
      <c r="NWP402" s="148"/>
      <c r="NWQ402" s="148"/>
      <c r="NWR402" s="148"/>
      <c r="NWS402" s="148"/>
      <c r="NWT402" s="148"/>
      <c r="NWU402" s="148"/>
      <c r="NWV402" s="148"/>
      <c r="NWW402" s="148"/>
      <c r="NWX402" s="148"/>
      <c r="NWY402" s="148"/>
      <c r="NWZ402" s="148"/>
      <c r="NXA402" s="148"/>
      <c r="NXB402" s="148"/>
      <c r="NXC402" s="148"/>
      <c r="NXD402" s="148"/>
      <c r="NXE402" s="148"/>
      <c r="NXF402" s="148"/>
      <c r="NXG402" s="148"/>
      <c r="NXH402" s="148"/>
      <c r="NXI402" s="148"/>
      <c r="NXJ402" s="148"/>
      <c r="NXK402" s="148"/>
      <c r="NXL402" s="148"/>
      <c r="NXM402" s="148"/>
      <c r="NXN402" s="148"/>
      <c r="NXO402" s="148"/>
      <c r="NXP402" s="148"/>
      <c r="NXQ402" s="148"/>
      <c r="NXR402" s="148"/>
      <c r="NXS402" s="148"/>
      <c r="NXT402" s="148"/>
      <c r="NXU402" s="148"/>
      <c r="NXV402" s="148"/>
      <c r="NXW402" s="148"/>
      <c r="NXX402" s="148"/>
      <c r="NXY402" s="148"/>
      <c r="NXZ402" s="148"/>
      <c r="NYA402" s="148"/>
      <c r="NYB402" s="148"/>
      <c r="NYC402" s="148"/>
      <c r="NYD402" s="148"/>
      <c r="NYE402" s="148"/>
      <c r="NYF402" s="148"/>
      <c r="NYG402" s="148"/>
      <c r="NYH402" s="148"/>
      <c r="NYI402" s="148"/>
      <c r="NYJ402" s="148"/>
      <c r="NYK402" s="148"/>
      <c r="NYL402" s="148"/>
      <c r="NYM402" s="148"/>
      <c r="NYN402" s="148"/>
      <c r="NYO402" s="148"/>
      <c r="NYP402" s="148"/>
      <c r="NYQ402" s="148"/>
      <c r="NYR402" s="148"/>
      <c r="NYS402" s="148"/>
      <c r="NYT402" s="148"/>
      <c r="NYU402" s="148"/>
      <c r="NYV402" s="148"/>
      <c r="NYW402" s="148"/>
      <c r="NYX402" s="148"/>
      <c r="NYY402" s="148"/>
      <c r="NYZ402" s="148"/>
      <c r="NZA402" s="148"/>
      <c r="NZB402" s="148"/>
      <c r="NZC402" s="148"/>
      <c r="NZD402" s="148"/>
      <c r="NZE402" s="148"/>
      <c r="NZF402" s="148"/>
      <c r="NZG402" s="148"/>
      <c r="NZH402" s="148"/>
      <c r="NZI402" s="148"/>
      <c r="NZJ402" s="148"/>
      <c r="NZK402" s="148"/>
      <c r="NZL402" s="148"/>
      <c r="NZM402" s="148"/>
      <c r="NZN402" s="148"/>
      <c r="NZO402" s="148"/>
      <c r="NZP402" s="148"/>
      <c r="NZQ402" s="148"/>
      <c r="NZR402" s="148"/>
      <c r="NZS402" s="148"/>
      <c r="NZT402" s="148"/>
      <c r="NZU402" s="148"/>
      <c r="NZV402" s="148"/>
      <c r="NZW402" s="148"/>
      <c r="NZX402" s="148"/>
      <c r="NZY402" s="148"/>
      <c r="NZZ402" s="148"/>
      <c r="OAA402" s="148"/>
      <c r="OAB402" s="148"/>
      <c r="OAC402" s="148"/>
      <c r="OAD402" s="148"/>
      <c r="OAE402" s="148"/>
      <c r="OAF402" s="148"/>
      <c r="OAG402" s="148"/>
      <c r="OAH402" s="148"/>
      <c r="OAI402" s="148"/>
      <c r="OAJ402" s="148"/>
      <c r="OAK402" s="148"/>
      <c r="OAL402" s="148"/>
      <c r="OAM402" s="148"/>
      <c r="OAN402" s="148"/>
      <c r="OAO402" s="148"/>
      <c r="OAP402" s="148"/>
      <c r="OAQ402" s="148"/>
      <c r="OAR402" s="148"/>
      <c r="OAS402" s="148"/>
      <c r="OAT402" s="148"/>
      <c r="OAU402" s="148"/>
      <c r="OAV402" s="148"/>
      <c r="OAW402" s="148"/>
      <c r="OAX402" s="148"/>
      <c r="OAY402" s="148"/>
      <c r="OAZ402" s="148"/>
      <c r="OBA402" s="148"/>
      <c r="OBB402" s="148"/>
      <c r="OBC402" s="148"/>
      <c r="OBD402" s="148"/>
      <c r="OBE402" s="148"/>
      <c r="OBF402" s="148"/>
      <c r="OBG402" s="148"/>
      <c r="OBH402" s="148"/>
      <c r="OBI402" s="148"/>
      <c r="OBJ402" s="148"/>
      <c r="OBK402" s="148"/>
      <c r="OBL402" s="148"/>
      <c r="OBM402" s="148"/>
      <c r="OBN402" s="148"/>
      <c r="OBO402" s="148"/>
      <c r="OBP402" s="148"/>
      <c r="OBQ402" s="148"/>
      <c r="OBR402" s="148"/>
      <c r="OBS402" s="148"/>
      <c r="OBT402" s="148"/>
      <c r="OBU402" s="148"/>
      <c r="OBV402" s="148"/>
      <c r="OBW402" s="148"/>
      <c r="OBX402" s="148"/>
      <c r="OBY402" s="148"/>
      <c r="OBZ402" s="148"/>
      <c r="OCA402" s="148"/>
      <c r="OCB402" s="148"/>
      <c r="OCC402" s="148"/>
      <c r="OCD402" s="148"/>
      <c r="OCE402" s="148"/>
      <c r="OCF402" s="148"/>
      <c r="OCG402" s="148"/>
      <c r="OCH402" s="148"/>
      <c r="OCI402" s="148"/>
      <c r="OCJ402" s="148"/>
      <c r="OCK402" s="148"/>
      <c r="OCL402" s="148"/>
      <c r="OCM402" s="148"/>
      <c r="OCN402" s="148"/>
      <c r="OCO402" s="148"/>
      <c r="OCP402" s="148"/>
      <c r="OCQ402" s="148"/>
      <c r="OCR402" s="148"/>
      <c r="OCS402" s="148"/>
      <c r="OCT402" s="148"/>
      <c r="OCU402" s="148"/>
      <c r="OCV402" s="148"/>
      <c r="OCW402" s="148"/>
      <c r="OCX402" s="148"/>
      <c r="OCY402" s="148"/>
      <c r="OCZ402" s="148"/>
      <c r="ODA402" s="148"/>
      <c r="ODB402" s="148"/>
      <c r="ODC402" s="148"/>
      <c r="ODD402" s="148"/>
      <c r="ODE402" s="148"/>
      <c r="ODF402" s="148"/>
      <c r="ODG402" s="148"/>
      <c r="ODH402" s="148"/>
      <c r="ODI402" s="148"/>
      <c r="ODJ402" s="148"/>
      <c r="ODK402" s="148"/>
      <c r="ODL402" s="148"/>
      <c r="ODM402" s="148"/>
      <c r="ODN402" s="148"/>
      <c r="ODO402" s="148"/>
      <c r="ODP402" s="148"/>
      <c r="ODQ402" s="148"/>
      <c r="ODR402" s="148"/>
      <c r="ODS402" s="148"/>
      <c r="ODT402" s="148"/>
      <c r="ODU402" s="148"/>
      <c r="ODV402" s="148"/>
      <c r="ODW402" s="148"/>
      <c r="ODX402" s="148"/>
      <c r="ODY402" s="148"/>
      <c r="ODZ402" s="148"/>
      <c r="OEA402" s="148"/>
      <c r="OEB402" s="148"/>
      <c r="OEC402" s="148"/>
      <c r="OED402" s="148"/>
      <c r="OEE402" s="148"/>
      <c r="OEF402" s="148"/>
      <c r="OEG402" s="148"/>
      <c r="OEH402" s="148"/>
      <c r="OEI402" s="148"/>
      <c r="OEJ402" s="148"/>
      <c r="OEK402" s="148"/>
      <c r="OEL402" s="148"/>
      <c r="OEM402" s="148"/>
      <c r="OEN402" s="148"/>
      <c r="OEO402" s="148"/>
      <c r="OEP402" s="148"/>
      <c r="OEQ402" s="148"/>
      <c r="OER402" s="148"/>
      <c r="OES402" s="148"/>
      <c r="OET402" s="148"/>
      <c r="OEU402" s="148"/>
      <c r="OEV402" s="148"/>
      <c r="OEW402" s="148"/>
      <c r="OEX402" s="148"/>
      <c r="OEY402" s="148"/>
      <c r="OEZ402" s="148"/>
      <c r="OFA402" s="148"/>
      <c r="OFB402" s="148"/>
      <c r="OFC402" s="148"/>
      <c r="OFD402" s="148"/>
      <c r="OFE402" s="148"/>
      <c r="OFF402" s="148"/>
      <c r="OFG402" s="148"/>
      <c r="OFH402" s="148"/>
      <c r="OFI402" s="148"/>
      <c r="OFJ402" s="148"/>
      <c r="OFK402" s="148"/>
      <c r="OFL402" s="148"/>
      <c r="OFM402" s="148"/>
      <c r="OFN402" s="148"/>
      <c r="OFO402" s="148"/>
      <c r="OFP402" s="148"/>
      <c r="OFQ402" s="148"/>
      <c r="OFR402" s="148"/>
      <c r="OFS402" s="148"/>
      <c r="OFT402" s="148"/>
      <c r="OFU402" s="148"/>
      <c r="OFV402" s="148"/>
      <c r="OFW402" s="148"/>
      <c r="OFX402" s="148"/>
      <c r="OFY402" s="148"/>
      <c r="OFZ402" s="148"/>
      <c r="OGA402" s="148"/>
      <c r="OGB402" s="148"/>
      <c r="OGC402" s="148"/>
      <c r="OGD402" s="148"/>
      <c r="OGE402" s="148"/>
      <c r="OGF402" s="148"/>
      <c r="OGG402" s="148"/>
      <c r="OGH402" s="148"/>
      <c r="OGI402" s="148"/>
      <c r="OGJ402" s="148"/>
      <c r="OGK402" s="148"/>
      <c r="OGL402" s="148"/>
      <c r="OGM402" s="148"/>
      <c r="OGN402" s="148"/>
      <c r="OGO402" s="148"/>
      <c r="OGP402" s="148"/>
      <c r="OGQ402" s="148"/>
      <c r="OGR402" s="148"/>
      <c r="OGS402" s="148"/>
      <c r="OGT402" s="148"/>
      <c r="OGU402" s="148"/>
      <c r="OGV402" s="148"/>
      <c r="OGW402" s="148"/>
      <c r="OGX402" s="148"/>
      <c r="OGY402" s="148"/>
      <c r="OGZ402" s="148"/>
      <c r="OHA402" s="148"/>
      <c r="OHB402" s="148"/>
      <c r="OHC402" s="148"/>
      <c r="OHD402" s="148"/>
      <c r="OHE402" s="148"/>
      <c r="OHF402" s="148"/>
      <c r="OHG402" s="148"/>
      <c r="OHH402" s="148"/>
      <c r="OHI402" s="148"/>
      <c r="OHJ402" s="148"/>
      <c r="OHK402" s="148"/>
      <c r="OHL402" s="148"/>
      <c r="OHM402" s="148"/>
      <c r="OHN402" s="148"/>
      <c r="OHO402" s="148"/>
      <c r="OHP402" s="148"/>
      <c r="OHQ402" s="148"/>
      <c r="OHR402" s="148"/>
      <c r="OHS402" s="148"/>
      <c r="OHT402" s="148"/>
      <c r="OHU402" s="148"/>
      <c r="OHV402" s="148"/>
      <c r="OHW402" s="148"/>
      <c r="OHX402" s="148"/>
      <c r="OHY402" s="148"/>
      <c r="OHZ402" s="148"/>
      <c r="OIA402" s="148"/>
      <c r="OIB402" s="148"/>
      <c r="OIC402" s="148"/>
      <c r="OID402" s="148"/>
      <c r="OIE402" s="148"/>
      <c r="OIF402" s="148"/>
      <c r="OIG402" s="148"/>
      <c r="OIH402" s="148"/>
      <c r="OII402" s="148"/>
      <c r="OIJ402" s="148"/>
      <c r="OIK402" s="148"/>
      <c r="OIL402" s="148"/>
      <c r="OIM402" s="148"/>
      <c r="OIN402" s="148"/>
      <c r="OIO402" s="148"/>
      <c r="OIP402" s="148"/>
      <c r="OIQ402" s="148"/>
      <c r="OIR402" s="148"/>
      <c r="OIS402" s="148"/>
      <c r="OIT402" s="148"/>
      <c r="OIU402" s="148"/>
      <c r="OIV402" s="148"/>
      <c r="OIW402" s="148"/>
      <c r="OIX402" s="148"/>
      <c r="OIY402" s="148"/>
      <c r="OIZ402" s="148"/>
      <c r="OJA402" s="148"/>
      <c r="OJB402" s="148"/>
      <c r="OJC402" s="148"/>
      <c r="OJD402" s="148"/>
      <c r="OJE402" s="148"/>
      <c r="OJF402" s="148"/>
      <c r="OJG402" s="148"/>
      <c r="OJH402" s="148"/>
      <c r="OJI402" s="148"/>
      <c r="OJJ402" s="148"/>
      <c r="OJK402" s="148"/>
      <c r="OJL402" s="148"/>
      <c r="OJM402" s="148"/>
      <c r="OJN402" s="148"/>
      <c r="OJO402" s="148"/>
      <c r="OJP402" s="148"/>
      <c r="OJQ402" s="148"/>
      <c r="OJR402" s="148"/>
      <c r="OJS402" s="148"/>
      <c r="OJT402" s="148"/>
      <c r="OJU402" s="148"/>
      <c r="OJV402" s="148"/>
      <c r="OJW402" s="148"/>
      <c r="OJX402" s="148"/>
      <c r="OJY402" s="148"/>
      <c r="OJZ402" s="148"/>
      <c r="OKA402" s="148"/>
      <c r="OKB402" s="148"/>
      <c r="OKC402" s="148"/>
      <c r="OKD402" s="148"/>
      <c r="OKE402" s="148"/>
      <c r="OKF402" s="148"/>
      <c r="OKG402" s="148"/>
      <c r="OKH402" s="148"/>
      <c r="OKI402" s="148"/>
      <c r="OKJ402" s="148"/>
      <c r="OKK402" s="148"/>
      <c r="OKL402" s="148"/>
      <c r="OKM402" s="148"/>
      <c r="OKN402" s="148"/>
      <c r="OKO402" s="148"/>
      <c r="OKP402" s="148"/>
      <c r="OKQ402" s="148"/>
      <c r="OKR402" s="148"/>
      <c r="OKS402" s="148"/>
      <c r="OKT402" s="148"/>
      <c r="OKU402" s="148"/>
      <c r="OKV402" s="148"/>
      <c r="OKW402" s="148"/>
      <c r="OKX402" s="148"/>
      <c r="OKY402" s="148"/>
      <c r="OKZ402" s="148"/>
      <c r="OLA402" s="148"/>
      <c r="OLB402" s="148"/>
      <c r="OLC402" s="148"/>
      <c r="OLD402" s="148"/>
      <c r="OLE402" s="148"/>
      <c r="OLF402" s="148"/>
      <c r="OLG402" s="148"/>
      <c r="OLH402" s="148"/>
      <c r="OLI402" s="148"/>
      <c r="OLJ402" s="148"/>
      <c r="OLK402" s="148"/>
      <c r="OLL402" s="148"/>
      <c r="OLM402" s="148"/>
      <c r="OLN402" s="148"/>
      <c r="OLO402" s="148"/>
      <c r="OLP402" s="148"/>
      <c r="OLQ402" s="148"/>
      <c r="OLR402" s="148"/>
      <c r="OLS402" s="148"/>
      <c r="OLT402" s="148"/>
      <c r="OLU402" s="148"/>
      <c r="OLV402" s="148"/>
      <c r="OLW402" s="148"/>
      <c r="OLX402" s="148"/>
      <c r="OLY402" s="148"/>
      <c r="OLZ402" s="148"/>
      <c r="OMA402" s="148"/>
      <c r="OMB402" s="148"/>
      <c r="OMC402" s="148"/>
      <c r="OMD402" s="148"/>
      <c r="OME402" s="148"/>
      <c r="OMF402" s="148"/>
      <c r="OMG402" s="148"/>
      <c r="OMH402" s="148"/>
      <c r="OMI402" s="148"/>
      <c r="OMJ402" s="148"/>
      <c r="OMK402" s="148"/>
      <c r="OML402" s="148"/>
      <c r="OMM402" s="148"/>
      <c r="OMN402" s="148"/>
      <c r="OMO402" s="148"/>
      <c r="OMP402" s="148"/>
      <c r="OMQ402" s="148"/>
      <c r="OMR402" s="148"/>
      <c r="OMS402" s="148"/>
      <c r="OMT402" s="148"/>
      <c r="OMU402" s="148"/>
      <c r="OMV402" s="148"/>
      <c r="OMW402" s="148"/>
      <c r="OMX402" s="148"/>
      <c r="OMY402" s="148"/>
      <c r="OMZ402" s="148"/>
      <c r="ONA402" s="148"/>
      <c r="ONB402" s="148"/>
      <c r="ONC402" s="148"/>
      <c r="OND402" s="148"/>
      <c r="ONE402" s="148"/>
      <c r="ONF402" s="148"/>
      <c r="ONG402" s="148"/>
      <c r="ONH402" s="148"/>
      <c r="ONI402" s="148"/>
      <c r="ONJ402" s="148"/>
      <c r="ONK402" s="148"/>
      <c r="ONL402" s="148"/>
      <c r="ONM402" s="148"/>
      <c r="ONN402" s="148"/>
      <c r="ONO402" s="148"/>
      <c r="ONP402" s="148"/>
      <c r="ONQ402" s="148"/>
      <c r="ONR402" s="148"/>
      <c r="ONS402" s="148"/>
      <c r="ONT402" s="148"/>
      <c r="ONU402" s="148"/>
      <c r="ONV402" s="148"/>
      <c r="ONW402" s="148"/>
      <c r="ONX402" s="148"/>
      <c r="ONY402" s="148"/>
      <c r="ONZ402" s="148"/>
      <c r="OOA402" s="148"/>
      <c r="OOB402" s="148"/>
      <c r="OOC402" s="148"/>
      <c r="OOD402" s="148"/>
      <c r="OOE402" s="148"/>
      <c r="OOF402" s="148"/>
      <c r="OOG402" s="148"/>
      <c r="OOH402" s="148"/>
      <c r="OOI402" s="148"/>
      <c r="OOJ402" s="148"/>
      <c r="OOK402" s="148"/>
      <c r="OOL402" s="148"/>
      <c r="OOM402" s="148"/>
      <c r="OON402" s="148"/>
      <c r="OOO402" s="148"/>
      <c r="OOP402" s="148"/>
      <c r="OOQ402" s="148"/>
      <c r="OOR402" s="148"/>
      <c r="OOS402" s="148"/>
      <c r="OOT402" s="148"/>
      <c r="OOU402" s="148"/>
      <c r="OOV402" s="148"/>
      <c r="OOW402" s="148"/>
      <c r="OOX402" s="148"/>
      <c r="OOY402" s="148"/>
      <c r="OOZ402" s="148"/>
      <c r="OPA402" s="148"/>
      <c r="OPB402" s="148"/>
      <c r="OPC402" s="148"/>
      <c r="OPD402" s="148"/>
      <c r="OPE402" s="148"/>
      <c r="OPF402" s="148"/>
      <c r="OPG402" s="148"/>
      <c r="OPH402" s="148"/>
      <c r="OPI402" s="148"/>
      <c r="OPJ402" s="148"/>
      <c r="OPK402" s="148"/>
      <c r="OPL402" s="148"/>
      <c r="OPM402" s="148"/>
      <c r="OPN402" s="148"/>
      <c r="OPO402" s="148"/>
      <c r="OPP402" s="148"/>
      <c r="OPQ402" s="148"/>
      <c r="OPR402" s="148"/>
      <c r="OPS402" s="148"/>
      <c r="OPT402" s="148"/>
      <c r="OPU402" s="148"/>
      <c r="OPV402" s="148"/>
      <c r="OPW402" s="148"/>
      <c r="OPX402" s="148"/>
      <c r="OPY402" s="148"/>
      <c r="OPZ402" s="148"/>
      <c r="OQA402" s="148"/>
      <c r="OQB402" s="148"/>
      <c r="OQC402" s="148"/>
      <c r="OQD402" s="148"/>
      <c r="OQE402" s="148"/>
      <c r="OQF402" s="148"/>
      <c r="OQG402" s="148"/>
      <c r="OQH402" s="148"/>
      <c r="OQI402" s="148"/>
      <c r="OQJ402" s="148"/>
      <c r="OQK402" s="148"/>
      <c r="OQL402" s="148"/>
      <c r="OQM402" s="148"/>
      <c r="OQN402" s="148"/>
      <c r="OQO402" s="148"/>
      <c r="OQP402" s="148"/>
      <c r="OQQ402" s="148"/>
      <c r="OQR402" s="148"/>
      <c r="OQS402" s="148"/>
      <c r="OQT402" s="148"/>
      <c r="OQU402" s="148"/>
      <c r="OQV402" s="148"/>
      <c r="OQW402" s="148"/>
      <c r="OQX402" s="148"/>
      <c r="OQY402" s="148"/>
      <c r="OQZ402" s="148"/>
      <c r="ORA402" s="148"/>
      <c r="ORB402" s="148"/>
      <c r="ORC402" s="148"/>
      <c r="ORD402" s="148"/>
      <c r="ORE402" s="148"/>
      <c r="ORF402" s="148"/>
      <c r="ORG402" s="148"/>
      <c r="ORH402" s="148"/>
      <c r="ORI402" s="148"/>
      <c r="ORJ402" s="148"/>
      <c r="ORK402" s="148"/>
      <c r="ORL402" s="148"/>
      <c r="ORM402" s="148"/>
      <c r="ORN402" s="148"/>
      <c r="ORO402" s="148"/>
      <c r="ORP402" s="148"/>
      <c r="ORQ402" s="148"/>
      <c r="ORR402" s="148"/>
      <c r="ORS402" s="148"/>
      <c r="ORT402" s="148"/>
      <c r="ORU402" s="148"/>
      <c r="ORV402" s="148"/>
      <c r="ORW402" s="148"/>
      <c r="ORX402" s="148"/>
      <c r="ORY402" s="148"/>
      <c r="ORZ402" s="148"/>
      <c r="OSA402" s="148"/>
      <c r="OSB402" s="148"/>
      <c r="OSC402" s="148"/>
      <c r="OSD402" s="148"/>
      <c r="OSE402" s="148"/>
      <c r="OSF402" s="148"/>
      <c r="OSG402" s="148"/>
      <c r="OSH402" s="148"/>
      <c r="OSI402" s="148"/>
      <c r="OSJ402" s="148"/>
      <c r="OSK402" s="148"/>
      <c r="OSL402" s="148"/>
      <c r="OSM402" s="148"/>
      <c r="OSN402" s="148"/>
      <c r="OSO402" s="148"/>
      <c r="OSP402" s="148"/>
      <c r="OSQ402" s="148"/>
      <c r="OSR402" s="148"/>
      <c r="OSS402" s="148"/>
      <c r="OST402" s="148"/>
      <c r="OSU402" s="148"/>
      <c r="OSV402" s="148"/>
      <c r="OSW402" s="148"/>
      <c r="OSX402" s="148"/>
      <c r="OSY402" s="148"/>
      <c r="OSZ402" s="148"/>
      <c r="OTA402" s="148"/>
      <c r="OTB402" s="148"/>
      <c r="OTC402" s="148"/>
      <c r="OTD402" s="148"/>
      <c r="OTE402" s="148"/>
      <c r="OTF402" s="148"/>
      <c r="OTG402" s="148"/>
      <c r="OTH402" s="148"/>
      <c r="OTI402" s="148"/>
      <c r="OTJ402" s="148"/>
      <c r="OTK402" s="148"/>
      <c r="OTL402" s="148"/>
      <c r="OTM402" s="148"/>
      <c r="OTN402" s="148"/>
      <c r="OTO402" s="148"/>
      <c r="OTP402" s="148"/>
      <c r="OTQ402" s="148"/>
      <c r="OTR402" s="148"/>
      <c r="OTS402" s="148"/>
      <c r="OTT402" s="148"/>
      <c r="OTU402" s="148"/>
      <c r="OTV402" s="148"/>
      <c r="OTW402" s="148"/>
      <c r="OTX402" s="148"/>
      <c r="OTY402" s="148"/>
      <c r="OTZ402" s="148"/>
      <c r="OUA402" s="148"/>
      <c r="OUB402" s="148"/>
      <c r="OUC402" s="148"/>
      <c r="OUD402" s="148"/>
      <c r="OUE402" s="148"/>
      <c r="OUF402" s="148"/>
      <c r="OUG402" s="148"/>
      <c r="OUH402" s="148"/>
      <c r="OUI402" s="148"/>
      <c r="OUJ402" s="148"/>
      <c r="OUK402" s="148"/>
      <c r="OUL402" s="148"/>
      <c r="OUM402" s="148"/>
      <c r="OUN402" s="148"/>
      <c r="OUO402" s="148"/>
      <c r="OUP402" s="148"/>
      <c r="OUQ402" s="148"/>
      <c r="OUR402" s="148"/>
      <c r="OUS402" s="148"/>
      <c r="OUT402" s="148"/>
      <c r="OUU402" s="148"/>
      <c r="OUV402" s="148"/>
      <c r="OUW402" s="148"/>
      <c r="OUX402" s="148"/>
      <c r="OUY402" s="148"/>
      <c r="OUZ402" s="148"/>
      <c r="OVA402" s="148"/>
      <c r="OVB402" s="148"/>
      <c r="OVC402" s="148"/>
      <c r="OVD402" s="148"/>
      <c r="OVE402" s="148"/>
      <c r="OVF402" s="148"/>
      <c r="OVG402" s="148"/>
      <c r="OVH402" s="148"/>
      <c r="OVI402" s="148"/>
      <c r="OVJ402" s="148"/>
      <c r="OVK402" s="148"/>
      <c r="OVL402" s="148"/>
      <c r="OVM402" s="148"/>
      <c r="OVN402" s="148"/>
      <c r="OVO402" s="148"/>
      <c r="OVP402" s="148"/>
      <c r="OVQ402" s="148"/>
      <c r="OVR402" s="148"/>
      <c r="OVS402" s="148"/>
      <c r="OVT402" s="148"/>
      <c r="OVU402" s="148"/>
      <c r="OVV402" s="148"/>
      <c r="OVW402" s="148"/>
      <c r="OVX402" s="148"/>
      <c r="OVY402" s="148"/>
      <c r="OVZ402" s="148"/>
      <c r="OWA402" s="148"/>
      <c r="OWB402" s="148"/>
      <c r="OWC402" s="148"/>
      <c r="OWD402" s="148"/>
      <c r="OWE402" s="148"/>
      <c r="OWF402" s="148"/>
      <c r="OWG402" s="148"/>
      <c r="OWH402" s="148"/>
      <c r="OWI402" s="148"/>
      <c r="OWJ402" s="148"/>
      <c r="OWK402" s="148"/>
      <c r="OWL402" s="148"/>
      <c r="OWM402" s="148"/>
      <c r="OWN402" s="148"/>
      <c r="OWO402" s="148"/>
      <c r="OWP402" s="148"/>
      <c r="OWQ402" s="148"/>
      <c r="OWR402" s="148"/>
      <c r="OWS402" s="148"/>
      <c r="OWT402" s="148"/>
      <c r="OWU402" s="148"/>
      <c r="OWV402" s="148"/>
      <c r="OWW402" s="148"/>
      <c r="OWX402" s="148"/>
      <c r="OWY402" s="148"/>
      <c r="OWZ402" s="148"/>
      <c r="OXA402" s="148"/>
      <c r="OXB402" s="148"/>
      <c r="OXC402" s="148"/>
      <c r="OXD402" s="148"/>
      <c r="OXE402" s="148"/>
      <c r="OXF402" s="148"/>
      <c r="OXG402" s="148"/>
      <c r="OXH402" s="148"/>
      <c r="OXI402" s="148"/>
      <c r="OXJ402" s="148"/>
      <c r="OXK402" s="148"/>
      <c r="OXL402" s="148"/>
      <c r="OXM402" s="148"/>
      <c r="OXN402" s="148"/>
      <c r="OXO402" s="148"/>
      <c r="OXP402" s="148"/>
      <c r="OXQ402" s="148"/>
      <c r="OXR402" s="148"/>
      <c r="OXS402" s="148"/>
      <c r="OXT402" s="148"/>
      <c r="OXU402" s="148"/>
      <c r="OXV402" s="148"/>
      <c r="OXW402" s="148"/>
      <c r="OXX402" s="148"/>
      <c r="OXY402" s="148"/>
      <c r="OXZ402" s="148"/>
      <c r="OYA402" s="148"/>
      <c r="OYB402" s="148"/>
      <c r="OYC402" s="148"/>
      <c r="OYD402" s="148"/>
      <c r="OYE402" s="148"/>
      <c r="OYF402" s="148"/>
      <c r="OYG402" s="148"/>
      <c r="OYH402" s="148"/>
      <c r="OYI402" s="148"/>
      <c r="OYJ402" s="148"/>
      <c r="OYK402" s="148"/>
      <c r="OYL402" s="148"/>
      <c r="OYM402" s="148"/>
      <c r="OYN402" s="148"/>
      <c r="OYO402" s="148"/>
      <c r="OYP402" s="148"/>
      <c r="OYQ402" s="148"/>
      <c r="OYR402" s="148"/>
      <c r="OYS402" s="148"/>
      <c r="OYT402" s="148"/>
      <c r="OYU402" s="148"/>
      <c r="OYV402" s="148"/>
      <c r="OYW402" s="148"/>
      <c r="OYX402" s="148"/>
      <c r="OYY402" s="148"/>
      <c r="OYZ402" s="148"/>
      <c r="OZA402" s="148"/>
      <c r="OZB402" s="148"/>
      <c r="OZC402" s="148"/>
      <c r="OZD402" s="148"/>
      <c r="OZE402" s="148"/>
      <c r="OZF402" s="148"/>
      <c r="OZG402" s="148"/>
      <c r="OZH402" s="148"/>
      <c r="OZI402" s="148"/>
      <c r="OZJ402" s="148"/>
      <c r="OZK402" s="148"/>
      <c r="OZL402" s="148"/>
      <c r="OZM402" s="148"/>
      <c r="OZN402" s="148"/>
      <c r="OZO402" s="148"/>
      <c r="OZP402" s="148"/>
      <c r="OZQ402" s="148"/>
      <c r="OZR402" s="148"/>
      <c r="OZS402" s="148"/>
      <c r="OZT402" s="148"/>
      <c r="OZU402" s="148"/>
      <c r="OZV402" s="148"/>
      <c r="OZW402" s="148"/>
      <c r="OZX402" s="148"/>
      <c r="OZY402" s="148"/>
      <c r="OZZ402" s="148"/>
      <c r="PAA402" s="148"/>
      <c r="PAB402" s="148"/>
      <c r="PAC402" s="148"/>
      <c r="PAD402" s="148"/>
      <c r="PAE402" s="148"/>
      <c r="PAF402" s="148"/>
      <c r="PAG402" s="148"/>
      <c r="PAH402" s="148"/>
      <c r="PAI402" s="148"/>
      <c r="PAJ402" s="148"/>
      <c r="PAK402" s="148"/>
      <c r="PAL402" s="148"/>
      <c r="PAM402" s="148"/>
      <c r="PAN402" s="148"/>
      <c r="PAO402" s="148"/>
      <c r="PAP402" s="148"/>
      <c r="PAQ402" s="148"/>
      <c r="PAR402" s="148"/>
      <c r="PAS402" s="148"/>
      <c r="PAT402" s="148"/>
      <c r="PAU402" s="148"/>
      <c r="PAV402" s="148"/>
      <c r="PAW402" s="148"/>
      <c r="PAX402" s="148"/>
      <c r="PAY402" s="148"/>
      <c r="PAZ402" s="148"/>
      <c r="PBA402" s="148"/>
      <c r="PBB402" s="148"/>
      <c r="PBC402" s="148"/>
      <c r="PBD402" s="148"/>
      <c r="PBE402" s="148"/>
      <c r="PBF402" s="148"/>
      <c r="PBG402" s="148"/>
      <c r="PBH402" s="148"/>
      <c r="PBI402" s="148"/>
      <c r="PBJ402" s="148"/>
      <c r="PBK402" s="148"/>
      <c r="PBL402" s="148"/>
      <c r="PBM402" s="148"/>
      <c r="PBN402" s="148"/>
      <c r="PBO402" s="148"/>
      <c r="PBP402" s="148"/>
      <c r="PBQ402" s="148"/>
      <c r="PBR402" s="148"/>
      <c r="PBS402" s="148"/>
      <c r="PBT402" s="148"/>
      <c r="PBU402" s="148"/>
      <c r="PBV402" s="148"/>
      <c r="PBW402" s="148"/>
      <c r="PBX402" s="148"/>
      <c r="PBY402" s="148"/>
      <c r="PBZ402" s="148"/>
      <c r="PCA402" s="148"/>
      <c r="PCB402" s="148"/>
      <c r="PCC402" s="148"/>
      <c r="PCD402" s="148"/>
      <c r="PCE402" s="148"/>
      <c r="PCF402" s="148"/>
      <c r="PCG402" s="148"/>
      <c r="PCH402" s="148"/>
      <c r="PCI402" s="148"/>
      <c r="PCJ402" s="148"/>
      <c r="PCK402" s="148"/>
      <c r="PCL402" s="148"/>
      <c r="PCM402" s="148"/>
      <c r="PCN402" s="148"/>
      <c r="PCO402" s="148"/>
      <c r="PCP402" s="148"/>
      <c r="PCQ402" s="148"/>
      <c r="PCR402" s="148"/>
      <c r="PCS402" s="148"/>
      <c r="PCT402" s="148"/>
      <c r="PCU402" s="148"/>
      <c r="PCV402" s="148"/>
      <c r="PCW402" s="148"/>
      <c r="PCX402" s="148"/>
      <c r="PCY402" s="148"/>
      <c r="PCZ402" s="148"/>
      <c r="PDA402" s="148"/>
      <c r="PDB402" s="148"/>
      <c r="PDC402" s="148"/>
      <c r="PDD402" s="148"/>
      <c r="PDE402" s="148"/>
      <c r="PDF402" s="148"/>
      <c r="PDG402" s="148"/>
      <c r="PDH402" s="148"/>
      <c r="PDI402" s="148"/>
      <c r="PDJ402" s="148"/>
      <c r="PDK402" s="148"/>
      <c r="PDL402" s="148"/>
      <c r="PDM402" s="148"/>
      <c r="PDN402" s="148"/>
      <c r="PDO402" s="148"/>
      <c r="PDP402" s="148"/>
      <c r="PDQ402" s="148"/>
      <c r="PDR402" s="148"/>
      <c r="PDS402" s="148"/>
      <c r="PDT402" s="148"/>
      <c r="PDU402" s="148"/>
      <c r="PDV402" s="148"/>
      <c r="PDW402" s="148"/>
      <c r="PDX402" s="148"/>
      <c r="PDY402" s="148"/>
      <c r="PDZ402" s="148"/>
      <c r="PEA402" s="148"/>
      <c r="PEB402" s="148"/>
      <c r="PEC402" s="148"/>
      <c r="PED402" s="148"/>
      <c r="PEE402" s="148"/>
      <c r="PEF402" s="148"/>
      <c r="PEG402" s="148"/>
      <c r="PEH402" s="148"/>
      <c r="PEI402" s="148"/>
      <c r="PEJ402" s="148"/>
      <c r="PEK402" s="148"/>
      <c r="PEL402" s="148"/>
      <c r="PEM402" s="148"/>
      <c r="PEN402" s="148"/>
      <c r="PEO402" s="148"/>
      <c r="PEP402" s="148"/>
      <c r="PEQ402" s="148"/>
      <c r="PER402" s="148"/>
      <c r="PES402" s="148"/>
      <c r="PET402" s="148"/>
      <c r="PEU402" s="148"/>
      <c r="PEV402" s="148"/>
      <c r="PEW402" s="148"/>
      <c r="PEX402" s="148"/>
      <c r="PEY402" s="148"/>
      <c r="PEZ402" s="148"/>
      <c r="PFA402" s="148"/>
      <c r="PFB402" s="148"/>
      <c r="PFC402" s="148"/>
      <c r="PFD402" s="148"/>
      <c r="PFE402" s="148"/>
      <c r="PFF402" s="148"/>
      <c r="PFG402" s="148"/>
      <c r="PFH402" s="148"/>
      <c r="PFI402" s="148"/>
      <c r="PFJ402" s="148"/>
      <c r="PFK402" s="148"/>
      <c r="PFL402" s="148"/>
      <c r="PFM402" s="148"/>
      <c r="PFN402" s="148"/>
      <c r="PFO402" s="148"/>
      <c r="PFP402" s="148"/>
      <c r="PFQ402" s="148"/>
      <c r="PFR402" s="148"/>
      <c r="PFS402" s="148"/>
      <c r="PFT402" s="148"/>
      <c r="PFU402" s="148"/>
      <c r="PFV402" s="148"/>
      <c r="PFW402" s="148"/>
      <c r="PFX402" s="148"/>
      <c r="PFY402" s="148"/>
      <c r="PFZ402" s="148"/>
      <c r="PGA402" s="148"/>
      <c r="PGB402" s="148"/>
      <c r="PGC402" s="148"/>
      <c r="PGD402" s="148"/>
      <c r="PGE402" s="148"/>
      <c r="PGF402" s="148"/>
      <c r="PGG402" s="148"/>
      <c r="PGH402" s="148"/>
      <c r="PGI402" s="148"/>
      <c r="PGJ402" s="148"/>
      <c r="PGK402" s="148"/>
      <c r="PGL402" s="148"/>
      <c r="PGM402" s="148"/>
      <c r="PGN402" s="148"/>
      <c r="PGO402" s="148"/>
      <c r="PGP402" s="148"/>
      <c r="PGQ402" s="148"/>
      <c r="PGR402" s="148"/>
      <c r="PGS402" s="148"/>
      <c r="PGT402" s="148"/>
      <c r="PGU402" s="148"/>
      <c r="PGV402" s="148"/>
      <c r="PGW402" s="148"/>
      <c r="PGX402" s="148"/>
      <c r="PGY402" s="148"/>
      <c r="PGZ402" s="148"/>
      <c r="PHA402" s="148"/>
      <c r="PHB402" s="148"/>
      <c r="PHC402" s="148"/>
      <c r="PHD402" s="148"/>
      <c r="PHE402" s="148"/>
      <c r="PHF402" s="148"/>
      <c r="PHG402" s="148"/>
      <c r="PHH402" s="148"/>
      <c r="PHI402" s="148"/>
      <c r="PHJ402" s="148"/>
      <c r="PHK402" s="148"/>
      <c r="PHL402" s="148"/>
      <c r="PHM402" s="148"/>
      <c r="PHN402" s="148"/>
      <c r="PHO402" s="148"/>
      <c r="PHP402" s="148"/>
      <c r="PHQ402" s="148"/>
      <c r="PHR402" s="148"/>
      <c r="PHS402" s="148"/>
      <c r="PHT402" s="148"/>
      <c r="PHU402" s="148"/>
      <c r="PHV402" s="148"/>
      <c r="PHW402" s="148"/>
      <c r="PHX402" s="148"/>
      <c r="PHY402" s="148"/>
      <c r="PHZ402" s="148"/>
      <c r="PIA402" s="148"/>
      <c r="PIB402" s="148"/>
      <c r="PIC402" s="148"/>
      <c r="PID402" s="148"/>
      <c r="PIE402" s="148"/>
      <c r="PIF402" s="148"/>
      <c r="PIG402" s="148"/>
      <c r="PIH402" s="148"/>
      <c r="PII402" s="148"/>
      <c r="PIJ402" s="148"/>
      <c r="PIK402" s="148"/>
      <c r="PIL402" s="148"/>
      <c r="PIM402" s="148"/>
      <c r="PIN402" s="148"/>
      <c r="PIO402" s="148"/>
      <c r="PIP402" s="148"/>
      <c r="PIQ402" s="148"/>
      <c r="PIR402" s="148"/>
      <c r="PIS402" s="148"/>
      <c r="PIT402" s="148"/>
      <c r="PIU402" s="148"/>
      <c r="PIV402" s="148"/>
      <c r="PIW402" s="148"/>
      <c r="PIX402" s="148"/>
      <c r="PIY402" s="148"/>
      <c r="PIZ402" s="148"/>
      <c r="PJA402" s="148"/>
      <c r="PJB402" s="148"/>
      <c r="PJC402" s="148"/>
      <c r="PJD402" s="148"/>
      <c r="PJE402" s="148"/>
      <c r="PJF402" s="148"/>
      <c r="PJG402" s="148"/>
      <c r="PJH402" s="148"/>
      <c r="PJI402" s="148"/>
      <c r="PJJ402" s="148"/>
      <c r="PJK402" s="148"/>
      <c r="PJL402" s="148"/>
      <c r="PJM402" s="148"/>
      <c r="PJN402" s="148"/>
      <c r="PJO402" s="148"/>
      <c r="PJP402" s="148"/>
      <c r="PJQ402" s="148"/>
      <c r="PJR402" s="148"/>
      <c r="PJS402" s="148"/>
      <c r="PJT402" s="148"/>
      <c r="PJU402" s="148"/>
      <c r="PJV402" s="148"/>
      <c r="PJW402" s="148"/>
      <c r="PJX402" s="148"/>
      <c r="PJY402" s="148"/>
      <c r="PJZ402" s="148"/>
      <c r="PKA402" s="148"/>
      <c r="PKB402" s="148"/>
      <c r="PKC402" s="148"/>
      <c r="PKD402" s="148"/>
      <c r="PKE402" s="148"/>
      <c r="PKF402" s="148"/>
      <c r="PKG402" s="148"/>
      <c r="PKH402" s="148"/>
      <c r="PKI402" s="148"/>
      <c r="PKJ402" s="148"/>
      <c r="PKK402" s="148"/>
      <c r="PKL402" s="148"/>
      <c r="PKM402" s="148"/>
      <c r="PKN402" s="148"/>
      <c r="PKO402" s="148"/>
      <c r="PKP402" s="148"/>
      <c r="PKQ402" s="148"/>
      <c r="PKR402" s="148"/>
      <c r="PKS402" s="148"/>
      <c r="PKT402" s="148"/>
      <c r="PKU402" s="148"/>
      <c r="PKV402" s="148"/>
      <c r="PKW402" s="148"/>
      <c r="PKX402" s="148"/>
      <c r="PKY402" s="148"/>
      <c r="PKZ402" s="148"/>
      <c r="PLA402" s="148"/>
      <c r="PLB402" s="148"/>
      <c r="PLC402" s="148"/>
      <c r="PLD402" s="148"/>
      <c r="PLE402" s="148"/>
      <c r="PLF402" s="148"/>
      <c r="PLG402" s="148"/>
      <c r="PLH402" s="148"/>
      <c r="PLI402" s="148"/>
      <c r="PLJ402" s="148"/>
      <c r="PLK402" s="148"/>
      <c r="PLL402" s="148"/>
      <c r="PLM402" s="148"/>
      <c r="PLN402" s="148"/>
      <c r="PLO402" s="148"/>
      <c r="PLP402" s="148"/>
      <c r="PLQ402" s="148"/>
      <c r="PLR402" s="148"/>
      <c r="PLS402" s="148"/>
      <c r="PLT402" s="148"/>
      <c r="PLU402" s="148"/>
      <c r="PLV402" s="148"/>
      <c r="PLW402" s="148"/>
      <c r="PLX402" s="148"/>
      <c r="PLY402" s="148"/>
      <c r="PLZ402" s="148"/>
      <c r="PMA402" s="148"/>
      <c r="PMB402" s="148"/>
      <c r="PMC402" s="148"/>
      <c r="PMD402" s="148"/>
      <c r="PME402" s="148"/>
      <c r="PMF402" s="148"/>
      <c r="PMG402" s="148"/>
      <c r="PMH402" s="148"/>
      <c r="PMI402" s="148"/>
      <c r="PMJ402" s="148"/>
      <c r="PMK402" s="148"/>
      <c r="PML402" s="148"/>
      <c r="PMM402" s="148"/>
      <c r="PMN402" s="148"/>
      <c r="PMO402" s="148"/>
      <c r="PMP402" s="148"/>
      <c r="PMQ402" s="148"/>
      <c r="PMR402" s="148"/>
      <c r="PMS402" s="148"/>
      <c r="PMT402" s="148"/>
      <c r="PMU402" s="148"/>
      <c r="PMV402" s="148"/>
      <c r="PMW402" s="148"/>
      <c r="PMX402" s="148"/>
      <c r="PMY402" s="148"/>
      <c r="PMZ402" s="148"/>
      <c r="PNA402" s="148"/>
      <c r="PNB402" s="148"/>
      <c r="PNC402" s="148"/>
      <c r="PND402" s="148"/>
      <c r="PNE402" s="148"/>
      <c r="PNF402" s="148"/>
      <c r="PNG402" s="148"/>
      <c r="PNH402" s="148"/>
      <c r="PNI402" s="148"/>
      <c r="PNJ402" s="148"/>
      <c r="PNK402" s="148"/>
      <c r="PNL402" s="148"/>
      <c r="PNM402" s="148"/>
      <c r="PNN402" s="148"/>
      <c r="PNO402" s="148"/>
      <c r="PNP402" s="148"/>
      <c r="PNQ402" s="148"/>
      <c r="PNR402" s="148"/>
      <c r="PNS402" s="148"/>
      <c r="PNT402" s="148"/>
      <c r="PNU402" s="148"/>
      <c r="PNV402" s="148"/>
      <c r="PNW402" s="148"/>
      <c r="PNX402" s="148"/>
      <c r="PNY402" s="148"/>
      <c r="PNZ402" s="148"/>
      <c r="POA402" s="148"/>
      <c r="POB402" s="148"/>
      <c r="POC402" s="148"/>
      <c r="POD402" s="148"/>
      <c r="POE402" s="148"/>
      <c r="POF402" s="148"/>
      <c r="POG402" s="148"/>
      <c r="POH402" s="148"/>
      <c r="POI402" s="148"/>
      <c r="POJ402" s="148"/>
      <c r="POK402" s="148"/>
      <c r="POL402" s="148"/>
      <c r="POM402" s="148"/>
      <c r="PON402" s="148"/>
      <c r="POO402" s="148"/>
      <c r="POP402" s="148"/>
      <c r="POQ402" s="148"/>
      <c r="POR402" s="148"/>
      <c r="POS402" s="148"/>
      <c r="POT402" s="148"/>
      <c r="POU402" s="148"/>
      <c r="POV402" s="148"/>
      <c r="POW402" s="148"/>
      <c r="POX402" s="148"/>
      <c r="POY402" s="148"/>
      <c r="POZ402" s="148"/>
      <c r="PPA402" s="148"/>
      <c r="PPB402" s="148"/>
      <c r="PPC402" s="148"/>
      <c r="PPD402" s="148"/>
      <c r="PPE402" s="148"/>
      <c r="PPF402" s="148"/>
      <c r="PPG402" s="148"/>
      <c r="PPH402" s="148"/>
      <c r="PPI402" s="148"/>
      <c r="PPJ402" s="148"/>
      <c r="PPK402" s="148"/>
      <c r="PPL402" s="148"/>
      <c r="PPM402" s="148"/>
      <c r="PPN402" s="148"/>
      <c r="PPO402" s="148"/>
      <c r="PPP402" s="148"/>
      <c r="PPQ402" s="148"/>
      <c r="PPR402" s="148"/>
      <c r="PPS402" s="148"/>
      <c r="PPT402" s="148"/>
      <c r="PPU402" s="148"/>
      <c r="PPV402" s="148"/>
      <c r="PPW402" s="148"/>
      <c r="PPX402" s="148"/>
      <c r="PPY402" s="148"/>
      <c r="PPZ402" s="148"/>
      <c r="PQA402" s="148"/>
      <c r="PQB402" s="148"/>
      <c r="PQC402" s="148"/>
      <c r="PQD402" s="148"/>
      <c r="PQE402" s="148"/>
      <c r="PQF402" s="148"/>
      <c r="PQG402" s="148"/>
      <c r="PQH402" s="148"/>
      <c r="PQI402" s="148"/>
      <c r="PQJ402" s="148"/>
      <c r="PQK402" s="148"/>
      <c r="PQL402" s="148"/>
      <c r="PQM402" s="148"/>
      <c r="PQN402" s="148"/>
      <c r="PQO402" s="148"/>
      <c r="PQP402" s="148"/>
      <c r="PQQ402" s="148"/>
      <c r="PQR402" s="148"/>
      <c r="PQS402" s="148"/>
      <c r="PQT402" s="148"/>
      <c r="PQU402" s="148"/>
      <c r="PQV402" s="148"/>
      <c r="PQW402" s="148"/>
      <c r="PQX402" s="148"/>
      <c r="PQY402" s="148"/>
      <c r="PQZ402" s="148"/>
      <c r="PRA402" s="148"/>
      <c r="PRB402" s="148"/>
      <c r="PRC402" s="148"/>
      <c r="PRD402" s="148"/>
      <c r="PRE402" s="148"/>
      <c r="PRF402" s="148"/>
      <c r="PRG402" s="148"/>
      <c r="PRH402" s="148"/>
      <c r="PRI402" s="148"/>
      <c r="PRJ402" s="148"/>
      <c r="PRK402" s="148"/>
      <c r="PRL402" s="148"/>
      <c r="PRM402" s="148"/>
      <c r="PRN402" s="148"/>
      <c r="PRO402" s="148"/>
      <c r="PRP402" s="148"/>
      <c r="PRQ402" s="148"/>
      <c r="PRR402" s="148"/>
      <c r="PRS402" s="148"/>
      <c r="PRT402" s="148"/>
      <c r="PRU402" s="148"/>
      <c r="PRV402" s="148"/>
      <c r="PRW402" s="148"/>
      <c r="PRX402" s="148"/>
      <c r="PRY402" s="148"/>
      <c r="PRZ402" s="148"/>
      <c r="PSA402" s="148"/>
      <c r="PSB402" s="148"/>
      <c r="PSC402" s="148"/>
      <c r="PSD402" s="148"/>
      <c r="PSE402" s="148"/>
      <c r="PSF402" s="148"/>
      <c r="PSG402" s="148"/>
      <c r="PSH402" s="148"/>
      <c r="PSI402" s="148"/>
      <c r="PSJ402" s="148"/>
      <c r="PSK402" s="148"/>
      <c r="PSL402" s="148"/>
      <c r="PSM402" s="148"/>
      <c r="PSN402" s="148"/>
      <c r="PSO402" s="148"/>
      <c r="PSP402" s="148"/>
      <c r="PSQ402" s="148"/>
      <c r="PSR402" s="148"/>
      <c r="PSS402" s="148"/>
      <c r="PST402" s="148"/>
      <c r="PSU402" s="148"/>
      <c r="PSV402" s="148"/>
      <c r="PSW402" s="148"/>
      <c r="PSX402" s="148"/>
      <c r="PSY402" s="148"/>
      <c r="PSZ402" s="148"/>
      <c r="PTA402" s="148"/>
      <c r="PTB402" s="148"/>
      <c r="PTC402" s="148"/>
      <c r="PTD402" s="148"/>
      <c r="PTE402" s="148"/>
      <c r="PTF402" s="148"/>
      <c r="PTG402" s="148"/>
      <c r="PTH402" s="148"/>
      <c r="PTI402" s="148"/>
      <c r="PTJ402" s="148"/>
      <c r="PTK402" s="148"/>
      <c r="PTL402" s="148"/>
      <c r="PTM402" s="148"/>
      <c r="PTN402" s="148"/>
      <c r="PTO402" s="148"/>
      <c r="PTP402" s="148"/>
      <c r="PTQ402" s="148"/>
      <c r="PTR402" s="148"/>
      <c r="PTS402" s="148"/>
      <c r="PTT402" s="148"/>
      <c r="PTU402" s="148"/>
      <c r="PTV402" s="148"/>
      <c r="PTW402" s="148"/>
      <c r="PTX402" s="148"/>
      <c r="PTY402" s="148"/>
      <c r="PTZ402" s="148"/>
      <c r="PUA402" s="148"/>
      <c r="PUB402" s="148"/>
      <c r="PUC402" s="148"/>
      <c r="PUD402" s="148"/>
      <c r="PUE402" s="148"/>
      <c r="PUF402" s="148"/>
      <c r="PUG402" s="148"/>
      <c r="PUH402" s="148"/>
      <c r="PUI402" s="148"/>
      <c r="PUJ402" s="148"/>
      <c r="PUK402" s="148"/>
      <c r="PUL402" s="148"/>
      <c r="PUM402" s="148"/>
      <c r="PUN402" s="148"/>
      <c r="PUO402" s="148"/>
      <c r="PUP402" s="148"/>
      <c r="PUQ402" s="148"/>
      <c r="PUR402" s="148"/>
      <c r="PUS402" s="148"/>
      <c r="PUT402" s="148"/>
      <c r="PUU402" s="148"/>
      <c r="PUV402" s="148"/>
      <c r="PUW402" s="148"/>
      <c r="PUX402" s="148"/>
      <c r="PUY402" s="148"/>
      <c r="PUZ402" s="148"/>
      <c r="PVA402" s="148"/>
      <c r="PVB402" s="148"/>
      <c r="PVC402" s="148"/>
      <c r="PVD402" s="148"/>
      <c r="PVE402" s="148"/>
      <c r="PVF402" s="148"/>
      <c r="PVG402" s="148"/>
      <c r="PVH402" s="148"/>
      <c r="PVI402" s="148"/>
      <c r="PVJ402" s="148"/>
      <c r="PVK402" s="148"/>
      <c r="PVL402" s="148"/>
      <c r="PVM402" s="148"/>
      <c r="PVN402" s="148"/>
      <c r="PVO402" s="148"/>
      <c r="PVP402" s="148"/>
      <c r="PVQ402" s="148"/>
      <c r="PVR402" s="148"/>
      <c r="PVS402" s="148"/>
      <c r="PVT402" s="148"/>
      <c r="PVU402" s="148"/>
      <c r="PVV402" s="148"/>
      <c r="PVW402" s="148"/>
      <c r="PVX402" s="148"/>
      <c r="PVY402" s="148"/>
      <c r="PVZ402" s="148"/>
      <c r="PWA402" s="148"/>
      <c r="PWB402" s="148"/>
      <c r="PWC402" s="148"/>
      <c r="PWD402" s="148"/>
      <c r="PWE402" s="148"/>
      <c r="PWF402" s="148"/>
      <c r="PWG402" s="148"/>
      <c r="PWH402" s="148"/>
      <c r="PWI402" s="148"/>
      <c r="PWJ402" s="148"/>
      <c r="PWK402" s="148"/>
      <c r="PWL402" s="148"/>
      <c r="PWM402" s="148"/>
      <c r="PWN402" s="148"/>
      <c r="PWO402" s="148"/>
      <c r="PWP402" s="148"/>
      <c r="PWQ402" s="148"/>
      <c r="PWR402" s="148"/>
      <c r="PWS402" s="148"/>
      <c r="PWT402" s="148"/>
      <c r="PWU402" s="148"/>
      <c r="PWV402" s="148"/>
      <c r="PWW402" s="148"/>
      <c r="PWX402" s="148"/>
      <c r="PWY402" s="148"/>
      <c r="PWZ402" s="148"/>
      <c r="PXA402" s="148"/>
      <c r="PXB402" s="148"/>
      <c r="PXC402" s="148"/>
      <c r="PXD402" s="148"/>
      <c r="PXE402" s="148"/>
      <c r="PXF402" s="148"/>
      <c r="PXG402" s="148"/>
      <c r="PXH402" s="148"/>
      <c r="PXI402" s="148"/>
      <c r="PXJ402" s="148"/>
      <c r="PXK402" s="148"/>
      <c r="PXL402" s="148"/>
      <c r="PXM402" s="148"/>
      <c r="PXN402" s="148"/>
      <c r="PXO402" s="148"/>
      <c r="PXP402" s="148"/>
      <c r="PXQ402" s="148"/>
      <c r="PXR402" s="148"/>
      <c r="PXS402" s="148"/>
      <c r="PXT402" s="148"/>
      <c r="PXU402" s="148"/>
      <c r="PXV402" s="148"/>
      <c r="PXW402" s="148"/>
      <c r="PXX402" s="148"/>
      <c r="PXY402" s="148"/>
      <c r="PXZ402" s="148"/>
      <c r="PYA402" s="148"/>
      <c r="PYB402" s="148"/>
      <c r="PYC402" s="148"/>
      <c r="PYD402" s="148"/>
      <c r="PYE402" s="148"/>
      <c r="PYF402" s="148"/>
      <c r="PYG402" s="148"/>
      <c r="PYH402" s="148"/>
      <c r="PYI402" s="148"/>
      <c r="PYJ402" s="148"/>
      <c r="PYK402" s="148"/>
      <c r="PYL402" s="148"/>
      <c r="PYM402" s="148"/>
      <c r="PYN402" s="148"/>
      <c r="PYO402" s="148"/>
      <c r="PYP402" s="148"/>
      <c r="PYQ402" s="148"/>
      <c r="PYR402" s="148"/>
      <c r="PYS402" s="148"/>
      <c r="PYT402" s="148"/>
      <c r="PYU402" s="148"/>
      <c r="PYV402" s="148"/>
      <c r="PYW402" s="148"/>
      <c r="PYX402" s="148"/>
      <c r="PYY402" s="148"/>
      <c r="PYZ402" s="148"/>
      <c r="PZA402" s="148"/>
      <c r="PZB402" s="148"/>
      <c r="PZC402" s="148"/>
      <c r="PZD402" s="148"/>
      <c r="PZE402" s="148"/>
      <c r="PZF402" s="148"/>
      <c r="PZG402" s="148"/>
      <c r="PZH402" s="148"/>
      <c r="PZI402" s="148"/>
      <c r="PZJ402" s="148"/>
      <c r="PZK402" s="148"/>
      <c r="PZL402" s="148"/>
      <c r="PZM402" s="148"/>
      <c r="PZN402" s="148"/>
      <c r="PZO402" s="148"/>
      <c r="PZP402" s="148"/>
      <c r="PZQ402" s="148"/>
      <c r="PZR402" s="148"/>
      <c r="PZS402" s="148"/>
      <c r="PZT402" s="148"/>
      <c r="PZU402" s="148"/>
      <c r="PZV402" s="148"/>
      <c r="PZW402" s="148"/>
      <c r="PZX402" s="148"/>
      <c r="PZY402" s="148"/>
      <c r="PZZ402" s="148"/>
      <c r="QAA402" s="148"/>
      <c r="QAB402" s="148"/>
      <c r="QAC402" s="148"/>
      <c r="QAD402" s="148"/>
      <c r="QAE402" s="148"/>
      <c r="QAF402" s="148"/>
      <c r="QAG402" s="148"/>
      <c r="QAH402" s="148"/>
      <c r="QAI402" s="148"/>
      <c r="QAJ402" s="148"/>
      <c r="QAK402" s="148"/>
      <c r="QAL402" s="148"/>
      <c r="QAM402" s="148"/>
      <c r="QAN402" s="148"/>
      <c r="QAO402" s="148"/>
      <c r="QAP402" s="148"/>
      <c r="QAQ402" s="148"/>
      <c r="QAR402" s="148"/>
      <c r="QAS402" s="148"/>
      <c r="QAT402" s="148"/>
      <c r="QAU402" s="148"/>
      <c r="QAV402" s="148"/>
      <c r="QAW402" s="148"/>
      <c r="QAX402" s="148"/>
      <c r="QAY402" s="148"/>
      <c r="QAZ402" s="148"/>
      <c r="QBA402" s="148"/>
      <c r="QBB402" s="148"/>
      <c r="QBC402" s="148"/>
      <c r="QBD402" s="148"/>
      <c r="QBE402" s="148"/>
      <c r="QBF402" s="148"/>
      <c r="QBG402" s="148"/>
      <c r="QBH402" s="148"/>
      <c r="QBI402" s="148"/>
      <c r="QBJ402" s="148"/>
      <c r="QBK402" s="148"/>
      <c r="QBL402" s="148"/>
      <c r="QBM402" s="148"/>
      <c r="QBN402" s="148"/>
      <c r="QBO402" s="148"/>
      <c r="QBP402" s="148"/>
      <c r="QBQ402" s="148"/>
      <c r="QBR402" s="148"/>
      <c r="QBS402" s="148"/>
      <c r="QBT402" s="148"/>
      <c r="QBU402" s="148"/>
      <c r="QBV402" s="148"/>
      <c r="QBW402" s="148"/>
      <c r="QBX402" s="148"/>
      <c r="QBY402" s="148"/>
      <c r="QBZ402" s="148"/>
      <c r="QCA402" s="148"/>
      <c r="QCB402" s="148"/>
      <c r="QCC402" s="148"/>
      <c r="QCD402" s="148"/>
      <c r="QCE402" s="148"/>
      <c r="QCF402" s="148"/>
      <c r="QCG402" s="148"/>
      <c r="QCH402" s="148"/>
      <c r="QCI402" s="148"/>
      <c r="QCJ402" s="148"/>
      <c r="QCK402" s="148"/>
      <c r="QCL402" s="148"/>
      <c r="QCM402" s="148"/>
      <c r="QCN402" s="148"/>
      <c r="QCO402" s="148"/>
      <c r="QCP402" s="148"/>
      <c r="QCQ402" s="148"/>
      <c r="QCR402" s="148"/>
      <c r="QCS402" s="148"/>
      <c r="QCT402" s="148"/>
      <c r="QCU402" s="148"/>
      <c r="QCV402" s="148"/>
      <c r="QCW402" s="148"/>
      <c r="QCX402" s="148"/>
      <c r="QCY402" s="148"/>
      <c r="QCZ402" s="148"/>
      <c r="QDA402" s="148"/>
      <c r="QDB402" s="148"/>
      <c r="QDC402" s="148"/>
      <c r="QDD402" s="148"/>
      <c r="QDE402" s="148"/>
      <c r="QDF402" s="148"/>
      <c r="QDG402" s="148"/>
      <c r="QDH402" s="148"/>
      <c r="QDI402" s="148"/>
      <c r="QDJ402" s="148"/>
      <c r="QDK402" s="148"/>
      <c r="QDL402" s="148"/>
      <c r="QDM402" s="148"/>
      <c r="QDN402" s="148"/>
      <c r="QDO402" s="148"/>
      <c r="QDP402" s="148"/>
      <c r="QDQ402" s="148"/>
      <c r="QDR402" s="148"/>
      <c r="QDS402" s="148"/>
      <c r="QDT402" s="148"/>
      <c r="QDU402" s="148"/>
      <c r="QDV402" s="148"/>
      <c r="QDW402" s="148"/>
      <c r="QDX402" s="148"/>
      <c r="QDY402" s="148"/>
      <c r="QDZ402" s="148"/>
      <c r="QEA402" s="148"/>
      <c r="QEB402" s="148"/>
      <c r="QEC402" s="148"/>
      <c r="QED402" s="148"/>
      <c r="QEE402" s="148"/>
      <c r="QEF402" s="148"/>
      <c r="QEG402" s="148"/>
      <c r="QEH402" s="148"/>
      <c r="QEI402" s="148"/>
      <c r="QEJ402" s="148"/>
      <c r="QEK402" s="148"/>
      <c r="QEL402" s="148"/>
      <c r="QEM402" s="148"/>
      <c r="QEN402" s="148"/>
      <c r="QEO402" s="148"/>
      <c r="QEP402" s="148"/>
      <c r="QEQ402" s="148"/>
      <c r="QER402" s="148"/>
      <c r="QES402" s="148"/>
      <c r="QET402" s="148"/>
      <c r="QEU402" s="148"/>
      <c r="QEV402" s="148"/>
      <c r="QEW402" s="148"/>
      <c r="QEX402" s="148"/>
      <c r="QEY402" s="148"/>
      <c r="QEZ402" s="148"/>
      <c r="QFA402" s="148"/>
      <c r="QFB402" s="148"/>
      <c r="QFC402" s="148"/>
      <c r="QFD402" s="148"/>
      <c r="QFE402" s="148"/>
      <c r="QFF402" s="148"/>
      <c r="QFG402" s="148"/>
      <c r="QFH402" s="148"/>
      <c r="QFI402" s="148"/>
      <c r="QFJ402" s="148"/>
      <c r="QFK402" s="148"/>
      <c r="QFL402" s="148"/>
      <c r="QFM402" s="148"/>
      <c r="QFN402" s="148"/>
      <c r="QFO402" s="148"/>
      <c r="QFP402" s="148"/>
      <c r="QFQ402" s="148"/>
      <c r="QFR402" s="148"/>
      <c r="QFS402" s="148"/>
      <c r="QFT402" s="148"/>
      <c r="QFU402" s="148"/>
      <c r="QFV402" s="148"/>
      <c r="QFW402" s="148"/>
      <c r="QFX402" s="148"/>
      <c r="QFY402" s="148"/>
      <c r="QFZ402" s="148"/>
      <c r="QGA402" s="148"/>
      <c r="QGB402" s="148"/>
      <c r="QGC402" s="148"/>
      <c r="QGD402" s="148"/>
      <c r="QGE402" s="148"/>
      <c r="QGF402" s="148"/>
      <c r="QGG402" s="148"/>
      <c r="QGH402" s="148"/>
      <c r="QGI402" s="148"/>
      <c r="QGJ402" s="148"/>
      <c r="QGK402" s="148"/>
      <c r="QGL402" s="148"/>
      <c r="QGM402" s="148"/>
      <c r="QGN402" s="148"/>
      <c r="QGO402" s="148"/>
      <c r="QGP402" s="148"/>
      <c r="QGQ402" s="148"/>
      <c r="QGR402" s="148"/>
      <c r="QGS402" s="148"/>
      <c r="QGT402" s="148"/>
      <c r="QGU402" s="148"/>
      <c r="QGV402" s="148"/>
      <c r="QGW402" s="148"/>
      <c r="QGX402" s="148"/>
      <c r="QGY402" s="148"/>
      <c r="QGZ402" s="148"/>
      <c r="QHA402" s="148"/>
      <c r="QHB402" s="148"/>
      <c r="QHC402" s="148"/>
      <c r="QHD402" s="148"/>
      <c r="QHE402" s="148"/>
      <c r="QHF402" s="148"/>
      <c r="QHG402" s="148"/>
      <c r="QHH402" s="148"/>
      <c r="QHI402" s="148"/>
      <c r="QHJ402" s="148"/>
      <c r="QHK402" s="148"/>
      <c r="QHL402" s="148"/>
      <c r="QHM402" s="148"/>
      <c r="QHN402" s="148"/>
      <c r="QHO402" s="148"/>
      <c r="QHP402" s="148"/>
      <c r="QHQ402" s="148"/>
      <c r="QHR402" s="148"/>
      <c r="QHS402" s="148"/>
      <c r="QHT402" s="148"/>
      <c r="QHU402" s="148"/>
      <c r="QHV402" s="148"/>
      <c r="QHW402" s="148"/>
      <c r="QHX402" s="148"/>
      <c r="QHY402" s="148"/>
      <c r="QHZ402" s="148"/>
      <c r="QIA402" s="148"/>
      <c r="QIB402" s="148"/>
      <c r="QIC402" s="148"/>
      <c r="QID402" s="148"/>
      <c r="QIE402" s="148"/>
      <c r="QIF402" s="148"/>
      <c r="QIG402" s="148"/>
      <c r="QIH402" s="148"/>
      <c r="QII402" s="148"/>
      <c r="QIJ402" s="148"/>
      <c r="QIK402" s="148"/>
      <c r="QIL402" s="148"/>
      <c r="QIM402" s="148"/>
      <c r="QIN402" s="148"/>
      <c r="QIO402" s="148"/>
      <c r="QIP402" s="148"/>
      <c r="QIQ402" s="148"/>
      <c r="QIR402" s="148"/>
      <c r="QIS402" s="148"/>
      <c r="QIT402" s="148"/>
      <c r="QIU402" s="148"/>
      <c r="QIV402" s="148"/>
      <c r="QIW402" s="148"/>
      <c r="QIX402" s="148"/>
      <c r="QIY402" s="148"/>
      <c r="QIZ402" s="148"/>
      <c r="QJA402" s="148"/>
      <c r="QJB402" s="148"/>
      <c r="QJC402" s="148"/>
      <c r="QJD402" s="148"/>
      <c r="QJE402" s="148"/>
      <c r="QJF402" s="148"/>
      <c r="QJG402" s="148"/>
      <c r="QJH402" s="148"/>
      <c r="QJI402" s="148"/>
      <c r="QJJ402" s="148"/>
      <c r="QJK402" s="148"/>
      <c r="QJL402" s="148"/>
      <c r="QJM402" s="148"/>
      <c r="QJN402" s="148"/>
      <c r="QJO402" s="148"/>
      <c r="QJP402" s="148"/>
      <c r="QJQ402" s="148"/>
      <c r="QJR402" s="148"/>
      <c r="QJS402" s="148"/>
      <c r="QJT402" s="148"/>
      <c r="QJU402" s="148"/>
      <c r="QJV402" s="148"/>
      <c r="QJW402" s="148"/>
      <c r="QJX402" s="148"/>
      <c r="QJY402" s="148"/>
      <c r="QJZ402" s="148"/>
      <c r="QKA402" s="148"/>
      <c r="QKB402" s="148"/>
      <c r="QKC402" s="148"/>
      <c r="QKD402" s="148"/>
      <c r="QKE402" s="148"/>
      <c r="QKF402" s="148"/>
      <c r="QKG402" s="148"/>
      <c r="QKH402" s="148"/>
      <c r="QKI402" s="148"/>
      <c r="QKJ402" s="148"/>
      <c r="QKK402" s="148"/>
      <c r="QKL402" s="148"/>
      <c r="QKM402" s="148"/>
      <c r="QKN402" s="148"/>
      <c r="QKO402" s="148"/>
      <c r="QKP402" s="148"/>
      <c r="QKQ402" s="148"/>
      <c r="QKR402" s="148"/>
      <c r="QKS402" s="148"/>
      <c r="QKT402" s="148"/>
      <c r="QKU402" s="148"/>
      <c r="QKV402" s="148"/>
      <c r="QKW402" s="148"/>
      <c r="QKX402" s="148"/>
      <c r="QKY402" s="148"/>
      <c r="QKZ402" s="148"/>
      <c r="QLA402" s="148"/>
      <c r="QLB402" s="148"/>
      <c r="QLC402" s="148"/>
      <c r="QLD402" s="148"/>
      <c r="QLE402" s="148"/>
      <c r="QLF402" s="148"/>
      <c r="QLG402" s="148"/>
      <c r="QLH402" s="148"/>
      <c r="QLI402" s="148"/>
      <c r="QLJ402" s="148"/>
      <c r="QLK402" s="148"/>
      <c r="QLL402" s="148"/>
      <c r="QLM402" s="148"/>
      <c r="QLN402" s="148"/>
      <c r="QLO402" s="148"/>
      <c r="QLP402" s="148"/>
      <c r="QLQ402" s="148"/>
      <c r="QLR402" s="148"/>
      <c r="QLS402" s="148"/>
      <c r="QLT402" s="148"/>
      <c r="QLU402" s="148"/>
      <c r="QLV402" s="148"/>
      <c r="QLW402" s="148"/>
      <c r="QLX402" s="148"/>
      <c r="QLY402" s="148"/>
      <c r="QLZ402" s="148"/>
      <c r="QMA402" s="148"/>
      <c r="QMB402" s="148"/>
      <c r="QMC402" s="148"/>
      <c r="QMD402" s="148"/>
      <c r="QME402" s="148"/>
      <c r="QMF402" s="148"/>
      <c r="QMG402" s="148"/>
      <c r="QMH402" s="148"/>
      <c r="QMI402" s="148"/>
      <c r="QMJ402" s="148"/>
      <c r="QMK402" s="148"/>
      <c r="QML402" s="148"/>
      <c r="QMM402" s="148"/>
      <c r="QMN402" s="148"/>
      <c r="QMO402" s="148"/>
      <c r="QMP402" s="148"/>
      <c r="QMQ402" s="148"/>
      <c r="QMR402" s="148"/>
      <c r="QMS402" s="148"/>
      <c r="QMT402" s="148"/>
      <c r="QMU402" s="148"/>
      <c r="QMV402" s="148"/>
      <c r="QMW402" s="148"/>
      <c r="QMX402" s="148"/>
      <c r="QMY402" s="148"/>
      <c r="QMZ402" s="148"/>
      <c r="QNA402" s="148"/>
      <c r="QNB402" s="148"/>
      <c r="QNC402" s="148"/>
      <c r="QND402" s="148"/>
      <c r="QNE402" s="148"/>
      <c r="QNF402" s="148"/>
      <c r="QNG402" s="148"/>
      <c r="QNH402" s="148"/>
      <c r="QNI402" s="148"/>
      <c r="QNJ402" s="148"/>
      <c r="QNK402" s="148"/>
      <c r="QNL402" s="148"/>
      <c r="QNM402" s="148"/>
      <c r="QNN402" s="148"/>
      <c r="QNO402" s="148"/>
      <c r="QNP402" s="148"/>
      <c r="QNQ402" s="148"/>
      <c r="QNR402" s="148"/>
      <c r="QNS402" s="148"/>
      <c r="QNT402" s="148"/>
      <c r="QNU402" s="148"/>
      <c r="QNV402" s="148"/>
      <c r="QNW402" s="148"/>
      <c r="QNX402" s="148"/>
      <c r="QNY402" s="148"/>
      <c r="QNZ402" s="148"/>
      <c r="QOA402" s="148"/>
      <c r="QOB402" s="148"/>
      <c r="QOC402" s="148"/>
      <c r="QOD402" s="148"/>
      <c r="QOE402" s="148"/>
      <c r="QOF402" s="148"/>
      <c r="QOG402" s="148"/>
      <c r="QOH402" s="148"/>
      <c r="QOI402" s="148"/>
      <c r="QOJ402" s="148"/>
      <c r="QOK402" s="148"/>
      <c r="QOL402" s="148"/>
      <c r="QOM402" s="148"/>
      <c r="QON402" s="148"/>
      <c r="QOO402" s="148"/>
      <c r="QOP402" s="148"/>
      <c r="QOQ402" s="148"/>
      <c r="QOR402" s="148"/>
      <c r="QOS402" s="148"/>
      <c r="QOT402" s="148"/>
      <c r="QOU402" s="148"/>
      <c r="QOV402" s="148"/>
      <c r="QOW402" s="148"/>
      <c r="QOX402" s="148"/>
      <c r="QOY402" s="148"/>
      <c r="QOZ402" s="148"/>
      <c r="QPA402" s="148"/>
      <c r="QPB402" s="148"/>
      <c r="QPC402" s="148"/>
      <c r="QPD402" s="148"/>
      <c r="QPE402" s="148"/>
      <c r="QPF402" s="148"/>
      <c r="QPG402" s="148"/>
      <c r="QPH402" s="148"/>
      <c r="QPI402" s="148"/>
      <c r="QPJ402" s="148"/>
      <c r="QPK402" s="148"/>
      <c r="QPL402" s="148"/>
      <c r="QPM402" s="148"/>
      <c r="QPN402" s="148"/>
      <c r="QPO402" s="148"/>
      <c r="QPP402" s="148"/>
      <c r="QPQ402" s="148"/>
      <c r="QPR402" s="148"/>
      <c r="QPS402" s="148"/>
      <c r="QPT402" s="148"/>
      <c r="QPU402" s="148"/>
      <c r="QPV402" s="148"/>
      <c r="QPW402" s="148"/>
      <c r="QPX402" s="148"/>
      <c r="QPY402" s="148"/>
      <c r="QPZ402" s="148"/>
      <c r="QQA402" s="148"/>
      <c r="QQB402" s="148"/>
      <c r="QQC402" s="148"/>
      <c r="QQD402" s="148"/>
      <c r="QQE402" s="148"/>
      <c r="QQF402" s="148"/>
      <c r="QQG402" s="148"/>
      <c r="QQH402" s="148"/>
      <c r="QQI402" s="148"/>
      <c r="QQJ402" s="148"/>
      <c r="QQK402" s="148"/>
      <c r="QQL402" s="148"/>
      <c r="QQM402" s="148"/>
      <c r="QQN402" s="148"/>
      <c r="QQO402" s="148"/>
      <c r="QQP402" s="148"/>
      <c r="QQQ402" s="148"/>
      <c r="QQR402" s="148"/>
      <c r="QQS402" s="148"/>
      <c r="QQT402" s="148"/>
      <c r="QQU402" s="148"/>
      <c r="QQV402" s="148"/>
      <c r="QQW402" s="148"/>
      <c r="QQX402" s="148"/>
      <c r="QQY402" s="148"/>
      <c r="QQZ402" s="148"/>
      <c r="QRA402" s="148"/>
      <c r="QRB402" s="148"/>
      <c r="QRC402" s="148"/>
      <c r="QRD402" s="148"/>
      <c r="QRE402" s="148"/>
      <c r="QRF402" s="148"/>
      <c r="QRG402" s="148"/>
      <c r="QRH402" s="148"/>
      <c r="QRI402" s="148"/>
      <c r="QRJ402" s="148"/>
      <c r="QRK402" s="148"/>
      <c r="QRL402" s="148"/>
      <c r="QRM402" s="148"/>
      <c r="QRN402" s="148"/>
      <c r="QRO402" s="148"/>
      <c r="QRP402" s="148"/>
      <c r="QRQ402" s="148"/>
      <c r="QRR402" s="148"/>
      <c r="QRS402" s="148"/>
      <c r="QRT402" s="148"/>
      <c r="QRU402" s="148"/>
      <c r="QRV402" s="148"/>
      <c r="QRW402" s="148"/>
      <c r="QRX402" s="148"/>
      <c r="QRY402" s="148"/>
      <c r="QRZ402" s="148"/>
      <c r="QSA402" s="148"/>
      <c r="QSB402" s="148"/>
      <c r="QSC402" s="148"/>
      <c r="QSD402" s="148"/>
      <c r="QSE402" s="148"/>
      <c r="QSF402" s="148"/>
      <c r="QSG402" s="148"/>
      <c r="QSH402" s="148"/>
      <c r="QSI402" s="148"/>
      <c r="QSJ402" s="148"/>
      <c r="QSK402" s="148"/>
      <c r="QSL402" s="148"/>
      <c r="QSM402" s="148"/>
      <c r="QSN402" s="148"/>
      <c r="QSO402" s="148"/>
      <c r="QSP402" s="148"/>
      <c r="QSQ402" s="148"/>
      <c r="QSR402" s="148"/>
      <c r="QSS402" s="148"/>
      <c r="QST402" s="148"/>
      <c r="QSU402" s="148"/>
      <c r="QSV402" s="148"/>
      <c r="QSW402" s="148"/>
      <c r="QSX402" s="148"/>
      <c r="QSY402" s="148"/>
      <c r="QSZ402" s="148"/>
      <c r="QTA402" s="148"/>
      <c r="QTB402" s="148"/>
      <c r="QTC402" s="148"/>
      <c r="QTD402" s="148"/>
      <c r="QTE402" s="148"/>
      <c r="QTF402" s="148"/>
      <c r="QTG402" s="148"/>
      <c r="QTH402" s="148"/>
      <c r="QTI402" s="148"/>
      <c r="QTJ402" s="148"/>
      <c r="QTK402" s="148"/>
      <c r="QTL402" s="148"/>
      <c r="QTM402" s="148"/>
      <c r="QTN402" s="148"/>
      <c r="QTO402" s="148"/>
      <c r="QTP402" s="148"/>
      <c r="QTQ402" s="148"/>
      <c r="QTR402" s="148"/>
      <c r="QTS402" s="148"/>
      <c r="QTT402" s="148"/>
      <c r="QTU402" s="148"/>
      <c r="QTV402" s="148"/>
      <c r="QTW402" s="148"/>
      <c r="QTX402" s="148"/>
      <c r="QTY402" s="148"/>
      <c r="QTZ402" s="148"/>
      <c r="QUA402" s="148"/>
      <c r="QUB402" s="148"/>
      <c r="QUC402" s="148"/>
      <c r="QUD402" s="148"/>
      <c r="QUE402" s="148"/>
      <c r="QUF402" s="148"/>
      <c r="QUG402" s="148"/>
      <c r="QUH402" s="148"/>
      <c r="QUI402" s="148"/>
      <c r="QUJ402" s="148"/>
      <c r="QUK402" s="148"/>
      <c r="QUL402" s="148"/>
      <c r="QUM402" s="148"/>
      <c r="QUN402" s="148"/>
      <c r="QUO402" s="148"/>
      <c r="QUP402" s="148"/>
      <c r="QUQ402" s="148"/>
      <c r="QUR402" s="148"/>
      <c r="QUS402" s="148"/>
      <c r="QUT402" s="148"/>
      <c r="QUU402" s="148"/>
      <c r="QUV402" s="148"/>
      <c r="QUW402" s="148"/>
      <c r="QUX402" s="148"/>
      <c r="QUY402" s="148"/>
      <c r="QUZ402" s="148"/>
      <c r="QVA402" s="148"/>
      <c r="QVB402" s="148"/>
      <c r="QVC402" s="148"/>
      <c r="QVD402" s="148"/>
      <c r="QVE402" s="148"/>
      <c r="QVF402" s="148"/>
      <c r="QVG402" s="148"/>
      <c r="QVH402" s="148"/>
      <c r="QVI402" s="148"/>
      <c r="QVJ402" s="148"/>
      <c r="QVK402" s="148"/>
      <c r="QVL402" s="148"/>
      <c r="QVM402" s="148"/>
      <c r="QVN402" s="148"/>
      <c r="QVO402" s="148"/>
      <c r="QVP402" s="148"/>
      <c r="QVQ402" s="148"/>
      <c r="QVR402" s="148"/>
      <c r="QVS402" s="148"/>
      <c r="QVT402" s="148"/>
      <c r="QVU402" s="148"/>
      <c r="QVV402" s="148"/>
      <c r="QVW402" s="148"/>
      <c r="QVX402" s="148"/>
      <c r="QVY402" s="148"/>
      <c r="QVZ402" s="148"/>
      <c r="QWA402" s="148"/>
      <c r="QWB402" s="148"/>
      <c r="QWC402" s="148"/>
      <c r="QWD402" s="148"/>
      <c r="QWE402" s="148"/>
      <c r="QWF402" s="148"/>
      <c r="QWG402" s="148"/>
      <c r="QWH402" s="148"/>
      <c r="QWI402" s="148"/>
      <c r="QWJ402" s="148"/>
      <c r="QWK402" s="148"/>
      <c r="QWL402" s="148"/>
      <c r="QWM402" s="148"/>
      <c r="QWN402" s="148"/>
      <c r="QWO402" s="148"/>
      <c r="QWP402" s="148"/>
      <c r="QWQ402" s="148"/>
      <c r="QWR402" s="148"/>
      <c r="QWS402" s="148"/>
      <c r="QWT402" s="148"/>
      <c r="QWU402" s="148"/>
      <c r="QWV402" s="148"/>
      <c r="QWW402" s="148"/>
      <c r="QWX402" s="148"/>
      <c r="QWY402" s="148"/>
      <c r="QWZ402" s="148"/>
      <c r="QXA402" s="148"/>
      <c r="QXB402" s="148"/>
      <c r="QXC402" s="148"/>
      <c r="QXD402" s="148"/>
      <c r="QXE402" s="148"/>
      <c r="QXF402" s="148"/>
      <c r="QXG402" s="148"/>
      <c r="QXH402" s="148"/>
      <c r="QXI402" s="148"/>
      <c r="QXJ402" s="148"/>
      <c r="QXK402" s="148"/>
      <c r="QXL402" s="148"/>
      <c r="QXM402" s="148"/>
      <c r="QXN402" s="148"/>
      <c r="QXO402" s="148"/>
      <c r="QXP402" s="148"/>
      <c r="QXQ402" s="148"/>
      <c r="QXR402" s="148"/>
      <c r="QXS402" s="148"/>
      <c r="QXT402" s="148"/>
      <c r="QXU402" s="148"/>
      <c r="QXV402" s="148"/>
      <c r="QXW402" s="148"/>
      <c r="QXX402" s="148"/>
      <c r="QXY402" s="148"/>
      <c r="QXZ402" s="148"/>
      <c r="QYA402" s="148"/>
      <c r="QYB402" s="148"/>
      <c r="QYC402" s="148"/>
      <c r="QYD402" s="148"/>
      <c r="QYE402" s="148"/>
      <c r="QYF402" s="148"/>
      <c r="QYG402" s="148"/>
      <c r="QYH402" s="148"/>
      <c r="QYI402" s="148"/>
      <c r="QYJ402" s="148"/>
      <c r="QYK402" s="148"/>
      <c r="QYL402" s="148"/>
      <c r="QYM402" s="148"/>
      <c r="QYN402" s="148"/>
      <c r="QYO402" s="148"/>
      <c r="QYP402" s="148"/>
      <c r="QYQ402" s="148"/>
      <c r="QYR402" s="148"/>
      <c r="QYS402" s="148"/>
      <c r="QYT402" s="148"/>
      <c r="QYU402" s="148"/>
      <c r="QYV402" s="148"/>
      <c r="QYW402" s="148"/>
      <c r="QYX402" s="148"/>
      <c r="QYY402" s="148"/>
      <c r="QYZ402" s="148"/>
      <c r="QZA402" s="148"/>
      <c r="QZB402" s="148"/>
      <c r="QZC402" s="148"/>
      <c r="QZD402" s="148"/>
      <c r="QZE402" s="148"/>
      <c r="QZF402" s="148"/>
      <c r="QZG402" s="148"/>
      <c r="QZH402" s="148"/>
      <c r="QZI402" s="148"/>
      <c r="QZJ402" s="148"/>
      <c r="QZK402" s="148"/>
      <c r="QZL402" s="148"/>
      <c r="QZM402" s="148"/>
      <c r="QZN402" s="148"/>
      <c r="QZO402" s="148"/>
      <c r="QZP402" s="148"/>
      <c r="QZQ402" s="148"/>
      <c r="QZR402" s="148"/>
      <c r="QZS402" s="148"/>
      <c r="QZT402" s="148"/>
      <c r="QZU402" s="148"/>
      <c r="QZV402" s="148"/>
      <c r="QZW402" s="148"/>
      <c r="QZX402" s="148"/>
      <c r="QZY402" s="148"/>
      <c r="QZZ402" s="148"/>
      <c r="RAA402" s="148"/>
      <c r="RAB402" s="148"/>
      <c r="RAC402" s="148"/>
      <c r="RAD402" s="148"/>
      <c r="RAE402" s="148"/>
      <c r="RAF402" s="148"/>
      <c r="RAG402" s="148"/>
      <c r="RAH402" s="148"/>
      <c r="RAI402" s="148"/>
      <c r="RAJ402" s="148"/>
      <c r="RAK402" s="148"/>
      <c r="RAL402" s="148"/>
      <c r="RAM402" s="148"/>
      <c r="RAN402" s="148"/>
      <c r="RAO402" s="148"/>
      <c r="RAP402" s="148"/>
      <c r="RAQ402" s="148"/>
      <c r="RAR402" s="148"/>
      <c r="RAS402" s="148"/>
      <c r="RAT402" s="148"/>
      <c r="RAU402" s="148"/>
      <c r="RAV402" s="148"/>
      <c r="RAW402" s="148"/>
      <c r="RAX402" s="148"/>
      <c r="RAY402" s="148"/>
      <c r="RAZ402" s="148"/>
      <c r="RBA402" s="148"/>
      <c r="RBB402" s="148"/>
      <c r="RBC402" s="148"/>
      <c r="RBD402" s="148"/>
      <c r="RBE402" s="148"/>
      <c r="RBF402" s="148"/>
      <c r="RBG402" s="148"/>
      <c r="RBH402" s="148"/>
      <c r="RBI402" s="148"/>
      <c r="RBJ402" s="148"/>
      <c r="RBK402" s="148"/>
      <c r="RBL402" s="148"/>
      <c r="RBM402" s="148"/>
      <c r="RBN402" s="148"/>
      <c r="RBO402" s="148"/>
      <c r="RBP402" s="148"/>
      <c r="RBQ402" s="148"/>
      <c r="RBR402" s="148"/>
      <c r="RBS402" s="148"/>
      <c r="RBT402" s="148"/>
      <c r="RBU402" s="148"/>
      <c r="RBV402" s="148"/>
      <c r="RBW402" s="148"/>
      <c r="RBX402" s="148"/>
      <c r="RBY402" s="148"/>
      <c r="RBZ402" s="148"/>
      <c r="RCA402" s="148"/>
      <c r="RCB402" s="148"/>
      <c r="RCC402" s="148"/>
      <c r="RCD402" s="148"/>
      <c r="RCE402" s="148"/>
      <c r="RCF402" s="148"/>
      <c r="RCG402" s="148"/>
      <c r="RCH402" s="148"/>
      <c r="RCI402" s="148"/>
      <c r="RCJ402" s="148"/>
      <c r="RCK402" s="148"/>
      <c r="RCL402" s="148"/>
      <c r="RCM402" s="148"/>
      <c r="RCN402" s="148"/>
      <c r="RCO402" s="148"/>
      <c r="RCP402" s="148"/>
      <c r="RCQ402" s="148"/>
      <c r="RCR402" s="148"/>
      <c r="RCS402" s="148"/>
      <c r="RCT402" s="148"/>
      <c r="RCU402" s="148"/>
      <c r="RCV402" s="148"/>
      <c r="RCW402" s="148"/>
      <c r="RCX402" s="148"/>
      <c r="RCY402" s="148"/>
      <c r="RCZ402" s="148"/>
      <c r="RDA402" s="148"/>
      <c r="RDB402" s="148"/>
      <c r="RDC402" s="148"/>
      <c r="RDD402" s="148"/>
      <c r="RDE402" s="148"/>
      <c r="RDF402" s="148"/>
      <c r="RDG402" s="148"/>
      <c r="RDH402" s="148"/>
      <c r="RDI402" s="148"/>
      <c r="RDJ402" s="148"/>
      <c r="RDK402" s="148"/>
      <c r="RDL402" s="148"/>
      <c r="RDM402" s="148"/>
      <c r="RDN402" s="148"/>
      <c r="RDO402" s="148"/>
      <c r="RDP402" s="148"/>
      <c r="RDQ402" s="148"/>
      <c r="RDR402" s="148"/>
      <c r="RDS402" s="148"/>
      <c r="RDT402" s="148"/>
      <c r="RDU402" s="148"/>
      <c r="RDV402" s="148"/>
      <c r="RDW402" s="148"/>
      <c r="RDX402" s="148"/>
      <c r="RDY402" s="148"/>
      <c r="RDZ402" s="148"/>
      <c r="REA402" s="148"/>
      <c r="REB402" s="148"/>
      <c r="REC402" s="148"/>
      <c r="RED402" s="148"/>
      <c r="REE402" s="148"/>
      <c r="REF402" s="148"/>
      <c r="REG402" s="148"/>
      <c r="REH402" s="148"/>
      <c r="REI402" s="148"/>
      <c r="REJ402" s="148"/>
      <c r="REK402" s="148"/>
      <c r="REL402" s="148"/>
      <c r="REM402" s="148"/>
      <c r="REN402" s="148"/>
      <c r="REO402" s="148"/>
      <c r="REP402" s="148"/>
      <c r="REQ402" s="148"/>
      <c r="RER402" s="148"/>
      <c r="RES402" s="148"/>
      <c r="RET402" s="148"/>
      <c r="REU402" s="148"/>
      <c r="REV402" s="148"/>
      <c r="REW402" s="148"/>
      <c r="REX402" s="148"/>
      <c r="REY402" s="148"/>
      <c r="REZ402" s="148"/>
      <c r="RFA402" s="148"/>
      <c r="RFB402" s="148"/>
      <c r="RFC402" s="148"/>
      <c r="RFD402" s="148"/>
      <c r="RFE402" s="148"/>
      <c r="RFF402" s="148"/>
      <c r="RFG402" s="148"/>
      <c r="RFH402" s="148"/>
      <c r="RFI402" s="148"/>
      <c r="RFJ402" s="148"/>
      <c r="RFK402" s="148"/>
      <c r="RFL402" s="148"/>
      <c r="RFM402" s="148"/>
      <c r="RFN402" s="148"/>
      <c r="RFO402" s="148"/>
      <c r="RFP402" s="148"/>
      <c r="RFQ402" s="148"/>
      <c r="RFR402" s="148"/>
      <c r="RFS402" s="148"/>
      <c r="RFT402" s="148"/>
      <c r="RFU402" s="148"/>
      <c r="RFV402" s="148"/>
      <c r="RFW402" s="148"/>
      <c r="RFX402" s="148"/>
      <c r="RFY402" s="148"/>
      <c r="RFZ402" s="148"/>
      <c r="RGA402" s="148"/>
      <c r="RGB402" s="148"/>
      <c r="RGC402" s="148"/>
      <c r="RGD402" s="148"/>
      <c r="RGE402" s="148"/>
      <c r="RGF402" s="148"/>
      <c r="RGG402" s="148"/>
      <c r="RGH402" s="148"/>
      <c r="RGI402" s="148"/>
      <c r="RGJ402" s="148"/>
      <c r="RGK402" s="148"/>
      <c r="RGL402" s="148"/>
      <c r="RGM402" s="148"/>
      <c r="RGN402" s="148"/>
      <c r="RGO402" s="148"/>
      <c r="RGP402" s="148"/>
      <c r="RGQ402" s="148"/>
      <c r="RGR402" s="148"/>
      <c r="RGS402" s="148"/>
      <c r="RGT402" s="148"/>
      <c r="RGU402" s="148"/>
      <c r="RGV402" s="148"/>
      <c r="RGW402" s="148"/>
      <c r="RGX402" s="148"/>
      <c r="RGY402" s="148"/>
      <c r="RGZ402" s="148"/>
      <c r="RHA402" s="148"/>
      <c r="RHB402" s="148"/>
      <c r="RHC402" s="148"/>
      <c r="RHD402" s="148"/>
      <c r="RHE402" s="148"/>
      <c r="RHF402" s="148"/>
      <c r="RHG402" s="148"/>
      <c r="RHH402" s="148"/>
      <c r="RHI402" s="148"/>
      <c r="RHJ402" s="148"/>
      <c r="RHK402" s="148"/>
      <c r="RHL402" s="148"/>
      <c r="RHM402" s="148"/>
      <c r="RHN402" s="148"/>
      <c r="RHO402" s="148"/>
      <c r="RHP402" s="148"/>
      <c r="RHQ402" s="148"/>
      <c r="RHR402" s="148"/>
      <c r="RHS402" s="148"/>
      <c r="RHT402" s="148"/>
      <c r="RHU402" s="148"/>
      <c r="RHV402" s="148"/>
      <c r="RHW402" s="148"/>
      <c r="RHX402" s="148"/>
      <c r="RHY402" s="148"/>
      <c r="RHZ402" s="148"/>
      <c r="RIA402" s="148"/>
      <c r="RIB402" s="148"/>
      <c r="RIC402" s="148"/>
      <c r="RID402" s="148"/>
      <c r="RIE402" s="148"/>
      <c r="RIF402" s="148"/>
      <c r="RIG402" s="148"/>
      <c r="RIH402" s="148"/>
      <c r="RII402" s="148"/>
      <c r="RIJ402" s="148"/>
      <c r="RIK402" s="148"/>
      <c r="RIL402" s="148"/>
      <c r="RIM402" s="148"/>
      <c r="RIN402" s="148"/>
      <c r="RIO402" s="148"/>
      <c r="RIP402" s="148"/>
      <c r="RIQ402" s="148"/>
      <c r="RIR402" s="148"/>
      <c r="RIS402" s="148"/>
      <c r="RIT402" s="148"/>
      <c r="RIU402" s="148"/>
      <c r="RIV402" s="148"/>
      <c r="RIW402" s="148"/>
      <c r="RIX402" s="148"/>
      <c r="RIY402" s="148"/>
      <c r="RIZ402" s="148"/>
      <c r="RJA402" s="148"/>
      <c r="RJB402" s="148"/>
      <c r="RJC402" s="148"/>
      <c r="RJD402" s="148"/>
      <c r="RJE402" s="148"/>
      <c r="RJF402" s="148"/>
      <c r="RJG402" s="148"/>
      <c r="RJH402" s="148"/>
      <c r="RJI402" s="148"/>
      <c r="RJJ402" s="148"/>
      <c r="RJK402" s="148"/>
      <c r="RJL402" s="148"/>
      <c r="RJM402" s="148"/>
      <c r="RJN402" s="148"/>
      <c r="RJO402" s="148"/>
      <c r="RJP402" s="148"/>
      <c r="RJQ402" s="148"/>
      <c r="RJR402" s="148"/>
      <c r="RJS402" s="148"/>
      <c r="RJT402" s="148"/>
      <c r="RJU402" s="148"/>
      <c r="RJV402" s="148"/>
      <c r="RJW402" s="148"/>
      <c r="RJX402" s="148"/>
      <c r="RJY402" s="148"/>
      <c r="RJZ402" s="148"/>
      <c r="RKA402" s="148"/>
      <c r="RKB402" s="148"/>
      <c r="RKC402" s="148"/>
      <c r="RKD402" s="148"/>
      <c r="RKE402" s="148"/>
      <c r="RKF402" s="148"/>
      <c r="RKG402" s="148"/>
      <c r="RKH402" s="148"/>
      <c r="RKI402" s="148"/>
      <c r="RKJ402" s="148"/>
      <c r="RKK402" s="148"/>
      <c r="RKL402" s="148"/>
      <c r="RKM402" s="148"/>
      <c r="RKN402" s="148"/>
      <c r="RKO402" s="148"/>
      <c r="RKP402" s="148"/>
      <c r="RKQ402" s="148"/>
      <c r="RKR402" s="148"/>
      <c r="RKS402" s="148"/>
      <c r="RKT402" s="148"/>
      <c r="RKU402" s="148"/>
      <c r="RKV402" s="148"/>
      <c r="RKW402" s="148"/>
      <c r="RKX402" s="148"/>
      <c r="RKY402" s="148"/>
      <c r="RKZ402" s="148"/>
      <c r="RLA402" s="148"/>
      <c r="RLB402" s="148"/>
      <c r="RLC402" s="148"/>
      <c r="RLD402" s="148"/>
      <c r="RLE402" s="148"/>
      <c r="RLF402" s="148"/>
      <c r="RLG402" s="148"/>
      <c r="RLH402" s="148"/>
      <c r="RLI402" s="148"/>
      <c r="RLJ402" s="148"/>
      <c r="RLK402" s="148"/>
      <c r="RLL402" s="148"/>
      <c r="RLM402" s="148"/>
      <c r="RLN402" s="148"/>
      <c r="RLO402" s="148"/>
      <c r="RLP402" s="148"/>
      <c r="RLQ402" s="148"/>
      <c r="RLR402" s="148"/>
      <c r="RLS402" s="148"/>
      <c r="RLT402" s="148"/>
      <c r="RLU402" s="148"/>
      <c r="RLV402" s="148"/>
      <c r="RLW402" s="148"/>
      <c r="RLX402" s="148"/>
      <c r="RLY402" s="148"/>
      <c r="RLZ402" s="148"/>
      <c r="RMA402" s="148"/>
      <c r="RMB402" s="148"/>
      <c r="RMC402" s="148"/>
      <c r="RMD402" s="148"/>
      <c r="RME402" s="148"/>
      <c r="RMF402" s="148"/>
      <c r="RMG402" s="148"/>
      <c r="RMH402" s="148"/>
      <c r="RMI402" s="148"/>
      <c r="RMJ402" s="148"/>
      <c r="RMK402" s="148"/>
      <c r="RML402" s="148"/>
      <c r="RMM402" s="148"/>
      <c r="RMN402" s="148"/>
      <c r="RMO402" s="148"/>
      <c r="RMP402" s="148"/>
      <c r="RMQ402" s="148"/>
      <c r="RMR402" s="148"/>
      <c r="RMS402" s="148"/>
      <c r="RMT402" s="148"/>
      <c r="RMU402" s="148"/>
      <c r="RMV402" s="148"/>
      <c r="RMW402" s="148"/>
      <c r="RMX402" s="148"/>
      <c r="RMY402" s="148"/>
      <c r="RMZ402" s="148"/>
      <c r="RNA402" s="148"/>
      <c r="RNB402" s="148"/>
      <c r="RNC402" s="148"/>
      <c r="RND402" s="148"/>
      <c r="RNE402" s="148"/>
      <c r="RNF402" s="148"/>
      <c r="RNG402" s="148"/>
      <c r="RNH402" s="148"/>
      <c r="RNI402" s="148"/>
      <c r="RNJ402" s="148"/>
      <c r="RNK402" s="148"/>
      <c r="RNL402" s="148"/>
      <c r="RNM402" s="148"/>
      <c r="RNN402" s="148"/>
      <c r="RNO402" s="148"/>
      <c r="RNP402" s="148"/>
      <c r="RNQ402" s="148"/>
      <c r="RNR402" s="148"/>
      <c r="RNS402" s="148"/>
      <c r="RNT402" s="148"/>
      <c r="RNU402" s="148"/>
      <c r="RNV402" s="148"/>
      <c r="RNW402" s="148"/>
      <c r="RNX402" s="148"/>
      <c r="RNY402" s="148"/>
      <c r="RNZ402" s="148"/>
      <c r="ROA402" s="148"/>
      <c r="ROB402" s="148"/>
      <c r="ROC402" s="148"/>
      <c r="ROD402" s="148"/>
      <c r="ROE402" s="148"/>
      <c r="ROF402" s="148"/>
      <c r="ROG402" s="148"/>
      <c r="ROH402" s="148"/>
      <c r="ROI402" s="148"/>
      <c r="ROJ402" s="148"/>
      <c r="ROK402" s="148"/>
      <c r="ROL402" s="148"/>
      <c r="ROM402" s="148"/>
      <c r="RON402" s="148"/>
      <c r="ROO402" s="148"/>
      <c r="ROP402" s="148"/>
      <c r="ROQ402" s="148"/>
      <c r="ROR402" s="148"/>
      <c r="ROS402" s="148"/>
      <c r="ROT402" s="148"/>
      <c r="ROU402" s="148"/>
      <c r="ROV402" s="148"/>
      <c r="ROW402" s="148"/>
      <c r="ROX402" s="148"/>
      <c r="ROY402" s="148"/>
      <c r="ROZ402" s="148"/>
      <c r="RPA402" s="148"/>
      <c r="RPB402" s="148"/>
      <c r="RPC402" s="148"/>
      <c r="RPD402" s="148"/>
      <c r="RPE402" s="148"/>
      <c r="RPF402" s="148"/>
      <c r="RPG402" s="148"/>
      <c r="RPH402" s="148"/>
      <c r="RPI402" s="148"/>
      <c r="RPJ402" s="148"/>
      <c r="RPK402" s="148"/>
      <c r="RPL402" s="148"/>
      <c r="RPM402" s="148"/>
      <c r="RPN402" s="148"/>
      <c r="RPO402" s="148"/>
      <c r="RPP402" s="148"/>
      <c r="RPQ402" s="148"/>
      <c r="RPR402" s="148"/>
      <c r="RPS402" s="148"/>
      <c r="RPT402" s="148"/>
      <c r="RPU402" s="148"/>
      <c r="RPV402" s="148"/>
      <c r="RPW402" s="148"/>
      <c r="RPX402" s="148"/>
      <c r="RPY402" s="148"/>
      <c r="RPZ402" s="148"/>
      <c r="RQA402" s="148"/>
      <c r="RQB402" s="148"/>
      <c r="RQC402" s="148"/>
      <c r="RQD402" s="148"/>
      <c r="RQE402" s="148"/>
      <c r="RQF402" s="148"/>
      <c r="RQG402" s="148"/>
      <c r="RQH402" s="148"/>
      <c r="RQI402" s="148"/>
      <c r="RQJ402" s="148"/>
      <c r="RQK402" s="148"/>
      <c r="RQL402" s="148"/>
      <c r="RQM402" s="148"/>
      <c r="RQN402" s="148"/>
      <c r="RQO402" s="148"/>
      <c r="RQP402" s="148"/>
      <c r="RQQ402" s="148"/>
      <c r="RQR402" s="148"/>
      <c r="RQS402" s="148"/>
      <c r="RQT402" s="148"/>
      <c r="RQU402" s="148"/>
      <c r="RQV402" s="148"/>
      <c r="RQW402" s="148"/>
      <c r="RQX402" s="148"/>
      <c r="RQY402" s="148"/>
      <c r="RQZ402" s="148"/>
      <c r="RRA402" s="148"/>
      <c r="RRB402" s="148"/>
      <c r="RRC402" s="148"/>
      <c r="RRD402" s="148"/>
      <c r="RRE402" s="148"/>
      <c r="RRF402" s="148"/>
      <c r="RRG402" s="148"/>
      <c r="RRH402" s="148"/>
      <c r="RRI402" s="148"/>
      <c r="RRJ402" s="148"/>
      <c r="RRK402" s="148"/>
      <c r="RRL402" s="148"/>
      <c r="RRM402" s="148"/>
      <c r="RRN402" s="148"/>
      <c r="RRO402" s="148"/>
      <c r="RRP402" s="148"/>
      <c r="RRQ402" s="148"/>
      <c r="RRR402" s="148"/>
      <c r="RRS402" s="148"/>
      <c r="RRT402" s="148"/>
      <c r="RRU402" s="148"/>
      <c r="RRV402" s="148"/>
      <c r="RRW402" s="148"/>
      <c r="RRX402" s="148"/>
      <c r="RRY402" s="148"/>
      <c r="RRZ402" s="148"/>
      <c r="RSA402" s="148"/>
      <c r="RSB402" s="148"/>
      <c r="RSC402" s="148"/>
      <c r="RSD402" s="148"/>
      <c r="RSE402" s="148"/>
      <c r="RSF402" s="148"/>
      <c r="RSG402" s="148"/>
      <c r="RSH402" s="148"/>
      <c r="RSI402" s="148"/>
      <c r="RSJ402" s="148"/>
      <c r="RSK402" s="148"/>
      <c r="RSL402" s="148"/>
      <c r="RSM402" s="148"/>
      <c r="RSN402" s="148"/>
      <c r="RSO402" s="148"/>
      <c r="RSP402" s="148"/>
      <c r="RSQ402" s="148"/>
      <c r="RSR402" s="148"/>
      <c r="RSS402" s="148"/>
      <c r="RST402" s="148"/>
      <c r="RSU402" s="148"/>
      <c r="RSV402" s="148"/>
      <c r="RSW402" s="148"/>
      <c r="RSX402" s="148"/>
      <c r="RSY402" s="148"/>
      <c r="RSZ402" s="148"/>
      <c r="RTA402" s="148"/>
      <c r="RTB402" s="148"/>
      <c r="RTC402" s="148"/>
      <c r="RTD402" s="148"/>
      <c r="RTE402" s="148"/>
      <c r="RTF402" s="148"/>
      <c r="RTG402" s="148"/>
      <c r="RTH402" s="148"/>
      <c r="RTI402" s="148"/>
      <c r="RTJ402" s="148"/>
      <c r="RTK402" s="148"/>
      <c r="RTL402" s="148"/>
      <c r="RTM402" s="148"/>
      <c r="RTN402" s="148"/>
      <c r="RTO402" s="148"/>
      <c r="RTP402" s="148"/>
      <c r="RTQ402" s="148"/>
      <c r="RTR402" s="148"/>
      <c r="RTS402" s="148"/>
      <c r="RTT402" s="148"/>
      <c r="RTU402" s="148"/>
      <c r="RTV402" s="148"/>
      <c r="RTW402" s="148"/>
      <c r="RTX402" s="148"/>
      <c r="RTY402" s="148"/>
      <c r="RTZ402" s="148"/>
      <c r="RUA402" s="148"/>
      <c r="RUB402" s="148"/>
      <c r="RUC402" s="148"/>
      <c r="RUD402" s="148"/>
      <c r="RUE402" s="148"/>
      <c r="RUF402" s="148"/>
      <c r="RUG402" s="148"/>
      <c r="RUH402" s="148"/>
      <c r="RUI402" s="148"/>
      <c r="RUJ402" s="148"/>
      <c r="RUK402" s="148"/>
      <c r="RUL402" s="148"/>
      <c r="RUM402" s="148"/>
      <c r="RUN402" s="148"/>
      <c r="RUO402" s="148"/>
      <c r="RUP402" s="148"/>
      <c r="RUQ402" s="148"/>
      <c r="RUR402" s="148"/>
      <c r="RUS402" s="148"/>
      <c r="RUT402" s="148"/>
      <c r="RUU402" s="148"/>
      <c r="RUV402" s="148"/>
      <c r="RUW402" s="148"/>
      <c r="RUX402" s="148"/>
      <c r="RUY402" s="148"/>
      <c r="RUZ402" s="148"/>
      <c r="RVA402" s="148"/>
      <c r="RVB402" s="148"/>
      <c r="RVC402" s="148"/>
      <c r="RVD402" s="148"/>
      <c r="RVE402" s="148"/>
      <c r="RVF402" s="148"/>
      <c r="RVG402" s="148"/>
      <c r="RVH402" s="148"/>
      <c r="RVI402" s="148"/>
      <c r="RVJ402" s="148"/>
      <c r="RVK402" s="148"/>
      <c r="RVL402" s="148"/>
      <c r="RVM402" s="148"/>
      <c r="RVN402" s="148"/>
      <c r="RVO402" s="148"/>
      <c r="RVP402" s="148"/>
      <c r="RVQ402" s="148"/>
      <c r="RVR402" s="148"/>
      <c r="RVS402" s="148"/>
      <c r="RVT402" s="148"/>
      <c r="RVU402" s="148"/>
      <c r="RVV402" s="148"/>
      <c r="RVW402" s="148"/>
      <c r="RVX402" s="148"/>
      <c r="RVY402" s="148"/>
      <c r="RVZ402" s="148"/>
      <c r="RWA402" s="148"/>
      <c r="RWB402" s="148"/>
      <c r="RWC402" s="148"/>
      <c r="RWD402" s="148"/>
      <c r="RWE402" s="148"/>
      <c r="RWF402" s="148"/>
      <c r="RWG402" s="148"/>
      <c r="RWH402" s="148"/>
      <c r="RWI402" s="148"/>
      <c r="RWJ402" s="148"/>
      <c r="RWK402" s="148"/>
      <c r="RWL402" s="148"/>
      <c r="RWM402" s="148"/>
      <c r="RWN402" s="148"/>
      <c r="RWO402" s="148"/>
      <c r="RWP402" s="148"/>
      <c r="RWQ402" s="148"/>
      <c r="RWR402" s="148"/>
      <c r="RWS402" s="148"/>
      <c r="RWT402" s="148"/>
      <c r="RWU402" s="148"/>
      <c r="RWV402" s="148"/>
      <c r="RWW402" s="148"/>
      <c r="RWX402" s="148"/>
      <c r="RWY402" s="148"/>
      <c r="RWZ402" s="148"/>
      <c r="RXA402" s="148"/>
      <c r="RXB402" s="148"/>
      <c r="RXC402" s="148"/>
      <c r="RXD402" s="148"/>
      <c r="RXE402" s="148"/>
      <c r="RXF402" s="148"/>
      <c r="RXG402" s="148"/>
      <c r="RXH402" s="148"/>
      <c r="RXI402" s="148"/>
      <c r="RXJ402" s="148"/>
      <c r="RXK402" s="148"/>
      <c r="RXL402" s="148"/>
      <c r="RXM402" s="148"/>
      <c r="RXN402" s="148"/>
      <c r="RXO402" s="148"/>
      <c r="RXP402" s="148"/>
      <c r="RXQ402" s="148"/>
      <c r="RXR402" s="148"/>
      <c r="RXS402" s="148"/>
      <c r="RXT402" s="148"/>
      <c r="RXU402" s="148"/>
      <c r="RXV402" s="148"/>
      <c r="RXW402" s="148"/>
      <c r="RXX402" s="148"/>
      <c r="RXY402" s="148"/>
      <c r="RXZ402" s="148"/>
      <c r="RYA402" s="148"/>
      <c r="RYB402" s="148"/>
      <c r="RYC402" s="148"/>
      <c r="RYD402" s="148"/>
      <c r="RYE402" s="148"/>
      <c r="RYF402" s="148"/>
      <c r="RYG402" s="148"/>
      <c r="RYH402" s="148"/>
      <c r="RYI402" s="148"/>
      <c r="RYJ402" s="148"/>
      <c r="RYK402" s="148"/>
      <c r="RYL402" s="148"/>
      <c r="RYM402" s="148"/>
      <c r="RYN402" s="148"/>
      <c r="RYO402" s="148"/>
      <c r="RYP402" s="148"/>
      <c r="RYQ402" s="148"/>
      <c r="RYR402" s="148"/>
      <c r="RYS402" s="148"/>
      <c r="RYT402" s="148"/>
      <c r="RYU402" s="148"/>
      <c r="RYV402" s="148"/>
      <c r="RYW402" s="148"/>
      <c r="RYX402" s="148"/>
      <c r="RYY402" s="148"/>
      <c r="RYZ402" s="148"/>
      <c r="RZA402" s="148"/>
      <c r="RZB402" s="148"/>
      <c r="RZC402" s="148"/>
      <c r="RZD402" s="148"/>
      <c r="RZE402" s="148"/>
      <c r="RZF402" s="148"/>
      <c r="RZG402" s="148"/>
      <c r="RZH402" s="148"/>
      <c r="RZI402" s="148"/>
      <c r="RZJ402" s="148"/>
      <c r="RZK402" s="148"/>
      <c r="RZL402" s="148"/>
      <c r="RZM402" s="148"/>
      <c r="RZN402" s="148"/>
      <c r="RZO402" s="148"/>
      <c r="RZP402" s="148"/>
      <c r="RZQ402" s="148"/>
      <c r="RZR402" s="148"/>
      <c r="RZS402" s="148"/>
      <c r="RZT402" s="148"/>
      <c r="RZU402" s="148"/>
      <c r="RZV402" s="148"/>
      <c r="RZW402" s="148"/>
      <c r="RZX402" s="148"/>
      <c r="RZY402" s="148"/>
      <c r="RZZ402" s="148"/>
      <c r="SAA402" s="148"/>
      <c r="SAB402" s="148"/>
      <c r="SAC402" s="148"/>
      <c r="SAD402" s="148"/>
      <c r="SAE402" s="148"/>
      <c r="SAF402" s="148"/>
      <c r="SAG402" s="148"/>
      <c r="SAH402" s="148"/>
      <c r="SAI402" s="148"/>
      <c r="SAJ402" s="148"/>
      <c r="SAK402" s="148"/>
      <c r="SAL402" s="148"/>
      <c r="SAM402" s="148"/>
      <c r="SAN402" s="148"/>
      <c r="SAO402" s="148"/>
      <c r="SAP402" s="148"/>
      <c r="SAQ402" s="148"/>
      <c r="SAR402" s="148"/>
      <c r="SAS402" s="148"/>
      <c r="SAT402" s="148"/>
      <c r="SAU402" s="148"/>
      <c r="SAV402" s="148"/>
      <c r="SAW402" s="148"/>
      <c r="SAX402" s="148"/>
      <c r="SAY402" s="148"/>
      <c r="SAZ402" s="148"/>
      <c r="SBA402" s="148"/>
      <c r="SBB402" s="148"/>
      <c r="SBC402" s="148"/>
      <c r="SBD402" s="148"/>
      <c r="SBE402" s="148"/>
      <c r="SBF402" s="148"/>
      <c r="SBG402" s="148"/>
      <c r="SBH402" s="148"/>
      <c r="SBI402" s="148"/>
      <c r="SBJ402" s="148"/>
      <c r="SBK402" s="148"/>
      <c r="SBL402" s="148"/>
      <c r="SBM402" s="148"/>
      <c r="SBN402" s="148"/>
      <c r="SBO402" s="148"/>
      <c r="SBP402" s="148"/>
      <c r="SBQ402" s="148"/>
      <c r="SBR402" s="148"/>
      <c r="SBS402" s="148"/>
      <c r="SBT402" s="148"/>
      <c r="SBU402" s="148"/>
      <c r="SBV402" s="148"/>
      <c r="SBW402" s="148"/>
      <c r="SBX402" s="148"/>
      <c r="SBY402" s="148"/>
      <c r="SBZ402" s="148"/>
      <c r="SCA402" s="148"/>
      <c r="SCB402" s="148"/>
      <c r="SCC402" s="148"/>
      <c r="SCD402" s="148"/>
      <c r="SCE402" s="148"/>
      <c r="SCF402" s="148"/>
      <c r="SCG402" s="148"/>
      <c r="SCH402" s="148"/>
      <c r="SCI402" s="148"/>
      <c r="SCJ402" s="148"/>
      <c r="SCK402" s="148"/>
      <c r="SCL402" s="148"/>
      <c r="SCM402" s="148"/>
      <c r="SCN402" s="148"/>
      <c r="SCO402" s="148"/>
      <c r="SCP402" s="148"/>
      <c r="SCQ402" s="148"/>
      <c r="SCR402" s="148"/>
      <c r="SCS402" s="148"/>
      <c r="SCT402" s="148"/>
      <c r="SCU402" s="148"/>
      <c r="SCV402" s="148"/>
      <c r="SCW402" s="148"/>
      <c r="SCX402" s="148"/>
      <c r="SCY402" s="148"/>
      <c r="SCZ402" s="148"/>
      <c r="SDA402" s="148"/>
      <c r="SDB402" s="148"/>
      <c r="SDC402" s="148"/>
      <c r="SDD402" s="148"/>
      <c r="SDE402" s="148"/>
      <c r="SDF402" s="148"/>
      <c r="SDG402" s="148"/>
      <c r="SDH402" s="148"/>
      <c r="SDI402" s="148"/>
      <c r="SDJ402" s="148"/>
      <c r="SDK402" s="148"/>
      <c r="SDL402" s="148"/>
      <c r="SDM402" s="148"/>
      <c r="SDN402" s="148"/>
      <c r="SDO402" s="148"/>
      <c r="SDP402" s="148"/>
      <c r="SDQ402" s="148"/>
      <c r="SDR402" s="148"/>
      <c r="SDS402" s="148"/>
      <c r="SDT402" s="148"/>
      <c r="SDU402" s="148"/>
      <c r="SDV402" s="148"/>
      <c r="SDW402" s="148"/>
      <c r="SDX402" s="148"/>
      <c r="SDY402" s="148"/>
      <c r="SDZ402" s="148"/>
      <c r="SEA402" s="148"/>
      <c r="SEB402" s="148"/>
      <c r="SEC402" s="148"/>
      <c r="SED402" s="148"/>
      <c r="SEE402" s="148"/>
      <c r="SEF402" s="148"/>
      <c r="SEG402" s="148"/>
      <c r="SEH402" s="148"/>
      <c r="SEI402" s="148"/>
      <c r="SEJ402" s="148"/>
      <c r="SEK402" s="148"/>
      <c r="SEL402" s="148"/>
      <c r="SEM402" s="148"/>
      <c r="SEN402" s="148"/>
      <c r="SEO402" s="148"/>
      <c r="SEP402" s="148"/>
      <c r="SEQ402" s="148"/>
      <c r="SER402" s="148"/>
      <c r="SES402" s="148"/>
      <c r="SET402" s="148"/>
      <c r="SEU402" s="148"/>
      <c r="SEV402" s="148"/>
      <c r="SEW402" s="148"/>
      <c r="SEX402" s="148"/>
      <c r="SEY402" s="148"/>
      <c r="SEZ402" s="148"/>
      <c r="SFA402" s="148"/>
      <c r="SFB402" s="148"/>
      <c r="SFC402" s="148"/>
      <c r="SFD402" s="148"/>
      <c r="SFE402" s="148"/>
      <c r="SFF402" s="148"/>
      <c r="SFG402" s="148"/>
      <c r="SFH402" s="148"/>
      <c r="SFI402" s="148"/>
      <c r="SFJ402" s="148"/>
      <c r="SFK402" s="148"/>
      <c r="SFL402" s="148"/>
      <c r="SFM402" s="148"/>
      <c r="SFN402" s="148"/>
      <c r="SFO402" s="148"/>
      <c r="SFP402" s="148"/>
      <c r="SFQ402" s="148"/>
      <c r="SFR402" s="148"/>
      <c r="SFS402" s="148"/>
      <c r="SFT402" s="148"/>
      <c r="SFU402" s="148"/>
      <c r="SFV402" s="148"/>
      <c r="SFW402" s="148"/>
      <c r="SFX402" s="148"/>
      <c r="SFY402" s="148"/>
      <c r="SFZ402" s="148"/>
      <c r="SGA402" s="148"/>
      <c r="SGB402" s="148"/>
      <c r="SGC402" s="148"/>
      <c r="SGD402" s="148"/>
      <c r="SGE402" s="148"/>
      <c r="SGF402" s="148"/>
      <c r="SGG402" s="148"/>
      <c r="SGH402" s="148"/>
      <c r="SGI402" s="148"/>
      <c r="SGJ402" s="148"/>
      <c r="SGK402" s="148"/>
      <c r="SGL402" s="148"/>
      <c r="SGM402" s="148"/>
      <c r="SGN402" s="148"/>
      <c r="SGO402" s="148"/>
      <c r="SGP402" s="148"/>
      <c r="SGQ402" s="148"/>
      <c r="SGR402" s="148"/>
      <c r="SGS402" s="148"/>
      <c r="SGT402" s="148"/>
      <c r="SGU402" s="148"/>
      <c r="SGV402" s="148"/>
      <c r="SGW402" s="148"/>
      <c r="SGX402" s="148"/>
      <c r="SGY402" s="148"/>
      <c r="SGZ402" s="148"/>
      <c r="SHA402" s="148"/>
      <c r="SHB402" s="148"/>
      <c r="SHC402" s="148"/>
      <c r="SHD402" s="148"/>
      <c r="SHE402" s="148"/>
      <c r="SHF402" s="148"/>
      <c r="SHG402" s="148"/>
      <c r="SHH402" s="148"/>
      <c r="SHI402" s="148"/>
      <c r="SHJ402" s="148"/>
      <c r="SHK402" s="148"/>
      <c r="SHL402" s="148"/>
      <c r="SHM402" s="148"/>
      <c r="SHN402" s="148"/>
      <c r="SHO402" s="148"/>
      <c r="SHP402" s="148"/>
      <c r="SHQ402" s="148"/>
      <c r="SHR402" s="148"/>
      <c r="SHS402" s="148"/>
      <c r="SHT402" s="148"/>
      <c r="SHU402" s="148"/>
      <c r="SHV402" s="148"/>
      <c r="SHW402" s="148"/>
      <c r="SHX402" s="148"/>
      <c r="SHY402" s="148"/>
      <c r="SHZ402" s="148"/>
      <c r="SIA402" s="148"/>
      <c r="SIB402" s="148"/>
      <c r="SIC402" s="148"/>
      <c r="SID402" s="148"/>
      <c r="SIE402" s="148"/>
      <c r="SIF402" s="148"/>
      <c r="SIG402" s="148"/>
      <c r="SIH402" s="148"/>
      <c r="SII402" s="148"/>
      <c r="SIJ402" s="148"/>
      <c r="SIK402" s="148"/>
      <c r="SIL402" s="148"/>
      <c r="SIM402" s="148"/>
      <c r="SIN402" s="148"/>
      <c r="SIO402" s="148"/>
      <c r="SIP402" s="148"/>
      <c r="SIQ402" s="148"/>
      <c r="SIR402" s="148"/>
      <c r="SIS402" s="148"/>
      <c r="SIT402" s="148"/>
      <c r="SIU402" s="148"/>
      <c r="SIV402" s="148"/>
      <c r="SIW402" s="148"/>
      <c r="SIX402" s="148"/>
      <c r="SIY402" s="148"/>
      <c r="SIZ402" s="148"/>
      <c r="SJA402" s="148"/>
      <c r="SJB402" s="148"/>
      <c r="SJC402" s="148"/>
      <c r="SJD402" s="148"/>
      <c r="SJE402" s="148"/>
      <c r="SJF402" s="148"/>
      <c r="SJG402" s="148"/>
      <c r="SJH402" s="148"/>
      <c r="SJI402" s="148"/>
      <c r="SJJ402" s="148"/>
      <c r="SJK402" s="148"/>
      <c r="SJL402" s="148"/>
      <c r="SJM402" s="148"/>
      <c r="SJN402" s="148"/>
      <c r="SJO402" s="148"/>
      <c r="SJP402" s="148"/>
      <c r="SJQ402" s="148"/>
      <c r="SJR402" s="148"/>
      <c r="SJS402" s="148"/>
      <c r="SJT402" s="148"/>
      <c r="SJU402" s="148"/>
      <c r="SJV402" s="148"/>
      <c r="SJW402" s="148"/>
      <c r="SJX402" s="148"/>
      <c r="SJY402" s="148"/>
      <c r="SJZ402" s="148"/>
      <c r="SKA402" s="148"/>
      <c r="SKB402" s="148"/>
      <c r="SKC402" s="148"/>
      <c r="SKD402" s="148"/>
      <c r="SKE402" s="148"/>
      <c r="SKF402" s="148"/>
      <c r="SKG402" s="148"/>
      <c r="SKH402" s="148"/>
      <c r="SKI402" s="148"/>
      <c r="SKJ402" s="148"/>
      <c r="SKK402" s="148"/>
      <c r="SKL402" s="148"/>
      <c r="SKM402" s="148"/>
      <c r="SKN402" s="148"/>
      <c r="SKO402" s="148"/>
      <c r="SKP402" s="148"/>
      <c r="SKQ402" s="148"/>
      <c r="SKR402" s="148"/>
      <c r="SKS402" s="148"/>
      <c r="SKT402" s="148"/>
      <c r="SKU402" s="148"/>
      <c r="SKV402" s="148"/>
      <c r="SKW402" s="148"/>
      <c r="SKX402" s="148"/>
      <c r="SKY402" s="148"/>
      <c r="SKZ402" s="148"/>
      <c r="SLA402" s="148"/>
      <c r="SLB402" s="148"/>
      <c r="SLC402" s="148"/>
      <c r="SLD402" s="148"/>
      <c r="SLE402" s="148"/>
      <c r="SLF402" s="148"/>
      <c r="SLG402" s="148"/>
      <c r="SLH402" s="148"/>
      <c r="SLI402" s="148"/>
      <c r="SLJ402" s="148"/>
      <c r="SLK402" s="148"/>
      <c r="SLL402" s="148"/>
      <c r="SLM402" s="148"/>
      <c r="SLN402" s="148"/>
      <c r="SLO402" s="148"/>
      <c r="SLP402" s="148"/>
      <c r="SLQ402" s="148"/>
      <c r="SLR402" s="148"/>
      <c r="SLS402" s="148"/>
      <c r="SLT402" s="148"/>
      <c r="SLU402" s="148"/>
      <c r="SLV402" s="148"/>
      <c r="SLW402" s="148"/>
      <c r="SLX402" s="148"/>
      <c r="SLY402" s="148"/>
      <c r="SLZ402" s="148"/>
      <c r="SMA402" s="148"/>
      <c r="SMB402" s="148"/>
      <c r="SMC402" s="148"/>
      <c r="SMD402" s="148"/>
      <c r="SME402" s="148"/>
      <c r="SMF402" s="148"/>
      <c r="SMG402" s="148"/>
      <c r="SMH402" s="148"/>
      <c r="SMI402" s="148"/>
      <c r="SMJ402" s="148"/>
      <c r="SMK402" s="148"/>
      <c r="SML402" s="148"/>
      <c r="SMM402" s="148"/>
      <c r="SMN402" s="148"/>
      <c r="SMO402" s="148"/>
      <c r="SMP402" s="148"/>
      <c r="SMQ402" s="148"/>
      <c r="SMR402" s="148"/>
      <c r="SMS402" s="148"/>
      <c r="SMT402" s="148"/>
      <c r="SMU402" s="148"/>
      <c r="SMV402" s="148"/>
      <c r="SMW402" s="148"/>
      <c r="SMX402" s="148"/>
      <c r="SMY402" s="148"/>
      <c r="SMZ402" s="148"/>
      <c r="SNA402" s="148"/>
      <c r="SNB402" s="148"/>
      <c r="SNC402" s="148"/>
      <c r="SND402" s="148"/>
      <c r="SNE402" s="148"/>
      <c r="SNF402" s="148"/>
      <c r="SNG402" s="148"/>
      <c r="SNH402" s="148"/>
      <c r="SNI402" s="148"/>
      <c r="SNJ402" s="148"/>
      <c r="SNK402" s="148"/>
      <c r="SNL402" s="148"/>
      <c r="SNM402" s="148"/>
      <c r="SNN402" s="148"/>
      <c r="SNO402" s="148"/>
      <c r="SNP402" s="148"/>
      <c r="SNQ402" s="148"/>
      <c r="SNR402" s="148"/>
      <c r="SNS402" s="148"/>
      <c r="SNT402" s="148"/>
      <c r="SNU402" s="148"/>
      <c r="SNV402" s="148"/>
      <c r="SNW402" s="148"/>
      <c r="SNX402" s="148"/>
      <c r="SNY402" s="148"/>
      <c r="SNZ402" s="148"/>
      <c r="SOA402" s="148"/>
      <c r="SOB402" s="148"/>
      <c r="SOC402" s="148"/>
      <c r="SOD402" s="148"/>
      <c r="SOE402" s="148"/>
      <c r="SOF402" s="148"/>
      <c r="SOG402" s="148"/>
      <c r="SOH402" s="148"/>
      <c r="SOI402" s="148"/>
      <c r="SOJ402" s="148"/>
      <c r="SOK402" s="148"/>
      <c r="SOL402" s="148"/>
      <c r="SOM402" s="148"/>
      <c r="SON402" s="148"/>
      <c r="SOO402" s="148"/>
      <c r="SOP402" s="148"/>
      <c r="SOQ402" s="148"/>
      <c r="SOR402" s="148"/>
      <c r="SOS402" s="148"/>
      <c r="SOT402" s="148"/>
      <c r="SOU402" s="148"/>
      <c r="SOV402" s="148"/>
      <c r="SOW402" s="148"/>
      <c r="SOX402" s="148"/>
      <c r="SOY402" s="148"/>
      <c r="SOZ402" s="148"/>
      <c r="SPA402" s="148"/>
      <c r="SPB402" s="148"/>
      <c r="SPC402" s="148"/>
      <c r="SPD402" s="148"/>
      <c r="SPE402" s="148"/>
      <c r="SPF402" s="148"/>
      <c r="SPG402" s="148"/>
      <c r="SPH402" s="148"/>
      <c r="SPI402" s="148"/>
      <c r="SPJ402" s="148"/>
      <c r="SPK402" s="148"/>
      <c r="SPL402" s="148"/>
      <c r="SPM402" s="148"/>
      <c r="SPN402" s="148"/>
      <c r="SPO402" s="148"/>
      <c r="SPP402" s="148"/>
      <c r="SPQ402" s="148"/>
      <c r="SPR402" s="148"/>
      <c r="SPS402" s="148"/>
      <c r="SPT402" s="148"/>
      <c r="SPU402" s="148"/>
      <c r="SPV402" s="148"/>
      <c r="SPW402" s="148"/>
      <c r="SPX402" s="148"/>
      <c r="SPY402" s="148"/>
      <c r="SPZ402" s="148"/>
      <c r="SQA402" s="148"/>
      <c r="SQB402" s="148"/>
      <c r="SQC402" s="148"/>
      <c r="SQD402" s="148"/>
      <c r="SQE402" s="148"/>
      <c r="SQF402" s="148"/>
      <c r="SQG402" s="148"/>
      <c r="SQH402" s="148"/>
      <c r="SQI402" s="148"/>
      <c r="SQJ402" s="148"/>
      <c r="SQK402" s="148"/>
      <c r="SQL402" s="148"/>
      <c r="SQM402" s="148"/>
      <c r="SQN402" s="148"/>
      <c r="SQO402" s="148"/>
      <c r="SQP402" s="148"/>
      <c r="SQQ402" s="148"/>
      <c r="SQR402" s="148"/>
      <c r="SQS402" s="148"/>
      <c r="SQT402" s="148"/>
      <c r="SQU402" s="148"/>
      <c r="SQV402" s="148"/>
      <c r="SQW402" s="148"/>
      <c r="SQX402" s="148"/>
      <c r="SQY402" s="148"/>
      <c r="SQZ402" s="148"/>
      <c r="SRA402" s="148"/>
      <c r="SRB402" s="148"/>
      <c r="SRC402" s="148"/>
      <c r="SRD402" s="148"/>
      <c r="SRE402" s="148"/>
      <c r="SRF402" s="148"/>
      <c r="SRG402" s="148"/>
      <c r="SRH402" s="148"/>
      <c r="SRI402" s="148"/>
      <c r="SRJ402" s="148"/>
      <c r="SRK402" s="148"/>
      <c r="SRL402" s="148"/>
      <c r="SRM402" s="148"/>
      <c r="SRN402" s="148"/>
      <c r="SRO402" s="148"/>
      <c r="SRP402" s="148"/>
      <c r="SRQ402" s="148"/>
      <c r="SRR402" s="148"/>
      <c r="SRS402" s="148"/>
      <c r="SRT402" s="148"/>
      <c r="SRU402" s="148"/>
      <c r="SRV402" s="148"/>
      <c r="SRW402" s="148"/>
      <c r="SRX402" s="148"/>
      <c r="SRY402" s="148"/>
      <c r="SRZ402" s="148"/>
      <c r="SSA402" s="148"/>
      <c r="SSB402" s="148"/>
      <c r="SSC402" s="148"/>
      <c r="SSD402" s="148"/>
      <c r="SSE402" s="148"/>
      <c r="SSF402" s="148"/>
      <c r="SSG402" s="148"/>
      <c r="SSH402" s="148"/>
      <c r="SSI402" s="148"/>
      <c r="SSJ402" s="148"/>
      <c r="SSK402" s="148"/>
      <c r="SSL402" s="148"/>
      <c r="SSM402" s="148"/>
      <c r="SSN402" s="148"/>
      <c r="SSO402" s="148"/>
      <c r="SSP402" s="148"/>
      <c r="SSQ402" s="148"/>
      <c r="SSR402" s="148"/>
      <c r="SSS402" s="148"/>
      <c r="SST402" s="148"/>
      <c r="SSU402" s="148"/>
      <c r="SSV402" s="148"/>
      <c r="SSW402" s="148"/>
      <c r="SSX402" s="148"/>
      <c r="SSY402" s="148"/>
      <c r="SSZ402" s="148"/>
      <c r="STA402" s="148"/>
      <c r="STB402" s="148"/>
      <c r="STC402" s="148"/>
      <c r="STD402" s="148"/>
      <c r="STE402" s="148"/>
      <c r="STF402" s="148"/>
      <c r="STG402" s="148"/>
      <c r="STH402" s="148"/>
      <c r="STI402" s="148"/>
      <c r="STJ402" s="148"/>
      <c r="STK402" s="148"/>
      <c r="STL402" s="148"/>
      <c r="STM402" s="148"/>
      <c r="STN402" s="148"/>
      <c r="STO402" s="148"/>
      <c r="STP402" s="148"/>
      <c r="STQ402" s="148"/>
      <c r="STR402" s="148"/>
      <c r="STS402" s="148"/>
      <c r="STT402" s="148"/>
      <c r="STU402" s="148"/>
      <c r="STV402" s="148"/>
      <c r="STW402" s="148"/>
      <c r="STX402" s="148"/>
      <c r="STY402" s="148"/>
      <c r="STZ402" s="148"/>
      <c r="SUA402" s="148"/>
      <c r="SUB402" s="148"/>
      <c r="SUC402" s="148"/>
      <c r="SUD402" s="148"/>
      <c r="SUE402" s="148"/>
      <c r="SUF402" s="148"/>
      <c r="SUG402" s="148"/>
      <c r="SUH402" s="148"/>
      <c r="SUI402" s="148"/>
      <c r="SUJ402" s="148"/>
      <c r="SUK402" s="148"/>
      <c r="SUL402" s="148"/>
      <c r="SUM402" s="148"/>
      <c r="SUN402" s="148"/>
      <c r="SUO402" s="148"/>
      <c r="SUP402" s="148"/>
      <c r="SUQ402" s="148"/>
      <c r="SUR402" s="148"/>
      <c r="SUS402" s="148"/>
      <c r="SUT402" s="148"/>
      <c r="SUU402" s="148"/>
      <c r="SUV402" s="148"/>
      <c r="SUW402" s="148"/>
      <c r="SUX402" s="148"/>
      <c r="SUY402" s="148"/>
      <c r="SUZ402" s="148"/>
      <c r="SVA402" s="148"/>
      <c r="SVB402" s="148"/>
      <c r="SVC402" s="148"/>
      <c r="SVD402" s="148"/>
      <c r="SVE402" s="148"/>
      <c r="SVF402" s="148"/>
      <c r="SVG402" s="148"/>
      <c r="SVH402" s="148"/>
      <c r="SVI402" s="148"/>
      <c r="SVJ402" s="148"/>
      <c r="SVK402" s="148"/>
      <c r="SVL402" s="148"/>
      <c r="SVM402" s="148"/>
      <c r="SVN402" s="148"/>
      <c r="SVO402" s="148"/>
      <c r="SVP402" s="148"/>
      <c r="SVQ402" s="148"/>
      <c r="SVR402" s="148"/>
      <c r="SVS402" s="148"/>
      <c r="SVT402" s="148"/>
      <c r="SVU402" s="148"/>
      <c r="SVV402" s="148"/>
      <c r="SVW402" s="148"/>
      <c r="SVX402" s="148"/>
      <c r="SVY402" s="148"/>
      <c r="SVZ402" s="148"/>
      <c r="SWA402" s="148"/>
      <c r="SWB402" s="148"/>
      <c r="SWC402" s="148"/>
      <c r="SWD402" s="148"/>
      <c r="SWE402" s="148"/>
      <c r="SWF402" s="148"/>
      <c r="SWG402" s="148"/>
      <c r="SWH402" s="148"/>
      <c r="SWI402" s="148"/>
      <c r="SWJ402" s="148"/>
      <c r="SWK402" s="148"/>
      <c r="SWL402" s="148"/>
      <c r="SWM402" s="148"/>
      <c r="SWN402" s="148"/>
      <c r="SWO402" s="148"/>
      <c r="SWP402" s="148"/>
      <c r="SWQ402" s="148"/>
      <c r="SWR402" s="148"/>
      <c r="SWS402" s="148"/>
      <c r="SWT402" s="148"/>
      <c r="SWU402" s="148"/>
      <c r="SWV402" s="148"/>
      <c r="SWW402" s="148"/>
      <c r="SWX402" s="148"/>
      <c r="SWY402" s="148"/>
      <c r="SWZ402" s="148"/>
      <c r="SXA402" s="148"/>
      <c r="SXB402" s="148"/>
      <c r="SXC402" s="148"/>
      <c r="SXD402" s="148"/>
      <c r="SXE402" s="148"/>
      <c r="SXF402" s="148"/>
      <c r="SXG402" s="148"/>
      <c r="SXH402" s="148"/>
      <c r="SXI402" s="148"/>
      <c r="SXJ402" s="148"/>
      <c r="SXK402" s="148"/>
      <c r="SXL402" s="148"/>
      <c r="SXM402" s="148"/>
      <c r="SXN402" s="148"/>
      <c r="SXO402" s="148"/>
      <c r="SXP402" s="148"/>
      <c r="SXQ402" s="148"/>
      <c r="SXR402" s="148"/>
      <c r="SXS402" s="148"/>
      <c r="SXT402" s="148"/>
      <c r="SXU402" s="148"/>
      <c r="SXV402" s="148"/>
      <c r="SXW402" s="148"/>
      <c r="SXX402" s="148"/>
      <c r="SXY402" s="148"/>
      <c r="SXZ402" s="148"/>
      <c r="SYA402" s="148"/>
      <c r="SYB402" s="148"/>
      <c r="SYC402" s="148"/>
      <c r="SYD402" s="148"/>
      <c r="SYE402" s="148"/>
      <c r="SYF402" s="148"/>
      <c r="SYG402" s="148"/>
      <c r="SYH402" s="148"/>
      <c r="SYI402" s="148"/>
      <c r="SYJ402" s="148"/>
      <c r="SYK402" s="148"/>
      <c r="SYL402" s="148"/>
      <c r="SYM402" s="148"/>
      <c r="SYN402" s="148"/>
      <c r="SYO402" s="148"/>
      <c r="SYP402" s="148"/>
      <c r="SYQ402" s="148"/>
      <c r="SYR402" s="148"/>
      <c r="SYS402" s="148"/>
      <c r="SYT402" s="148"/>
      <c r="SYU402" s="148"/>
      <c r="SYV402" s="148"/>
      <c r="SYW402" s="148"/>
      <c r="SYX402" s="148"/>
      <c r="SYY402" s="148"/>
      <c r="SYZ402" s="148"/>
      <c r="SZA402" s="148"/>
      <c r="SZB402" s="148"/>
      <c r="SZC402" s="148"/>
      <c r="SZD402" s="148"/>
      <c r="SZE402" s="148"/>
      <c r="SZF402" s="148"/>
      <c r="SZG402" s="148"/>
      <c r="SZH402" s="148"/>
      <c r="SZI402" s="148"/>
      <c r="SZJ402" s="148"/>
      <c r="SZK402" s="148"/>
      <c r="SZL402" s="148"/>
      <c r="SZM402" s="148"/>
      <c r="SZN402" s="148"/>
      <c r="SZO402" s="148"/>
      <c r="SZP402" s="148"/>
      <c r="SZQ402" s="148"/>
      <c r="SZR402" s="148"/>
      <c r="SZS402" s="148"/>
      <c r="SZT402" s="148"/>
      <c r="SZU402" s="148"/>
      <c r="SZV402" s="148"/>
      <c r="SZW402" s="148"/>
      <c r="SZX402" s="148"/>
      <c r="SZY402" s="148"/>
      <c r="SZZ402" s="148"/>
      <c r="TAA402" s="148"/>
      <c r="TAB402" s="148"/>
      <c r="TAC402" s="148"/>
      <c r="TAD402" s="148"/>
      <c r="TAE402" s="148"/>
      <c r="TAF402" s="148"/>
      <c r="TAG402" s="148"/>
      <c r="TAH402" s="148"/>
      <c r="TAI402" s="148"/>
      <c r="TAJ402" s="148"/>
      <c r="TAK402" s="148"/>
      <c r="TAL402" s="148"/>
      <c r="TAM402" s="148"/>
      <c r="TAN402" s="148"/>
      <c r="TAO402" s="148"/>
      <c r="TAP402" s="148"/>
      <c r="TAQ402" s="148"/>
      <c r="TAR402" s="148"/>
      <c r="TAS402" s="148"/>
      <c r="TAT402" s="148"/>
      <c r="TAU402" s="148"/>
      <c r="TAV402" s="148"/>
      <c r="TAW402" s="148"/>
      <c r="TAX402" s="148"/>
      <c r="TAY402" s="148"/>
      <c r="TAZ402" s="148"/>
      <c r="TBA402" s="148"/>
      <c r="TBB402" s="148"/>
      <c r="TBC402" s="148"/>
      <c r="TBD402" s="148"/>
      <c r="TBE402" s="148"/>
      <c r="TBF402" s="148"/>
      <c r="TBG402" s="148"/>
      <c r="TBH402" s="148"/>
      <c r="TBI402" s="148"/>
      <c r="TBJ402" s="148"/>
      <c r="TBK402" s="148"/>
      <c r="TBL402" s="148"/>
      <c r="TBM402" s="148"/>
      <c r="TBN402" s="148"/>
      <c r="TBO402" s="148"/>
      <c r="TBP402" s="148"/>
      <c r="TBQ402" s="148"/>
      <c r="TBR402" s="148"/>
      <c r="TBS402" s="148"/>
      <c r="TBT402" s="148"/>
      <c r="TBU402" s="148"/>
      <c r="TBV402" s="148"/>
      <c r="TBW402" s="148"/>
      <c r="TBX402" s="148"/>
      <c r="TBY402" s="148"/>
      <c r="TBZ402" s="148"/>
      <c r="TCA402" s="148"/>
      <c r="TCB402" s="148"/>
      <c r="TCC402" s="148"/>
      <c r="TCD402" s="148"/>
      <c r="TCE402" s="148"/>
      <c r="TCF402" s="148"/>
      <c r="TCG402" s="148"/>
      <c r="TCH402" s="148"/>
      <c r="TCI402" s="148"/>
      <c r="TCJ402" s="148"/>
      <c r="TCK402" s="148"/>
      <c r="TCL402" s="148"/>
      <c r="TCM402" s="148"/>
      <c r="TCN402" s="148"/>
      <c r="TCO402" s="148"/>
      <c r="TCP402" s="148"/>
      <c r="TCQ402" s="148"/>
      <c r="TCR402" s="148"/>
      <c r="TCS402" s="148"/>
      <c r="TCT402" s="148"/>
      <c r="TCU402" s="148"/>
      <c r="TCV402" s="148"/>
      <c r="TCW402" s="148"/>
      <c r="TCX402" s="148"/>
      <c r="TCY402" s="148"/>
      <c r="TCZ402" s="148"/>
      <c r="TDA402" s="148"/>
      <c r="TDB402" s="148"/>
      <c r="TDC402" s="148"/>
      <c r="TDD402" s="148"/>
      <c r="TDE402" s="148"/>
      <c r="TDF402" s="148"/>
      <c r="TDG402" s="148"/>
      <c r="TDH402" s="148"/>
      <c r="TDI402" s="148"/>
      <c r="TDJ402" s="148"/>
      <c r="TDK402" s="148"/>
      <c r="TDL402" s="148"/>
      <c r="TDM402" s="148"/>
      <c r="TDN402" s="148"/>
      <c r="TDO402" s="148"/>
      <c r="TDP402" s="148"/>
      <c r="TDQ402" s="148"/>
      <c r="TDR402" s="148"/>
      <c r="TDS402" s="148"/>
      <c r="TDT402" s="148"/>
      <c r="TDU402" s="148"/>
      <c r="TDV402" s="148"/>
      <c r="TDW402" s="148"/>
      <c r="TDX402" s="148"/>
      <c r="TDY402" s="148"/>
      <c r="TDZ402" s="148"/>
      <c r="TEA402" s="148"/>
      <c r="TEB402" s="148"/>
      <c r="TEC402" s="148"/>
      <c r="TED402" s="148"/>
      <c r="TEE402" s="148"/>
      <c r="TEF402" s="148"/>
      <c r="TEG402" s="148"/>
      <c r="TEH402" s="148"/>
      <c r="TEI402" s="148"/>
      <c r="TEJ402" s="148"/>
      <c r="TEK402" s="148"/>
      <c r="TEL402" s="148"/>
      <c r="TEM402" s="148"/>
      <c r="TEN402" s="148"/>
      <c r="TEO402" s="148"/>
      <c r="TEP402" s="148"/>
      <c r="TEQ402" s="148"/>
      <c r="TER402" s="148"/>
      <c r="TES402" s="148"/>
      <c r="TET402" s="148"/>
      <c r="TEU402" s="148"/>
      <c r="TEV402" s="148"/>
      <c r="TEW402" s="148"/>
      <c r="TEX402" s="148"/>
      <c r="TEY402" s="148"/>
      <c r="TEZ402" s="148"/>
      <c r="TFA402" s="148"/>
      <c r="TFB402" s="148"/>
      <c r="TFC402" s="148"/>
      <c r="TFD402" s="148"/>
      <c r="TFE402" s="148"/>
      <c r="TFF402" s="148"/>
      <c r="TFG402" s="148"/>
      <c r="TFH402" s="148"/>
      <c r="TFI402" s="148"/>
      <c r="TFJ402" s="148"/>
      <c r="TFK402" s="148"/>
      <c r="TFL402" s="148"/>
      <c r="TFM402" s="148"/>
      <c r="TFN402" s="148"/>
      <c r="TFO402" s="148"/>
      <c r="TFP402" s="148"/>
      <c r="TFQ402" s="148"/>
      <c r="TFR402" s="148"/>
      <c r="TFS402" s="148"/>
      <c r="TFT402" s="148"/>
      <c r="TFU402" s="148"/>
      <c r="TFV402" s="148"/>
      <c r="TFW402" s="148"/>
      <c r="TFX402" s="148"/>
      <c r="TFY402" s="148"/>
      <c r="TFZ402" s="148"/>
      <c r="TGA402" s="148"/>
      <c r="TGB402" s="148"/>
      <c r="TGC402" s="148"/>
      <c r="TGD402" s="148"/>
      <c r="TGE402" s="148"/>
      <c r="TGF402" s="148"/>
      <c r="TGG402" s="148"/>
      <c r="TGH402" s="148"/>
      <c r="TGI402" s="148"/>
      <c r="TGJ402" s="148"/>
      <c r="TGK402" s="148"/>
      <c r="TGL402" s="148"/>
      <c r="TGM402" s="148"/>
      <c r="TGN402" s="148"/>
      <c r="TGO402" s="148"/>
      <c r="TGP402" s="148"/>
      <c r="TGQ402" s="148"/>
      <c r="TGR402" s="148"/>
      <c r="TGS402" s="148"/>
      <c r="TGT402" s="148"/>
      <c r="TGU402" s="148"/>
      <c r="TGV402" s="148"/>
      <c r="TGW402" s="148"/>
      <c r="TGX402" s="148"/>
      <c r="TGY402" s="148"/>
      <c r="TGZ402" s="148"/>
      <c r="THA402" s="148"/>
      <c r="THB402" s="148"/>
      <c r="THC402" s="148"/>
      <c r="THD402" s="148"/>
      <c r="THE402" s="148"/>
      <c r="THF402" s="148"/>
      <c r="THG402" s="148"/>
      <c r="THH402" s="148"/>
      <c r="THI402" s="148"/>
      <c r="THJ402" s="148"/>
      <c r="THK402" s="148"/>
      <c r="THL402" s="148"/>
      <c r="THM402" s="148"/>
      <c r="THN402" s="148"/>
      <c r="THO402" s="148"/>
      <c r="THP402" s="148"/>
      <c r="THQ402" s="148"/>
      <c r="THR402" s="148"/>
      <c r="THS402" s="148"/>
      <c r="THT402" s="148"/>
      <c r="THU402" s="148"/>
      <c r="THV402" s="148"/>
      <c r="THW402" s="148"/>
      <c r="THX402" s="148"/>
      <c r="THY402" s="148"/>
      <c r="THZ402" s="148"/>
      <c r="TIA402" s="148"/>
      <c r="TIB402" s="148"/>
      <c r="TIC402" s="148"/>
      <c r="TID402" s="148"/>
      <c r="TIE402" s="148"/>
      <c r="TIF402" s="148"/>
      <c r="TIG402" s="148"/>
      <c r="TIH402" s="148"/>
      <c r="TII402" s="148"/>
      <c r="TIJ402" s="148"/>
      <c r="TIK402" s="148"/>
      <c r="TIL402" s="148"/>
      <c r="TIM402" s="148"/>
      <c r="TIN402" s="148"/>
      <c r="TIO402" s="148"/>
      <c r="TIP402" s="148"/>
      <c r="TIQ402" s="148"/>
      <c r="TIR402" s="148"/>
      <c r="TIS402" s="148"/>
      <c r="TIT402" s="148"/>
      <c r="TIU402" s="148"/>
      <c r="TIV402" s="148"/>
      <c r="TIW402" s="148"/>
      <c r="TIX402" s="148"/>
      <c r="TIY402" s="148"/>
      <c r="TIZ402" s="148"/>
      <c r="TJA402" s="148"/>
      <c r="TJB402" s="148"/>
      <c r="TJC402" s="148"/>
      <c r="TJD402" s="148"/>
      <c r="TJE402" s="148"/>
      <c r="TJF402" s="148"/>
      <c r="TJG402" s="148"/>
      <c r="TJH402" s="148"/>
      <c r="TJI402" s="148"/>
      <c r="TJJ402" s="148"/>
      <c r="TJK402" s="148"/>
      <c r="TJL402" s="148"/>
      <c r="TJM402" s="148"/>
      <c r="TJN402" s="148"/>
      <c r="TJO402" s="148"/>
      <c r="TJP402" s="148"/>
      <c r="TJQ402" s="148"/>
      <c r="TJR402" s="148"/>
      <c r="TJS402" s="148"/>
      <c r="TJT402" s="148"/>
      <c r="TJU402" s="148"/>
      <c r="TJV402" s="148"/>
      <c r="TJW402" s="148"/>
      <c r="TJX402" s="148"/>
      <c r="TJY402" s="148"/>
      <c r="TJZ402" s="148"/>
      <c r="TKA402" s="148"/>
      <c r="TKB402" s="148"/>
      <c r="TKC402" s="148"/>
      <c r="TKD402" s="148"/>
      <c r="TKE402" s="148"/>
      <c r="TKF402" s="148"/>
      <c r="TKG402" s="148"/>
      <c r="TKH402" s="148"/>
      <c r="TKI402" s="148"/>
      <c r="TKJ402" s="148"/>
      <c r="TKK402" s="148"/>
      <c r="TKL402" s="148"/>
      <c r="TKM402" s="148"/>
      <c r="TKN402" s="148"/>
      <c r="TKO402" s="148"/>
      <c r="TKP402" s="148"/>
      <c r="TKQ402" s="148"/>
      <c r="TKR402" s="148"/>
      <c r="TKS402" s="148"/>
      <c r="TKT402" s="148"/>
      <c r="TKU402" s="148"/>
      <c r="TKV402" s="148"/>
      <c r="TKW402" s="148"/>
      <c r="TKX402" s="148"/>
      <c r="TKY402" s="148"/>
      <c r="TKZ402" s="148"/>
      <c r="TLA402" s="148"/>
      <c r="TLB402" s="148"/>
      <c r="TLC402" s="148"/>
      <c r="TLD402" s="148"/>
      <c r="TLE402" s="148"/>
      <c r="TLF402" s="148"/>
      <c r="TLG402" s="148"/>
      <c r="TLH402" s="148"/>
      <c r="TLI402" s="148"/>
      <c r="TLJ402" s="148"/>
      <c r="TLK402" s="148"/>
      <c r="TLL402" s="148"/>
      <c r="TLM402" s="148"/>
      <c r="TLN402" s="148"/>
      <c r="TLO402" s="148"/>
      <c r="TLP402" s="148"/>
      <c r="TLQ402" s="148"/>
      <c r="TLR402" s="148"/>
      <c r="TLS402" s="148"/>
      <c r="TLT402" s="148"/>
      <c r="TLU402" s="148"/>
      <c r="TLV402" s="148"/>
      <c r="TLW402" s="148"/>
      <c r="TLX402" s="148"/>
      <c r="TLY402" s="148"/>
      <c r="TLZ402" s="148"/>
      <c r="TMA402" s="148"/>
      <c r="TMB402" s="148"/>
      <c r="TMC402" s="148"/>
      <c r="TMD402" s="148"/>
      <c r="TME402" s="148"/>
      <c r="TMF402" s="148"/>
      <c r="TMG402" s="148"/>
      <c r="TMH402" s="148"/>
      <c r="TMI402" s="148"/>
      <c r="TMJ402" s="148"/>
      <c r="TMK402" s="148"/>
      <c r="TML402" s="148"/>
      <c r="TMM402" s="148"/>
      <c r="TMN402" s="148"/>
      <c r="TMO402" s="148"/>
      <c r="TMP402" s="148"/>
      <c r="TMQ402" s="148"/>
      <c r="TMR402" s="148"/>
      <c r="TMS402" s="148"/>
      <c r="TMT402" s="148"/>
      <c r="TMU402" s="148"/>
      <c r="TMV402" s="148"/>
      <c r="TMW402" s="148"/>
      <c r="TMX402" s="148"/>
      <c r="TMY402" s="148"/>
      <c r="TMZ402" s="148"/>
      <c r="TNA402" s="148"/>
      <c r="TNB402" s="148"/>
      <c r="TNC402" s="148"/>
      <c r="TND402" s="148"/>
      <c r="TNE402" s="148"/>
      <c r="TNF402" s="148"/>
      <c r="TNG402" s="148"/>
      <c r="TNH402" s="148"/>
      <c r="TNI402" s="148"/>
      <c r="TNJ402" s="148"/>
      <c r="TNK402" s="148"/>
      <c r="TNL402" s="148"/>
      <c r="TNM402" s="148"/>
      <c r="TNN402" s="148"/>
      <c r="TNO402" s="148"/>
      <c r="TNP402" s="148"/>
      <c r="TNQ402" s="148"/>
      <c r="TNR402" s="148"/>
      <c r="TNS402" s="148"/>
      <c r="TNT402" s="148"/>
      <c r="TNU402" s="148"/>
      <c r="TNV402" s="148"/>
      <c r="TNW402" s="148"/>
      <c r="TNX402" s="148"/>
      <c r="TNY402" s="148"/>
      <c r="TNZ402" s="148"/>
      <c r="TOA402" s="148"/>
      <c r="TOB402" s="148"/>
      <c r="TOC402" s="148"/>
      <c r="TOD402" s="148"/>
      <c r="TOE402" s="148"/>
      <c r="TOF402" s="148"/>
      <c r="TOG402" s="148"/>
      <c r="TOH402" s="148"/>
      <c r="TOI402" s="148"/>
      <c r="TOJ402" s="148"/>
      <c r="TOK402" s="148"/>
      <c r="TOL402" s="148"/>
      <c r="TOM402" s="148"/>
      <c r="TON402" s="148"/>
      <c r="TOO402" s="148"/>
      <c r="TOP402" s="148"/>
      <c r="TOQ402" s="148"/>
      <c r="TOR402" s="148"/>
      <c r="TOS402" s="148"/>
      <c r="TOT402" s="148"/>
      <c r="TOU402" s="148"/>
      <c r="TOV402" s="148"/>
      <c r="TOW402" s="148"/>
      <c r="TOX402" s="148"/>
      <c r="TOY402" s="148"/>
      <c r="TOZ402" s="148"/>
      <c r="TPA402" s="148"/>
      <c r="TPB402" s="148"/>
      <c r="TPC402" s="148"/>
      <c r="TPD402" s="148"/>
      <c r="TPE402" s="148"/>
      <c r="TPF402" s="148"/>
      <c r="TPG402" s="148"/>
      <c r="TPH402" s="148"/>
      <c r="TPI402" s="148"/>
      <c r="TPJ402" s="148"/>
      <c r="TPK402" s="148"/>
      <c r="TPL402" s="148"/>
      <c r="TPM402" s="148"/>
      <c r="TPN402" s="148"/>
      <c r="TPO402" s="148"/>
      <c r="TPP402" s="148"/>
      <c r="TPQ402" s="148"/>
      <c r="TPR402" s="148"/>
      <c r="TPS402" s="148"/>
      <c r="TPT402" s="148"/>
      <c r="TPU402" s="148"/>
      <c r="TPV402" s="148"/>
      <c r="TPW402" s="148"/>
      <c r="TPX402" s="148"/>
      <c r="TPY402" s="148"/>
      <c r="TPZ402" s="148"/>
      <c r="TQA402" s="148"/>
      <c r="TQB402" s="148"/>
      <c r="TQC402" s="148"/>
      <c r="TQD402" s="148"/>
      <c r="TQE402" s="148"/>
      <c r="TQF402" s="148"/>
      <c r="TQG402" s="148"/>
      <c r="TQH402" s="148"/>
      <c r="TQI402" s="148"/>
      <c r="TQJ402" s="148"/>
      <c r="TQK402" s="148"/>
      <c r="TQL402" s="148"/>
      <c r="TQM402" s="148"/>
      <c r="TQN402" s="148"/>
      <c r="TQO402" s="148"/>
      <c r="TQP402" s="148"/>
      <c r="TQQ402" s="148"/>
      <c r="TQR402" s="148"/>
      <c r="TQS402" s="148"/>
      <c r="TQT402" s="148"/>
      <c r="TQU402" s="148"/>
      <c r="TQV402" s="148"/>
      <c r="TQW402" s="148"/>
      <c r="TQX402" s="148"/>
      <c r="TQY402" s="148"/>
      <c r="TQZ402" s="148"/>
      <c r="TRA402" s="148"/>
      <c r="TRB402" s="148"/>
      <c r="TRC402" s="148"/>
      <c r="TRD402" s="148"/>
      <c r="TRE402" s="148"/>
      <c r="TRF402" s="148"/>
      <c r="TRG402" s="148"/>
      <c r="TRH402" s="148"/>
      <c r="TRI402" s="148"/>
      <c r="TRJ402" s="148"/>
      <c r="TRK402" s="148"/>
      <c r="TRL402" s="148"/>
      <c r="TRM402" s="148"/>
      <c r="TRN402" s="148"/>
      <c r="TRO402" s="148"/>
      <c r="TRP402" s="148"/>
      <c r="TRQ402" s="148"/>
      <c r="TRR402" s="148"/>
      <c r="TRS402" s="148"/>
      <c r="TRT402" s="148"/>
      <c r="TRU402" s="148"/>
      <c r="TRV402" s="148"/>
      <c r="TRW402" s="148"/>
      <c r="TRX402" s="148"/>
      <c r="TRY402" s="148"/>
      <c r="TRZ402" s="148"/>
      <c r="TSA402" s="148"/>
      <c r="TSB402" s="148"/>
      <c r="TSC402" s="148"/>
      <c r="TSD402" s="148"/>
      <c r="TSE402" s="148"/>
      <c r="TSF402" s="148"/>
      <c r="TSG402" s="148"/>
      <c r="TSH402" s="148"/>
      <c r="TSI402" s="148"/>
      <c r="TSJ402" s="148"/>
      <c r="TSK402" s="148"/>
      <c r="TSL402" s="148"/>
      <c r="TSM402" s="148"/>
      <c r="TSN402" s="148"/>
      <c r="TSO402" s="148"/>
      <c r="TSP402" s="148"/>
      <c r="TSQ402" s="148"/>
      <c r="TSR402" s="148"/>
      <c r="TSS402" s="148"/>
      <c r="TST402" s="148"/>
      <c r="TSU402" s="148"/>
      <c r="TSV402" s="148"/>
      <c r="TSW402" s="148"/>
      <c r="TSX402" s="148"/>
      <c r="TSY402" s="148"/>
      <c r="TSZ402" s="148"/>
      <c r="TTA402" s="148"/>
      <c r="TTB402" s="148"/>
      <c r="TTC402" s="148"/>
      <c r="TTD402" s="148"/>
      <c r="TTE402" s="148"/>
      <c r="TTF402" s="148"/>
      <c r="TTG402" s="148"/>
      <c r="TTH402" s="148"/>
      <c r="TTI402" s="148"/>
      <c r="TTJ402" s="148"/>
      <c r="TTK402" s="148"/>
      <c r="TTL402" s="148"/>
      <c r="TTM402" s="148"/>
      <c r="TTN402" s="148"/>
      <c r="TTO402" s="148"/>
      <c r="TTP402" s="148"/>
      <c r="TTQ402" s="148"/>
      <c r="TTR402" s="148"/>
      <c r="TTS402" s="148"/>
      <c r="TTT402" s="148"/>
      <c r="TTU402" s="148"/>
      <c r="TTV402" s="148"/>
      <c r="TTW402" s="148"/>
      <c r="TTX402" s="148"/>
      <c r="TTY402" s="148"/>
      <c r="TTZ402" s="148"/>
      <c r="TUA402" s="148"/>
      <c r="TUB402" s="148"/>
      <c r="TUC402" s="148"/>
      <c r="TUD402" s="148"/>
      <c r="TUE402" s="148"/>
      <c r="TUF402" s="148"/>
      <c r="TUG402" s="148"/>
      <c r="TUH402" s="148"/>
      <c r="TUI402" s="148"/>
      <c r="TUJ402" s="148"/>
      <c r="TUK402" s="148"/>
      <c r="TUL402" s="148"/>
      <c r="TUM402" s="148"/>
      <c r="TUN402" s="148"/>
      <c r="TUO402" s="148"/>
      <c r="TUP402" s="148"/>
      <c r="TUQ402" s="148"/>
      <c r="TUR402" s="148"/>
      <c r="TUS402" s="148"/>
      <c r="TUT402" s="148"/>
      <c r="TUU402" s="148"/>
      <c r="TUV402" s="148"/>
      <c r="TUW402" s="148"/>
      <c r="TUX402" s="148"/>
      <c r="TUY402" s="148"/>
      <c r="TUZ402" s="148"/>
      <c r="TVA402" s="148"/>
      <c r="TVB402" s="148"/>
      <c r="TVC402" s="148"/>
      <c r="TVD402" s="148"/>
      <c r="TVE402" s="148"/>
      <c r="TVF402" s="148"/>
      <c r="TVG402" s="148"/>
      <c r="TVH402" s="148"/>
      <c r="TVI402" s="148"/>
      <c r="TVJ402" s="148"/>
      <c r="TVK402" s="148"/>
      <c r="TVL402" s="148"/>
      <c r="TVM402" s="148"/>
      <c r="TVN402" s="148"/>
      <c r="TVO402" s="148"/>
      <c r="TVP402" s="148"/>
      <c r="TVQ402" s="148"/>
      <c r="TVR402" s="148"/>
      <c r="TVS402" s="148"/>
      <c r="TVT402" s="148"/>
      <c r="TVU402" s="148"/>
      <c r="TVV402" s="148"/>
      <c r="TVW402" s="148"/>
      <c r="TVX402" s="148"/>
      <c r="TVY402" s="148"/>
      <c r="TVZ402" s="148"/>
      <c r="TWA402" s="148"/>
      <c r="TWB402" s="148"/>
      <c r="TWC402" s="148"/>
      <c r="TWD402" s="148"/>
      <c r="TWE402" s="148"/>
      <c r="TWF402" s="148"/>
      <c r="TWG402" s="148"/>
      <c r="TWH402" s="148"/>
      <c r="TWI402" s="148"/>
      <c r="TWJ402" s="148"/>
      <c r="TWK402" s="148"/>
      <c r="TWL402" s="148"/>
      <c r="TWM402" s="148"/>
      <c r="TWN402" s="148"/>
      <c r="TWO402" s="148"/>
      <c r="TWP402" s="148"/>
      <c r="TWQ402" s="148"/>
      <c r="TWR402" s="148"/>
      <c r="TWS402" s="148"/>
      <c r="TWT402" s="148"/>
      <c r="TWU402" s="148"/>
      <c r="TWV402" s="148"/>
      <c r="TWW402" s="148"/>
      <c r="TWX402" s="148"/>
      <c r="TWY402" s="148"/>
      <c r="TWZ402" s="148"/>
      <c r="TXA402" s="148"/>
      <c r="TXB402" s="148"/>
      <c r="TXC402" s="148"/>
      <c r="TXD402" s="148"/>
      <c r="TXE402" s="148"/>
      <c r="TXF402" s="148"/>
      <c r="TXG402" s="148"/>
      <c r="TXH402" s="148"/>
      <c r="TXI402" s="148"/>
      <c r="TXJ402" s="148"/>
      <c r="TXK402" s="148"/>
      <c r="TXL402" s="148"/>
      <c r="TXM402" s="148"/>
      <c r="TXN402" s="148"/>
      <c r="TXO402" s="148"/>
      <c r="TXP402" s="148"/>
      <c r="TXQ402" s="148"/>
      <c r="TXR402" s="148"/>
      <c r="TXS402" s="148"/>
      <c r="TXT402" s="148"/>
      <c r="TXU402" s="148"/>
      <c r="TXV402" s="148"/>
      <c r="TXW402" s="148"/>
      <c r="TXX402" s="148"/>
      <c r="TXY402" s="148"/>
      <c r="TXZ402" s="148"/>
      <c r="TYA402" s="148"/>
      <c r="TYB402" s="148"/>
      <c r="TYC402" s="148"/>
      <c r="TYD402" s="148"/>
      <c r="TYE402" s="148"/>
      <c r="TYF402" s="148"/>
      <c r="TYG402" s="148"/>
      <c r="TYH402" s="148"/>
      <c r="TYI402" s="148"/>
      <c r="TYJ402" s="148"/>
      <c r="TYK402" s="148"/>
      <c r="TYL402" s="148"/>
      <c r="TYM402" s="148"/>
      <c r="TYN402" s="148"/>
      <c r="TYO402" s="148"/>
      <c r="TYP402" s="148"/>
      <c r="TYQ402" s="148"/>
      <c r="TYR402" s="148"/>
      <c r="TYS402" s="148"/>
      <c r="TYT402" s="148"/>
      <c r="TYU402" s="148"/>
      <c r="TYV402" s="148"/>
      <c r="TYW402" s="148"/>
      <c r="TYX402" s="148"/>
      <c r="TYY402" s="148"/>
      <c r="TYZ402" s="148"/>
      <c r="TZA402" s="148"/>
      <c r="TZB402" s="148"/>
      <c r="TZC402" s="148"/>
      <c r="TZD402" s="148"/>
      <c r="TZE402" s="148"/>
      <c r="TZF402" s="148"/>
      <c r="TZG402" s="148"/>
      <c r="TZH402" s="148"/>
      <c r="TZI402" s="148"/>
      <c r="TZJ402" s="148"/>
      <c r="TZK402" s="148"/>
      <c r="TZL402" s="148"/>
      <c r="TZM402" s="148"/>
      <c r="TZN402" s="148"/>
      <c r="TZO402" s="148"/>
      <c r="TZP402" s="148"/>
      <c r="TZQ402" s="148"/>
      <c r="TZR402" s="148"/>
      <c r="TZS402" s="148"/>
      <c r="TZT402" s="148"/>
      <c r="TZU402" s="148"/>
      <c r="TZV402" s="148"/>
      <c r="TZW402" s="148"/>
      <c r="TZX402" s="148"/>
      <c r="TZY402" s="148"/>
      <c r="TZZ402" s="148"/>
      <c r="UAA402" s="148"/>
      <c r="UAB402" s="148"/>
      <c r="UAC402" s="148"/>
      <c r="UAD402" s="148"/>
      <c r="UAE402" s="148"/>
      <c r="UAF402" s="148"/>
      <c r="UAG402" s="148"/>
      <c r="UAH402" s="148"/>
      <c r="UAI402" s="148"/>
      <c r="UAJ402" s="148"/>
      <c r="UAK402" s="148"/>
      <c r="UAL402" s="148"/>
      <c r="UAM402" s="148"/>
      <c r="UAN402" s="148"/>
      <c r="UAO402" s="148"/>
      <c r="UAP402" s="148"/>
      <c r="UAQ402" s="148"/>
      <c r="UAR402" s="148"/>
      <c r="UAS402" s="148"/>
      <c r="UAT402" s="148"/>
      <c r="UAU402" s="148"/>
      <c r="UAV402" s="148"/>
      <c r="UAW402" s="148"/>
      <c r="UAX402" s="148"/>
      <c r="UAY402" s="148"/>
      <c r="UAZ402" s="148"/>
      <c r="UBA402" s="148"/>
      <c r="UBB402" s="148"/>
      <c r="UBC402" s="148"/>
      <c r="UBD402" s="148"/>
      <c r="UBE402" s="148"/>
      <c r="UBF402" s="148"/>
      <c r="UBG402" s="148"/>
      <c r="UBH402" s="148"/>
      <c r="UBI402" s="148"/>
      <c r="UBJ402" s="148"/>
      <c r="UBK402" s="148"/>
      <c r="UBL402" s="148"/>
      <c r="UBM402" s="148"/>
      <c r="UBN402" s="148"/>
      <c r="UBO402" s="148"/>
      <c r="UBP402" s="148"/>
      <c r="UBQ402" s="148"/>
      <c r="UBR402" s="148"/>
      <c r="UBS402" s="148"/>
      <c r="UBT402" s="148"/>
      <c r="UBU402" s="148"/>
      <c r="UBV402" s="148"/>
      <c r="UBW402" s="148"/>
      <c r="UBX402" s="148"/>
      <c r="UBY402" s="148"/>
      <c r="UBZ402" s="148"/>
      <c r="UCA402" s="148"/>
      <c r="UCB402" s="148"/>
      <c r="UCC402" s="148"/>
      <c r="UCD402" s="148"/>
      <c r="UCE402" s="148"/>
      <c r="UCF402" s="148"/>
      <c r="UCG402" s="148"/>
      <c r="UCH402" s="148"/>
      <c r="UCI402" s="148"/>
      <c r="UCJ402" s="148"/>
      <c r="UCK402" s="148"/>
      <c r="UCL402" s="148"/>
      <c r="UCM402" s="148"/>
      <c r="UCN402" s="148"/>
      <c r="UCO402" s="148"/>
      <c r="UCP402" s="148"/>
      <c r="UCQ402" s="148"/>
      <c r="UCR402" s="148"/>
      <c r="UCS402" s="148"/>
      <c r="UCT402" s="148"/>
      <c r="UCU402" s="148"/>
      <c r="UCV402" s="148"/>
      <c r="UCW402" s="148"/>
      <c r="UCX402" s="148"/>
      <c r="UCY402" s="148"/>
      <c r="UCZ402" s="148"/>
      <c r="UDA402" s="148"/>
      <c r="UDB402" s="148"/>
      <c r="UDC402" s="148"/>
      <c r="UDD402" s="148"/>
      <c r="UDE402" s="148"/>
      <c r="UDF402" s="148"/>
      <c r="UDG402" s="148"/>
      <c r="UDH402" s="148"/>
      <c r="UDI402" s="148"/>
      <c r="UDJ402" s="148"/>
      <c r="UDK402" s="148"/>
      <c r="UDL402" s="148"/>
      <c r="UDM402" s="148"/>
      <c r="UDN402" s="148"/>
      <c r="UDO402" s="148"/>
      <c r="UDP402" s="148"/>
      <c r="UDQ402" s="148"/>
      <c r="UDR402" s="148"/>
      <c r="UDS402" s="148"/>
      <c r="UDT402" s="148"/>
      <c r="UDU402" s="148"/>
      <c r="UDV402" s="148"/>
      <c r="UDW402" s="148"/>
      <c r="UDX402" s="148"/>
      <c r="UDY402" s="148"/>
      <c r="UDZ402" s="148"/>
      <c r="UEA402" s="148"/>
      <c r="UEB402" s="148"/>
      <c r="UEC402" s="148"/>
      <c r="UED402" s="148"/>
      <c r="UEE402" s="148"/>
      <c r="UEF402" s="148"/>
      <c r="UEG402" s="148"/>
      <c r="UEH402" s="148"/>
      <c r="UEI402" s="148"/>
      <c r="UEJ402" s="148"/>
      <c r="UEK402" s="148"/>
      <c r="UEL402" s="148"/>
      <c r="UEM402" s="148"/>
      <c r="UEN402" s="148"/>
      <c r="UEO402" s="148"/>
      <c r="UEP402" s="148"/>
      <c r="UEQ402" s="148"/>
      <c r="UER402" s="148"/>
      <c r="UES402" s="148"/>
      <c r="UET402" s="148"/>
      <c r="UEU402" s="148"/>
      <c r="UEV402" s="148"/>
      <c r="UEW402" s="148"/>
      <c r="UEX402" s="148"/>
      <c r="UEY402" s="148"/>
      <c r="UEZ402" s="148"/>
      <c r="UFA402" s="148"/>
      <c r="UFB402" s="148"/>
      <c r="UFC402" s="148"/>
      <c r="UFD402" s="148"/>
      <c r="UFE402" s="148"/>
      <c r="UFF402" s="148"/>
      <c r="UFG402" s="148"/>
      <c r="UFH402" s="148"/>
      <c r="UFI402" s="148"/>
      <c r="UFJ402" s="148"/>
      <c r="UFK402" s="148"/>
      <c r="UFL402" s="148"/>
      <c r="UFM402" s="148"/>
      <c r="UFN402" s="148"/>
      <c r="UFO402" s="148"/>
      <c r="UFP402" s="148"/>
      <c r="UFQ402" s="148"/>
      <c r="UFR402" s="148"/>
      <c r="UFS402" s="148"/>
      <c r="UFT402" s="148"/>
      <c r="UFU402" s="148"/>
      <c r="UFV402" s="148"/>
      <c r="UFW402" s="148"/>
      <c r="UFX402" s="148"/>
      <c r="UFY402" s="148"/>
      <c r="UFZ402" s="148"/>
      <c r="UGA402" s="148"/>
      <c r="UGB402" s="148"/>
      <c r="UGC402" s="148"/>
      <c r="UGD402" s="148"/>
      <c r="UGE402" s="148"/>
      <c r="UGF402" s="148"/>
      <c r="UGG402" s="148"/>
      <c r="UGH402" s="148"/>
      <c r="UGI402" s="148"/>
      <c r="UGJ402" s="148"/>
      <c r="UGK402" s="148"/>
      <c r="UGL402" s="148"/>
      <c r="UGM402" s="148"/>
      <c r="UGN402" s="148"/>
      <c r="UGO402" s="148"/>
      <c r="UGP402" s="148"/>
      <c r="UGQ402" s="148"/>
      <c r="UGR402" s="148"/>
      <c r="UGS402" s="148"/>
      <c r="UGT402" s="148"/>
      <c r="UGU402" s="148"/>
      <c r="UGV402" s="148"/>
      <c r="UGW402" s="148"/>
      <c r="UGX402" s="148"/>
      <c r="UGY402" s="148"/>
      <c r="UGZ402" s="148"/>
      <c r="UHA402" s="148"/>
      <c r="UHB402" s="148"/>
      <c r="UHC402" s="148"/>
      <c r="UHD402" s="148"/>
      <c r="UHE402" s="148"/>
      <c r="UHF402" s="148"/>
      <c r="UHG402" s="148"/>
      <c r="UHH402" s="148"/>
      <c r="UHI402" s="148"/>
      <c r="UHJ402" s="148"/>
      <c r="UHK402" s="148"/>
      <c r="UHL402" s="148"/>
      <c r="UHM402" s="148"/>
      <c r="UHN402" s="148"/>
      <c r="UHO402" s="148"/>
      <c r="UHP402" s="148"/>
      <c r="UHQ402" s="148"/>
      <c r="UHR402" s="148"/>
      <c r="UHS402" s="148"/>
      <c r="UHT402" s="148"/>
      <c r="UHU402" s="148"/>
      <c r="UHV402" s="148"/>
      <c r="UHW402" s="148"/>
      <c r="UHX402" s="148"/>
      <c r="UHY402" s="148"/>
      <c r="UHZ402" s="148"/>
      <c r="UIA402" s="148"/>
      <c r="UIB402" s="148"/>
      <c r="UIC402" s="148"/>
      <c r="UID402" s="148"/>
      <c r="UIE402" s="148"/>
      <c r="UIF402" s="148"/>
      <c r="UIG402" s="148"/>
      <c r="UIH402" s="148"/>
      <c r="UII402" s="148"/>
      <c r="UIJ402" s="148"/>
      <c r="UIK402" s="148"/>
      <c r="UIL402" s="148"/>
      <c r="UIM402" s="148"/>
      <c r="UIN402" s="148"/>
      <c r="UIO402" s="148"/>
      <c r="UIP402" s="148"/>
      <c r="UIQ402" s="148"/>
      <c r="UIR402" s="148"/>
      <c r="UIS402" s="148"/>
      <c r="UIT402" s="148"/>
      <c r="UIU402" s="148"/>
      <c r="UIV402" s="148"/>
      <c r="UIW402" s="148"/>
      <c r="UIX402" s="148"/>
      <c r="UIY402" s="148"/>
      <c r="UIZ402" s="148"/>
      <c r="UJA402" s="148"/>
      <c r="UJB402" s="148"/>
      <c r="UJC402" s="148"/>
      <c r="UJD402" s="148"/>
      <c r="UJE402" s="148"/>
      <c r="UJF402" s="148"/>
      <c r="UJG402" s="148"/>
      <c r="UJH402" s="148"/>
      <c r="UJI402" s="148"/>
      <c r="UJJ402" s="148"/>
      <c r="UJK402" s="148"/>
      <c r="UJL402" s="148"/>
      <c r="UJM402" s="148"/>
      <c r="UJN402" s="148"/>
      <c r="UJO402" s="148"/>
      <c r="UJP402" s="148"/>
      <c r="UJQ402" s="148"/>
      <c r="UJR402" s="148"/>
      <c r="UJS402" s="148"/>
      <c r="UJT402" s="148"/>
      <c r="UJU402" s="148"/>
      <c r="UJV402" s="148"/>
      <c r="UJW402" s="148"/>
      <c r="UJX402" s="148"/>
      <c r="UJY402" s="148"/>
      <c r="UJZ402" s="148"/>
      <c r="UKA402" s="148"/>
      <c r="UKB402" s="148"/>
      <c r="UKC402" s="148"/>
      <c r="UKD402" s="148"/>
      <c r="UKE402" s="148"/>
      <c r="UKF402" s="148"/>
      <c r="UKG402" s="148"/>
      <c r="UKH402" s="148"/>
      <c r="UKI402" s="148"/>
      <c r="UKJ402" s="148"/>
      <c r="UKK402" s="148"/>
      <c r="UKL402" s="148"/>
      <c r="UKM402" s="148"/>
      <c r="UKN402" s="148"/>
      <c r="UKO402" s="148"/>
      <c r="UKP402" s="148"/>
      <c r="UKQ402" s="148"/>
      <c r="UKR402" s="148"/>
      <c r="UKS402" s="148"/>
      <c r="UKT402" s="148"/>
      <c r="UKU402" s="148"/>
      <c r="UKV402" s="148"/>
      <c r="UKW402" s="148"/>
      <c r="UKX402" s="148"/>
      <c r="UKY402" s="148"/>
      <c r="UKZ402" s="148"/>
      <c r="ULA402" s="148"/>
      <c r="ULB402" s="148"/>
      <c r="ULC402" s="148"/>
      <c r="ULD402" s="148"/>
      <c r="ULE402" s="148"/>
      <c r="ULF402" s="148"/>
      <c r="ULG402" s="148"/>
      <c r="ULH402" s="148"/>
      <c r="ULI402" s="148"/>
      <c r="ULJ402" s="148"/>
      <c r="ULK402" s="148"/>
      <c r="ULL402" s="148"/>
      <c r="ULM402" s="148"/>
      <c r="ULN402" s="148"/>
      <c r="ULO402" s="148"/>
      <c r="ULP402" s="148"/>
      <c r="ULQ402" s="148"/>
      <c r="ULR402" s="148"/>
      <c r="ULS402" s="148"/>
      <c r="ULT402" s="148"/>
      <c r="ULU402" s="148"/>
      <c r="ULV402" s="148"/>
      <c r="ULW402" s="148"/>
      <c r="ULX402" s="148"/>
      <c r="ULY402" s="148"/>
      <c r="ULZ402" s="148"/>
      <c r="UMA402" s="148"/>
      <c r="UMB402" s="148"/>
      <c r="UMC402" s="148"/>
      <c r="UMD402" s="148"/>
      <c r="UME402" s="148"/>
      <c r="UMF402" s="148"/>
      <c r="UMG402" s="148"/>
      <c r="UMH402" s="148"/>
      <c r="UMI402" s="148"/>
      <c r="UMJ402" s="148"/>
      <c r="UMK402" s="148"/>
      <c r="UML402" s="148"/>
      <c r="UMM402" s="148"/>
      <c r="UMN402" s="148"/>
      <c r="UMO402" s="148"/>
      <c r="UMP402" s="148"/>
      <c r="UMQ402" s="148"/>
      <c r="UMR402" s="148"/>
      <c r="UMS402" s="148"/>
      <c r="UMT402" s="148"/>
      <c r="UMU402" s="148"/>
      <c r="UMV402" s="148"/>
      <c r="UMW402" s="148"/>
      <c r="UMX402" s="148"/>
      <c r="UMY402" s="148"/>
      <c r="UMZ402" s="148"/>
      <c r="UNA402" s="148"/>
      <c r="UNB402" s="148"/>
      <c r="UNC402" s="148"/>
      <c r="UND402" s="148"/>
      <c r="UNE402" s="148"/>
      <c r="UNF402" s="148"/>
      <c r="UNG402" s="148"/>
      <c r="UNH402" s="148"/>
      <c r="UNI402" s="148"/>
      <c r="UNJ402" s="148"/>
      <c r="UNK402" s="148"/>
      <c r="UNL402" s="148"/>
      <c r="UNM402" s="148"/>
      <c r="UNN402" s="148"/>
      <c r="UNO402" s="148"/>
      <c r="UNP402" s="148"/>
      <c r="UNQ402" s="148"/>
      <c r="UNR402" s="148"/>
      <c r="UNS402" s="148"/>
      <c r="UNT402" s="148"/>
      <c r="UNU402" s="148"/>
      <c r="UNV402" s="148"/>
      <c r="UNW402" s="148"/>
      <c r="UNX402" s="148"/>
      <c r="UNY402" s="148"/>
      <c r="UNZ402" s="148"/>
      <c r="UOA402" s="148"/>
      <c r="UOB402" s="148"/>
      <c r="UOC402" s="148"/>
      <c r="UOD402" s="148"/>
      <c r="UOE402" s="148"/>
      <c r="UOF402" s="148"/>
      <c r="UOG402" s="148"/>
      <c r="UOH402" s="148"/>
      <c r="UOI402" s="148"/>
      <c r="UOJ402" s="148"/>
      <c r="UOK402" s="148"/>
      <c r="UOL402" s="148"/>
      <c r="UOM402" s="148"/>
      <c r="UON402" s="148"/>
      <c r="UOO402" s="148"/>
      <c r="UOP402" s="148"/>
      <c r="UOQ402" s="148"/>
      <c r="UOR402" s="148"/>
      <c r="UOS402" s="148"/>
      <c r="UOT402" s="148"/>
      <c r="UOU402" s="148"/>
      <c r="UOV402" s="148"/>
      <c r="UOW402" s="148"/>
      <c r="UOX402" s="148"/>
      <c r="UOY402" s="148"/>
      <c r="UOZ402" s="148"/>
      <c r="UPA402" s="148"/>
      <c r="UPB402" s="148"/>
      <c r="UPC402" s="148"/>
      <c r="UPD402" s="148"/>
      <c r="UPE402" s="148"/>
      <c r="UPF402" s="148"/>
      <c r="UPG402" s="148"/>
      <c r="UPH402" s="148"/>
      <c r="UPI402" s="148"/>
      <c r="UPJ402" s="148"/>
      <c r="UPK402" s="148"/>
      <c r="UPL402" s="148"/>
      <c r="UPM402" s="148"/>
      <c r="UPN402" s="148"/>
      <c r="UPO402" s="148"/>
      <c r="UPP402" s="148"/>
      <c r="UPQ402" s="148"/>
      <c r="UPR402" s="148"/>
      <c r="UPS402" s="148"/>
      <c r="UPT402" s="148"/>
      <c r="UPU402" s="148"/>
      <c r="UPV402" s="148"/>
      <c r="UPW402" s="148"/>
      <c r="UPX402" s="148"/>
      <c r="UPY402" s="148"/>
      <c r="UPZ402" s="148"/>
      <c r="UQA402" s="148"/>
      <c r="UQB402" s="148"/>
      <c r="UQC402" s="148"/>
      <c r="UQD402" s="148"/>
      <c r="UQE402" s="148"/>
      <c r="UQF402" s="148"/>
      <c r="UQG402" s="148"/>
      <c r="UQH402" s="148"/>
      <c r="UQI402" s="148"/>
      <c r="UQJ402" s="148"/>
      <c r="UQK402" s="148"/>
      <c r="UQL402" s="148"/>
      <c r="UQM402" s="148"/>
      <c r="UQN402" s="148"/>
      <c r="UQO402" s="148"/>
      <c r="UQP402" s="148"/>
      <c r="UQQ402" s="148"/>
      <c r="UQR402" s="148"/>
      <c r="UQS402" s="148"/>
      <c r="UQT402" s="148"/>
      <c r="UQU402" s="148"/>
      <c r="UQV402" s="148"/>
      <c r="UQW402" s="148"/>
      <c r="UQX402" s="148"/>
      <c r="UQY402" s="148"/>
      <c r="UQZ402" s="148"/>
      <c r="URA402" s="148"/>
      <c r="URB402" s="148"/>
      <c r="URC402" s="148"/>
      <c r="URD402" s="148"/>
      <c r="URE402" s="148"/>
      <c r="URF402" s="148"/>
      <c r="URG402" s="148"/>
      <c r="URH402" s="148"/>
      <c r="URI402" s="148"/>
      <c r="URJ402" s="148"/>
      <c r="URK402" s="148"/>
      <c r="URL402" s="148"/>
      <c r="URM402" s="148"/>
      <c r="URN402" s="148"/>
      <c r="URO402" s="148"/>
      <c r="URP402" s="148"/>
      <c r="URQ402" s="148"/>
      <c r="URR402" s="148"/>
      <c r="URS402" s="148"/>
      <c r="URT402" s="148"/>
      <c r="URU402" s="148"/>
      <c r="URV402" s="148"/>
      <c r="URW402" s="148"/>
      <c r="URX402" s="148"/>
      <c r="URY402" s="148"/>
      <c r="URZ402" s="148"/>
      <c r="USA402" s="148"/>
      <c r="USB402" s="148"/>
      <c r="USC402" s="148"/>
      <c r="USD402" s="148"/>
      <c r="USE402" s="148"/>
      <c r="USF402" s="148"/>
      <c r="USG402" s="148"/>
      <c r="USH402" s="148"/>
      <c r="USI402" s="148"/>
      <c r="USJ402" s="148"/>
      <c r="USK402" s="148"/>
      <c r="USL402" s="148"/>
      <c r="USM402" s="148"/>
      <c r="USN402" s="148"/>
      <c r="USO402" s="148"/>
      <c r="USP402" s="148"/>
      <c r="USQ402" s="148"/>
      <c r="USR402" s="148"/>
      <c r="USS402" s="148"/>
      <c r="UST402" s="148"/>
      <c r="USU402" s="148"/>
      <c r="USV402" s="148"/>
      <c r="USW402" s="148"/>
      <c r="USX402" s="148"/>
      <c r="USY402" s="148"/>
      <c r="USZ402" s="148"/>
      <c r="UTA402" s="148"/>
      <c r="UTB402" s="148"/>
      <c r="UTC402" s="148"/>
      <c r="UTD402" s="148"/>
      <c r="UTE402" s="148"/>
      <c r="UTF402" s="148"/>
      <c r="UTG402" s="148"/>
      <c r="UTH402" s="148"/>
      <c r="UTI402" s="148"/>
      <c r="UTJ402" s="148"/>
      <c r="UTK402" s="148"/>
      <c r="UTL402" s="148"/>
      <c r="UTM402" s="148"/>
      <c r="UTN402" s="148"/>
      <c r="UTO402" s="148"/>
      <c r="UTP402" s="148"/>
      <c r="UTQ402" s="148"/>
      <c r="UTR402" s="148"/>
      <c r="UTS402" s="148"/>
      <c r="UTT402" s="148"/>
      <c r="UTU402" s="148"/>
      <c r="UTV402" s="148"/>
      <c r="UTW402" s="148"/>
      <c r="UTX402" s="148"/>
      <c r="UTY402" s="148"/>
      <c r="UTZ402" s="148"/>
      <c r="UUA402" s="148"/>
      <c r="UUB402" s="148"/>
      <c r="UUC402" s="148"/>
      <c r="UUD402" s="148"/>
      <c r="UUE402" s="148"/>
      <c r="UUF402" s="148"/>
      <c r="UUG402" s="148"/>
      <c r="UUH402" s="148"/>
      <c r="UUI402" s="148"/>
      <c r="UUJ402" s="148"/>
      <c r="UUK402" s="148"/>
      <c r="UUL402" s="148"/>
      <c r="UUM402" s="148"/>
      <c r="UUN402" s="148"/>
      <c r="UUO402" s="148"/>
      <c r="UUP402" s="148"/>
      <c r="UUQ402" s="148"/>
      <c r="UUR402" s="148"/>
      <c r="UUS402" s="148"/>
      <c r="UUT402" s="148"/>
      <c r="UUU402" s="148"/>
      <c r="UUV402" s="148"/>
      <c r="UUW402" s="148"/>
      <c r="UUX402" s="148"/>
      <c r="UUY402" s="148"/>
      <c r="UUZ402" s="148"/>
      <c r="UVA402" s="148"/>
      <c r="UVB402" s="148"/>
      <c r="UVC402" s="148"/>
      <c r="UVD402" s="148"/>
      <c r="UVE402" s="148"/>
      <c r="UVF402" s="148"/>
      <c r="UVG402" s="148"/>
      <c r="UVH402" s="148"/>
      <c r="UVI402" s="148"/>
      <c r="UVJ402" s="148"/>
      <c r="UVK402" s="148"/>
      <c r="UVL402" s="148"/>
      <c r="UVM402" s="148"/>
      <c r="UVN402" s="148"/>
      <c r="UVO402" s="148"/>
      <c r="UVP402" s="148"/>
      <c r="UVQ402" s="148"/>
      <c r="UVR402" s="148"/>
      <c r="UVS402" s="148"/>
      <c r="UVT402" s="148"/>
      <c r="UVU402" s="148"/>
      <c r="UVV402" s="148"/>
      <c r="UVW402" s="148"/>
      <c r="UVX402" s="148"/>
      <c r="UVY402" s="148"/>
      <c r="UVZ402" s="148"/>
      <c r="UWA402" s="148"/>
      <c r="UWB402" s="148"/>
      <c r="UWC402" s="148"/>
      <c r="UWD402" s="148"/>
      <c r="UWE402" s="148"/>
      <c r="UWF402" s="148"/>
      <c r="UWG402" s="148"/>
      <c r="UWH402" s="148"/>
      <c r="UWI402" s="148"/>
      <c r="UWJ402" s="148"/>
      <c r="UWK402" s="148"/>
      <c r="UWL402" s="148"/>
      <c r="UWM402" s="148"/>
      <c r="UWN402" s="148"/>
      <c r="UWO402" s="148"/>
      <c r="UWP402" s="148"/>
      <c r="UWQ402" s="148"/>
      <c r="UWR402" s="148"/>
      <c r="UWS402" s="148"/>
      <c r="UWT402" s="148"/>
      <c r="UWU402" s="148"/>
      <c r="UWV402" s="148"/>
      <c r="UWW402" s="148"/>
      <c r="UWX402" s="148"/>
      <c r="UWY402" s="148"/>
      <c r="UWZ402" s="148"/>
      <c r="UXA402" s="148"/>
      <c r="UXB402" s="148"/>
      <c r="UXC402" s="148"/>
      <c r="UXD402" s="148"/>
      <c r="UXE402" s="148"/>
      <c r="UXF402" s="148"/>
      <c r="UXG402" s="148"/>
      <c r="UXH402" s="148"/>
      <c r="UXI402" s="148"/>
      <c r="UXJ402" s="148"/>
      <c r="UXK402" s="148"/>
      <c r="UXL402" s="148"/>
      <c r="UXM402" s="148"/>
      <c r="UXN402" s="148"/>
      <c r="UXO402" s="148"/>
      <c r="UXP402" s="148"/>
      <c r="UXQ402" s="148"/>
      <c r="UXR402" s="148"/>
      <c r="UXS402" s="148"/>
      <c r="UXT402" s="148"/>
      <c r="UXU402" s="148"/>
      <c r="UXV402" s="148"/>
      <c r="UXW402" s="148"/>
      <c r="UXX402" s="148"/>
      <c r="UXY402" s="148"/>
      <c r="UXZ402" s="148"/>
      <c r="UYA402" s="148"/>
      <c r="UYB402" s="148"/>
      <c r="UYC402" s="148"/>
      <c r="UYD402" s="148"/>
      <c r="UYE402" s="148"/>
      <c r="UYF402" s="148"/>
      <c r="UYG402" s="148"/>
      <c r="UYH402" s="148"/>
      <c r="UYI402" s="148"/>
      <c r="UYJ402" s="148"/>
      <c r="UYK402" s="148"/>
      <c r="UYL402" s="148"/>
      <c r="UYM402" s="148"/>
      <c r="UYN402" s="148"/>
      <c r="UYO402" s="148"/>
      <c r="UYP402" s="148"/>
      <c r="UYQ402" s="148"/>
      <c r="UYR402" s="148"/>
      <c r="UYS402" s="148"/>
      <c r="UYT402" s="148"/>
      <c r="UYU402" s="148"/>
      <c r="UYV402" s="148"/>
      <c r="UYW402" s="148"/>
      <c r="UYX402" s="148"/>
      <c r="UYY402" s="148"/>
      <c r="UYZ402" s="148"/>
      <c r="UZA402" s="148"/>
      <c r="UZB402" s="148"/>
      <c r="UZC402" s="148"/>
      <c r="UZD402" s="148"/>
      <c r="UZE402" s="148"/>
      <c r="UZF402" s="148"/>
      <c r="UZG402" s="148"/>
      <c r="UZH402" s="148"/>
      <c r="UZI402" s="148"/>
      <c r="UZJ402" s="148"/>
      <c r="UZK402" s="148"/>
      <c r="UZL402" s="148"/>
      <c r="UZM402" s="148"/>
      <c r="UZN402" s="148"/>
      <c r="UZO402" s="148"/>
      <c r="UZP402" s="148"/>
      <c r="UZQ402" s="148"/>
      <c r="UZR402" s="148"/>
      <c r="UZS402" s="148"/>
      <c r="UZT402" s="148"/>
      <c r="UZU402" s="148"/>
      <c r="UZV402" s="148"/>
      <c r="UZW402" s="148"/>
      <c r="UZX402" s="148"/>
      <c r="UZY402" s="148"/>
      <c r="UZZ402" s="148"/>
      <c r="VAA402" s="148"/>
      <c r="VAB402" s="148"/>
      <c r="VAC402" s="148"/>
      <c r="VAD402" s="148"/>
      <c r="VAE402" s="148"/>
      <c r="VAF402" s="148"/>
      <c r="VAG402" s="148"/>
      <c r="VAH402" s="148"/>
      <c r="VAI402" s="148"/>
      <c r="VAJ402" s="148"/>
      <c r="VAK402" s="148"/>
      <c r="VAL402" s="148"/>
      <c r="VAM402" s="148"/>
      <c r="VAN402" s="148"/>
      <c r="VAO402" s="148"/>
      <c r="VAP402" s="148"/>
      <c r="VAQ402" s="148"/>
      <c r="VAR402" s="148"/>
      <c r="VAS402" s="148"/>
      <c r="VAT402" s="148"/>
      <c r="VAU402" s="148"/>
      <c r="VAV402" s="148"/>
      <c r="VAW402" s="148"/>
      <c r="VAX402" s="148"/>
      <c r="VAY402" s="148"/>
      <c r="VAZ402" s="148"/>
      <c r="VBA402" s="148"/>
      <c r="VBB402" s="148"/>
      <c r="VBC402" s="148"/>
      <c r="VBD402" s="148"/>
      <c r="VBE402" s="148"/>
      <c r="VBF402" s="148"/>
      <c r="VBG402" s="148"/>
      <c r="VBH402" s="148"/>
      <c r="VBI402" s="148"/>
      <c r="VBJ402" s="148"/>
      <c r="VBK402" s="148"/>
      <c r="VBL402" s="148"/>
      <c r="VBM402" s="148"/>
      <c r="VBN402" s="148"/>
      <c r="VBO402" s="148"/>
      <c r="VBP402" s="148"/>
      <c r="VBQ402" s="148"/>
      <c r="VBR402" s="148"/>
      <c r="VBS402" s="148"/>
      <c r="VBT402" s="148"/>
      <c r="VBU402" s="148"/>
      <c r="VBV402" s="148"/>
      <c r="VBW402" s="148"/>
      <c r="VBX402" s="148"/>
      <c r="VBY402" s="148"/>
      <c r="VBZ402" s="148"/>
      <c r="VCA402" s="148"/>
      <c r="VCB402" s="148"/>
      <c r="VCC402" s="148"/>
      <c r="VCD402" s="148"/>
      <c r="VCE402" s="148"/>
      <c r="VCF402" s="148"/>
      <c r="VCG402" s="148"/>
      <c r="VCH402" s="148"/>
      <c r="VCI402" s="148"/>
      <c r="VCJ402" s="148"/>
      <c r="VCK402" s="148"/>
      <c r="VCL402" s="148"/>
      <c r="VCM402" s="148"/>
      <c r="VCN402" s="148"/>
      <c r="VCO402" s="148"/>
      <c r="VCP402" s="148"/>
      <c r="VCQ402" s="148"/>
      <c r="VCR402" s="148"/>
      <c r="VCS402" s="148"/>
      <c r="VCT402" s="148"/>
      <c r="VCU402" s="148"/>
      <c r="VCV402" s="148"/>
      <c r="VCW402" s="148"/>
      <c r="VCX402" s="148"/>
      <c r="VCY402" s="148"/>
      <c r="VCZ402" s="148"/>
      <c r="VDA402" s="148"/>
      <c r="VDB402" s="148"/>
      <c r="VDC402" s="148"/>
      <c r="VDD402" s="148"/>
      <c r="VDE402" s="148"/>
      <c r="VDF402" s="148"/>
      <c r="VDG402" s="148"/>
      <c r="VDH402" s="148"/>
      <c r="VDI402" s="148"/>
      <c r="VDJ402" s="148"/>
      <c r="VDK402" s="148"/>
      <c r="VDL402" s="148"/>
      <c r="VDM402" s="148"/>
      <c r="VDN402" s="148"/>
      <c r="VDO402" s="148"/>
      <c r="VDP402" s="148"/>
      <c r="VDQ402" s="148"/>
      <c r="VDR402" s="148"/>
      <c r="VDS402" s="148"/>
      <c r="VDT402" s="148"/>
      <c r="VDU402" s="148"/>
      <c r="VDV402" s="148"/>
      <c r="VDW402" s="148"/>
      <c r="VDX402" s="148"/>
      <c r="VDY402" s="148"/>
      <c r="VDZ402" s="148"/>
      <c r="VEA402" s="148"/>
      <c r="VEB402" s="148"/>
      <c r="VEC402" s="148"/>
      <c r="VED402" s="148"/>
      <c r="VEE402" s="148"/>
      <c r="VEF402" s="148"/>
      <c r="VEG402" s="148"/>
      <c r="VEH402" s="148"/>
      <c r="VEI402" s="148"/>
      <c r="VEJ402" s="148"/>
      <c r="VEK402" s="148"/>
      <c r="VEL402" s="148"/>
      <c r="VEM402" s="148"/>
      <c r="VEN402" s="148"/>
      <c r="VEO402" s="148"/>
      <c r="VEP402" s="148"/>
      <c r="VEQ402" s="148"/>
      <c r="VER402" s="148"/>
      <c r="VES402" s="148"/>
      <c r="VET402" s="148"/>
      <c r="VEU402" s="148"/>
      <c r="VEV402" s="148"/>
      <c r="VEW402" s="148"/>
      <c r="VEX402" s="148"/>
      <c r="VEY402" s="148"/>
      <c r="VEZ402" s="148"/>
      <c r="VFA402" s="148"/>
      <c r="VFB402" s="148"/>
      <c r="VFC402" s="148"/>
      <c r="VFD402" s="148"/>
      <c r="VFE402" s="148"/>
      <c r="VFF402" s="148"/>
      <c r="VFG402" s="148"/>
      <c r="VFH402" s="148"/>
      <c r="VFI402" s="148"/>
      <c r="VFJ402" s="148"/>
      <c r="VFK402" s="148"/>
      <c r="VFL402" s="148"/>
      <c r="VFM402" s="148"/>
      <c r="VFN402" s="148"/>
      <c r="VFO402" s="148"/>
      <c r="VFP402" s="148"/>
      <c r="VFQ402" s="148"/>
      <c r="VFR402" s="148"/>
      <c r="VFS402" s="148"/>
      <c r="VFT402" s="148"/>
      <c r="VFU402" s="148"/>
      <c r="VFV402" s="148"/>
      <c r="VFW402" s="148"/>
      <c r="VFX402" s="148"/>
      <c r="VFY402" s="148"/>
      <c r="VFZ402" s="148"/>
      <c r="VGA402" s="148"/>
      <c r="VGB402" s="148"/>
      <c r="VGC402" s="148"/>
      <c r="VGD402" s="148"/>
      <c r="VGE402" s="148"/>
      <c r="VGF402" s="148"/>
      <c r="VGG402" s="148"/>
      <c r="VGH402" s="148"/>
      <c r="VGI402" s="148"/>
      <c r="VGJ402" s="148"/>
      <c r="VGK402" s="148"/>
      <c r="VGL402" s="148"/>
      <c r="VGM402" s="148"/>
      <c r="VGN402" s="148"/>
      <c r="VGO402" s="148"/>
      <c r="VGP402" s="148"/>
      <c r="VGQ402" s="148"/>
      <c r="VGR402" s="148"/>
      <c r="VGS402" s="148"/>
      <c r="VGT402" s="148"/>
      <c r="VGU402" s="148"/>
      <c r="VGV402" s="148"/>
      <c r="VGW402" s="148"/>
      <c r="VGX402" s="148"/>
      <c r="VGY402" s="148"/>
      <c r="VGZ402" s="148"/>
      <c r="VHA402" s="148"/>
      <c r="VHB402" s="148"/>
      <c r="VHC402" s="148"/>
      <c r="VHD402" s="148"/>
      <c r="VHE402" s="148"/>
      <c r="VHF402" s="148"/>
      <c r="VHG402" s="148"/>
      <c r="VHH402" s="148"/>
      <c r="VHI402" s="148"/>
      <c r="VHJ402" s="148"/>
      <c r="VHK402" s="148"/>
      <c r="VHL402" s="148"/>
      <c r="VHM402" s="148"/>
      <c r="VHN402" s="148"/>
      <c r="VHO402" s="148"/>
      <c r="VHP402" s="148"/>
      <c r="VHQ402" s="148"/>
      <c r="VHR402" s="148"/>
      <c r="VHS402" s="148"/>
      <c r="VHT402" s="148"/>
      <c r="VHU402" s="148"/>
      <c r="VHV402" s="148"/>
      <c r="VHW402" s="148"/>
      <c r="VHX402" s="148"/>
      <c r="VHY402" s="148"/>
      <c r="VHZ402" s="148"/>
      <c r="VIA402" s="148"/>
      <c r="VIB402" s="148"/>
      <c r="VIC402" s="148"/>
      <c r="VID402" s="148"/>
      <c r="VIE402" s="148"/>
      <c r="VIF402" s="148"/>
      <c r="VIG402" s="148"/>
      <c r="VIH402" s="148"/>
      <c r="VII402" s="148"/>
      <c r="VIJ402" s="148"/>
      <c r="VIK402" s="148"/>
      <c r="VIL402" s="148"/>
      <c r="VIM402" s="148"/>
      <c r="VIN402" s="148"/>
      <c r="VIO402" s="148"/>
      <c r="VIP402" s="148"/>
      <c r="VIQ402" s="148"/>
      <c r="VIR402" s="148"/>
      <c r="VIS402" s="148"/>
      <c r="VIT402" s="148"/>
      <c r="VIU402" s="148"/>
      <c r="VIV402" s="148"/>
      <c r="VIW402" s="148"/>
      <c r="VIX402" s="148"/>
      <c r="VIY402" s="148"/>
      <c r="VIZ402" s="148"/>
      <c r="VJA402" s="148"/>
      <c r="VJB402" s="148"/>
      <c r="VJC402" s="148"/>
      <c r="VJD402" s="148"/>
      <c r="VJE402" s="148"/>
      <c r="VJF402" s="148"/>
      <c r="VJG402" s="148"/>
      <c r="VJH402" s="148"/>
      <c r="VJI402" s="148"/>
      <c r="VJJ402" s="148"/>
      <c r="VJK402" s="148"/>
      <c r="VJL402" s="148"/>
      <c r="VJM402" s="148"/>
      <c r="VJN402" s="148"/>
      <c r="VJO402" s="148"/>
      <c r="VJP402" s="148"/>
      <c r="VJQ402" s="148"/>
      <c r="VJR402" s="148"/>
      <c r="VJS402" s="148"/>
      <c r="VJT402" s="148"/>
      <c r="VJU402" s="148"/>
      <c r="VJV402" s="148"/>
      <c r="VJW402" s="148"/>
      <c r="VJX402" s="148"/>
      <c r="VJY402" s="148"/>
      <c r="VJZ402" s="148"/>
      <c r="VKA402" s="148"/>
      <c r="VKB402" s="148"/>
      <c r="VKC402" s="148"/>
      <c r="VKD402" s="148"/>
      <c r="VKE402" s="148"/>
      <c r="VKF402" s="148"/>
      <c r="VKG402" s="148"/>
      <c r="VKH402" s="148"/>
      <c r="VKI402" s="148"/>
      <c r="VKJ402" s="148"/>
      <c r="VKK402" s="148"/>
      <c r="VKL402" s="148"/>
      <c r="VKM402" s="148"/>
      <c r="VKN402" s="148"/>
      <c r="VKO402" s="148"/>
      <c r="VKP402" s="148"/>
      <c r="VKQ402" s="148"/>
      <c r="VKR402" s="148"/>
      <c r="VKS402" s="148"/>
      <c r="VKT402" s="148"/>
      <c r="VKU402" s="148"/>
      <c r="VKV402" s="148"/>
      <c r="VKW402" s="148"/>
      <c r="VKX402" s="148"/>
      <c r="VKY402" s="148"/>
      <c r="VKZ402" s="148"/>
      <c r="VLA402" s="148"/>
      <c r="VLB402" s="148"/>
      <c r="VLC402" s="148"/>
      <c r="VLD402" s="148"/>
      <c r="VLE402" s="148"/>
      <c r="VLF402" s="148"/>
      <c r="VLG402" s="148"/>
      <c r="VLH402" s="148"/>
      <c r="VLI402" s="148"/>
      <c r="VLJ402" s="148"/>
      <c r="VLK402" s="148"/>
      <c r="VLL402" s="148"/>
      <c r="VLM402" s="148"/>
      <c r="VLN402" s="148"/>
      <c r="VLO402" s="148"/>
      <c r="VLP402" s="148"/>
      <c r="VLQ402" s="148"/>
      <c r="VLR402" s="148"/>
      <c r="VLS402" s="148"/>
      <c r="VLT402" s="148"/>
      <c r="VLU402" s="148"/>
      <c r="VLV402" s="148"/>
      <c r="VLW402" s="148"/>
      <c r="VLX402" s="148"/>
      <c r="VLY402" s="148"/>
      <c r="VLZ402" s="148"/>
      <c r="VMA402" s="148"/>
      <c r="VMB402" s="148"/>
      <c r="VMC402" s="148"/>
      <c r="VMD402" s="148"/>
      <c r="VME402" s="148"/>
      <c r="VMF402" s="148"/>
      <c r="VMG402" s="148"/>
      <c r="VMH402" s="148"/>
      <c r="VMI402" s="148"/>
      <c r="VMJ402" s="148"/>
      <c r="VMK402" s="148"/>
      <c r="VML402" s="148"/>
      <c r="VMM402" s="148"/>
      <c r="VMN402" s="148"/>
      <c r="VMO402" s="148"/>
      <c r="VMP402" s="148"/>
      <c r="VMQ402" s="148"/>
      <c r="VMR402" s="148"/>
      <c r="VMS402" s="148"/>
      <c r="VMT402" s="148"/>
      <c r="VMU402" s="148"/>
      <c r="VMV402" s="148"/>
      <c r="VMW402" s="148"/>
      <c r="VMX402" s="148"/>
      <c r="VMY402" s="148"/>
      <c r="VMZ402" s="148"/>
      <c r="VNA402" s="148"/>
      <c r="VNB402" s="148"/>
      <c r="VNC402" s="148"/>
      <c r="VND402" s="148"/>
      <c r="VNE402" s="148"/>
      <c r="VNF402" s="148"/>
      <c r="VNG402" s="148"/>
      <c r="VNH402" s="148"/>
      <c r="VNI402" s="148"/>
      <c r="VNJ402" s="148"/>
      <c r="VNK402" s="148"/>
      <c r="VNL402" s="148"/>
      <c r="VNM402" s="148"/>
      <c r="VNN402" s="148"/>
      <c r="VNO402" s="148"/>
      <c r="VNP402" s="148"/>
      <c r="VNQ402" s="148"/>
      <c r="VNR402" s="148"/>
      <c r="VNS402" s="148"/>
      <c r="VNT402" s="148"/>
      <c r="VNU402" s="148"/>
      <c r="VNV402" s="148"/>
      <c r="VNW402" s="148"/>
      <c r="VNX402" s="148"/>
      <c r="VNY402" s="148"/>
      <c r="VNZ402" s="148"/>
      <c r="VOA402" s="148"/>
      <c r="VOB402" s="148"/>
      <c r="VOC402" s="148"/>
      <c r="VOD402" s="148"/>
      <c r="VOE402" s="148"/>
      <c r="VOF402" s="148"/>
      <c r="VOG402" s="148"/>
      <c r="VOH402" s="148"/>
      <c r="VOI402" s="148"/>
      <c r="VOJ402" s="148"/>
      <c r="VOK402" s="148"/>
      <c r="VOL402" s="148"/>
      <c r="VOM402" s="148"/>
      <c r="VON402" s="148"/>
      <c r="VOO402" s="148"/>
      <c r="VOP402" s="148"/>
      <c r="VOQ402" s="148"/>
      <c r="VOR402" s="148"/>
      <c r="VOS402" s="148"/>
      <c r="VOT402" s="148"/>
      <c r="VOU402" s="148"/>
      <c r="VOV402" s="148"/>
      <c r="VOW402" s="148"/>
      <c r="VOX402" s="148"/>
      <c r="VOY402" s="148"/>
      <c r="VOZ402" s="148"/>
      <c r="VPA402" s="148"/>
      <c r="VPB402" s="148"/>
      <c r="VPC402" s="148"/>
      <c r="VPD402" s="148"/>
      <c r="VPE402" s="148"/>
      <c r="VPF402" s="148"/>
      <c r="VPG402" s="148"/>
      <c r="VPH402" s="148"/>
      <c r="VPI402" s="148"/>
      <c r="VPJ402" s="148"/>
      <c r="VPK402" s="148"/>
      <c r="VPL402" s="148"/>
      <c r="VPM402" s="148"/>
      <c r="VPN402" s="148"/>
      <c r="VPO402" s="148"/>
      <c r="VPP402" s="148"/>
      <c r="VPQ402" s="148"/>
      <c r="VPR402" s="148"/>
      <c r="VPS402" s="148"/>
      <c r="VPT402" s="148"/>
      <c r="VPU402" s="148"/>
      <c r="VPV402" s="148"/>
      <c r="VPW402" s="148"/>
      <c r="VPX402" s="148"/>
      <c r="VPY402" s="148"/>
      <c r="VPZ402" s="148"/>
      <c r="VQA402" s="148"/>
      <c r="VQB402" s="148"/>
      <c r="VQC402" s="148"/>
      <c r="VQD402" s="148"/>
      <c r="VQE402" s="148"/>
      <c r="VQF402" s="148"/>
      <c r="VQG402" s="148"/>
      <c r="VQH402" s="148"/>
      <c r="VQI402" s="148"/>
      <c r="VQJ402" s="148"/>
      <c r="VQK402" s="148"/>
      <c r="VQL402" s="148"/>
      <c r="VQM402" s="148"/>
      <c r="VQN402" s="148"/>
      <c r="VQO402" s="148"/>
      <c r="VQP402" s="148"/>
      <c r="VQQ402" s="148"/>
      <c r="VQR402" s="148"/>
      <c r="VQS402" s="148"/>
      <c r="VQT402" s="148"/>
      <c r="VQU402" s="148"/>
      <c r="VQV402" s="148"/>
      <c r="VQW402" s="148"/>
      <c r="VQX402" s="148"/>
      <c r="VQY402" s="148"/>
      <c r="VQZ402" s="148"/>
      <c r="VRA402" s="148"/>
      <c r="VRB402" s="148"/>
      <c r="VRC402" s="148"/>
      <c r="VRD402" s="148"/>
      <c r="VRE402" s="148"/>
      <c r="VRF402" s="148"/>
      <c r="VRG402" s="148"/>
      <c r="VRH402" s="148"/>
      <c r="VRI402" s="148"/>
      <c r="VRJ402" s="148"/>
      <c r="VRK402" s="148"/>
      <c r="VRL402" s="148"/>
      <c r="VRM402" s="148"/>
      <c r="VRN402" s="148"/>
      <c r="VRO402" s="148"/>
      <c r="VRP402" s="148"/>
      <c r="VRQ402" s="148"/>
      <c r="VRR402" s="148"/>
      <c r="VRS402" s="148"/>
      <c r="VRT402" s="148"/>
      <c r="VRU402" s="148"/>
      <c r="VRV402" s="148"/>
      <c r="VRW402" s="148"/>
      <c r="VRX402" s="148"/>
      <c r="VRY402" s="148"/>
      <c r="VRZ402" s="148"/>
      <c r="VSA402" s="148"/>
      <c r="VSB402" s="148"/>
      <c r="VSC402" s="148"/>
      <c r="VSD402" s="148"/>
      <c r="VSE402" s="148"/>
      <c r="VSF402" s="148"/>
      <c r="VSG402" s="148"/>
      <c r="VSH402" s="148"/>
      <c r="VSI402" s="148"/>
      <c r="VSJ402" s="148"/>
      <c r="VSK402" s="148"/>
      <c r="VSL402" s="148"/>
      <c r="VSM402" s="148"/>
      <c r="VSN402" s="148"/>
      <c r="VSO402" s="148"/>
      <c r="VSP402" s="148"/>
      <c r="VSQ402" s="148"/>
      <c r="VSR402" s="148"/>
      <c r="VSS402" s="148"/>
      <c r="VST402" s="148"/>
      <c r="VSU402" s="148"/>
      <c r="VSV402" s="148"/>
      <c r="VSW402" s="148"/>
      <c r="VSX402" s="148"/>
      <c r="VSY402" s="148"/>
      <c r="VSZ402" s="148"/>
      <c r="VTA402" s="148"/>
      <c r="VTB402" s="148"/>
      <c r="VTC402" s="148"/>
      <c r="VTD402" s="148"/>
      <c r="VTE402" s="148"/>
      <c r="VTF402" s="148"/>
      <c r="VTG402" s="148"/>
      <c r="VTH402" s="148"/>
      <c r="VTI402" s="148"/>
      <c r="VTJ402" s="148"/>
      <c r="VTK402" s="148"/>
      <c r="VTL402" s="148"/>
      <c r="VTM402" s="148"/>
      <c r="VTN402" s="148"/>
      <c r="VTO402" s="148"/>
      <c r="VTP402" s="148"/>
      <c r="VTQ402" s="148"/>
      <c r="VTR402" s="148"/>
      <c r="VTS402" s="148"/>
      <c r="VTT402" s="148"/>
      <c r="VTU402" s="148"/>
      <c r="VTV402" s="148"/>
      <c r="VTW402" s="148"/>
      <c r="VTX402" s="148"/>
      <c r="VTY402" s="148"/>
      <c r="VTZ402" s="148"/>
      <c r="VUA402" s="148"/>
      <c r="VUB402" s="148"/>
      <c r="VUC402" s="148"/>
      <c r="VUD402" s="148"/>
      <c r="VUE402" s="148"/>
      <c r="VUF402" s="148"/>
      <c r="VUG402" s="148"/>
      <c r="VUH402" s="148"/>
      <c r="VUI402" s="148"/>
      <c r="VUJ402" s="148"/>
      <c r="VUK402" s="148"/>
      <c r="VUL402" s="148"/>
      <c r="VUM402" s="148"/>
      <c r="VUN402" s="148"/>
      <c r="VUO402" s="148"/>
      <c r="VUP402" s="148"/>
      <c r="VUQ402" s="148"/>
      <c r="VUR402" s="148"/>
      <c r="VUS402" s="148"/>
      <c r="VUT402" s="148"/>
      <c r="VUU402" s="148"/>
      <c r="VUV402" s="148"/>
      <c r="VUW402" s="148"/>
      <c r="VUX402" s="148"/>
      <c r="VUY402" s="148"/>
      <c r="VUZ402" s="148"/>
      <c r="VVA402" s="148"/>
      <c r="VVB402" s="148"/>
      <c r="VVC402" s="148"/>
      <c r="VVD402" s="148"/>
      <c r="VVE402" s="148"/>
      <c r="VVF402" s="148"/>
      <c r="VVG402" s="148"/>
      <c r="VVH402" s="148"/>
      <c r="VVI402" s="148"/>
      <c r="VVJ402" s="148"/>
      <c r="VVK402" s="148"/>
      <c r="VVL402" s="148"/>
      <c r="VVM402" s="148"/>
      <c r="VVN402" s="148"/>
      <c r="VVO402" s="148"/>
      <c r="VVP402" s="148"/>
      <c r="VVQ402" s="148"/>
      <c r="VVR402" s="148"/>
      <c r="VVS402" s="148"/>
      <c r="VVT402" s="148"/>
      <c r="VVU402" s="148"/>
      <c r="VVV402" s="148"/>
      <c r="VVW402" s="148"/>
      <c r="VVX402" s="148"/>
      <c r="VVY402" s="148"/>
      <c r="VVZ402" s="148"/>
      <c r="VWA402" s="148"/>
      <c r="VWB402" s="148"/>
      <c r="VWC402" s="148"/>
      <c r="VWD402" s="148"/>
      <c r="VWE402" s="148"/>
      <c r="VWF402" s="148"/>
      <c r="VWG402" s="148"/>
      <c r="VWH402" s="148"/>
      <c r="VWI402" s="148"/>
      <c r="VWJ402" s="148"/>
      <c r="VWK402" s="148"/>
      <c r="VWL402" s="148"/>
      <c r="VWM402" s="148"/>
      <c r="VWN402" s="148"/>
      <c r="VWO402" s="148"/>
      <c r="VWP402" s="148"/>
      <c r="VWQ402" s="148"/>
      <c r="VWR402" s="148"/>
      <c r="VWS402" s="148"/>
      <c r="VWT402" s="148"/>
      <c r="VWU402" s="148"/>
      <c r="VWV402" s="148"/>
      <c r="VWW402" s="148"/>
      <c r="VWX402" s="148"/>
      <c r="VWY402" s="148"/>
      <c r="VWZ402" s="148"/>
      <c r="VXA402" s="148"/>
      <c r="VXB402" s="148"/>
      <c r="VXC402" s="148"/>
      <c r="VXD402" s="148"/>
      <c r="VXE402" s="148"/>
      <c r="VXF402" s="148"/>
      <c r="VXG402" s="148"/>
      <c r="VXH402" s="148"/>
      <c r="VXI402" s="148"/>
      <c r="VXJ402" s="148"/>
      <c r="VXK402" s="148"/>
      <c r="VXL402" s="148"/>
      <c r="VXM402" s="148"/>
      <c r="VXN402" s="148"/>
      <c r="VXO402" s="148"/>
      <c r="VXP402" s="148"/>
      <c r="VXQ402" s="148"/>
      <c r="VXR402" s="148"/>
      <c r="VXS402" s="148"/>
      <c r="VXT402" s="148"/>
      <c r="VXU402" s="148"/>
      <c r="VXV402" s="148"/>
      <c r="VXW402" s="148"/>
      <c r="VXX402" s="148"/>
      <c r="VXY402" s="148"/>
      <c r="VXZ402" s="148"/>
      <c r="VYA402" s="148"/>
      <c r="VYB402" s="148"/>
      <c r="VYC402" s="148"/>
      <c r="VYD402" s="148"/>
      <c r="VYE402" s="148"/>
      <c r="VYF402" s="148"/>
      <c r="VYG402" s="148"/>
      <c r="VYH402" s="148"/>
      <c r="VYI402" s="148"/>
      <c r="VYJ402" s="148"/>
      <c r="VYK402" s="148"/>
      <c r="VYL402" s="148"/>
      <c r="VYM402" s="148"/>
      <c r="VYN402" s="148"/>
      <c r="VYO402" s="148"/>
      <c r="VYP402" s="148"/>
      <c r="VYQ402" s="148"/>
      <c r="VYR402" s="148"/>
      <c r="VYS402" s="148"/>
      <c r="VYT402" s="148"/>
      <c r="VYU402" s="148"/>
      <c r="VYV402" s="148"/>
      <c r="VYW402" s="148"/>
      <c r="VYX402" s="148"/>
      <c r="VYY402" s="148"/>
      <c r="VYZ402" s="148"/>
      <c r="VZA402" s="148"/>
      <c r="VZB402" s="148"/>
      <c r="VZC402" s="148"/>
      <c r="VZD402" s="148"/>
      <c r="VZE402" s="148"/>
      <c r="VZF402" s="148"/>
      <c r="VZG402" s="148"/>
      <c r="VZH402" s="148"/>
      <c r="VZI402" s="148"/>
      <c r="VZJ402" s="148"/>
      <c r="VZK402" s="148"/>
      <c r="VZL402" s="148"/>
      <c r="VZM402" s="148"/>
      <c r="VZN402" s="148"/>
      <c r="VZO402" s="148"/>
      <c r="VZP402" s="148"/>
      <c r="VZQ402" s="148"/>
      <c r="VZR402" s="148"/>
      <c r="VZS402" s="148"/>
      <c r="VZT402" s="148"/>
      <c r="VZU402" s="148"/>
      <c r="VZV402" s="148"/>
      <c r="VZW402" s="148"/>
      <c r="VZX402" s="148"/>
      <c r="VZY402" s="148"/>
      <c r="VZZ402" s="148"/>
      <c r="WAA402" s="148"/>
      <c r="WAB402" s="148"/>
      <c r="WAC402" s="148"/>
      <c r="WAD402" s="148"/>
      <c r="WAE402" s="148"/>
      <c r="WAF402" s="148"/>
      <c r="WAG402" s="148"/>
      <c r="WAH402" s="148"/>
      <c r="WAI402" s="148"/>
      <c r="WAJ402" s="148"/>
      <c r="WAK402" s="148"/>
      <c r="WAL402" s="148"/>
      <c r="WAM402" s="148"/>
      <c r="WAN402" s="148"/>
      <c r="WAO402" s="148"/>
      <c r="WAP402" s="148"/>
      <c r="WAQ402" s="148"/>
      <c r="WAR402" s="148"/>
      <c r="WAS402" s="148"/>
      <c r="WAT402" s="148"/>
      <c r="WAU402" s="148"/>
      <c r="WAV402" s="148"/>
      <c r="WAW402" s="148"/>
      <c r="WAX402" s="148"/>
      <c r="WAY402" s="148"/>
      <c r="WAZ402" s="148"/>
      <c r="WBA402" s="148"/>
      <c r="WBB402" s="148"/>
      <c r="WBC402" s="148"/>
      <c r="WBD402" s="148"/>
      <c r="WBE402" s="148"/>
      <c r="WBF402" s="148"/>
      <c r="WBG402" s="148"/>
      <c r="WBH402" s="148"/>
      <c r="WBI402" s="148"/>
      <c r="WBJ402" s="148"/>
      <c r="WBK402" s="148"/>
      <c r="WBL402" s="148"/>
      <c r="WBM402" s="148"/>
      <c r="WBN402" s="148"/>
      <c r="WBO402" s="148"/>
      <c r="WBP402" s="148"/>
      <c r="WBQ402" s="148"/>
      <c r="WBR402" s="148"/>
      <c r="WBS402" s="148"/>
      <c r="WBT402" s="148"/>
      <c r="WBU402" s="148"/>
      <c r="WBV402" s="148"/>
      <c r="WBW402" s="148"/>
      <c r="WBX402" s="148"/>
      <c r="WBY402" s="148"/>
      <c r="WBZ402" s="148"/>
      <c r="WCA402" s="148"/>
      <c r="WCB402" s="148"/>
      <c r="WCC402" s="148"/>
      <c r="WCD402" s="148"/>
      <c r="WCE402" s="148"/>
      <c r="WCF402" s="148"/>
      <c r="WCG402" s="148"/>
      <c r="WCH402" s="148"/>
      <c r="WCI402" s="148"/>
      <c r="WCJ402" s="148"/>
      <c r="WCK402" s="148"/>
      <c r="WCL402" s="148"/>
      <c r="WCM402" s="148"/>
      <c r="WCN402" s="148"/>
      <c r="WCO402" s="148"/>
      <c r="WCP402" s="148"/>
      <c r="WCQ402" s="148"/>
      <c r="WCR402" s="148"/>
      <c r="WCS402" s="148"/>
      <c r="WCT402" s="148"/>
      <c r="WCU402" s="148"/>
      <c r="WCV402" s="148"/>
      <c r="WCW402" s="148"/>
      <c r="WCX402" s="148"/>
      <c r="WCY402" s="148"/>
      <c r="WCZ402" s="148"/>
      <c r="WDA402" s="148"/>
      <c r="WDB402" s="148"/>
      <c r="WDC402" s="148"/>
      <c r="WDD402" s="148"/>
      <c r="WDE402" s="148"/>
      <c r="WDF402" s="148"/>
      <c r="WDG402" s="148"/>
      <c r="WDH402" s="148"/>
      <c r="WDI402" s="148"/>
      <c r="WDJ402" s="148"/>
      <c r="WDK402" s="148"/>
      <c r="WDL402" s="148"/>
      <c r="WDM402" s="148"/>
      <c r="WDN402" s="148"/>
      <c r="WDO402" s="148"/>
      <c r="WDP402" s="148"/>
      <c r="WDQ402" s="148"/>
      <c r="WDR402" s="148"/>
      <c r="WDS402" s="148"/>
      <c r="WDT402" s="148"/>
      <c r="WDU402" s="148"/>
      <c r="WDV402" s="148"/>
      <c r="WDW402" s="148"/>
      <c r="WDX402" s="148"/>
      <c r="WDY402" s="148"/>
      <c r="WDZ402" s="148"/>
      <c r="WEA402" s="148"/>
      <c r="WEB402" s="148"/>
      <c r="WEC402" s="148"/>
      <c r="WED402" s="148"/>
      <c r="WEE402" s="148"/>
      <c r="WEF402" s="148"/>
      <c r="WEG402" s="148"/>
      <c r="WEH402" s="148"/>
      <c r="WEI402" s="148"/>
      <c r="WEJ402" s="148"/>
      <c r="WEK402" s="148"/>
      <c r="WEL402" s="148"/>
      <c r="WEM402" s="148"/>
      <c r="WEN402" s="148"/>
      <c r="WEO402" s="148"/>
      <c r="WEP402" s="148"/>
      <c r="WEQ402" s="148"/>
      <c r="WER402" s="148"/>
      <c r="WES402" s="148"/>
      <c r="WET402" s="148"/>
      <c r="WEU402" s="148"/>
      <c r="WEV402" s="148"/>
      <c r="WEW402" s="148"/>
      <c r="WEX402" s="148"/>
      <c r="WEY402" s="148"/>
      <c r="WEZ402" s="148"/>
      <c r="WFA402" s="148"/>
      <c r="WFB402" s="148"/>
      <c r="WFC402" s="148"/>
      <c r="WFD402" s="148"/>
      <c r="WFE402" s="148"/>
      <c r="WFF402" s="148"/>
      <c r="WFG402" s="148"/>
      <c r="WFH402" s="148"/>
      <c r="WFI402" s="148"/>
      <c r="WFJ402" s="148"/>
      <c r="WFK402" s="148"/>
      <c r="WFL402" s="148"/>
      <c r="WFM402" s="148"/>
      <c r="WFN402" s="148"/>
      <c r="WFO402" s="148"/>
      <c r="WFP402" s="148"/>
      <c r="WFQ402" s="148"/>
      <c r="WFR402" s="148"/>
      <c r="WFS402" s="148"/>
      <c r="WFT402" s="148"/>
      <c r="WFU402" s="148"/>
      <c r="WFV402" s="148"/>
      <c r="WFW402" s="148"/>
      <c r="WFX402" s="148"/>
      <c r="WFY402" s="148"/>
      <c r="WFZ402" s="148"/>
      <c r="WGA402" s="148"/>
      <c r="WGB402" s="148"/>
      <c r="WGC402" s="148"/>
      <c r="WGD402" s="148"/>
      <c r="WGE402" s="148"/>
      <c r="WGF402" s="148"/>
      <c r="WGG402" s="148"/>
      <c r="WGH402" s="148"/>
      <c r="WGI402" s="148"/>
      <c r="WGJ402" s="148"/>
      <c r="WGK402" s="148"/>
      <c r="WGL402" s="148"/>
      <c r="WGM402" s="148"/>
      <c r="WGN402" s="148"/>
      <c r="WGO402" s="148"/>
      <c r="WGP402" s="148"/>
      <c r="WGQ402" s="148"/>
      <c r="WGR402" s="148"/>
      <c r="WGS402" s="148"/>
      <c r="WGT402" s="148"/>
      <c r="WGU402" s="148"/>
      <c r="WGV402" s="148"/>
      <c r="WGW402" s="148"/>
      <c r="WGX402" s="148"/>
      <c r="WGY402" s="148"/>
      <c r="WGZ402" s="148"/>
      <c r="WHA402" s="148"/>
      <c r="WHB402" s="148"/>
      <c r="WHC402" s="148"/>
      <c r="WHD402" s="148"/>
      <c r="WHE402" s="148"/>
      <c r="WHF402" s="148"/>
      <c r="WHG402" s="148"/>
      <c r="WHH402" s="148"/>
      <c r="WHI402" s="148"/>
      <c r="WHJ402" s="148"/>
      <c r="WHK402" s="148"/>
      <c r="WHL402" s="148"/>
      <c r="WHM402" s="148"/>
      <c r="WHN402" s="148"/>
      <c r="WHO402" s="148"/>
      <c r="WHP402" s="148"/>
      <c r="WHQ402" s="148"/>
      <c r="WHR402" s="148"/>
      <c r="WHS402" s="148"/>
      <c r="WHT402" s="148"/>
      <c r="WHU402" s="148"/>
      <c r="WHV402" s="148"/>
      <c r="WHW402" s="148"/>
      <c r="WHX402" s="148"/>
      <c r="WHY402" s="148"/>
      <c r="WHZ402" s="148"/>
      <c r="WIA402" s="148"/>
      <c r="WIB402" s="148"/>
      <c r="WIC402" s="148"/>
      <c r="WID402" s="148"/>
      <c r="WIE402" s="148"/>
      <c r="WIF402" s="148"/>
      <c r="WIG402" s="148"/>
      <c r="WIH402" s="148"/>
      <c r="WII402" s="148"/>
      <c r="WIJ402" s="148"/>
      <c r="WIK402" s="148"/>
      <c r="WIL402" s="148"/>
      <c r="WIM402" s="148"/>
      <c r="WIN402" s="148"/>
      <c r="WIO402" s="148"/>
      <c r="WIP402" s="148"/>
      <c r="WIQ402" s="148"/>
      <c r="WIR402" s="148"/>
      <c r="WIS402" s="148"/>
      <c r="WIT402" s="148"/>
      <c r="WIU402" s="148"/>
      <c r="WIV402" s="148"/>
      <c r="WIW402" s="148"/>
      <c r="WIX402" s="148"/>
      <c r="WIY402" s="148"/>
      <c r="WIZ402" s="148"/>
      <c r="WJA402" s="148"/>
      <c r="WJB402" s="148"/>
      <c r="WJC402" s="148"/>
      <c r="WJD402" s="148"/>
      <c r="WJE402" s="148"/>
      <c r="WJF402" s="148"/>
      <c r="WJG402" s="148"/>
      <c r="WJH402" s="148"/>
      <c r="WJI402" s="148"/>
      <c r="WJJ402" s="148"/>
      <c r="WJK402" s="148"/>
      <c r="WJL402" s="148"/>
      <c r="WJM402" s="148"/>
      <c r="WJN402" s="148"/>
      <c r="WJO402" s="148"/>
      <c r="WJP402" s="148"/>
      <c r="WJQ402" s="148"/>
      <c r="WJR402" s="148"/>
      <c r="WJS402" s="148"/>
      <c r="WJT402" s="148"/>
      <c r="WJU402" s="148"/>
      <c r="WJV402" s="148"/>
      <c r="WJW402" s="148"/>
      <c r="WJX402" s="148"/>
      <c r="WJY402" s="148"/>
      <c r="WJZ402" s="148"/>
      <c r="WKA402" s="148"/>
      <c r="WKB402" s="148"/>
      <c r="WKC402" s="148"/>
      <c r="WKD402" s="148"/>
      <c r="WKE402" s="148"/>
      <c r="WKF402" s="148"/>
      <c r="WKG402" s="148"/>
      <c r="WKH402" s="148"/>
      <c r="WKI402" s="148"/>
      <c r="WKJ402" s="148"/>
      <c r="WKK402" s="148"/>
      <c r="WKL402" s="148"/>
      <c r="WKM402" s="148"/>
      <c r="WKN402" s="148"/>
      <c r="WKO402" s="148"/>
      <c r="WKP402" s="148"/>
      <c r="WKQ402" s="148"/>
      <c r="WKR402" s="148"/>
      <c r="WKS402" s="148"/>
      <c r="WKT402" s="148"/>
      <c r="WKU402" s="148"/>
      <c r="WKV402" s="148"/>
      <c r="WKW402" s="148"/>
      <c r="WKX402" s="148"/>
      <c r="WKY402" s="148"/>
      <c r="WKZ402" s="148"/>
      <c r="WLA402" s="148"/>
      <c r="WLB402" s="148"/>
      <c r="WLC402" s="148"/>
      <c r="WLD402" s="148"/>
      <c r="WLE402" s="148"/>
      <c r="WLF402" s="148"/>
      <c r="WLG402" s="148"/>
      <c r="WLH402" s="148"/>
      <c r="WLI402" s="148"/>
      <c r="WLJ402" s="148"/>
      <c r="WLK402" s="148"/>
      <c r="WLL402" s="148"/>
      <c r="WLM402" s="148"/>
      <c r="WLN402" s="148"/>
      <c r="WLO402" s="148"/>
      <c r="WLP402" s="148"/>
      <c r="WLQ402" s="148"/>
      <c r="WLR402" s="148"/>
      <c r="WLS402" s="148"/>
      <c r="WLT402" s="148"/>
      <c r="WLU402" s="148"/>
      <c r="WLV402" s="148"/>
      <c r="WLW402" s="148"/>
      <c r="WLX402" s="148"/>
      <c r="WLY402" s="148"/>
      <c r="WLZ402" s="148"/>
      <c r="WMA402" s="148"/>
      <c r="WMB402" s="148"/>
      <c r="WMC402" s="148"/>
      <c r="WMD402" s="148"/>
      <c r="WME402" s="148"/>
      <c r="WMF402" s="148"/>
      <c r="WMG402" s="148"/>
      <c r="WMH402" s="148"/>
      <c r="WMI402" s="148"/>
      <c r="WMJ402" s="148"/>
      <c r="WMK402" s="148"/>
      <c r="WML402" s="148"/>
      <c r="WMM402" s="148"/>
      <c r="WMN402" s="148"/>
      <c r="WMO402" s="148"/>
      <c r="WMP402" s="148"/>
      <c r="WMQ402" s="148"/>
      <c r="WMR402" s="148"/>
      <c r="WMS402" s="148"/>
      <c r="WMT402" s="148"/>
      <c r="WMU402" s="148"/>
      <c r="WMV402" s="148"/>
      <c r="WMW402" s="148"/>
      <c r="WMX402" s="148"/>
      <c r="WMY402" s="148"/>
      <c r="WMZ402" s="148"/>
      <c r="WNA402" s="148"/>
      <c r="WNB402" s="148"/>
      <c r="WNC402" s="148"/>
      <c r="WND402" s="148"/>
      <c r="WNE402" s="148"/>
      <c r="WNF402" s="148"/>
      <c r="WNG402" s="148"/>
      <c r="WNH402" s="148"/>
      <c r="WNI402" s="148"/>
      <c r="WNJ402" s="148"/>
      <c r="WNK402" s="148"/>
      <c r="WNL402" s="148"/>
      <c r="WNM402" s="148"/>
      <c r="WNN402" s="148"/>
      <c r="WNO402" s="148"/>
      <c r="WNP402" s="148"/>
      <c r="WNQ402" s="148"/>
      <c r="WNR402" s="148"/>
      <c r="WNS402" s="148"/>
      <c r="WNT402" s="148"/>
      <c r="WNU402" s="148"/>
      <c r="WNV402" s="148"/>
      <c r="WNW402" s="148"/>
      <c r="WNX402" s="148"/>
      <c r="WNY402" s="148"/>
      <c r="WNZ402" s="148"/>
      <c r="WOA402" s="148"/>
      <c r="WOB402" s="148"/>
      <c r="WOC402" s="148"/>
      <c r="WOD402" s="148"/>
      <c r="WOE402" s="148"/>
      <c r="WOF402" s="148"/>
      <c r="WOG402" s="148"/>
      <c r="WOH402" s="148"/>
      <c r="WOI402" s="148"/>
      <c r="WOJ402" s="148"/>
      <c r="WOK402" s="148"/>
      <c r="WOL402" s="148"/>
      <c r="WOM402" s="148"/>
      <c r="WON402" s="148"/>
      <c r="WOO402" s="148"/>
      <c r="WOP402" s="148"/>
      <c r="WOQ402" s="148"/>
      <c r="WOR402" s="148"/>
      <c r="WOS402" s="148"/>
      <c r="WOT402" s="148"/>
      <c r="WOU402" s="148"/>
      <c r="WOV402" s="148"/>
      <c r="WOW402" s="148"/>
      <c r="WOX402" s="148"/>
      <c r="WOY402" s="148"/>
      <c r="WOZ402" s="148"/>
      <c r="WPA402" s="148"/>
      <c r="WPB402" s="148"/>
      <c r="WPC402" s="148"/>
      <c r="WPD402" s="148"/>
      <c r="WPE402" s="148"/>
      <c r="WPF402" s="148"/>
      <c r="WPG402" s="148"/>
      <c r="WPH402" s="148"/>
      <c r="WPI402" s="148"/>
      <c r="WPJ402" s="148"/>
      <c r="WPK402" s="148"/>
      <c r="WPL402" s="148"/>
      <c r="WPM402" s="148"/>
      <c r="WPN402" s="148"/>
      <c r="WPO402" s="148"/>
      <c r="WPP402" s="148"/>
      <c r="WPQ402" s="148"/>
      <c r="WPR402" s="148"/>
      <c r="WPS402" s="148"/>
      <c r="WPT402" s="148"/>
      <c r="WPU402" s="148"/>
      <c r="WPV402" s="148"/>
      <c r="WPW402" s="148"/>
      <c r="WPX402" s="148"/>
      <c r="WPY402" s="148"/>
      <c r="WPZ402" s="148"/>
      <c r="WQA402" s="148"/>
      <c r="WQB402" s="148"/>
      <c r="WQC402" s="148"/>
      <c r="WQD402" s="148"/>
      <c r="WQE402" s="148"/>
      <c r="WQF402" s="148"/>
      <c r="WQG402" s="148"/>
      <c r="WQH402" s="148"/>
      <c r="WQI402" s="148"/>
      <c r="WQJ402" s="148"/>
      <c r="WQK402" s="148"/>
      <c r="WQL402" s="148"/>
      <c r="WQM402" s="148"/>
      <c r="WQN402" s="148"/>
      <c r="WQO402" s="148"/>
      <c r="WQP402" s="148"/>
      <c r="WQQ402" s="148"/>
      <c r="WQR402" s="148"/>
      <c r="WQS402" s="148"/>
      <c r="WQT402" s="148"/>
      <c r="WQU402" s="148"/>
      <c r="WQV402" s="148"/>
      <c r="WQW402" s="148"/>
      <c r="WQX402" s="148"/>
      <c r="WQY402" s="148"/>
      <c r="WQZ402" s="148"/>
      <c r="WRA402" s="148"/>
      <c r="WRB402" s="148"/>
      <c r="WRC402" s="148"/>
      <c r="WRD402" s="148"/>
      <c r="WRE402" s="148"/>
      <c r="WRF402" s="148"/>
      <c r="WRG402" s="148"/>
      <c r="WRH402" s="148"/>
      <c r="WRI402" s="148"/>
      <c r="WRJ402" s="148"/>
      <c r="WRK402" s="148"/>
      <c r="WRL402" s="148"/>
      <c r="WRM402" s="148"/>
      <c r="WRN402" s="148"/>
      <c r="WRO402" s="148"/>
      <c r="WRP402" s="148"/>
      <c r="WRQ402" s="148"/>
      <c r="WRR402" s="148"/>
      <c r="WRS402" s="148"/>
      <c r="WRT402" s="148"/>
      <c r="WRU402" s="148"/>
      <c r="WRV402" s="148"/>
      <c r="WRW402" s="148"/>
      <c r="WRX402" s="148"/>
      <c r="WRY402" s="148"/>
      <c r="WRZ402" s="148"/>
      <c r="WSA402" s="148"/>
      <c r="WSB402" s="148"/>
      <c r="WSC402" s="148"/>
      <c r="WSD402" s="148"/>
      <c r="WSE402" s="148"/>
      <c r="WSF402" s="148"/>
      <c r="WSG402" s="148"/>
      <c r="WSH402" s="148"/>
      <c r="WSI402" s="148"/>
      <c r="WSJ402" s="148"/>
      <c r="WSK402" s="148"/>
      <c r="WSL402" s="148"/>
      <c r="WSM402" s="148"/>
      <c r="WSN402" s="148"/>
      <c r="WSO402" s="148"/>
      <c r="WSP402" s="148"/>
      <c r="WSQ402" s="148"/>
      <c r="WSR402" s="148"/>
      <c r="WSS402" s="148"/>
      <c r="WST402" s="148"/>
      <c r="WSU402" s="148"/>
      <c r="WSV402" s="148"/>
      <c r="WSW402" s="148"/>
      <c r="WSX402" s="148"/>
      <c r="WSY402" s="148"/>
      <c r="WSZ402" s="148"/>
      <c r="WTA402" s="148"/>
      <c r="WTB402" s="148"/>
      <c r="WTC402" s="148"/>
      <c r="WTD402" s="148"/>
      <c r="WTE402" s="148"/>
      <c r="WTF402" s="148"/>
      <c r="WTG402" s="148"/>
      <c r="WTH402" s="148"/>
      <c r="WTI402" s="148"/>
      <c r="WTJ402" s="148"/>
      <c r="WTK402" s="148"/>
      <c r="WTL402" s="148"/>
      <c r="WTM402" s="148"/>
      <c r="WTN402" s="148"/>
      <c r="WTO402" s="148"/>
      <c r="WTP402" s="148"/>
      <c r="WTQ402" s="148"/>
      <c r="WTR402" s="148"/>
      <c r="WTS402" s="148"/>
      <c r="WTT402" s="148"/>
      <c r="WTU402" s="148"/>
      <c r="WTV402" s="148"/>
      <c r="WTW402" s="148"/>
      <c r="WTX402" s="148"/>
      <c r="WTY402" s="148"/>
      <c r="WTZ402" s="148"/>
      <c r="WUA402" s="148"/>
      <c r="WUB402" s="148"/>
      <c r="WUC402" s="148"/>
      <c r="WUD402" s="148"/>
      <c r="WUE402" s="148"/>
      <c r="WUF402" s="148"/>
      <c r="WUG402" s="148"/>
      <c r="WUH402" s="148"/>
      <c r="WUI402" s="148"/>
      <c r="WUJ402" s="148"/>
      <c r="WUK402" s="148"/>
      <c r="WUL402" s="148"/>
      <c r="WUM402" s="148"/>
      <c r="WUN402" s="148"/>
      <c r="WUO402" s="148"/>
      <c r="WUP402" s="148"/>
      <c r="WUQ402" s="148"/>
      <c r="WUR402" s="148"/>
      <c r="WUS402" s="148"/>
      <c r="WUT402" s="148"/>
      <c r="WUU402" s="148"/>
      <c r="WUV402" s="148"/>
      <c r="WUW402" s="148"/>
      <c r="WUX402" s="148"/>
      <c r="WUY402" s="148"/>
      <c r="WUZ402" s="148"/>
      <c r="WVA402" s="148"/>
      <c r="WVB402" s="148"/>
      <c r="WVC402" s="148"/>
      <c r="WVD402" s="148"/>
      <c r="WVE402" s="148"/>
      <c r="WVF402" s="148"/>
      <c r="WVG402" s="148"/>
      <c r="WVH402" s="148"/>
      <c r="WVI402" s="148"/>
      <c r="WVJ402" s="148"/>
      <c r="WVK402" s="148"/>
      <c r="WVL402" s="148"/>
      <c r="WVM402" s="148"/>
      <c r="WVN402" s="148"/>
      <c r="WVO402" s="148"/>
      <c r="WVP402" s="148"/>
      <c r="WVQ402" s="148"/>
      <c r="WVR402" s="148"/>
      <c r="WVS402" s="148"/>
      <c r="WVT402" s="148"/>
      <c r="WVU402" s="148"/>
      <c r="WVV402" s="148"/>
      <c r="WVW402" s="148"/>
      <c r="WVX402" s="148"/>
      <c r="WVY402" s="148"/>
      <c r="WVZ402" s="148"/>
      <c r="WWA402" s="148"/>
      <c r="WWB402" s="148"/>
      <c r="WWC402" s="148"/>
      <c r="WWD402" s="148"/>
      <c r="WWE402" s="148"/>
      <c r="WWF402" s="148"/>
      <c r="WWG402" s="148"/>
      <c r="WWH402" s="148"/>
      <c r="WWI402" s="148"/>
      <c r="WWJ402" s="148"/>
      <c r="WWK402" s="148"/>
      <c r="WWL402" s="148"/>
      <c r="WWM402" s="148"/>
      <c r="WWN402" s="148"/>
      <c r="WWO402" s="148"/>
      <c r="WWP402" s="148"/>
      <c r="WWQ402" s="148"/>
      <c r="WWR402" s="148"/>
      <c r="WWS402" s="148"/>
      <c r="WWT402" s="148"/>
      <c r="WWU402" s="148"/>
      <c r="WWV402" s="148"/>
      <c r="WWW402" s="148"/>
      <c r="WWX402" s="148"/>
      <c r="WWY402" s="148"/>
      <c r="WWZ402" s="148"/>
      <c r="WXA402" s="148"/>
      <c r="WXB402" s="148"/>
      <c r="WXC402" s="148"/>
      <c r="WXD402" s="148"/>
      <c r="WXE402" s="148"/>
      <c r="WXF402" s="148"/>
      <c r="WXG402" s="148"/>
      <c r="WXH402" s="148"/>
      <c r="WXI402" s="148"/>
      <c r="WXJ402" s="148"/>
      <c r="WXK402" s="148"/>
      <c r="WXL402" s="148"/>
      <c r="WXM402" s="148"/>
      <c r="WXN402" s="148"/>
      <c r="WXO402" s="148"/>
      <c r="WXP402" s="148"/>
      <c r="WXQ402" s="148"/>
      <c r="WXR402" s="148"/>
      <c r="WXS402" s="148"/>
      <c r="WXT402" s="148"/>
      <c r="WXU402" s="148"/>
      <c r="WXV402" s="148"/>
      <c r="WXW402" s="148"/>
      <c r="WXX402" s="148"/>
      <c r="WXY402" s="148"/>
      <c r="WXZ402" s="148"/>
      <c r="WYA402" s="148"/>
      <c r="WYB402" s="148"/>
      <c r="WYC402" s="148"/>
      <c r="WYD402" s="148"/>
      <c r="WYE402" s="148"/>
      <c r="WYF402" s="148"/>
      <c r="WYG402" s="148"/>
      <c r="WYH402" s="148"/>
      <c r="WYI402" s="148"/>
      <c r="WYJ402" s="148"/>
      <c r="WYK402" s="148"/>
      <c r="WYL402" s="148"/>
      <c r="WYM402" s="148"/>
      <c r="WYN402" s="148"/>
      <c r="WYO402" s="148"/>
      <c r="WYP402" s="148"/>
      <c r="WYQ402" s="148"/>
      <c r="WYR402" s="148"/>
      <c r="WYS402" s="148"/>
      <c r="WYT402" s="148"/>
      <c r="WYU402" s="148"/>
      <c r="WYV402" s="148"/>
      <c r="WYW402" s="148"/>
      <c r="WYX402" s="148"/>
      <c r="WYY402" s="148"/>
      <c r="WYZ402" s="148"/>
      <c r="WZA402" s="148"/>
      <c r="WZB402" s="148"/>
      <c r="WZC402" s="148"/>
      <c r="WZD402" s="148"/>
      <c r="WZE402" s="148"/>
      <c r="WZF402" s="148"/>
      <c r="WZG402" s="148"/>
      <c r="WZH402" s="148"/>
      <c r="WZI402" s="148"/>
      <c r="WZJ402" s="148"/>
      <c r="WZK402" s="148"/>
      <c r="WZL402" s="148"/>
      <c r="WZM402" s="148"/>
      <c r="WZN402" s="148"/>
      <c r="WZO402" s="148"/>
      <c r="WZP402" s="148"/>
      <c r="WZQ402" s="148"/>
      <c r="WZR402" s="148"/>
      <c r="WZS402" s="148"/>
      <c r="WZT402" s="148"/>
      <c r="WZU402" s="148"/>
      <c r="WZV402" s="148"/>
      <c r="WZW402" s="148"/>
      <c r="WZX402" s="148"/>
      <c r="WZY402" s="148"/>
      <c r="WZZ402" s="148"/>
      <c r="XAA402" s="148"/>
      <c r="XAB402" s="148"/>
      <c r="XAC402" s="148"/>
      <c r="XAD402" s="148"/>
      <c r="XAE402" s="148"/>
      <c r="XAF402" s="148"/>
      <c r="XAG402" s="148"/>
      <c r="XAH402" s="148"/>
      <c r="XAI402" s="148"/>
      <c r="XAJ402" s="148"/>
      <c r="XAK402" s="148"/>
      <c r="XAL402" s="148"/>
      <c r="XAM402" s="148"/>
      <c r="XAN402" s="148"/>
      <c r="XAO402" s="148"/>
      <c r="XAP402" s="148"/>
      <c r="XAQ402" s="148"/>
      <c r="XAR402" s="148"/>
      <c r="XAS402" s="148"/>
      <c r="XAT402" s="148"/>
      <c r="XAU402" s="148"/>
      <c r="XAV402" s="148"/>
      <c r="XAW402" s="148"/>
      <c r="XAX402" s="148"/>
      <c r="XAY402" s="148"/>
      <c r="XAZ402" s="148"/>
      <c r="XBA402" s="148"/>
      <c r="XBB402" s="148"/>
      <c r="XBC402" s="148"/>
      <c r="XBD402" s="148"/>
      <c r="XBE402" s="148"/>
      <c r="XBF402" s="148"/>
      <c r="XBG402" s="148"/>
      <c r="XBH402" s="148"/>
      <c r="XBI402" s="148"/>
      <c r="XBJ402" s="148"/>
      <c r="XBK402" s="148"/>
      <c r="XBL402" s="148"/>
      <c r="XBM402" s="148"/>
      <c r="XBN402" s="148"/>
      <c r="XBO402" s="148"/>
      <c r="XBP402" s="148"/>
      <c r="XBQ402" s="148"/>
      <c r="XBR402" s="148"/>
      <c r="XBS402" s="148"/>
      <c r="XBT402" s="148"/>
      <c r="XBU402" s="148"/>
      <c r="XBV402" s="148"/>
      <c r="XBW402" s="148"/>
      <c r="XBX402" s="148"/>
      <c r="XBY402" s="148"/>
      <c r="XBZ402" s="148"/>
      <c r="XCA402" s="148"/>
      <c r="XCB402" s="148"/>
      <c r="XCC402" s="148"/>
      <c r="XCD402" s="148"/>
      <c r="XCE402" s="148"/>
      <c r="XCF402" s="148"/>
      <c r="XCG402" s="148"/>
      <c r="XCH402" s="148"/>
      <c r="XCI402" s="148"/>
      <c r="XCJ402" s="148"/>
      <c r="XCK402" s="148"/>
      <c r="XCL402" s="148"/>
      <c r="XCM402" s="148"/>
      <c r="XCN402" s="148"/>
      <c r="XCO402" s="148"/>
      <c r="XCP402" s="148"/>
      <c r="XCQ402" s="148"/>
      <c r="XCR402" s="148"/>
      <c r="XCS402" s="148"/>
      <c r="XCT402" s="148"/>
      <c r="XCU402" s="148"/>
      <c r="XCV402" s="148"/>
      <c r="XCW402" s="148"/>
      <c r="XCX402" s="148"/>
      <c r="XCY402" s="148"/>
      <c r="XCZ402" s="148"/>
      <c r="XDA402" s="148"/>
      <c r="XDB402" s="148"/>
      <c r="XDC402" s="148"/>
      <c r="XDD402" s="148"/>
      <c r="XDE402" s="148"/>
      <c r="XDF402" s="148"/>
      <c r="XDG402" s="148"/>
      <c r="XDH402" s="148"/>
      <c r="XDI402" s="148"/>
      <c r="XDJ402" s="148"/>
      <c r="XDK402" s="148"/>
      <c r="XDL402" s="148"/>
      <c r="XDM402" s="148"/>
      <c r="XDN402" s="148"/>
      <c r="XDO402" s="148"/>
      <c r="XDP402" s="148"/>
      <c r="XDQ402" s="148"/>
      <c r="XDR402" s="148"/>
      <c r="XDS402" s="148"/>
      <c r="XDT402" s="148"/>
      <c r="XDU402" s="148"/>
      <c r="XDV402" s="148"/>
      <c r="XDW402" s="148"/>
      <c r="XDX402" s="148"/>
      <c r="XDY402" s="148"/>
      <c r="XDZ402" s="148"/>
      <c r="XEA402" s="148"/>
      <c r="XEB402" s="148"/>
      <c r="XEC402" s="148"/>
      <c r="XED402" s="148"/>
      <c r="XEE402" s="148"/>
      <c r="XEF402" s="148"/>
      <c r="XEG402" s="148"/>
      <c r="XEH402" s="148"/>
      <c r="XEI402" s="148"/>
      <c r="XEJ402" s="148"/>
      <c r="XEK402" s="148"/>
      <c r="XEL402" s="148"/>
      <c r="XEM402" s="148"/>
      <c r="XEN402" s="148"/>
      <c r="XEO402" s="148"/>
      <c r="XEP402" s="148"/>
      <c r="XEQ402" s="148"/>
      <c r="XER402" s="148"/>
      <c r="XES402" s="148"/>
      <c r="XET402" s="148"/>
      <c r="XEU402" s="148"/>
      <c r="XEV402" s="148"/>
    </row>
    <row r="403" s="98" customFormat="1" ht="16" customHeight="1" spans="1:16376">
      <c r="A403" s="14">
        <v>401</v>
      </c>
      <c r="B403" s="13" t="s">
        <v>12263</v>
      </c>
      <c r="C403" s="13" t="s">
        <v>12550</v>
      </c>
      <c r="D403" s="314" t="s">
        <v>12551</v>
      </c>
      <c r="E403" s="13">
        <v>2020</v>
      </c>
      <c r="F403" s="13">
        <v>2020</v>
      </c>
      <c r="G403" s="17" t="s">
        <v>3359</v>
      </c>
      <c r="H403" s="13">
        <v>200</v>
      </c>
      <c r="I403" s="13">
        <v>200</v>
      </c>
      <c r="J403" s="5"/>
      <c r="K403" s="5"/>
      <c r="L403" s="105">
        <v>20201224</v>
      </c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  <c r="CJ403" s="148"/>
      <c r="CK403" s="148"/>
      <c r="CL403" s="148"/>
      <c r="CM403" s="148"/>
      <c r="CN403" s="148"/>
      <c r="CO403" s="148"/>
      <c r="CP403" s="148"/>
      <c r="CQ403" s="148"/>
      <c r="CR403" s="148"/>
      <c r="CS403" s="148"/>
      <c r="CT403" s="148"/>
      <c r="CU403" s="148"/>
      <c r="CV403" s="148"/>
      <c r="CW403" s="148"/>
      <c r="CX403" s="148"/>
      <c r="CY403" s="148"/>
      <c r="CZ403" s="148"/>
      <c r="DA403" s="148"/>
      <c r="DB403" s="148"/>
      <c r="DC403" s="148"/>
      <c r="DD403" s="148"/>
      <c r="DE403" s="148"/>
      <c r="DF403" s="148"/>
      <c r="DG403" s="148"/>
      <c r="DH403" s="148"/>
      <c r="DI403" s="148"/>
      <c r="DJ403" s="148"/>
      <c r="DK403" s="148"/>
      <c r="DL403" s="148"/>
      <c r="DM403" s="148"/>
      <c r="DN403" s="148"/>
      <c r="DO403" s="148"/>
      <c r="DP403" s="148"/>
      <c r="DQ403" s="148"/>
      <c r="DR403" s="148"/>
      <c r="DS403" s="148"/>
      <c r="DT403" s="148"/>
      <c r="DU403" s="148"/>
      <c r="DV403" s="148"/>
      <c r="DW403" s="148"/>
      <c r="DX403" s="148"/>
      <c r="DY403" s="148"/>
      <c r="DZ403" s="148"/>
      <c r="EA403" s="148"/>
      <c r="EB403" s="148"/>
      <c r="EC403" s="148"/>
      <c r="ED403" s="148"/>
      <c r="EE403" s="148"/>
      <c r="EF403" s="148"/>
      <c r="EG403" s="148"/>
      <c r="EH403" s="148"/>
      <c r="EI403" s="148"/>
      <c r="EJ403" s="148"/>
      <c r="EK403" s="148"/>
      <c r="EL403" s="148"/>
      <c r="EM403" s="148"/>
      <c r="EN403" s="148"/>
      <c r="EO403" s="148"/>
      <c r="EP403" s="148"/>
      <c r="EQ403" s="148"/>
      <c r="ER403" s="148"/>
      <c r="ES403" s="148"/>
      <c r="ET403" s="148"/>
      <c r="EU403" s="148"/>
      <c r="EV403" s="148"/>
      <c r="EW403" s="148"/>
      <c r="EX403" s="148"/>
      <c r="EY403" s="148"/>
      <c r="EZ403" s="148"/>
      <c r="FA403" s="148"/>
      <c r="FB403" s="148"/>
      <c r="FC403" s="148"/>
      <c r="FD403" s="148"/>
      <c r="FE403" s="148"/>
      <c r="FF403" s="148"/>
      <c r="FG403" s="148"/>
      <c r="FH403" s="148"/>
      <c r="FI403" s="148"/>
      <c r="FJ403" s="148"/>
      <c r="FK403" s="148"/>
      <c r="FL403" s="148"/>
      <c r="FM403" s="148"/>
      <c r="FN403" s="148"/>
      <c r="FO403" s="148"/>
      <c r="FP403" s="148"/>
      <c r="FQ403" s="148"/>
      <c r="FR403" s="148"/>
      <c r="FS403" s="148"/>
      <c r="FT403" s="148"/>
      <c r="FU403" s="148"/>
      <c r="FV403" s="148"/>
      <c r="FW403" s="148"/>
      <c r="FX403" s="148"/>
      <c r="FY403" s="148"/>
      <c r="FZ403" s="148"/>
      <c r="GA403" s="148"/>
      <c r="GB403" s="148"/>
      <c r="GC403" s="148"/>
      <c r="GD403" s="148"/>
      <c r="GE403" s="148"/>
      <c r="GF403" s="148"/>
      <c r="GG403" s="148"/>
      <c r="GH403" s="148"/>
      <c r="GI403" s="148"/>
      <c r="GJ403" s="148"/>
      <c r="GK403" s="148"/>
      <c r="GL403" s="148"/>
      <c r="GM403" s="148"/>
      <c r="GN403" s="148"/>
      <c r="GO403" s="148"/>
      <c r="GP403" s="148"/>
      <c r="GQ403" s="148"/>
      <c r="GR403" s="148"/>
      <c r="GS403" s="148"/>
      <c r="GT403" s="148"/>
      <c r="GU403" s="148"/>
      <c r="GV403" s="148"/>
      <c r="GW403" s="148"/>
      <c r="GX403" s="148"/>
      <c r="GY403" s="148"/>
      <c r="GZ403" s="148"/>
      <c r="HA403" s="148"/>
      <c r="HB403" s="148"/>
      <c r="HC403" s="148"/>
      <c r="HD403" s="148"/>
      <c r="HE403" s="148"/>
      <c r="HF403" s="148"/>
      <c r="HG403" s="148"/>
      <c r="HH403" s="148"/>
      <c r="HI403" s="148"/>
      <c r="HJ403" s="148"/>
      <c r="HK403" s="148"/>
      <c r="HL403" s="148"/>
      <c r="HM403" s="148"/>
      <c r="HN403" s="148"/>
      <c r="HO403" s="148"/>
      <c r="HP403" s="148"/>
      <c r="HQ403" s="148"/>
      <c r="HR403" s="148"/>
      <c r="HS403" s="148"/>
      <c r="HT403" s="148"/>
      <c r="HU403" s="148"/>
      <c r="HV403" s="148"/>
      <c r="HW403" s="148"/>
      <c r="HX403" s="148"/>
      <c r="HY403" s="148"/>
      <c r="HZ403" s="148"/>
      <c r="IA403" s="148"/>
      <c r="IB403" s="148"/>
      <c r="IC403" s="148"/>
      <c r="ID403" s="148"/>
      <c r="IE403" s="148"/>
      <c r="IF403" s="148"/>
      <c r="IG403" s="148"/>
      <c r="IH403" s="148"/>
      <c r="II403" s="148"/>
      <c r="IJ403" s="148"/>
      <c r="IK403" s="148"/>
      <c r="IL403" s="148"/>
      <c r="IM403" s="148"/>
      <c r="IN403" s="148"/>
      <c r="IO403" s="148"/>
      <c r="IP403" s="148"/>
      <c r="IQ403" s="148"/>
      <c r="IR403" s="148"/>
      <c r="IS403" s="148"/>
      <c r="IT403" s="148"/>
      <c r="IU403" s="148"/>
      <c r="IV403" s="148"/>
      <c r="IW403" s="148"/>
      <c r="IX403" s="148"/>
      <c r="IY403" s="148"/>
      <c r="IZ403" s="148"/>
      <c r="JA403" s="148"/>
      <c r="JB403" s="148"/>
      <c r="JC403" s="148"/>
      <c r="JD403" s="148"/>
      <c r="JE403" s="148"/>
      <c r="JF403" s="148"/>
      <c r="JG403" s="148"/>
      <c r="JH403" s="148"/>
      <c r="JI403" s="148"/>
      <c r="JJ403" s="148"/>
      <c r="JK403" s="148"/>
      <c r="JL403" s="148"/>
      <c r="JM403" s="148"/>
      <c r="JN403" s="148"/>
      <c r="JO403" s="148"/>
      <c r="JP403" s="148"/>
      <c r="JQ403" s="148"/>
      <c r="JR403" s="148"/>
      <c r="JS403" s="148"/>
      <c r="JT403" s="148"/>
      <c r="JU403" s="148"/>
      <c r="JV403" s="148"/>
      <c r="JW403" s="148"/>
      <c r="JX403" s="148"/>
      <c r="JY403" s="148"/>
      <c r="JZ403" s="148"/>
      <c r="KA403" s="148"/>
      <c r="KB403" s="148"/>
      <c r="KC403" s="148"/>
      <c r="KD403" s="148"/>
      <c r="KE403" s="148"/>
      <c r="KF403" s="148"/>
      <c r="KG403" s="148"/>
      <c r="KH403" s="148"/>
      <c r="KI403" s="148"/>
      <c r="KJ403" s="148"/>
      <c r="KK403" s="148"/>
      <c r="KL403" s="148"/>
      <c r="KM403" s="148"/>
      <c r="KN403" s="148"/>
      <c r="KO403" s="148"/>
      <c r="KP403" s="148"/>
      <c r="KQ403" s="148"/>
      <c r="KR403" s="148"/>
      <c r="KS403" s="148"/>
      <c r="KT403" s="148"/>
      <c r="KU403" s="148"/>
      <c r="KV403" s="148"/>
      <c r="KW403" s="148"/>
      <c r="KX403" s="148"/>
      <c r="KY403" s="148"/>
      <c r="KZ403" s="148"/>
      <c r="LA403" s="148"/>
      <c r="LB403" s="148"/>
      <c r="LC403" s="148"/>
      <c r="LD403" s="148"/>
      <c r="LE403" s="148"/>
      <c r="LF403" s="148"/>
      <c r="LG403" s="148"/>
      <c r="LH403" s="148"/>
      <c r="LI403" s="148"/>
      <c r="LJ403" s="148"/>
      <c r="LK403" s="148"/>
      <c r="LL403" s="148"/>
      <c r="LM403" s="148"/>
      <c r="LN403" s="148"/>
      <c r="LO403" s="148"/>
      <c r="LP403" s="148"/>
      <c r="LQ403" s="148"/>
      <c r="LR403" s="148"/>
      <c r="LS403" s="148"/>
      <c r="LT403" s="148"/>
      <c r="LU403" s="148"/>
      <c r="LV403" s="148"/>
      <c r="LW403" s="148"/>
      <c r="LX403" s="148"/>
      <c r="LY403" s="148"/>
      <c r="LZ403" s="148"/>
      <c r="MA403" s="148"/>
      <c r="MB403" s="148"/>
      <c r="MC403" s="148"/>
      <c r="MD403" s="148"/>
      <c r="ME403" s="148"/>
      <c r="MF403" s="148"/>
      <c r="MG403" s="148"/>
      <c r="MH403" s="148"/>
      <c r="MI403" s="148"/>
      <c r="MJ403" s="148"/>
      <c r="MK403" s="148"/>
      <c r="ML403" s="148"/>
      <c r="MM403" s="148"/>
      <c r="MN403" s="148"/>
      <c r="MO403" s="148"/>
      <c r="MP403" s="148"/>
      <c r="MQ403" s="148"/>
      <c r="MR403" s="148"/>
      <c r="MS403" s="148"/>
      <c r="MT403" s="148"/>
      <c r="MU403" s="148"/>
      <c r="MV403" s="148"/>
      <c r="MW403" s="148"/>
      <c r="MX403" s="148"/>
      <c r="MY403" s="148"/>
      <c r="MZ403" s="148"/>
      <c r="NA403" s="148"/>
      <c r="NB403" s="148"/>
      <c r="NC403" s="148"/>
      <c r="ND403" s="148"/>
      <c r="NE403" s="148"/>
      <c r="NF403" s="148"/>
      <c r="NG403" s="148"/>
      <c r="NH403" s="148"/>
      <c r="NI403" s="148"/>
      <c r="NJ403" s="148"/>
      <c r="NK403" s="148"/>
      <c r="NL403" s="148"/>
      <c r="NM403" s="148"/>
      <c r="NN403" s="148"/>
      <c r="NO403" s="148"/>
      <c r="NP403" s="148"/>
      <c r="NQ403" s="148"/>
      <c r="NR403" s="148"/>
      <c r="NS403" s="148"/>
      <c r="NT403" s="148"/>
      <c r="NU403" s="148"/>
      <c r="NV403" s="148"/>
      <c r="NW403" s="148"/>
      <c r="NX403" s="148"/>
      <c r="NY403" s="148"/>
      <c r="NZ403" s="148"/>
      <c r="OA403" s="148"/>
      <c r="OB403" s="148"/>
      <c r="OC403" s="148"/>
      <c r="OD403" s="148"/>
      <c r="OE403" s="148"/>
      <c r="OF403" s="148"/>
      <c r="OG403" s="148"/>
      <c r="OH403" s="148"/>
      <c r="OI403" s="148"/>
      <c r="OJ403" s="148"/>
      <c r="OK403" s="148"/>
      <c r="OL403" s="148"/>
      <c r="OM403" s="148"/>
      <c r="ON403" s="148"/>
      <c r="OO403" s="148"/>
      <c r="OP403" s="148"/>
      <c r="OQ403" s="148"/>
      <c r="OR403" s="148"/>
      <c r="OS403" s="148"/>
      <c r="OT403" s="148"/>
      <c r="OU403" s="148"/>
      <c r="OV403" s="148"/>
      <c r="OW403" s="148"/>
      <c r="OX403" s="148"/>
      <c r="OY403" s="148"/>
      <c r="OZ403" s="148"/>
      <c r="PA403" s="148"/>
      <c r="PB403" s="148"/>
      <c r="PC403" s="148"/>
      <c r="PD403" s="148"/>
      <c r="PE403" s="148"/>
      <c r="PF403" s="148"/>
      <c r="PG403" s="148"/>
      <c r="PH403" s="148"/>
      <c r="PI403" s="148"/>
      <c r="PJ403" s="148"/>
      <c r="PK403" s="148"/>
      <c r="PL403" s="148"/>
      <c r="PM403" s="148"/>
      <c r="PN403" s="148"/>
      <c r="PO403" s="148"/>
      <c r="PP403" s="148"/>
      <c r="PQ403" s="148"/>
      <c r="PR403" s="148"/>
      <c r="PS403" s="148"/>
      <c r="PT403" s="148"/>
      <c r="PU403" s="148"/>
      <c r="PV403" s="148"/>
      <c r="PW403" s="148"/>
      <c r="PX403" s="148"/>
      <c r="PY403" s="148"/>
      <c r="PZ403" s="148"/>
      <c r="QA403" s="148"/>
      <c r="QB403" s="148"/>
      <c r="QC403" s="148"/>
      <c r="QD403" s="148"/>
      <c r="QE403" s="148"/>
      <c r="QF403" s="148"/>
      <c r="QG403" s="148"/>
      <c r="QH403" s="148"/>
      <c r="QI403" s="148"/>
      <c r="QJ403" s="148"/>
      <c r="QK403" s="148"/>
      <c r="QL403" s="148"/>
      <c r="QM403" s="148"/>
      <c r="QN403" s="148"/>
      <c r="QO403" s="148"/>
      <c r="QP403" s="148"/>
      <c r="QQ403" s="148"/>
      <c r="QR403" s="148"/>
      <c r="QS403" s="148"/>
      <c r="QT403" s="148"/>
      <c r="QU403" s="148"/>
      <c r="QV403" s="148"/>
      <c r="QW403" s="148"/>
      <c r="QX403" s="148"/>
      <c r="QY403" s="148"/>
      <c r="QZ403" s="148"/>
      <c r="RA403" s="148"/>
      <c r="RB403" s="148"/>
      <c r="RC403" s="148"/>
      <c r="RD403" s="148"/>
      <c r="RE403" s="148"/>
      <c r="RF403" s="148"/>
      <c r="RG403" s="148"/>
      <c r="RH403" s="148"/>
      <c r="RI403" s="148"/>
      <c r="RJ403" s="148"/>
      <c r="RK403" s="148"/>
      <c r="RL403" s="148"/>
      <c r="RM403" s="148"/>
      <c r="RN403" s="148"/>
      <c r="RO403" s="148"/>
      <c r="RP403" s="148"/>
      <c r="RQ403" s="148"/>
      <c r="RR403" s="148"/>
      <c r="RS403" s="148"/>
      <c r="RT403" s="148"/>
      <c r="RU403" s="148"/>
      <c r="RV403" s="148"/>
      <c r="RW403" s="148"/>
      <c r="RX403" s="148"/>
      <c r="RY403" s="148"/>
      <c r="RZ403" s="148"/>
      <c r="SA403" s="148"/>
      <c r="SB403" s="148"/>
      <c r="SC403" s="148"/>
      <c r="SD403" s="148"/>
      <c r="SE403" s="148"/>
      <c r="SF403" s="148"/>
      <c r="SG403" s="148"/>
      <c r="SH403" s="148"/>
      <c r="SI403" s="148"/>
      <c r="SJ403" s="148"/>
      <c r="SK403" s="148"/>
      <c r="SL403" s="148"/>
      <c r="SM403" s="148"/>
      <c r="SN403" s="148"/>
      <c r="SO403" s="148"/>
      <c r="SP403" s="148"/>
      <c r="SQ403" s="148"/>
      <c r="SR403" s="148"/>
      <c r="SS403" s="148"/>
      <c r="ST403" s="148"/>
      <c r="SU403" s="148"/>
      <c r="SV403" s="148"/>
      <c r="SW403" s="148"/>
      <c r="SX403" s="148"/>
      <c r="SY403" s="148"/>
      <c r="SZ403" s="148"/>
      <c r="TA403" s="148"/>
      <c r="TB403" s="148"/>
      <c r="TC403" s="148"/>
      <c r="TD403" s="148"/>
      <c r="TE403" s="148"/>
      <c r="TF403" s="148"/>
      <c r="TG403" s="148"/>
      <c r="TH403" s="148"/>
      <c r="TI403" s="148"/>
      <c r="TJ403" s="148"/>
      <c r="TK403" s="148"/>
      <c r="TL403" s="148"/>
      <c r="TM403" s="148"/>
      <c r="TN403" s="148"/>
      <c r="TO403" s="148"/>
      <c r="TP403" s="148"/>
      <c r="TQ403" s="148"/>
      <c r="TR403" s="148"/>
      <c r="TS403" s="148"/>
      <c r="TT403" s="148"/>
      <c r="TU403" s="148"/>
      <c r="TV403" s="148"/>
      <c r="TW403" s="148"/>
      <c r="TX403" s="148"/>
      <c r="TY403" s="148"/>
      <c r="TZ403" s="148"/>
      <c r="UA403" s="148"/>
      <c r="UB403" s="148"/>
      <c r="UC403" s="148"/>
      <c r="UD403" s="148"/>
      <c r="UE403" s="148"/>
      <c r="UF403" s="148"/>
      <c r="UG403" s="148"/>
      <c r="UH403" s="148"/>
      <c r="UI403" s="148"/>
      <c r="UJ403" s="148"/>
      <c r="UK403" s="148"/>
      <c r="UL403" s="148"/>
      <c r="UM403" s="148"/>
      <c r="UN403" s="148"/>
      <c r="UO403" s="148"/>
      <c r="UP403" s="148"/>
      <c r="UQ403" s="148"/>
      <c r="UR403" s="148"/>
      <c r="US403" s="148"/>
      <c r="UT403" s="148"/>
      <c r="UU403" s="148"/>
      <c r="UV403" s="148"/>
      <c r="UW403" s="148"/>
      <c r="UX403" s="148"/>
      <c r="UY403" s="148"/>
      <c r="UZ403" s="148"/>
      <c r="VA403" s="148"/>
      <c r="VB403" s="148"/>
      <c r="VC403" s="148"/>
      <c r="VD403" s="148"/>
      <c r="VE403" s="148"/>
      <c r="VF403" s="148"/>
      <c r="VG403" s="148"/>
      <c r="VH403" s="148"/>
      <c r="VI403" s="148"/>
      <c r="VJ403" s="148"/>
      <c r="VK403" s="148"/>
      <c r="VL403" s="148"/>
      <c r="VM403" s="148"/>
      <c r="VN403" s="148"/>
      <c r="VO403" s="148"/>
      <c r="VP403" s="148"/>
      <c r="VQ403" s="148"/>
      <c r="VR403" s="148"/>
      <c r="VS403" s="148"/>
      <c r="VT403" s="148"/>
      <c r="VU403" s="148"/>
      <c r="VV403" s="148"/>
      <c r="VW403" s="148"/>
      <c r="VX403" s="148"/>
      <c r="VY403" s="148"/>
      <c r="VZ403" s="148"/>
      <c r="WA403" s="148"/>
      <c r="WB403" s="148"/>
      <c r="WC403" s="148"/>
      <c r="WD403" s="148"/>
      <c r="WE403" s="148"/>
      <c r="WF403" s="148"/>
      <c r="WG403" s="148"/>
      <c r="WH403" s="148"/>
      <c r="WI403" s="148"/>
      <c r="WJ403" s="148"/>
      <c r="WK403" s="148"/>
      <c r="WL403" s="148"/>
      <c r="WM403" s="148"/>
      <c r="WN403" s="148"/>
      <c r="WO403" s="148"/>
      <c r="WP403" s="148"/>
      <c r="WQ403" s="148"/>
      <c r="WR403" s="148"/>
      <c r="WS403" s="148"/>
      <c r="WT403" s="148"/>
      <c r="WU403" s="148"/>
      <c r="WV403" s="148"/>
      <c r="WW403" s="148"/>
      <c r="WX403" s="148"/>
      <c r="WY403" s="148"/>
      <c r="WZ403" s="148"/>
      <c r="XA403" s="148"/>
      <c r="XB403" s="148"/>
      <c r="XC403" s="148"/>
      <c r="XD403" s="148"/>
      <c r="XE403" s="148"/>
      <c r="XF403" s="148"/>
      <c r="XG403" s="148"/>
      <c r="XH403" s="148"/>
      <c r="XI403" s="148"/>
      <c r="XJ403" s="148"/>
      <c r="XK403" s="148"/>
      <c r="XL403" s="148"/>
      <c r="XM403" s="148"/>
      <c r="XN403" s="148"/>
      <c r="XO403" s="148"/>
      <c r="XP403" s="148"/>
      <c r="XQ403" s="148"/>
      <c r="XR403" s="148"/>
      <c r="XS403" s="148"/>
      <c r="XT403" s="148"/>
      <c r="XU403" s="148"/>
      <c r="XV403" s="148"/>
      <c r="XW403" s="148"/>
      <c r="XX403" s="148"/>
      <c r="XY403" s="148"/>
      <c r="XZ403" s="148"/>
      <c r="YA403" s="148"/>
      <c r="YB403" s="148"/>
      <c r="YC403" s="148"/>
      <c r="YD403" s="148"/>
      <c r="YE403" s="148"/>
      <c r="YF403" s="148"/>
      <c r="YG403" s="148"/>
      <c r="YH403" s="148"/>
      <c r="YI403" s="148"/>
      <c r="YJ403" s="148"/>
      <c r="YK403" s="148"/>
      <c r="YL403" s="148"/>
      <c r="YM403" s="148"/>
      <c r="YN403" s="148"/>
      <c r="YO403" s="148"/>
      <c r="YP403" s="148"/>
      <c r="YQ403" s="148"/>
      <c r="YR403" s="148"/>
      <c r="YS403" s="148"/>
      <c r="YT403" s="148"/>
      <c r="YU403" s="148"/>
      <c r="YV403" s="148"/>
      <c r="YW403" s="148"/>
      <c r="YX403" s="148"/>
      <c r="YY403" s="148"/>
      <c r="YZ403" s="148"/>
      <c r="ZA403" s="148"/>
      <c r="ZB403" s="148"/>
      <c r="ZC403" s="148"/>
      <c r="ZD403" s="148"/>
      <c r="ZE403" s="148"/>
      <c r="ZF403" s="148"/>
      <c r="ZG403" s="148"/>
      <c r="ZH403" s="148"/>
      <c r="ZI403" s="148"/>
      <c r="ZJ403" s="148"/>
      <c r="ZK403" s="148"/>
      <c r="ZL403" s="148"/>
      <c r="ZM403" s="148"/>
      <c r="ZN403" s="148"/>
      <c r="ZO403" s="148"/>
      <c r="ZP403" s="148"/>
      <c r="ZQ403" s="148"/>
      <c r="ZR403" s="148"/>
      <c r="ZS403" s="148"/>
      <c r="ZT403" s="148"/>
      <c r="ZU403" s="148"/>
      <c r="ZV403" s="148"/>
      <c r="ZW403" s="148"/>
      <c r="ZX403" s="148"/>
      <c r="ZY403" s="148"/>
      <c r="ZZ403" s="148"/>
      <c r="AAA403" s="148"/>
      <c r="AAB403" s="148"/>
      <c r="AAC403" s="148"/>
      <c r="AAD403" s="148"/>
      <c r="AAE403" s="148"/>
      <c r="AAF403" s="148"/>
      <c r="AAG403" s="148"/>
      <c r="AAH403" s="148"/>
      <c r="AAI403" s="148"/>
      <c r="AAJ403" s="148"/>
      <c r="AAK403" s="148"/>
      <c r="AAL403" s="148"/>
      <c r="AAM403" s="148"/>
      <c r="AAN403" s="148"/>
      <c r="AAO403" s="148"/>
      <c r="AAP403" s="148"/>
      <c r="AAQ403" s="148"/>
      <c r="AAR403" s="148"/>
      <c r="AAS403" s="148"/>
      <c r="AAT403" s="148"/>
      <c r="AAU403" s="148"/>
      <c r="AAV403" s="148"/>
      <c r="AAW403" s="148"/>
      <c r="AAX403" s="148"/>
      <c r="AAY403" s="148"/>
      <c r="AAZ403" s="148"/>
      <c r="ABA403" s="148"/>
      <c r="ABB403" s="148"/>
      <c r="ABC403" s="148"/>
      <c r="ABD403" s="148"/>
      <c r="ABE403" s="148"/>
      <c r="ABF403" s="148"/>
      <c r="ABG403" s="148"/>
      <c r="ABH403" s="148"/>
      <c r="ABI403" s="148"/>
      <c r="ABJ403" s="148"/>
      <c r="ABK403" s="148"/>
      <c r="ABL403" s="148"/>
      <c r="ABM403" s="148"/>
      <c r="ABN403" s="148"/>
      <c r="ABO403" s="148"/>
      <c r="ABP403" s="148"/>
      <c r="ABQ403" s="148"/>
      <c r="ABR403" s="148"/>
      <c r="ABS403" s="148"/>
      <c r="ABT403" s="148"/>
      <c r="ABU403" s="148"/>
      <c r="ABV403" s="148"/>
      <c r="ABW403" s="148"/>
      <c r="ABX403" s="148"/>
      <c r="ABY403" s="148"/>
      <c r="ABZ403" s="148"/>
      <c r="ACA403" s="148"/>
      <c r="ACB403" s="148"/>
      <c r="ACC403" s="148"/>
      <c r="ACD403" s="148"/>
      <c r="ACE403" s="148"/>
      <c r="ACF403" s="148"/>
      <c r="ACG403" s="148"/>
      <c r="ACH403" s="148"/>
      <c r="ACI403" s="148"/>
      <c r="ACJ403" s="148"/>
      <c r="ACK403" s="148"/>
      <c r="ACL403" s="148"/>
      <c r="ACM403" s="148"/>
      <c r="ACN403" s="148"/>
      <c r="ACO403" s="148"/>
      <c r="ACP403" s="148"/>
      <c r="ACQ403" s="148"/>
      <c r="ACR403" s="148"/>
      <c r="ACS403" s="148"/>
      <c r="ACT403" s="148"/>
      <c r="ACU403" s="148"/>
      <c r="ACV403" s="148"/>
      <c r="ACW403" s="148"/>
      <c r="ACX403" s="148"/>
      <c r="ACY403" s="148"/>
      <c r="ACZ403" s="148"/>
      <c r="ADA403" s="148"/>
      <c r="ADB403" s="148"/>
      <c r="ADC403" s="148"/>
      <c r="ADD403" s="148"/>
      <c r="ADE403" s="148"/>
      <c r="ADF403" s="148"/>
      <c r="ADG403" s="148"/>
      <c r="ADH403" s="148"/>
      <c r="ADI403" s="148"/>
      <c r="ADJ403" s="148"/>
      <c r="ADK403" s="148"/>
      <c r="ADL403" s="148"/>
      <c r="ADM403" s="148"/>
      <c r="ADN403" s="148"/>
      <c r="ADO403" s="148"/>
      <c r="ADP403" s="148"/>
      <c r="ADQ403" s="148"/>
      <c r="ADR403" s="148"/>
      <c r="ADS403" s="148"/>
      <c r="ADT403" s="148"/>
      <c r="ADU403" s="148"/>
      <c r="ADV403" s="148"/>
      <c r="ADW403" s="148"/>
      <c r="ADX403" s="148"/>
      <c r="ADY403" s="148"/>
      <c r="ADZ403" s="148"/>
      <c r="AEA403" s="148"/>
      <c r="AEB403" s="148"/>
      <c r="AEC403" s="148"/>
      <c r="AED403" s="148"/>
      <c r="AEE403" s="148"/>
      <c r="AEF403" s="148"/>
      <c r="AEG403" s="148"/>
      <c r="AEH403" s="148"/>
      <c r="AEI403" s="148"/>
      <c r="AEJ403" s="148"/>
      <c r="AEK403" s="148"/>
      <c r="AEL403" s="148"/>
      <c r="AEM403" s="148"/>
      <c r="AEN403" s="148"/>
      <c r="AEO403" s="148"/>
      <c r="AEP403" s="148"/>
      <c r="AEQ403" s="148"/>
      <c r="AER403" s="148"/>
      <c r="AES403" s="148"/>
      <c r="AET403" s="148"/>
      <c r="AEU403" s="148"/>
      <c r="AEV403" s="148"/>
      <c r="AEW403" s="148"/>
      <c r="AEX403" s="148"/>
      <c r="AEY403" s="148"/>
      <c r="AEZ403" s="148"/>
      <c r="AFA403" s="148"/>
      <c r="AFB403" s="148"/>
      <c r="AFC403" s="148"/>
      <c r="AFD403" s="148"/>
      <c r="AFE403" s="148"/>
      <c r="AFF403" s="148"/>
      <c r="AFG403" s="148"/>
      <c r="AFH403" s="148"/>
      <c r="AFI403" s="148"/>
      <c r="AFJ403" s="148"/>
      <c r="AFK403" s="148"/>
      <c r="AFL403" s="148"/>
      <c r="AFM403" s="148"/>
      <c r="AFN403" s="148"/>
      <c r="AFO403" s="148"/>
      <c r="AFP403" s="148"/>
      <c r="AFQ403" s="148"/>
      <c r="AFR403" s="148"/>
      <c r="AFS403" s="148"/>
      <c r="AFT403" s="148"/>
      <c r="AFU403" s="148"/>
      <c r="AFV403" s="148"/>
      <c r="AFW403" s="148"/>
      <c r="AFX403" s="148"/>
      <c r="AFY403" s="148"/>
      <c r="AFZ403" s="148"/>
      <c r="AGA403" s="148"/>
      <c r="AGB403" s="148"/>
      <c r="AGC403" s="148"/>
      <c r="AGD403" s="148"/>
      <c r="AGE403" s="148"/>
      <c r="AGF403" s="148"/>
      <c r="AGG403" s="148"/>
      <c r="AGH403" s="148"/>
      <c r="AGI403" s="148"/>
      <c r="AGJ403" s="148"/>
      <c r="AGK403" s="148"/>
      <c r="AGL403" s="148"/>
      <c r="AGM403" s="148"/>
      <c r="AGN403" s="148"/>
      <c r="AGO403" s="148"/>
      <c r="AGP403" s="148"/>
      <c r="AGQ403" s="148"/>
      <c r="AGR403" s="148"/>
      <c r="AGS403" s="148"/>
      <c r="AGT403" s="148"/>
      <c r="AGU403" s="148"/>
      <c r="AGV403" s="148"/>
      <c r="AGW403" s="148"/>
      <c r="AGX403" s="148"/>
      <c r="AGY403" s="148"/>
      <c r="AGZ403" s="148"/>
      <c r="AHA403" s="148"/>
      <c r="AHB403" s="148"/>
      <c r="AHC403" s="148"/>
      <c r="AHD403" s="148"/>
      <c r="AHE403" s="148"/>
      <c r="AHF403" s="148"/>
      <c r="AHG403" s="148"/>
      <c r="AHH403" s="148"/>
      <c r="AHI403" s="148"/>
      <c r="AHJ403" s="148"/>
      <c r="AHK403" s="148"/>
      <c r="AHL403" s="148"/>
      <c r="AHM403" s="148"/>
      <c r="AHN403" s="148"/>
      <c r="AHO403" s="148"/>
      <c r="AHP403" s="148"/>
      <c r="AHQ403" s="148"/>
      <c r="AHR403" s="148"/>
      <c r="AHS403" s="148"/>
      <c r="AHT403" s="148"/>
      <c r="AHU403" s="148"/>
      <c r="AHV403" s="148"/>
      <c r="AHW403" s="148"/>
      <c r="AHX403" s="148"/>
      <c r="AHY403" s="148"/>
      <c r="AHZ403" s="148"/>
      <c r="AIA403" s="148"/>
      <c r="AIB403" s="148"/>
      <c r="AIC403" s="148"/>
      <c r="AID403" s="148"/>
      <c r="AIE403" s="148"/>
      <c r="AIF403" s="148"/>
      <c r="AIG403" s="148"/>
      <c r="AIH403" s="148"/>
      <c r="AII403" s="148"/>
      <c r="AIJ403" s="148"/>
      <c r="AIK403" s="148"/>
      <c r="AIL403" s="148"/>
      <c r="AIM403" s="148"/>
      <c r="AIN403" s="148"/>
      <c r="AIO403" s="148"/>
      <c r="AIP403" s="148"/>
      <c r="AIQ403" s="148"/>
      <c r="AIR403" s="148"/>
      <c r="AIS403" s="148"/>
      <c r="AIT403" s="148"/>
      <c r="AIU403" s="148"/>
      <c r="AIV403" s="148"/>
      <c r="AIW403" s="148"/>
      <c r="AIX403" s="148"/>
      <c r="AIY403" s="148"/>
      <c r="AIZ403" s="148"/>
      <c r="AJA403" s="148"/>
      <c r="AJB403" s="148"/>
      <c r="AJC403" s="148"/>
      <c r="AJD403" s="148"/>
      <c r="AJE403" s="148"/>
      <c r="AJF403" s="148"/>
      <c r="AJG403" s="148"/>
      <c r="AJH403" s="148"/>
      <c r="AJI403" s="148"/>
      <c r="AJJ403" s="148"/>
      <c r="AJK403" s="148"/>
      <c r="AJL403" s="148"/>
      <c r="AJM403" s="148"/>
      <c r="AJN403" s="148"/>
      <c r="AJO403" s="148"/>
      <c r="AJP403" s="148"/>
      <c r="AJQ403" s="148"/>
      <c r="AJR403" s="148"/>
      <c r="AJS403" s="148"/>
      <c r="AJT403" s="148"/>
      <c r="AJU403" s="148"/>
      <c r="AJV403" s="148"/>
      <c r="AJW403" s="148"/>
      <c r="AJX403" s="148"/>
      <c r="AJY403" s="148"/>
      <c r="AJZ403" s="148"/>
      <c r="AKA403" s="148"/>
      <c r="AKB403" s="148"/>
      <c r="AKC403" s="148"/>
      <c r="AKD403" s="148"/>
      <c r="AKE403" s="148"/>
      <c r="AKF403" s="148"/>
      <c r="AKG403" s="148"/>
      <c r="AKH403" s="148"/>
      <c r="AKI403" s="148"/>
      <c r="AKJ403" s="148"/>
      <c r="AKK403" s="148"/>
      <c r="AKL403" s="148"/>
      <c r="AKM403" s="148"/>
      <c r="AKN403" s="148"/>
      <c r="AKO403" s="148"/>
      <c r="AKP403" s="148"/>
      <c r="AKQ403" s="148"/>
      <c r="AKR403" s="148"/>
      <c r="AKS403" s="148"/>
      <c r="AKT403" s="148"/>
      <c r="AKU403" s="148"/>
      <c r="AKV403" s="148"/>
      <c r="AKW403" s="148"/>
      <c r="AKX403" s="148"/>
      <c r="AKY403" s="148"/>
      <c r="AKZ403" s="148"/>
      <c r="ALA403" s="148"/>
      <c r="ALB403" s="148"/>
      <c r="ALC403" s="148"/>
      <c r="ALD403" s="148"/>
      <c r="ALE403" s="148"/>
      <c r="ALF403" s="148"/>
      <c r="ALG403" s="148"/>
      <c r="ALH403" s="148"/>
      <c r="ALI403" s="148"/>
      <c r="ALJ403" s="148"/>
      <c r="ALK403" s="148"/>
      <c r="ALL403" s="148"/>
      <c r="ALM403" s="148"/>
      <c r="ALN403" s="148"/>
      <c r="ALO403" s="148"/>
      <c r="ALP403" s="148"/>
      <c r="ALQ403" s="148"/>
      <c r="ALR403" s="148"/>
      <c r="ALS403" s="148"/>
      <c r="ALT403" s="148"/>
      <c r="ALU403" s="148"/>
      <c r="ALV403" s="148"/>
      <c r="ALW403" s="148"/>
      <c r="ALX403" s="148"/>
      <c r="ALY403" s="148"/>
      <c r="ALZ403" s="148"/>
      <c r="AMA403" s="148"/>
      <c r="AMB403" s="148"/>
      <c r="AMC403" s="148"/>
      <c r="AMD403" s="148"/>
      <c r="AME403" s="148"/>
      <c r="AMF403" s="148"/>
      <c r="AMG403" s="148"/>
      <c r="AMH403" s="148"/>
      <c r="AMI403" s="148"/>
      <c r="AMJ403" s="148"/>
      <c r="AMK403" s="148"/>
      <c r="AML403" s="148"/>
      <c r="AMM403" s="148"/>
      <c r="AMN403" s="148"/>
      <c r="AMO403" s="148"/>
      <c r="AMP403" s="148"/>
      <c r="AMQ403" s="148"/>
      <c r="AMR403" s="148"/>
      <c r="AMS403" s="148"/>
      <c r="AMT403" s="148"/>
      <c r="AMU403" s="148"/>
      <c r="AMV403" s="148"/>
      <c r="AMW403" s="148"/>
      <c r="AMX403" s="148"/>
      <c r="AMY403" s="148"/>
      <c r="AMZ403" s="148"/>
      <c r="ANA403" s="148"/>
      <c r="ANB403" s="148"/>
      <c r="ANC403" s="148"/>
      <c r="AND403" s="148"/>
      <c r="ANE403" s="148"/>
      <c r="ANF403" s="148"/>
      <c r="ANG403" s="148"/>
      <c r="ANH403" s="148"/>
      <c r="ANI403" s="148"/>
      <c r="ANJ403" s="148"/>
      <c r="ANK403" s="148"/>
      <c r="ANL403" s="148"/>
      <c r="ANM403" s="148"/>
      <c r="ANN403" s="148"/>
      <c r="ANO403" s="148"/>
      <c r="ANP403" s="148"/>
      <c r="ANQ403" s="148"/>
      <c r="ANR403" s="148"/>
      <c r="ANS403" s="148"/>
      <c r="ANT403" s="148"/>
      <c r="ANU403" s="148"/>
      <c r="ANV403" s="148"/>
      <c r="ANW403" s="148"/>
      <c r="ANX403" s="148"/>
      <c r="ANY403" s="148"/>
      <c r="ANZ403" s="148"/>
      <c r="AOA403" s="148"/>
      <c r="AOB403" s="148"/>
      <c r="AOC403" s="148"/>
      <c r="AOD403" s="148"/>
      <c r="AOE403" s="148"/>
      <c r="AOF403" s="148"/>
      <c r="AOG403" s="148"/>
      <c r="AOH403" s="148"/>
      <c r="AOI403" s="148"/>
      <c r="AOJ403" s="148"/>
      <c r="AOK403" s="148"/>
      <c r="AOL403" s="148"/>
      <c r="AOM403" s="148"/>
      <c r="AON403" s="148"/>
      <c r="AOO403" s="148"/>
      <c r="AOP403" s="148"/>
      <c r="AOQ403" s="148"/>
      <c r="AOR403" s="148"/>
      <c r="AOS403" s="148"/>
      <c r="AOT403" s="148"/>
      <c r="AOU403" s="148"/>
      <c r="AOV403" s="148"/>
      <c r="AOW403" s="148"/>
      <c r="AOX403" s="148"/>
      <c r="AOY403" s="148"/>
      <c r="AOZ403" s="148"/>
      <c r="APA403" s="148"/>
      <c r="APB403" s="148"/>
      <c r="APC403" s="148"/>
      <c r="APD403" s="148"/>
      <c r="APE403" s="148"/>
      <c r="APF403" s="148"/>
      <c r="APG403" s="148"/>
      <c r="APH403" s="148"/>
      <c r="API403" s="148"/>
      <c r="APJ403" s="148"/>
      <c r="APK403" s="148"/>
      <c r="APL403" s="148"/>
      <c r="APM403" s="148"/>
      <c r="APN403" s="148"/>
      <c r="APO403" s="148"/>
      <c r="APP403" s="148"/>
      <c r="APQ403" s="148"/>
      <c r="APR403" s="148"/>
      <c r="APS403" s="148"/>
      <c r="APT403" s="148"/>
      <c r="APU403" s="148"/>
      <c r="APV403" s="148"/>
      <c r="APW403" s="148"/>
      <c r="APX403" s="148"/>
      <c r="APY403" s="148"/>
      <c r="APZ403" s="148"/>
      <c r="AQA403" s="148"/>
      <c r="AQB403" s="148"/>
      <c r="AQC403" s="148"/>
      <c r="AQD403" s="148"/>
      <c r="AQE403" s="148"/>
      <c r="AQF403" s="148"/>
      <c r="AQG403" s="148"/>
      <c r="AQH403" s="148"/>
      <c r="AQI403" s="148"/>
      <c r="AQJ403" s="148"/>
      <c r="AQK403" s="148"/>
      <c r="AQL403" s="148"/>
      <c r="AQM403" s="148"/>
      <c r="AQN403" s="148"/>
      <c r="AQO403" s="148"/>
      <c r="AQP403" s="148"/>
      <c r="AQQ403" s="148"/>
      <c r="AQR403" s="148"/>
      <c r="AQS403" s="148"/>
      <c r="AQT403" s="148"/>
      <c r="AQU403" s="148"/>
      <c r="AQV403" s="148"/>
      <c r="AQW403" s="148"/>
      <c r="AQX403" s="148"/>
      <c r="AQY403" s="148"/>
      <c r="AQZ403" s="148"/>
      <c r="ARA403" s="148"/>
      <c r="ARB403" s="148"/>
      <c r="ARC403" s="148"/>
      <c r="ARD403" s="148"/>
      <c r="ARE403" s="148"/>
      <c r="ARF403" s="148"/>
      <c r="ARG403" s="148"/>
      <c r="ARH403" s="148"/>
      <c r="ARI403" s="148"/>
      <c r="ARJ403" s="148"/>
      <c r="ARK403" s="148"/>
      <c r="ARL403" s="148"/>
      <c r="ARM403" s="148"/>
      <c r="ARN403" s="148"/>
      <c r="ARO403" s="148"/>
      <c r="ARP403" s="148"/>
      <c r="ARQ403" s="148"/>
      <c r="ARR403" s="148"/>
      <c r="ARS403" s="148"/>
      <c r="ART403" s="148"/>
      <c r="ARU403" s="148"/>
      <c r="ARV403" s="148"/>
      <c r="ARW403" s="148"/>
      <c r="ARX403" s="148"/>
      <c r="ARY403" s="148"/>
      <c r="ARZ403" s="148"/>
      <c r="ASA403" s="148"/>
      <c r="ASB403" s="148"/>
      <c r="ASC403" s="148"/>
      <c r="ASD403" s="148"/>
      <c r="ASE403" s="148"/>
      <c r="ASF403" s="148"/>
      <c r="ASG403" s="148"/>
      <c r="ASH403" s="148"/>
      <c r="ASI403" s="148"/>
      <c r="ASJ403" s="148"/>
      <c r="ASK403" s="148"/>
      <c r="ASL403" s="148"/>
      <c r="ASM403" s="148"/>
      <c r="ASN403" s="148"/>
      <c r="ASO403" s="148"/>
      <c r="ASP403" s="148"/>
      <c r="ASQ403" s="148"/>
      <c r="ASR403" s="148"/>
      <c r="ASS403" s="148"/>
      <c r="AST403" s="148"/>
      <c r="ASU403" s="148"/>
      <c r="ASV403" s="148"/>
      <c r="ASW403" s="148"/>
      <c r="ASX403" s="148"/>
      <c r="ASY403" s="148"/>
      <c r="ASZ403" s="148"/>
      <c r="ATA403" s="148"/>
      <c r="ATB403" s="148"/>
      <c r="ATC403" s="148"/>
      <c r="ATD403" s="148"/>
      <c r="ATE403" s="148"/>
      <c r="ATF403" s="148"/>
      <c r="ATG403" s="148"/>
      <c r="ATH403" s="148"/>
      <c r="ATI403" s="148"/>
      <c r="ATJ403" s="148"/>
      <c r="ATK403" s="148"/>
      <c r="ATL403" s="148"/>
      <c r="ATM403" s="148"/>
      <c r="ATN403" s="148"/>
      <c r="ATO403" s="148"/>
      <c r="ATP403" s="148"/>
      <c r="ATQ403" s="148"/>
      <c r="ATR403" s="148"/>
      <c r="ATS403" s="148"/>
      <c r="ATT403" s="148"/>
      <c r="ATU403" s="148"/>
      <c r="ATV403" s="148"/>
      <c r="ATW403" s="148"/>
      <c r="ATX403" s="148"/>
      <c r="ATY403" s="148"/>
      <c r="ATZ403" s="148"/>
      <c r="AUA403" s="148"/>
      <c r="AUB403" s="148"/>
      <c r="AUC403" s="148"/>
      <c r="AUD403" s="148"/>
      <c r="AUE403" s="148"/>
      <c r="AUF403" s="148"/>
      <c r="AUG403" s="148"/>
      <c r="AUH403" s="148"/>
      <c r="AUI403" s="148"/>
      <c r="AUJ403" s="148"/>
      <c r="AUK403" s="148"/>
      <c r="AUL403" s="148"/>
      <c r="AUM403" s="148"/>
      <c r="AUN403" s="148"/>
      <c r="AUO403" s="148"/>
      <c r="AUP403" s="148"/>
      <c r="AUQ403" s="148"/>
      <c r="AUR403" s="148"/>
      <c r="AUS403" s="148"/>
      <c r="AUT403" s="148"/>
      <c r="AUU403" s="148"/>
      <c r="AUV403" s="148"/>
      <c r="AUW403" s="148"/>
      <c r="AUX403" s="148"/>
      <c r="AUY403" s="148"/>
      <c r="AUZ403" s="148"/>
      <c r="AVA403" s="148"/>
      <c r="AVB403" s="148"/>
      <c r="AVC403" s="148"/>
      <c r="AVD403" s="148"/>
      <c r="AVE403" s="148"/>
      <c r="AVF403" s="148"/>
      <c r="AVG403" s="148"/>
      <c r="AVH403" s="148"/>
      <c r="AVI403" s="148"/>
      <c r="AVJ403" s="148"/>
      <c r="AVK403" s="148"/>
      <c r="AVL403" s="148"/>
      <c r="AVM403" s="148"/>
      <c r="AVN403" s="148"/>
      <c r="AVO403" s="148"/>
      <c r="AVP403" s="148"/>
      <c r="AVQ403" s="148"/>
      <c r="AVR403" s="148"/>
      <c r="AVS403" s="148"/>
      <c r="AVT403" s="148"/>
      <c r="AVU403" s="148"/>
      <c r="AVV403" s="148"/>
      <c r="AVW403" s="148"/>
      <c r="AVX403" s="148"/>
      <c r="AVY403" s="148"/>
      <c r="AVZ403" s="148"/>
      <c r="AWA403" s="148"/>
      <c r="AWB403" s="148"/>
      <c r="AWC403" s="148"/>
      <c r="AWD403" s="148"/>
      <c r="AWE403" s="148"/>
      <c r="AWF403" s="148"/>
      <c r="AWG403" s="148"/>
      <c r="AWH403" s="148"/>
      <c r="AWI403" s="148"/>
      <c r="AWJ403" s="148"/>
      <c r="AWK403" s="148"/>
      <c r="AWL403" s="148"/>
      <c r="AWM403" s="148"/>
      <c r="AWN403" s="148"/>
      <c r="AWO403" s="148"/>
      <c r="AWP403" s="148"/>
      <c r="AWQ403" s="148"/>
      <c r="AWR403" s="148"/>
      <c r="AWS403" s="148"/>
      <c r="AWT403" s="148"/>
      <c r="AWU403" s="148"/>
      <c r="AWV403" s="148"/>
      <c r="AWW403" s="148"/>
      <c r="AWX403" s="148"/>
      <c r="AWY403" s="148"/>
      <c r="AWZ403" s="148"/>
      <c r="AXA403" s="148"/>
      <c r="AXB403" s="148"/>
      <c r="AXC403" s="148"/>
      <c r="AXD403" s="148"/>
      <c r="AXE403" s="148"/>
      <c r="AXF403" s="148"/>
      <c r="AXG403" s="148"/>
      <c r="AXH403" s="148"/>
      <c r="AXI403" s="148"/>
      <c r="AXJ403" s="148"/>
      <c r="AXK403" s="148"/>
      <c r="AXL403" s="148"/>
      <c r="AXM403" s="148"/>
      <c r="AXN403" s="148"/>
      <c r="AXO403" s="148"/>
      <c r="AXP403" s="148"/>
      <c r="AXQ403" s="148"/>
      <c r="AXR403" s="148"/>
      <c r="AXS403" s="148"/>
      <c r="AXT403" s="148"/>
      <c r="AXU403" s="148"/>
      <c r="AXV403" s="148"/>
      <c r="AXW403" s="148"/>
      <c r="AXX403" s="148"/>
      <c r="AXY403" s="148"/>
      <c r="AXZ403" s="148"/>
      <c r="AYA403" s="148"/>
      <c r="AYB403" s="148"/>
      <c r="AYC403" s="148"/>
      <c r="AYD403" s="148"/>
      <c r="AYE403" s="148"/>
      <c r="AYF403" s="148"/>
      <c r="AYG403" s="148"/>
      <c r="AYH403" s="148"/>
      <c r="AYI403" s="148"/>
      <c r="AYJ403" s="148"/>
      <c r="AYK403" s="148"/>
      <c r="AYL403" s="148"/>
      <c r="AYM403" s="148"/>
      <c r="AYN403" s="148"/>
      <c r="AYO403" s="148"/>
      <c r="AYP403" s="148"/>
      <c r="AYQ403" s="148"/>
      <c r="AYR403" s="148"/>
      <c r="AYS403" s="148"/>
      <c r="AYT403" s="148"/>
      <c r="AYU403" s="148"/>
      <c r="AYV403" s="148"/>
      <c r="AYW403" s="148"/>
      <c r="AYX403" s="148"/>
      <c r="AYY403" s="148"/>
      <c r="AYZ403" s="148"/>
      <c r="AZA403" s="148"/>
      <c r="AZB403" s="148"/>
      <c r="AZC403" s="148"/>
      <c r="AZD403" s="148"/>
      <c r="AZE403" s="148"/>
      <c r="AZF403" s="148"/>
      <c r="AZG403" s="148"/>
      <c r="AZH403" s="148"/>
      <c r="AZI403" s="148"/>
      <c r="AZJ403" s="148"/>
      <c r="AZK403" s="148"/>
      <c r="AZL403" s="148"/>
      <c r="AZM403" s="148"/>
      <c r="AZN403" s="148"/>
      <c r="AZO403" s="148"/>
      <c r="AZP403" s="148"/>
      <c r="AZQ403" s="148"/>
      <c r="AZR403" s="148"/>
      <c r="AZS403" s="148"/>
      <c r="AZT403" s="148"/>
      <c r="AZU403" s="148"/>
      <c r="AZV403" s="148"/>
      <c r="AZW403" s="148"/>
      <c r="AZX403" s="148"/>
      <c r="AZY403" s="148"/>
      <c r="AZZ403" s="148"/>
      <c r="BAA403" s="148"/>
      <c r="BAB403" s="148"/>
      <c r="BAC403" s="148"/>
      <c r="BAD403" s="148"/>
      <c r="BAE403" s="148"/>
      <c r="BAF403" s="148"/>
      <c r="BAG403" s="148"/>
      <c r="BAH403" s="148"/>
      <c r="BAI403" s="148"/>
      <c r="BAJ403" s="148"/>
      <c r="BAK403" s="148"/>
      <c r="BAL403" s="148"/>
      <c r="BAM403" s="148"/>
      <c r="BAN403" s="148"/>
      <c r="BAO403" s="148"/>
      <c r="BAP403" s="148"/>
      <c r="BAQ403" s="148"/>
      <c r="BAR403" s="148"/>
      <c r="BAS403" s="148"/>
      <c r="BAT403" s="148"/>
      <c r="BAU403" s="148"/>
      <c r="BAV403" s="148"/>
      <c r="BAW403" s="148"/>
      <c r="BAX403" s="148"/>
      <c r="BAY403" s="148"/>
      <c r="BAZ403" s="148"/>
      <c r="BBA403" s="148"/>
      <c r="BBB403" s="148"/>
      <c r="BBC403" s="148"/>
      <c r="BBD403" s="148"/>
      <c r="BBE403" s="148"/>
      <c r="BBF403" s="148"/>
      <c r="BBG403" s="148"/>
      <c r="BBH403" s="148"/>
      <c r="BBI403" s="148"/>
      <c r="BBJ403" s="148"/>
      <c r="BBK403" s="148"/>
      <c r="BBL403" s="148"/>
      <c r="BBM403" s="148"/>
      <c r="BBN403" s="148"/>
      <c r="BBO403" s="148"/>
      <c r="BBP403" s="148"/>
      <c r="BBQ403" s="148"/>
      <c r="BBR403" s="148"/>
      <c r="BBS403" s="148"/>
      <c r="BBT403" s="148"/>
      <c r="BBU403" s="148"/>
      <c r="BBV403" s="148"/>
      <c r="BBW403" s="148"/>
      <c r="BBX403" s="148"/>
      <c r="BBY403" s="148"/>
      <c r="BBZ403" s="148"/>
      <c r="BCA403" s="148"/>
      <c r="BCB403" s="148"/>
      <c r="BCC403" s="148"/>
      <c r="BCD403" s="148"/>
      <c r="BCE403" s="148"/>
      <c r="BCF403" s="148"/>
      <c r="BCG403" s="148"/>
      <c r="BCH403" s="148"/>
      <c r="BCI403" s="148"/>
      <c r="BCJ403" s="148"/>
      <c r="BCK403" s="148"/>
      <c r="BCL403" s="148"/>
      <c r="BCM403" s="148"/>
      <c r="BCN403" s="148"/>
      <c r="BCO403" s="148"/>
      <c r="BCP403" s="148"/>
      <c r="BCQ403" s="148"/>
      <c r="BCR403" s="148"/>
      <c r="BCS403" s="148"/>
      <c r="BCT403" s="148"/>
      <c r="BCU403" s="148"/>
      <c r="BCV403" s="148"/>
      <c r="BCW403" s="148"/>
      <c r="BCX403" s="148"/>
      <c r="BCY403" s="148"/>
      <c r="BCZ403" s="148"/>
      <c r="BDA403" s="148"/>
      <c r="BDB403" s="148"/>
      <c r="BDC403" s="148"/>
      <c r="BDD403" s="148"/>
      <c r="BDE403" s="148"/>
      <c r="BDF403" s="148"/>
      <c r="BDG403" s="148"/>
      <c r="BDH403" s="148"/>
      <c r="BDI403" s="148"/>
      <c r="BDJ403" s="148"/>
      <c r="BDK403" s="148"/>
      <c r="BDL403" s="148"/>
      <c r="BDM403" s="148"/>
      <c r="BDN403" s="148"/>
      <c r="BDO403" s="148"/>
      <c r="BDP403" s="148"/>
      <c r="BDQ403" s="148"/>
      <c r="BDR403" s="148"/>
      <c r="BDS403" s="148"/>
      <c r="BDT403" s="148"/>
      <c r="BDU403" s="148"/>
      <c r="BDV403" s="148"/>
      <c r="BDW403" s="148"/>
      <c r="BDX403" s="148"/>
      <c r="BDY403" s="148"/>
      <c r="BDZ403" s="148"/>
      <c r="BEA403" s="148"/>
      <c r="BEB403" s="148"/>
      <c r="BEC403" s="148"/>
      <c r="BED403" s="148"/>
      <c r="BEE403" s="148"/>
      <c r="BEF403" s="148"/>
      <c r="BEG403" s="148"/>
      <c r="BEH403" s="148"/>
      <c r="BEI403" s="148"/>
      <c r="BEJ403" s="148"/>
      <c r="BEK403" s="148"/>
      <c r="BEL403" s="148"/>
      <c r="BEM403" s="148"/>
      <c r="BEN403" s="148"/>
      <c r="BEO403" s="148"/>
      <c r="BEP403" s="148"/>
      <c r="BEQ403" s="148"/>
      <c r="BER403" s="148"/>
      <c r="BES403" s="148"/>
      <c r="BET403" s="148"/>
      <c r="BEU403" s="148"/>
      <c r="BEV403" s="148"/>
      <c r="BEW403" s="148"/>
      <c r="BEX403" s="148"/>
      <c r="BEY403" s="148"/>
      <c r="BEZ403" s="148"/>
      <c r="BFA403" s="148"/>
      <c r="BFB403" s="148"/>
      <c r="BFC403" s="148"/>
      <c r="BFD403" s="148"/>
      <c r="BFE403" s="148"/>
      <c r="BFF403" s="148"/>
      <c r="BFG403" s="148"/>
      <c r="BFH403" s="148"/>
      <c r="BFI403" s="148"/>
      <c r="BFJ403" s="148"/>
      <c r="BFK403" s="148"/>
      <c r="BFL403" s="148"/>
      <c r="BFM403" s="148"/>
      <c r="BFN403" s="148"/>
      <c r="BFO403" s="148"/>
      <c r="BFP403" s="148"/>
      <c r="BFQ403" s="148"/>
      <c r="BFR403" s="148"/>
      <c r="BFS403" s="148"/>
      <c r="BFT403" s="148"/>
      <c r="BFU403" s="148"/>
      <c r="BFV403" s="148"/>
      <c r="BFW403" s="148"/>
      <c r="BFX403" s="148"/>
      <c r="BFY403" s="148"/>
      <c r="BFZ403" s="148"/>
      <c r="BGA403" s="148"/>
      <c r="BGB403" s="148"/>
      <c r="BGC403" s="148"/>
      <c r="BGD403" s="148"/>
      <c r="BGE403" s="148"/>
      <c r="BGF403" s="148"/>
      <c r="BGG403" s="148"/>
      <c r="BGH403" s="148"/>
      <c r="BGI403" s="148"/>
      <c r="BGJ403" s="148"/>
      <c r="BGK403" s="148"/>
      <c r="BGL403" s="148"/>
      <c r="BGM403" s="148"/>
      <c r="BGN403" s="148"/>
      <c r="BGO403" s="148"/>
      <c r="BGP403" s="148"/>
      <c r="BGQ403" s="148"/>
      <c r="BGR403" s="148"/>
      <c r="BGS403" s="148"/>
      <c r="BGT403" s="148"/>
      <c r="BGU403" s="148"/>
      <c r="BGV403" s="148"/>
      <c r="BGW403" s="148"/>
      <c r="BGX403" s="148"/>
      <c r="BGY403" s="148"/>
      <c r="BGZ403" s="148"/>
      <c r="BHA403" s="148"/>
      <c r="BHB403" s="148"/>
      <c r="BHC403" s="148"/>
      <c r="BHD403" s="148"/>
      <c r="BHE403" s="148"/>
      <c r="BHF403" s="148"/>
      <c r="BHG403" s="148"/>
      <c r="BHH403" s="148"/>
      <c r="BHI403" s="148"/>
      <c r="BHJ403" s="148"/>
      <c r="BHK403" s="148"/>
      <c r="BHL403" s="148"/>
      <c r="BHM403" s="148"/>
      <c r="BHN403" s="148"/>
      <c r="BHO403" s="148"/>
      <c r="BHP403" s="148"/>
      <c r="BHQ403" s="148"/>
      <c r="BHR403" s="148"/>
      <c r="BHS403" s="148"/>
      <c r="BHT403" s="148"/>
      <c r="BHU403" s="148"/>
      <c r="BHV403" s="148"/>
      <c r="BHW403" s="148"/>
      <c r="BHX403" s="148"/>
      <c r="BHY403" s="148"/>
      <c r="BHZ403" s="148"/>
      <c r="BIA403" s="148"/>
      <c r="BIB403" s="148"/>
      <c r="BIC403" s="148"/>
      <c r="BID403" s="148"/>
      <c r="BIE403" s="148"/>
      <c r="BIF403" s="148"/>
      <c r="BIG403" s="148"/>
      <c r="BIH403" s="148"/>
      <c r="BII403" s="148"/>
      <c r="BIJ403" s="148"/>
      <c r="BIK403" s="148"/>
      <c r="BIL403" s="148"/>
      <c r="BIM403" s="148"/>
      <c r="BIN403" s="148"/>
      <c r="BIO403" s="148"/>
      <c r="BIP403" s="148"/>
      <c r="BIQ403" s="148"/>
      <c r="BIR403" s="148"/>
      <c r="BIS403" s="148"/>
      <c r="BIT403" s="148"/>
      <c r="BIU403" s="148"/>
      <c r="BIV403" s="148"/>
      <c r="BIW403" s="148"/>
      <c r="BIX403" s="148"/>
      <c r="BIY403" s="148"/>
      <c r="BIZ403" s="148"/>
      <c r="BJA403" s="148"/>
      <c r="BJB403" s="148"/>
      <c r="BJC403" s="148"/>
      <c r="BJD403" s="148"/>
      <c r="BJE403" s="148"/>
      <c r="BJF403" s="148"/>
      <c r="BJG403" s="148"/>
      <c r="BJH403" s="148"/>
      <c r="BJI403" s="148"/>
      <c r="BJJ403" s="148"/>
      <c r="BJK403" s="148"/>
      <c r="BJL403" s="148"/>
      <c r="BJM403" s="148"/>
      <c r="BJN403" s="148"/>
      <c r="BJO403" s="148"/>
      <c r="BJP403" s="148"/>
      <c r="BJQ403" s="148"/>
      <c r="BJR403" s="148"/>
      <c r="BJS403" s="148"/>
      <c r="BJT403" s="148"/>
      <c r="BJU403" s="148"/>
      <c r="BJV403" s="148"/>
      <c r="BJW403" s="148"/>
      <c r="BJX403" s="148"/>
      <c r="BJY403" s="148"/>
      <c r="BJZ403" s="148"/>
      <c r="BKA403" s="148"/>
      <c r="BKB403" s="148"/>
      <c r="BKC403" s="148"/>
      <c r="BKD403" s="148"/>
      <c r="BKE403" s="148"/>
      <c r="BKF403" s="148"/>
      <c r="BKG403" s="148"/>
      <c r="BKH403" s="148"/>
      <c r="BKI403" s="148"/>
      <c r="BKJ403" s="148"/>
      <c r="BKK403" s="148"/>
      <c r="BKL403" s="148"/>
      <c r="BKM403" s="148"/>
      <c r="BKN403" s="148"/>
      <c r="BKO403" s="148"/>
      <c r="BKP403" s="148"/>
      <c r="BKQ403" s="148"/>
      <c r="BKR403" s="148"/>
      <c r="BKS403" s="148"/>
      <c r="BKT403" s="148"/>
      <c r="BKU403" s="148"/>
      <c r="BKV403" s="148"/>
      <c r="BKW403" s="148"/>
      <c r="BKX403" s="148"/>
      <c r="BKY403" s="148"/>
      <c r="BKZ403" s="148"/>
      <c r="BLA403" s="148"/>
      <c r="BLB403" s="148"/>
      <c r="BLC403" s="148"/>
      <c r="BLD403" s="148"/>
      <c r="BLE403" s="148"/>
      <c r="BLF403" s="148"/>
      <c r="BLG403" s="148"/>
      <c r="BLH403" s="148"/>
      <c r="BLI403" s="148"/>
      <c r="BLJ403" s="148"/>
      <c r="BLK403" s="148"/>
      <c r="BLL403" s="148"/>
      <c r="BLM403" s="148"/>
      <c r="BLN403" s="148"/>
      <c r="BLO403" s="148"/>
      <c r="BLP403" s="148"/>
      <c r="BLQ403" s="148"/>
      <c r="BLR403" s="148"/>
      <c r="BLS403" s="148"/>
      <c r="BLT403" s="148"/>
      <c r="BLU403" s="148"/>
      <c r="BLV403" s="148"/>
      <c r="BLW403" s="148"/>
      <c r="BLX403" s="148"/>
      <c r="BLY403" s="148"/>
      <c r="BLZ403" s="148"/>
      <c r="BMA403" s="148"/>
      <c r="BMB403" s="148"/>
      <c r="BMC403" s="148"/>
      <c r="BMD403" s="148"/>
      <c r="BME403" s="148"/>
      <c r="BMF403" s="148"/>
      <c r="BMG403" s="148"/>
      <c r="BMH403" s="148"/>
      <c r="BMI403" s="148"/>
      <c r="BMJ403" s="148"/>
      <c r="BMK403" s="148"/>
      <c r="BML403" s="148"/>
      <c r="BMM403" s="148"/>
      <c r="BMN403" s="148"/>
      <c r="BMO403" s="148"/>
      <c r="BMP403" s="148"/>
      <c r="BMQ403" s="148"/>
      <c r="BMR403" s="148"/>
      <c r="BMS403" s="148"/>
      <c r="BMT403" s="148"/>
      <c r="BMU403" s="148"/>
      <c r="BMV403" s="148"/>
      <c r="BMW403" s="148"/>
      <c r="BMX403" s="148"/>
      <c r="BMY403" s="148"/>
      <c r="BMZ403" s="148"/>
      <c r="BNA403" s="148"/>
      <c r="BNB403" s="148"/>
      <c r="BNC403" s="148"/>
      <c r="BND403" s="148"/>
      <c r="BNE403" s="148"/>
      <c r="BNF403" s="148"/>
      <c r="BNG403" s="148"/>
      <c r="BNH403" s="148"/>
      <c r="BNI403" s="148"/>
      <c r="BNJ403" s="148"/>
      <c r="BNK403" s="148"/>
      <c r="BNL403" s="148"/>
      <c r="BNM403" s="148"/>
      <c r="BNN403" s="148"/>
      <c r="BNO403" s="148"/>
      <c r="BNP403" s="148"/>
      <c r="BNQ403" s="148"/>
      <c r="BNR403" s="148"/>
      <c r="BNS403" s="148"/>
      <c r="BNT403" s="148"/>
      <c r="BNU403" s="148"/>
      <c r="BNV403" s="148"/>
      <c r="BNW403" s="148"/>
      <c r="BNX403" s="148"/>
      <c r="BNY403" s="148"/>
      <c r="BNZ403" s="148"/>
      <c r="BOA403" s="148"/>
      <c r="BOB403" s="148"/>
      <c r="BOC403" s="148"/>
      <c r="BOD403" s="148"/>
      <c r="BOE403" s="148"/>
      <c r="BOF403" s="148"/>
      <c r="BOG403" s="148"/>
      <c r="BOH403" s="148"/>
      <c r="BOI403" s="148"/>
      <c r="BOJ403" s="148"/>
      <c r="BOK403" s="148"/>
      <c r="BOL403" s="148"/>
      <c r="BOM403" s="148"/>
      <c r="BON403" s="148"/>
      <c r="BOO403" s="148"/>
      <c r="BOP403" s="148"/>
      <c r="BOQ403" s="148"/>
      <c r="BOR403" s="148"/>
      <c r="BOS403" s="148"/>
      <c r="BOT403" s="148"/>
      <c r="BOU403" s="148"/>
      <c r="BOV403" s="148"/>
      <c r="BOW403" s="148"/>
      <c r="BOX403" s="148"/>
      <c r="BOY403" s="148"/>
      <c r="BOZ403" s="148"/>
      <c r="BPA403" s="148"/>
      <c r="BPB403" s="148"/>
      <c r="BPC403" s="148"/>
      <c r="BPD403" s="148"/>
      <c r="BPE403" s="148"/>
      <c r="BPF403" s="148"/>
      <c r="BPG403" s="148"/>
      <c r="BPH403" s="148"/>
      <c r="BPI403" s="148"/>
      <c r="BPJ403" s="148"/>
      <c r="BPK403" s="148"/>
      <c r="BPL403" s="148"/>
      <c r="BPM403" s="148"/>
      <c r="BPN403" s="148"/>
      <c r="BPO403" s="148"/>
      <c r="BPP403" s="148"/>
      <c r="BPQ403" s="148"/>
      <c r="BPR403" s="148"/>
      <c r="BPS403" s="148"/>
      <c r="BPT403" s="148"/>
      <c r="BPU403" s="148"/>
      <c r="BPV403" s="148"/>
      <c r="BPW403" s="148"/>
      <c r="BPX403" s="148"/>
      <c r="BPY403" s="148"/>
      <c r="BPZ403" s="148"/>
      <c r="BQA403" s="148"/>
      <c r="BQB403" s="148"/>
      <c r="BQC403" s="148"/>
      <c r="BQD403" s="148"/>
      <c r="BQE403" s="148"/>
      <c r="BQF403" s="148"/>
      <c r="BQG403" s="148"/>
      <c r="BQH403" s="148"/>
      <c r="BQI403" s="148"/>
      <c r="BQJ403" s="148"/>
      <c r="BQK403" s="148"/>
      <c r="BQL403" s="148"/>
      <c r="BQM403" s="148"/>
      <c r="BQN403" s="148"/>
      <c r="BQO403" s="148"/>
      <c r="BQP403" s="148"/>
      <c r="BQQ403" s="148"/>
      <c r="BQR403" s="148"/>
      <c r="BQS403" s="148"/>
      <c r="BQT403" s="148"/>
      <c r="BQU403" s="148"/>
      <c r="BQV403" s="148"/>
      <c r="BQW403" s="148"/>
      <c r="BQX403" s="148"/>
      <c r="BQY403" s="148"/>
      <c r="BQZ403" s="148"/>
      <c r="BRA403" s="148"/>
      <c r="BRB403" s="148"/>
      <c r="BRC403" s="148"/>
      <c r="BRD403" s="148"/>
      <c r="BRE403" s="148"/>
      <c r="BRF403" s="148"/>
      <c r="BRG403" s="148"/>
      <c r="BRH403" s="148"/>
      <c r="BRI403" s="148"/>
      <c r="BRJ403" s="148"/>
      <c r="BRK403" s="148"/>
      <c r="BRL403" s="148"/>
      <c r="BRM403" s="148"/>
      <c r="BRN403" s="148"/>
      <c r="BRO403" s="148"/>
      <c r="BRP403" s="148"/>
      <c r="BRQ403" s="148"/>
      <c r="BRR403" s="148"/>
      <c r="BRS403" s="148"/>
      <c r="BRT403" s="148"/>
      <c r="BRU403" s="148"/>
      <c r="BRV403" s="148"/>
      <c r="BRW403" s="148"/>
      <c r="BRX403" s="148"/>
      <c r="BRY403" s="148"/>
      <c r="BRZ403" s="148"/>
      <c r="BSA403" s="148"/>
      <c r="BSB403" s="148"/>
      <c r="BSC403" s="148"/>
      <c r="BSD403" s="148"/>
      <c r="BSE403" s="148"/>
      <c r="BSF403" s="148"/>
      <c r="BSG403" s="148"/>
      <c r="BSH403" s="148"/>
      <c r="BSI403" s="148"/>
      <c r="BSJ403" s="148"/>
      <c r="BSK403" s="148"/>
      <c r="BSL403" s="148"/>
      <c r="BSM403" s="148"/>
      <c r="BSN403" s="148"/>
      <c r="BSO403" s="148"/>
      <c r="BSP403" s="148"/>
      <c r="BSQ403" s="148"/>
      <c r="BSR403" s="148"/>
      <c r="BSS403" s="148"/>
      <c r="BST403" s="148"/>
      <c r="BSU403" s="148"/>
      <c r="BSV403" s="148"/>
      <c r="BSW403" s="148"/>
      <c r="BSX403" s="148"/>
      <c r="BSY403" s="148"/>
      <c r="BSZ403" s="148"/>
      <c r="BTA403" s="148"/>
      <c r="BTB403" s="148"/>
      <c r="BTC403" s="148"/>
      <c r="BTD403" s="148"/>
      <c r="BTE403" s="148"/>
      <c r="BTF403" s="148"/>
      <c r="BTG403" s="148"/>
      <c r="BTH403" s="148"/>
      <c r="BTI403" s="148"/>
      <c r="BTJ403" s="148"/>
      <c r="BTK403" s="148"/>
      <c r="BTL403" s="148"/>
      <c r="BTM403" s="148"/>
      <c r="BTN403" s="148"/>
      <c r="BTO403" s="148"/>
      <c r="BTP403" s="148"/>
      <c r="BTQ403" s="148"/>
      <c r="BTR403" s="148"/>
      <c r="BTS403" s="148"/>
      <c r="BTT403" s="148"/>
      <c r="BTU403" s="148"/>
      <c r="BTV403" s="148"/>
      <c r="BTW403" s="148"/>
      <c r="BTX403" s="148"/>
      <c r="BTY403" s="148"/>
      <c r="BTZ403" s="148"/>
      <c r="BUA403" s="148"/>
      <c r="BUB403" s="148"/>
      <c r="BUC403" s="148"/>
      <c r="BUD403" s="148"/>
      <c r="BUE403" s="148"/>
      <c r="BUF403" s="148"/>
      <c r="BUG403" s="148"/>
      <c r="BUH403" s="148"/>
      <c r="BUI403" s="148"/>
      <c r="BUJ403" s="148"/>
      <c r="BUK403" s="148"/>
      <c r="BUL403" s="148"/>
      <c r="BUM403" s="148"/>
      <c r="BUN403" s="148"/>
      <c r="BUO403" s="148"/>
      <c r="BUP403" s="148"/>
      <c r="BUQ403" s="148"/>
      <c r="BUR403" s="148"/>
      <c r="BUS403" s="148"/>
      <c r="BUT403" s="148"/>
      <c r="BUU403" s="148"/>
      <c r="BUV403" s="148"/>
      <c r="BUW403" s="148"/>
      <c r="BUX403" s="148"/>
      <c r="BUY403" s="148"/>
      <c r="BUZ403" s="148"/>
      <c r="BVA403" s="148"/>
      <c r="BVB403" s="148"/>
      <c r="BVC403" s="148"/>
      <c r="BVD403" s="148"/>
      <c r="BVE403" s="148"/>
      <c r="BVF403" s="148"/>
      <c r="BVG403" s="148"/>
      <c r="BVH403" s="148"/>
      <c r="BVI403" s="148"/>
      <c r="BVJ403" s="148"/>
      <c r="BVK403" s="148"/>
      <c r="BVL403" s="148"/>
      <c r="BVM403" s="148"/>
      <c r="BVN403" s="148"/>
      <c r="BVO403" s="148"/>
      <c r="BVP403" s="148"/>
      <c r="BVQ403" s="148"/>
      <c r="BVR403" s="148"/>
      <c r="BVS403" s="148"/>
      <c r="BVT403" s="148"/>
      <c r="BVU403" s="148"/>
      <c r="BVV403" s="148"/>
      <c r="BVW403" s="148"/>
      <c r="BVX403" s="148"/>
      <c r="BVY403" s="148"/>
      <c r="BVZ403" s="148"/>
      <c r="BWA403" s="148"/>
      <c r="BWB403" s="148"/>
      <c r="BWC403" s="148"/>
      <c r="BWD403" s="148"/>
      <c r="BWE403" s="148"/>
      <c r="BWF403" s="148"/>
      <c r="BWG403" s="148"/>
      <c r="BWH403" s="148"/>
      <c r="BWI403" s="148"/>
      <c r="BWJ403" s="148"/>
      <c r="BWK403" s="148"/>
      <c r="BWL403" s="148"/>
      <c r="BWM403" s="148"/>
      <c r="BWN403" s="148"/>
      <c r="BWO403" s="148"/>
      <c r="BWP403" s="148"/>
      <c r="BWQ403" s="148"/>
      <c r="BWR403" s="148"/>
      <c r="BWS403" s="148"/>
      <c r="BWT403" s="148"/>
      <c r="BWU403" s="148"/>
      <c r="BWV403" s="148"/>
      <c r="BWW403" s="148"/>
      <c r="BWX403" s="148"/>
      <c r="BWY403" s="148"/>
      <c r="BWZ403" s="148"/>
      <c r="BXA403" s="148"/>
      <c r="BXB403" s="148"/>
      <c r="BXC403" s="148"/>
      <c r="BXD403" s="148"/>
      <c r="BXE403" s="148"/>
      <c r="BXF403" s="148"/>
      <c r="BXG403" s="148"/>
      <c r="BXH403" s="148"/>
      <c r="BXI403" s="148"/>
      <c r="BXJ403" s="148"/>
      <c r="BXK403" s="148"/>
      <c r="BXL403" s="148"/>
      <c r="BXM403" s="148"/>
      <c r="BXN403" s="148"/>
      <c r="BXO403" s="148"/>
      <c r="BXP403" s="148"/>
      <c r="BXQ403" s="148"/>
      <c r="BXR403" s="148"/>
      <c r="BXS403" s="148"/>
      <c r="BXT403" s="148"/>
      <c r="BXU403" s="148"/>
      <c r="BXV403" s="148"/>
      <c r="BXW403" s="148"/>
      <c r="BXX403" s="148"/>
      <c r="BXY403" s="148"/>
      <c r="BXZ403" s="148"/>
      <c r="BYA403" s="148"/>
      <c r="BYB403" s="148"/>
      <c r="BYC403" s="148"/>
      <c r="BYD403" s="148"/>
      <c r="BYE403" s="148"/>
      <c r="BYF403" s="148"/>
      <c r="BYG403" s="148"/>
      <c r="BYH403" s="148"/>
      <c r="BYI403" s="148"/>
      <c r="BYJ403" s="148"/>
      <c r="BYK403" s="148"/>
      <c r="BYL403" s="148"/>
      <c r="BYM403" s="148"/>
      <c r="BYN403" s="148"/>
      <c r="BYO403" s="148"/>
      <c r="BYP403" s="148"/>
      <c r="BYQ403" s="148"/>
      <c r="BYR403" s="148"/>
      <c r="BYS403" s="148"/>
      <c r="BYT403" s="148"/>
      <c r="BYU403" s="148"/>
      <c r="BYV403" s="148"/>
      <c r="BYW403" s="148"/>
      <c r="BYX403" s="148"/>
      <c r="BYY403" s="148"/>
      <c r="BYZ403" s="148"/>
      <c r="BZA403" s="148"/>
      <c r="BZB403" s="148"/>
      <c r="BZC403" s="148"/>
      <c r="BZD403" s="148"/>
      <c r="BZE403" s="148"/>
      <c r="BZF403" s="148"/>
      <c r="BZG403" s="148"/>
      <c r="BZH403" s="148"/>
      <c r="BZI403" s="148"/>
      <c r="BZJ403" s="148"/>
      <c r="BZK403" s="148"/>
      <c r="BZL403" s="148"/>
      <c r="BZM403" s="148"/>
      <c r="BZN403" s="148"/>
      <c r="BZO403" s="148"/>
      <c r="BZP403" s="148"/>
      <c r="BZQ403" s="148"/>
      <c r="BZR403" s="148"/>
      <c r="BZS403" s="148"/>
      <c r="BZT403" s="148"/>
      <c r="BZU403" s="148"/>
      <c r="BZV403" s="148"/>
      <c r="BZW403" s="148"/>
      <c r="BZX403" s="148"/>
      <c r="BZY403" s="148"/>
      <c r="BZZ403" s="148"/>
      <c r="CAA403" s="148"/>
      <c r="CAB403" s="148"/>
      <c r="CAC403" s="148"/>
      <c r="CAD403" s="148"/>
      <c r="CAE403" s="148"/>
      <c r="CAF403" s="148"/>
      <c r="CAG403" s="148"/>
      <c r="CAH403" s="148"/>
      <c r="CAI403" s="148"/>
      <c r="CAJ403" s="148"/>
      <c r="CAK403" s="148"/>
      <c r="CAL403" s="148"/>
      <c r="CAM403" s="148"/>
      <c r="CAN403" s="148"/>
      <c r="CAO403" s="148"/>
      <c r="CAP403" s="148"/>
      <c r="CAQ403" s="148"/>
      <c r="CAR403" s="148"/>
      <c r="CAS403" s="148"/>
      <c r="CAT403" s="148"/>
      <c r="CAU403" s="148"/>
      <c r="CAV403" s="148"/>
      <c r="CAW403" s="148"/>
      <c r="CAX403" s="148"/>
      <c r="CAY403" s="148"/>
      <c r="CAZ403" s="148"/>
      <c r="CBA403" s="148"/>
      <c r="CBB403" s="148"/>
      <c r="CBC403" s="148"/>
      <c r="CBD403" s="148"/>
      <c r="CBE403" s="148"/>
      <c r="CBF403" s="148"/>
      <c r="CBG403" s="148"/>
      <c r="CBH403" s="148"/>
      <c r="CBI403" s="148"/>
      <c r="CBJ403" s="148"/>
      <c r="CBK403" s="148"/>
      <c r="CBL403" s="148"/>
      <c r="CBM403" s="148"/>
      <c r="CBN403" s="148"/>
      <c r="CBO403" s="148"/>
      <c r="CBP403" s="148"/>
      <c r="CBQ403" s="148"/>
      <c r="CBR403" s="148"/>
      <c r="CBS403" s="148"/>
      <c r="CBT403" s="148"/>
      <c r="CBU403" s="148"/>
      <c r="CBV403" s="148"/>
      <c r="CBW403" s="148"/>
      <c r="CBX403" s="148"/>
      <c r="CBY403" s="148"/>
      <c r="CBZ403" s="148"/>
      <c r="CCA403" s="148"/>
      <c r="CCB403" s="148"/>
      <c r="CCC403" s="148"/>
      <c r="CCD403" s="148"/>
      <c r="CCE403" s="148"/>
      <c r="CCF403" s="148"/>
      <c r="CCG403" s="148"/>
      <c r="CCH403" s="148"/>
      <c r="CCI403" s="148"/>
      <c r="CCJ403" s="148"/>
      <c r="CCK403" s="148"/>
      <c r="CCL403" s="148"/>
      <c r="CCM403" s="148"/>
      <c r="CCN403" s="148"/>
      <c r="CCO403" s="148"/>
      <c r="CCP403" s="148"/>
      <c r="CCQ403" s="148"/>
      <c r="CCR403" s="148"/>
      <c r="CCS403" s="148"/>
      <c r="CCT403" s="148"/>
      <c r="CCU403" s="148"/>
      <c r="CCV403" s="148"/>
      <c r="CCW403" s="148"/>
      <c r="CCX403" s="148"/>
      <c r="CCY403" s="148"/>
      <c r="CCZ403" s="148"/>
      <c r="CDA403" s="148"/>
      <c r="CDB403" s="148"/>
      <c r="CDC403" s="148"/>
      <c r="CDD403" s="148"/>
      <c r="CDE403" s="148"/>
      <c r="CDF403" s="148"/>
      <c r="CDG403" s="148"/>
      <c r="CDH403" s="148"/>
      <c r="CDI403" s="148"/>
      <c r="CDJ403" s="148"/>
      <c r="CDK403" s="148"/>
      <c r="CDL403" s="148"/>
      <c r="CDM403" s="148"/>
      <c r="CDN403" s="148"/>
      <c r="CDO403" s="148"/>
      <c r="CDP403" s="148"/>
      <c r="CDQ403" s="148"/>
      <c r="CDR403" s="148"/>
      <c r="CDS403" s="148"/>
      <c r="CDT403" s="148"/>
      <c r="CDU403" s="148"/>
      <c r="CDV403" s="148"/>
      <c r="CDW403" s="148"/>
      <c r="CDX403" s="148"/>
      <c r="CDY403" s="148"/>
      <c r="CDZ403" s="148"/>
      <c r="CEA403" s="148"/>
      <c r="CEB403" s="148"/>
      <c r="CEC403" s="148"/>
      <c r="CED403" s="148"/>
      <c r="CEE403" s="148"/>
      <c r="CEF403" s="148"/>
      <c r="CEG403" s="148"/>
      <c r="CEH403" s="148"/>
      <c r="CEI403" s="148"/>
      <c r="CEJ403" s="148"/>
      <c r="CEK403" s="148"/>
      <c r="CEL403" s="148"/>
      <c r="CEM403" s="148"/>
      <c r="CEN403" s="148"/>
      <c r="CEO403" s="148"/>
      <c r="CEP403" s="148"/>
      <c r="CEQ403" s="148"/>
      <c r="CER403" s="148"/>
      <c r="CES403" s="148"/>
      <c r="CET403" s="148"/>
      <c r="CEU403" s="148"/>
      <c r="CEV403" s="148"/>
      <c r="CEW403" s="148"/>
      <c r="CEX403" s="148"/>
      <c r="CEY403" s="148"/>
      <c r="CEZ403" s="148"/>
      <c r="CFA403" s="148"/>
      <c r="CFB403" s="148"/>
      <c r="CFC403" s="148"/>
      <c r="CFD403" s="148"/>
      <c r="CFE403" s="148"/>
      <c r="CFF403" s="148"/>
      <c r="CFG403" s="148"/>
      <c r="CFH403" s="148"/>
      <c r="CFI403" s="148"/>
      <c r="CFJ403" s="148"/>
      <c r="CFK403" s="148"/>
      <c r="CFL403" s="148"/>
      <c r="CFM403" s="148"/>
      <c r="CFN403" s="148"/>
      <c r="CFO403" s="148"/>
      <c r="CFP403" s="148"/>
      <c r="CFQ403" s="148"/>
      <c r="CFR403" s="148"/>
      <c r="CFS403" s="148"/>
      <c r="CFT403" s="148"/>
      <c r="CFU403" s="148"/>
      <c r="CFV403" s="148"/>
      <c r="CFW403" s="148"/>
      <c r="CFX403" s="148"/>
      <c r="CFY403" s="148"/>
      <c r="CFZ403" s="148"/>
      <c r="CGA403" s="148"/>
      <c r="CGB403" s="148"/>
      <c r="CGC403" s="148"/>
      <c r="CGD403" s="148"/>
      <c r="CGE403" s="148"/>
      <c r="CGF403" s="148"/>
      <c r="CGG403" s="148"/>
      <c r="CGH403" s="148"/>
      <c r="CGI403" s="148"/>
      <c r="CGJ403" s="148"/>
      <c r="CGK403" s="148"/>
      <c r="CGL403" s="148"/>
      <c r="CGM403" s="148"/>
      <c r="CGN403" s="148"/>
      <c r="CGO403" s="148"/>
      <c r="CGP403" s="148"/>
      <c r="CGQ403" s="148"/>
      <c r="CGR403" s="148"/>
      <c r="CGS403" s="148"/>
      <c r="CGT403" s="148"/>
      <c r="CGU403" s="148"/>
      <c r="CGV403" s="148"/>
      <c r="CGW403" s="148"/>
      <c r="CGX403" s="148"/>
      <c r="CGY403" s="148"/>
      <c r="CGZ403" s="148"/>
      <c r="CHA403" s="148"/>
      <c r="CHB403" s="148"/>
      <c r="CHC403" s="148"/>
      <c r="CHD403" s="148"/>
      <c r="CHE403" s="148"/>
      <c r="CHF403" s="148"/>
      <c r="CHG403" s="148"/>
      <c r="CHH403" s="148"/>
      <c r="CHI403" s="148"/>
      <c r="CHJ403" s="148"/>
      <c r="CHK403" s="148"/>
      <c r="CHL403" s="148"/>
      <c r="CHM403" s="148"/>
      <c r="CHN403" s="148"/>
      <c r="CHO403" s="148"/>
      <c r="CHP403" s="148"/>
      <c r="CHQ403" s="148"/>
      <c r="CHR403" s="148"/>
      <c r="CHS403" s="148"/>
      <c r="CHT403" s="148"/>
      <c r="CHU403" s="148"/>
      <c r="CHV403" s="148"/>
      <c r="CHW403" s="148"/>
      <c r="CHX403" s="148"/>
      <c r="CHY403" s="148"/>
      <c r="CHZ403" s="148"/>
      <c r="CIA403" s="148"/>
      <c r="CIB403" s="148"/>
      <c r="CIC403" s="148"/>
      <c r="CID403" s="148"/>
      <c r="CIE403" s="148"/>
      <c r="CIF403" s="148"/>
      <c r="CIG403" s="148"/>
      <c r="CIH403" s="148"/>
      <c r="CII403" s="148"/>
      <c r="CIJ403" s="148"/>
      <c r="CIK403" s="148"/>
      <c r="CIL403" s="148"/>
      <c r="CIM403" s="148"/>
      <c r="CIN403" s="148"/>
      <c r="CIO403" s="148"/>
      <c r="CIP403" s="148"/>
      <c r="CIQ403" s="148"/>
      <c r="CIR403" s="148"/>
      <c r="CIS403" s="148"/>
      <c r="CIT403" s="148"/>
      <c r="CIU403" s="148"/>
      <c r="CIV403" s="148"/>
      <c r="CIW403" s="148"/>
      <c r="CIX403" s="148"/>
      <c r="CIY403" s="148"/>
      <c r="CIZ403" s="148"/>
      <c r="CJA403" s="148"/>
      <c r="CJB403" s="148"/>
      <c r="CJC403" s="148"/>
      <c r="CJD403" s="148"/>
      <c r="CJE403" s="148"/>
      <c r="CJF403" s="148"/>
      <c r="CJG403" s="148"/>
      <c r="CJH403" s="148"/>
      <c r="CJI403" s="148"/>
      <c r="CJJ403" s="148"/>
      <c r="CJK403" s="148"/>
      <c r="CJL403" s="148"/>
      <c r="CJM403" s="148"/>
      <c r="CJN403" s="148"/>
      <c r="CJO403" s="148"/>
      <c r="CJP403" s="148"/>
      <c r="CJQ403" s="148"/>
      <c r="CJR403" s="148"/>
      <c r="CJS403" s="148"/>
      <c r="CJT403" s="148"/>
      <c r="CJU403" s="148"/>
      <c r="CJV403" s="148"/>
      <c r="CJW403" s="148"/>
      <c r="CJX403" s="148"/>
      <c r="CJY403" s="148"/>
      <c r="CJZ403" s="148"/>
      <c r="CKA403" s="148"/>
      <c r="CKB403" s="148"/>
      <c r="CKC403" s="148"/>
      <c r="CKD403" s="148"/>
      <c r="CKE403" s="148"/>
      <c r="CKF403" s="148"/>
      <c r="CKG403" s="148"/>
      <c r="CKH403" s="148"/>
      <c r="CKI403" s="148"/>
      <c r="CKJ403" s="148"/>
      <c r="CKK403" s="148"/>
      <c r="CKL403" s="148"/>
      <c r="CKM403" s="148"/>
      <c r="CKN403" s="148"/>
      <c r="CKO403" s="148"/>
      <c r="CKP403" s="148"/>
      <c r="CKQ403" s="148"/>
      <c r="CKR403" s="148"/>
      <c r="CKS403" s="148"/>
      <c r="CKT403" s="148"/>
      <c r="CKU403" s="148"/>
      <c r="CKV403" s="148"/>
      <c r="CKW403" s="148"/>
      <c r="CKX403" s="148"/>
      <c r="CKY403" s="148"/>
      <c r="CKZ403" s="148"/>
      <c r="CLA403" s="148"/>
      <c r="CLB403" s="148"/>
      <c r="CLC403" s="148"/>
      <c r="CLD403" s="148"/>
      <c r="CLE403" s="148"/>
      <c r="CLF403" s="148"/>
      <c r="CLG403" s="148"/>
      <c r="CLH403" s="148"/>
      <c r="CLI403" s="148"/>
      <c r="CLJ403" s="148"/>
      <c r="CLK403" s="148"/>
      <c r="CLL403" s="148"/>
      <c r="CLM403" s="148"/>
      <c r="CLN403" s="148"/>
      <c r="CLO403" s="148"/>
      <c r="CLP403" s="148"/>
      <c r="CLQ403" s="148"/>
      <c r="CLR403" s="148"/>
      <c r="CLS403" s="148"/>
      <c r="CLT403" s="148"/>
      <c r="CLU403" s="148"/>
      <c r="CLV403" s="148"/>
      <c r="CLW403" s="148"/>
      <c r="CLX403" s="148"/>
      <c r="CLY403" s="148"/>
      <c r="CLZ403" s="148"/>
      <c r="CMA403" s="148"/>
      <c r="CMB403" s="148"/>
      <c r="CMC403" s="148"/>
      <c r="CMD403" s="148"/>
      <c r="CME403" s="148"/>
      <c r="CMF403" s="148"/>
      <c r="CMG403" s="148"/>
      <c r="CMH403" s="148"/>
      <c r="CMI403" s="148"/>
      <c r="CMJ403" s="148"/>
      <c r="CMK403" s="148"/>
      <c r="CML403" s="148"/>
      <c r="CMM403" s="148"/>
      <c r="CMN403" s="148"/>
      <c r="CMO403" s="148"/>
      <c r="CMP403" s="148"/>
      <c r="CMQ403" s="148"/>
      <c r="CMR403" s="148"/>
      <c r="CMS403" s="148"/>
      <c r="CMT403" s="148"/>
      <c r="CMU403" s="148"/>
      <c r="CMV403" s="148"/>
      <c r="CMW403" s="148"/>
      <c r="CMX403" s="148"/>
      <c r="CMY403" s="148"/>
      <c r="CMZ403" s="148"/>
      <c r="CNA403" s="148"/>
      <c r="CNB403" s="148"/>
      <c r="CNC403" s="148"/>
      <c r="CND403" s="148"/>
      <c r="CNE403" s="148"/>
      <c r="CNF403" s="148"/>
      <c r="CNG403" s="148"/>
      <c r="CNH403" s="148"/>
      <c r="CNI403" s="148"/>
      <c r="CNJ403" s="148"/>
      <c r="CNK403" s="148"/>
      <c r="CNL403" s="148"/>
      <c r="CNM403" s="148"/>
      <c r="CNN403" s="148"/>
      <c r="CNO403" s="148"/>
      <c r="CNP403" s="148"/>
      <c r="CNQ403" s="148"/>
      <c r="CNR403" s="148"/>
      <c r="CNS403" s="148"/>
      <c r="CNT403" s="148"/>
      <c r="CNU403" s="148"/>
      <c r="CNV403" s="148"/>
      <c r="CNW403" s="148"/>
      <c r="CNX403" s="148"/>
      <c r="CNY403" s="148"/>
      <c r="CNZ403" s="148"/>
      <c r="COA403" s="148"/>
      <c r="COB403" s="148"/>
      <c r="COC403" s="148"/>
      <c r="COD403" s="148"/>
      <c r="COE403" s="148"/>
      <c r="COF403" s="148"/>
      <c r="COG403" s="148"/>
      <c r="COH403" s="148"/>
      <c r="COI403" s="148"/>
      <c r="COJ403" s="148"/>
      <c r="COK403" s="148"/>
      <c r="COL403" s="148"/>
      <c r="COM403" s="148"/>
      <c r="CON403" s="148"/>
      <c r="COO403" s="148"/>
      <c r="COP403" s="148"/>
      <c r="COQ403" s="148"/>
      <c r="COR403" s="148"/>
      <c r="COS403" s="148"/>
      <c r="COT403" s="148"/>
      <c r="COU403" s="148"/>
      <c r="COV403" s="148"/>
      <c r="COW403" s="148"/>
      <c r="COX403" s="148"/>
      <c r="COY403" s="148"/>
      <c r="COZ403" s="148"/>
      <c r="CPA403" s="148"/>
      <c r="CPB403" s="148"/>
      <c r="CPC403" s="148"/>
      <c r="CPD403" s="148"/>
      <c r="CPE403" s="148"/>
      <c r="CPF403" s="148"/>
      <c r="CPG403" s="148"/>
      <c r="CPH403" s="148"/>
      <c r="CPI403" s="148"/>
      <c r="CPJ403" s="148"/>
      <c r="CPK403" s="148"/>
      <c r="CPL403" s="148"/>
      <c r="CPM403" s="148"/>
      <c r="CPN403" s="148"/>
      <c r="CPO403" s="148"/>
      <c r="CPP403" s="148"/>
      <c r="CPQ403" s="148"/>
      <c r="CPR403" s="148"/>
      <c r="CPS403" s="148"/>
      <c r="CPT403" s="148"/>
      <c r="CPU403" s="148"/>
      <c r="CPV403" s="148"/>
      <c r="CPW403" s="148"/>
      <c r="CPX403" s="148"/>
      <c r="CPY403" s="148"/>
      <c r="CPZ403" s="148"/>
      <c r="CQA403" s="148"/>
      <c r="CQB403" s="148"/>
      <c r="CQC403" s="148"/>
      <c r="CQD403" s="148"/>
      <c r="CQE403" s="148"/>
      <c r="CQF403" s="148"/>
      <c r="CQG403" s="148"/>
      <c r="CQH403" s="148"/>
      <c r="CQI403" s="148"/>
      <c r="CQJ403" s="148"/>
      <c r="CQK403" s="148"/>
      <c r="CQL403" s="148"/>
      <c r="CQM403" s="148"/>
      <c r="CQN403" s="148"/>
      <c r="CQO403" s="148"/>
      <c r="CQP403" s="148"/>
      <c r="CQQ403" s="148"/>
      <c r="CQR403" s="148"/>
      <c r="CQS403" s="148"/>
      <c r="CQT403" s="148"/>
      <c r="CQU403" s="148"/>
      <c r="CQV403" s="148"/>
      <c r="CQW403" s="148"/>
      <c r="CQX403" s="148"/>
      <c r="CQY403" s="148"/>
      <c r="CQZ403" s="148"/>
      <c r="CRA403" s="148"/>
      <c r="CRB403" s="148"/>
      <c r="CRC403" s="148"/>
      <c r="CRD403" s="148"/>
      <c r="CRE403" s="148"/>
      <c r="CRF403" s="148"/>
      <c r="CRG403" s="148"/>
      <c r="CRH403" s="148"/>
      <c r="CRI403" s="148"/>
      <c r="CRJ403" s="148"/>
      <c r="CRK403" s="148"/>
      <c r="CRL403" s="148"/>
      <c r="CRM403" s="148"/>
      <c r="CRN403" s="148"/>
      <c r="CRO403" s="148"/>
      <c r="CRP403" s="148"/>
      <c r="CRQ403" s="148"/>
      <c r="CRR403" s="148"/>
      <c r="CRS403" s="148"/>
      <c r="CRT403" s="148"/>
      <c r="CRU403" s="148"/>
      <c r="CRV403" s="148"/>
      <c r="CRW403" s="148"/>
      <c r="CRX403" s="148"/>
      <c r="CRY403" s="148"/>
      <c r="CRZ403" s="148"/>
      <c r="CSA403" s="148"/>
      <c r="CSB403" s="148"/>
      <c r="CSC403" s="148"/>
      <c r="CSD403" s="148"/>
      <c r="CSE403" s="148"/>
      <c r="CSF403" s="148"/>
      <c r="CSG403" s="148"/>
      <c r="CSH403" s="148"/>
      <c r="CSI403" s="148"/>
      <c r="CSJ403" s="148"/>
      <c r="CSK403" s="148"/>
      <c r="CSL403" s="148"/>
      <c r="CSM403" s="148"/>
      <c r="CSN403" s="148"/>
      <c r="CSO403" s="148"/>
      <c r="CSP403" s="148"/>
      <c r="CSQ403" s="148"/>
      <c r="CSR403" s="148"/>
      <c r="CSS403" s="148"/>
      <c r="CST403" s="148"/>
      <c r="CSU403" s="148"/>
      <c r="CSV403" s="148"/>
      <c r="CSW403" s="148"/>
      <c r="CSX403" s="148"/>
      <c r="CSY403" s="148"/>
      <c r="CSZ403" s="148"/>
      <c r="CTA403" s="148"/>
      <c r="CTB403" s="148"/>
      <c r="CTC403" s="148"/>
      <c r="CTD403" s="148"/>
      <c r="CTE403" s="148"/>
      <c r="CTF403" s="148"/>
      <c r="CTG403" s="148"/>
      <c r="CTH403" s="148"/>
      <c r="CTI403" s="148"/>
      <c r="CTJ403" s="148"/>
      <c r="CTK403" s="148"/>
      <c r="CTL403" s="148"/>
      <c r="CTM403" s="148"/>
      <c r="CTN403" s="148"/>
      <c r="CTO403" s="148"/>
      <c r="CTP403" s="148"/>
      <c r="CTQ403" s="148"/>
      <c r="CTR403" s="148"/>
      <c r="CTS403" s="148"/>
      <c r="CTT403" s="148"/>
      <c r="CTU403" s="148"/>
      <c r="CTV403" s="148"/>
      <c r="CTW403" s="148"/>
      <c r="CTX403" s="148"/>
      <c r="CTY403" s="148"/>
      <c r="CTZ403" s="148"/>
      <c r="CUA403" s="148"/>
      <c r="CUB403" s="148"/>
      <c r="CUC403" s="148"/>
      <c r="CUD403" s="148"/>
      <c r="CUE403" s="148"/>
      <c r="CUF403" s="148"/>
      <c r="CUG403" s="148"/>
      <c r="CUH403" s="148"/>
      <c r="CUI403" s="148"/>
      <c r="CUJ403" s="148"/>
      <c r="CUK403" s="148"/>
      <c r="CUL403" s="148"/>
      <c r="CUM403" s="148"/>
      <c r="CUN403" s="148"/>
      <c r="CUO403" s="148"/>
      <c r="CUP403" s="148"/>
      <c r="CUQ403" s="148"/>
      <c r="CUR403" s="148"/>
      <c r="CUS403" s="148"/>
      <c r="CUT403" s="148"/>
      <c r="CUU403" s="148"/>
      <c r="CUV403" s="148"/>
      <c r="CUW403" s="148"/>
      <c r="CUX403" s="148"/>
      <c r="CUY403" s="148"/>
      <c r="CUZ403" s="148"/>
      <c r="CVA403" s="148"/>
      <c r="CVB403" s="148"/>
      <c r="CVC403" s="148"/>
      <c r="CVD403" s="148"/>
      <c r="CVE403" s="148"/>
      <c r="CVF403" s="148"/>
      <c r="CVG403" s="148"/>
      <c r="CVH403" s="148"/>
      <c r="CVI403" s="148"/>
      <c r="CVJ403" s="148"/>
      <c r="CVK403" s="148"/>
      <c r="CVL403" s="148"/>
      <c r="CVM403" s="148"/>
      <c r="CVN403" s="148"/>
      <c r="CVO403" s="148"/>
      <c r="CVP403" s="148"/>
      <c r="CVQ403" s="148"/>
      <c r="CVR403" s="148"/>
      <c r="CVS403" s="148"/>
      <c r="CVT403" s="148"/>
      <c r="CVU403" s="148"/>
      <c r="CVV403" s="148"/>
      <c r="CVW403" s="148"/>
      <c r="CVX403" s="148"/>
      <c r="CVY403" s="148"/>
      <c r="CVZ403" s="148"/>
      <c r="CWA403" s="148"/>
      <c r="CWB403" s="148"/>
      <c r="CWC403" s="148"/>
      <c r="CWD403" s="148"/>
      <c r="CWE403" s="148"/>
      <c r="CWF403" s="148"/>
      <c r="CWG403" s="148"/>
      <c r="CWH403" s="148"/>
      <c r="CWI403" s="148"/>
      <c r="CWJ403" s="148"/>
      <c r="CWK403" s="148"/>
      <c r="CWL403" s="148"/>
      <c r="CWM403" s="148"/>
      <c r="CWN403" s="148"/>
      <c r="CWO403" s="148"/>
      <c r="CWP403" s="148"/>
      <c r="CWQ403" s="148"/>
      <c r="CWR403" s="148"/>
      <c r="CWS403" s="148"/>
      <c r="CWT403" s="148"/>
      <c r="CWU403" s="148"/>
      <c r="CWV403" s="148"/>
      <c r="CWW403" s="148"/>
      <c r="CWX403" s="148"/>
      <c r="CWY403" s="148"/>
      <c r="CWZ403" s="148"/>
      <c r="CXA403" s="148"/>
      <c r="CXB403" s="148"/>
      <c r="CXC403" s="148"/>
      <c r="CXD403" s="148"/>
      <c r="CXE403" s="148"/>
      <c r="CXF403" s="148"/>
      <c r="CXG403" s="148"/>
      <c r="CXH403" s="148"/>
      <c r="CXI403" s="148"/>
      <c r="CXJ403" s="148"/>
      <c r="CXK403" s="148"/>
      <c r="CXL403" s="148"/>
      <c r="CXM403" s="148"/>
      <c r="CXN403" s="148"/>
      <c r="CXO403" s="148"/>
      <c r="CXP403" s="148"/>
      <c r="CXQ403" s="148"/>
      <c r="CXR403" s="148"/>
      <c r="CXS403" s="148"/>
      <c r="CXT403" s="148"/>
      <c r="CXU403" s="148"/>
      <c r="CXV403" s="148"/>
      <c r="CXW403" s="148"/>
      <c r="CXX403" s="148"/>
      <c r="CXY403" s="148"/>
      <c r="CXZ403" s="148"/>
      <c r="CYA403" s="148"/>
      <c r="CYB403" s="148"/>
      <c r="CYC403" s="148"/>
      <c r="CYD403" s="148"/>
      <c r="CYE403" s="148"/>
      <c r="CYF403" s="148"/>
      <c r="CYG403" s="148"/>
      <c r="CYH403" s="148"/>
      <c r="CYI403" s="148"/>
      <c r="CYJ403" s="148"/>
      <c r="CYK403" s="148"/>
      <c r="CYL403" s="148"/>
      <c r="CYM403" s="148"/>
      <c r="CYN403" s="148"/>
      <c r="CYO403" s="148"/>
      <c r="CYP403" s="148"/>
      <c r="CYQ403" s="148"/>
      <c r="CYR403" s="148"/>
      <c r="CYS403" s="148"/>
      <c r="CYT403" s="148"/>
      <c r="CYU403" s="148"/>
      <c r="CYV403" s="148"/>
      <c r="CYW403" s="148"/>
      <c r="CYX403" s="148"/>
      <c r="CYY403" s="148"/>
      <c r="CYZ403" s="148"/>
      <c r="CZA403" s="148"/>
      <c r="CZB403" s="148"/>
      <c r="CZC403" s="148"/>
      <c r="CZD403" s="148"/>
      <c r="CZE403" s="148"/>
      <c r="CZF403" s="148"/>
      <c r="CZG403" s="148"/>
      <c r="CZH403" s="148"/>
      <c r="CZI403" s="148"/>
      <c r="CZJ403" s="148"/>
      <c r="CZK403" s="148"/>
      <c r="CZL403" s="148"/>
      <c r="CZM403" s="148"/>
      <c r="CZN403" s="148"/>
      <c r="CZO403" s="148"/>
      <c r="CZP403" s="148"/>
      <c r="CZQ403" s="148"/>
      <c r="CZR403" s="148"/>
      <c r="CZS403" s="148"/>
      <c r="CZT403" s="148"/>
      <c r="CZU403" s="148"/>
      <c r="CZV403" s="148"/>
      <c r="CZW403" s="148"/>
      <c r="CZX403" s="148"/>
      <c r="CZY403" s="148"/>
      <c r="CZZ403" s="148"/>
      <c r="DAA403" s="148"/>
      <c r="DAB403" s="148"/>
      <c r="DAC403" s="148"/>
      <c r="DAD403" s="148"/>
      <c r="DAE403" s="148"/>
      <c r="DAF403" s="148"/>
      <c r="DAG403" s="148"/>
      <c r="DAH403" s="148"/>
      <c r="DAI403" s="148"/>
      <c r="DAJ403" s="148"/>
      <c r="DAK403" s="148"/>
      <c r="DAL403" s="148"/>
      <c r="DAM403" s="148"/>
      <c r="DAN403" s="148"/>
      <c r="DAO403" s="148"/>
      <c r="DAP403" s="148"/>
      <c r="DAQ403" s="148"/>
      <c r="DAR403" s="148"/>
      <c r="DAS403" s="148"/>
      <c r="DAT403" s="148"/>
      <c r="DAU403" s="148"/>
      <c r="DAV403" s="148"/>
      <c r="DAW403" s="148"/>
      <c r="DAX403" s="148"/>
      <c r="DAY403" s="148"/>
      <c r="DAZ403" s="148"/>
      <c r="DBA403" s="148"/>
      <c r="DBB403" s="148"/>
      <c r="DBC403" s="148"/>
      <c r="DBD403" s="148"/>
      <c r="DBE403" s="148"/>
      <c r="DBF403" s="148"/>
      <c r="DBG403" s="148"/>
      <c r="DBH403" s="148"/>
      <c r="DBI403" s="148"/>
      <c r="DBJ403" s="148"/>
      <c r="DBK403" s="148"/>
      <c r="DBL403" s="148"/>
      <c r="DBM403" s="148"/>
      <c r="DBN403" s="148"/>
      <c r="DBO403" s="148"/>
      <c r="DBP403" s="148"/>
      <c r="DBQ403" s="148"/>
      <c r="DBR403" s="148"/>
      <c r="DBS403" s="148"/>
      <c r="DBT403" s="148"/>
      <c r="DBU403" s="148"/>
      <c r="DBV403" s="148"/>
      <c r="DBW403" s="148"/>
      <c r="DBX403" s="148"/>
      <c r="DBY403" s="148"/>
      <c r="DBZ403" s="148"/>
      <c r="DCA403" s="148"/>
      <c r="DCB403" s="148"/>
      <c r="DCC403" s="148"/>
      <c r="DCD403" s="148"/>
      <c r="DCE403" s="148"/>
      <c r="DCF403" s="148"/>
      <c r="DCG403" s="148"/>
      <c r="DCH403" s="148"/>
      <c r="DCI403" s="148"/>
      <c r="DCJ403" s="148"/>
      <c r="DCK403" s="148"/>
      <c r="DCL403" s="148"/>
      <c r="DCM403" s="148"/>
      <c r="DCN403" s="148"/>
      <c r="DCO403" s="148"/>
      <c r="DCP403" s="148"/>
      <c r="DCQ403" s="148"/>
      <c r="DCR403" s="148"/>
      <c r="DCS403" s="148"/>
      <c r="DCT403" s="148"/>
      <c r="DCU403" s="148"/>
      <c r="DCV403" s="148"/>
      <c r="DCW403" s="148"/>
      <c r="DCX403" s="148"/>
      <c r="DCY403" s="148"/>
      <c r="DCZ403" s="148"/>
      <c r="DDA403" s="148"/>
      <c r="DDB403" s="148"/>
      <c r="DDC403" s="148"/>
      <c r="DDD403" s="148"/>
      <c r="DDE403" s="148"/>
      <c r="DDF403" s="148"/>
      <c r="DDG403" s="148"/>
      <c r="DDH403" s="148"/>
      <c r="DDI403" s="148"/>
      <c r="DDJ403" s="148"/>
      <c r="DDK403" s="148"/>
      <c r="DDL403" s="148"/>
      <c r="DDM403" s="148"/>
      <c r="DDN403" s="148"/>
      <c r="DDO403" s="148"/>
      <c r="DDP403" s="148"/>
      <c r="DDQ403" s="148"/>
      <c r="DDR403" s="148"/>
      <c r="DDS403" s="148"/>
      <c r="DDT403" s="148"/>
      <c r="DDU403" s="148"/>
      <c r="DDV403" s="148"/>
      <c r="DDW403" s="148"/>
      <c r="DDX403" s="148"/>
      <c r="DDY403" s="148"/>
      <c r="DDZ403" s="148"/>
      <c r="DEA403" s="148"/>
      <c r="DEB403" s="148"/>
      <c r="DEC403" s="148"/>
      <c r="DED403" s="148"/>
      <c r="DEE403" s="148"/>
      <c r="DEF403" s="148"/>
      <c r="DEG403" s="148"/>
      <c r="DEH403" s="148"/>
      <c r="DEI403" s="148"/>
      <c r="DEJ403" s="148"/>
      <c r="DEK403" s="148"/>
      <c r="DEL403" s="148"/>
      <c r="DEM403" s="148"/>
      <c r="DEN403" s="148"/>
      <c r="DEO403" s="148"/>
      <c r="DEP403" s="148"/>
      <c r="DEQ403" s="148"/>
      <c r="DER403" s="148"/>
      <c r="DES403" s="148"/>
      <c r="DET403" s="148"/>
      <c r="DEU403" s="148"/>
      <c r="DEV403" s="148"/>
      <c r="DEW403" s="148"/>
      <c r="DEX403" s="148"/>
      <c r="DEY403" s="148"/>
      <c r="DEZ403" s="148"/>
      <c r="DFA403" s="148"/>
      <c r="DFB403" s="148"/>
      <c r="DFC403" s="148"/>
      <c r="DFD403" s="148"/>
      <c r="DFE403" s="148"/>
      <c r="DFF403" s="148"/>
      <c r="DFG403" s="148"/>
      <c r="DFH403" s="148"/>
      <c r="DFI403" s="148"/>
      <c r="DFJ403" s="148"/>
      <c r="DFK403" s="148"/>
      <c r="DFL403" s="148"/>
      <c r="DFM403" s="148"/>
      <c r="DFN403" s="148"/>
      <c r="DFO403" s="148"/>
      <c r="DFP403" s="148"/>
      <c r="DFQ403" s="148"/>
      <c r="DFR403" s="148"/>
      <c r="DFS403" s="148"/>
      <c r="DFT403" s="148"/>
      <c r="DFU403" s="148"/>
      <c r="DFV403" s="148"/>
      <c r="DFW403" s="148"/>
      <c r="DFX403" s="148"/>
      <c r="DFY403" s="148"/>
      <c r="DFZ403" s="148"/>
      <c r="DGA403" s="148"/>
      <c r="DGB403" s="148"/>
      <c r="DGC403" s="148"/>
      <c r="DGD403" s="148"/>
      <c r="DGE403" s="148"/>
      <c r="DGF403" s="148"/>
      <c r="DGG403" s="148"/>
      <c r="DGH403" s="148"/>
      <c r="DGI403" s="148"/>
      <c r="DGJ403" s="148"/>
      <c r="DGK403" s="148"/>
      <c r="DGL403" s="148"/>
      <c r="DGM403" s="148"/>
      <c r="DGN403" s="148"/>
      <c r="DGO403" s="148"/>
      <c r="DGP403" s="148"/>
      <c r="DGQ403" s="148"/>
      <c r="DGR403" s="148"/>
      <c r="DGS403" s="148"/>
      <c r="DGT403" s="148"/>
      <c r="DGU403" s="148"/>
      <c r="DGV403" s="148"/>
      <c r="DGW403" s="148"/>
      <c r="DGX403" s="148"/>
      <c r="DGY403" s="148"/>
      <c r="DGZ403" s="148"/>
      <c r="DHA403" s="148"/>
      <c r="DHB403" s="148"/>
      <c r="DHC403" s="148"/>
      <c r="DHD403" s="148"/>
      <c r="DHE403" s="148"/>
      <c r="DHF403" s="148"/>
      <c r="DHG403" s="148"/>
      <c r="DHH403" s="148"/>
      <c r="DHI403" s="148"/>
      <c r="DHJ403" s="148"/>
      <c r="DHK403" s="148"/>
      <c r="DHL403" s="148"/>
      <c r="DHM403" s="148"/>
      <c r="DHN403" s="148"/>
      <c r="DHO403" s="148"/>
      <c r="DHP403" s="148"/>
      <c r="DHQ403" s="148"/>
      <c r="DHR403" s="148"/>
      <c r="DHS403" s="148"/>
      <c r="DHT403" s="148"/>
      <c r="DHU403" s="148"/>
      <c r="DHV403" s="148"/>
      <c r="DHW403" s="148"/>
      <c r="DHX403" s="148"/>
      <c r="DHY403" s="148"/>
      <c r="DHZ403" s="148"/>
      <c r="DIA403" s="148"/>
      <c r="DIB403" s="148"/>
      <c r="DIC403" s="148"/>
      <c r="DID403" s="148"/>
      <c r="DIE403" s="148"/>
      <c r="DIF403" s="148"/>
      <c r="DIG403" s="148"/>
      <c r="DIH403" s="148"/>
      <c r="DII403" s="148"/>
      <c r="DIJ403" s="148"/>
      <c r="DIK403" s="148"/>
      <c r="DIL403" s="148"/>
      <c r="DIM403" s="148"/>
      <c r="DIN403" s="148"/>
      <c r="DIO403" s="148"/>
      <c r="DIP403" s="148"/>
      <c r="DIQ403" s="148"/>
      <c r="DIR403" s="148"/>
      <c r="DIS403" s="148"/>
      <c r="DIT403" s="148"/>
      <c r="DIU403" s="148"/>
      <c r="DIV403" s="148"/>
      <c r="DIW403" s="148"/>
      <c r="DIX403" s="148"/>
      <c r="DIY403" s="148"/>
      <c r="DIZ403" s="148"/>
      <c r="DJA403" s="148"/>
      <c r="DJB403" s="148"/>
      <c r="DJC403" s="148"/>
      <c r="DJD403" s="148"/>
      <c r="DJE403" s="148"/>
      <c r="DJF403" s="148"/>
      <c r="DJG403" s="148"/>
      <c r="DJH403" s="148"/>
      <c r="DJI403" s="148"/>
      <c r="DJJ403" s="148"/>
      <c r="DJK403" s="148"/>
      <c r="DJL403" s="148"/>
      <c r="DJM403" s="148"/>
      <c r="DJN403" s="148"/>
      <c r="DJO403" s="148"/>
      <c r="DJP403" s="148"/>
      <c r="DJQ403" s="148"/>
      <c r="DJR403" s="148"/>
      <c r="DJS403" s="148"/>
      <c r="DJT403" s="148"/>
      <c r="DJU403" s="148"/>
      <c r="DJV403" s="148"/>
      <c r="DJW403" s="148"/>
      <c r="DJX403" s="148"/>
      <c r="DJY403" s="148"/>
      <c r="DJZ403" s="148"/>
      <c r="DKA403" s="148"/>
      <c r="DKB403" s="148"/>
      <c r="DKC403" s="148"/>
      <c r="DKD403" s="148"/>
      <c r="DKE403" s="148"/>
      <c r="DKF403" s="148"/>
      <c r="DKG403" s="148"/>
      <c r="DKH403" s="148"/>
      <c r="DKI403" s="148"/>
      <c r="DKJ403" s="148"/>
      <c r="DKK403" s="148"/>
      <c r="DKL403" s="148"/>
      <c r="DKM403" s="148"/>
      <c r="DKN403" s="148"/>
      <c r="DKO403" s="148"/>
      <c r="DKP403" s="148"/>
      <c r="DKQ403" s="148"/>
      <c r="DKR403" s="148"/>
      <c r="DKS403" s="148"/>
      <c r="DKT403" s="148"/>
      <c r="DKU403" s="148"/>
      <c r="DKV403" s="148"/>
      <c r="DKW403" s="148"/>
      <c r="DKX403" s="148"/>
      <c r="DKY403" s="148"/>
      <c r="DKZ403" s="148"/>
      <c r="DLA403" s="148"/>
      <c r="DLB403" s="148"/>
      <c r="DLC403" s="148"/>
      <c r="DLD403" s="148"/>
      <c r="DLE403" s="148"/>
      <c r="DLF403" s="148"/>
      <c r="DLG403" s="148"/>
      <c r="DLH403" s="148"/>
      <c r="DLI403" s="148"/>
      <c r="DLJ403" s="148"/>
      <c r="DLK403" s="148"/>
      <c r="DLL403" s="148"/>
      <c r="DLM403" s="148"/>
      <c r="DLN403" s="148"/>
      <c r="DLO403" s="148"/>
      <c r="DLP403" s="148"/>
      <c r="DLQ403" s="148"/>
      <c r="DLR403" s="148"/>
      <c r="DLS403" s="148"/>
      <c r="DLT403" s="148"/>
      <c r="DLU403" s="148"/>
      <c r="DLV403" s="148"/>
      <c r="DLW403" s="148"/>
      <c r="DLX403" s="148"/>
      <c r="DLY403" s="148"/>
      <c r="DLZ403" s="148"/>
      <c r="DMA403" s="148"/>
      <c r="DMB403" s="148"/>
      <c r="DMC403" s="148"/>
      <c r="DMD403" s="148"/>
      <c r="DME403" s="148"/>
      <c r="DMF403" s="148"/>
      <c r="DMG403" s="148"/>
      <c r="DMH403" s="148"/>
      <c r="DMI403" s="148"/>
      <c r="DMJ403" s="148"/>
      <c r="DMK403" s="148"/>
      <c r="DML403" s="148"/>
      <c r="DMM403" s="148"/>
      <c r="DMN403" s="148"/>
      <c r="DMO403" s="148"/>
      <c r="DMP403" s="148"/>
      <c r="DMQ403" s="148"/>
      <c r="DMR403" s="148"/>
      <c r="DMS403" s="148"/>
      <c r="DMT403" s="148"/>
      <c r="DMU403" s="148"/>
      <c r="DMV403" s="148"/>
      <c r="DMW403" s="148"/>
      <c r="DMX403" s="148"/>
      <c r="DMY403" s="148"/>
      <c r="DMZ403" s="148"/>
      <c r="DNA403" s="148"/>
      <c r="DNB403" s="148"/>
      <c r="DNC403" s="148"/>
      <c r="DND403" s="148"/>
      <c r="DNE403" s="148"/>
      <c r="DNF403" s="148"/>
      <c r="DNG403" s="148"/>
      <c r="DNH403" s="148"/>
      <c r="DNI403" s="148"/>
      <c r="DNJ403" s="148"/>
      <c r="DNK403" s="148"/>
      <c r="DNL403" s="148"/>
      <c r="DNM403" s="148"/>
      <c r="DNN403" s="148"/>
      <c r="DNO403" s="148"/>
      <c r="DNP403" s="148"/>
      <c r="DNQ403" s="148"/>
      <c r="DNR403" s="148"/>
      <c r="DNS403" s="148"/>
      <c r="DNT403" s="148"/>
      <c r="DNU403" s="148"/>
      <c r="DNV403" s="148"/>
      <c r="DNW403" s="148"/>
      <c r="DNX403" s="148"/>
      <c r="DNY403" s="148"/>
      <c r="DNZ403" s="148"/>
      <c r="DOA403" s="148"/>
      <c r="DOB403" s="148"/>
      <c r="DOC403" s="148"/>
      <c r="DOD403" s="148"/>
      <c r="DOE403" s="148"/>
      <c r="DOF403" s="148"/>
      <c r="DOG403" s="148"/>
      <c r="DOH403" s="148"/>
      <c r="DOI403" s="148"/>
      <c r="DOJ403" s="148"/>
      <c r="DOK403" s="148"/>
      <c r="DOL403" s="148"/>
      <c r="DOM403" s="148"/>
      <c r="DON403" s="148"/>
      <c r="DOO403" s="148"/>
      <c r="DOP403" s="148"/>
      <c r="DOQ403" s="148"/>
      <c r="DOR403" s="148"/>
      <c r="DOS403" s="148"/>
      <c r="DOT403" s="148"/>
      <c r="DOU403" s="148"/>
      <c r="DOV403" s="148"/>
      <c r="DOW403" s="148"/>
      <c r="DOX403" s="148"/>
      <c r="DOY403" s="148"/>
      <c r="DOZ403" s="148"/>
      <c r="DPA403" s="148"/>
      <c r="DPB403" s="148"/>
      <c r="DPC403" s="148"/>
      <c r="DPD403" s="148"/>
      <c r="DPE403" s="148"/>
      <c r="DPF403" s="148"/>
      <c r="DPG403" s="148"/>
      <c r="DPH403" s="148"/>
      <c r="DPI403" s="148"/>
      <c r="DPJ403" s="148"/>
      <c r="DPK403" s="148"/>
      <c r="DPL403" s="148"/>
      <c r="DPM403" s="148"/>
      <c r="DPN403" s="148"/>
      <c r="DPO403" s="148"/>
      <c r="DPP403" s="148"/>
      <c r="DPQ403" s="148"/>
      <c r="DPR403" s="148"/>
      <c r="DPS403" s="148"/>
      <c r="DPT403" s="148"/>
      <c r="DPU403" s="148"/>
      <c r="DPV403" s="148"/>
      <c r="DPW403" s="148"/>
      <c r="DPX403" s="148"/>
      <c r="DPY403" s="148"/>
      <c r="DPZ403" s="148"/>
      <c r="DQA403" s="148"/>
      <c r="DQB403" s="148"/>
      <c r="DQC403" s="148"/>
      <c r="DQD403" s="148"/>
      <c r="DQE403" s="148"/>
      <c r="DQF403" s="148"/>
      <c r="DQG403" s="148"/>
      <c r="DQH403" s="148"/>
      <c r="DQI403" s="148"/>
      <c r="DQJ403" s="148"/>
      <c r="DQK403" s="148"/>
      <c r="DQL403" s="148"/>
      <c r="DQM403" s="148"/>
      <c r="DQN403" s="148"/>
      <c r="DQO403" s="148"/>
      <c r="DQP403" s="148"/>
      <c r="DQQ403" s="148"/>
      <c r="DQR403" s="148"/>
      <c r="DQS403" s="148"/>
      <c r="DQT403" s="148"/>
      <c r="DQU403" s="148"/>
      <c r="DQV403" s="148"/>
      <c r="DQW403" s="148"/>
      <c r="DQX403" s="148"/>
      <c r="DQY403" s="148"/>
      <c r="DQZ403" s="148"/>
      <c r="DRA403" s="148"/>
      <c r="DRB403" s="148"/>
      <c r="DRC403" s="148"/>
      <c r="DRD403" s="148"/>
      <c r="DRE403" s="148"/>
      <c r="DRF403" s="148"/>
      <c r="DRG403" s="148"/>
      <c r="DRH403" s="148"/>
      <c r="DRI403" s="148"/>
      <c r="DRJ403" s="148"/>
      <c r="DRK403" s="148"/>
      <c r="DRL403" s="148"/>
      <c r="DRM403" s="148"/>
      <c r="DRN403" s="148"/>
      <c r="DRO403" s="148"/>
      <c r="DRP403" s="148"/>
      <c r="DRQ403" s="148"/>
      <c r="DRR403" s="148"/>
      <c r="DRS403" s="148"/>
      <c r="DRT403" s="148"/>
      <c r="DRU403" s="148"/>
      <c r="DRV403" s="148"/>
      <c r="DRW403" s="148"/>
      <c r="DRX403" s="148"/>
      <c r="DRY403" s="148"/>
      <c r="DRZ403" s="148"/>
      <c r="DSA403" s="148"/>
      <c r="DSB403" s="148"/>
      <c r="DSC403" s="148"/>
      <c r="DSD403" s="148"/>
      <c r="DSE403" s="148"/>
      <c r="DSF403" s="148"/>
      <c r="DSG403" s="148"/>
      <c r="DSH403" s="148"/>
      <c r="DSI403" s="148"/>
      <c r="DSJ403" s="148"/>
      <c r="DSK403" s="148"/>
      <c r="DSL403" s="148"/>
      <c r="DSM403" s="148"/>
      <c r="DSN403" s="148"/>
      <c r="DSO403" s="148"/>
      <c r="DSP403" s="148"/>
      <c r="DSQ403" s="148"/>
      <c r="DSR403" s="148"/>
      <c r="DSS403" s="148"/>
      <c r="DST403" s="148"/>
      <c r="DSU403" s="148"/>
      <c r="DSV403" s="148"/>
      <c r="DSW403" s="148"/>
      <c r="DSX403" s="148"/>
      <c r="DSY403" s="148"/>
      <c r="DSZ403" s="148"/>
      <c r="DTA403" s="148"/>
      <c r="DTB403" s="148"/>
      <c r="DTC403" s="148"/>
      <c r="DTD403" s="148"/>
      <c r="DTE403" s="148"/>
      <c r="DTF403" s="148"/>
      <c r="DTG403" s="148"/>
      <c r="DTH403" s="148"/>
      <c r="DTI403" s="148"/>
      <c r="DTJ403" s="148"/>
      <c r="DTK403" s="148"/>
      <c r="DTL403" s="148"/>
      <c r="DTM403" s="148"/>
      <c r="DTN403" s="148"/>
      <c r="DTO403" s="148"/>
      <c r="DTP403" s="148"/>
      <c r="DTQ403" s="148"/>
      <c r="DTR403" s="148"/>
      <c r="DTS403" s="148"/>
      <c r="DTT403" s="148"/>
      <c r="DTU403" s="148"/>
      <c r="DTV403" s="148"/>
      <c r="DTW403" s="148"/>
      <c r="DTX403" s="148"/>
      <c r="DTY403" s="148"/>
      <c r="DTZ403" s="148"/>
      <c r="DUA403" s="148"/>
      <c r="DUB403" s="148"/>
      <c r="DUC403" s="148"/>
      <c r="DUD403" s="148"/>
      <c r="DUE403" s="148"/>
      <c r="DUF403" s="148"/>
      <c r="DUG403" s="148"/>
      <c r="DUH403" s="148"/>
      <c r="DUI403" s="148"/>
      <c r="DUJ403" s="148"/>
      <c r="DUK403" s="148"/>
      <c r="DUL403" s="148"/>
      <c r="DUM403" s="148"/>
      <c r="DUN403" s="148"/>
      <c r="DUO403" s="148"/>
      <c r="DUP403" s="148"/>
      <c r="DUQ403" s="148"/>
      <c r="DUR403" s="148"/>
      <c r="DUS403" s="148"/>
      <c r="DUT403" s="148"/>
      <c r="DUU403" s="148"/>
      <c r="DUV403" s="148"/>
      <c r="DUW403" s="148"/>
      <c r="DUX403" s="148"/>
      <c r="DUY403" s="148"/>
      <c r="DUZ403" s="148"/>
      <c r="DVA403" s="148"/>
      <c r="DVB403" s="148"/>
      <c r="DVC403" s="148"/>
      <c r="DVD403" s="148"/>
      <c r="DVE403" s="148"/>
      <c r="DVF403" s="148"/>
      <c r="DVG403" s="148"/>
      <c r="DVH403" s="148"/>
      <c r="DVI403" s="148"/>
      <c r="DVJ403" s="148"/>
      <c r="DVK403" s="148"/>
      <c r="DVL403" s="148"/>
      <c r="DVM403" s="148"/>
      <c r="DVN403" s="148"/>
      <c r="DVO403" s="148"/>
      <c r="DVP403" s="148"/>
      <c r="DVQ403" s="148"/>
      <c r="DVR403" s="148"/>
      <c r="DVS403" s="148"/>
      <c r="DVT403" s="148"/>
      <c r="DVU403" s="148"/>
      <c r="DVV403" s="148"/>
      <c r="DVW403" s="148"/>
      <c r="DVX403" s="148"/>
      <c r="DVY403" s="148"/>
      <c r="DVZ403" s="148"/>
      <c r="DWA403" s="148"/>
      <c r="DWB403" s="148"/>
      <c r="DWC403" s="148"/>
      <c r="DWD403" s="148"/>
      <c r="DWE403" s="148"/>
      <c r="DWF403" s="148"/>
      <c r="DWG403" s="148"/>
      <c r="DWH403" s="148"/>
      <c r="DWI403" s="148"/>
      <c r="DWJ403" s="148"/>
      <c r="DWK403" s="148"/>
      <c r="DWL403" s="148"/>
      <c r="DWM403" s="148"/>
      <c r="DWN403" s="148"/>
      <c r="DWO403" s="148"/>
      <c r="DWP403" s="148"/>
      <c r="DWQ403" s="148"/>
      <c r="DWR403" s="148"/>
      <c r="DWS403" s="148"/>
      <c r="DWT403" s="148"/>
      <c r="DWU403" s="148"/>
      <c r="DWV403" s="148"/>
      <c r="DWW403" s="148"/>
      <c r="DWX403" s="148"/>
      <c r="DWY403" s="148"/>
      <c r="DWZ403" s="148"/>
      <c r="DXA403" s="148"/>
      <c r="DXB403" s="148"/>
      <c r="DXC403" s="148"/>
      <c r="DXD403" s="148"/>
      <c r="DXE403" s="148"/>
      <c r="DXF403" s="148"/>
      <c r="DXG403" s="148"/>
      <c r="DXH403" s="148"/>
      <c r="DXI403" s="148"/>
      <c r="DXJ403" s="148"/>
      <c r="DXK403" s="148"/>
      <c r="DXL403" s="148"/>
      <c r="DXM403" s="148"/>
      <c r="DXN403" s="148"/>
      <c r="DXO403" s="148"/>
      <c r="DXP403" s="148"/>
      <c r="DXQ403" s="148"/>
      <c r="DXR403" s="148"/>
      <c r="DXS403" s="148"/>
      <c r="DXT403" s="148"/>
      <c r="DXU403" s="148"/>
      <c r="DXV403" s="148"/>
      <c r="DXW403" s="148"/>
      <c r="DXX403" s="148"/>
      <c r="DXY403" s="148"/>
      <c r="DXZ403" s="148"/>
      <c r="DYA403" s="148"/>
      <c r="DYB403" s="148"/>
      <c r="DYC403" s="148"/>
      <c r="DYD403" s="148"/>
      <c r="DYE403" s="148"/>
      <c r="DYF403" s="148"/>
      <c r="DYG403" s="148"/>
      <c r="DYH403" s="148"/>
      <c r="DYI403" s="148"/>
      <c r="DYJ403" s="148"/>
      <c r="DYK403" s="148"/>
      <c r="DYL403" s="148"/>
      <c r="DYM403" s="148"/>
      <c r="DYN403" s="148"/>
      <c r="DYO403" s="148"/>
      <c r="DYP403" s="148"/>
      <c r="DYQ403" s="148"/>
      <c r="DYR403" s="148"/>
      <c r="DYS403" s="148"/>
      <c r="DYT403" s="148"/>
      <c r="DYU403" s="148"/>
      <c r="DYV403" s="148"/>
      <c r="DYW403" s="148"/>
      <c r="DYX403" s="148"/>
      <c r="DYY403" s="148"/>
      <c r="DYZ403" s="148"/>
      <c r="DZA403" s="148"/>
      <c r="DZB403" s="148"/>
      <c r="DZC403" s="148"/>
      <c r="DZD403" s="148"/>
      <c r="DZE403" s="148"/>
      <c r="DZF403" s="148"/>
      <c r="DZG403" s="148"/>
      <c r="DZH403" s="148"/>
      <c r="DZI403" s="148"/>
      <c r="DZJ403" s="148"/>
      <c r="DZK403" s="148"/>
      <c r="DZL403" s="148"/>
      <c r="DZM403" s="148"/>
      <c r="DZN403" s="148"/>
      <c r="DZO403" s="148"/>
      <c r="DZP403" s="148"/>
      <c r="DZQ403" s="148"/>
      <c r="DZR403" s="148"/>
      <c r="DZS403" s="148"/>
      <c r="DZT403" s="148"/>
      <c r="DZU403" s="148"/>
      <c r="DZV403" s="148"/>
      <c r="DZW403" s="148"/>
      <c r="DZX403" s="148"/>
      <c r="DZY403" s="148"/>
      <c r="DZZ403" s="148"/>
      <c r="EAA403" s="148"/>
      <c r="EAB403" s="148"/>
      <c r="EAC403" s="148"/>
      <c r="EAD403" s="148"/>
      <c r="EAE403" s="148"/>
      <c r="EAF403" s="148"/>
      <c r="EAG403" s="148"/>
      <c r="EAH403" s="148"/>
      <c r="EAI403" s="148"/>
      <c r="EAJ403" s="148"/>
      <c r="EAK403" s="148"/>
      <c r="EAL403" s="148"/>
      <c r="EAM403" s="148"/>
      <c r="EAN403" s="148"/>
      <c r="EAO403" s="148"/>
      <c r="EAP403" s="148"/>
      <c r="EAQ403" s="148"/>
      <c r="EAR403" s="148"/>
      <c r="EAS403" s="148"/>
      <c r="EAT403" s="148"/>
      <c r="EAU403" s="148"/>
      <c r="EAV403" s="148"/>
      <c r="EAW403" s="148"/>
      <c r="EAX403" s="148"/>
      <c r="EAY403" s="148"/>
      <c r="EAZ403" s="148"/>
      <c r="EBA403" s="148"/>
      <c r="EBB403" s="148"/>
      <c r="EBC403" s="148"/>
      <c r="EBD403" s="148"/>
      <c r="EBE403" s="148"/>
      <c r="EBF403" s="148"/>
      <c r="EBG403" s="148"/>
      <c r="EBH403" s="148"/>
      <c r="EBI403" s="148"/>
      <c r="EBJ403" s="148"/>
      <c r="EBK403" s="148"/>
      <c r="EBL403" s="148"/>
      <c r="EBM403" s="148"/>
      <c r="EBN403" s="148"/>
      <c r="EBO403" s="148"/>
      <c r="EBP403" s="148"/>
      <c r="EBQ403" s="148"/>
      <c r="EBR403" s="148"/>
      <c r="EBS403" s="148"/>
      <c r="EBT403" s="148"/>
      <c r="EBU403" s="148"/>
      <c r="EBV403" s="148"/>
      <c r="EBW403" s="148"/>
      <c r="EBX403" s="148"/>
      <c r="EBY403" s="148"/>
      <c r="EBZ403" s="148"/>
      <c r="ECA403" s="148"/>
      <c r="ECB403" s="148"/>
      <c r="ECC403" s="148"/>
      <c r="ECD403" s="148"/>
      <c r="ECE403" s="148"/>
      <c r="ECF403" s="148"/>
      <c r="ECG403" s="148"/>
      <c r="ECH403" s="148"/>
      <c r="ECI403" s="148"/>
      <c r="ECJ403" s="148"/>
      <c r="ECK403" s="148"/>
      <c r="ECL403" s="148"/>
      <c r="ECM403" s="148"/>
      <c r="ECN403" s="148"/>
      <c r="ECO403" s="148"/>
      <c r="ECP403" s="148"/>
      <c r="ECQ403" s="148"/>
      <c r="ECR403" s="148"/>
      <c r="ECS403" s="148"/>
      <c r="ECT403" s="148"/>
      <c r="ECU403" s="148"/>
      <c r="ECV403" s="148"/>
      <c r="ECW403" s="148"/>
      <c r="ECX403" s="148"/>
      <c r="ECY403" s="148"/>
      <c r="ECZ403" s="148"/>
      <c r="EDA403" s="148"/>
      <c r="EDB403" s="148"/>
      <c r="EDC403" s="148"/>
      <c r="EDD403" s="148"/>
      <c r="EDE403" s="148"/>
      <c r="EDF403" s="148"/>
      <c r="EDG403" s="148"/>
      <c r="EDH403" s="148"/>
      <c r="EDI403" s="148"/>
      <c r="EDJ403" s="148"/>
      <c r="EDK403" s="148"/>
      <c r="EDL403" s="148"/>
      <c r="EDM403" s="148"/>
      <c r="EDN403" s="148"/>
      <c r="EDO403" s="148"/>
      <c r="EDP403" s="148"/>
      <c r="EDQ403" s="148"/>
      <c r="EDR403" s="148"/>
      <c r="EDS403" s="148"/>
      <c r="EDT403" s="148"/>
      <c r="EDU403" s="148"/>
      <c r="EDV403" s="148"/>
      <c r="EDW403" s="148"/>
      <c r="EDX403" s="148"/>
      <c r="EDY403" s="148"/>
      <c r="EDZ403" s="148"/>
      <c r="EEA403" s="148"/>
      <c r="EEB403" s="148"/>
      <c r="EEC403" s="148"/>
      <c r="EED403" s="148"/>
      <c r="EEE403" s="148"/>
      <c r="EEF403" s="148"/>
      <c r="EEG403" s="148"/>
      <c r="EEH403" s="148"/>
      <c r="EEI403" s="148"/>
      <c r="EEJ403" s="148"/>
      <c r="EEK403" s="148"/>
      <c r="EEL403" s="148"/>
      <c r="EEM403" s="148"/>
      <c r="EEN403" s="148"/>
      <c r="EEO403" s="148"/>
      <c r="EEP403" s="148"/>
      <c r="EEQ403" s="148"/>
      <c r="EER403" s="148"/>
      <c r="EES403" s="148"/>
      <c r="EET403" s="148"/>
      <c r="EEU403" s="148"/>
      <c r="EEV403" s="148"/>
      <c r="EEW403" s="148"/>
      <c r="EEX403" s="148"/>
      <c r="EEY403" s="148"/>
      <c r="EEZ403" s="148"/>
      <c r="EFA403" s="148"/>
      <c r="EFB403" s="148"/>
      <c r="EFC403" s="148"/>
      <c r="EFD403" s="148"/>
      <c r="EFE403" s="148"/>
      <c r="EFF403" s="148"/>
      <c r="EFG403" s="148"/>
      <c r="EFH403" s="148"/>
      <c r="EFI403" s="148"/>
      <c r="EFJ403" s="148"/>
      <c r="EFK403" s="148"/>
      <c r="EFL403" s="148"/>
      <c r="EFM403" s="148"/>
      <c r="EFN403" s="148"/>
      <c r="EFO403" s="148"/>
      <c r="EFP403" s="148"/>
      <c r="EFQ403" s="148"/>
      <c r="EFR403" s="148"/>
      <c r="EFS403" s="148"/>
      <c r="EFT403" s="148"/>
      <c r="EFU403" s="148"/>
      <c r="EFV403" s="148"/>
      <c r="EFW403" s="148"/>
      <c r="EFX403" s="148"/>
      <c r="EFY403" s="148"/>
      <c r="EFZ403" s="148"/>
      <c r="EGA403" s="148"/>
      <c r="EGB403" s="148"/>
      <c r="EGC403" s="148"/>
      <c r="EGD403" s="148"/>
      <c r="EGE403" s="148"/>
      <c r="EGF403" s="148"/>
      <c r="EGG403" s="148"/>
      <c r="EGH403" s="148"/>
      <c r="EGI403" s="148"/>
      <c r="EGJ403" s="148"/>
      <c r="EGK403" s="148"/>
      <c r="EGL403" s="148"/>
      <c r="EGM403" s="148"/>
      <c r="EGN403" s="148"/>
      <c r="EGO403" s="148"/>
      <c r="EGP403" s="148"/>
      <c r="EGQ403" s="148"/>
      <c r="EGR403" s="148"/>
      <c r="EGS403" s="148"/>
      <c r="EGT403" s="148"/>
      <c r="EGU403" s="148"/>
      <c r="EGV403" s="148"/>
      <c r="EGW403" s="148"/>
      <c r="EGX403" s="148"/>
      <c r="EGY403" s="148"/>
      <c r="EGZ403" s="148"/>
      <c r="EHA403" s="148"/>
      <c r="EHB403" s="148"/>
      <c r="EHC403" s="148"/>
      <c r="EHD403" s="148"/>
      <c r="EHE403" s="148"/>
      <c r="EHF403" s="148"/>
      <c r="EHG403" s="148"/>
      <c r="EHH403" s="148"/>
      <c r="EHI403" s="148"/>
      <c r="EHJ403" s="148"/>
      <c r="EHK403" s="148"/>
      <c r="EHL403" s="148"/>
      <c r="EHM403" s="148"/>
      <c r="EHN403" s="148"/>
      <c r="EHO403" s="148"/>
      <c r="EHP403" s="148"/>
      <c r="EHQ403" s="148"/>
      <c r="EHR403" s="148"/>
      <c r="EHS403" s="148"/>
      <c r="EHT403" s="148"/>
      <c r="EHU403" s="148"/>
      <c r="EHV403" s="148"/>
      <c r="EHW403" s="148"/>
      <c r="EHX403" s="148"/>
      <c r="EHY403" s="148"/>
      <c r="EHZ403" s="148"/>
      <c r="EIA403" s="148"/>
      <c r="EIB403" s="148"/>
      <c r="EIC403" s="148"/>
      <c r="EID403" s="148"/>
      <c r="EIE403" s="148"/>
      <c r="EIF403" s="148"/>
      <c r="EIG403" s="148"/>
      <c r="EIH403" s="148"/>
      <c r="EII403" s="148"/>
      <c r="EIJ403" s="148"/>
      <c r="EIK403" s="148"/>
      <c r="EIL403" s="148"/>
      <c r="EIM403" s="148"/>
      <c r="EIN403" s="148"/>
      <c r="EIO403" s="148"/>
      <c r="EIP403" s="148"/>
      <c r="EIQ403" s="148"/>
      <c r="EIR403" s="148"/>
      <c r="EIS403" s="148"/>
      <c r="EIT403" s="148"/>
      <c r="EIU403" s="148"/>
      <c r="EIV403" s="148"/>
      <c r="EIW403" s="148"/>
      <c r="EIX403" s="148"/>
      <c r="EIY403" s="148"/>
      <c r="EIZ403" s="148"/>
      <c r="EJA403" s="148"/>
      <c r="EJB403" s="148"/>
      <c r="EJC403" s="148"/>
      <c r="EJD403" s="148"/>
      <c r="EJE403" s="148"/>
      <c r="EJF403" s="148"/>
      <c r="EJG403" s="148"/>
      <c r="EJH403" s="148"/>
      <c r="EJI403" s="148"/>
      <c r="EJJ403" s="148"/>
      <c r="EJK403" s="148"/>
      <c r="EJL403" s="148"/>
      <c r="EJM403" s="148"/>
      <c r="EJN403" s="148"/>
      <c r="EJO403" s="148"/>
      <c r="EJP403" s="148"/>
      <c r="EJQ403" s="148"/>
      <c r="EJR403" s="148"/>
      <c r="EJS403" s="148"/>
      <c r="EJT403" s="148"/>
      <c r="EJU403" s="148"/>
      <c r="EJV403" s="148"/>
      <c r="EJW403" s="148"/>
      <c r="EJX403" s="148"/>
      <c r="EJY403" s="148"/>
      <c r="EJZ403" s="148"/>
      <c r="EKA403" s="148"/>
      <c r="EKB403" s="148"/>
      <c r="EKC403" s="148"/>
      <c r="EKD403" s="148"/>
      <c r="EKE403" s="148"/>
      <c r="EKF403" s="148"/>
      <c r="EKG403" s="148"/>
      <c r="EKH403" s="148"/>
      <c r="EKI403" s="148"/>
      <c r="EKJ403" s="148"/>
      <c r="EKK403" s="148"/>
      <c r="EKL403" s="148"/>
      <c r="EKM403" s="148"/>
      <c r="EKN403" s="148"/>
      <c r="EKO403" s="148"/>
      <c r="EKP403" s="148"/>
      <c r="EKQ403" s="148"/>
      <c r="EKR403" s="148"/>
      <c r="EKS403" s="148"/>
      <c r="EKT403" s="148"/>
      <c r="EKU403" s="148"/>
      <c r="EKV403" s="148"/>
      <c r="EKW403" s="148"/>
      <c r="EKX403" s="148"/>
      <c r="EKY403" s="148"/>
      <c r="EKZ403" s="148"/>
      <c r="ELA403" s="148"/>
      <c r="ELB403" s="148"/>
      <c r="ELC403" s="148"/>
      <c r="ELD403" s="148"/>
      <c r="ELE403" s="148"/>
      <c r="ELF403" s="148"/>
      <c r="ELG403" s="148"/>
      <c r="ELH403" s="148"/>
      <c r="ELI403" s="148"/>
      <c r="ELJ403" s="148"/>
      <c r="ELK403" s="148"/>
      <c r="ELL403" s="148"/>
      <c r="ELM403" s="148"/>
      <c r="ELN403" s="148"/>
      <c r="ELO403" s="148"/>
      <c r="ELP403" s="148"/>
      <c r="ELQ403" s="148"/>
      <c r="ELR403" s="148"/>
      <c r="ELS403" s="148"/>
      <c r="ELT403" s="148"/>
      <c r="ELU403" s="148"/>
      <c r="ELV403" s="148"/>
      <c r="ELW403" s="148"/>
      <c r="ELX403" s="148"/>
      <c r="ELY403" s="148"/>
      <c r="ELZ403" s="148"/>
      <c r="EMA403" s="148"/>
      <c r="EMB403" s="148"/>
      <c r="EMC403" s="148"/>
      <c r="EMD403" s="148"/>
      <c r="EME403" s="148"/>
      <c r="EMF403" s="148"/>
      <c r="EMG403" s="148"/>
      <c r="EMH403" s="148"/>
      <c r="EMI403" s="148"/>
      <c r="EMJ403" s="148"/>
      <c r="EMK403" s="148"/>
      <c r="EML403" s="148"/>
      <c r="EMM403" s="148"/>
      <c r="EMN403" s="148"/>
      <c r="EMO403" s="148"/>
      <c r="EMP403" s="148"/>
      <c r="EMQ403" s="148"/>
      <c r="EMR403" s="148"/>
      <c r="EMS403" s="148"/>
      <c r="EMT403" s="148"/>
      <c r="EMU403" s="148"/>
      <c r="EMV403" s="148"/>
      <c r="EMW403" s="148"/>
      <c r="EMX403" s="148"/>
      <c r="EMY403" s="148"/>
      <c r="EMZ403" s="148"/>
      <c r="ENA403" s="148"/>
      <c r="ENB403" s="148"/>
      <c r="ENC403" s="148"/>
      <c r="END403" s="148"/>
      <c r="ENE403" s="148"/>
      <c r="ENF403" s="148"/>
      <c r="ENG403" s="148"/>
      <c r="ENH403" s="148"/>
      <c r="ENI403" s="148"/>
      <c r="ENJ403" s="148"/>
      <c r="ENK403" s="148"/>
      <c r="ENL403" s="148"/>
      <c r="ENM403" s="148"/>
      <c r="ENN403" s="148"/>
      <c r="ENO403" s="148"/>
      <c r="ENP403" s="148"/>
      <c r="ENQ403" s="148"/>
      <c r="ENR403" s="148"/>
      <c r="ENS403" s="148"/>
      <c r="ENT403" s="148"/>
      <c r="ENU403" s="148"/>
      <c r="ENV403" s="148"/>
      <c r="ENW403" s="148"/>
      <c r="ENX403" s="148"/>
      <c r="ENY403" s="148"/>
      <c r="ENZ403" s="148"/>
      <c r="EOA403" s="148"/>
      <c r="EOB403" s="148"/>
      <c r="EOC403" s="148"/>
      <c r="EOD403" s="148"/>
      <c r="EOE403" s="148"/>
      <c r="EOF403" s="148"/>
      <c r="EOG403" s="148"/>
      <c r="EOH403" s="148"/>
      <c r="EOI403" s="148"/>
      <c r="EOJ403" s="148"/>
      <c r="EOK403" s="148"/>
      <c r="EOL403" s="148"/>
      <c r="EOM403" s="148"/>
      <c r="EON403" s="148"/>
      <c r="EOO403" s="148"/>
      <c r="EOP403" s="148"/>
      <c r="EOQ403" s="148"/>
      <c r="EOR403" s="148"/>
      <c r="EOS403" s="148"/>
      <c r="EOT403" s="148"/>
      <c r="EOU403" s="148"/>
      <c r="EOV403" s="148"/>
      <c r="EOW403" s="148"/>
      <c r="EOX403" s="148"/>
      <c r="EOY403" s="148"/>
      <c r="EOZ403" s="148"/>
      <c r="EPA403" s="148"/>
      <c r="EPB403" s="148"/>
      <c r="EPC403" s="148"/>
      <c r="EPD403" s="148"/>
      <c r="EPE403" s="148"/>
      <c r="EPF403" s="148"/>
      <c r="EPG403" s="148"/>
      <c r="EPH403" s="148"/>
      <c r="EPI403" s="148"/>
      <c r="EPJ403" s="148"/>
      <c r="EPK403" s="148"/>
      <c r="EPL403" s="148"/>
      <c r="EPM403" s="148"/>
      <c r="EPN403" s="148"/>
      <c r="EPO403" s="148"/>
      <c r="EPP403" s="148"/>
      <c r="EPQ403" s="148"/>
      <c r="EPR403" s="148"/>
      <c r="EPS403" s="148"/>
      <c r="EPT403" s="148"/>
      <c r="EPU403" s="148"/>
      <c r="EPV403" s="148"/>
      <c r="EPW403" s="148"/>
      <c r="EPX403" s="148"/>
      <c r="EPY403" s="148"/>
      <c r="EPZ403" s="148"/>
      <c r="EQA403" s="148"/>
      <c r="EQB403" s="148"/>
      <c r="EQC403" s="148"/>
      <c r="EQD403" s="148"/>
      <c r="EQE403" s="148"/>
      <c r="EQF403" s="148"/>
      <c r="EQG403" s="148"/>
      <c r="EQH403" s="148"/>
      <c r="EQI403" s="148"/>
      <c r="EQJ403" s="148"/>
      <c r="EQK403" s="148"/>
      <c r="EQL403" s="148"/>
      <c r="EQM403" s="148"/>
      <c r="EQN403" s="148"/>
      <c r="EQO403" s="148"/>
      <c r="EQP403" s="148"/>
      <c r="EQQ403" s="148"/>
      <c r="EQR403" s="148"/>
      <c r="EQS403" s="148"/>
      <c r="EQT403" s="148"/>
      <c r="EQU403" s="148"/>
      <c r="EQV403" s="148"/>
      <c r="EQW403" s="148"/>
      <c r="EQX403" s="148"/>
      <c r="EQY403" s="148"/>
      <c r="EQZ403" s="148"/>
      <c r="ERA403" s="148"/>
      <c r="ERB403" s="148"/>
      <c r="ERC403" s="148"/>
      <c r="ERD403" s="148"/>
      <c r="ERE403" s="148"/>
      <c r="ERF403" s="148"/>
      <c r="ERG403" s="148"/>
      <c r="ERH403" s="148"/>
      <c r="ERI403" s="148"/>
      <c r="ERJ403" s="148"/>
      <c r="ERK403" s="148"/>
      <c r="ERL403" s="148"/>
      <c r="ERM403" s="148"/>
      <c r="ERN403" s="148"/>
      <c r="ERO403" s="148"/>
      <c r="ERP403" s="148"/>
      <c r="ERQ403" s="148"/>
      <c r="ERR403" s="148"/>
      <c r="ERS403" s="148"/>
      <c r="ERT403" s="148"/>
      <c r="ERU403" s="148"/>
      <c r="ERV403" s="148"/>
      <c r="ERW403" s="148"/>
      <c r="ERX403" s="148"/>
      <c r="ERY403" s="148"/>
      <c r="ERZ403" s="148"/>
      <c r="ESA403" s="148"/>
      <c r="ESB403" s="148"/>
      <c r="ESC403" s="148"/>
      <c r="ESD403" s="148"/>
      <c r="ESE403" s="148"/>
      <c r="ESF403" s="148"/>
      <c r="ESG403" s="148"/>
      <c r="ESH403" s="148"/>
      <c r="ESI403" s="148"/>
      <c r="ESJ403" s="148"/>
      <c r="ESK403" s="148"/>
      <c r="ESL403" s="148"/>
      <c r="ESM403" s="148"/>
      <c r="ESN403" s="148"/>
      <c r="ESO403" s="148"/>
      <c r="ESP403" s="148"/>
      <c r="ESQ403" s="148"/>
      <c r="ESR403" s="148"/>
      <c r="ESS403" s="148"/>
      <c r="EST403" s="148"/>
      <c r="ESU403" s="148"/>
      <c r="ESV403" s="148"/>
      <c r="ESW403" s="148"/>
      <c r="ESX403" s="148"/>
      <c r="ESY403" s="148"/>
      <c r="ESZ403" s="148"/>
      <c r="ETA403" s="148"/>
      <c r="ETB403" s="148"/>
      <c r="ETC403" s="148"/>
      <c r="ETD403" s="148"/>
      <c r="ETE403" s="148"/>
      <c r="ETF403" s="148"/>
      <c r="ETG403" s="148"/>
      <c r="ETH403" s="148"/>
      <c r="ETI403" s="148"/>
      <c r="ETJ403" s="148"/>
      <c r="ETK403" s="148"/>
      <c r="ETL403" s="148"/>
      <c r="ETM403" s="148"/>
      <c r="ETN403" s="148"/>
      <c r="ETO403" s="148"/>
      <c r="ETP403" s="148"/>
      <c r="ETQ403" s="148"/>
      <c r="ETR403" s="148"/>
      <c r="ETS403" s="148"/>
      <c r="ETT403" s="148"/>
      <c r="ETU403" s="148"/>
      <c r="ETV403" s="148"/>
      <c r="ETW403" s="148"/>
      <c r="ETX403" s="148"/>
      <c r="ETY403" s="148"/>
      <c r="ETZ403" s="148"/>
      <c r="EUA403" s="148"/>
      <c r="EUB403" s="148"/>
      <c r="EUC403" s="148"/>
      <c r="EUD403" s="148"/>
      <c r="EUE403" s="148"/>
      <c r="EUF403" s="148"/>
      <c r="EUG403" s="148"/>
      <c r="EUH403" s="148"/>
      <c r="EUI403" s="148"/>
      <c r="EUJ403" s="148"/>
      <c r="EUK403" s="148"/>
      <c r="EUL403" s="148"/>
      <c r="EUM403" s="148"/>
      <c r="EUN403" s="148"/>
      <c r="EUO403" s="148"/>
      <c r="EUP403" s="148"/>
      <c r="EUQ403" s="148"/>
      <c r="EUR403" s="148"/>
      <c r="EUS403" s="148"/>
      <c r="EUT403" s="148"/>
      <c r="EUU403" s="148"/>
      <c r="EUV403" s="148"/>
      <c r="EUW403" s="148"/>
      <c r="EUX403" s="148"/>
      <c r="EUY403" s="148"/>
      <c r="EUZ403" s="148"/>
      <c r="EVA403" s="148"/>
      <c r="EVB403" s="148"/>
      <c r="EVC403" s="148"/>
      <c r="EVD403" s="148"/>
      <c r="EVE403" s="148"/>
      <c r="EVF403" s="148"/>
      <c r="EVG403" s="148"/>
      <c r="EVH403" s="148"/>
      <c r="EVI403" s="148"/>
      <c r="EVJ403" s="148"/>
      <c r="EVK403" s="148"/>
      <c r="EVL403" s="148"/>
      <c r="EVM403" s="148"/>
      <c r="EVN403" s="148"/>
      <c r="EVO403" s="148"/>
      <c r="EVP403" s="148"/>
      <c r="EVQ403" s="148"/>
      <c r="EVR403" s="148"/>
      <c r="EVS403" s="148"/>
      <c r="EVT403" s="148"/>
      <c r="EVU403" s="148"/>
      <c r="EVV403" s="148"/>
      <c r="EVW403" s="148"/>
      <c r="EVX403" s="148"/>
      <c r="EVY403" s="148"/>
      <c r="EVZ403" s="148"/>
      <c r="EWA403" s="148"/>
      <c r="EWB403" s="148"/>
      <c r="EWC403" s="148"/>
      <c r="EWD403" s="148"/>
      <c r="EWE403" s="148"/>
      <c r="EWF403" s="148"/>
      <c r="EWG403" s="148"/>
      <c r="EWH403" s="148"/>
      <c r="EWI403" s="148"/>
      <c r="EWJ403" s="148"/>
      <c r="EWK403" s="148"/>
      <c r="EWL403" s="148"/>
      <c r="EWM403" s="148"/>
      <c r="EWN403" s="148"/>
      <c r="EWO403" s="148"/>
      <c r="EWP403" s="148"/>
      <c r="EWQ403" s="148"/>
      <c r="EWR403" s="148"/>
      <c r="EWS403" s="148"/>
      <c r="EWT403" s="148"/>
      <c r="EWU403" s="148"/>
      <c r="EWV403" s="148"/>
      <c r="EWW403" s="148"/>
      <c r="EWX403" s="148"/>
      <c r="EWY403" s="148"/>
      <c r="EWZ403" s="148"/>
      <c r="EXA403" s="148"/>
      <c r="EXB403" s="148"/>
      <c r="EXC403" s="148"/>
      <c r="EXD403" s="148"/>
      <c r="EXE403" s="148"/>
      <c r="EXF403" s="148"/>
      <c r="EXG403" s="148"/>
      <c r="EXH403" s="148"/>
      <c r="EXI403" s="148"/>
      <c r="EXJ403" s="148"/>
      <c r="EXK403" s="148"/>
      <c r="EXL403" s="148"/>
      <c r="EXM403" s="148"/>
      <c r="EXN403" s="148"/>
      <c r="EXO403" s="148"/>
      <c r="EXP403" s="148"/>
      <c r="EXQ403" s="148"/>
      <c r="EXR403" s="148"/>
      <c r="EXS403" s="148"/>
      <c r="EXT403" s="148"/>
      <c r="EXU403" s="148"/>
      <c r="EXV403" s="148"/>
      <c r="EXW403" s="148"/>
      <c r="EXX403" s="148"/>
      <c r="EXY403" s="148"/>
      <c r="EXZ403" s="148"/>
      <c r="EYA403" s="148"/>
      <c r="EYB403" s="148"/>
      <c r="EYC403" s="148"/>
      <c r="EYD403" s="148"/>
      <c r="EYE403" s="148"/>
      <c r="EYF403" s="148"/>
      <c r="EYG403" s="148"/>
      <c r="EYH403" s="148"/>
      <c r="EYI403" s="148"/>
      <c r="EYJ403" s="148"/>
      <c r="EYK403" s="148"/>
      <c r="EYL403" s="148"/>
      <c r="EYM403" s="148"/>
      <c r="EYN403" s="148"/>
      <c r="EYO403" s="148"/>
      <c r="EYP403" s="148"/>
      <c r="EYQ403" s="148"/>
      <c r="EYR403" s="148"/>
      <c r="EYS403" s="148"/>
      <c r="EYT403" s="148"/>
      <c r="EYU403" s="148"/>
      <c r="EYV403" s="148"/>
      <c r="EYW403" s="148"/>
      <c r="EYX403" s="148"/>
      <c r="EYY403" s="148"/>
      <c r="EYZ403" s="148"/>
      <c r="EZA403" s="148"/>
      <c r="EZB403" s="148"/>
      <c r="EZC403" s="148"/>
      <c r="EZD403" s="148"/>
      <c r="EZE403" s="148"/>
      <c r="EZF403" s="148"/>
      <c r="EZG403" s="148"/>
      <c r="EZH403" s="148"/>
      <c r="EZI403" s="148"/>
      <c r="EZJ403" s="148"/>
      <c r="EZK403" s="148"/>
      <c r="EZL403" s="148"/>
      <c r="EZM403" s="148"/>
      <c r="EZN403" s="148"/>
      <c r="EZO403" s="148"/>
      <c r="EZP403" s="148"/>
      <c r="EZQ403" s="148"/>
      <c r="EZR403" s="148"/>
      <c r="EZS403" s="148"/>
      <c r="EZT403" s="148"/>
      <c r="EZU403" s="148"/>
      <c r="EZV403" s="148"/>
      <c r="EZW403" s="148"/>
      <c r="EZX403" s="148"/>
      <c r="EZY403" s="148"/>
      <c r="EZZ403" s="148"/>
      <c r="FAA403" s="148"/>
      <c r="FAB403" s="148"/>
      <c r="FAC403" s="148"/>
      <c r="FAD403" s="148"/>
      <c r="FAE403" s="148"/>
      <c r="FAF403" s="148"/>
      <c r="FAG403" s="148"/>
      <c r="FAH403" s="148"/>
      <c r="FAI403" s="148"/>
      <c r="FAJ403" s="148"/>
      <c r="FAK403" s="148"/>
      <c r="FAL403" s="148"/>
      <c r="FAM403" s="148"/>
      <c r="FAN403" s="148"/>
      <c r="FAO403" s="148"/>
      <c r="FAP403" s="148"/>
      <c r="FAQ403" s="148"/>
      <c r="FAR403" s="148"/>
      <c r="FAS403" s="148"/>
      <c r="FAT403" s="148"/>
      <c r="FAU403" s="148"/>
      <c r="FAV403" s="148"/>
      <c r="FAW403" s="148"/>
      <c r="FAX403" s="148"/>
      <c r="FAY403" s="148"/>
      <c r="FAZ403" s="148"/>
      <c r="FBA403" s="148"/>
      <c r="FBB403" s="148"/>
      <c r="FBC403" s="148"/>
      <c r="FBD403" s="148"/>
      <c r="FBE403" s="148"/>
      <c r="FBF403" s="148"/>
      <c r="FBG403" s="148"/>
      <c r="FBH403" s="148"/>
      <c r="FBI403" s="148"/>
      <c r="FBJ403" s="148"/>
      <c r="FBK403" s="148"/>
      <c r="FBL403" s="148"/>
      <c r="FBM403" s="148"/>
      <c r="FBN403" s="148"/>
      <c r="FBO403" s="148"/>
      <c r="FBP403" s="148"/>
      <c r="FBQ403" s="148"/>
      <c r="FBR403" s="148"/>
      <c r="FBS403" s="148"/>
      <c r="FBT403" s="148"/>
      <c r="FBU403" s="148"/>
      <c r="FBV403" s="148"/>
      <c r="FBW403" s="148"/>
      <c r="FBX403" s="148"/>
      <c r="FBY403" s="148"/>
      <c r="FBZ403" s="148"/>
      <c r="FCA403" s="148"/>
      <c r="FCB403" s="148"/>
      <c r="FCC403" s="148"/>
      <c r="FCD403" s="148"/>
      <c r="FCE403" s="148"/>
      <c r="FCF403" s="148"/>
      <c r="FCG403" s="148"/>
      <c r="FCH403" s="148"/>
      <c r="FCI403" s="148"/>
      <c r="FCJ403" s="148"/>
      <c r="FCK403" s="148"/>
      <c r="FCL403" s="148"/>
      <c r="FCM403" s="148"/>
      <c r="FCN403" s="148"/>
      <c r="FCO403" s="148"/>
      <c r="FCP403" s="148"/>
      <c r="FCQ403" s="148"/>
      <c r="FCR403" s="148"/>
      <c r="FCS403" s="148"/>
      <c r="FCT403" s="148"/>
      <c r="FCU403" s="148"/>
      <c r="FCV403" s="148"/>
      <c r="FCW403" s="148"/>
      <c r="FCX403" s="148"/>
      <c r="FCY403" s="148"/>
      <c r="FCZ403" s="148"/>
      <c r="FDA403" s="148"/>
      <c r="FDB403" s="148"/>
      <c r="FDC403" s="148"/>
      <c r="FDD403" s="148"/>
      <c r="FDE403" s="148"/>
      <c r="FDF403" s="148"/>
      <c r="FDG403" s="148"/>
      <c r="FDH403" s="148"/>
      <c r="FDI403" s="148"/>
      <c r="FDJ403" s="148"/>
      <c r="FDK403" s="148"/>
      <c r="FDL403" s="148"/>
      <c r="FDM403" s="148"/>
      <c r="FDN403" s="148"/>
      <c r="FDO403" s="148"/>
      <c r="FDP403" s="148"/>
      <c r="FDQ403" s="148"/>
      <c r="FDR403" s="148"/>
      <c r="FDS403" s="148"/>
      <c r="FDT403" s="148"/>
      <c r="FDU403" s="148"/>
      <c r="FDV403" s="148"/>
      <c r="FDW403" s="148"/>
      <c r="FDX403" s="148"/>
      <c r="FDY403" s="148"/>
      <c r="FDZ403" s="148"/>
      <c r="FEA403" s="148"/>
      <c r="FEB403" s="148"/>
      <c r="FEC403" s="148"/>
      <c r="FED403" s="148"/>
      <c r="FEE403" s="148"/>
      <c r="FEF403" s="148"/>
      <c r="FEG403" s="148"/>
      <c r="FEH403" s="148"/>
      <c r="FEI403" s="148"/>
      <c r="FEJ403" s="148"/>
      <c r="FEK403" s="148"/>
      <c r="FEL403" s="148"/>
      <c r="FEM403" s="148"/>
      <c r="FEN403" s="148"/>
      <c r="FEO403" s="148"/>
      <c r="FEP403" s="148"/>
      <c r="FEQ403" s="148"/>
      <c r="FER403" s="148"/>
      <c r="FES403" s="148"/>
      <c r="FET403" s="148"/>
      <c r="FEU403" s="148"/>
      <c r="FEV403" s="148"/>
      <c r="FEW403" s="148"/>
      <c r="FEX403" s="148"/>
      <c r="FEY403" s="148"/>
      <c r="FEZ403" s="148"/>
      <c r="FFA403" s="148"/>
      <c r="FFB403" s="148"/>
      <c r="FFC403" s="148"/>
      <c r="FFD403" s="148"/>
      <c r="FFE403" s="148"/>
      <c r="FFF403" s="148"/>
      <c r="FFG403" s="148"/>
      <c r="FFH403" s="148"/>
      <c r="FFI403" s="148"/>
      <c r="FFJ403" s="148"/>
      <c r="FFK403" s="148"/>
      <c r="FFL403" s="148"/>
      <c r="FFM403" s="148"/>
      <c r="FFN403" s="148"/>
      <c r="FFO403" s="148"/>
      <c r="FFP403" s="148"/>
      <c r="FFQ403" s="148"/>
      <c r="FFR403" s="148"/>
      <c r="FFS403" s="148"/>
      <c r="FFT403" s="148"/>
      <c r="FFU403" s="148"/>
      <c r="FFV403" s="148"/>
      <c r="FFW403" s="148"/>
      <c r="FFX403" s="148"/>
      <c r="FFY403" s="148"/>
      <c r="FFZ403" s="148"/>
      <c r="FGA403" s="148"/>
      <c r="FGB403" s="148"/>
      <c r="FGC403" s="148"/>
      <c r="FGD403" s="148"/>
      <c r="FGE403" s="148"/>
      <c r="FGF403" s="148"/>
      <c r="FGG403" s="148"/>
      <c r="FGH403" s="148"/>
      <c r="FGI403" s="148"/>
      <c r="FGJ403" s="148"/>
      <c r="FGK403" s="148"/>
      <c r="FGL403" s="148"/>
      <c r="FGM403" s="148"/>
      <c r="FGN403" s="148"/>
      <c r="FGO403" s="148"/>
      <c r="FGP403" s="148"/>
      <c r="FGQ403" s="148"/>
      <c r="FGR403" s="148"/>
      <c r="FGS403" s="148"/>
      <c r="FGT403" s="148"/>
      <c r="FGU403" s="148"/>
      <c r="FGV403" s="148"/>
      <c r="FGW403" s="148"/>
      <c r="FGX403" s="148"/>
      <c r="FGY403" s="148"/>
      <c r="FGZ403" s="148"/>
      <c r="FHA403" s="148"/>
      <c r="FHB403" s="148"/>
      <c r="FHC403" s="148"/>
      <c r="FHD403" s="148"/>
      <c r="FHE403" s="148"/>
      <c r="FHF403" s="148"/>
      <c r="FHG403" s="148"/>
      <c r="FHH403" s="148"/>
      <c r="FHI403" s="148"/>
      <c r="FHJ403" s="148"/>
      <c r="FHK403" s="148"/>
      <c r="FHL403" s="148"/>
      <c r="FHM403" s="148"/>
      <c r="FHN403" s="148"/>
      <c r="FHO403" s="148"/>
      <c r="FHP403" s="148"/>
      <c r="FHQ403" s="148"/>
      <c r="FHR403" s="148"/>
      <c r="FHS403" s="148"/>
      <c r="FHT403" s="148"/>
      <c r="FHU403" s="148"/>
      <c r="FHV403" s="148"/>
      <c r="FHW403" s="148"/>
      <c r="FHX403" s="148"/>
      <c r="FHY403" s="148"/>
      <c r="FHZ403" s="148"/>
      <c r="FIA403" s="148"/>
      <c r="FIB403" s="148"/>
      <c r="FIC403" s="148"/>
      <c r="FID403" s="148"/>
      <c r="FIE403" s="148"/>
      <c r="FIF403" s="148"/>
      <c r="FIG403" s="148"/>
      <c r="FIH403" s="148"/>
      <c r="FII403" s="148"/>
      <c r="FIJ403" s="148"/>
      <c r="FIK403" s="148"/>
      <c r="FIL403" s="148"/>
      <c r="FIM403" s="148"/>
      <c r="FIN403" s="148"/>
      <c r="FIO403" s="148"/>
      <c r="FIP403" s="148"/>
      <c r="FIQ403" s="148"/>
      <c r="FIR403" s="148"/>
      <c r="FIS403" s="148"/>
      <c r="FIT403" s="148"/>
      <c r="FIU403" s="148"/>
      <c r="FIV403" s="148"/>
      <c r="FIW403" s="148"/>
      <c r="FIX403" s="148"/>
      <c r="FIY403" s="148"/>
      <c r="FIZ403" s="148"/>
      <c r="FJA403" s="148"/>
      <c r="FJB403" s="148"/>
      <c r="FJC403" s="148"/>
      <c r="FJD403" s="148"/>
      <c r="FJE403" s="148"/>
      <c r="FJF403" s="148"/>
      <c r="FJG403" s="148"/>
      <c r="FJH403" s="148"/>
      <c r="FJI403" s="148"/>
      <c r="FJJ403" s="148"/>
      <c r="FJK403" s="148"/>
      <c r="FJL403" s="148"/>
      <c r="FJM403" s="148"/>
      <c r="FJN403" s="148"/>
      <c r="FJO403" s="148"/>
      <c r="FJP403" s="148"/>
      <c r="FJQ403" s="148"/>
      <c r="FJR403" s="148"/>
      <c r="FJS403" s="148"/>
      <c r="FJT403" s="148"/>
      <c r="FJU403" s="148"/>
      <c r="FJV403" s="148"/>
      <c r="FJW403" s="148"/>
      <c r="FJX403" s="148"/>
      <c r="FJY403" s="148"/>
      <c r="FJZ403" s="148"/>
      <c r="FKA403" s="148"/>
      <c r="FKB403" s="148"/>
      <c r="FKC403" s="148"/>
      <c r="FKD403" s="148"/>
      <c r="FKE403" s="148"/>
      <c r="FKF403" s="148"/>
      <c r="FKG403" s="148"/>
      <c r="FKH403" s="148"/>
      <c r="FKI403" s="148"/>
      <c r="FKJ403" s="148"/>
      <c r="FKK403" s="148"/>
      <c r="FKL403" s="148"/>
      <c r="FKM403" s="148"/>
      <c r="FKN403" s="148"/>
      <c r="FKO403" s="148"/>
      <c r="FKP403" s="148"/>
      <c r="FKQ403" s="148"/>
      <c r="FKR403" s="148"/>
      <c r="FKS403" s="148"/>
      <c r="FKT403" s="148"/>
      <c r="FKU403" s="148"/>
      <c r="FKV403" s="148"/>
      <c r="FKW403" s="148"/>
      <c r="FKX403" s="148"/>
      <c r="FKY403" s="148"/>
      <c r="FKZ403" s="148"/>
      <c r="FLA403" s="148"/>
      <c r="FLB403" s="148"/>
      <c r="FLC403" s="148"/>
      <c r="FLD403" s="148"/>
      <c r="FLE403" s="148"/>
      <c r="FLF403" s="148"/>
      <c r="FLG403" s="148"/>
      <c r="FLH403" s="148"/>
      <c r="FLI403" s="148"/>
      <c r="FLJ403" s="148"/>
      <c r="FLK403" s="148"/>
      <c r="FLL403" s="148"/>
      <c r="FLM403" s="148"/>
      <c r="FLN403" s="148"/>
      <c r="FLO403" s="148"/>
      <c r="FLP403" s="148"/>
      <c r="FLQ403" s="148"/>
      <c r="FLR403" s="148"/>
      <c r="FLS403" s="148"/>
      <c r="FLT403" s="148"/>
      <c r="FLU403" s="148"/>
      <c r="FLV403" s="148"/>
      <c r="FLW403" s="148"/>
      <c r="FLX403" s="148"/>
      <c r="FLY403" s="148"/>
      <c r="FLZ403" s="148"/>
      <c r="FMA403" s="148"/>
      <c r="FMB403" s="148"/>
      <c r="FMC403" s="148"/>
      <c r="FMD403" s="148"/>
      <c r="FME403" s="148"/>
      <c r="FMF403" s="148"/>
      <c r="FMG403" s="148"/>
      <c r="FMH403" s="148"/>
      <c r="FMI403" s="148"/>
      <c r="FMJ403" s="148"/>
      <c r="FMK403" s="148"/>
      <c r="FML403" s="148"/>
      <c r="FMM403" s="148"/>
      <c r="FMN403" s="148"/>
      <c r="FMO403" s="148"/>
      <c r="FMP403" s="148"/>
      <c r="FMQ403" s="148"/>
      <c r="FMR403" s="148"/>
      <c r="FMS403" s="148"/>
      <c r="FMT403" s="148"/>
      <c r="FMU403" s="148"/>
      <c r="FMV403" s="148"/>
      <c r="FMW403" s="148"/>
      <c r="FMX403" s="148"/>
      <c r="FMY403" s="148"/>
      <c r="FMZ403" s="148"/>
      <c r="FNA403" s="148"/>
      <c r="FNB403" s="148"/>
      <c r="FNC403" s="148"/>
      <c r="FND403" s="148"/>
      <c r="FNE403" s="148"/>
      <c r="FNF403" s="148"/>
      <c r="FNG403" s="148"/>
      <c r="FNH403" s="148"/>
      <c r="FNI403" s="148"/>
      <c r="FNJ403" s="148"/>
      <c r="FNK403" s="148"/>
      <c r="FNL403" s="148"/>
      <c r="FNM403" s="148"/>
      <c r="FNN403" s="148"/>
      <c r="FNO403" s="148"/>
      <c r="FNP403" s="148"/>
      <c r="FNQ403" s="148"/>
      <c r="FNR403" s="148"/>
      <c r="FNS403" s="148"/>
      <c r="FNT403" s="148"/>
      <c r="FNU403" s="148"/>
      <c r="FNV403" s="148"/>
      <c r="FNW403" s="148"/>
      <c r="FNX403" s="148"/>
      <c r="FNY403" s="148"/>
      <c r="FNZ403" s="148"/>
      <c r="FOA403" s="148"/>
      <c r="FOB403" s="148"/>
      <c r="FOC403" s="148"/>
      <c r="FOD403" s="148"/>
      <c r="FOE403" s="148"/>
      <c r="FOF403" s="148"/>
      <c r="FOG403" s="148"/>
      <c r="FOH403" s="148"/>
      <c r="FOI403" s="148"/>
      <c r="FOJ403" s="148"/>
      <c r="FOK403" s="148"/>
      <c r="FOL403" s="148"/>
      <c r="FOM403" s="148"/>
      <c r="FON403" s="148"/>
      <c r="FOO403" s="148"/>
      <c r="FOP403" s="148"/>
      <c r="FOQ403" s="148"/>
      <c r="FOR403" s="148"/>
      <c r="FOS403" s="148"/>
      <c r="FOT403" s="148"/>
      <c r="FOU403" s="148"/>
      <c r="FOV403" s="148"/>
      <c r="FOW403" s="148"/>
      <c r="FOX403" s="148"/>
      <c r="FOY403" s="148"/>
      <c r="FOZ403" s="148"/>
      <c r="FPA403" s="148"/>
      <c r="FPB403" s="148"/>
      <c r="FPC403" s="148"/>
      <c r="FPD403" s="148"/>
      <c r="FPE403" s="148"/>
      <c r="FPF403" s="148"/>
      <c r="FPG403" s="148"/>
      <c r="FPH403" s="148"/>
      <c r="FPI403" s="148"/>
      <c r="FPJ403" s="148"/>
      <c r="FPK403" s="148"/>
      <c r="FPL403" s="148"/>
      <c r="FPM403" s="148"/>
      <c r="FPN403" s="148"/>
      <c r="FPO403" s="148"/>
      <c r="FPP403" s="148"/>
      <c r="FPQ403" s="148"/>
      <c r="FPR403" s="148"/>
      <c r="FPS403" s="148"/>
      <c r="FPT403" s="148"/>
      <c r="FPU403" s="148"/>
      <c r="FPV403" s="148"/>
      <c r="FPW403" s="148"/>
      <c r="FPX403" s="148"/>
      <c r="FPY403" s="148"/>
      <c r="FPZ403" s="148"/>
      <c r="FQA403" s="148"/>
      <c r="FQB403" s="148"/>
      <c r="FQC403" s="148"/>
      <c r="FQD403" s="148"/>
      <c r="FQE403" s="148"/>
      <c r="FQF403" s="148"/>
      <c r="FQG403" s="148"/>
      <c r="FQH403" s="148"/>
      <c r="FQI403" s="148"/>
      <c r="FQJ403" s="148"/>
      <c r="FQK403" s="148"/>
      <c r="FQL403" s="148"/>
      <c r="FQM403" s="148"/>
      <c r="FQN403" s="148"/>
      <c r="FQO403" s="148"/>
      <c r="FQP403" s="148"/>
      <c r="FQQ403" s="148"/>
      <c r="FQR403" s="148"/>
      <c r="FQS403" s="148"/>
      <c r="FQT403" s="148"/>
      <c r="FQU403" s="148"/>
      <c r="FQV403" s="148"/>
      <c r="FQW403" s="148"/>
      <c r="FQX403" s="148"/>
      <c r="FQY403" s="148"/>
      <c r="FQZ403" s="148"/>
      <c r="FRA403" s="148"/>
      <c r="FRB403" s="148"/>
      <c r="FRC403" s="148"/>
      <c r="FRD403" s="148"/>
      <c r="FRE403" s="148"/>
      <c r="FRF403" s="148"/>
      <c r="FRG403" s="148"/>
      <c r="FRH403" s="148"/>
      <c r="FRI403" s="148"/>
      <c r="FRJ403" s="148"/>
      <c r="FRK403" s="148"/>
      <c r="FRL403" s="148"/>
      <c r="FRM403" s="148"/>
      <c r="FRN403" s="148"/>
      <c r="FRO403" s="148"/>
      <c r="FRP403" s="148"/>
      <c r="FRQ403" s="148"/>
      <c r="FRR403" s="148"/>
      <c r="FRS403" s="148"/>
      <c r="FRT403" s="148"/>
      <c r="FRU403" s="148"/>
      <c r="FRV403" s="148"/>
      <c r="FRW403" s="148"/>
      <c r="FRX403" s="148"/>
      <c r="FRY403" s="148"/>
      <c r="FRZ403" s="148"/>
      <c r="FSA403" s="148"/>
      <c r="FSB403" s="148"/>
      <c r="FSC403" s="148"/>
      <c r="FSD403" s="148"/>
      <c r="FSE403" s="148"/>
      <c r="FSF403" s="148"/>
      <c r="FSG403" s="148"/>
      <c r="FSH403" s="148"/>
      <c r="FSI403" s="148"/>
      <c r="FSJ403" s="148"/>
      <c r="FSK403" s="148"/>
      <c r="FSL403" s="148"/>
      <c r="FSM403" s="148"/>
      <c r="FSN403" s="148"/>
      <c r="FSO403" s="148"/>
      <c r="FSP403" s="148"/>
      <c r="FSQ403" s="148"/>
      <c r="FSR403" s="148"/>
      <c r="FSS403" s="148"/>
      <c r="FST403" s="148"/>
      <c r="FSU403" s="148"/>
      <c r="FSV403" s="148"/>
      <c r="FSW403" s="148"/>
      <c r="FSX403" s="148"/>
      <c r="FSY403" s="148"/>
      <c r="FSZ403" s="148"/>
      <c r="FTA403" s="148"/>
      <c r="FTB403" s="148"/>
      <c r="FTC403" s="148"/>
      <c r="FTD403" s="148"/>
      <c r="FTE403" s="148"/>
      <c r="FTF403" s="148"/>
      <c r="FTG403" s="148"/>
      <c r="FTH403" s="148"/>
      <c r="FTI403" s="148"/>
      <c r="FTJ403" s="148"/>
      <c r="FTK403" s="148"/>
      <c r="FTL403" s="148"/>
      <c r="FTM403" s="148"/>
      <c r="FTN403" s="148"/>
      <c r="FTO403" s="148"/>
      <c r="FTP403" s="148"/>
      <c r="FTQ403" s="148"/>
      <c r="FTR403" s="148"/>
      <c r="FTS403" s="148"/>
      <c r="FTT403" s="148"/>
      <c r="FTU403" s="148"/>
      <c r="FTV403" s="148"/>
      <c r="FTW403" s="148"/>
      <c r="FTX403" s="148"/>
      <c r="FTY403" s="148"/>
      <c r="FTZ403" s="148"/>
      <c r="FUA403" s="148"/>
      <c r="FUB403" s="148"/>
      <c r="FUC403" s="148"/>
      <c r="FUD403" s="148"/>
      <c r="FUE403" s="148"/>
      <c r="FUF403" s="148"/>
      <c r="FUG403" s="148"/>
      <c r="FUH403" s="148"/>
      <c r="FUI403" s="148"/>
      <c r="FUJ403" s="148"/>
      <c r="FUK403" s="148"/>
      <c r="FUL403" s="148"/>
      <c r="FUM403" s="148"/>
      <c r="FUN403" s="148"/>
      <c r="FUO403" s="148"/>
      <c r="FUP403" s="148"/>
      <c r="FUQ403" s="148"/>
      <c r="FUR403" s="148"/>
      <c r="FUS403" s="148"/>
      <c r="FUT403" s="148"/>
      <c r="FUU403" s="148"/>
      <c r="FUV403" s="148"/>
      <c r="FUW403" s="148"/>
      <c r="FUX403" s="148"/>
      <c r="FUY403" s="148"/>
      <c r="FUZ403" s="148"/>
      <c r="FVA403" s="148"/>
      <c r="FVB403" s="148"/>
      <c r="FVC403" s="148"/>
      <c r="FVD403" s="148"/>
      <c r="FVE403" s="148"/>
      <c r="FVF403" s="148"/>
      <c r="FVG403" s="148"/>
      <c r="FVH403" s="148"/>
      <c r="FVI403" s="148"/>
      <c r="FVJ403" s="148"/>
      <c r="FVK403" s="148"/>
      <c r="FVL403" s="148"/>
      <c r="FVM403" s="148"/>
      <c r="FVN403" s="148"/>
      <c r="FVO403" s="148"/>
      <c r="FVP403" s="148"/>
      <c r="FVQ403" s="148"/>
      <c r="FVR403" s="148"/>
      <c r="FVS403" s="148"/>
      <c r="FVT403" s="148"/>
      <c r="FVU403" s="148"/>
      <c r="FVV403" s="148"/>
      <c r="FVW403" s="148"/>
      <c r="FVX403" s="148"/>
      <c r="FVY403" s="148"/>
      <c r="FVZ403" s="148"/>
      <c r="FWA403" s="148"/>
      <c r="FWB403" s="148"/>
      <c r="FWC403" s="148"/>
      <c r="FWD403" s="148"/>
      <c r="FWE403" s="148"/>
      <c r="FWF403" s="148"/>
      <c r="FWG403" s="148"/>
      <c r="FWH403" s="148"/>
      <c r="FWI403" s="148"/>
      <c r="FWJ403" s="148"/>
      <c r="FWK403" s="148"/>
      <c r="FWL403" s="148"/>
      <c r="FWM403" s="148"/>
      <c r="FWN403" s="148"/>
      <c r="FWO403" s="148"/>
      <c r="FWP403" s="148"/>
      <c r="FWQ403" s="148"/>
      <c r="FWR403" s="148"/>
      <c r="FWS403" s="148"/>
      <c r="FWT403" s="148"/>
      <c r="FWU403" s="148"/>
      <c r="FWV403" s="148"/>
      <c r="FWW403" s="148"/>
      <c r="FWX403" s="148"/>
      <c r="FWY403" s="148"/>
      <c r="FWZ403" s="148"/>
      <c r="FXA403" s="148"/>
      <c r="FXB403" s="148"/>
      <c r="FXC403" s="148"/>
      <c r="FXD403" s="148"/>
      <c r="FXE403" s="148"/>
      <c r="FXF403" s="148"/>
      <c r="FXG403" s="148"/>
      <c r="FXH403" s="148"/>
      <c r="FXI403" s="148"/>
      <c r="FXJ403" s="148"/>
      <c r="FXK403" s="148"/>
      <c r="FXL403" s="148"/>
      <c r="FXM403" s="148"/>
      <c r="FXN403" s="148"/>
      <c r="FXO403" s="148"/>
      <c r="FXP403" s="148"/>
      <c r="FXQ403" s="148"/>
      <c r="FXR403" s="148"/>
      <c r="FXS403" s="148"/>
      <c r="FXT403" s="148"/>
      <c r="FXU403" s="148"/>
      <c r="FXV403" s="148"/>
      <c r="FXW403" s="148"/>
      <c r="FXX403" s="148"/>
      <c r="FXY403" s="148"/>
      <c r="FXZ403" s="148"/>
      <c r="FYA403" s="148"/>
      <c r="FYB403" s="148"/>
      <c r="FYC403" s="148"/>
      <c r="FYD403" s="148"/>
      <c r="FYE403" s="148"/>
      <c r="FYF403" s="148"/>
      <c r="FYG403" s="148"/>
      <c r="FYH403" s="148"/>
      <c r="FYI403" s="148"/>
      <c r="FYJ403" s="148"/>
      <c r="FYK403" s="148"/>
      <c r="FYL403" s="148"/>
      <c r="FYM403" s="148"/>
      <c r="FYN403" s="148"/>
      <c r="FYO403" s="148"/>
      <c r="FYP403" s="148"/>
      <c r="FYQ403" s="148"/>
      <c r="FYR403" s="148"/>
      <c r="FYS403" s="148"/>
      <c r="FYT403" s="148"/>
      <c r="FYU403" s="148"/>
      <c r="FYV403" s="148"/>
      <c r="FYW403" s="148"/>
      <c r="FYX403" s="148"/>
      <c r="FYY403" s="148"/>
      <c r="FYZ403" s="148"/>
      <c r="FZA403" s="148"/>
      <c r="FZB403" s="148"/>
      <c r="FZC403" s="148"/>
      <c r="FZD403" s="148"/>
      <c r="FZE403" s="148"/>
      <c r="FZF403" s="148"/>
      <c r="FZG403" s="148"/>
      <c r="FZH403" s="148"/>
      <c r="FZI403" s="148"/>
      <c r="FZJ403" s="148"/>
      <c r="FZK403" s="148"/>
      <c r="FZL403" s="148"/>
      <c r="FZM403" s="148"/>
      <c r="FZN403" s="148"/>
      <c r="FZO403" s="148"/>
      <c r="FZP403" s="148"/>
      <c r="FZQ403" s="148"/>
      <c r="FZR403" s="148"/>
      <c r="FZS403" s="148"/>
      <c r="FZT403" s="148"/>
      <c r="FZU403" s="148"/>
      <c r="FZV403" s="148"/>
      <c r="FZW403" s="148"/>
      <c r="FZX403" s="148"/>
      <c r="FZY403" s="148"/>
      <c r="FZZ403" s="148"/>
      <c r="GAA403" s="148"/>
      <c r="GAB403" s="148"/>
      <c r="GAC403" s="148"/>
      <c r="GAD403" s="148"/>
      <c r="GAE403" s="148"/>
      <c r="GAF403" s="148"/>
      <c r="GAG403" s="148"/>
      <c r="GAH403" s="148"/>
      <c r="GAI403" s="148"/>
      <c r="GAJ403" s="148"/>
      <c r="GAK403" s="148"/>
      <c r="GAL403" s="148"/>
      <c r="GAM403" s="148"/>
      <c r="GAN403" s="148"/>
      <c r="GAO403" s="148"/>
      <c r="GAP403" s="148"/>
      <c r="GAQ403" s="148"/>
      <c r="GAR403" s="148"/>
      <c r="GAS403" s="148"/>
      <c r="GAT403" s="148"/>
      <c r="GAU403" s="148"/>
      <c r="GAV403" s="148"/>
      <c r="GAW403" s="148"/>
      <c r="GAX403" s="148"/>
      <c r="GAY403" s="148"/>
      <c r="GAZ403" s="148"/>
      <c r="GBA403" s="148"/>
      <c r="GBB403" s="148"/>
      <c r="GBC403" s="148"/>
      <c r="GBD403" s="148"/>
      <c r="GBE403" s="148"/>
      <c r="GBF403" s="148"/>
      <c r="GBG403" s="148"/>
      <c r="GBH403" s="148"/>
      <c r="GBI403" s="148"/>
      <c r="GBJ403" s="148"/>
      <c r="GBK403" s="148"/>
      <c r="GBL403" s="148"/>
      <c r="GBM403" s="148"/>
      <c r="GBN403" s="148"/>
      <c r="GBO403" s="148"/>
      <c r="GBP403" s="148"/>
      <c r="GBQ403" s="148"/>
      <c r="GBR403" s="148"/>
      <c r="GBS403" s="148"/>
      <c r="GBT403" s="148"/>
      <c r="GBU403" s="148"/>
      <c r="GBV403" s="148"/>
      <c r="GBW403" s="148"/>
      <c r="GBX403" s="148"/>
      <c r="GBY403" s="148"/>
      <c r="GBZ403" s="148"/>
      <c r="GCA403" s="148"/>
      <c r="GCB403" s="148"/>
      <c r="GCC403" s="148"/>
      <c r="GCD403" s="148"/>
      <c r="GCE403" s="148"/>
      <c r="GCF403" s="148"/>
      <c r="GCG403" s="148"/>
      <c r="GCH403" s="148"/>
      <c r="GCI403" s="148"/>
      <c r="GCJ403" s="148"/>
      <c r="GCK403" s="148"/>
      <c r="GCL403" s="148"/>
      <c r="GCM403" s="148"/>
      <c r="GCN403" s="148"/>
      <c r="GCO403" s="148"/>
      <c r="GCP403" s="148"/>
      <c r="GCQ403" s="148"/>
      <c r="GCR403" s="148"/>
      <c r="GCS403" s="148"/>
      <c r="GCT403" s="148"/>
      <c r="GCU403" s="148"/>
      <c r="GCV403" s="148"/>
      <c r="GCW403" s="148"/>
      <c r="GCX403" s="148"/>
      <c r="GCY403" s="148"/>
      <c r="GCZ403" s="148"/>
      <c r="GDA403" s="148"/>
      <c r="GDB403" s="148"/>
      <c r="GDC403" s="148"/>
      <c r="GDD403" s="148"/>
      <c r="GDE403" s="148"/>
      <c r="GDF403" s="148"/>
      <c r="GDG403" s="148"/>
      <c r="GDH403" s="148"/>
      <c r="GDI403" s="148"/>
      <c r="GDJ403" s="148"/>
      <c r="GDK403" s="148"/>
      <c r="GDL403" s="148"/>
      <c r="GDM403" s="148"/>
      <c r="GDN403" s="148"/>
      <c r="GDO403" s="148"/>
      <c r="GDP403" s="148"/>
      <c r="GDQ403" s="148"/>
      <c r="GDR403" s="148"/>
      <c r="GDS403" s="148"/>
      <c r="GDT403" s="148"/>
      <c r="GDU403" s="148"/>
      <c r="GDV403" s="148"/>
      <c r="GDW403" s="148"/>
      <c r="GDX403" s="148"/>
      <c r="GDY403" s="148"/>
      <c r="GDZ403" s="148"/>
      <c r="GEA403" s="148"/>
      <c r="GEB403" s="148"/>
      <c r="GEC403" s="148"/>
      <c r="GED403" s="148"/>
      <c r="GEE403" s="148"/>
      <c r="GEF403" s="148"/>
      <c r="GEG403" s="148"/>
      <c r="GEH403" s="148"/>
      <c r="GEI403" s="148"/>
      <c r="GEJ403" s="148"/>
      <c r="GEK403" s="148"/>
      <c r="GEL403" s="148"/>
      <c r="GEM403" s="148"/>
      <c r="GEN403" s="148"/>
      <c r="GEO403" s="148"/>
      <c r="GEP403" s="148"/>
      <c r="GEQ403" s="148"/>
      <c r="GER403" s="148"/>
      <c r="GES403" s="148"/>
      <c r="GET403" s="148"/>
      <c r="GEU403" s="148"/>
      <c r="GEV403" s="148"/>
      <c r="GEW403" s="148"/>
      <c r="GEX403" s="148"/>
      <c r="GEY403" s="148"/>
      <c r="GEZ403" s="148"/>
      <c r="GFA403" s="148"/>
      <c r="GFB403" s="148"/>
      <c r="GFC403" s="148"/>
      <c r="GFD403" s="148"/>
      <c r="GFE403" s="148"/>
      <c r="GFF403" s="148"/>
      <c r="GFG403" s="148"/>
      <c r="GFH403" s="148"/>
      <c r="GFI403" s="148"/>
      <c r="GFJ403" s="148"/>
      <c r="GFK403" s="148"/>
      <c r="GFL403" s="148"/>
      <c r="GFM403" s="148"/>
      <c r="GFN403" s="148"/>
      <c r="GFO403" s="148"/>
      <c r="GFP403" s="148"/>
      <c r="GFQ403" s="148"/>
      <c r="GFR403" s="148"/>
      <c r="GFS403" s="148"/>
      <c r="GFT403" s="148"/>
      <c r="GFU403" s="148"/>
      <c r="GFV403" s="148"/>
      <c r="GFW403" s="148"/>
      <c r="GFX403" s="148"/>
      <c r="GFY403" s="148"/>
      <c r="GFZ403" s="148"/>
      <c r="GGA403" s="148"/>
      <c r="GGB403" s="148"/>
      <c r="GGC403" s="148"/>
      <c r="GGD403" s="148"/>
      <c r="GGE403" s="148"/>
      <c r="GGF403" s="148"/>
      <c r="GGG403" s="148"/>
      <c r="GGH403" s="148"/>
      <c r="GGI403" s="148"/>
      <c r="GGJ403" s="148"/>
      <c r="GGK403" s="148"/>
      <c r="GGL403" s="148"/>
      <c r="GGM403" s="148"/>
      <c r="GGN403" s="148"/>
      <c r="GGO403" s="148"/>
      <c r="GGP403" s="148"/>
      <c r="GGQ403" s="148"/>
      <c r="GGR403" s="148"/>
      <c r="GGS403" s="148"/>
      <c r="GGT403" s="148"/>
      <c r="GGU403" s="148"/>
      <c r="GGV403" s="148"/>
      <c r="GGW403" s="148"/>
      <c r="GGX403" s="148"/>
      <c r="GGY403" s="148"/>
      <c r="GGZ403" s="148"/>
      <c r="GHA403" s="148"/>
      <c r="GHB403" s="148"/>
      <c r="GHC403" s="148"/>
      <c r="GHD403" s="148"/>
      <c r="GHE403" s="148"/>
      <c r="GHF403" s="148"/>
      <c r="GHG403" s="148"/>
      <c r="GHH403" s="148"/>
      <c r="GHI403" s="148"/>
      <c r="GHJ403" s="148"/>
      <c r="GHK403" s="148"/>
      <c r="GHL403" s="148"/>
      <c r="GHM403" s="148"/>
      <c r="GHN403" s="148"/>
      <c r="GHO403" s="148"/>
      <c r="GHP403" s="148"/>
      <c r="GHQ403" s="148"/>
      <c r="GHR403" s="148"/>
      <c r="GHS403" s="148"/>
      <c r="GHT403" s="148"/>
      <c r="GHU403" s="148"/>
      <c r="GHV403" s="148"/>
      <c r="GHW403" s="148"/>
      <c r="GHX403" s="148"/>
      <c r="GHY403" s="148"/>
      <c r="GHZ403" s="148"/>
      <c r="GIA403" s="148"/>
      <c r="GIB403" s="148"/>
      <c r="GIC403" s="148"/>
      <c r="GID403" s="148"/>
      <c r="GIE403" s="148"/>
      <c r="GIF403" s="148"/>
      <c r="GIG403" s="148"/>
      <c r="GIH403" s="148"/>
      <c r="GII403" s="148"/>
      <c r="GIJ403" s="148"/>
      <c r="GIK403" s="148"/>
      <c r="GIL403" s="148"/>
      <c r="GIM403" s="148"/>
      <c r="GIN403" s="148"/>
      <c r="GIO403" s="148"/>
      <c r="GIP403" s="148"/>
      <c r="GIQ403" s="148"/>
      <c r="GIR403" s="148"/>
      <c r="GIS403" s="148"/>
      <c r="GIT403" s="148"/>
      <c r="GIU403" s="148"/>
      <c r="GIV403" s="148"/>
      <c r="GIW403" s="148"/>
      <c r="GIX403" s="148"/>
      <c r="GIY403" s="148"/>
      <c r="GIZ403" s="148"/>
      <c r="GJA403" s="148"/>
      <c r="GJB403" s="148"/>
      <c r="GJC403" s="148"/>
      <c r="GJD403" s="148"/>
      <c r="GJE403" s="148"/>
      <c r="GJF403" s="148"/>
      <c r="GJG403" s="148"/>
      <c r="GJH403" s="148"/>
      <c r="GJI403" s="148"/>
      <c r="GJJ403" s="148"/>
      <c r="GJK403" s="148"/>
      <c r="GJL403" s="148"/>
      <c r="GJM403" s="148"/>
      <c r="GJN403" s="148"/>
      <c r="GJO403" s="148"/>
      <c r="GJP403" s="148"/>
      <c r="GJQ403" s="148"/>
      <c r="GJR403" s="148"/>
      <c r="GJS403" s="148"/>
      <c r="GJT403" s="148"/>
      <c r="GJU403" s="148"/>
      <c r="GJV403" s="148"/>
      <c r="GJW403" s="148"/>
      <c r="GJX403" s="148"/>
      <c r="GJY403" s="148"/>
      <c r="GJZ403" s="148"/>
      <c r="GKA403" s="148"/>
      <c r="GKB403" s="148"/>
      <c r="GKC403" s="148"/>
      <c r="GKD403" s="148"/>
      <c r="GKE403" s="148"/>
      <c r="GKF403" s="148"/>
      <c r="GKG403" s="148"/>
      <c r="GKH403" s="148"/>
      <c r="GKI403" s="148"/>
      <c r="GKJ403" s="148"/>
      <c r="GKK403" s="148"/>
      <c r="GKL403" s="148"/>
      <c r="GKM403" s="148"/>
      <c r="GKN403" s="148"/>
      <c r="GKO403" s="148"/>
      <c r="GKP403" s="148"/>
      <c r="GKQ403" s="148"/>
      <c r="GKR403" s="148"/>
      <c r="GKS403" s="148"/>
      <c r="GKT403" s="148"/>
      <c r="GKU403" s="148"/>
      <c r="GKV403" s="148"/>
      <c r="GKW403" s="148"/>
      <c r="GKX403" s="148"/>
      <c r="GKY403" s="148"/>
      <c r="GKZ403" s="148"/>
      <c r="GLA403" s="148"/>
      <c r="GLB403" s="148"/>
      <c r="GLC403" s="148"/>
      <c r="GLD403" s="148"/>
      <c r="GLE403" s="148"/>
      <c r="GLF403" s="148"/>
      <c r="GLG403" s="148"/>
      <c r="GLH403" s="148"/>
      <c r="GLI403" s="148"/>
      <c r="GLJ403" s="148"/>
      <c r="GLK403" s="148"/>
      <c r="GLL403" s="148"/>
      <c r="GLM403" s="148"/>
      <c r="GLN403" s="148"/>
      <c r="GLO403" s="148"/>
      <c r="GLP403" s="148"/>
      <c r="GLQ403" s="148"/>
      <c r="GLR403" s="148"/>
      <c r="GLS403" s="148"/>
      <c r="GLT403" s="148"/>
      <c r="GLU403" s="148"/>
      <c r="GLV403" s="148"/>
      <c r="GLW403" s="148"/>
      <c r="GLX403" s="148"/>
      <c r="GLY403" s="148"/>
      <c r="GLZ403" s="148"/>
      <c r="GMA403" s="148"/>
      <c r="GMB403" s="148"/>
      <c r="GMC403" s="148"/>
      <c r="GMD403" s="148"/>
      <c r="GME403" s="148"/>
      <c r="GMF403" s="148"/>
      <c r="GMG403" s="148"/>
      <c r="GMH403" s="148"/>
      <c r="GMI403" s="148"/>
      <c r="GMJ403" s="148"/>
      <c r="GMK403" s="148"/>
      <c r="GML403" s="148"/>
      <c r="GMM403" s="148"/>
      <c r="GMN403" s="148"/>
      <c r="GMO403" s="148"/>
      <c r="GMP403" s="148"/>
      <c r="GMQ403" s="148"/>
      <c r="GMR403" s="148"/>
      <c r="GMS403" s="148"/>
      <c r="GMT403" s="148"/>
      <c r="GMU403" s="148"/>
      <c r="GMV403" s="148"/>
      <c r="GMW403" s="148"/>
      <c r="GMX403" s="148"/>
      <c r="GMY403" s="148"/>
      <c r="GMZ403" s="148"/>
      <c r="GNA403" s="148"/>
      <c r="GNB403" s="148"/>
      <c r="GNC403" s="148"/>
      <c r="GND403" s="148"/>
      <c r="GNE403" s="148"/>
      <c r="GNF403" s="148"/>
      <c r="GNG403" s="148"/>
      <c r="GNH403" s="148"/>
      <c r="GNI403" s="148"/>
      <c r="GNJ403" s="148"/>
      <c r="GNK403" s="148"/>
      <c r="GNL403" s="148"/>
      <c r="GNM403" s="148"/>
      <c r="GNN403" s="148"/>
      <c r="GNO403" s="148"/>
      <c r="GNP403" s="148"/>
      <c r="GNQ403" s="148"/>
      <c r="GNR403" s="148"/>
      <c r="GNS403" s="148"/>
      <c r="GNT403" s="148"/>
      <c r="GNU403" s="148"/>
      <c r="GNV403" s="148"/>
      <c r="GNW403" s="148"/>
      <c r="GNX403" s="148"/>
      <c r="GNY403" s="148"/>
      <c r="GNZ403" s="148"/>
      <c r="GOA403" s="148"/>
      <c r="GOB403" s="148"/>
      <c r="GOC403" s="148"/>
      <c r="GOD403" s="148"/>
      <c r="GOE403" s="148"/>
      <c r="GOF403" s="148"/>
      <c r="GOG403" s="148"/>
      <c r="GOH403" s="148"/>
      <c r="GOI403" s="148"/>
      <c r="GOJ403" s="148"/>
      <c r="GOK403" s="148"/>
      <c r="GOL403" s="148"/>
      <c r="GOM403" s="148"/>
      <c r="GON403" s="148"/>
      <c r="GOO403" s="148"/>
      <c r="GOP403" s="148"/>
      <c r="GOQ403" s="148"/>
      <c r="GOR403" s="148"/>
      <c r="GOS403" s="148"/>
      <c r="GOT403" s="148"/>
      <c r="GOU403" s="148"/>
      <c r="GOV403" s="148"/>
      <c r="GOW403" s="148"/>
      <c r="GOX403" s="148"/>
      <c r="GOY403" s="148"/>
      <c r="GOZ403" s="148"/>
      <c r="GPA403" s="148"/>
      <c r="GPB403" s="148"/>
      <c r="GPC403" s="148"/>
      <c r="GPD403" s="148"/>
      <c r="GPE403" s="148"/>
      <c r="GPF403" s="148"/>
      <c r="GPG403" s="148"/>
      <c r="GPH403" s="148"/>
      <c r="GPI403" s="148"/>
      <c r="GPJ403" s="148"/>
      <c r="GPK403" s="148"/>
      <c r="GPL403" s="148"/>
      <c r="GPM403" s="148"/>
      <c r="GPN403" s="148"/>
      <c r="GPO403" s="148"/>
      <c r="GPP403" s="148"/>
      <c r="GPQ403" s="148"/>
      <c r="GPR403" s="148"/>
      <c r="GPS403" s="148"/>
      <c r="GPT403" s="148"/>
      <c r="GPU403" s="148"/>
      <c r="GPV403" s="148"/>
      <c r="GPW403" s="148"/>
      <c r="GPX403" s="148"/>
      <c r="GPY403" s="148"/>
      <c r="GPZ403" s="148"/>
      <c r="GQA403" s="148"/>
      <c r="GQB403" s="148"/>
      <c r="GQC403" s="148"/>
      <c r="GQD403" s="148"/>
      <c r="GQE403" s="148"/>
      <c r="GQF403" s="148"/>
      <c r="GQG403" s="148"/>
      <c r="GQH403" s="148"/>
      <c r="GQI403" s="148"/>
      <c r="GQJ403" s="148"/>
      <c r="GQK403" s="148"/>
      <c r="GQL403" s="148"/>
      <c r="GQM403" s="148"/>
      <c r="GQN403" s="148"/>
      <c r="GQO403" s="148"/>
      <c r="GQP403" s="148"/>
      <c r="GQQ403" s="148"/>
      <c r="GQR403" s="148"/>
      <c r="GQS403" s="148"/>
      <c r="GQT403" s="148"/>
      <c r="GQU403" s="148"/>
      <c r="GQV403" s="148"/>
      <c r="GQW403" s="148"/>
      <c r="GQX403" s="148"/>
      <c r="GQY403" s="148"/>
      <c r="GQZ403" s="148"/>
      <c r="GRA403" s="148"/>
      <c r="GRB403" s="148"/>
      <c r="GRC403" s="148"/>
      <c r="GRD403" s="148"/>
      <c r="GRE403" s="148"/>
      <c r="GRF403" s="148"/>
      <c r="GRG403" s="148"/>
      <c r="GRH403" s="148"/>
      <c r="GRI403" s="148"/>
      <c r="GRJ403" s="148"/>
      <c r="GRK403" s="148"/>
      <c r="GRL403" s="148"/>
      <c r="GRM403" s="148"/>
      <c r="GRN403" s="148"/>
      <c r="GRO403" s="148"/>
      <c r="GRP403" s="148"/>
      <c r="GRQ403" s="148"/>
      <c r="GRR403" s="148"/>
      <c r="GRS403" s="148"/>
      <c r="GRT403" s="148"/>
      <c r="GRU403" s="148"/>
      <c r="GRV403" s="148"/>
      <c r="GRW403" s="148"/>
      <c r="GRX403" s="148"/>
      <c r="GRY403" s="148"/>
      <c r="GRZ403" s="148"/>
      <c r="GSA403" s="148"/>
      <c r="GSB403" s="148"/>
      <c r="GSC403" s="148"/>
      <c r="GSD403" s="148"/>
      <c r="GSE403" s="148"/>
      <c r="GSF403" s="148"/>
      <c r="GSG403" s="148"/>
      <c r="GSH403" s="148"/>
      <c r="GSI403" s="148"/>
      <c r="GSJ403" s="148"/>
      <c r="GSK403" s="148"/>
      <c r="GSL403" s="148"/>
      <c r="GSM403" s="148"/>
      <c r="GSN403" s="148"/>
      <c r="GSO403" s="148"/>
      <c r="GSP403" s="148"/>
      <c r="GSQ403" s="148"/>
      <c r="GSR403" s="148"/>
      <c r="GSS403" s="148"/>
      <c r="GST403" s="148"/>
      <c r="GSU403" s="148"/>
      <c r="GSV403" s="148"/>
      <c r="GSW403" s="148"/>
      <c r="GSX403" s="148"/>
      <c r="GSY403" s="148"/>
      <c r="GSZ403" s="148"/>
      <c r="GTA403" s="148"/>
      <c r="GTB403" s="148"/>
      <c r="GTC403" s="148"/>
      <c r="GTD403" s="148"/>
      <c r="GTE403" s="148"/>
      <c r="GTF403" s="148"/>
      <c r="GTG403" s="148"/>
      <c r="GTH403" s="148"/>
      <c r="GTI403" s="148"/>
      <c r="GTJ403" s="148"/>
      <c r="GTK403" s="148"/>
      <c r="GTL403" s="148"/>
      <c r="GTM403" s="148"/>
      <c r="GTN403" s="148"/>
      <c r="GTO403" s="148"/>
      <c r="GTP403" s="148"/>
      <c r="GTQ403" s="148"/>
      <c r="GTR403" s="148"/>
      <c r="GTS403" s="148"/>
      <c r="GTT403" s="148"/>
      <c r="GTU403" s="148"/>
      <c r="GTV403" s="148"/>
      <c r="GTW403" s="148"/>
      <c r="GTX403" s="148"/>
      <c r="GTY403" s="148"/>
      <c r="GTZ403" s="148"/>
      <c r="GUA403" s="148"/>
      <c r="GUB403" s="148"/>
      <c r="GUC403" s="148"/>
      <c r="GUD403" s="148"/>
      <c r="GUE403" s="148"/>
      <c r="GUF403" s="148"/>
      <c r="GUG403" s="148"/>
      <c r="GUH403" s="148"/>
      <c r="GUI403" s="148"/>
      <c r="GUJ403" s="148"/>
      <c r="GUK403" s="148"/>
      <c r="GUL403" s="148"/>
      <c r="GUM403" s="148"/>
      <c r="GUN403" s="148"/>
      <c r="GUO403" s="148"/>
      <c r="GUP403" s="148"/>
      <c r="GUQ403" s="148"/>
      <c r="GUR403" s="148"/>
      <c r="GUS403" s="148"/>
      <c r="GUT403" s="148"/>
      <c r="GUU403" s="148"/>
      <c r="GUV403" s="148"/>
      <c r="GUW403" s="148"/>
      <c r="GUX403" s="148"/>
      <c r="GUY403" s="148"/>
      <c r="GUZ403" s="148"/>
      <c r="GVA403" s="148"/>
      <c r="GVB403" s="148"/>
      <c r="GVC403" s="148"/>
      <c r="GVD403" s="148"/>
      <c r="GVE403" s="148"/>
      <c r="GVF403" s="148"/>
      <c r="GVG403" s="148"/>
      <c r="GVH403" s="148"/>
      <c r="GVI403" s="148"/>
      <c r="GVJ403" s="148"/>
      <c r="GVK403" s="148"/>
      <c r="GVL403" s="148"/>
      <c r="GVM403" s="148"/>
      <c r="GVN403" s="148"/>
      <c r="GVO403" s="148"/>
      <c r="GVP403" s="148"/>
      <c r="GVQ403" s="148"/>
      <c r="GVR403" s="148"/>
      <c r="GVS403" s="148"/>
      <c r="GVT403" s="148"/>
      <c r="GVU403" s="148"/>
      <c r="GVV403" s="148"/>
      <c r="GVW403" s="148"/>
      <c r="GVX403" s="148"/>
      <c r="GVY403" s="148"/>
      <c r="GVZ403" s="148"/>
      <c r="GWA403" s="148"/>
      <c r="GWB403" s="148"/>
      <c r="GWC403" s="148"/>
      <c r="GWD403" s="148"/>
      <c r="GWE403" s="148"/>
      <c r="GWF403" s="148"/>
      <c r="GWG403" s="148"/>
      <c r="GWH403" s="148"/>
      <c r="GWI403" s="148"/>
      <c r="GWJ403" s="148"/>
      <c r="GWK403" s="148"/>
      <c r="GWL403" s="148"/>
      <c r="GWM403" s="148"/>
      <c r="GWN403" s="148"/>
      <c r="GWO403" s="148"/>
      <c r="GWP403" s="148"/>
      <c r="GWQ403" s="148"/>
      <c r="GWR403" s="148"/>
      <c r="GWS403" s="148"/>
      <c r="GWT403" s="148"/>
      <c r="GWU403" s="148"/>
      <c r="GWV403" s="148"/>
      <c r="GWW403" s="148"/>
      <c r="GWX403" s="148"/>
      <c r="GWY403" s="148"/>
      <c r="GWZ403" s="148"/>
      <c r="GXA403" s="148"/>
      <c r="GXB403" s="148"/>
      <c r="GXC403" s="148"/>
      <c r="GXD403" s="148"/>
      <c r="GXE403" s="148"/>
      <c r="GXF403" s="148"/>
      <c r="GXG403" s="148"/>
      <c r="GXH403" s="148"/>
      <c r="GXI403" s="148"/>
      <c r="GXJ403" s="148"/>
      <c r="GXK403" s="148"/>
      <c r="GXL403" s="148"/>
      <c r="GXM403" s="148"/>
      <c r="GXN403" s="148"/>
      <c r="GXO403" s="148"/>
      <c r="GXP403" s="148"/>
      <c r="GXQ403" s="148"/>
      <c r="GXR403" s="148"/>
      <c r="GXS403" s="148"/>
      <c r="GXT403" s="148"/>
      <c r="GXU403" s="148"/>
      <c r="GXV403" s="148"/>
      <c r="GXW403" s="148"/>
      <c r="GXX403" s="148"/>
      <c r="GXY403" s="148"/>
      <c r="GXZ403" s="148"/>
      <c r="GYA403" s="148"/>
      <c r="GYB403" s="148"/>
      <c r="GYC403" s="148"/>
      <c r="GYD403" s="148"/>
      <c r="GYE403" s="148"/>
      <c r="GYF403" s="148"/>
      <c r="GYG403" s="148"/>
      <c r="GYH403" s="148"/>
      <c r="GYI403" s="148"/>
      <c r="GYJ403" s="148"/>
      <c r="GYK403" s="148"/>
      <c r="GYL403" s="148"/>
      <c r="GYM403" s="148"/>
      <c r="GYN403" s="148"/>
      <c r="GYO403" s="148"/>
      <c r="GYP403" s="148"/>
      <c r="GYQ403" s="148"/>
      <c r="GYR403" s="148"/>
      <c r="GYS403" s="148"/>
      <c r="GYT403" s="148"/>
      <c r="GYU403" s="148"/>
      <c r="GYV403" s="148"/>
      <c r="GYW403" s="148"/>
      <c r="GYX403" s="148"/>
      <c r="GYY403" s="148"/>
      <c r="GYZ403" s="148"/>
      <c r="GZA403" s="148"/>
      <c r="GZB403" s="148"/>
      <c r="GZC403" s="148"/>
      <c r="GZD403" s="148"/>
      <c r="GZE403" s="148"/>
      <c r="GZF403" s="148"/>
      <c r="GZG403" s="148"/>
      <c r="GZH403" s="148"/>
      <c r="GZI403" s="148"/>
      <c r="GZJ403" s="148"/>
      <c r="GZK403" s="148"/>
      <c r="GZL403" s="148"/>
      <c r="GZM403" s="148"/>
      <c r="GZN403" s="148"/>
      <c r="GZO403" s="148"/>
      <c r="GZP403" s="148"/>
      <c r="GZQ403" s="148"/>
      <c r="GZR403" s="148"/>
      <c r="GZS403" s="148"/>
      <c r="GZT403" s="148"/>
      <c r="GZU403" s="148"/>
      <c r="GZV403" s="148"/>
      <c r="GZW403" s="148"/>
      <c r="GZX403" s="148"/>
      <c r="GZY403" s="148"/>
      <c r="GZZ403" s="148"/>
      <c r="HAA403" s="148"/>
      <c r="HAB403" s="148"/>
      <c r="HAC403" s="148"/>
      <c r="HAD403" s="148"/>
      <c r="HAE403" s="148"/>
      <c r="HAF403" s="148"/>
      <c r="HAG403" s="148"/>
      <c r="HAH403" s="148"/>
      <c r="HAI403" s="148"/>
      <c r="HAJ403" s="148"/>
      <c r="HAK403" s="148"/>
      <c r="HAL403" s="148"/>
      <c r="HAM403" s="148"/>
      <c r="HAN403" s="148"/>
      <c r="HAO403" s="148"/>
      <c r="HAP403" s="148"/>
      <c r="HAQ403" s="148"/>
      <c r="HAR403" s="148"/>
      <c r="HAS403" s="148"/>
      <c r="HAT403" s="148"/>
      <c r="HAU403" s="148"/>
      <c r="HAV403" s="148"/>
      <c r="HAW403" s="148"/>
      <c r="HAX403" s="148"/>
      <c r="HAY403" s="148"/>
      <c r="HAZ403" s="148"/>
      <c r="HBA403" s="148"/>
      <c r="HBB403" s="148"/>
      <c r="HBC403" s="148"/>
      <c r="HBD403" s="148"/>
      <c r="HBE403" s="148"/>
      <c r="HBF403" s="148"/>
      <c r="HBG403" s="148"/>
      <c r="HBH403" s="148"/>
      <c r="HBI403" s="148"/>
      <c r="HBJ403" s="148"/>
      <c r="HBK403" s="148"/>
      <c r="HBL403" s="148"/>
      <c r="HBM403" s="148"/>
      <c r="HBN403" s="148"/>
      <c r="HBO403" s="148"/>
      <c r="HBP403" s="148"/>
      <c r="HBQ403" s="148"/>
      <c r="HBR403" s="148"/>
      <c r="HBS403" s="148"/>
      <c r="HBT403" s="148"/>
      <c r="HBU403" s="148"/>
      <c r="HBV403" s="148"/>
      <c r="HBW403" s="148"/>
      <c r="HBX403" s="148"/>
      <c r="HBY403" s="148"/>
      <c r="HBZ403" s="148"/>
      <c r="HCA403" s="148"/>
      <c r="HCB403" s="148"/>
      <c r="HCC403" s="148"/>
      <c r="HCD403" s="148"/>
      <c r="HCE403" s="148"/>
      <c r="HCF403" s="148"/>
      <c r="HCG403" s="148"/>
      <c r="HCH403" s="148"/>
      <c r="HCI403" s="148"/>
      <c r="HCJ403" s="148"/>
      <c r="HCK403" s="148"/>
      <c r="HCL403" s="148"/>
      <c r="HCM403" s="148"/>
      <c r="HCN403" s="148"/>
      <c r="HCO403" s="148"/>
      <c r="HCP403" s="148"/>
      <c r="HCQ403" s="148"/>
      <c r="HCR403" s="148"/>
      <c r="HCS403" s="148"/>
      <c r="HCT403" s="148"/>
      <c r="HCU403" s="148"/>
      <c r="HCV403" s="148"/>
      <c r="HCW403" s="148"/>
      <c r="HCX403" s="148"/>
      <c r="HCY403" s="148"/>
      <c r="HCZ403" s="148"/>
      <c r="HDA403" s="148"/>
      <c r="HDB403" s="148"/>
      <c r="HDC403" s="148"/>
      <c r="HDD403" s="148"/>
      <c r="HDE403" s="148"/>
      <c r="HDF403" s="148"/>
      <c r="HDG403" s="148"/>
      <c r="HDH403" s="148"/>
      <c r="HDI403" s="148"/>
      <c r="HDJ403" s="148"/>
      <c r="HDK403" s="148"/>
      <c r="HDL403" s="148"/>
      <c r="HDM403" s="148"/>
      <c r="HDN403" s="148"/>
      <c r="HDO403" s="148"/>
      <c r="HDP403" s="148"/>
      <c r="HDQ403" s="148"/>
      <c r="HDR403" s="148"/>
      <c r="HDS403" s="148"/>
      <c r="HDT403" s="148"/>
      <c r="HDU403" s="148"/>
      <c r="HDV403" s="148"/>
      <c r="HDW403" s="148"/>
      <c r="HDX403" s="148"/>
      <c r="HDY403" s="148"/>
      <c r="HDZ403" s="148"/>
      <c r="HEA403" s="148"/>
      <c r="HEB403" s="148"/>
      <c r="HEC403" s="148"/>
      <c r="HED403" s="148"/>
      <c r="HEE403" s="148"/>
      <c r="HEF403" s="148"/>
      <c r="HEG403" s="148"/>
      <c r="HEH403" s="148"/>
      <c r="HEI403" s="148"/>
      <c r="HEJ403" s="148"/>
      <c r="HEK403" s="148"/>
      <c r="HEL403" s="148"/>
      <c r="HEM403" s="148"/>
      <c r="HEN403" s="148"/>
      <c r="HEO403" s="148"/>
      <c r="HEP403" s="148"/>
      <c r="HEQ403" s="148"/>
      <c r="HER403" s="148"/>
      <c r="HES403" s="148"/>
      <c r="HET403" s="148"/>
      <c r="HEU403" s="148"/>
      <c r="HEV403" s="148"/>
      <c r="HEW403" s="148"/>
      <c r="HEX403" s="148"/>
      <c r="HEY403" s="148"/>
      <c r="HEZ403" s="148"/>
      <c r="HFA403" s="148"/>
      <c r="HFB403" s="148"/>
      <c r="HFC403" s="148"/>
      <c r="HFD403" s="148"/>
      <c r="HFE403" s="148"/>
      <c r="HFF403" s="148"/>
      <c r="HFG403" s="148"/>
      <c r="HFH403" s="148"/>
      <c r="HFI403" s="148"/>
      <c r="HFJ403" s="148"/>
      <c r="HFK403" s="148"/>
      <c r="HFL403" s="148"/>
      <c r="HFM403" s="148"/>
      <c r="HFN403" s="148"/>
      <c r="HFO403" s="148"/>
      <c r="HFP403" s="148"/>
      <c r="HFQ403" s="148"/>
      <c r="HFR403" s="148"/>
      <c r="HFS403" s="148"/>
      <c r="HFT403" s="148"/>
      <c r="HFU403" s="148"/>
      <c r="HFV403" s="148"/>
      <c r="HFW403" s="148"/>
      <c r="HFX403" s="148"/>
      <c r="HFY403" s="148"/>
      <c r="HFZ403" s="148"/>
      <c r="HGA403" s="148"/>
      <c r="HGB403" s="148"/>
      <c r="HGC403" s="148"/>
      <c r="HGD403" s="148"/>
      <c r="HGE403" s="148"/>
      <c r="HGF403" s="148"/>
      <c r="HGG403" s="148"/>
      <c r="HGH403" s="148"/>
      <c r="HGI403" s="148"/>
      <c r="HGJ403" s="148"/>
      <c r="HGK403" s="148"/>
      <c r="HGL403" s="148"/>
      <c r="HGM403" s="148"/>
      <c r="HGN403" s="148"/>
      <c r="HGO403" s="148"/>
      <c r="HGP403" s="148"/>
      <c r="HGQ403" s="148"/>
      <c r="HGR403" s="148"/>
      <c r="HGS403" s="148"/>
      <c r="HGT403" s="148"/>
      <c r="HGU403" s="148"/>
      <c r="HGV403" s="148"/>
      <c r="HGW403" s="148"/>
      <c r="HGX403" s="148"/>
      <c r="HGY403" s="148"/>
      <c r="HGZ403" s="148"/>
      <c r="HHA403" s="148"/>
      <c r="HHB403" s="148"/>
      <c r="HHC403" s="148"/>
      <c r="HHD403" s="148"/>
      <c r="HHE403" s="148"/>
      <c r="HHF403" s="148"/>
      <c r="HHG403" s="148"/>
      <c r="HHH403" s="148"/>
      <c r="HHI403" s="148"/>
      <c r="HHJ403" s="148"/>
      <c r="HHK403" s="148"/>
      <c r="HHL403" s="148"/>
      <c r="HHM403" s="148"/>
      <c r="HHN403" s="148"/>
      <c r="HHO403" s="148"/>
      <c r="HHP403" s="148"/>
      <c r="HHQ403" s="148"/>
      <c r="HHR403" s="148"/>
      <c r="HHS403" s="148"/>
      <c r="HHT403" s="148"/>
      <c r="HHU403" s="148"/>
      <c r="HHV403" s="148"/>
      <c r="HHW403" s="148"/>
      <c r="HHX403" s="148"/>
      <c r="HHY403" s="148"/>
      <c r="HHZ403" s="148"/>
      <c r="HIA403" s="148"/>
      <c r="HIB403" s="148"/>
      <c r="HIC403" s="148"/>
      <c r="HID403" s="148"/>
      <c r="HIE403" s="148"/>
      <c r="HIF403" s="148"/>
      <c r="HIG403" s="148"/>
      <c r="HIH403" s="148"/>
      <c r="HII403" s="148"/>
      <c r="HIJ403" s="148"/>
      <c r="HIK403" s="148"/>
      <c r="HIL403" s="148"/>
      <c r="HIM403" s="148"/>
      <c r="HIN403" s="148"/>
      <c r="HIO403" s="148"/>
      <c r="HIP403" s="148"/>
      <c r="HIQ403" s="148"/>
      <c r="HIR403" s="148"/>
      <c r="HIS403" s="148"/>
      <c r="HIT403" s="148"/>
      <c r="HIU403" s="148"/>
      <c r="HIV403" s="148"/>
      <c r="HIW403" s="148"/>
      <c r="HIX403" s="148"/>
      <c r="HIY403" s="148"/>
      <c r="HIZ403" s="148"/>
      <c r="HJA403" s="148"/>
      <c r="HJB403" s="148"/>
      <c r="HJC403" s="148"/>
      <c r="HJD403" s="148"/>
      <c r="HJE403" s="148"/>
      <c r="HJF403" s="148"/>
      <c r="HJG403" s="148"/>
      <c r="HJH403" s="148"/>
      <c r="HJI403" s="148"/>
      <c r="HJJ403" s="148"/>
      <c r="HJK403" s="148"/>
      <c r="HJL403" s="148"/>
      <c r="HJM403" s="148"/>
      <c r="HJN403" s="148"/>
      <c r="HJO403" s="148"/>
      <c r="HJP403" s="148"/>
      <c r="HJQ403" s="148"/>
      <c r="HJR403" s="148"/>
      <c r="HJS403" s="148"/>
      <c r="HJT403" s="148"/>
      <c r="HJU403" s="148"/>
      <c r="HJV403" s="148"/>
      <c r="HJW403" s="148"/>
      <c r="HJX403" s="148"/>
      <c r="HJY403" s="148"/>
      <c r="HJZ403" s="148"/>
      <c r="HKA403" s="148"/>
      <c r="HKB403" s="148"/>
      <c r="HKC403" s="148"/>
      <c r="HKD403" s="148"/>
      <c r="HKE403" s="148"/>
      <c r="HKF403" s="148"/>
      <c r="HKG403" s="148"/>
      <c r="HKH403" s="148"/>
      <c r="HKI403" s="148"/>
      <c r="HKJ403" s="148"/>
      <c r="HKK403" s="148"/>
      <c r="HKL403" s="148"/>
      <c r="HKM403" s="148"/>
      <c r="HKN403" s="148"/>
      <c r="HKO403" s="148"/>
      <c r="HKP403" s="148"/>
      <c r="HKQ403" s="148"/>
      <c r="HKR403" s="148"/>
      <c r="HKS403" s="148"/>
      <c r="HKT403" s="148"/>
      <c r="HKU403" s="148"/>
      <c r="HKV403" s="148"/>
      <c r="HKW403" s="148"/>
      <c r="HKX403" s="148"/>
      <c r="HKY403" s="148"/>
      <c r="HKZ403" s="148"/>
      <c r="HLA403" s="148"/>
      <c r="HLB403" s="148"/>
      <c r="HLC403" s="148"/>
      <c r="HLD403" s="148"/>
      <c r="HLE403" s="148"/>
      <c r="HLF403" s="148"/>
      <c r="HLG403" s="148"/>
      <c r="HLH403" s="148"/>
      <c r="HLI403" s="148"/>
      <c r="HLJ403" s="148"/>
      <c r="HLK403" s="148"/>
      <c r="HLL403" s="148"/>
      <c r="HLM403" s="148"/>
      <c r="HLN403" s="148"/>
      <c r="HLO403" s="148"/>
      <c r="HLP403" s="148"/>
      <c r="HLQ403" s="148"/>
      <c r="HLR403" s="148"/>
      <c r="HLS403" s="148"/>
      <c r="HLT403" s="148"/>
      <c r="HLU403" s="148"/>
      <c r="HLV403" s="148"/>
      <c r="HLW403" s="148"/>
      <c r="HLX403" s="148"/>
      <c r="HLY403" s="148"/>
      <c r="HLZ403" s="148"/>
      <c r="HMA403" s="148"/>
      <c r="HMB403" s="148"/>
      <c r="HMC403" s="148"/>
      <c r="HMD403" s="148"/>
      <c r="HME403" s="148"/>
      <c r="HMF403" s="148"/>
      <c r="HMG403" s="148"/>
      <c r="HMH403" s="148"/>
      <c r="HMI403" s="148"/>
      <c r="HMJ403" s="148"/>
      <c r="HMK403" s="148"/>
      <c r="HML403" s="148"/>
      <c r="HMM403" s="148"/>
      <c r="HMN403" s="148"/>
      <c r="HMO403" s="148"/>
      <c r="HMP403" s="148"/>
      <c r="HMQ403" s="148"/>
      <c r="HMR403" s="148"/>
      <c r="HMS403" s="148"/>
      <c r="HMT403" s="148"/>
      <c r="HMU403" s="148"/>
      <c r="HMV403" s="148"/>
      <c r="HMW403" s="148"/>
      <c r="HMX403" s="148"/>
      <c r="HMY403" s="148"/>
      <c r="HMZ403" s="148"/>
      <c r="HNA403" s="148"/>
      <c r="HNB403" s="148"/>
      <c r="HNC403" s="148"/>
      <c r="HND403" s="148"/>
      <c r="HNE403" s="148"/>
      <c r="HNF403" s="148"/>
      <c r="HNG403" s="148"/>
      <c r="HNH403" s="148"/>
      <c r="HNI403" s="148"/>
      <c r="HNJ403" s="148"/>
      <c r="HNK403" s="148"/>
      <c r="HNL403" s="148"/>
      <c r="HNM403" s="148"/>
      <c r="HNN403" s="148"/>
      <c r="HNO403" s="148"/>
      <c r="HNP403" s="148"/>
      <c r="HNQ403" s="148"/>
      <c r="HNR403" s="148"/>
      <c r="HNS403" s="148"/>
      <c r="HNT403" s="148"/>
      <c r="HNU403" s="148"/>
      <c r="HNV403" s="148"/>
      <c r="HNW403" s="148"/>
      <c r="HNX403" s="148"/>
      <c r="HNY403" s="148"/>
      <c r="HNZ403" s="148"/>
      <c r="HOA403" s="148"/>
      <c r="HOB403" s="148"/>
      <c r="HOC403" s="148"/>
      <c r="HOD403" s="148"/>
      <c r="HOE403" s="148"/>
      <c r="HOF403" s="148"/>
      <c r="HOG403" s="148"/>
      <c r="HOH403" s="148"/>
      <c r="HOI403" s="148"/>
      <c r="HOJ403" s="148"/>
      <c r="HOK403" s="148"/>
      <c r="HOL403" s="148"/>
      <c r="HOM403" s="148"/>
      <c r="HON403" s="148"/>
      <c r="HOO403" s="148"/>
      <c r="HOP403" s="148"/>
      <c r="HOQ403" s="148"/>
      <c r="HOR403" s="148"/>
      <c r="HOS403" s="148"/>
      <c r="HOT403" s="148"/>
      <c r="HOU403" s="148"/>
      <c r="HOV403" s="148"/>
      <c r="HOW403" s="148"/>
      <c r="HOX403" s="148"/>
      <c r="HOY403" s="148"/>
      <c r="HOZ403" s="148"/>
      <c r="HPA403" s="148"/>
      <c r="HPB403" s="148"/>
      <c r="HPC403" s="148"/>
      <c r="HPD403" s="148"/>
      <c r="HPE403" s="148"/>
      <c r="HPF403" s="148"/>
      <c r="HPG403" s="148"/>
      <c r="HPH403" s="148"/>
      <c r="HPI403" s="148"/>
      <c r="HPJ403" s="148"/>
      <c r="HPK403" s="148"/>
      <c r="HPL403" s="148"/>
      <c r="HPM403" s="148"/>
      <c r="HPN403" s="148"/>
      <c r="HPO403" s="148"/>
      <c r="HPP403" s="148"/>
      <c r="HPQ403" s="148"/>
      <c r="HPR403" s="148"/>
      <c r="HPS403" s="148"/>
      <c r="HPT403" s="148"/>
      <c r="HPU403" s="148"/>
      <c r="HPV403" s="148"/>
      <c r="HPW403" s="148"/>
      <c r="HPX403" s="148"/>
      <c r="HPY403" s="148"/>
      <c r="HPZ403" s="148"/>
      <c r="HQA403" s="148"/>
      <c r="HQB403" s="148"/>
      <c r="HQC403" s="148"/>
      <c r="HQD403" s="148"/>
      <c r="HQE403" s="148"/>
      <c r="HQF403" s="148"/>
      <c r="HQG403" s="148"/>
      <c r="HQH403" s="148"/>
      <c r="HQI403" s="148"/>
      <c r="HQJ403" s="148"/>
      <c r="HQK403" s="148"/>
      <c r="HQL403" s="148"/>
      <c r="HQM403" s="148"/>
      <c r="HQN403" s="148"/>
      <c r="HQO403" s="148"/>
      <c r="HQP403" s="148"/>
      <c r="HQQ403" s="148"/>
      <c r="HQR403" s="148"/>
      <c r="HQS403" s="148"/>
      <c r="HQT403" s="148"/>
      <c r="HQU403" s="148"/>
      <c r="HQV403" s="148"/>
      <c r="HQW403" s="148"/>
      <c r="HQX403" s="148"/>
      <c r="HQY403" s="148"/>
      <c r="HQZ403" s="148"/>
      <c r="HRA403" s="148"/>
      <c r="HRB403" s="148"/>
      <c r="HRC403" s="148"/>
      <c r="HRD403" s="148"/>
      <c r="HRE403" s="148"/>
      <c r="HRF403" s="148"/>
      <c r="HRG403" s="148"/>
      <c r="HRH403" s="148"/>
      <c r="HRI403" s="148"/>
      <c r="HRJ403" s="148"/>
      <c r="HRK403" s="148"/>
      <c r="HRL403" s="148"/>
      <c r="HRM403" s="148"/>
      <c r="HRN403" s="148"/>
      <c r="HRO403" s="148"/>
      <c r="HRP403" s="148"/>
      <c r="HRQ403" s="148"/>
      <c r="HRR403" s="148"/>
      <c r="HRS403" s="148"/>
      <c r="HRT403" s="148"/>
      <c r="HRU403" s="148"/>
      <c r="HRV403" s="148"/>
      <c r="HRW403" s="148"/>
      <c r="HRX403" s="148"/>
      <c r="HRY403" s="148"/>
      <c r="HRZ403" s="148"/>
      <c r="HSA403" s="148"/>
      <c r="HSB403" s="148"/>
      <c r="HSC403" s="148"/>
      <c r="HSD403" s="148"/>
      <c r="HSE403" s="148"/>
      <c r="HSF403" s="148"/>
      <c r="HSG403" s="148"/>
      <c r="HSH403" s="148"/>
      <c r="HSI403" s="148"/>
      <c r="HSJ403" s="148"/>
      <c r="HSK403" s="148"/>
      <c r="HSL403" s="148"/>
      <c r="HSM403" s="148"/>
      <c r="HSN403" s="148"/>
      <c r="HSO403" s="148"/>
      <c r="HSP403" s="148"/>
      <c r="HSQ403" s="148"/>
      <c r="HSR403" s="148"/>
      <c r="HSS403" s="148"/>
      <c r="HST403" s="148"/>
      <c r="HSU403" s="148"/>
      <c r="HSV403" s="148"/>
      <c r="HSW403" s="148"/>
      <c r="HSX403" s="148"/>
      <c r="HSY403" s="148"/>
      <c r="HSZ403" s="148"/>
      <c r="HTA403" s="148"/>
      <c r="HTB403" s="148"/>
      <c r="HTC403" s="148"/>
      <c r="HTD403" s="148"/>
      <c r="HTE403" s="148"/>
      <c r="HTF403" s="148"/>
      <c r="HTG403" s="148"/>
      <c r="HTH403" s="148"/>
      <c r="HTI403" s="148"/>
      <c r="HTJ403" s="148"/>
      <c r="HTK403" s="148"/>
      <c r="HTL403" s="148"/>
      <c r="HTM403" s="148"/>
      <c r="HTN403" s="148"/>
      <c r="HTO403" s="148"/>
      <c r="HTP403" s="148"/>
      <c r="HTQ403" s="148"/>
      <c r="HTR403" s="148"/>
      <c r="HTS403" s="148"/>
      <c r="HTT403" s="148"/>
      <c r="HTU403" s="148"/>
      <c r="HTV403" s="148"/>
      <c r="HTW403" s="148"/>
      <c r="HTX403" s="148"/>
      <c r="HTY403" s="148"/>
      <c r="HTZ403" s="148"/>
      <c r="HUA403" s="148"/>
      <c r="HUB403" s="148"/>
      <c r="HUC403" s="148"/>
      <c r="HUD403" s="148"/>
      <c r="HUE403" s="148"/>
      <c r="HUF403" s="148"/>
      <c r="HUG403" s="148"/>
      <c r="HUH403" s="148"/>
      <c r="HUI403" s="148"/>
      <c r="HUJ403" s="148"/>
      <c r="HUK403" s="148"/>
      <c r="HUL403" s="148"/>
      <c r="HUM403" s="148"/>
      <c r="HUN403" s="148"/>
      <c r="HUO403" s="148"/>
      <c r="HUP403" s="148"/>
      <c r="HUQ403" s="148"/>
      <c r="HUR403" s="148"/>
      <c r="HUS403" s="148"/>
      <c r="HUT403" s="148"/>
      <c r="HUU403" s="148"/>
      <c r="HUV403" s="148"/>
      <c r="HUW403" s="148"/>
      <c r="HUX403" s="148"/>
      <c r="HUY403" s="148"/>
      <c r="HUZ403" s="148"/>
      <c r="HVA403" s="148"/>
      <c r="HVB403" s="148"/>
      <c r="HVC403" s="148"/>
      <c r="HVD403" s="148"/>
      <c r="HVE403" s="148"/>
      <c r="HVF403" s="148"/>
      <c r="HVG403" s="148"/>
      <c r="HVH403" s="148"/>
      <c r="HVI403" s="148"/>
      <c r="HVJ403" s="148"/>
      <c r="HVK403" s="148"/>
      <c r="HVL403" s="148"/>
      <c r="HVM403" s="148"/>
      <c r="HVN403" s="148"/>
      <c r="HVO403" s="148"/>
      <c r="HVP403" s="148"/>
      <c r="HVQ403" s="148"/>
      <c r="HVR403" s="148"/>
      <c r="HVS403" s="148"/>
      <c r="HVT403" s="148"/>
      <c r="HVU403" s="148"/>
      <c r="HVV403" s="148"/>
      <c r="HVW403" s="148"/>
      <c r="HVX403" s="148"/>
      <c r="HVY403" s="148"/>
      <c r="HVZ403" s="148"/>
      <c r="HWA403" s="148"/>
      <c r="HWB403" s="148"/>
      <c r="HWC403" s="148"/>
      <c r="HWD403" s="148"/>
      <c r="HWE403" s="148"/>
      <c r="HWF403" s="148"/>
      <c r="HWG403" s="148"/>
      <c r="HWH403" s="148"/>
      <c r="HWI403" s="148"/>
      <c r="HWJ403" s="148"/>
      <c r="HWK403" s="148"/>
      <c r="HWL403" s="148"/>
      <c r="HWM403" s="148"/>
      <c r="HWN403" s="148"/>
      <c r="HWO403" s="148"/>
      <c r="HWP403" s="148"/>
      <c r="HWQ403" s="148"/>
      <c r="HWR403" s="148"/>
      <c r="HWS403" s="148"/>
      <c r="HWT403" s="148"/>
      <c r="HWU403" s="148"/>
      <c r="HWV403" s="148"/>
      <c r="HWW403" s="148"/>
      <c r="HWX403" s="148"/>
      <c r="HWY403" s="148"/>
      <c r="HWZ403" s="148"/>
      <c r="HXA403" s="148"/>
      <c r="HXB403" s="148"/>
      <c r="HXC403" s="148"/>
      <c r="HXD403" s="148"/>
      <c r="HXE403" s="148"/>
      <c r="HXF403" s="148"/>
      <c r="HXG403" s="148"/>
      <c r="HXH403" s="148"/>
      <c r="HXI403" s="148"/>
      <c r="HXJ403" s="148"/>
      <c r="HXK403" s="148"/>
      <c r="HXL403" s="148"/>
      <c r="HXM403" s="148"/>
      <c r="HXN403" s="148"/>
      <c r="HXO403" s="148"/>
      <c r="HXP403" s="148"/>
      <c r="HXQ403" s="148"/>
      <c r="HXR403" s="148"/>
      <c r="HXS403" s="148"/>
      <c r="HXT403" s="148"/>
      <c r="HXU403" s="148"/>
      <c r="HXV403" s="148"/>
      <c r="HXW403" s="148"/>
      <c r="HXX403" s="148"/>
      <c r="HXY403" s="148"/>
      <c r="HXZ403" s="148"/>
      <c r="HYA403" s="148"/>
      <c r="HYB403" s="148"/>
      <c r="HYC403" s="148"/>
      <c r="HYD403" s="148"/>
      <c r="HYE403" s="148"/>
      <c r="HYF403" s="148"/>
      <c r="HYG403" s="148"/>
      <c r="HYH403" s="148"/>
      <c r="HYI403" s="148"/>
      <c r="HYJ403" s="148"/>
      <c r="HYK403" s="148"/>
      <c r="HYL403" s="148"/>
      <c r="HYM403" s="148"/>
      <c r="HYN403" s="148"/>
      <c r="HYO403" s="148"/>
      <c r="HYP403" s="148"/>
      <c r="HYQ403" s="148"/>
      <c r="HYR403" s="148"/>
      <c r="HYS403" s="148"/>
      <c r="HYT403" s="148"/>
      <c r="HYU403" s="148"/>
      <c r="HYV403" s="148"/>
      <c r="HYW403" s="148"/>
      <c r="HYX403" s="148"/>
      <c r="HYY403" s="148"/>
      <c r="HYZ403" s="148"/>
      <c r="HZA403" s="148"/>
      <c r="HZB403" s="148"/>
      <c r="HZC403" s="148"/>
      <c r="HZD403" s="148"/>
      <c r="HZE403" s="148"/>
      <c r="HZF403" s="148"/>
      <c r="HZG403" s="148"/>
      <c r="HZH403" s="148"/>
      <c r="HZI403" s="148"/>
      <c r="HZJ403" s="148"/>
      <c r="HZK403" s="148"/>
      <c r="HZL403" s="148"/>
      <c r="HZM403" s="148"/>
      <c r="HZN403" s="148"/>
      <c r="HZO403" s="148"/>
      <c r="HZP403" s="148"/>
      <c r="HZQ403" s="148"/>
      <c r="HZR403" s="148"/>
      <c r="HZS403" s="148"/>
      <c r="HZT403" s="148"/>
      <c r="HZU403" s="148"/>
      <c r="HZV403" s="148"/>
      <c r="HZW403" s="148"/>
      <c r="HZX403" s="148"/>
      <c r="HZY403" s="148"/>
      <c r="HZZ403" s="148"/>
      <c r="IAA403" s="148"/>
      <c r="IAB403" s="148"/>
      <c r="IAC403" s="148"/>
      <c r="IAD403" s="148"/>
      <c r="IAE403" s="148"/>
      <c r="IAF403" s="148"/>
      <c r="IAG403" s="148"/>
      <c r="IAH403" s="148"/>
      <c r="IAI403" s="148"/>
      <c r="IAJ403" s="148"/>
      <c r="IAK403" s="148"/>
      <c r="IAL403" s="148"/>
      <c r="IAM403" s="148"/>
      <c r="IAN403" s="148"/>
      <c r="IAO403" s="148"/>
      <c r="IAP403" s="148"/>
      <c r="IAQ403" s="148"/>
      <c r="IAR403" s="148"/>
      <c r="IAS403" s="148"/>
      <c r="IAT403" s="148"/>
      <c r="IAU403" s="148"/>
      <c r="IAV403" s="148"/>
      <c r="IAW403" s="148"/>
      <c r="IAX403" s="148"/>
      <c r="IAY403" s="148"/>
      <c r="IAZ403" s="148"/>
      <c r="IBA403" s="148"/>
      <c r="IBB403" s="148"/>
      <c r="IBC403" s="148"/>
      <c r="IBD403" s="148"/>
      <c r="IBE403" s="148"/>
      <c r="IBF403" s="148"/>
      <c r="IBG403" s="148"/>
      <c r="IBH403" s="148"/>
      <c r="IBI403" s="148"/>
      <c r="IBJ403" s="148"/>
      <c r="IBK403" s="148"/>
      <c r="IBL403" s="148"/>
      <c r="IBM403" s="148"/>
      <c r="IBN403" s="148"/>
      <c r="IBO403" s="148"/>
      <c r="IBP403" s="148"/>
      <c r="IBQ403" s="148"/>
      <c r="IBR403" s="148"/>
      <c r="IBS403" s="148"/>
      <c r="IBT403" s="148"/>
      <c r="IBU403" s="148"/>
      <c r="IBV403" s="148"/>
      <c r="IBW403" s="148"/>
      <c r="IBX403" s="148"/>
      <c r="IBY403" s="148"/>
      <c r="IBZ403" s="148"/>
      <c r="ICA403" s="148"/>
      <c r="ICB403" s="148"/>
      <c r="ICC403" s="148"/>
      <c r="ICD403" s="148"/>
      <c r="ICE403" s="148"/>
      <c r="ICF403" s="148"/>
      <c r="ICG403" s="148"/>
      <c r="ICH403" s="148"/>
      <c r="ICI403" s="148"/>
      <c r="ICJ403" s="148"/>
      <c r="ICK403" s="148"/>
      <c r="ICL403" s="148"/>
      <c r="ICM403" s="148"/>
      <c r="ICN403" s="148"/>
      <c r="ICO403" s="148"/>
      <c r="ICP403" s="148"/>
      <c r="ICQ403" s="148"/>
      <c r="ICR403" s="148"/>
      <c r="ICS403" s="148"/>
      <c r="ICT403" s="148"/>
      <c r="ICU403" s="148"/>
      <c r="ICV403" s="148"/>
      <c r="ICW403" s="148"/>
      <c r="ICX403" s="148"/>
      <c r="ICY403" s="148"/>
      <c r="ICZ403" s="148"/>
      <c r="IDA403" s="148"/>
      <c r="IDB403" s="148"/>
      <c r="IDC403" s="148"/>
      <c r="IDD403" s="148"/>
      <c r="IDE403" s="148"/>
      <c r="IDF403" s="148"/>
      <c r="IDG403" s="148"/>
      <c r="IDH403" s="148"/>
      <c r="IDI403" s="148"/>
      <c r="IDJ403" s="148"/>
      <c r="IDK403" s="148"/>
      <c r="IDL403" s="148"/>
      <c r="IDM403" s="148"/>
      <c r="IDN403" s="148"/>
      <c r="IDO403" s="148"/>
      <c r="IDP403" s="148"/>
      <c r="IDQ403" s="148"/>
      <c r="IDR403" s="148"/>
      <c r="IDS403" s="148"/>
      <c r="IDT403" s="148"/>
      <c r="IDU403" s="148"/>
      <c r="IDV403" s="148"/>
      <c r="IDW403" s="148"/>
      <c r="IDX403" s="148"/>
      <c r="IDY403" s="148"/>
      <c r="IDZ403" s="148"/>
      <c r="IEA403" s="148"/>
      <c r="IEB403" s="148"/>
      <c r="IEC403" s="148"/>
      <c r="IED403" s="148"/>
      <c r="IEE403" s="148"/>
      <c r="IEF403" s="148"/>
      <c r="IEG403" s="148"/>
      <c r="IEH403" s="148"/>
      <c r="IEI403" s="148"/>
      <c r="IEJ403" s="148"/>
      <c r="IEK403" s="148"/>
      <c r="IEL403" s="148"/>
      <c r="IEM403" s="148"/>
      <c r="IEN403" s="148"/>
      <c r="IEO403" s="148"/>
      <c r="IEP403" s="148"/>
      <c r="IEQ403" s="148"/>
      <c r="IER403" s="148"/>
      <c r="IES403" s="148"/>
      <c r="IET403" s="148"/>
      <c r="IEU403" s="148"/>
      <c r="IEV403" s="148"/>
      <c r="IEW403" s="148"/>
      <c r="IEX403" s="148"/>
      <c r="IEY403" s="148"/>
      <c r="IEZ403" s="148"/>
      <c r="IFA403" s="148"/>
      <c r="IFB403" s="148"/>
      <c r="IFC403" s="148"/>
      <c r="IFD403" s="148"/>
      <c r="IFE403" s="148"/>
      <c r="IFF403" s="148"/>
      <c r="IFG403" s="148"/>
      <c r="IFH403" s="148"/>
      <c r="IFI403" s="148"/>
      <c r="IFJ403" s="148"/>
      <c r="IFK403" s="148"/>
      <c r="IFL403" s="148"/>
      <c r="IFM403" s="148"/>
      <c r="IFN403" s="148"/>
      <c r="IFO403" s="148"/>
      <c r="IFP403" s="148"/>
      <c r="IFQ403" s="148"/>
      <c r="IFR403" s="148"/>
      <c r="IFS403" s="148"/>
      <c r="IFT403" s="148"/>
      <c r="IFU403" s="148"/>
      <c r="IFV403" s="148"/>
      <c r="IFW403" s="148"/>
      <c r="IFX403" s="148"/>
      <c r="IFY403" s="148"/>
      <c r="IFZ403" s="148"/>
      <c r="IGA403" s="148"/>
      <c r="IGB403" s="148"/>
      <c r="IGC403" s="148"/>
      <c r="IGD403" s="148"/>
      <c r="IGE403" s="148"/>
      <c r="IGF403" s="148"/>
      <c r="IGG403" s="148"/>
      <c r="IGH403" s="148"/>
      <c r="IGI403" s="148"/>
      <c r="IGJ403" s="148"/>
      <c r="IGK403" s="148"/>
      <c r="IGL403" s="148"/>
      <c r="IGM403" s="148"/>
      <c r="IGN403" s="148"/>
      <c r="IGO403" s="148"/>
      <c r="IGP403" s="148"/>
      <c r="IGQ403" s="148"/>
      <c r="IGR403" s="148"/>
      <c r="IGS403" s="148"/>
      <c r="IGT403" s="148"/>
      <c r="IGU403" s="148"/>
      <c r="IGV403" s="148"/>
      <c r="IGW403" s="148"/>
      <c r="IGX403" s="148"/>
      <c r="IGY403" s="148"/>
      <c r="IGZ403" s="148"/>
      <c r="IHA403" s="148"/>
      <c r="IHB403" s="148"/>
      <c r="IHC403" s="148"/>
      <c r="IHD403" s="148"/>
      <c r="IHE403" s="148"/>
      <c r="IHF403" s="148"/>
      <c r="IHG403" s="148"/>
      <c r="IHH403" s="148"/>
      <c r="IHI403" s="148"/>
      <c r="IHJ403" s="148"/>
      <c r="IHK403" s="148"/>
      <c r="IHL403" s="148"/>
      <c r="IHM403" s="148"/>
      <c r="IHN403" s="148"/>
      <c r="IHO403" s="148"/>
      <c r="IHP403" s="148"/>
      <c r="IHQ403" s="148"/>
      <c r="IHR403" s="148"/>
      <c r="IHS403" s="148"/>
      <c r="IHT403" s="148"/>
      <c r="IHU403" s="148"/>
      <c r="IHV403" s="148"/>
      <c r="IHW403" s="148"/>
      <c r="IHX403" s="148"/>
      <c r="IHY403" s="148"/>
      <c r="IHZ403" s="148"/>
      <c r="IIA403" s="148"/>
      <c r="IIB403" s="148"/>
      <c r="IIC403" s="148"/>
      <c r="IID403" s="148"/>
      <c r="IIE403" s="148"/>
      <c r="IIF403" s="148"/>
      <c r="IIG403" s="148"/>
      <c r="IIH403" s="148"/>
      <c r="III403" s="148"/>
      <c r="IIJ403" s="148"/>
      <c r="IIK403" s="148"/>
      <c r="IIL403" s="148"/>
      <c r="IIM403" s="148"/>
      <c r="IIN403" s="148"/>
      <c r="IIO403" s="148"/>
      <c r="IIP403" s="148"/>
      <c r="IIQ403" s="148"/>
      <c r="IIR403" s="148"/>
      <c r="IIS403" s="148"/>
      <c r="IIT403" s="148"/>
      <c r="IIU403" s="148"/>
      <c r="IIV403" s="148"/>
      <c r="IIW403" s="148"/>
      <c r="IIX403" s="148"/>
      <c r="IIY403" s="148"/>
      <c r="IIZ403" s="148"/>
      <c r="IJA403" s="148"/>
      <c r="IJB403" s="148"/>
      <c r="IJC403" s="148"/>
      <c r="IJD403" s="148"/>
      <c r="IJE403" s="148"/>
      <c r="IJF403" s="148"/>
      <c r="IJG403" s="148"/>
      <c r="IJH403" s="148"/>
      <c r="IJI403" s="148"/>
      <c r="IJJ403" s="148"/>
      <c r="IJK403" s="148"/>
      <c r="IJL403" s="148"/>
      <c r="IJM403" s="148"/>
      <c r="IJN403" s="148"/>
      <c r="IJO403" s="148"/>
      <c r="IJP403" s="148"/>
      <c r="IJQ403" s="148"/>
      <c r="IJR403" s="148"/>
      <c r="IJS403" s="148"/>
      <c r="IJT403" s="148"/>
      <c r="IJU403" s="148"/>
      <c r="IJV403" s="148"/>
      <c r="IJW403" s="148"/>
      <c r="IJX403" s="148"/>
      <c r="IJY403" s="148"/>
      <c r="IJZ403" s="148"/>
      <c r="IKA403" s="148"/>
      <c r="IKB403" s="148"/>
      <c r="IKC403" s="148"/>
      <c r="IKD403" s="148"/>
      <c r="IKE403" s="148"/>
      <c r="IKF403" s="148"/>
      <c r="IKG403" s="148"/>
      <c r="IKH403" s="148"/>
      <c r="IKI403" s="148"/>
      <c r="IKJ403" s="148"/>
      <c r="IKK403" s="148"/>
      <c r="IKL403" s="148"/>
      <c r="IKM403" s="148"/>
      <c r="IKN403" s="148"/>
      <c r="IKO403" s="148"/>
      <c r="IKP403" s="148"/>
      <c r="IKQ403" s="148"/>
      <c r="IKR403" s="148"/>
      <c r="IKS403" s="148"/>
      <c r="IKT403" s="148"/>
      <c r="IKU403" s="148"/>
      <c r="IKV403" s="148"/>
      <c r="IKW403" s="148"/>
      <c r="IKX403" s="148"/>
      <c r="IKY403" s="148"/>
      <c r="IKZ403" s="148"/>
      <c r="ILA403" s="148"/>
      <c r="ILB403" s="148"/>
      <c r="ILC403" s="148"/>
      <c r="ILD403" s="148"/>
      <c r="ILE403" s="148"/>
      <c r="ILF403" s="148"/>
      <c r="ILG403" s="148"/>
      <c r="ILH403" s="148"/>
      <c r="ILI403" s="148"/>
      <c r="ILJ403" s="148"/>
      <c r="ILK403" s="148"/>
      <c r="ILL403" s="148"/>
      <c r="ILM403" s="148"/>
      <c r="ILN403" s="148"/>
      <c r="ILO403" s="148"/>
      <c r="ILP403" s="148"/>
      <c r="ILQ403" s="148"/>
      <c r="ILR403" s="148"/>
      <c r="ILS403" s="148"/>
      <c r="ILT403" s="148"/>
      <c r="ILU403" s="148"/>
      <c r="ILV403" s="148"/>
      <c r="ILW403" s="148"/>
      <c r="ILX403" s="148"/>
      <c r="ILY403" s="148"/>
      <c r="ILZ403" s="148"/>
      <c r="IMA403" s="148"/>
      <c r="IMB403" s="148"/>
      <c r="IMC403" s="148"/>
      <c r="IMD403" s="148"/>
      <c r="IME403" s="148"/>
      <c r="IMF403" s="148"/>
      <c r="IMG403" s="148"/>
      <c r="IMH403" s="148"/>
      <c r="IMI403" s="148"/>
      <c r="IMJ403" s="148"/>
      <c r="IMK403" s="148"/>
      <c r="IML403" s="148"/>
      <c r="IMM403" s="148"/>
      <c r="IMN403" s="148"/>
      <c r="IMO403" s="148"/>
      <c r="IMP403" s="148"/>
      <c r="IMQ403" s="148"/>
      <c r="IMR403" s="148"/>
      <c r="IMS403" s="148"/>
      <c r="IMT403" s="148"/>
      <c r="IMU403" s="148"/>
      <c r="IMV403" s="148"/>
      <c r="IMW403" s="148"/>
      <c r="IMX403" s="148"/>
      <c r="IMY403" s="148"/>
      <c r="IMZ403" s="148"/>
      <c r="INA403" s="148"/>
      <c r="INB403" s="148"/>
      <c r="INC403" s="148"/>
      <c r="IND403" s="148"/>
      <c r="INE403" s="148"/>
      <c r="INF403" s="148"/>
      <c r="ING403" s="148"/>
      <c r="INH403" s="148"/>
      <c r="INI403" s="148"/>
      <c r="INJ403" s="148"/>
      <c r="INK403" s="148"/>
      <c r="INL403" s="148"/>
      <c r="INM403" s="148"/>
      <c r="INN403" s="148"/>
      <c r="INO403" s="148"/>
      <c r="INP403" s="148"/>
      <c r="INQ403" s="148"/>
      <c r="INR403" s="148"/>
      <c r="INS403" s="148"/>
      <c r="INT403" s="148"/>
      <c r="INU403" s="148"/>
      <c r="INV403" s="148"/>
      <c r="INW403" s="148"/>
      <c r="INX403" s="148"/>
      <c r="INY403" s="148"/>
      <c r="INZ403" s="148"/>
      <c r="IOA403" s="148"/>
      <c r="IOB403" s="148"/>
      <c r="IOC403" s="148"/>
      <c r="IOD403" s="148"/>
      <c r="IOE403" s="148"/>
      <c r="IOF403" s="148"/>
      <c r="IOG403" s="148"/>
      <c r="IOH403" s="148"/>
      <c r="IOI403" s="148"/>
      <c r="IOJ403" s="148"/>
      <c r="IOK403" s="148"/>
      <c r="IOL403" s="148"/>
      <c r="IOM403" s="148"/>
      <c r="ION403" s="148"/>
      <c r="IOO403" s="148"/>
      <c r="IOP403" s="148"/>
      <c r="IOQ403" s="148"/>
      <c r="IOR403" s="148"/>
      <c r="IOS403" s="148"/>
      <c r="IOT403" s="148"/>
      <c r="IOU403" s="148"/>
      <c r="IOV403" s="148"/>
      <c r="IOW403" s="148"/>
      <c r="IOX403" s="148"/>
      <c r="IOY403" s="148"/>
      <c r="IOZ403" s="148"/>
      <c r="IPA403" s="148"/>
      <c r="IPB403" s="148"/>
      <c r="IPC403" s="148"/>
      <c r="IPD403" s="148"/>
      <c r="IPE403" s="148"/>
      <c r="IPF403" s="148"/>
      <c r="IPG403" s="148"/>
      <c r="IPH403" s="148"/>
      <c r="IPI403" s="148"/>
      <c r="IPJ403" s="148"/>
      <c r="IPK403" s="148"/>
      <c r="IPL403" s="148"/>
      <c r="IPM403" s="148"/>
      <c r="IPN403" s="148"/>
      <c r="IPO403" s="148"/>
      <c r="IPP403" s="148"/>
      <c r="IPQ403" s="148"/>
      <c r="IPR403" s="148"/>
      <c r="IPS403" s="148"/>
      <c r="IPT403" s="148"/>
      <c r="IPU403" s="148"/>
      <c r="IPV403" s="148"/>
      <c r="IPW403" s="148"/>
      <c r="IPX403" s="148"/>
      <c r="IPY403" s="148"/>
      <c r="IPZ403" s="148"/>
      <c r="IQA403" s="148"/>
      <c r="IQB403" s="148"/>
      <c r="IQC403" s="148"/>
      <c r="IQD403" s="148"/>
      <c r="IQE403" s="148"/>
      <c r="IQF403" s="148"/>
      <c r="IQG403" s="148"/>
      <c r="IQH403" s="148"/>
      <c r="IQI403" s="148"/>
      <c r="IQJ403" s="148"/>
      <c r="IQK403" s="148"/>
      <c r="IQL403" s="148"/>
      <c r="IQM403" s="148"/>
      <c r="IQN403" s="148"/>
      <c r="IQO403" s="148"/>
      <c r="IQP403" s="148"/>
      <c r="IQQ403" s="148"/>
      <c r="IQR403" s="148"/>
      <c r="IQS403" s="148"/>
      <c r="IQT403" s="148"/>
      <c r="IQU403" s="148"/>
      <c r="IQV403" s="148"/>
      <c r="IQW403" s="148"/>
      <c r="IQX403" s="148"/>
      <c r="IQY403" s="148"/>
      <c r="IQZ403" s="148"/>
      <c r="IRA403" s="148"/>
      <c r="IRB403" s="148"/>
      <c r="IRC403" s="148"/>
      <c r="IRD403" s="148"/>
      <c r="IRE403" s="148"/>
      <c r="IRF403" s="148"/>
      <c r="IRG403" s="148"/>
      <c r="IRH403" s="148"/>
      <c r="IRI403" s="148"/>
      <c r="IRJ403" s="148"/>
      <c r="IRK403" s="148"/>
      <c r="IRL403" s="148"/>
      <c r="IRM403" s="148"/>
      <c r="IRN403" s="148"/>
      <c r="IRO403" s="148"/>
      <c r="IRP403" s="148"/>
      <c r="IRQ403" s="148"/>
      <c r="IRR403" s="148"/>
      <c r="IRS403" s="148"/>
      <c r="IRT403" s="148"/>
      <c r="IRU403" s="148"/>
      <c r="IRV403" s="148"/>
      <c r="IRW403" s="148"/>
      <c r="IRX403" s="148"/>
      <c r="IRY403" s="148"/>
      <c r="IRZ403" s="148"/>
      <c r="ISA403" s="148"/>
      <c r="ISB403" s="148"/>
      <c r="ISC403" s="148"/>
      <c r="ISD403" s="148"/>
      <c r="ISE403" s="148"/>
      <c r="ISF403" s="148"/>
      <c r="ISG403" s="148"/>
      <c r="ISH403" s="148"/>
      <c r="ISI403" s="148"/>
      <c r="ISJ403" s="148"/>
      <c r="ISK403" s="148"/>
      <c r="ISL403" s="148"/>
      <c r="ISM403" s="148"/>
      <c r="ISN403" s="148"/>
      <c r="ISO403" s="148"/>
      <c r="ISP403" s="148"/>
      <c r="ISQ403" s="148"/>
      <c r="ISR403" s="148"/>
      <c r="ISS403" s="148"/>
      <c r="IST403" s="148"/>
      <c r="ISU403" s="148"/>
      <c r="ISV403" s="148"/>
      <c r="ISW403" s="148"/>
      <c r="ISX403" s="148"/>
      <c r="ISY403" s="148"/>
      <c r="ISZ403" s="148"/>
      <c r="ITA403" s="148"/>
      <c r="ITB403" s="148"/>
      <c r="ITC403" s="148"/>
      <c r="ITD403" s="148"/>
      <c r="ITE403" s="148"/>
      <c r="ITF403" s="148"/>
      <c r="ITG403" s="148"/>
      <c r="ITH403" s="148"/>
      <c r="ITI403" s="148"/>
      <c r="ITJ403" s="148"/>
      <c r="ITK403" s="148"/>
      <c r="ITL403" s="148"/>
      <c r="ITM403" s="148"/>
      <c r="ITN403" s="148"/>
      <c r="ITO403" s="148"/>
      <c r="ITP403" s="148"/>
      <c r="ITQ403" s="148"/>
      <c r="ITR403" s="148"/>
      <c r="ITS403" s="148"/>
      <c r="ITT403" s="148"/>
      <c r="ITU403" s="148"/>
      <c r="ITV403" s="148"/>
      <c r="ITW403" s="148"/>
      <c r="ITX403" s="148"/>
      <c r="ITY403" s="148"/>
      <c r="ITZ403" s="148"/>
      <c r="IUA403" s="148"/>
      <c r="IUB403" s="148"/>
      <c r="IUC403" s="148"/>
      <c r="IUD403" s="148"/>
      <c r="IUE403" s="148"/>
      <c r="IUF403" s="148"/>
      <c r="IUG403" s="148"/>
      <c r="IUH403" s="148"/>
      <c r="IUI403" s="148"/>
      <c r="IUJ403" s="148"/>
      <c r="IUK403" s="148"/>
      <c r="IUL403" s="148"/>
      <c r="IUM403" s="148"/>
      <c r="IUN403" s="148"/>
      <c r="IUO403" s="148"/>
      <c r="IUP403" s="148"/>
      <c r="IUQ403" s="148"/>
      <c r="IUR403" s="148"/>
      <c r="IUS403" s="148"/>
      <c r="IUT403" s="148"/>
      <c r="IUU403" s="148"/>
      <c r="IUV403" s="148"/>
      <c r="IUW403" s="148"/>
      <c r="IUX403" s="148"/>
      <c r="IUY403" s="148"/>
      <c r="IUZ403" s="148"/>
      <c r="IVA403" s="148"/>
      <c r="IVB403" s="148"/>
      <c r="IVC403" s="148"/>
      <c r="IVD403" s="148"/>
      <c r="IVE403" s="148"/>
      <c r="IVF403" s="148"/>
      <c r="IVG403" s="148"/>
      <c r="IVH403" s="148"/>
      <c r="IVI403" s="148"/>
      <c r="IVJ403" s="148"/>
      <c r="IVK403" s="148"/>
      <c r="IVL403" s="148"/>
      <c r="IVM403" s="148"/>
      <c r="IVN403" s="148"/>
      <c r="IVO403" s="148"/>
      <c r="IVP403" s="148"/>
      <c r="IVQ403" s="148"/>
      <c r="IVR403" s="148"/>
      <c r="IVS403" s="148"/>
      <c r="IVT403" s="148"/>
      <c r="IVU403" s="148"/>
      <c r="IVV403" s="148"/>
      <c r="IVW403" s="148"/>
      <c r="IVX403" s="148"/>
      <c r="IVY403" s="148"/>
      <c r="IVZ403" s="148"/>
      <c r="IWA403" s="148"/>
      <c r="IWB403" s="148"/>
      <c r="IWC403" s="148"/>
      <c r="IWD403" s="148"/>
      <c r="IWE403" s="148"/>
      <c r="IWF403" s="148"/>
      <c r="IWG403" s="148"/>
      <c r="IWH403" s="148"/>
      <c r="IWI403" s="148"/>
      <c r="IWJ403" s="148"/>
      <c r="IWK403" s="148"/>
      <c r="IWL403" s="148"/>
      <c r="IWM403" s="148"/>
      <c r="IWN403" s="148"/>
      <c r="IWO403" s="148"/>
      <c r="IWP403" s="148"/>
      <c r="IWQ403" s="148"/>
      <c r="IWR403" s="148"/>
      <c r="IWS403" s="148"/>
      <c r="IWT403" s="148"/>
      <c r="IWU403" s="148"/>
      <c r="IWV403" s="148"/>
      <c r="IWW403" s="148"/>
      <c r="IWX403" s="148"/>
      <c r="IWY403" s="148"/>
      <c r="IWZ403" s="148"/>
      <c r="IXA403" s="148"/>
      <c r="IXB403" s="148"/>
      <c r="IXC403" s="148"/>
      <c r="IXD403" s="148"/>
      <c r="IXE403" s="148"/>
      <c r="IXF403" s="148"/>
      <c r="IXG403" s="148"/>
      <c r="IXH403" s="148"/>
      <c r="IXI403" s="148"/>
      <c r="IXJ403" s="148"/>
      <c r="IXK403" s="148"/>
      <c r="IXL403" s="148"/>
      <c r="IXM403" s="148"/>
      <c r="IXN403" s="148"/>
      <c r="IXO403" s="148"/>
      <c r="IXP403" s="148"/>
      <c r="IXQ403" s="148"/>
      <c r="IXR403" s="148"/>
      <c r="IXS403" s="148"/>
      <c r="IXT403" s="148"/>
      <c r="IXU403" s="148"/>
      <c r="IXV403" s="148"/>
      <c r="IXW403" s="148"/>
      <c r="IXX403" s="148"/>
      <c r="IXY403" s="148"/>
      <c r="IXZ403" s="148"/>
      <c r="IYA403" s="148"/>
      <c r="IYB403" s="148"/>
      <c r="IYC403" s="148"/>
      <c r="IYD403" s="148"/>
      <c r="IYE403" s="148"/>
      <c r="IYF403" s="148"/>
      <c r="IYG403" s="148"/>
      <c r="IYH403" s="148"/>
      <c r="IYI403" s="148"/>
      <c r="IYJ403" s="148"/>
      <c r="IYK403" s="148"/>
      <c r="IYL403" s="148"/>
      <c r="IYM403" s="148"/>
      <c r="IYN403" s="148"/>
      <c r="IYO403" s="148"/>
      <c r="IYP403" s="148"/>
      <c r="IYQ403" s="148"/>
      <c r="IYR403" s="148"/>
      <c r="IYS403" s="148"/>
      <c r="IYT403" s="148"/>
      <c r="IYU403" s="148"/>
      <c r="IYV403" s="148"/>
      <c r="IYW403" s="148"/>
      <c r="IYX403" s="148"/>
      <c r="IYY403" s="148"/>
      <c r="IYZ403" s="148"/>
      <c r="IZA403" s="148"/>
      <c r="IZB403" s="148"/>
      <c r="IZC403" s="148"/>
      <c r="IZD403" s="148"/>
      <c r="IZE403" s="148"/>
      <c r="IZF403" s="148"/>
      <c r="IZG403" s="148"/>
      <c r="IZH403" s="148"/>
      <c r="IZI403" s="148"/>
      <c r="IZJ403" s="148"/>
      <c r="IZK403" s="148"/>
      <c r="IZL403" s="148"/>
      <c r="IZM403" s="148"/>
      <c r="IZN403" s="148"/>
      <c r="IZO403" s="148"/>
      <c r="IZP403" s="148"/>
      <c r="IZQ403" s="148"/>
      <c r="IZR403" s="148"/>
      <c r="IZS403" s="148"/>
      <c r="IZT403" s="148"/>
      <c r="IZU403" s="148"/>
      <c r="IZV403" s="148"/>
      <c r="IZW403" s="148"/>
      <c r="IZX403" s="148"/>
      <c r="IZY403" s="148"/>
      <c r="IZZ403" s="148"/>
      <c r="JAA403" s="148"/>
      <c r="JAB403" s="148"/>
      <c r="JAC403" s="148"/>
      <c r="JAD403" s="148"/>
      <c r="JAE403" s="148"/>
      <c r="JAF403" s="148"/>
      <c r="JAG403" s="148"/>
      <c r="JAH403" s="148"/>
      <c r="JAI403" s="148"/>
      <c r="JAJ403" s="148"/>
      <c r="JAK403" s="148"/>
      <c r="JAL403" s="148"/>
      <c r="JAM403" s="148"/>
      <c r="JAN403" s="148"/>
      <c r="JAO403" s="148"/>
      <c r="JAP403" s="148"/>
      <c r="JAQ403" s="148"/>
      <c r="JAR403" s="148"/>
      <c r="JAS403" s="148"/>
      <c r="JAT403" s="148"/>
      <c r="JAU403" s="148"/>
      <c r="JAV403" s="148"/>
      <c r="JAW403" s="148"/>
      <c r="JAX403" s="148"/>
      <c r="JAY403" s="148"/>
      <c r="JAZ403" s="148"/>
      <c r="JBA403" s="148"/>
      <c r="JBB403" s="148"/>
      <c r="JBC403" s="148"/>
      <c r="JBD403" s="148"/>
      <c r="JBE403" s="148"/>
      <c r="JBF403" s="148"/>
      <c r="JBG403" s="148"/>
      <c r="JBH403" s="148"/>
      <c r="JBI403" s="148"/>
      <c r="JBJ403" s="148"/>
      <c r="JBK403" s="148"/>
      <c r="JBL403" s="148"/>
      <c r="JBM403" s="148"/>
      <c r="JBN403" s="148"/>
      <c r="JBO403" s="148"/>
      <c r="JBP403" s="148"/>
      <c r="JBQ403" s="148"/>
      <c r="JBR403" s="148"/>
      <c r="JBS403" s="148"/>
      <c r="JBT403" s="148"/>
      <c r="JBU403" s="148"/>
      <c r="JBV403" s="148"/>
      <c r="JBW403" s="148"/>
      <c r="JBX403" s="148"/>
      <c r="JBY403" s="148"/>
      <c r="JBZ403" s="148"/>
      <c r="JCA403" s="148"/>
      <c r="JCB403" s="148"/>
      <c r="JCC403" s="148"/>
      <c r="JCD403" s="148"/>
      <c r="JCE403" s="148"/>
      <c r="JCF403" s="148"/>
      <c r="JCG403" s="148"/>
      <c r="JCH403" s="148"/>
      <c r="JCI403" s="148"/>
      <c r="JCJ403" s="148"/>
      <c r="JCK403" s="148"/>
      <c r="JCL403" s="148"/>
      <c r="JCM403" s="148"/>
      <c r="JCN403" s="148"/>
      <c r="JCO403" s="148"/>
      <c r="JCP403" s="148"/>
      <c r="JCQ403" s="148"/>
      <c r="JCR403" s="148"/>
      <c r="JCS403" s="148"/>
      <c r="JCT403" s="148"/>
      <c r="JCU403" s="148"/>
      <c r="JCV403" s="148"/>
      <c r="JCW403" s="148"/>
      <c r="JCX403" s="148"/>
      <c r="JCY403" s="148"/>
      <c r="JCZ403" s="148"/>
      <c r="JDA403" s="148"/>
      <c r="JDB403" s="148"/>
      <c r="JDC403" s="148"/>
      <c r="JDD403" s="148"/>
      <c r="JDE403" s="148"/>
      <c r="JDF403" s="148"/>
      <c r="JDG403" s="148"/>
      <c r="JDH403" s="148"/>
      <c r="JDI403" s="148"/>
      <c r="JDJ403" s="148"/>
      <c r="JDK403" s="148"/>
      <c r="JDL403" s="148"/>
      <c r="JDM403" s="148"/>
      <c r="JDN403" s="148"/>
      <c r="JDO403" s="148"/>
      <c r="JDP403" s="148"/>
      <c r="JDQ403" s="148"/>
      <c r="JDR403" s="148"/>
      <c r="JDS403" s="148"/>
      <c r="JDT403" s="148"/>
      <c r="JDU403" s="148"/>
      <c r="JDV403" s="148"/>
      <c r="JDW403" s="148"/>
      <c r="JDX403" s="148"/>
      <c r="JDY403" s="148"/>
      <c r="JDZ403" s="148"/>
      <c r="JEA403" s="148"/>
      <c r="JEB403" s="148"/>
      <c r="JEC403" s="148"/>
      <c r="JED403" s="148"/>
      <c r="JEE403" s="148"/>
      <c r="JEF403" s="148"/>
      <c r="JEG403" s="148"/>
      <c r="JEH403" s="148"/>
      <c r="JEI403" s="148"/>
      <c r="JEJ403" s="148"/>
      <c r="JEK403" s="148"/>
      <c r="JEL403" s="148"/>
      <c r="JEM403" s="148"/>
      <c r="JEN403" s="148"/>
      <c r="JEO403" s="148"/>
      <c r="JEP403" s="148"/>
      <c r="JEQ403" s="148"/>
      <c r="JER403" s="148"/>
      <c r="JES403" s="148"/>
      <c r="JET403" s="148"/>
      <c r="JEU403" s="148"/>
      <c r="JEV403" s="148"/>
      <c r="JEW403" s="148"/>
      <c r="JEX403" s="148"/>
      <c r="JEY403" s="148"/>
      <c r="JEZ403" s="148"/>
      <c r="JFA403" s="148"/>
      <c r="JFB403" s="148"/>
      <c r="JFC403" s="148"/>
      <c r="JFD403" s="148"/>
      <c r="JFE403" s="148"/>
      <c r="JFF403" s="148"/>
      <c r="JFG403" s="148"/>
      <c r="JFH403" s="148"/>
      <c r="JFI403" s="148"/>
      <c r="JFJ403" s="148"/>
      <c r="JFK403" s="148"/>
      <c r="JFL403" s="148"/>
      <c r="JFM403" s="148"/>
      <c r="JFN403" s="148"/>
      <c r="JFO403" s="148"/>
      <c r="JFP403" s="148"/>
      <c r="JFQ403" s="148"/>
      <c r="JFR403" s="148"/>
      <c r="JFS403" s="148"/>
      <c r="JFT403" s="148"/>
      <c r="JFU403" s="148"/>
      <c r="JFV403" s="148"/>
      <c r="JFW403" s="148"/>
      <c r="JFX403" s="148"/>
      <c r="JFY403" s="148"/>
      <c r="JFZ403" s="148"/>
      <c r="JGA403" s="148"/>
      <c r="JGB403" s="148"/>
      <c r="JGC403" s="148"/>
      <c r="JGD403" s="148"/>
      <c r="JGE403" s="148"/>
      <c r="JGF403" s="148"/>
      <c r="JGG403" s="148"/>
      <c r="JGH403" s="148"/>
      <c r="JGI403" s="148"/>
      <c r="JGJ403" s="148"/>
      <c r="JGK403" s="148"/>
      <c r="JGL403" s="148"/>
      <c r="JGM403" s="148"/>
      <c r="JGN403" s="148"/>
      <c r="JGO403" s="148"/>
      <c r="JGP403" s="148"/>
      <c r="JGQ403" s="148"/>
      <c r="JGR403" s="148"/>
      <c r="JGS403" s="148"/>
      <c r="JGT403" s="148"/>
      <c r="JGU403" s="148"/>
      <c r="JGV403" s="148"/>
      <c r="JGW403" s="148"/>
      <c r="JGX403" s="148"/>
      <c r="JGY403" s="148"/>
      <c r="JGZ403" s="148"/>
      <c r="JHA403" s="148"/>
      <c r="JHB403" s="148"/>
      <c r="JHC403" s="148"/>
      <c r="JHD403" s="148"/>
      <c r="JHE403" s="148"/>
      <c r="JHF403" s="148"/>
      <c r="JHG403" s="148"/>
      <c r="JHH403" s="148"/>
      <c r="JHI403" s="148"/>
      <c r="JHJ403" s="148"/>
      <c r="JHK403" s="148"/>
      <c r="JHL403" s="148"/>
      <c r="JHM403" s="148"/>
      <c r="JHN403" s="148"/>
      <c r="JHO403" s="148"/>
      <c r="JHP403" s="148"/>
      <c r="JHQ403" s="148"/>
      <c r="JHR403" s="148"/>
      <c r="JHS403" s="148"/>
      <c r="JHT403" s="148"/>
      <c r="JHU403" s="148"/>
      <c r="JHV403" s="148"/>
      <c r="JHW403" s="148"/>
      <c r="JHX403" s="148"/>
      <c r="JHY403" s="148"/>
      <c r="JHZ403" s="148"/>
      <c r="JIA403" s="148"/>
      <c r="JIB403" s="148"/>
      <c r="JIC403" s="148"/>
      <c r="JID403" s="148"/>
      <c r="JIE403" s="148"/>
      <c r="JIF403" s="148"/>
      <c r="JIG403" s="148"/>
      <c r="JIH403" s="148"/>
      <c r="JII403" s="148"/>
      <c r="JIJ403" s="148"/>
      <c r="JIK403" s="148"/>
      <c r="JIL403" s="148"/>
      <c r="JIM403" s="148"/>
      <c r="JIN403" s="148"/>
      <c r="JIO403" s="148"/>
      <c r="JIP403" s="148"/>
      <c r="JIQ403" s="148"/>
      <c r="JIR403" s="148"/>
      <c r="JIS403" s="148"/>
      <c r="JIT403" s="148"/>
      <c r="JIU403" s="148"/>
      <c r="JIV403" s="148"/>
      <c r="JIW403" s="148"/>
      <c r="JIX403" s="148"/>
      <c r="JIY403" s="148"/>
      <c r="JIZ403" s="148"/>
      <c r="JJA403" s="148"/>
      <c r="JJB403" s="148"/>
      <c r="JJC403" s="148"/>
      <c r="JJD403" s="148"/>
      <c r="JJE403" s="148"/>
      <c r="JJF403" s="148"/>
      <c r="JJG403" s="148"/>
      <c r="JJH403" s="148"/>
      <c r="JJI403" s="148"/>
      <c r="JJJ403" s="148"/>
      <c r="JJK403" s="148"/>
      <c r="JJL403" s="148"/>
      <c r="JJM403" s="148"/>
      <c r="JJN403" s="148"/>
      <c r="JJO403" s="148"/>
      <c r="JJP403" s="148"/>
      <c r="JJQ403" s="148"/>
      <c r="JJR403" s="148"/>
      <c r="JJS403" s="148"/>
      <c r="JJT403" s="148"/>
      <c r="JJU403" s="148"/>
      <c r="JJV403" s="148"/>
      <c r="JJW403" s="148"/>
      <c r="JJX403" s="148"/>
      <c r="JJY403" s="148"/>
      <c r="JJZ403" s="148"/>
      <c r="JKA403" s="148"/>
      <c r="JKB403" s="148"/>
      <c r="JKC403" s="148"/>
      <c r="JKD403" s="148"/>
      <c r="JKE403" s="148"/>
      <c r="JKF403" s="148"/>
      <c r="JKG403" s="148"/>
      <c r="JKH403" s="148"/>
      <c r="JKI403" s="148"/>
      <c r="JKJ403" s="148"/>
      <c r="JKK403" s="148"/>
      <c r="JKL403" s="148"/>
      <c r="JKM403" s="148"/>
      <c r="JKN403" s="148"/>
      <c r="JKO403" s="148"/>
      <c r="JKP403" s="148"/>
      <c r="JKQ403" s="148"/>
      <c r="JKR403" s="148"/>
      <c r="JKS403" s="148"/>
      <c r="JKT403" s="148"/>
      <c r="JKU403" s="148"/>
      <c r="JKV403" s="148"/>
      <c r="JKW403" s="148"/>
      <c r="JKX403" s="148"/>
      <c r="JKY403" s="148"/>
      <c r="JKZ403" s="148"/>
      <c r="JLA403" s="148"/>
      <c r="JLB403" s="148"/>
      <c r="JLC403" s="148"/>
      <c r="JLD403" s="148"/>
      <c r="JLE403" s="148"/>
      <c r="JLF403" s="148"/>
      <c r="JLG403" s="148"/>
      <c r="JLH403" s="148"/>
      <c r="JLI403" s="148"/>
      <c r="JLJ403" s="148"/>
      <c r="JLK403" s="148"/>
      <c r="JLL403" s="148"/>
      <c r="JLM403" s="148"/>
      <c r="JLN403" s="148"/>
      <c r="JLO403" s="148"/>
      <c r="JLP403" s="148"/>
      <c r="JLQ403" s="148"/>
      <c r="JLR403" s="148"/>
      <c r="JLS403" s="148"/>
      <c r="JLT403" s="148"/>
      <c r="JLU403" s="148"/>
      <c r="JLV403" s="148"/>
      <c r="JLW403" s="148"/>
      <c r="JLX403" s="148"/>
      <c r="JLY403" s="148"/>
      <c r="JLZ403" s="148"/>
      <c r="JMA403" s="148"/>
      <c r="JMB403" s="148"/>
      <c r="JMC403" s="148"/>
      <c r="JMD403" s="148"/>
      <c r="JME403" s="148"/>
      <c r="JMF403" s="148"/>
      <c r="JMG403" s="148"/>
      <c r="JMH403" s="148"/>
      <c r="JMI403" s="148"/>
      <c r="JMJ403" s="148"/>
      <c r="JMK403" s="148"/>
      <c r="JML403" s="148"/>
      <c r="JMM403" s="148"/>
      <c r="JMN403" s="148"/>
      <c r="JMO403" s="148"/>
      <c r="JMP403" s="148"/>
      <c r="JMQ403" s="148"/>
      <c r="JMR403" s="148"/>
      <c r="JMS403" s="148"/>
      <c r="JMT403" s="148"/>
      <c r="JMU403" s="148"/>
      <c r="JMV403" s="148"/>
      <c r="JMW403" s="148"/>
      <c r="JMX403" s="148"/>
      <c r="JMY403" s="148"/>
      <c r="JMZ403" s="148"/>
      <c r="JNA403" s="148"/>
      <c r="JNB403" s="148"/>
      <c r="JNC403" s="148"/>
      <c r="JND403" s="148"/>
      <c r="JNE403" s="148"/>
      <c r="JNF403" s="148"/>
      <c r="JNG403" s="148"/>
      <c r="JNH403" s="148"/>
      <c r="JNI403" s="148"/>
      <c r="JNJ403" s="148"/>
      <c r="JNK403" s="148"/>
      <c r="JNL403" s="148"/>
      <c r="JNM403" s="148"/>
      <c r="JNN403" s="148"/>
      <c r="JNO403" s="148"/>
      <c r="JNP403" s="148"/>
      <c r="JNQ403" s="148"/>
      <c r="JNR403" s="148"/>
      <c r="JNS403" s="148"/>
      <c r="JNT403" s="148"/>
      <c r="JNU403" s="148"/>
      <c r="JNV403" s="148"/>
      <c r="JNW403" s="148"/>
      <c r="JNX403" s="148"/>
      <c r="JNY403" s="148"/>
      <c r="JNZ403" s="148"/>
      <c r="JOA403" s="148"/>
      <c r="JOB403" s="148"/>
      <c r="JOC403" s="148"/>
      <c r="JOD403" s="148"/>
      <c r="JOE403" s="148"/>
      <c r="JOF403" s="148"/>
      <c r="JOG403" s="148"/>
      <c r="JOH403" s="148"/>
      <c r="JOI403" s="148"/>
      <c r="JOJ403" s="148"/>
      <c r="JOK403" s="148"/>
      <c r="JOL403" s="148"/>
      <c r="JOM403" s="148"/>
      <c r="JON403" s="148"/>
      <c r="JOO403" s="148"/>
      <c r="JOP403" s="148"/>
      <c r="JOQ403" s="148"/>
      <c r="JOR403" s="148"/>
      <c r="JOS403" s="148"/>
      <c r="JOT403" s="148"/>
      <c r="JOU403" s="148"/>
      <c r="JOV403" s="148"/>
      <c r="JOW403" s="148"/>
      <c r="JOX403" s="148"/>
      <c r="JOY403" s="148"/>
      <c r="JOZ403" s="148"/>
      <c r="JPA403" s="148"/>
      <c r="JPB403" s="148"/>
      <c r="JPC403" s="148"/>
      <c r="JPD403" s="148"/>
      <c r="JPE403" s="148"/>
      <c r="JPF403" s="148"/>
      <c r="JPG403" s="148"/>
      <c r="JPH403" s="148"/>
      <c r="JPI403" s="148"/>
      <c r="JPJ403" s="148"/>
      <c r="JPK403" s="148"/>
      <c r="JPL403" s="148"/>
      <c r="JPM403" s="148"/>
      <c r="JPN403" s="148"/>
      <c r="JPO403" s="148"/>
      <c r="JPP403" s="148"/>
      <c r="JPQ403" s="148"/>
      <c r="JPR403" s="148"/>
      <c r="JPS403" s="148"/>
      <c r="JPT403" s="148"/>
      <c r="JPU403" s="148"/>
      <c r="JPV403" s="148"/>
      <c r="JPW403" s="148"/>
      <c r="JPX403" s="148"/>
      <c r="JPY403" s="148"/>
      <c r="JPZ403" s="148"/>
      <c r="JQA403" s="148"/>
      <c r="JQB403" s="148"/>
      <c r="JQC403" s="148"/>
      <c r="JQD403" s="148"/>
      <c r="JQE403" s="148"/>
      <c r="JQF403" s="148"/>
      <c r="JQG403" s="148"/>
      <c r="JQH403" s="148"/>
      <c r="JQI403" s="148"/>
      <c r="JQJ403" s="148"/>
      <c r="JQK403" s="148"/>
      <c r="JQL403" s="148"/>
      <c r="JQM403" s="148"/>
      <c r="JQN403" s="148"/>
      <c r="JQO403" s="148"/>
      <c r="JQP403" s="148"/>
      <c r="JQQ403" s="148"/>
      <c r="JQR403" s="148"/>
      <c r="JQS403" s="148"/>
      <c r="JQT403" s="148"/>
      <c r="JQU403" s="148"/>
      <c r="JQV403" s="148"/>
      <c r="JQW403" s="148"/>
      <c r="JQX403" s="148"/>
      <c r="JQY403" s="148"/>
      <c r="JQZ403" s="148"/>
      <c r="JRA403" s="148"/>
      <c r="JRB403" s="148"/>
      <c r="JRC403" s="148"/>
      <c r="JRD403" s="148"/>
      <c r="JRE403" s="148"/>
      <c r="JRF403" s="148"/>
      <c r="JRG403" s="148"/>
      <c r="JRH403" s="148"/>
      <c r="JRI403" s="148"/>
      <c r="JRJ403" s="148"/>
      <c r="JRK403" s="148"/>
      <c r="JRL403" s="148"/>
      <c r="JRM403" s="148"/>
      <c r="JRN403" s="148"/>
      <c r="JRO403" s="148"/>
      <c r="JRP403" s="148"/>
      <c r="JRQ403" s="148"/>
      <c r="JRR403" s="148"/>
      <c r="JRS403" s="148"/>
      <c r="JRT403" s="148"/>
      <c r="JRU403" s="148"/>
      <c r="JRV403" s="148"/>
      <c r="JRW403" s="148"/>
      <c r="JRX403" s="148"/>
      <c r="JRY403" s="148"/>
      <c r="JRZ403" s="148"/>
      <c r="JSA403" s="148"/>
      <c r="JSB403" s="148"/>
      <c r="JSC403" s="148"/>
      <c r="JSD403" s="148"/>
      <c r="JSE403" s="148"/>
      <c r="JSF403" s="148"/>
      <c r="JSG403" s="148"/>
      <c r="JSH403" s="148"/>
      <c r="JSI403" s="148"/>
      <c r="JSJ403" s="148"/>
      <c r="JSK403" s="148"/>
      <c r="JSL403" s="148"/>
      <c r="JSM403" s="148"/>
      <c r="JSN403" s="148"/>
      <c r="JSO403" s="148"/>
      <c r="JSP403" s="148"/>
      <c r="JSQ403" s="148"/>
      <c r="JSR403" s="148"/>
      <c r="JSS403" s="148"/>
      <c r="JST403" s="148"/>
      <c r="JSU403" s="148"/>
      <c r="JSV403" s="148"/>
      <c r="JSW403" s="148"/>
      <c r="JSX403" s="148"/>
      <c r="JSY403" s="148"/>
      <c r="JSZ403" s="148"/>
      <c r="JTA403" s="148"/>
      <c r="JTB403" s="148"/>
      <c r="JTC403" s="148"/>
      <c r="JTD403" s="148"/>
      <c r="JTE403" s="148"/>
      <c r="JTF403" s="148"/>
      <c r="JTG403" s="148"/>
      <c r="JTH403" s="148"/>
      <c r="JTI403" s="148"/>
      <c r="JTJ403" s="148"/>
      <c r="JTK403" s="148"/>
      <c r="JTL403" s="148"/>
      <c r="JTM403" s="148"/>
      <c r="JTN403" s="148"/>
      <c r="JTO403" s="148"/>
      <c r="JTP403" s="148"/>
      <c r="JTQ403" s="148"/>
      <c r="JTR403" s="148"/>
      <c r="JTS403" s="148"/>
      <c r="JTT403" s="148"/>
      <c r="JTU403" s="148"/>
      <c r="JTV403" s="148"/>
      <c r="JTW403" s="148"/>
      <c r="JTX403" s="148"/>
      <c r="JTY403" s="148"/>
      <c r="JTZ403" s="148"/>
      <c r="JUA403" s="148"/>
      <c r="JUB403" s="148"/>
      <c r="JUC403" s="148"/>
      <c r="JUD403" s="148"/>
      <c r="JUE403" s="148"/>
      <c r="JUF403" s="148"/>
      <c r="JUG403" s="148"/>
      <c r="JUH403" s="148"/>
      <c r="JUI403" s="148"/>
      <c r="JUJ403" s="148"/>
      <c r="JUK403" s="148"/>
      <c r="JUL403" s="148"/>
      <c r="JUM403" s="148"/>
      <c r="JUN403" s="148"/>
      <c r="JUO403" s="148"/>
      <c r="JUP403" s="148"/>
      <c r="JUQ403" s="148"/>
      <c r="JUR403" s="148"/>
      <c r="JUS403" s="148"/>
      <c r="JUT403" s="148"/>
      <c r="JUU403" s="148"/>
      <c r="JUV403" s="148"/>
      <c r="JUW403" s="148"/>
      <c r="JUX403" s="148"/>
      <c r="JUY403" s="148"/>
      <c r="JUZ403" s="148"/>
      <c r="JVA403" s="148"/>
      <c r="JVB403" s="148"/>
      <c r="JVC403" s="148"/>
      <c r="JVD403" s="148"/>
      <c r="JVE403" s="148"/>
      <c r="JVF403" s="148"/>
      <c r="JVG403" s="148"/>
      <c r="JVH403" s="148"/>
      <c r="JVI403" s="148"/>
      <c r="JVJ403" s="148"/>
      <c r="JVK403" s="148"/>
      <c r="JVL403" s="148"/>
      <c r="JVM403" s="148"/>
      <c r="JVN403" s="148"/>
      <c r="JVO403" s="148"/>
      <c r="JVP403" s="148"/>
      <c r="JVQ403" s="148"/>
      <c r="JVR403" s="148"/>
      <c r="JVS403" s="148"/>
      <c r="JVT403" s="148"/>
      <c r="JVU403" s="148"/>
      <c r="JVV403" s="148"/>
      <c r="JVW403" s="148"/>
      <c r="JVX403" s="148"/>
      <c r="JVY403" s="148"/>
      <c r="JVZ403" s="148"/>
      <c r="JWA403" s="148"/>
      <c r="JWB403" s="148"/>
      <c r="JWC403" s="148"/>
      <c r="JWD403" s="148"/>
      <c r="JWE403" s="148"/>
      <c r="JWF403" s="148"/>
      <c r="JWG403" s="148"/>
      <c r="JWH403" s="148"/>
      <c r="JWI403" s="148"/>
      <c r="JWJ403" s="148"/>
      <c r="JWK403" s="148"/>
      <c r="JWL403" s="148"/>
      <c r="JWM403" s="148"/>
      <c r="JWN403" s="148"/>
      <c r="JWO403" s="148"/>
      <c r="JWP403" s="148"/>
      <c r="JWQ403" s="148"/>
      <c r="JWR403" s="148"/>
      <c r="JWS403" s="148"/>
      <c r="JWT403" s="148"/>
      <c r="JWU403" s="148"/>
      <c r="JWV403" s="148"/>
      <c r="JWW403" s="148"/>
      <c r="JWX403" s="148"/>
      <c r="JWY403" s="148"/>
      <c r="JWZ403" s="148"/>
      <c r="JXA403" s="148"/>
      <c r="JXB403" s="148"/>
      <c r="JXC403" s="148"/>
      <c r="JXD403" s="148"/>
      <c r="JXE403" s="148"/>
      <c r="JXF403" s="148"/>
      <c r="JXG403" s="148"/>
      <c r="JXH403" s="148"/>
      <c r="JXI403" s="148"/>
      <c r="JXJ403" s="148"/>
      <c r="JXK403" s="148"/>
      <c r="JXL403" s="148"/>
      <c r="JXM403" s="148"/>
      <c r="JXN403" s="148"/>
      <c r="JXO403" s="148"/>
      <c r="JXP403" s="148"/>
      <c r="JXQ403" s="148"/>
      <c r="JXR403" s="148"/>
      <c r="JXS403" s="148"/>
      <c r="JXT403" s="148"/>
      <c r="JXU403" s="148"/>
      <c r="JXV403" s="148"/>
      <c r="JXW403" s="148"/>
      <c r="JXX403" s="148"/>
      <c r="JXY403" s="148"/>
      <c r="JXZ403" s="148"/>
      <c r="JYA403" s="148"/>
      <c r="JYB403" s="148"/>
      <c r="JYC403" s="148"/>
      <c r="JYD403" s="148"/>
      <c r="JYE403" s="148"/>
      <c r="JYF403" s="148"/>
      <c r="JYG403" s="148"/>
      <c r="JYH403" s="148"/>
      <c r="JYI403" s="148"/>
      <c r="JYJ403" s="148"/>
      <c r="JYK403" s="148"/>
      <c r="JYL403" s="148"/>
      <c r="JYM403" s="148"/>
      <c r="JYN403" s="148"/>
      <c r="JYO403" s="148"/>
      <c r="JYP403" s="148"/>
      <c r="JYQ403" s="148"/>
      <c r="JYR403" s="148"/>
      <c r="JYS403" s="148"/>
      <c r="JYT403" s="148"/>
      <c r="JYU403" s="148"/>
      <c r="JYV403" s="148"/>
      <c r="JYW403" s="148"/>
      <c r="JYX403" s="148"/>
      <c r="JYY403" s="148"/>
      <c r="JYZ403" s="148"/>
      <c r="JZA403" s="148"/>
      <c r="JZB403" s="148"/>
      <c r="JZC403" s="148"/>
      <c r="JZD403" s="148"/>
      <c r="JZE403" s="148"/>
      <c r="JZF403" s="148"/>
      <c r="JZG403" s="148"/>
      <c r="JZH403" s="148"/>
      <c r="JZI403" s="148"/>
      <c r="JZJ403" s="148"/>
      <c r="JZK403" s="148"/>
      <c r="JZL403" s="148"/>
      <c r="JZM403" s="148"/>
      <c r="JZN403" s="148"/>
      <c r="JZO403" s="148"/>
      <c r="JZP403" s="148"/>
      <c r="JZQ403" s="148"/>
      <c r="JZR403" s="148"/>
      <c r="JZS403" s="148"/>
      <c r="JZT403" s="148"/>
      <c r="JZU403" s="148"/>
      <c r="JZV403" s="148"/>
      <c r="JZW403" s="148"/>
      <c r="JZX403" s="148"/>
      <c r="JZY403" s="148"/>
      <c r="JZZ403" s="148"/>
      <c r="KAA403" s="148"/>
      <c r="KAB403" s="148"/>
      <c r="KAC403" s="148"/>
      <c r="KAD403" s="148"/>
      <c r="KAE403" s="148"/>
      <c r="KAF403" s="148"/>
      <c r="KAG403" s="148"/>
      <c r="KAH403" s="148"/>
      <c r="KAI403" s="148"/>
      <c r="KAJ403" s="148"/>
      <c r="KAK403" s="148"/>
      <c r="KAL403" s="148"/>
      <c r="KAM403" s="148"/>
      <c r="KAN403" s="148"/>
      <c r="KAO403" s="148"/>
      <c r="KAP403" s="148"/>
      <c r="KAQ403" s="148"/>
      <c r="KAR403" s="148"/>
      <c r="KAS403" s="148"/>
      <c r="KAT403" s="148"/>
      <c r="KAU403" s="148"/>
      <c r="KAV403" s="148"/>
      <c r="KAW403" s="148"/>
      <c r="KAX403" s="148"/>
      <c r="KAY403" s="148"/>
      <c r="KAZ403" s="148"/>
      <c r="KBA403" s="148"/>
      <c r="KBB403" s="148"/>
      <c r="KBC403" s="148"/>
      <c r="KBD403" s="148"/>
      <c r="KBE403" s="148"/>
      <c r="KBF403" s="148"/>
      <c r="KBG403" s="148"/>
      <c r="KBH403" s="148"/>
      <c r="KBI403" s="148"/>
      <c r="KBJ403" s="148"/>
      <c r="KBK403" s="148"/>
      <c r="KBL403" s="148"/>
      <c r="KBM403" s="148"/>
      <c r="KBN403" s="148"/>
      <c r="KBO403" s="148"/>
      <c r="KBP403" s="148"/>
      <c r="KBQ403" s="148"/>
      <c r="KBR403" s="148"/>
      <c r="KBS403" s="148"/>
      <c r="KBT403" s="148"/>
      <c r="KBU403" s="148"/>
      <c r="KBV403" s="148"/>
      <c r="KBW403" s="148"/>
      <c r="KBX403" s="148"/>
      <c r="KBY403" s="148"/>
      <c r="KBZ403" s="148"/>
      <c r="KCA403" s="148"/>
      <c r="KCB403" s="148"/>
      <c r="KCC403" s="148"/>
      <c r="KCD403" s="148"/>
      <c r="KCE403" s="148"/>
      <c r="KCF403" s="148"/>
      <c r="KCG403" s="148"/>
      <c r="KCH403" s="148"/>
      <c r="KCI403" s="148"/>
      <c r="KCJ403" s="148"/>
      <c r="KCK403" s="148"/>
      <c r="KCL403" s="148"/>
      <c r="KCM403" s="148"/>
      <c r="KCN403" s="148"/>
      <c r="KCO403" s="148"/>
      <c r="KCP403" s="148"/>
      <c r="KCQ403" s="148"/>
      <c r="KCR403" s="148"/>
      <c r="KCS403" s="148"/>
      <c r="KCT403" s="148"/>
      <c r="KCU403" s="148"/>
      <c r="KCV403" s="148"/>
      <c r="KCW403" s="148"/>
      <c r="KCX403" s="148"/>
      <c r="KCY403" s="148"/>
      <c r="KCZ403" s="148"/>
      <c r="KDA403" s="148"/>
      <c r="KDB403" s="148"/>
      <c r="KDC403" s="148"/>
      <c r="KDD403" s="148"/>
      <c r="KDE403" s="148"/>
      <c r="KDF403" s="148"/>
      <c r="KDG403" s="148"/>
      <c r="KDH403" s="148"/>
      <c r="KDI403" s="148"/>
      <c r="KDJ403" s="148"/>
      <c r="KDK403" s="148"/>
      <c r="KDL403" s="148"/>
      <c r="KDM403" s="148"/>
      <c r="KDN403" s="148"/>
      <c r="KDO403" s="148"/>
      <c r="KDP403" s="148"/>
      <c r="KDQ403" s="148"/>
      <c r="KDR403" s="148"/>
      <c r="KDS403" s="148"/>
      <c r="KDT403" s="148"/>
      <c r="KDU403" s="148"/>
      <c r="KDV403" s="148"/>
      <c r="KDW403" s="148"/>
      <c r="KDX403" s="148"/>
      <c r="KDY403" s="148"/>
      <c r="KDZ403" s="148"/>
      <c r="KEA403" s="148"/>
      <c r="KEB403" s="148"/>
      <c r="KEC403" s="148"/>
      <c r="KED403" s="148"/>
      <c r="KEE403" s="148"/>
      <c r="KEF403" s="148"/>
      <c r="KEG403" s="148"/>
      <c r="KEH403" s="148"/>
      <c r="KEI403" s="148"/>
      <c r="KEJ403" s="148"/>
      <c r="KEK403" s="148"/>
      <c r="KEL403" s="148"/>
      <c r="KEM403" s="148"/>
      <c r="KEN403" s="148"/>
      <c r="KEO403" s="148"/>
      <c r="KEP403" s="148"/>
      <c r="KEQ403" s="148"/>
      <c r="KER403" s="148"/>
      <c r="KES403" s="148"/>
      <c r="KET403" s="148"/>
      <c r="KEU403" s="148"/>
      <c r="KEV403" s="148"/>
      <c r="KEW403" s="148"/>
      <c r="KEX403" s="148"/>
      <c r="KEY403" s="148"/>
      <c r="KEZ403" s="148"/>
      <c r="KFA403" s="148"/>
      <c r="KFB403" s="148"/>
      <c r="KFC403" s="148"/>
      <c r="KFD403" s="148"/>
      <c r="KFE403" s="148"/>
      <c r="KFF403" s="148"/>
      <c r="KFG403" s="148"/>
      <c r="KFH403" s="148"/>
      <c r="KFI403" s="148"/>
      <c r="KFJ403" s="148"/>
      <c r="KFK403" s="148"/>
      <c r="KFL403" s="148"/>
      <c r="KFM403" s="148"/>
      <c r="KFN403" s="148"/>
      <c r="KFO403" s="148"/>
      <c r="KFP403" s="148"/>
      <c r="KFQ403" s="148"/>
      <c r="KFR403" s="148"/>
      <c r="KFS403" s="148"/>
      <c r="KFT403" s="148"/>
      <c r="KFU403" s="148"/>
      <c r="KFV403" s="148"/>
      <c r="KFW403" s="148"/>
      <c r="KFX403" s="148"/>
      <c r="KFY403" s="148"/>
      <c r="KFZ403" s="148"/>
      <c r="KGA403" s="148"/>
      <c r="KGB403" s="148"/>
      <c r="KGC403" s="148"/>
      <c r="KGD403" s="148"/>
      <c r="KGE403" s="148"/>
      <c r="KGF403" s="148"/>
      <c r="KGG403" s="148"/>
      <c r="KGH403" s="148"/>
      <c r="KGI403" s="148"/>
      <c r="KGJ403" s="148"/>
      <c r="KGK403" s="148"/>
      <c r="KGL403" s="148"/>
      <c r="KGM403" s="148"/>
      <c r="KGN403" s="148"/>
      <c r="KGO403" s="148"/>
      <c r="KGP403" s="148"/>
      <c r="KGQ403" s="148"/>
      <c r="KGR403" s="148"/>
      <c r="KGS403" s="148"/>
      <c r="KGT403" s="148"/>
      <c r="KGU403" s="148"/>
      <c r="KGV403" s="148"/>
      <c r="KGW403" s="148"/>
      <c r="KGX403" s="148"/>
      <c r="KGY403" s="148"/>
      <c r="KGZ403" s="148"/>
      <c r="KHA403" s="148"/>
      <c r="KHB403" s="148"/>
      <c r="KHC403" s="148"/>
      <c r="KHD403" s="148"/>
      <c r="KHE403" s="148"/>
      <c r="KHF403" s="148"/>
      <c r="KHG403" s="148"/>
      <c r="KHH403" s="148"/>
      <c r="KHI403" s="148"/>
      <c r="KHJ403" s="148"/>
      <c r="KHK403" s="148"/>
      <c r="KHL403" s="148"/>
      <c r="KHM403" s="148"/>
      <c r="KHN403" s="148"/>
      <c r="KHO403" s="148"/>
      <c r="KHP403" s="148"/>
      <c r="KHQ403" s="148"/>
      <c r="KHR403" s="148"/>
      <c r="KHS403" s="148"/>
      <c r="KHT403" s="148"/>
      <c r="KHU403" s="148"/>
      <c r="KHV403" s="148"/>
      <c r="KHW403" s="148"/>
      <c r="KHX403" s="148"/>
      <c r="KHY403" s="148"/>
      <c r="KHZ403" s="148"/>
      <c r="KIA403" s="148"/>
      <c r="KIB403" s="148"/>
      <c r="KIC403" s="148"/>
      <c r="KID403" s="148"/>
      <c r="KIE403" s="148"/>
      <c r="KIF403" s="148"/>
      <c r="KIG403" s="148"/>
      <c r="KIH403" s="148"/>
      <c r="KII403" s="148"/>
      <c r="KIJ403" s="148"/>
      <c r="KIK403" s="148"/>
      <c r="KIL403" s="148"/>
      <c r="KIM403" s="148"/>
      <c r="KIN403" s="148"/>
      <c r="KIO403" s="148"/>
      <c r="KIP403" s="148"/>
      <c r="KIQ403" s="148"/>
      <c r="KIR403" s="148"/>
      <c r="KIS403" s="148"/>
      <c r="KIT403" s="148"/>
      <c r="KIU403" s="148"/>
      <c r="KIV403" s="148"/>
      <c r="KIW403" s="148"/>
      <c r="KIX403" s="148"/>
      <c r="KIY403" s="148"/>
      <c r="KIZ403" s="148"/>
      <c r="KJA403" s="148"/>
      <c r="KJB403" s="148"/>
      <c r="KJC403" s="148"/>
      <c r="KJD403" s="148"/>
      <c r="KJE403" s="148"/>
      <c r="KJF403" s="148"/>
      <c r="KJG403" s="148"/>
      <c r="KJH403" s="148"/>
      <c r="KJI403" s="148"/>
      <c r="KJJ403" s="148"/>
      <c r="KJK403" s="148"/>
      <c r="KJL403" s="148"/>
      <c r="KJM403" s="148"/>
      <c r="KJN403" s="148"/>
      <c r="KJO403" s="148"/>
      <c r="KJP403" s="148"/>
      <c r="KJQ403" s="148"/>
      <c r="KJR403" s="148"/>
      <c r="KJS403" s="148"/>
      <c r="KJT403" s="148"/>
      <c r="KJU403" s="148"/>
      <c r="KJV403" s="148"/>
      <c r="KJW403" s="148"/>
      <c r="KJX403" s="148"/>
      <c r="KJY403" s="148"/>
      <c r="KJZ403" s="148"/>
      <c r="KKA403" s="148"/>
      <c r="KKB403" s="148"/>
      <c r="KKC403" s="148"/>
      <c r="KKD403" s="148"/>
      <c r="KKE403" s="148"/>
      <c r="KKF403" s="148"/>
      <c r="KKG403" s="148"/>
      <c r="KKH403" s="148"/>
      <c r="KKI403" s="148"/>
      <c r="KKJ403" s="148"/>
      <c r="KKK403" s="148"/>
      <c r="KKL403" s="148"/>
      <c r="KKM403" s="148"/>
      <c r="KKN403" s="148"/>
      <c r="KKO403" s="148"/>
      <c r="KKP403" s="148"/>
      <c r="KKQ403" s="148"/>
      <c r="KKR403" s="148"/>
      <c r="KKS403" s="148"/>
      <c r="KKT403" s="148"/>
      <c r="KKU403" s="148"/>
      <c r="KKV403" s="148"/>
      <c r="KKW403" s="148"/>
      <c r="KKX403" s="148"/>
      <c r="KKY403" s="148"/>
      <c r="KKZ403" s="148"/>
      <c r="KLA403" s="148"/>
      <c r="KLB403" s="148"/>
      <c r="KLC403" s="148"/>
      <c r="KLD403" s="148"/>
      <c r="KLE403" s="148"/>
      <c r="KLF403" s="148"/>
      <c r="KLG403" s="148"/>
      <c r="KLH403" s="148"/>
      <c r="KLI403" s="148"/>
      <c r="KLJ403" s="148"/>
      <c r="KLK403" s="148"/>
      <c r="KLL403" s="148"/>
      <c r="KLM403" s="148"/>
      <c r="KLN403" s="148"/>
      <c r="KLO403" s="148"/>
      <c r="KLP403" s="148"/>
      <c r="KLQ403" s="148"/>
      <c r="KLR403" s="148"/>
      <c r="KLS403" s="148"/>
      <c r="KLT403" s="148"/>
      <c r="KLU403" s="148"/>
      <c r="KLV403" s="148"/>
      <c r="KLW403" s="148"/>
      <c r="KLX403" s="148"/>
      <c r="KLY403" s="148"/>
      <c r="KLZ403" s="148"/>
      <c r="KMA403" s="148"/>
      <c r="KMB403" s="148"/>
      <c r="KMC403" s="148"/>
      <c r="KMD403" s="148"/>
      <c r="KME403" s="148"/>
      <c r="KMF403" s="148"/>
      <c r="KMG403" s="148"/>
      <c r="KMH403" s="148"/>
      <c r="KMI403" s="148"/>
      <c r="KMJ403" s="148"/>
      <c r="KMK403" s="148"/>
      <c r="KML403" s="148"/>
      <c r="KMM403" s="148"/>
      <c r="KMN403" s="148"/>
      <c r="KMO403" s="148"/>
      <c r="KMP403" s="148"/>
      <c r="KMQ403" s="148"/>
      <c r="KMR403" s="148"/>
      <c r="KMS403" s="148"/>
      <c r="KMT403" s="148"/>
      <c r="KMU403" s="148"/>
      <c r="KMV403" s="148"/>
      <c r="KMW403" s="148"/>
      <c r="KMX403" s="148"/>
      <c r="KMY403" s="148"/>
      <c r="KMZ403" s="148"/>
      <c r="KNA403" s="148"/>
      <c r="KNB403" s="148"/>
      <c r="KNC403" s="148"/>
      <c r="KND403" s="148"/>
      <c r="KNE403" s="148"/>
      <c r="KNF403" s="148"/>
      <c r="KNG403" s="148"/>
      <c r="KNH403" s="148"/>
      <c r="KNI403" s="148"/>
      <c r="KNJ403" s="148"/>
      <c r="KNK403" s="148"/>
      <c r="KNL403" s="148"/>
      <c r="KNM403" s="148"/>
      <c r="KNN403" s="148"/>
      <c r="KNO403" s="148"/>
      <c r="KNP403" s="148"/>
      <c r="KNQ403" s="148"/>
      <c r="KNR403" s="148"/>
      <c r="KNS403" s="148"/>
      <c r="KNT403" s="148"/>
      <c r="KNU403" s="148"/>
      <c r="KNV403" s="148"/>
      <c r="KNW403" s="148"/>
      <c r="KNX403" s="148"/>
      <c r="KNY403" s="148"/>
      <c r="KNZ403" s="148"/>
      <c r="KOA403" s="148"/>
      <c r="KOB403" s="148"/>
      <c r="KOC403" s="148"/>
      <c r="KOD403" s="148"/>
      <c r="KOE403" s="148"/>
      <c r="KOF403" s="148"/>
      <c r="KOG403" s="148"/>
      <c r="KOH403" s="148"/>
      <c r="KOI403" s="148"/>
      <c r="KOJ403" s="148"/>
      <c r="KOK403" s="148"/>
      <c r="KOL403" s="148"/>
      <c r="KOM403" s="148"/>
      <c r="KON403" s="148"/>
      <c r="KOO403" s="148"/>
      <c r="KOP403" s="148"/>
      <c r="KOQ403" s="148"/>
      <c r="KOR403" s="148"/>
      <c r="KOS403" s="148"/>
      <c r="KOT403" s="148"/>
      <c r="KOU403" s="148"/>
      <c r="KOV403" s="148"/>
      <c r="KOW403" s="148"/>
      <c r="KOX403" s="148"/>
      <c r="KOY403" s="148"/>
      <c r="KOZ403" s="148"/>
      <c r="KPA403" s="148"/>
      <c r="KPB403" s="148"/>
      <c r="KPC403" s="148"/>
      <c r="KPD403" s="148"/>
      <c r="KPE403" s="148"/>
      <c r="KPF403" s="148"/>
      <c r="KPG403" s="148"/>
      <c r="KPH403" s="148"/>
      <c r="KPI403" s="148"/>
      <c r="KPJ403" s="148"/>
      <c r="KPK403" s="148"/>
      <c r="KPL403" s="148"/>
      <c r="KPM403" s="148"/>
      <c r="KPN403" s="148"/>
      <c r="KPO403" s="148"/>
      <c r="KPP403" s="148"/>
      <c r="KPQ403" s="148"/>
      <c r="KPR403" s="148"/>
      <c r="KPS403" s="148"/>
      <c r="KPT403" s="148"/>
      <c r="KPU403" s="148"/>
      <c r="KPV403" s="148"/>
      <c r="KPW403" s="148"/>
      <c r="KPX403" s="148"/>
      <c r="KPY403" s="148"/>
      <c r="KPZ403" s="148"/>
      <c r="KQA403" s="148"/>
      <c r="KQB403" s="148"/>
      <c r="KQC403" s="148"/>
      <c r="KQD403" s="148"/>
      <c r="KQE403" s="148"/>
      <c r="KQF403" s="148"/>
      <c r="KQG403" s="148"/>
      <c r="KQH403" s="148"/>
      <c r="KQI403" s="148"/>
      <c r="KQJ403" s="148"/>
      <c r="KQK403" s="148"/>
      <c r="KQL403" s="148"/>
      <c r="KQM403" s="148"/>
      <c r="KQN403" s="148"/>
      <c r="KQO403" s="148"/>
      <c r="KQP403" s="148"/>
      <c r="KQQ403" s="148"/>
      <c r="KQR403" s="148"/>
      <c r="KQS403" s="148"/>
      <c r="KQT403" s="148"/>
      <c r="KQU403" s="148"/>
      <c r="KQV403" s="148"/>
      <c r="KQW403" s="148"/>
      <c r="KQX403" s="148"/>
      <c r="KQY403" s="148"/>
      <c r="KQZ403" s="148"/>
      <c r="KRA403" s="148"/>
      <c r="KRB403" s="148"/>
      <c r="KRC403" s="148"/>
      <c r="KRD403" s="148"/>
      <c r="KRE403" s="148"/>
      <c r="KRF403" s="148"/>
      <c r="KRG403" s="148"/>
      <c r="KRH403" s="148"/>
      <c r="KRI403" s="148"/>
      <c r="KRJ403" s="148"/>
      <c r="KRK403" s="148"/>
      <c r="KRL403" s="148"/>
      <c r="KRM403" s="148"/>
      <c r="KRN403" s="148"/>
      <c r="KRO403" s="148"/>
      <c r="KRP403" s="148"/>
      <c r="KRQ403" s="148"/>
      <c r="KRR403" s="148"/>
      <c r="KRS403" s="148"/>
      <c r="KRT403" s="148"/>
      <c r="KRU403" s="148"/>
      <c r="KRV403" s="148"/>
      <c r="KRW403" s="148"/>
      <c r="KRX403" s="148"/>
      <c r="KRY403" s="148"/>
      <c r="KRZ403" s="148"/>
      <c r="KSA403" s="148"/>
      <c r="KSB403" s="148"/>
      <c r="KSC403" s="148"/>
      <c r="KSD403" s="148"/>
      <c r="KSE403" s="148"/>
      <c r="KSF403" s="148"/>
      <c r="KSG403" s="148"/>
      <c r="KSH403" s="148"/>
      <c r="KSI403" s="148"/>
      <c r="KSJ403" s="148"/>
      <c r="KSK403" s="148"/>
      <c r="KSL403" s="148"/>
      <c r="KSM403" s="148"/>
      <c r="KSN403" s="148"/>
      <c r="KSO403" s="148"/>
      <c r="KSP403" s="148"/>
      <c r="KSQ403" s="148"/>
      <c r="KSR403" s="148"/>
      <c r="KSS403" s="148"/>
      <c r="KST403" s="148"/>
      <c r="KSU403" s="148"/>
      <c r="KSV403" s="148"/>
      <c r="KSW403" s="148"/>
      <c r="KSX403" s="148"/>
      <c r="KSY403" s="148"/>
      <c r="KSZ403" s="148"/>
      <c r="KTA403" s="148"/>
      <c r="KTB403" s="148"/>
      <c r="KTC403" s="148"/>
      <c r="KTD403" s="148"/>
      <c r="KTE403" s="148"/>
      <c r="KTF403" s="148"/>
      <c r="KTG403" s="148"/>
      <c r="KTH403" s="148"/>
      <c r="KTI403" s="148"/>
      <c r="KTJ403" s="148"/>
      <c r="KTK403" s="148"/>
      <c r="KTL403" s="148"/>
      <c r="KTM403" s="148"/>
      <c r="KTN403" s="148"/>
      <c r="KTO403" s="148"/>
      <c r="KTP403" s="148"/>
      <c r="KTQ403" s="148"/>
      <c r="KTR403" s="148"/>
      <c r="KTS403" s="148"/>
      <c r="KTT403" s="148"/>
      <c r="KTU403" s="148"/>
      <c r="KTV403" s="148"/>
      <c r="KTW403" s="148"/>
      <c r="KTX403" s="148"/>
      <c r="KTY403" s="148"/>
      <c r="KTZ403" s="148"/>
      <c r="KUA403" s="148"/>
      <c r="KUB403" s="148"/>
      <c r="KUC403" s="148"/>
      <c r="KUD403" s="148"/>
      <c r="KUE403" s="148"/>
      <c r="KUF403" s="148"/>
      <c r="KUG403" s="148"/>
      <c r="KUH403" s="148"/>
      <c r="KUI403" s="148"/>
      <c r="KUJ403" s="148"/>
      <c r="KUK403" s="148"/>
      <c r="KUL403" s="148"/>
      <c r="KUM403" s="148"/>
      <c r="KUN403" s="148"/>
      <c r="KUO403" s="148"/>
      <c r="KUP403" s="148"/>
      <c r="KUQ403" s="148"/>
      <c r="KUR403" s="148"/>
      <c r="KUS403" s="148"/>
      <c r="KUT403" s="148"/>
      <c r="KUU403" s="148"/>
      <c r="KUV403" s="148"/>
      <c r="KUW403" s="148"/>
      <c r="KUX403" s="148"/>
      <c r="KUY403" s="148"/>
      <c r="KUZ403" s="148"/>
      <c r="KVA403" s="148"/>
      <c r="KVB403" s="148"/>
      <c r="KVC403" s="148"/>
      <c r="KVD403" s="148"/>
      <c r="KVE403" s="148"/>
      <c r="KVF403" s="148"/>
      <c r="KVG403" s="148"/>
      <c r="KVH403" s="148"/>
      <c r="KVI403" s="148"/>
      <c r="KVJ403" s="148"/>
      <c r="KVK403" s="148"/>
      <c r="KVL403" s="148"/>
      <c r="KVM403" s="148"/>
      <c r="KVN403" s="148"/>
      <c r="KVO403" s="148"/>
      <c r="KVP403" s="148"/>
      <c r="KVQ403" s="148"/>
      <c r="KVR403" s="148"/>
      <c r="KVS403" s="148"/>
      <c r="KVT403" s="148"/>
      <c r="KVU403" s="148"/>
      <c r="KVV403" s="148"/>
      <c r="KVW403" s="148"/>
      <c r="KVX403" s="148"/>
      <c r="KVY403" s="148"/>
      <c r="KVZ403" s="148"/>
      <c r="KWA403" s="148"/>
      <c r="KWB403" s="148"/>
      <c r="KWC403" s="148"/>
      <c r="KWD403" s="148"/>
      <c r="KWE403" s="148"/>
      <c r="KWF403" s="148"/>
      <c r="KWG403" s="148"/>
      <c r="KWH403" s="148"/>
      <c r="KWI403" s="148"/>
      <c r="KWJ403" s="148"/>
      <c r="KWK403" s="148"/>
      <c r="KWL403" s="148"/>
      <c r="KWM403" s="148"/>
      <c r="KWN403" s="148"/>
      <c r="KWO403" s="148"/>
      <c r="KWP403" s="148"/>
      <c r="KWQ403" s="148"/>
      <c r="KWR403" s="148"/>
      <c r="KWS403" s="148"/>
      <c r="KWT403" s="148"/>
      <c r="KWU403" s="148"/>
      <c r="KWV403" s="148"/>
      <c r="KWW403" s="148"/>
      <c r="KWX403" s="148"/>
      <c r="KWY403" s="148"/>
      <c r="KWZ403" s="148"/>
      <c r="KXA403" s="148"/>
      <c r="KXB403" s="148"/>
      <c r="KXC403" s="148"/>
      <c r="KXD403" s="148"/>
      <c r="KXE403" s="148"/>
      <c r="KXF403" s="148"/>
      <c r="KXG403" s="148"/>
      <c r="KXH403" s="148"/>
      <c r="KXI403" s="148"/>
      <c r="KXJ403" s="148"/>
      <c r="KXK403" s="148"/>
      <c r="KXL403" s="148"/>
      <c r="KXM403" s="148"/>
      <c r="KXN403" s="148"/>
      <c r="KXO403" s="148"/>
      <c r="KXP403" s="148"/>
      <c r="KXQ403" s="148"/>
      <c r="KXR403" s="148"/>
      <c r="KXS403" s="148"/>
      <c r="KXT403" s="148"/>
      <c r="KXU403" s="148"/>
      <c r="KXV403" s="148"/>
      <c r="KXW403" s="148"/>
      <c r="KXX403" s="148"/>
      <c r="KXY403" s="148"/>
      <c r="KXZ403" s="148"/>
      <c r="KYA403" s="148"/>
      <c r="KYB403" s="148"/>
      <c r="KYC403" s="148"/>
      <c r="KYD403" s="148"/>
      <c r="KYE403" s="148"/>
      <c r="KYF403" s="148"/>
      <c r="KYG403" s="148"/>
      <c r="KYH403" s="148"/>
      <c r="KYI403" s="148"/>
      <c r="KYJ403" s="148"/>
      <c r="KYK403" s="148"/>
      <c r="KYL403" s="148"/>
      <c r="KYM403" s="148"/>
      <c r="KYN403" s="148"/>
      <c r="KYO403" s="148"/>
      <c r="KYP403" s="148"/>
      <c r="KYQ403" s="148"/>
      <c r="KYR403" s="148"/>
      <c r="KYS403" s="148"/>
      <c r="KYT403" s="148"/>
      <c r="KYU403" s="148"/>
      <c r="KYV403" s="148"/>
      <c r="KYW403" s="148"/>
      <c r="KYX403" s="148"/>
      <c r="KYY403" s="148"/>
      <c r="KYZ403" s="148"/>
      <c r="KZA403" s="148"/>
      <c r="KZB403" s="148"/>
      <c r="KZC403" s="148"/>
      <c r="KZD403" s="148"/>
      <c r="KZE403" s="148"/>
      <c r="KZF403" s="148"/>
      <c r="KZG403" s="148"/>
      <c r="KZH403" s="148"/>
      <c r="KZI403" s="148"/>
      <c r="KZJ403" s="148"/>
      <c r="KZK403" s="148"/>
      <c r="KZL403" s="148"/>
      <c r="KZM403" s="148"/>
      <c r="KZN403" s="148"/>
      <c r="KZO403" s="148"/>
      <c r="KZP403" s="148"/>
      <c r="KZQ403" s="148"/>
      <c r="KZR403" s="148"/>
      <c r="KZS403" s="148"/>
      <c r="KZT403" s="148"/>
      <c r="KZU403" s="148"/>
      <c r="KZV403" s="148"/>
      <c r="KZW403" s="148"/>
      <c r="KZX403" s="148"/>
      <c r="KZY403" s="148"/>
      <c r="KZZ403" s="148"/>
      <c r="LAA403" s="148"/>
      <c r="LAB403" s="148"/>
      <c r="LAC403" s="148"/>
      <c r="LAD403" s="148"/>
      <c r="LAE403" s="148"/>
      <c r="LAF403" s="148"/>
      <c r="LAG403" s="148"/>
      <c r="LAH403" s="148"/>
      <c r="LAI403" s="148"/>
      <c r="LAJ403" s="148"/>
      <c r="LAK403" s="148"/>
      <c r="LAL403" s="148"/>
      <c r="LAM403" s="148"/>
      <c r="LAN403" s="148"/>
      <c r="LAO403" s="148"/>
      <c r="LAP403" s="148"/>
      <c r="LAQ403" s="148"/>
      <c r="LAR403" s="148"/>
      <c r="LAS403" s="148"/>
      <c r="LAT403" s="148"/>
      <c r="LAU403" s="148"/>
      <c r="LAV403" s="148"/>
      <c r="LAW403" s="148"/>
      <c r="LAX403" s="148"/>
      <c r="LAY403" s="148"/>
      <c r="LAZ403" s="148"/>
      <c r="LBA403" s="148"/>
      <c r="LBB403" s="148"/>
      <c r="LBC403" s="148"/>
      <c r="LBD403" s="148"/>
      <c r="LBE403" s="148"/>
      <c r="LBF403" s="148"/>
      <c r="LBG403" s="148"/>
      <c r="LBH403" s="148"/>
      <c r="LBI403" s="148"/>
      <c r="LBJ403" s="148"/>
      <c r="LBK403" s="148"/>
      <c r="LBL403" s="148"/>
      <c r="LBM403" s="148"/>
      <c r="LBN403" s="148"/>
      <c r="LBO403" s="148"/>
      <c r="LBP403" s="148"/>
      <c r="LBQ403" s="148"/>
      <c r="LBR403" s="148"/>
      <c r="LBS403" s="148"/>
      <c r="LBT403" s="148"/>
      <c r="LBU403" s="148"/>
      <c r="LBV403" s="148"/>
      <c r="LBW403" s="148"/>
      <c r="LBX403" s="148"/>
      <c r="LBY403" s="148"/>
      <c r="LBZ403" s="148"/>
      <c r="LCA403" s="148"/>
      <c r="LCB403" s="148"/>
      <c r="LCC403" s="148"/>
      <c r="LCD403" s="148"/>
      <c r="LCE403" s="148"/>
      <c r="LCF403" s="148"/>
      <c r="LCG403" s="148"/>
      <c r="LCH403" s="148"/>
      <c r="LCI403" s="148"/>
      <c r="LCJ403" s="148"/>
      <c r="LCK403" s="148"/>
      <c r="LCL403" s="148"/>
      <c r="LCM403" s="148"/>
      <c r="LCN403" s="148"/>
      <c r="LCO403" s="148"/>
      <c r="LCP403" s="148"/>
      <c r="LCQ403" s="148"/>
      <c r="LCR403" s="148"/>
      <c r="LCS403" s="148"/>
      <c r="LCT403" s="148"/>
      <c r="LCU403" s="148"/>
      <c r="LCV403" s="148"/>
      <c r="LCW403" s="148"/>
      <c r="LCX403" s="148"/>
      <c r="LCY403" s="148"/>
      <c r="LCZ403" s="148"/>
      <c r="LDA403" s="148"/>
      <c r="LDB403" s="148"/>
      <c r="LDC403" s="148"/>
      <c r="LDD403" s="148"/>
      <c r="LDE403" s="148"/>
      <c r="LDF403" s="148"/>
      <c r="LDG403" s="148"/>
      <c r="LDH403" s="148"/>
      <c r="LDI403" s="148"/>
      <c r="LDJ403" s="148"/>
      <c r="LDK403" s="148"/>
      <c r="LDL403" s="148"/>
      <c r="LDM403" s="148"/>
      <c r="LDN403" s="148"/>
      <c r="LDO403" s="148"/>
      <c r="LDP403" s="148"/>
      <c r="LDQ403" s="148"/>
      <c r="LDR403" s="148"/>
      <c r="LDS403" s="148"/>
      <c r="LDT403" s="148"/>
      <c r="LDU403" s="148"/>
      <c r="LDV403" s="148"/>
      <c r="LDW403" s="148"/>
      <c r="LDX403" s="148"/>
      <c r="LDY403" s="148"/>
      <c r="LDZ403" s="148"/>
      <c r="LEA403" s="148"/>
      <c r="LEB403" s="148"/>
      <c r="LEC403" s="148"/>
      <c r="LED403" s="148"/>
      <c r="LEE403" s="148"/>
      <c r="LEF403" s="148"/>
      <c r="LEG403" s="148"/>
      <c r="LEH403" s="148"/>
      <c r="LEI403" s="148"/>
      <c r="LEJ403" s="148"/>
      <c r="LEK403" s="148"/>
      <c r="LEL403" s="148"/>
      <c r="LEM403" s="148"/>
      <c r="LEN403" s="148"/>
      <c r="LEO403" s="148"/>
      <c r="LEP403" s="148"/>
      <c r="LEQ403" s="148"/>
      <c r="LER403" s="148"/>
      <c r="LES403" s="148"/>
      <c r="LET403" s="148"/>
      <c r="LEU403" s="148"/>
      <c r="LEV403" s="148"/>
      <c r="LEW403" s="148"/>
      <c r="LEX403" s="148"/>
      <c r="LEY403" s="148"/>
      <c r="LEZ403" s="148"/>
      <c r="LFA403" s="148"/>
      <c r="LFB403" s="148"/>
      <c r="LFC403" s="148"/>
      <c r="LFD403" s="148"/>
      <c r="LFE403" s="148"/>
      <c r="LFF403" s="148"/>
      <c r="LFG403" s="148"/>
      <c r="LFH403" s="148"/>
      <c r="LFI403" s="148"/>
      <c r="LFJ403" s="148"/>
      <c r="LFK403" s="148"/>
      <c r="LFL403" s="148"/>
      <c r="LFM403" s="148"/>
      <c r="LFN403" s="148"/>
      <c r="LFO403" s="148"/>
      <c r="LFP403" s="148"/>
      <c r="LFQ403" s="148"/>
      <c r="LFR403" s="148"/>
      <c r="LFS403" s="148"/>
      <c r="LFT403" s="148"/>
      <c r="LFU403" s="148"/>
      <c r="LFV403" s="148"/>
      <c r="LFW403" s="148"/>
      <c r="LFX403" s="148"/>
      <c r="LFY403" s="148"/>
      <c r="LFZ403" s="148"/>
      <c r="LGA403" s="148"/>
      <c r="LGB403" s="148"/>
      <c r="LGC403" s="148"/>
      <c r="LGD403" s="148"/>
      <c r="LGE403" s="148"/>
      <c r="LGF403" s="148"/>
      <c r="LGG403" s="148"/>
      <c r="LGH403" s="148"/>
      <c r="LGI403" s="148"/>
      <c r="LGJ403" s="148"/>
      <c r="LGK403" s="148"/>
      <c r="LGL403" s="148"/>
      <c r="LGM403" s="148"/>
      <c r="LGN403" s="148"/>
      <c r="LGO403" s="148"/>
      <c r="LGP403" s="148"/>
      <c r="LGQ403" s="148"/>
      <c r="LGR403" s="148"/>
      <c r="LGS403" s="148"/>
      <c r="LGT403" s="148"/>
      <c r="LGU403" s="148"/>
      <c r="LGV403" s="148"/>
      <c r="LGW403" s="148"/>
      <c r="LGX403" s="148"/>
      <c r="LGY403" s="148"/>
      <c r="LGZ403" s="148"/>
      <c r="LHA403" s="148"/>
      <c r="LHB403" s="148"/>
      <c r="LHC403" s="148"/>
      <c r="LHD403" s="148"/>
      <c r="LHE403" s="148"/>
      <c r="LHF403" s="148"/>
      <c r="LHG403" s="148"/>
      <c r="LHH403" s="148"/>
      <c r="LHI403" s="148"/>
      <c r="LHJ403" s="148"/>
      <c r="LHK403" s="148"/>
      <c r="LHL403" s="148"/>
      <c r="LHM403" s="148"/>
      <c r="LHN403" s="148"/>
      <c r="LHO403" s="148"/>
      <c r="LHP403" s="148"/>
      <c r="LHQ403" s="148"/>
      <c r="LHR403" s="148"/>
      <c r="LHS403" s="148"/>
      <c r="LHT403" s="148"/>
      <c r="LHU403" s="148"/>
      <c r="LHV403" s="148"/>
      <c r="LHW403" s="148"/>
      <c r="LHX403" s="148"/>
      <c r="LHY403" s="148"/>
      <c r="LHZ403" s="148"/>
      <c r="LIA403" s="148"/>
      <c r="LIB403" s="148"/>
      <c r="LIC403" s="148"/>
      <c r="LID403" s="148"/>
      <c r="LIE403" s="148"/>
      <c r="LIF403" s="148"/>
      <c r="LIG403" s="148"/>
      <c r="LIH403" s="148"/>
      <c r="LII403" s="148"/>
      <c r="LIJ403" s="148"/>
      <c r="LIK403" s="148"/>
      <c r="LIL403" s="148"/>
      <c r="LIM403" s="148"/>
      <c r="LIN403" s="148"/>
      <c r="LIO403" s="148"/>
      <c r="LIP403" s="148"/>
      <c r="LIQ403" s="148"/>
      <c r="LIR403" s="148"/>
      <c r="LIS403" s="148"/>
      <c r="LIT403" s="148"/>
      <c r="LIU403" s="148"/>
      <c r="LIV403" s="148"/>
      <c r="LIW403" s="148"/>
      <c r="LIX403" s="148"/>
      <c r="LIY403" s="148"/>
      <c r="LIZ403" s="148"/>
      <c r="LJA403" s="148"/>
      <c r="LJB403" s="148"/>
      <c r="LJC403" s="148"/>
      <c r="LJD403" s="148"/>
      <c r="LJE403" s="148"/>
      <c r="LJF403" s="148"/>
      <c r="LJG403" s="148"/>
      <c r="LJH403" s="148"/>
      <c r="LJI403" s="148"/>
      <c r="LJJ403" s="148"/>
      <c r="LJK403" s="148"/>
      <c r="LJL403" s="148"/>
      <c r="LJM403" s="148"/>
      <c r="LJN403" s="148"/>
      <c r="LJO403" s="148"/>
      <c r="LJP403" s="148"/>
      <c r="LJQ403" s="148"/>
      <c r="LJR403" s="148"/>
      <c r="LJS403" s="148"/>
      <c r="LJT403" s="148"/>
      <c r="LJU403" s="148"/>
      <c r="LJV403" s="148"/>
      <c r="LJW403" s="148"/>
      <c r="LJX403" s="148"/>
      <c r="LJY403" s="148"/>
      <c r="LJZ403" s="148"/>
      <c r="LKA403" s="148"/>
      <c r="LKB403" s="148"/>
      <c r="LKC403" s="148"/>
      <c r="LKD403" s="148"/>
      <c r="LKE403" s="148"/>
      <c r="LKF403" s="148"/>
      <c r="LKG403" s="148"/>
      <c r="LKH403" s="148"/>
      <c r="LKI403" s="148"/>
      <c r="LKJ403" s="148"/>
      <c r="LKK403" s="148"/>
      <c r="LKL403" s="148"/>
      <c r="LKM403" s="148"/>
      <c r="LKN403" s="148"/>
      <c r="LKO403" s="148"/>
      <c r="LKP403" s="148"/>
      <c r="LKQ403" s="148"/>
      <c r="LKR403" s="148"/>
      <c r="LKS403" s="148"/>
      <c r="LKT403" s="148"/>
      <c r="LKU403" s="148"/>
      <c r="LKV403" s="148"/>
      <c r="LKW403" s="148"/>
      <c r="LKX403" s="148"/>
      <c r="LKY403" s="148"/>
      <c r="LKZ403" s="148"/>
      <c r="LLA403" s="148"/>
      <c r="LLB403" s="148"/>
      <c r="LLC403" s="148"/>
      <c r="LLD403" s="148"/>
      <c r="LLE403" s="148"/>
      <c r="LLF403" s="148"/>
      <c r="LLG403" s="148"/>
      <c r="LLH403" s="148"/>
      <c r="LLI403" s="148"/>
      <c r="LLJ403" s="148"/>
      <c r="LLK403" s="148"/>
      <c r="LLL403" s="148"/>
      <c r="LLM403" s="148"/>
      <c r="LLN403" s="148"/>
      <c r="LLO403" s="148"/>
      <c r="LLP403" s="148"/>
      <c r="LLQ403" s="148"/>
      <c r="LLR403" s="148"/>
      <c r="LLS403" s="148"/>
      <c r="LLT403" s="148"/>
      <c r="LLU403" s="148"/>
      <c r="LLV403" s="148"/>
      <c r="LLW403" s="148"/>
      <c r="LLX403" s="148"/>
      <c r="LLY403" s="148"/>
      <c r="LLZ403" s="148"/>
      <c r="LMA403" s="148"/>
      <c r="LMB403" s="148"/>
      <c r="LMC403" s="148"/>
      <c r="LMD403" s="148"/>
      <c r="LME403" s="148"/>
      <c r="LMF403" s="148"/>
      <c r="LMG403" s="148"/>
      <c r="LMH403" s="148"/>
      <c r="LMI403" s="148"/>
      <c r="LMJ403" s="148"/>
      <c r="LMK403" s="148"/>
      <c r="LML403" s="148"/>
      <c r="LMM403" s="148"/>
      <c r="LMN403" s="148"/>
      <c r="LMO403" s="148"/>
      <c r="LMP403" s="148"/>
      <c r="LMQ403" s="148"/>
      <c r="LMR403" s="148"/>
      <c r="LMS403" s="148"/>
      <c r="LMT403" s="148"/>
      <c r="LMU403" s="148"/>
      <c r="LMV403" s="148"/>
      <c r="LMW403" s="148"/>
      <c r="LMX403" s="148"/>
      <c r="LMY403" s="148"/>
      <c r="LMZ403" s="148"/>
      <c r="LNA403" s="148"/>
      <c r="LNB403" s="148"/>
      <c r="LNC403" s="148"/>
      <c r="LND403" s="148"/>
      <c r="LNE403" s="148"/>
      <c r="LNF403" s="148"/>
      <c r="LNG403" s="148"/>
      <c r="LNH403" s="148"/>
      <c r="LNI403" s="148"/>
      <c r="LNJ403" s="148"/>
      <c r="LNK403" s="148"/>
      <c r="LNL403" s="148"/>
      <c r="LNM403" s="148"/>
      <c r="LNN403" s="148"/>
      <c r="LNO403" s="148"/>
      <c r="LNP403" s="148"/>
      <c r="LNQ403" s="148"/>
      <c r="LNR403" s="148"/>
      <c r="LNS403" s="148"/>
      <c r="LNT403" s="148"/>
      <c r="LNU403" s="148"/>
      <c r="LNV403" s="148"/>
      <c r="LNW403" s="148"/>
      <c r="LNX403" s="148"/>
      <c r="LNY403" s="148"/>
      <c r="LNZ403" s="148"/>
      <c r="LOA403" s="148"/>
      <c r="LOB403" s="148"/>
      <c r="LOC403" s="148"/>
      <c r="LOD403" s="148"/>
      <c r="LOE403" s="148"/>
      <c r="LOF403" s="148"/>
      <c r="LOG403" s="148"/>
      <c r="LOH403" s="148"/>
      <c r="LOI403" s="148"/>
      <c r="LOJ403" s="148"/>
      <c r="LOK403" s="148"/>
      <c r="LOL403" s="148"/>
      <c r="LOM403" s="148"/>
      <c r="LON403" s="148"/>
      <c r="LOO403" s="148"/>
      <c r="LOP403" s="148"/>
      <c r="LOQ403" s="148"/>
      <c r="LOR403" s="148"/>
      <c r="LOS403" s="148"/>
      <c r="LOT403" s="148"/>
      <c r="LOU403" s="148"/>
      <c r="LOV403" s="148"/>
      <c r="LOW403" s="148"/>
      <c r="LOX403" s="148"/>
      <c r="LOY403" s="148"/>
      <c r="LOZ403" s="148"/>
      <c r="LPA403" s="148"/>
      <c r="LPB403" s="148"/>
      <c r="LPC403" s="148"/>
      <c r="LPD403" s="148"/>
      <c r="LPE403" s="148"/>
      <c r="LPF403" s="148"/>
      <c r="LPG403" s="148"/>
      <c r="LPH403" s="148"/>
      <c r="LPI403" s="148"/>
      <c r="LPJ403" s="148"/>
      <c r="LPK403" s="148"/>
      <c r="LPL403" s="148"/>
      <c r="LPM403" s="148"/>
      <c r="LPN403" s="148"/>
      <c r="LPO403" s="148"/>
      <c r="LPP403" s="148"/>
      <c r="LPQ403" s="148"/>
      <c r="LPR403" s="148"/>
      <c r="LPS403" s="148"/>
      <c r="LPT403" s="148"/>
      <c r="LPU403" s="148"/>
      <c r="LPV403" s="148"/>
      <c r="LPW403" s="148"/>
      <c r="LPX403" s="148"/>
      <c r="LPY403" s="148"/>
      <c r="LPZ403" s="148"/>
      <c r="LQA403" s="148"/>
      <c r="LQB403" s="148"/>
      <c r="LQC403" s="148"/>
      <c r="LQD403" s="148"/>
      <c r="LQE403" s="148"/>
      <c r="LQF403" s="148"/>
      <c r="LQG403" s="148"/>
      <c r="LQH403" s="148"/>
      <c r="LQI403" s="148"/>
      <c r="LQJ403" s="148"/>
      <c r="LQK403" s="148"/>
      <c r="LQL403" s="148"/>
      <c r="LQM403" s="148"/>
      <c r="LQN403" s="148"/>
      <c r="LQO403" s="148"/>
      <c r="LQP403" s="148"/>
      <c r="LQQ403" s="148"/>
      <c r="LQR403" s="148"/>
      <c r="LQS403" s="148"/>
      <c r="LQT403" s="148"/>
      <c r="LQU403" s="148"/>
      <c r="LQV403" s="148"/>
      <c r="LQW403" s="148"/>
      <c r="LQX403" s="148"/>
      <c r="LQY403" s="148"/>
      <c r="LQZ403" s="148"/>
      <c r="LRA403" s="148"/>
      <c r="LRB403" s="148"/>
      <c r="LRC403" s="148"/>
      <c r="LRD403" s="148"/>
      <c r="LRE403" s="148"/>
      <c r="LRF403" s="148"/>
      <c r="LRG403" s="148"/>
      <c r="LRH403" s="148"/>
      <c r="LRI403" s="148"/>
      <c r="LRJ403" s="148"/>
      <c r="LRK403" s="148"/>
      <c r="LRL403" s="148"/>
      <c r="LRM403" s="148"/>
      <c r="LRN403" s="148"/>
      <c r="LRO403" s="148"/>
      <c r="LRP403" s="148"/>
      <c r="LRQ403" s="148"/>
      <c r="LRR403" s="148"/>
      <c r="LRS403" s="148"/>
      <c r="LRT403" s="148"/>
      <c r="LRU403" s="148"/>
      <c r="LRV403" s="148"/>
      <c r="LRW403" s="148"/>
      <c r="LRX403" s="148"/>
      <c r="LRY403" s="148"/>
      <c r="LRZ403" s="148"/>
      <c r="LSA403" s="148"/>
      <c r="LSB403" s="148"/>
      <c r="LSC403" s="148"/>
      <c r="LSD403" s="148"/>
      <c r="LSE403" s="148"/>
      <c r="LSF403" s="148"/>
      <c r="LSG403" s="148"/>
      <c r="LSH403" s="148"/>
      <c r="LSI403" s="148"/>
      <c r="LSJ403" s="148"/>
      <c r="LSK403" s="148"/>
      <c r="LSL403" s="148"/>
      <c r="LSM403" s="148"/>
      <c r="LSN403" s="148"/>
      <c r="LSO403" s="148"/>
      <c r="LSP403" s="148"/>
      <c r="LSQ403" s="148"/>
      <c r="LSR403" s="148"/>
      <c r="LSS403" s="148"/>
      <c r="LST403" s="148"/>
      <c r="LSU403" s="148"/>
      <c r="LSV403" s="148"/>
      <c r="LSW403" s="148"/>
      <c r="LSX403" s="148"/>
      <c r="LSY403" s="148"/>
      <c r="LSZ403" s="148"/>
      <c r="LTA403" s="148"/>
      <c r="LTB403" s="148"/>
      <c r="LTC403" s="148"/>
      <c r="LTD403" s="148"/>
      <c r="LTE403" s="148"/>
      <c r="LTF403" s="148"/>
      <c r="LTG403" s="148"/>
      <c r="LTH403" s="148"/>
      <c r="LTI403" s="148"/>
      <c r="LTJ403" s="148"/>
      <c r="LTK403" s="148"/>
      <c r="LTL403" s="148"/>
      <c r="LTM403" s="148"/>
      <c r="LTN403" s="148"/>
      <c r="LTO403" s="148"/>
      <c r="LTP403" s="148"/>
      <c r="LTQ403" s="148"/>
      <c r="LTR403" s="148"/>
      <c r="LTS403" s="148"/>
      <c r="LTT403" s="148"/>
      <c r="LTU403" s="148"/>
      <c r="LTV403" s="148"/>
      <c r="LTW403" s="148"/>
      <c r="LTX403" s="148"/>
      <c r="LTY403" s="148"/>
      <c r="LTZ403" s="148"/>
      <c r="LUA403" s="148"/>
      <c r="LUB403" s="148"/>
      <c r="LUC403" s="148"/>
      <c r="LUD403" s="148"/>
      <c r="LUE403" s="148"/>
      <c r="LUF403" s="148"/>
      <c r="LUG403" s="148"/>
      <c r="LUH403" s="148"/>
      <c r="LUI403" s="148"/>
      <c r="LUJ403" s="148"/>
      <c r="LUK403" s="148"/>
      <c r="LUL403" s="148"/>
      <c r="LUM403" s="148"/>
      <c r="LUN403" s="148"/>
      <c r="LUO403" s="148"/>
      <c r="LUP403" s="148"/>
      <c r="LUQ403" s="148"/>
      <c r="LUR403" s="148"/>
      <c r="LUS403" s="148"/>
      <c r="LUT403" s="148"/>
      <c r="LUU403" s="148"/>
      <c r="LUV403" s="148"/>
      <c r="LUW403" s="148"/>
      <c r="LUX403" s="148"/>
      <c r="LUY403" s="148"/>
      <c r="LUZ403" s="148"/>
      <c r="LVA403" s="148"/>
      <c r="LVB403" s="148"/>
      <c r="LVC403" s="148"/>
      <c r="LVD403" s="148"/>
      <c r="LVE403" s="148"/>
      <c r="LVF403" s="148"/>
      <c r="LVG403" s="148"/>
      <c r="LVH403" s="148"/>
      <c r="LVI403" s="148"/>
      <c r="LVJ403" s="148"/>
      <c r="LVK403" s="148"/>
      <c r="LVL403" s="148"/>
      <c r="LVM403" s="148"/>
      <c r="LVN403" s="148"/>
      <c r="LVO403" s="148"/>
      <c r="LVP403" s="148"/>
      <c r="LVQ403" s="148"/>
      <c r="LVR403" s="148"/>
      <c r="LVS403" s="148"/>
      <c r="LVT403" s="148"/>
      <c r="LVU403" s="148"/>
      <c r="LVV403" s="148"/>
      <c r="LVW403" s="148"/>
      <c r="LVX403" s="148"/>
      <c r="LVY403" s="148"/>
      <c r="LVZ403" s="148"/>
      <c r="LWA403" s="148"/>
      <c r="LWB403" s="148"/>
      <c r="LWC403" s="148"/>
      <c r="LWD403" s="148"/>
      <c r="LWE403" s="148"/>
      <c r="LWF403" s="148"/>
      <c r="LWG403" s="148"/>
      <c r="LWH403" s="148"/>
      <c r="LWI403" s="148"/>
      <c r="LWJ403" s="148"/>
      <c r="LWK403" s="148"/>
      <c r="LWL403" s="148"/>
      <c r="LWM403" s="148"/>
      <c r="LWN403" s="148"/>
      <c r="LWO403" s="148"/>
      <c r="LWP403" s="148"/>
      <c r="LWQ403" s="148"/>
      <c r="LWR403" s="148"/>
      <c r="LWS403" s="148"/>
      <c r="LWT403" s="148"/>
      <c r="LWU403" s="148"/>
      <c r="LWV403" s="148"/>
      <c r="LWW403" s="148"/>
      <c r="LWX403" s="148"/>
      <c r="LWY403" s="148"/>
      <c r="LWZ403" s="148"/>
      <c r="LXA403" s="148"/>
      <c r="LXB403" s="148"/>
      <c r="LXC403" s="148"/>
      <c r="LXD403" s="148"/>
      <c r="LXE403" s="148"/>
      <c r="LXF403" s="148"/>
      <c r="LXG403" s="148"/>
      <c r="LXH403" s="148"/>
      <c r="LXI403" s="148"/>
      <c r="LXJ403" s="148"/>
      <c r="LXK403" s="148"/>
      <c r="LXL403" s="148"/>
      <c r="LXM403" s="148"/>
      <c r="LXN403" s="148"/>
      <c r="LXO403" s="148"/>
      <c r="LXP403" s="148"/>
      <c r="LXQ403" s="148"/>
      <c r="LXR403" s="148"/>
      <c r="LXS403" s="148"/>
      <c r="LXT403" s="148"/>
      <c r="LXU403" s="148"/>
      <c r="LXV403" s="148"/>
      <c r="LXW403" s="148"/>
      <c r="LXX403" s="148"/>
      <c r="LXY403" s="148"/>
      <c r="LXZ403" s="148"/>
      <c r="LYA403" s="148"/>
      <c r="LYB403" s="148"/>
      <c r="LYC403" s="148"/>
      <c r="LYD403" s="148"/>
      <c r="LYE403" s="148"/>
      <c r="LYF403" s="148"/>
      <c r="LYG403" s="148"/>
      <c r="LYH403" s="148"/>
      <c r="LYI403" s="148"/>
      <c r="LYJ403" s="148"/>
      <c r="LYK403" s="148"/>
      <c r="LYL403" s="148"/>
      <c r="LYM403" s="148"/>
      <c r="LYN403" s="148"/>
      <c r="LYO403" s="148"/>
      <c r="LYP403" s="148"/>
      <c r="LYQ403" s="148"/>
      <c r="LYR403" s="148"/>
      <c r="LYS403" s="148"/>
      <c r="LYT403" s="148"/>
      <c r="LYU403" s="148"/>
      <c r="LYV403" s="148"/>
      <c r="LYW403" s="148"/>
      <c r="LYX403" s="148"/>
      <c r="LYY403" s="148"/>
      <c r="LYZ403" s="148"/>
      <c r="LZA403" s="148"/>
      <c r="LZB403" s="148"/>
      <c r="LZC403" s="148"/>
      <c r="LZD403" s="148"/>
      <c r="LZE403" s="148"/>
      <c r="LZF403" s="148"/>
      <c r="LZG403" s="148"/>
      <c r="LZH403" s="148"/>
      <c r="LZI403" s="148"/>
      <c r="LZJ403" s="148"/>
      <c r="LZK403" s="148"/>
      <c r="LZL403" s="148"/>
      <c r="LZM403" s="148"/>
      <c r="LZN403" s="148"/>
      <c r="LZO403" s="148"/>
      <c r="LZP403" s="148"/>
      <c r="LZQ403" s="148"/>
      <c r="LZR403" s="148"/>
      <c r="LZS403" s="148"/>
      <c r="LZT403" s="148"/>
      <c r="LZU403" s="148"/>
      <c r="LZV403" s="148"/>
      <c r="LZW403" s="148"/>
      <c r="LZX403" s="148"/>
      <c r="LZY403" s="148"/>
      <c r="LZZ403" s="148"/>
      <c r="MAA403" s="148"/>
      <c r="MAB403" s="148"/>
      <c r="MAC403" s="148"/>
      <c r="MAD403" s="148"/>
      <c r="MAE403" s="148"/>
      <c r="MAF403" s="148"/>
      <c r="MAG403" s="148"/>
      <c r="MAH403" s="148"/>
      <c r="MAI403" s="148"/>
      <c r="MAJ403" s="148"/>
      <c r="MAK403" s="148"/>
      <c r="MAL403" s="148"/>
      <c r="MAM403" s="148"/>
      <c r="MAN403" s="148"/>
      <c r="MAO403" s="148"/>
      <c r="MAP403" s="148"/>
      <c r="MAQ403" s="148"/>
      <c r="MAR403" s="148"/>
      <c r="MAS403" s="148"/>
      <c r="MAT403" s="148"/>
      <c r="MAU403" s="148"/>
      <c r="MAV403" s="148"/>
      <c r="MAW403" s="148"/>
      <c r="MAX403" s="148"/>
      <c r="MAY403" s="148"/>
      <c r="MAZ403" s="148"/>
      <c r="MBA403" s="148"/>
      <c r="MBB403" s="148"/>
      <c r="MBC403" s="148"/>
      <c r="MBD403" s="148"/>
      <c r="MBE403" s="148"/>
      <c r="MBF403" s="148"/>
      <c r="MBG403" s="148"/>
      <c r="MBH403" s="148"/>
      <c r="MBI403" s="148"/>
      <c r="MBJ403" s="148"/>
      <c r="MBK403" s="148"/>
      <c r="MBL403" s="148"/>
      <c r="MBM403" s="148"/>
      <c r="MBN403" s="148"/>
      <c r="MBO403" s="148"/>
      <c r="MBP403" s="148"/>
      <c r="MBQ403" s="148"/>
      <c r="MBR403" s="148"/>
      <c r="MBS403" s="148"/>
      <c r="MBT403" s="148"/>
      <c r="MBU403" s="148"/>
      <c r="MBV403" s="148"/>
      <c r="MBW403" s="148"/>
      <c r="MBX403" s="148"/>
      <c r="MBY403" s="148"/>
      <c r="MBZ403" s="148"/>
      <c r="MCA403" s="148"/>
      <c r="MCB403" s="148"/>
      <c r="MCC403" s="148"/>
      <c r="MCD403" s="148"/>
      <c r="MCE403" s="148"/>
      <c r="MCF403" s="148"/>
      <c r="MCG403" s="148"/>
      <c r="MCH403" s="148"/>
      <c r="MCI403" s="148"/>
      <c r="MCJ403" s="148"/>
      <c r="MCK403" s="148"/>
      <c r="MCL403" s="148"/>
      <c r="MCM403" s="148"/>
      <c r="MCN403" s="148"/>
      <c r="MCO403" s="148"/>
      <c r="MCP403" s="148"/>
      <c r="MCQ403" s="148"/>
      <c r="MCR403" s="148"/>
      <c r="MCS403" s="148"/>
      <c r="MCT403" s="148"/>
      <c r="MCU403" s="148"/>
      <c r="MCV403" s="148"/>
      <c r="MCW403" s="148"/>
      <c r="MCX403" s="148"/>
      <c r="MCY403" s="148"/>
      <c r="MCZ403" s="148"/>
      <c r="MDA403" s="148"/>
      <c r="MDB403" s="148"/>
      <c r="MDC403" s="148"/>
      <c r="MDD403" s="148"/>
      <c r="MDE403" s="148"/>
      <c r="MDF403" s="148"/>
      <c r="MDG403" s="148"/>
      <c r="MDH403" s="148"/>
      <c r="MDI403" s="148"/>
      <c r="MDJ403" s="148"/>
      <c r="MDK403" s="148"/>
      <c r="MDL403" s="148"/>
      <c r="MDM403" s="148"/>
      <c r="MDN403" s="148"/>
      <c r="MDO403" s="148"/>
      <c r="MDP403" s="148"/>
      <c r="MDQ403" s="148"/>
      <c r="MDR403" s="148"/>
      <c r="MDS403" s="148"/>
      <c r="MDT403" s="148"/>
      <c r="MDU403" s="148"/>
      <c r="MDV403" s="148"/>
      <c r="MDW403" s="148"/>
      <c r="MDX403" s="148"/>
      <c r="MDY403" s="148"/>
      <c r="MDZ403" s="148"/>
      <c r="MEA403" s="148"/>
      <c r="MEB403" s="148"/>
      <c r="MEC403" s="148"/>
      <c r="MED403" s="148"/>
      <c r="MEE403" s="148"/>
      <c r="MEF403" s="148"/>
      <c r="MEG403" s="148"/>
      <c r="MEH403" s="148"/>
      <c r="MEI403" s="148"/>
      <c r="MEJ403" s="148"/>
      <c r="MEK403" s="148"/>
      <c r="MEL403" s="148"/>
      <c r="MEM403" s="148"/>
      <c r="MEN403" s="148"/>
      <c r="MEO403" s="148"/>
      <c r="MEP403" s="148"/>
      <c r="MEQ403" s="148"/>
      <c r="MER403" s="148"/>
      <c r="MES403" s="148"/>
      <c r="MET403" s="148"/>
      <c r="MEU403" s="148"/>
      <c r="MEV403" s="148"/>
      <c r="MEW403" s="148"/>
      <c r="MEX403" s="148"/>
      <c r="MEY403" s="148"/>
      <c r="MEZ403" s="148"/>
      <c r="MFA403" s="148"/>
      <c r="MFB403" s="148"/>
      <c r="MFC403" s="148"/>
      <c r="MFD403" s="148"/>
      <c r="MFE403" s="148"/>
      <c r="MFF403" s="148"/>
      <c r="MFG403" s="148"/>
      <c r="MFH403" s="148"/>
      <c r="MFI403" s="148"/>
      <c r="MFJ403" s="148"/>
      <c r="MFK403" s="148"/>
      <c r="MFL403" s="148"/>
      <c r="MFM403" s="148"/>
      <c r="MFN403" s="148"/>
      <c r="MFO403" s="148"/>
      <c r="MFP403" s="148"/>
      <c r="MFQ403" s="148"/>
      <c r="MFR403" s="148"/>
      <c r="MFS403" s="148"/>
      <c r="MFT403" s="148"/>
      <c r="MFU403" s="148"/>
      <c r="MFV403" s="148"/>
      <c r="MFW403" s="148"/>
      <c r="MFX403" s="148"/>
      <c r="MFY403" s="148"/>
      <c r="MFZ403" s="148"/>
      <c r="MGA403" s="148"/>
      <c r="MGB403" s="148"/>
      <c r="MGC403" s="148"/>
      <c r="MGD403" s="148"/>
      <c r="MGE403" s="148"/>
      <c r="MGF403" s="148"/>
      <c r="MGG403" s="148"/>
      <c r="MGH403" s="148"/>
      <c r="MGI403" s="148"/>
      <c r="MGJ403" s="148"/>
      <c r="MGK403" s="148"/>
      <c r="MGL403" s="148"/>
      <c r="MGM403" s="148"/>
      <c r="MGN403" s="148"/>
      <c r="MGO403" s="148"/>
      <c r="MGP403" s="148"/>
      <c r="MGQ403" s="148"/>
      <c r="MGR403" s="148"/>
      <c r="MGS403" s="148"/>
      <c r="MGT403" s="148"/>
      <c r="MGU403" s="148"/>
      <c r="MGV403" s="148"/>
      <c r="MGW403" s="148"/>
      <c r="MGX403" s="148"/>
      <c r="MGY403" s="148"/>
      <c r="MGZ403" s="148"/>
      <c r="MHA403" s="148"/>
      <c r="MHB403" s="148"/>
      <c r="MHC403" s="148"/>
      <c r="MHD403" s="148"/>
      <c r="MHE403" s="148"/>
      <c r="MHF403" s="148"/>
      <c r="MHG403" s="148"/>
      <c r="MHH403" s="148"/>
      <c r="MHI403" s="148"/>
      <c r="MHJ403" s="148"/>
      <c r="MHK403" s="148"/>
      <c r="MHL403" s="148"/>
      <c r="MHM403" s="148"/>
      <c r="MHN403" s="148"/>
      <c r="MHO403" s="148"/>
      <c r="MHP403" s="148"/>
      <c r="MHQ403" s="148"/>
      <c r="MHR403" s="148"/>
      <c r="MHS403" s="148"/>
      <c r="MHT403" s="148"/>
      <c r="MHU403" s="148"/>
      <c r="MHV403" s="148"/>
      <c r="MHW403" s="148"/>
      <c r="MHX403" s="148"/>
      <c r="MHY403" s="148"/>
      <c r="MHZ403" s="148"/>
      <c r="MIA403" s="148"/>
      <c r="MIB403" s="148"/>
      <c r="MIC403" s="148"/>
      <c r="MID403" s="148"/>
      <c r="MIE403" s="148"/>
      <c r="MIF403" s="148"/>
      <c r="MIG403" s="148"/>
      <c r="MIH403" s="148"/>
      <c r="MII403" s="148"/>
      <c r="MIJ403" s="148"/>
      <c r="MIK403" s="148"/>
      <c r="MIL403" s="148"/>
      <c r="MIM403" s="148"/>
      <c r="MIN403" s="148"/>
      <c r="MIO403" s="148"/>
      <c r="MIP403" s="148"/>
      <c r="MIQ403" s="148"/>
      <c r="MIR403" s="148"/>
      <c r="MIS403" s="148"/>
      <c r="MIT403" s="148"/>
      <c r="MIU403" s="148"/>
      <c r="MIV403" s="148"/>
      <c r="MIW403" s="148"/>
      <c r="MIX403" s="148"/>
      <c r="MIY403" s="148"/>
      <c r="MIZ403" s="148"/>
      <c r="MJA403" s="148"/>
      <c r="MJB403" s="148"/>
      <c r="MJC403" s="148"/>
      <c r="MJD403" s="148"/>
      <c r="MJE403" s="148"/>
      <c r="MJF403" s="148"/>
      <c r="MJG403" s="148"/>
      <c r="MJH403" s="148"/>
      <c r="MJI403" s="148"/>
      <c r="MJJ403" s="148"/>
      <c r="MJK403" s="148"/>
      <c r="MJL403" s="148"/>
      <c r="MJM403" s="148"/>
      <c r="MJN403" s="148"/>
      <c r="MJO403" s="148"/>
      <c r="MJP403" s="148"/>
      <c r="MJQ403" s="148"/>
      <c r="MJR403" s="148"/>
      <c r="MJS403" s="148"/>
      <c r="MJT403" s="148"/>
      <c r="MJU403" s="148"/>
      <c r="MJV403" s="148"/>
      <c r="MJW403" s="148"/>
      <c r="MJX403" s="148"/>
      <c r="MJY403" s="148"/>
      <c r="MJZ403" s="148"/>
      <c r="MKA403" s="148"/>
      <c r="MKB403" s="148"/>
      <c r="MKC403" s="148"/>
      <c r="MKD403" s="148"/>
      <c r="MKE403" s="148"/>
      <c r="MKF403" s="148"/>
      <c r="MKG403" s="148"/>
      <c r="MKH403" s="148"/>
      <c r="MKI403" s="148"/>
      <c r="MKJ403" s="148"/>
      <c r="MKK403" s="148"/>
      <c r="MKL403" s="148"/>
      <c r="MKM403" s="148"/>
      <c r="MKN403" s="148"/>
      <c r="MKO403" s="148"/>
      <c r="MKP403" s="148"/>
      <c r="MKQ403" s="148"/>
      <c r="MKR403" s="148"/>
      <c r="MKS403" s="148"/>
      <c r="MKT403" s="148"/>
      <c r="MKU403" s="148"/>
      <c r="MKV403" s="148"/>
      <c r="MKW403" s="148"/>
      <c r="MKX403" s="148"/>
      <c r="MKY403" s="148"/>
      <c r="MKZ403" s="148"/>
      <c r="MLA403" s="148"/>
      <c r="MLB403" s="148"/>
      <c r="MLC403" s="148"/>
      <c r="MLD403" s="148"/>
      <c r="MLE403" s="148"/>
      <c r="MLF403" s="148"/>
      <c r="MLG403" s="148"/>
      <c r="MLH403" s="148"/>
      <c r="MLI403" s="148"/>
      <c r="MLJ403" s="148"/>
      <c r="MLK403" s="148"/>
      <c r="MLL403" s="148"/>
      <c r="MLM403" s="148"/>
      <c r="MLN403" s="148"/>
      <c r="MLO403" s="148"/>
      <c r="MLP403" s="148"/>
      <c r="MLQ403" s="148"/>
      <c r="MLR403" s="148"/>
      <c r="MLS403" s="148"/>
      <c r="MLT403" s="148"/>
      <c r="MLU403" s="148"/>
      <c r="MLV403" s="148"/>
      <c r="MLW403" s="148"/>
      <c r="MLX403" s="148"/>
      <c r="MLY403" s="148"/>
      <c r="MLZ403" s="148"/>
      <c r="MMA403" s="148"/>
      <c r="MMB403" s="148"/>
      <c r="MMC403" s="148"/>
      <c r="MMD403" s="148"/>
      <c r="MME403" s="148"/>
      <c r="MMF403" s="148"/>
      <c r="MMG403" s="148"/>
      <c r="MMH403" s="148"/>
      <c r="MMI403" s="148"/>
      <c r="MMJ403" s="148"/>
      <c r="MMK403" s="148"/>
      <c r="MML403" s="148"/>
      <c r="MMM403" s="148"/>
      <c r="MMN403" s="148"/>
      <c r="MMO403" s="148"/>
      <c r="MMP403" s="148"/>
      <c r="MMQ403" s="148"/>
      <c r="MMR403" s="148"/>
      <c r="MMS403" s="148"/>
      <c r="MMT403" s="148"/>
      <c r="MMU403" s="148"/>
      <c r="MMV403" s="148"/>
      <c r="MMW403" s="148"/>
      <c r="MMX403" s="148"/>
      <c r="MMY403" s="148"/>
      <c r="MMZ403" s="148"/>
      <c r="MNA403" s="148"/>
      <c r="MNB403" s="148"/>
      <c r="MNC403" s="148"/>
      <c r="MND403" s="148"/>
      <c r="MNE403" s="148"/>
      <c r="MNF403" s="148"/>
      <c r="MNG403" s="148"/>
      <c r="MNH403" s="148"/>
      <c r="MNI403" s="148"/>
      <c r="MNJ403" s="148"/>
      <c r="MNK403" s="148"/>
      <c r="MNL403" s="148"/>
      <c r="MNM403" s="148"/>
      <c r="MNN403" s="148"/>
      <c r="MNO403" s="148"/>
      <c r="MNP403" s="148"/>
      <c r="MNQ403" s="148"/>
      <c r="MNR403" s="148"/>
      <c r="MNS403" s="148"/>
      <c r="MNT403" s="148"/>
      <c r="MNU403" s="148"/>
      <c r="MNV403" s="148"/>
      <c r="MNW403" s="148"/>
      <c r="MNX403" s="148"/>
      <c r="MNY403" s="148"/>
      <c r="MNZ403" s="148"/>
      <c r="MOA403" s="148"/>
      <c r="MOB403" s="148"/>
      <c r="MOC403" s="148"/>
      <c r="MOD403" s="148"/>
      <c r="MOE403" s="148"/>
      <c r="MOF403" s="148"/>
      <c r="MOG403" s="148"/>
      <c r="MOH403" s="148"/>
      <c r="MOI403" s="148"/>
      <c r="MOJ403" s="148"/>
      <c r="MOK403" s="148"/>
      <c r="MOL403" s="148"/>
      <c r="MOM403" s="148"/>
      <c r="MON403" s="148"/>
      <c r="MOO403" s="148"/>
      <c r="MOP403" s="148"/>
      <c r="MOQ403" s="148"/>
      <c r="MOR403" s="148"/>
      <c r="MOS403" s="148"/>
      <c r="MOT403" s="148"/>
      <c r="MOU403" s="148"/>
      <c r="MOV403" s="148"/>
      <c r="MOW403" s="148"/>
      <c r="MOX403" s="148"/>
      <c r="MOY403" s="148"/>
      <c r="MOZ403" s="148"/>
      <c r="MPA403" s="148"/>
      <c r="MPB403" s="148"/>
      <c r="MPC403" s="148"/>
      <c r="MPD403" s="148"/>
      <c r="MPE403" s="148"/>
      <c r="MPF403" s="148"/>
      <c r="MPG403" s="148"/>
      <c r="MPH403" s="148"/>
      <c r="MPI403" s="148"/>
      <c r="MPJ403" s="148"/>
      <c r="MPK403" s="148"/>
      <c r="MPL403" s="148"/>
      <c r="MPM403" s="148"/>
      <c r="MPN403" s="148"/>
      <c r="MPO403" s="148"/>
      <c r="MPP403" s="148"/>
      <c r="MPQ403" s="148"/>
      <c r="MPR403" s="148"/>
      <c r="MPS403" s="148"/>
      <c r="MPT403" s="148"/>
      <c r="MPU403" s="148"/>
      <c r="MPV403" s="148"/>
      <c r="MPW403" s="148"/>
      <c r="MPX403" s="148"/>
      <c r="MPY403" s="148"/>
      <c r="MPZ403" s="148"/>
      <c r="MQA403" s="148"/>
      <c r="MQB403" s="148"/>
      <c r="MQC403" s="148"/>
      <c r="MQD403" s="148"/>
      <c r="MQE403" s="148"/>
      <c r="MQF403" s="148"/>
      <c r="MQG403" s="148"/>
      <c r="MQH403" s="148"/>
      <c r="MQI403" s="148"/>
      <c r="MQJ403" s="148"/>
      <c r="MQK403" s="148"/>
      <c r="MQL403" s="148"/>
      <c r="MQM403" s="148"/>
      <c r="MQN403" s="148"/>
      <c r="MQO403" s="148"/>
      <c r="MQP403" s="148"/>
      <c r="MQQ403" s="148"/>
      <c r="MQR403" s="148"/>
      <c r="MQS403" s="148"/>
      <c r="MQT403" s="148"/>
      <c r="MQU403" s="148"/>
      <c r="MQV403" s="148"/>
      <c r="MQW403" s="148"/>
      <c r="MQX403" s="148"/>
      <c r="MQY403" s="148"/>
      <c r="MQZ403" s="148"/>
      <c r="MRA403" s="148"/>
      <c r="MRB403" s="148"/>
      <c r="MRC403" s="148"/>
      <c r="MRD403" s="148"/>
      <c r="MRE403" s="148"/>
      <c r="MRF403" s="148"/>
      <c r="MRG403" s="148"/>
      <c r="MRH403" s="148"/>
      <c r="MRI403" s="148"/>
      <c r="MRJ403" s="148"/>
      <c r="MRK403" s="148"/>
      <c r="MRL403" s="148"/>
      <c r="MRM403" s="148"/>
      <c r="MRN403" s="148"/>
      <c r="MRO403" s="148"/>
      <c r="MRP403" s="148"/>
      <c r="MRQ403" s="148"/>
      <c r="MRR403" s="148"/>
      <c r="MRS403" s="148"/>
      <c r="MRT403" s="148"/>
      <c r="MRU403" s="148"/>
      <c r="MRV403" s="148"/>
      <c r="MRW403" s="148"/>
      <c r="MRX403" s="148"/>
      <c r="MRY403" s="148"/>
      <c r="MRZ403" s="148"/>
      <c r="MSA403" s="148"/>
      <c r="MSB403" s="148"/>
      <c r="MSC403" s="148"/>
      <c r="MSD403" s="148"/>
      <c r="MSE403" s="148"/>
      <c r="MSF403" s="148"/>
      <c r="MSG403" s="148"/>
      <c r="MSH403" s="148"/>
      <c r="MSI403" s="148"/>
      <c r="MSJ403" s="148"/>
      <c r="MSK403" s="148"/>
      <c r="MSL403" s="148"/>
      <c r="MSM403" s="148"/>
      <c r="MSN403" s="148"/>
      <c r="MSO403" s="148"/>
      <c r="MSP403" s="148"/>
      <c r="MSQ403" s="148"/>
      <c r="MSR403" s="148"/>
      <c r="MSS403" s="148"/>
      <c r="MST403" s="148"/>
      <c r="MSU403" s="148"/>
      <c r="MSV403" s="148"/>
      <c r="MSW403" s="148"/>
      <c r="MSX403" s="148"/>
      <c r="MSY403" s="148"/>
      <c r="MSZ403" s="148"/>
      <c r="MTA403" s="148"/>
      <c r="MTB403" s="148"/>
      <c r="MTC403" s="148"/>
      <c r="MTD403" s="148"/>
      <c r="MTE403" s="148"/>
      <c r="MTF403" s="148"/>
      <c r="MTG403" s="148"/>
      <c r="MTH403" s="148"/>
      <c r="MTI403" s="148"/>
      <c r="MTJ403" s="148"/>
      <c r="MTK403" s="148"/>
      <c r="MTL403" s="148"/>
      <c r="MTM403" s="148"/>
      <c r="MTN403" s="148"/>
      <c r="MTO403" s="148"/>
      <c r="MTP403" s="148"/>
      <c r="MTQ403" s="148"/>
      <c r="MTR403" s="148"/>
      <c r="MTS403" s="148"/>
      <c r="MTT403" s="148"/>
      <c r="MTU403" s="148"/>
      <c r="MTV403" s="148"/>
      <c r="MTW403" s="148"/>
      <c r="MTX403" s="148"/>
      <c r="MTY403" s="148"/>
      <c r="MTZ403" s="148"/>
      <c r="MUA403" s="148"/>
      <c r="MUB403" s="148"/>
      <c r="MUC403" s="148"/>
      <c r="MUD403" s="148"/>
      <c r="MUE403" s="148"/>
      <c r="MUF403" s="148"/>
      <c r="MUG403" s="148"/>
      <c r="MUH403" s="148"/>
      <c r="MUI403" s="148"/>
      <c r="MUJ403" s="148"/>
      <c r="MUK403" s="148"/>
      <c r="MUL403" s="148"/>
      <c r="MUM403" s="148"/>
      <c r="MUN403" s="148"/>
      <c r="MUO403" s="148"/>
      <c r="MUP403" s="148"/>
      <c r="MUQ403" s="148"/>
      <c r="MUR403" s="148"/>
      <c r="MUS403" s="148"/>
      <c r="MUT403" s="148"/>
      <c r="MUU403" s="148"/>
      <c r="MUV403" s="148"/>
      <c r="MUW403" s="148"/>
      <c r="MUX403" s="148"/>
      <c r="MUY403" s="148"/>
      <c r="MUZ403" s="148"/>
      <c r="MVA403" s="148"/>
      <c r="MVB403" s="148"/>
      <c r="MVC403" s="148"/>
      <c r="MVD403" s="148"/>
      <c r="MVE403" s="148"/>
      <c r="MVF403" s="148"/>
      <c r="MVG403" s="148"/>
      <c r="MVH403" s="148"/>
      <c r="MVI403" s="148"/>
      <c r="MVJ403" s="148"/>
      <c r="MVK403" s="148"/>
      <c r="MVL403" s="148"/>
      <c r="MVM403" s="148"/>
      <c r="MVN403" s="148"/>
      <c r="MVO403" s="148"/>
      <c r="MVP403" s="148"/>
      <c r="MVQ403" s="148"/>
      <c r="MVR403" s="148"/>
      <c r="MVS403" s="148"/>
      <c r="MVT403" s="148"/>
      <c r="MVU403" s="148"/>
      <c r="MVV403" s="148"/>
      <c r="MVW403" s="148"/>
      <c r="MVX403" s="148"/>
      <c r="MVY403" s="148"/>
      <c r="MVZ403" s="148"/>
      <c r="MWA403" s="148"/>
      <c r="MWB403" s="148"/>
      <c r="MWC403" s="148"/>
      <c r="MWD403" s="148"/>
      <c r="MWE403" s="148"/>
      <c r="MWF403" s="148"/>
      <c r="MWG403" s="148"/>
      <c r="MWH403" s="148"/>
      <c r="MWI403" s="148"/>
      <c r="MWJ403" s="148"/>
      <c r="MWK403" s="148"/>
      <c r="MWL403" s="148"/>
      <c r="MWM403" s="148"/>
      <c r="MWN403" s="148"/>
      <c r="MWO403" s="148"/>
      <c r="MWP403" s="148"/>
      <c r="MWQ403" s="148"/>
      <c r="MWR403" s="148"/>
      <c r="MWS403" s="148"/>
      <c r="MWT403" s="148"/>
      <c r="MWU403" s="148"/>
      <c r="MWV403" s="148"/>
      <c r="MWW403" s="148"/>
      <c r="MWX403" s="148"/>
      <c r="MWY403" s="148"/>
      <c r="MWZ403" s="148"/>
      <c r="MXA403" s="148"/>
      <c r="MXB403" s="148"/>
      <c r="MXC403" s="148"/>
      <c r="MXD403" s="148"/>
      <c r="MXE403" s="148"/>
      <c r="MXF403" s="148"/>
      <c r="MXG403" s="148"/>
      <c r="MXH403" s="148"/>
      <c r="MXI403" s="148"/>
      <c r="MXJ403" s="148"/>
      <c r="MXK403" s="148"/>
      <c r="MXL403" s="148"/>
      <c r="MXM403" s="148"/>
      <c r="MXN403" s="148"/>
      <c r="MXO403" s="148"/>
      <c r="MXP403" s="148"/>
      <c r="MXQ403" s="148"/>
      <c r="MXR403" s="148"/>
      <c r="MXS403" s="148"/>
      <c r="MXT403" s="148"/>
      <c r="MXU403" s="148"/>
      <c r="MXV403" s="148"/>
      <c r="MXW403" s="148"/>
      <c r="MXX403" s="148"/>
      <c r="MXY403" s="148"/>
      <c r="MXZ403" s="148"/>
      <c r="MYA403" s="148"/>
      <c r="MYB403" s="148"/>
      <c r="MYC403" s="148"/>
      <c r="MYD403" s="148"/>
      <c r="MYE403" s="148"/>
      <c r="MYF403" s="148"/>
      <c r="MYG403" s="148"/>
      <c r="MYH403" s="148"/>
      <c r="MYI403" s="148"/>
      <c r="MYJ403" s="148"/>
      <c r="MYK403" s="148"/>
      <c r="MYL403" s="148"/>
      <c r="MYM403" s="148"/>
      <c r="MYN403" s="148"/>
      <c r="MYO403" s="148"/>
      <c r="MYP403" s="148"/>
      <c r="MYQ403" s="148"/>
      <c r="MYR403" s="148"/>
      <c r="MYS403" s="148"/>
      <c r="MYT403" s="148"/>
      <c r="MYU403" s="148"/>
      <c r="MYV403" s="148"/>
      <c r="MYW403" s="148"/>
      <c r="MYX403" s="148"/>
      <c r="MYY403" s="148"/>
      <c r="MYZ403" s="148"/>
      <c r="MZA403" s="148"/>
      <c r="MZB403" s="148"/>
      <c r="MZC403" s="148"/>
      <c r="MZD403" s="148"/>
      <c r="MZE403" s="148"/>
      <c r="MZF403" s="148"/>
      <c r="MZG403" s="148"/>
      <c r="MZH403" s="148"/>
      <c r="MZI403" s="148"/>
      <c r="MZJ403" s="148"/>
      <c r="MZK403" s="148"/>
      <c r="MZL403" s="148"/>
      <c r="MZM403" s="148"/>
      <c r="MZN403" s="148"/>
      <c r="MZO403" s="148"/>
      <c r="MZP403" s="148"/>
      <c r="MZQ403" s="148"/>
      <c r="MZR403" s="148"/>
      <c r="MZS403" s="148"/>
      <c r="MZT403" s="148"/>
      <c r="MZU403" s="148"/>
      <c r="MZV403" s="148"/>
      <c r="MZW403" s="148"/>
      <c r="MZX403" s="148"/>
      <c r="MZY403" s="148"/>
      <c r="MZZ403" s="148"/>
      <c r="NAA403" s="148"/>
      <c r="NAB403" s="148"/>
      <c r="NAC403" s="148"/>
      <c r="NAD403" s="148"/>
      <c r="NAE403" s="148"/>
      <c r="NAF403" s="148"/>
      <c r="NAG403" s="148"/>
      <c r="NAH403" s="148"/>
      <c r="NAI403" s="148"/>
      <c r="NAJ403" s="148"/>
      <c r="NAK403" s="148"/>
      <c r="NAL403" s="148"/>
      <c r="NAM403" s="148"/>
      <c r="NAN403" s="148"/>
      <c r="NAO403" s="148"/>
      <c r="NAP403" s="148"/>
      <c r="NAQ403" s="148"/>
      <c r="NAR403" s="148"/>
      <c r="NAS403" s="148"/>
      <c r="NAT403" s="148"/>
      <c r="NAU403" s="148"/>
      <c r="NAV403" s="148"/>
      <c r="NAW403" s="148"/>
      <c r="NAX403" s="148"/>
      <c r="NAY403" s="148"/>
      <c r="NAZ403" s="148"/>
      <c r="NBA403" s="148"/>
      <c r="NBB403" s="148"/>
      <c r="NBC403" s="148"/>
      <c r="NBD403" s="148"/>
      <c r="NBE403" s="148"/>
      <c r="NBF403" s="148"/>
      <c r="NBG403" s="148"/>
      <c r="NBH403" s="148"/>
      <c r="NBI403" s="148"/>
      <c r="NBJ403" s="148"/>
      <c r="NBK403" s="148"/>
      <c r="NBL403" s="148"/>
      <c r="NBM403" s="148"/>
      <c r="NBN403" s="148"/>
      <c r="NBO403" s="148"/>
      <c r="NBP403" s="148"/>
      <c r="NBQ403" s="148"/>
      <c r="NBR403" s="148"/>
      <c r="NBS403" s="148"/>
      <c r="NBT403" s="148"/>
      <c r="NBU403" s="148"/>
      <c r="NBV403" s="148"/>
      <c r="NBW403" s="148"/>
      <c r="NBX403" s="148"/>
      <c r="NBY403" s="148"/>
      <c r="NBZ403" s="148"/>
      <c r="NCA403" s="148"/>
      <c r="NCB403" s="148"/>
      <c r="NCC403" s="148"/>
      <c r="NCD403" s="148"/>
      <c r="NCE403" s="148"/>
      <c r="NCF403" s="148"/>
      <c r="NCG403" s="148"/>
      <c r="NCH403" s="148"/>
      <c r="NCI403" s="148"/>
      <c r="NCJ403" s="148"/>
      <c r="NCK403" s="148"/>
      <c r="NCL403" s="148"/>
      <c r="NCM403" s="148"/>
      <c r="NCN403" s="148"/>
      <c r="NCO403" s="148"/>
      <c r="NCP403" s="148"/>
      <c r="NCQ403" s="148"/>
      <c r="NCR403" s="148"/>
      <c r="NCS403" s="148"/>
      <c r="NCT403" s="148"/>
      <c r="NCU403" s="148"/>
      <c r="NCV403" s="148"/>
      <c r="NCW403" s="148"/>
      <c r="NCX403" s="148"/>
      <c r="NCY403" s="148"/>
      <c r="NCZ403" s="148"/>
      <c r="NDA403" s="148"/>
      <c r="NDB403" s="148"/>
      <c r="NDC403" s="148"/>
      <c r="NDD403" s="148"/>
      <c r="NDE403" s="148"/>
      <c r="NDF403" s="148"/>
      <c r="NDG403" s="148"/>
      <c r="NDH403" s="148"/>
      <c r="NDI403" s="148"/>
      <c r="NDJ403" s="148"/>
      <c r="NDK403" s="148"/>
      <c r="NDL403" s="148"/>
      <c r="NDM403" s="148"/>
      <c r="NDN403" s="148"/>
      <c r="NDO403" s="148"/>
      <c r="NDP403" s="148"/>
      <c r="NDQ403" s="148"/>
      <c r="NDR403" s="148"/>
      <c r="NDS403" s="148"/>
      <c r="NDT403" s="148"/>
      <c r="NDU403" s="148"/>
      <c r="NDV403" s="148"/>
      <c r="NDW403" s="148"/>
      <c r="NDX403" s="148"/>
      <c r="NDY403" s="148"/>
      <c r="NDZ403" s="148"/>
      <c r="NEA403" s="148"/>
      <c r="NEB403" s="148"/>
      <c r="NEC403" s="148"/>
      <c r="NED403" s="148"/>
      <c r="NEE403" s="148"/>
      <c r="NEF403" s="148"/>
      <c r="NEG403" s="148"/>
      <c r="NEH403" s="148"/>
      <c r="NEI403" s="148"/>
      <c r="NEJ403" s="148"/>
      <c r="NEK403" s="148"/>
      <c r="NEL403" s="148"/>
      <c r="NEM403" s="148"/>
      <c r="NEN403" s="148"/>
      <c r="NEO403" s="148"/>
      <c r="NEP403" s="148"/>
      <c r="NEQ403" s="148"/>
      <c r="NER403" s="148"/>
      <c r="NES403" s="148"/>
      <c r="NET403" s="148"/>
      <c r="NEU403" s="148"/>
      <c r="NEV403" s="148"/>
      <c r="NEW403" s="148"/>
      <c r="NEX403" s="148"/>
      <c r="NEY403" s="148"/>
      <c r="NEZ403" s="148"/>
      <c r="NFA403" s="148"/>
      <c r="NFB403" s="148"/>
      <c r="NFC403" s="148"/>
      <c r="NFD403" s="148"/>
      <c r="NFE403" s="148"/>
      <c r="NFF403" s="148"/>
      <c r="NFG403" s="148"/>
      <c r="NFH403" s="148"/>
      <c r="NFI403" s="148"/>
      <c r="NFJ403" s="148"/>
      <c r="NFK403" s="148"/>
      <c r="NFL403" s="148"/>
      <c r="NFM403" s="148"/>
      <c r="NFN403" s="148"/>
      <c r="NFO403" s="148"/>
      <c r="NFP403" s="148"/>
      <c r="NFQ403" s="148"/>
      <c r="NFR403" s="148"/>
      <c r="NFS403" s="148"/>
      <c r="NFT403" s="148"/>
      <c r="NFU403" s="148"/>
      <c r="NFV403" s="148"/>
      <c r="NFW403" s="148"/>
      <c r="NFX403" s="148"/>
      <c r="NFY403" s="148"/>
      <c r="NFZ403" s="148"/>
      <c r="NGA403" s="148"/>
      <c r="NGB403" s="148"/>
      <c r="NGC403" s="148"/>
      <c r="NGD403" s="148"/>
      <c r="NGE403" s="148"/>
      <c r="NGF403" s="148"/>
      <c r="NGG403" s="148"/>
      <c r="NGH403" s="148"/>
      <c r="NGI403" s="148"/>
      <c r="NGJ403" s="148"/>
      <c r="NGK403" s="148"/>
      <c r="NGL403" s="148"/>
      <c r="NGM403" s="148"/>
      <c r="NGN403" s="148"/>
      <c r="NGO403" s="148"/>
      <c r="NGP403" s="148"/>
      <c r="NGQ403" s="148"/>
      <c r="NGR403" s="148"/>
      <c r="NGS403" s="148"/>
      <c r="NGT403" s="148"/>
      <c r="NGU403" s="148"/>
      <c r="NGV403" s="148"/>
      <c r="NGW403" s="148"/>
      <c r="NGX403" s="148"/>
      <c r="NGY403" s="148"/>
      <c r="NGZ403" s="148"/>
      <c r="NHA403" s="148"/>
      <c r="NHB403" s="148"/>
      <c r="NHC403" s="148"/>
      <c r="NHD403" s="148"/>
      <c r="NHE403" s="148"/>
      <c r="NHF403" s="148"/>
      <c r="NHG403" s="148"/>
      <c r="NHH403" s="148"/>
      <c r="NHI403" s="148"/>
      <c r="NHJ403" s="148"/>
      <c r="NHK403" s="148"/>
      <c r="NHL403" s="148"/>
      <c r="NHM403" s="148"/>
      <c r="NHN403" s="148"/>
      <c r="NHO403" s="148"/>
      <c r="NHP403" s="148"/>
      <c r="NHQ403" s="148"/>
      <c r="NHR403" s="148"/>
      <c r="NHS403" s="148"/>
      <c r="NHT403" s="148"/>
      <c r="NHU403" s="148"/>
      <c r="NHV403" s="148"/>
      <c r="NHW403" s="148"/>
      <c r="NHX403" s="148"/>
      <c r="NHY403" s="148"/>
      <c r="NHZ403" s="148"/>
      <c r="NIA403" s="148"/>
      <c r="NIB403" s="148"/>
      <c r="NIC403" s="148"/>
      <c r="NID403" s="148"/>
      <c r="NIE403" s="148"/>
      <c r="NIF403" s="148"/>
      <c r="NIG403" s="148"/>
      <c r="NIH403" s="148"/>
      <c r="NII403" s="148"/>
      <c r="NIJ403" s="148"/>
      <c r="NIK403" s="148"/>
      <c r="NIL403" s="148"/>
      <c r="NIM403" s="148"/>
      <c r="NIN403" s="148"/>
      <c r="NIO403" s="148"/>
      <c r="NIP403" s="148"/>
      <c r="NIQ403" s="148"/>
      <c r="NIR403" s="148"/>
      <c r="NIS403" s="148"/>
      <c r="NIT403" s="148"/>
      <c r="NIU403" s="148"/>
      <c r="NIV403" s="148"/>
      <c r="NIW403" s="148"/>
      <c r="NIX403" s="148"/>
      <c r="NIY403" s="148"/>
      <c r="NIZ403" s="148"/>
      <c r="NJA403" s="148"/>
      <c r="NJB403" s="148"/>
      <c r="NJC403" s="148"/>
      <c r="NJD403" s="148"/>
      <c r="NJE403" s="148"/>
      <c r="NJF403" s="148"/>
      <c r="NJG403" s="148"/>
      <c r="NJH403" s="148"/>
      <c r="NJI403" s="148"/>
      <c r="NJJ403" s="148"/>
      <c r="NJK403" s="148"/>
      <c r="NJL403" s="148"/>
      <c r="NJM403" s="148"/>
      <c r="NJN403" s="148"/>
      <c r="NJO403" s="148"/>
      <c r="NJP403" s="148"/>
      <c r="NJQ403" s="148"/>
      <c r="NJR403" s="148"/>
      <c r="NJS403" s="148"/>
      <c r="NJT403" s="148"/>
      <c r="NJU403" s="148"/>
      <c r="NJV403" s="148"/>
      <c r="NJW403" s="148"/>
      <c r="NJX403" s="148"/>
      <c r="NJY403" s="148"/>
      <c r="NJZ403" s="148"/>
      <c r="NKA403" s="148"/>
      <c r="NKB403" s="148"/>
      <c r="NKC403" s="148"/>
      <c r="NKD403" s="148"/>
      <c r="NKE403" s="148"/>
      <c r="NKF403" s="148"/>
      <c r="NKG403" s="148"/>
      <c r="NKH403" s="148"/>
      <c r="NKI403" s="148"/>
      <c r="NKJ403" s="148"/>
      <c r="NKK403" s="148"/>
      <c r="NKL403" s="148"/>
      <c r="NKM403" s="148"/>
      <c r="NKN403" s="148"/>
      <c r="NKO403" s="148"/>
      <c r="NKP403" s="148"/>
      <c r="NKQ403" s="148"/>
      <c r="NKR403" s="148"/>
      <c r="NKS403" s="148"/>
      <c r="NKT403" s="148"/>
      <c r="NKU403" s="148"/>
      <c r="NKV403" s="148"/>
      <c r="NKW403" s="148"/>
      <c r="NKX403" s="148"/>
      <c r="NKY403" s="148"/>
      <c r="NKZ403" s="148"/>
      <c r="NLA403" s="148"/>
      <c r="NLB403" s="148"/>
      <c r="NLC403" s="148"/>
      <c r="NLD403" s="148"/>
      <c r="NLE403" s="148"/>
      <c r="NLF403" s="148"/>
      <c r="NLG403" s="148"/>
      <c r="NLH403" s="148"/>
      <c r="NLI403" s="148"/>
      <c r="NLJ403" s="148"/>
      <c r="NLK403" s="148"/>
      <c r="NLL403" s="148"/>
      <c r="NLM403" s="148"/>
      <c r="NLN403" s="148"/>
      <c r="NLO403" s="148"/>
      <c r="NLP403" s="148"/>
      <c r="NLQ403" s="148"/>
      <c r="NLR403" s="148"/>
      <c r="NLS403" s="148"/>
      <c r="NLT403" s="148"/>
      <c r="NLU403" s="148"/>
      <c r="NLV403" s="148"/>
      <c r="NLW403" s="148"/>
      <c r="NLX403" s="148"/>
      <c r="NLY403" s="148"/>
      <c r="NLZ403" s="148"/>
      <c r="NMA403" s="148"/>
      <c r="NMB403" s="148"/>
      <c r="NMC403" s="148"/>
      <c r="NMD403" s="148"/>
      <c r="NME403" s="148"/>
      <c r="NMF403" s="148"/>
      <c r="NMG403" s="148"/>
      <c r="NMH403" s="148"/>
      <c r="NMI403" s="148"/>
      <c r="NMJ403" s="148"/>
      <c r="NMK403" s="148"/>
      <c r="NML403" s="148"/>
      <c r="NMM403" s="148"/>
      <c r="NMN403" s="148"/>
      <c r="NMO403" s="148"/>
      <c r="NMP403" s="148"/>
      <c r="NMQ403" s="148"/>
      <c r="NMR403" s="148"/>
      <c r="NMS403" s="148"/>
      <c r="NMT403" s="148"/>
      <c r="NMU403" s="148"/>
      <c r="NMV403" s="148"/>
      <c r="NMW403" s="148"/>
      <c r="NMX403" s="148"/>
      <c r="NMY403" s="148"/>
      <c r="NMZ403" s="148"/>
      <c r="NNA403" s="148"/>
      <c r="NNB403" s="148"/>
      <c r="NNC403" s="148"/>
      <c r="NND403" s="148"/>
      <c r="NNE403" s="148"/>
      <c r="NNF403" s="148"/>
      <c r="NNG403" s="148"/>
      <c r="NNH403" s="148"/>
      <c r="NNI403" s="148"/>
      <c r="NNJ403" s="148"/>
      <c r="NNK403" s="148"/>
      <c r="NNL403" s="148"/>
      <c r="NNM403" s="148"/>
      <c r="NNN403" s="148"/>
      <c r="NNO403" s="148"/>
      <c r="NNP403" s="148"/>
      <c r="NNQ403" s="148"/>
      <c r="NNR403" s="148"/>
      <c r="NNS403" s="148"/>
      <c r="NNT403" s="148"/>
      <c r="NNU403" s="148"/>
      <c r="NNV403" s="148"/>
      <c r="NNW403" s="148"/>
      <c r="NNX403" s="148"/>
      <c r="NNY403" s="148"/>
      <c r="NNZ403" s="148"/>
      <c r="NOA403" s="148"/>
      <c r="NOB403" s="148"/>
      <c r="NOC403" s="148"/>
      <c r="NOD403" s="148"/>
      <c r="NOE403" s="148"/>
      <c r="NOF403" s="148"/>
      <c r="NOG403" s="148"/>
      <c r="NOH403" s="148"/>
      <c r="NOI403" s="148"/>
      <c r="NOJ403" s="148"/>
      <c r="NOK403" s="148"/>
      <c r="NOL403" s="148"/>
      <c r="NOM403" s="148"/>
      <c r="NON403" s="148"/>
      <c r="NOO403" s="148"/>
      <c r="NOP403" s="148"/>
      <c r="NOQ403" s="148"/>
      <c r="NOR403" s="148"/>
      <c r="NOS403" s="148"/>
      <c r="NOT403" s="148"/>
      <c r="NOU403" s="148"/>
      <c r="NOV403" s="148"/>
      <c r="NOW403" s="148"/>
      <c r="NOX403" s="148"/>
      <c r="NOY403" s="148"/>
      <c r="NOZ403" s="148"/>
      <c r="NPA403" s="148"/>
      <c r="NPB403" s="148"/>
      <c r="NPC403" s="148"/>
      <c r="NPD403" s="148"/>
      <c r="NPE403" s="148"/>
      <c r="NPF403" s="148"/>
      <c r="NPG403" s="148"/>
      <c r="NPH403" s="148"/>
      <c r="NPI403" s="148"/>
      <c r="NPJ403" s="148"/>
      <c r="NPK403" s="148"/>
      <c r="NPL403" s="148"/>
      <c r="NPM403" s="148"/>
      <c r="NPN403" s="148"/>
      <c r="NPO403" s="148"/>
      <c r="NPP403" s="148"/>
      <c r="NPQ403" s="148"/>
      <c r="NPR403" s="148"/>
      <c r="NPS403" s="148"/>
      <c r="NPT403" s="148"/>
      <c r="NPU403" s="148"/>
      <c r="NPV403" s="148"/>
      <c r="NPW403" s="148"/>
      <c r="NPX403" s="148"/>
      <c r="NPY403" s="148"/>
      <c r="NPZ403" s="148"/>
      <c r="NQA403" s="148"/>
      <c r="NQB403" s="148"/>
      <c r="NQC403" s="148"/>
      <c r="NQD403" s="148"/>
      <c r="NQE403" s="148"/>
      <c r="NQF403" s="148"/>
      <c r="NQG403" s="148"/>
      <c r="NQH403" s="148"/>
      <c r="NQI403" s="148"/>
      <c r="NQJ403" s="148"/>
      <c r="NQK403" s="148"/>
      <c r="NQL403" s="148"/>
      <c r="NQM403" s="148"/>
      <c r="NQN403" s="148"/>
      <c r="NQO403" s="148"/>
      <c r="NQP403" s="148"/>
      <c r="NQQ403" s="148"/>
      <c r="NQR403" s="148"/>
      <c r="NQS403" s="148"/>
      <c r="NQT403" s="148"/>
      <c r="NQU403" s="148"/>
      <c r="NQV403" s="148"/>
      <c r="NQW403" s="148"/>
      <c r="NQX403" s="148"/>
      <c r="NQY403" s="148"/>
      <c r="NQZ403" s="148"/>
      <c r="NRA403" s="148"/>
      <c r="NRB403" s="148"/>
      <c r="NRC403" s="148"/>
      <c r="NRD403" s="148"/>
      <c r="NRE403" s="148"/>
      <c r="NRF403" s="148"/>
      <c r="NRG403" s="148"/>
      <c r="NRH403" s="148"/>
      <c r="NRI403" s="148"/>
      <c r="NRJ403" s="148"/>
      <c r="NRK403" s="148"/>
      <c r="NRL403" s="148"/>
      <c r="NRM403" s="148"/>
      <c r="NRN403" s="148"/>
      <c r="NRO403" s="148"/>
      <c r="NRP403" s="148"/>
      <c r="NRQ403" s="148"/>
      <c r="NRR403" s="148"/>
      <c r="NRS403" s="148"/>
      <c r="NRT403" s="148"/>
      <c r="NRU403" s="148"/>
      <c r="NRV403" s="148"/>
      <c r="NRW403" s="148"/>
      <c r="NRX403" s="148"/>
      <c r="NRY403" s="148"/>
      <c r="NRZ403" s="148"/>
      <c r="NSA403" s="148"/>
      <c r="NSB403" s="148"/>
      <c r="NSC403" s="148"/>
      <c r="NSD403" s="148"/>
      <c r="NSE403" s="148"/>
      <c r="NSF403" s="148"/>
      <c r="NSG403" s="148"/>
      <c r="NSH403" s="148"/>
      <c r="NSI403" s="148"/>
      <c r="NSJ403" s="148"/>
      <c r="NSK403" s="148"/>
      <c r="NSL403" s="148"/>
      <c r="NSM403" s="148"/>
      <c r="NSN403" s="148"/>
      <c r="NSO403" s="148"/>
      <c r="NSP403" s="148"/>
      <c r="NSQ403" s="148"/>
      <c r="NSR403" s="148"/>
      <c r="NSS403" s="148"/>
      <c r="NST403" s="148"/>
      <c r="NSU403" s="148"/>
      <c r="NSV403" s="148"/>
      <c r="NSW403" s="148"/>
      <c r="NSX403" s="148"/>
      <c r="NSY403" s="148"/>
      <c r="NSZ403" s="148"/>
      <c r="NTA403" s="148"/>
      <c r="NTB403" s="148"/>
      <c r="NTC403" s="148"/>
      <c r="NTD403" s="148"/>
      <c r="NTE403" s="148"/>
      <c r="NTF403" s="148"/>
      <c r="NTG403" s="148"/>
      <c r="NTH403" s="148"/>
      <c r="NTI403" s="148"/>
      <c r="NTJ403" s="148"/>
      <c r="NTK403" s="148"/>
      <c r="NTL403" s="148"/>
      <c r="NTM403" s="148"/>
      <c r="NTN403" s="148"/>
      <c r="NTO403" s="148"/>
      <c r="NTP403" s="148"/>
      <c r="NTQ403" s="148"/>
      <c r="NTR403" s="148"/>
      <c r="NTS403" s="148"/>
      <c r="NTT403" s="148"/>
      <c r="NTU403" s="148"/>
      <c r="NTV403" s="148"/>
      <c r="NTW403" s="148"/>
      <c r="NTX403" s="148"/>
      <c r="NTY403" s="148"/>
      <c r="NTZ403" s="148"/>
      <c r="NUA403" s="148"/>
      <c r="NUB403" s="148"/>
      <c r="NUC403" s="148"/>
      <c r="NUD403" s="148"/>
      <c r="NUE403" s="148"/>
      <c r="NUF403" s="148"/>
      <c r="NUG403" s="148"/>
      <c r="NUH403" s="148"/>
      <c r="NUI403" s="148"/>
      <c r="NUJ403" s="148"/>
      <c r="NUK403" s="148"/>
      <c r="NUL403" s="148"/>
      <c r="NUM403" s="148"/>
      <c r="NUN403" s="148"/>
      <c r="NUO403" s="148"/>
      <c r="NUP403" s="148"/>
      <c r="NUQ403" s="148"/>
      <c r="NUR403" s="148"/>
      <c r="NUS403" s="148"/>
      <c r="NUT403" s="148"/>
      <c r="NUU403" s="148"/>
      <c r="NUV403" s="148"/>
      <c r="NUW403" s="148"/>
      <c r="NUX403" s="148"/>
      <c r="NUY403" s="148"/>
      <c r="NUZ403" s="148"/>
      <c r="NVA403" s="148"/>
      <c r="NVB403" s="148"/>
      <c r="NVC403" s="148"/>
      <c r="NVD403" s="148"/>
      <c r="NVE403" s="148"/>
      <c r="NVF403" s="148"/>
      <c r="NVG403" s="148"/>
      <c r="NVH403" s="148"/>
      <c r="NVI403" s="148"/>
      <c r="NVJ403" s="148"/>
      <c r="NVK403" s="148"/>
      <c r="NVL403" s="148"/>
      <c r="NVM403" s="148"/>
      <c r="NVN403" s="148"/>
      <c r="NVO403" s="148"/>
      <c r="NVP403" s="148"/>
      <c r="NVQ403" s="148"/>
      <c r="NVR403" s="148"/>
      <c r="NVS403" s="148"/>
      <c r="NVT403" s="148"/>
      <c r="NVU403" s="148"/>
      <c r="NVV403" s="148"/>
      <c r="NVW403" s="148"/>
      <c r="NVX403" s="148"/>
      <c r="NVY403" s="148"/>
      <c r="NVZ403" s="148"/>
      <c r="NWA403" s="148"/>
      <c r="NWB403" s="148"/>
      <c r="NWC403" s="148"/>
      <c r="NWD403" s="148"/>
      <c r="NWE403" s="148"/>
      <c r="NWF403" s="148"/>
      <c r="NWG403" s="148"/>
      <c r="NWH403" s="148"/>
      <c r="NWI403" s="148"/>
      <c r="NWJ403" s="148"/>
      <c r="NWK403" s="148"/>
      <c r="NWL403" s="148"/>
      <c r="NWM403" s="148"/>
      <c r="NWN403" s="148"/>
      <c r="NWO403" s="148"/>
      <c r="NWP403" s="148"/>
      <c r="NWQ403" s="148"/>
      <c r="NWR403" s="148"/>
      <c r="NWS403" s="148"/>
      <c r="NWT403" s="148"/>
      <c r="NWU403" s="148"/>
      <c r="NWV403" s="148"/>
      <c r="NWW403" s="148"/>
      <c r="NWX403" s="148"/>
      <c r="NWY403" s="148"/>
      <c r="NWZ403" s="148"/>
      <c r="NXA403" s="148"/>
      <c r="NXB403" s="148"/>
      <c r="NXC403" s="148"/>
      <c r="NXD403" s="148"/>
      <c r="NXE403" s="148"/>
      <c r="NXF403" s="148"/>
      <c r="NXG403" s="148"/>
      <c r="NXH403" s="148"/>
      <c r="NXI403" s="148"/>
      <c r="NXJ403" s="148"/>
      <c r="NXK403" s="148"/>
      <c r="NXL403" s="148"/>
      <c r="NXM403" s="148"/>
      <c r="NXN403" s="148"/>
      <c r="NXO403" s="148"/>
      <c r="NXP403" s="148"/>
      <c r="NXQ403" s="148"/>
      <c r="NXR403" s="148"/>
      <c r="NXS403" s="148"/>
      <c r="NXT403" s="148"/>
      <c r="NXU403" s="148"/>
      <c r="NXV403" s="148"/>
      <c r="NXW403" s="148"/>
      <c r="NXX403" s="148"/>
      <c r="NXY403" s="148"/>
      <c r="NXZ403" s="148"/>
      <c r="NYA403" s="148"/>
      <c r="NYB403" s="148"/>
      <c r="NYC403" s="148"/>
      <c r="NYD403" s="148"/>
      <c r="NYE403" s="148"/>
      <c r="NYF403" s="148"/>
      <c r="NYG403" s="148"/>
      <c r="NYH403" s="148"/>
      <c r="NYI403" s="148"/>
      <c r="NYJ403" s="148"/>
      <c r="NYK403" s="148"/>
      <c r="NYL403" s="148"/>
      <c r="NYM403" s="148"/>
      <c r="NYN403" s="148"/>
      <c r="NYO403" s="148"/>
      <c r="NYP403" s="148"/>
      <c r="NYQ403" s="148"/>
      <c r="NYR403" s="148"/>
      <c r="NYS403" s="148"/>
      <c r="NYT403" s="148"/>
      <c r="NYU403" s="148"/>
      <c r="NYV403" s="148"/>
      <c r="NYW403" s="148"/>
      <c r="NYX403" s="148"/>
      <c r="NYY403" s="148"/>
      <c r="NYZ403" s="148"/>
      <c r="NZA403" s="148"/>
      <c r="NZB403" s="148"/>
      <c r="NZC403" s="148"/>
      <c r="NZD403" s="148"/>
      <c r="NZE403" s="148"/>
      <c r="NZF403" s="148"/>
      <c r="NZG403" s="148"/>
      <c r="NZH403" s="148"/>
      <c r="NZI403" s="148"/>
      <c r="NZJ403" s="148"/>
      <c r="NZK403" s="148"/>
      <c r="NZL403" s="148"/>
      <c r="NZM403" s="148"/>
      <c r="NZN403" s="148"/>
      <c r="NZO403" s="148"/>
      <c r="NZP403" s="148"/>
      <c r="NZQ403" s="148"/>
      <c r="NZR403" s="148"/>
      <c r="NZS403" s="148"/>
      <c r="NZT403" s="148"/>
      <c r="NZU403" s="148"/>
      <c r="NZV403" s="148"/>
      <c r="NZW403" s="148"/>
      <c r="NZX403" s="148"/>
      <c r="NZY403" s="148"/>
      <c r="NZZ403" s="148"/>
      <c r="OAA403" s="148"/>
      <c r="OAB403" s="148"/>
      <c r="OAC403" s="148"/>
      <c r="OAD403" s="148"/>
      <c r="OAE403" s="148"/>
      <c r="OAF403" s="148"/>
      <c r="OAG403" s="148"/>
      <c r="OAH403" s="148"/>
      <c r="OAI403" s="148"/>
      <c r="OAJ403" s="148"/>
      <c r="OAK403" s="148"/>
      <c r="OAL403" s="148"/>
      <c r="OAM403" s="148"/>
      <c r="OAN403" s="148"/>
      <c r="OAO403" s="148"/>
      <c r="OAP403" s="148"/>
      <c r="OAQ403" s="148"/>
      <c r="OAR403" s="148"/>
      <c r="OAS403" s="148"/>
      <c r="OAT403" s="148"/>
      <c r="OAU403" s="148"/>
      <c r="OAV403" s="148"/>
      <c r="OAW403" s="148"/>
      <c r="OAX403" s="148"/>
      <c r="OAY403" s="148"/>
      <c r="OAZ403" s="148"/>
      <c r="OBA403" s="148"/>
      <c r="OBB403" s="148"/>
      <c r="OBC403" s="148"/>
      <c r="OBD403" s="148"/>
      <c r="OBE403" s="148"/>
      <c r="OBF403" s="148"/>
      <c r="OBG403" s="148"/>
      <c r="OBH403" s="148"/>
      <c r="OBI403" s="148"/>
      <c r="OBJ403" s="148"/>
      <c r="OBK403" s="148"/>
      <c r="OBL403" s="148"/>
      <c r="OBM403" s="148"/>
      <c r="OBN403" s="148"/>
      <c r="OBO403" s="148"/>
      <c r="OBP403" s="148"/>
      <c r="OBQ403" s="148"/>
      <c r="OBR403" s="148"/>
      <c r="OBS403" s="148"/>
      <c r="OBT403" s="148"/>
      <c r="OBU403" s="148"/>
      <c r="OBV403" s="148"/>
      <c r="OBW403" s="148"/>
      <c r="OBX403" s="148"/>
      <c r="OBY403" s="148"/>
      <c r="OBZ403" s="148"/>
      <c r="OCA403" s="148"/>
      <c r="OCB403" s="148"/>
      <c r="OCC403" s="148"/>
      <c r="OCD403" s="148"/>
      <c r="OCE403" s="148"/>
      <c r="OCF403" s="148"/>
      <c r="OCG403" s="148"/>
      <c r="OCH403" s="148"/>
      <c r="OCI403" s="148"/>
      <c r="OCJ403" s="148"/>
      <c r="OCK403" s="148"/>
      <c r="OCL403" s="148"/>
      <c r="OCM403" s="148"/>
      <c r="OCN403" s="148"/>
      <c r="OCO403" s="148"/>
      <c r="OCP403" s="148"/>
      <c r="OCQ403" s="148"/>
      <c r="OCR403" s="148"/>
      <c r="OCS403" s="148"/>
      <c r="OCT403" s="148"/>
      <c r="OCU403" s="148"/>
      <c r="OCV403" s="148"/>
      <c r="OCW403" s="148"/>
      <c r="OCX403" s="148"/>
      <c r="OCY403" s="148"/>
      <c r="OCZ403" s="148"/>
      <c r="ODA403" s="148"/>
      <c r="ODB403" s="148"/>
      <c r="ODC403" s="148"/>
      <c r="ODD403" s="148"/>
      <c r="ODE403" s="148"/>
      <c r="ODF403" s="148"/>
      <c r="ODG403" s="148"/>
      <c r="ODH403" s="148"/>
      <c r="ODI403" s="148"/>
      <c r="ODJ403" s="148"/>
      <c r="ODK403" s="148"/>
      <c r="ODL403" s="148"/>
      <c r="ODM403" s="148"/>
      <c r="ODN403" s="148"/>
      <c r="ODO403" s="148"/>
      <c r="ODP403" s="148"/>
      <c r="ODQ403" s="148"/>
      <c r="ODR403" s="148"/>
      <c r="ODS403" s="148"/>
      <c r="ODT403" s="148"/>
      <c r="ODU403" s="148"/>
      <c r="ODV403" s="148"/>
      <c r="ODW403" s="148"/>
      <c r="ODX403" s="148"/>
      <c r="ODY403" s="148"/>
      <c r="ODZ403" s="148"/>
      <c r="OEA403" s="148"/>
      <c r="OEB403" s="148"/>
      <c r="OEC403" s="148"/>
      <c r="OED403" s="148"/>
      <c r="OEE403" s="148"/>
      <c r="OEF403" s="148"/>
      <c r="OEG403" s="148"/>
      <c r="OEH403" s="148"/>
      <c r="OEI403" s="148"/>
      <c r="OEJ403" s="148"/>
      <c r="OEK403" s="148"/>
      <c r="OEL403" s="148"/>
      <c r="OEM403" s="148"/>
      <c r="OEN403" s="148"/>
      <c r="OEO403" s="148"/>
      <c r="OEP403" s="148"/>
      <c r="OEQ403" s="148"/>
      <c r="OER403" s="148"/>
      <c r="OES403" s="148"/>
      <c r="OET403" s="148"/>
      <c r="OEU403" s="148"/>
      <c r="OEV403" s="148"/>
      <c r="OEW403" s="148"/>
      <c r="OEX403" s="148"/>
      <c r="OEY403" s="148"/>
      <c r="OEZ403" s="148"/>
      <c r="OFA403" s="148"/>
      <c r="OFB403" s="148"/>
      <c r="OFC403" s="148"/>
      <c r="OFD403" s="148"/>
      <c r="OFE403" s="148"/>
      <c r="OFF403" s="148"/>
      <c r="OFG403" s="148"/>
      <c r="OFH403" s="148"/>
      <c r="OFI403" s="148"/>
      <c r="OFJ403" s="148"/>
      <c r="OFK403" s="148"/>
      <c r="OFL403" s="148"/>
      <c r="OFM403" s="148"/>
      <c r="OFN403" s="148"/>
      <c r="OFO403" s="148"/>
      <c r="OFP403" s="148"/>
      <c r="OFQ403" s="148"/>
      <c r="OFR403" s="148"/>
      <c r="OFS403" s="148"/>
      <c r="OFT403" s="148"/>
      <c r="OFU403" s="148"/>
      <c r="OFV403" s="148"/>
      <c r="OFW403" s="148"/>
      <c r="OFX403" s="148"/>
      <c r="OFY403" s="148"/>
      <c r="OFZ403" s="148"/>
      <c r="OGA403" s="148"/>
      <c r="OGB403" s="148"/>
      <c r="OGC403" s="148"/>
      <c r="OGD403" s="148"/>
      <c r="OGE403" s="148"/>
      <c r="OGF403" s="148"/>
      <c r="OGG403" s="148"/>
      <c r="OGH403" s="148"/>
      <c r="OGI403" s="148"/>
      <c r="OGJ403" s="148"/>
      <c r="OGK403" s="148"/>
      <c r="OGL403" s="148"/>
      <c r="OGM403" s="148"/>
      <c r="OGN403" s="148"/>
      <c r="OGO403" s="148"/>
      <c r="OGP403" s="148"/>
      <c r="OGQ403" s="148"/>
      <c r="OGR403" s="148"/>
      <c r="OGS403" s="148"/>
      <c r="OGT403" s="148"/>
      <c r="OGU403" s="148"/>
      <c r="OGV403" s="148"/>
      <c r="OGW403" s="148"/>
      <c r="OGX403" s="148"/>
      <c r="OGY403" s="148"/>
      <c r="OGZ403" s="148"/>
      <c r="OHA403" s="148"/>
      <c r="OHB403" s="148"/>
      <c r="OHC403" s="148"/>
      <c r="OHD403" s="148"/>
      <c r="OHE403" s="148"/>
      <c r="OHF403" s="148"/>
      <c r="OHG403" s="148"/>
      <c r="OHH403" s="148"/>
      <c r="OHI403" s="148"/>
      <c r="OHJ403" s="148"/>
      <c r="OHK403" s="148"/>
      <c r="OHL403" s="148"/>
      <c r="OHM403" s="148"/>
      <c r="OHN403" s="148"/>
      <c r="OHO403" s="148"/>
      <c r="OHP403" s="148"/>
      <c r="OHQ403" s="148"/>
      <c r="OHR403" s="148"/>
      <c r="OHS403" s="148"/>
      <c r="OHT403" s="148"/>
      <c r="OHU403" s="148"/>
      <c r="OHV403" s="148"/>
      <c r="OHW403" s="148"/>
      <c r="OHX403" s="148"/>
      <c r="OHY403" s="148"/>
      <c r="OHZ403" s="148"/>
      <c r="OIA403" s="148"/>
      <c r="OIB403" s="148"/>
      <c r="OIC403" s="148"/>
      <c r="OID403" s="148"/>
      <c r="OIE403" s="148"/>
      <c r="OIF403" s="148"/>
      <c r="OIG403" s="148"/>
      <c r="OIH403" s="148"/>
      <c r="OII403" s="148"/>
      <c r="OIJ403" s="148"/>
      <c r="OIK403" s="148"/>
      <c r="OIL403" s="148"/>
      <c r="OIM403" s="148"/>
      <c r="OIN403" s="148"/>
      <c r="OIO403" s="148"/>
      <c r="OIP403" s="148"/>
      <c r="OIQ403" s="148"/>
      <c r="OIR403" s="148"/>
      <c r="OIS403" s="148"/>
      <c r="OIT403" s="148"/>
      <c r="OIU403" s="148"/>
      <c r="OIV403" s="148"/>
      <c r="OIW403" s="148"/>
      <c r="OIX403" s="148"/>
      <c r="OIY403" s="148"/>
      <c r="OIZ403" s="148"/>
      <c r="OJA403" s="148"/>
      <c r="OJB403" s="148"/>
      <c r="OJC403" s="148"/>
      <c r="OJD403" s="148"/>
      <c r="OJE403" s="148"/>
      <c r="OJF403" s="148"/>
      <c r="OJG403" s="148"/>
      <c r="OJH403" s="148"/>
      <c r="OJI403" s="148"/>
      <c r="OJJ403" s="148"/>
      <c r="OJK403" s="148"/>
      <c r="OJL403" s="148"/>
      <c r="OJM403" s="148"/>
      <c r="OJN403" s="148"/>
      <c r="OJO403" s="148"/>
      <c r="OJP403" s="148"/>
      <c r="OJQ403" s="148"/>
      <c r="OJR403" s="148"/>
      <c r="OJS403" s="148"/>
      <c r="OJT403" s="148"/>
      <c r="OJU403" s="148"/>
      <c r="OJV403" s="148"/>
      <c r="OJW403" s="148"/>
      <c r="OJX403" s="148"/>
      <c r="OJY403" s="148"/>
      <c r="OJZ403" s="148"/>
      <c r="OKA403" s="148"/>
      <c r="OKB403" s="148"/>
      <c r="OKC403" s="148"/>
      <c r="OKD403" s="148"/>
      <c r="OKE403" s="148"/>
      <c r="OKF403" s="148"/>
      <c r="OKG403" s="148"/>
      <c r="OKH403" s="148"/>
      <c r="OKI403" s="148"/>
      <c r="OKJ403" s="148"/>
      <c r="OKK403" s="148"/>
      <c r="OKL403" s="148"/>
      <c r="OKM403" s="148"/>
      <c r="OKN403" s="148"/>
      <c r="OKO403" s="148"/>
      <c r="OKP403" s="148"/>
      <c r="OKQ403" s="148"/>
      <c r="OKR403" s="148"/>
      <c r="OKS403" s="148"/>
      <c r="OKT403" s="148"/>
      <c r="OKU403" s="148"/>
      <c r="OKV403" s="148"/>
      <c r="OKW403" s="148"/>
      <c r="OKX403" s="148"/>
      <c r="OKY403" s="148"/>
      <c r="OKZ403" s="148"/>
      <c r="OLA403" s="148"/>
      <c r="OLB403" s="148"/>
      <c r="OLC403" s="148"/>
      <c r="OLD403" s="148"/>
      <c r="OLE403" s="148"/>
      <c r="OLF403" s="148"/>
      <c r="OLG403" s="148"/>
      <c r="OLH403" s="148"/>
      <c r="OLI403" s="148"/>
      <c r="OLJ403" s="148"/>
      <c r="OLK403" s="148"/>
      <c r="OLL403" s="148"/>
      <c r="OLM403" s="148"/>
      <c r="OLN403" s="148"/>
      <c r="OLO403" s="148"/>
      <c r="OLP403" s="148"/>
      <c r="OLQ403" s="148"/>
      <c r="OLR403" s="148"/>
      <c r="OLS403" s="148"/>
      <c r="OLT403" s="148"/>
      <c r="OLU403" s="148"/>
      <c r="OLV403" s="148"/>
      <c r="OLW403" s="148"/>
      <c r="OLX403" s="148"/>
      <c r="OLY403" s="148"/>
      <c r="OLZ403" s="148"/>
      <c r="OMA403" s="148"/>
      <c r="OMB403" s="148"/>
      <c r="OMC403" s="148"/>
      <c r="OMD403" s="148"/>
      <c r="OME403" s="148"/>
      <c r="OMF403" s="148"/>
      <c r="OMG403" s="148"/>
      <c r="OMH403" s="148"/>
      <c r="OMI403" s="148"/>
      <c r="OMJ403" s="148"/>
      <c r="OMK403" s="148"/>
      <c r="OML403" s="148"/>
      <c r="OMM403" s="148"/>
      <c r="OMN403" s="148"/>
      <c r="OMO403" s="148"/>
      <c r="OMP403" s="148"/>
      <c r="OMQ403" s="148"/>
      <c r="OMR403" s="148"/>
      <c r="OMS403" s="148"/>
      <c r="OMT403" s="148"/>
      <c r="OMU403" s="148"/>
      <c r="OMV403" s="148"/>
      <c r="OMW403" s="148"/>
      <c r="OMX403" s="148"/>
      <c r="OMY403" s="148"/>
      <c r="OMZ403" s="148"/>
      <c r="ONA403" s="148"/>
      <c r="ONB403" s="148"/>
      <c r="ONC403" s="148"/>
      <c r="OND403" s="148"/>
      <c r="ONE403" s="148"/>
      <c r="ONF403" s="148"/>
      <c r="ONG403" s="148"/>
      <c r="ONH403" s="148"/>
      <c r="ONI403" s="148"/>
      <c r="ONJ403" s="148"/>
      <c r="ONK403" s="148"/>
      <c r="ONL403" s="148"/>
      <c r="ONM403" s="148"/>
      <c r="ONN403" s="148"/>
      <c r="ONO403" s="148"/>
      <c r="ONP403" s="148"/>
      <c r="ONQ403" s="148"/>
      <c r="ONR403" s="148"/>
      <c r="ONS403" s="148"/>
      <c r="ONT403" s="148"/>
      <c r="ONU403" s="148"/>
      <c r="ONV403" s="148"/>
      <c r="ONW403" s="148"/>
      <c r="ONX403" s="148"/>
      <c r="ONY403" s="148"/>
      <c r="ONZ403" s="148"/>
      <c r="OOA403" s="148"/>
      <c r="OOB403" s="148"/>
      <c r="OOC403" s="148"/>
      <c r="OOD403" s="148"/>
      <c r="OOE403" s="148"/>
      <c r="OOF403" s="148"/>
      <c r="OOG403" s="148"/>
      <c r="OOH403" s="148"/>
      <c r="OOI403" s="148"/>
      <c r="OOJ403" s="148"/>
      <c r="OOK403" s="148"/>
      <c r="OOL403" s="148"/>
      <c r="OOM403" s="148"/>
      <c r="OON403" s="148"/>
      <c r="OOO403" s="148"/>
      <c r="OOP403" s="148"/>
      <c r="OOQ403" s="148"/>
      <c r="OOR403" s="148"/>
      <c r="OOS403" s="148"/>
      <c r="OOT403" s="148"/>
      <c r="OOU403" s="148"/>
      <c r="OOV403" s="148"/>
      <c r="OOW403" s="148"/>
      <c r="OOX403" s="148"/>
      <c r="OOY403" s="148"/>
      <c r="OOZ403" s="148"/>
      <c r="OPA403" s="148"/>
      <c r="OPB403" s="148"/>
      <c r="OPC403" s="148"/>
      <c r="OPD403" s="148"/>
      <c r="OPE403" s="148"/>
      <c r="OPF403" s="148"/>
      <c r="OPG403" s="148"/>
      <c r="OPH403" s="148"/>
      <c r="OPI403" s="148"/>
      <c r="OPJ403" s="148"/>
      <c r="OPK403" s="148"/>
      <c r="OPL403" s="148"/>
      <c r="OPM403" s="148"/>
      <c r="OPN403" s="148"/>
      <c r="OPO403" s="148"/>
      <c r="OPP403" s="148"/>
      <c r="OPQ403" s="148"/>
      <c r="OPR403" s="148"/>
      <c r="OPS403" s="148"/>
      <c r="OPT403" s="148"/>
      <c r="OPU403" s="148"/>
      <c r="OPV403" s="148"/>
      <c r="OPW403" s="148"/>
      <c r="OPX403" s="148"/>
      <c r="OPY403" s="148"/>
      <c r="OPZ403" s="148"/>
      <c r="OQA403" s="148"/>
      <c r="OQB403" s="148"/>
      <c r="OQC403" s="148"/>
      <c r="OQD403" s="148"/>
      <c r="OQE403" s="148"/>
      <c r="OQF403" s="148"/>
      <c r="OQG403" s="148"/>
      <c r="OQH403" s="148"/>
      <c r="OQI403" s="148"/>
      <c r="OQJ403" s="148"/>
      <c r="OQK403" s="148"/>
      <c r="OQL403" s="148"/>
      <c r="OQM403" s="148"/>
      <c r="OQN403" s="148"/>
      <c r="OQO403" s="148"/>
      <c r="OQP403" s="148"/>
      <c r="OQQ403" s="148"/>
      <c r="OQR403" s="148"/>
      <c r="OQS403" s="148"/>
      <c r="OQT403" s="148"/>
      <c r="OQU403" s="148"/>
      <c r="OQV403" s="148"/>
      <c r="OQW403" s="148"/>
      <c r="OQX403" s="148"/>
      <c r="OQY403" s="148"/>
      <c r="OQZ403" s="148"/>
      <c r="ORA403" s="148"/>
      <c r="ORB403" s="148"/>
      <c r="ORC403" s="148"/>
      <c r="ORD403" s="148"/>
      <c r="ORE403" s="148"/>
      <c r="ORF403" s="148"/>
      <c r="ORG403" s="148"/>
      <c r="ORH403" s="148"/>
      <c r="ORI403" s="148"/>
      <c r="ORJ403" s="148"/>
      <c r="ORK403" s="148"/>
      <c r="ORL403" s="148"/>
      <c r="ORM403" s="148"/>
      <c r="ORN403" s="148"/>
      <c r="ORO403" s="148"/>
      <c r="ORP403" s="148"/>
      <c r="ORQ403" s="148"/>
      <c r="ORR403" s="148"/>
      <c r="ORS403" s="148"/>
      <c r="ORT403" s="148"/>
      <c r="ORU403" s="148"/>
      <c r="ORV403" s="148"/>
      <c r="ORW403" s="148"/>
      <c r="ORX403" s="148"/>
      <c r="ORY403" s="148"/>
      <c r="ORZ403" s="148"/>
      <c r="OSA403" s="148"/>
      <c r="OSB403" s="148"/>
      <c r="OSC403" s="148"/>
      <c r="OSD403" s="148"/>
      <c r="OSE403" s="148"/>
      <c r="OSF403" s="148"/>
      <c r="OSG403" s="148"/>
      <c r="OSH403" s="148"/>
      <c r="OSI403" s="148"/>
      <c r="OSJ403" s="148"/>
      <c r="OSK403" s="148"/>
      <c r="OSL403" s="148"/>
      <c r="OSM403" s="148"/>
      <c r="OSN403" s="148"/>
      <c r="OSO403" s="148"/>
      <c r="OSP403" s="148"/>
      <c r="OSQ403" s="148"/>
      <c r="OSR403" s="148"/>
      <c r="OSS403" s="148"/>
      <c r="OST403" s="148"/>
      <c r="OSU403" s="148"/>
      <c r="OSV403" s="148"/>
      <c r="OSW403" s="148"/>
      <c r="OSX403" s="148"/>
      <c r="OSY403" s="148"/>
      <c r="OSZ403" s="148"/>
      <c r="OTA403" s="148"/>
      <c r="OTB403" s="148"/>
      <c r="OTC403" s="148"/>
      <c r="OTD403" s="148"/>
      <c r="OTE403" s="148"/>
      <c r="OTF403" s="148"/>
      <c r="OTG403" s="148"/>
      <c r="OTH403" s="148"/>
      <c r="OTI403" s="148"/>
      <c r="OTJ403" s="148"/>
      <c r="OTK403" s="148"/>
      <c r="OTL403" s="148"/>
      <c r="OTM403" s="148"/>
      <c r="OTN403" s="148"/>
      <c r="OTO403" s="148"/>
      <c r="OTP403" s="148"/>
      <c r="OTQ403" s="148"/>
      <c r="OTR403" s="148"/>
      <c r="OTS403" s="148"/>
      <c r="OTT403" s="148"/>
      <c r="OTU403" s="148"/>
      <c r="OTV403" s="148"/>
      <c r="OTW403" s="148"/>
      <c r="OTX403" s="148"/>
      <c r="OTY403" s="148"/>
      <c r="OTZ403" s="148"/>
      <c r="OUA403" s="148"/>
      <c r="OUB403" s="148"/>
      <c r="OUC403" s="148"/>
      <c r="OUD403" s="148"/>
      <c r="OUE403" s="148"/>
      <c r="OUF403" s="148"/>
      <c r="OUG403" s="148"/>
      <c r="OUH403" s="148"/>
      <c r="OUI403" s="148"/>
      <c r="OUJ403" s="148"/>
      <c r="OUK403" s="148"/>
      <c r="OUL403" s="148"/>
      <c r="OUM403" s="148"/>
      <c r="OUN403" s="148"/>
      <c r="OUO403" s="148"/>
      <c r="OUP403" s="148"/>
      <c r="OUQ403" s="148"/>
      <c r="OUR403" s="148"/>
      <c r="OUS403" s="148"/>
      <c r="OUT403" s="148"/>
      <c r="OUU403" s="148"/>
      <c r="OUV403" s="148"/>
      <c r="OUW403" s="148"/>
      <c r="OUX403" s="148"/>
      <c r="OUY403" s="148"/>
      <c r="OUZ403" s="148"/>
      <c r="OVA403" s="148"/>
      <c r="OVB403" s="148"/>
      <c r="OVC403" s="148"/>
      <c r="OVD403" s="148"/>
      <c r="OVE403" s="148"/>
      <c r="OVF403" s="148"/>
      <c r="OVG403" s="148"/>
      <c r="OVH403" s="148"/>
      <c r="OVI403" s="148"/>
      <c r="OVJ403" s="148"/>
      <c r="OVK403" s="148"/>
      <c r="OVL403" s="148"/>
      <c r="OVM403" s="148"/>
      <c r="OVN403" s="148"/>
      <c r="OVO403" s="148"/>
      <c r="OVP403" s="148"/>
      <c r="OVQ403" s="148"/>
      <c r="OVR403" s="148"/>
      <c r="OVS403" s="148"/>
      <c r="OVT403" s="148"/>
      <c r="OVU403" s="148"/>
      <c r="OVV403" s="148"/>
      <c r="OVW403" s="148"/>
      <c r="OVX403" s="148"/>
      <c r="OVY403" s="148"/>
      <c r="OVZ403" s="148"/>
      <c r="OWA403" s="148"/>
      <c r="OWB403" s="148"/>
      <c r="OWC403" s="148"/>
      <c r="OWD403" s="148"/>
      <c r="OWE403" s="148"/>
      <c r="OWF403" s="148"/>
      <c r="OWG403" s="148"/>
      <c r="OWH403" s="148"/>
      <c r="OWI403" s="148"/>
      <c r="OWJ403" s="148"/>
      <c r="OWK403" s="148"/>
      <c r="OWL403" s="148"/>
      <c r="OWM403" s="148"/>
      <c r="OWN403" s="148"/>
      <c r="OWO403" s="148"/>
      <c r="OWP403" s="148"/>
      <c r="OWQ403" s="148"/>
      <c r="OWR403" s="148"/>
      <c r="OWS403" s="148"/>
      <c r="OWT403" s="148"/>
      <c r="OWU403" s="148"/>
      <c r="OWV403" s="148"/>
      <c r="OWW403" s="148"/>
      <c r="OWX403" s="148"/>
      <c r="OWY403" s="148"/>
      <c r="OWZ403" s="148"/>
      <c r="OXA403" s="148"/>
      <c r="OXB403" s="148"/>
      <c r="OXC403" s="148"/>
      <c r="OXD403" s="148"/>
      <c r="OXE403" s="148"/>
      <c r="OXF403" s="148"/>
      <c r="OXG403" s="148"/>
      <c r="OXH403" s="148"/>
      <c r="OXI403" s="148"/>
      <c r="OXJ403" s="148"/>
      <c r="OXK403" s="148"/>
      <c r="OXL403" s="148"/>
      <c r="OXM403" s="148"/>
      <c r="OXN403" s="148"/>
      <c r="OXO403" s="148"/>
      <c r="OXP403" s="148"/>
      <c r="OXQ403" s="148"/>
      <c r="OXR403" s="148"/>
      <c r="OXS403" s="148"/>
      <c r="OXT403" s="148"/>
      <c r="OXU403" s="148"/>
      <c r="OXV403" s="148"/>
      <c r="OXW403" s="148"/>
      <c r="OXX403" s="148"/>
      <c r="OXY403" s="148"/>
      <c r="OXZ403" s="148"/>
      <c r="OYA403" s="148"/>
      <c r="OYB403" s="148"/>
      <c r="OYC403" s="148"/>
      <c r="OYD403" s="148"/>
      <c r="OYE403" s="148"/>
      <c r="OYF403" s="148"/>
      <c r="OYG403" s="148"/>
      <c r="OYH403" s="148"/>
      <c r="OYI403" s="148"/>
      <c r="OYJ403" s="148"/>
      <c r="OYK403" s="148"/>
      <c r="OYL403" s="148"/>
      <c r="OYM403" s="148"/>
      <c r="OYN403" s="148"/>
      <c r="OYO403" s="148"/>
      <c r="OYP403" s="148"/>
      <c r="OYQ403" s="148"/>
      <c r="OYR403" s="148"/>
      <c r="OYS403" s="148"/>
      <c r="OYT403" s="148"/>
      <c r="OYU403" s="148"/>
      <c r="OYV403" s="148"/>
      <c r="OYW403" s="148"/>
      <c r="OYX403" s="148"/>
      <c r="OYY403" s="148"/>
      <c r="OYZ403" s="148"/>
      <c r="OZA403" s="148"/>
      <c r="OZB403" s="148"/>
      <c r="OZC403" s="148"/>
      <c r="OZD403" s="148"/>
      <c r="OZE403" s="148"/>
      <c r="OZF403" s="148"/>
      <c r="OZG403" s="148"/>
      <c r="OZH403" s="148"/>
      <c r="OZI403" s="148"/>
      <c r="OZJ403" s="148"/>
      <c r="OZK403" s="148"/>
      <c r="OZL403" s="148"/>
      <c r="OZM403" s="148"/>
      <c r="OZN403" s="148"/>
      <c r="OZO403" s="148"/>
      <c r="OZP403" s="148"/>
      <c r="OZQ403" s="148"/>
      <c r="OZR403" s="148"/>
      <c r="OZS403" s="148"/>
      <c r="OZT403" s="148"/>
      <c r="OZU403" s="148"/>
      <c r="OZV403" s="148"/>
      <c r="OZW403" s="148"/>
      <c r="OZX403" s="148"/>
      <c r="OZY403" s="148"/>
      <c r="OZZ403" s="148"/>
      <c r="PAA403" s="148"/>
      <c r="PAB403" s="148"/>
      <c r="PAC403" s="148"/>
      <c r="PAD403" s="148"/>
      <c r="PAE403" s="148"/>
      <c r="PAF403" s="148"/>
      <c r="PAG403" s="148"/>
      <c r="PAH403" s="148"/>
      <c r="PAI403" s="148"/>
      <c r="PAJ403" s="148"/>
      <c r="PAK403" s="148"/>
      <c r="PAL403" s="148"/>
      <c r="PAM403" s="148"/>
      <c r="PAN403" s="148"/>
      <c r="PAO403" s="148"/>
      <c r="PAP403" s="148"/>
      <c r="PAQ403" s="148"/>
      <c r="PAR403" s="148"/>
      <c r="PAS403" s="148"/>
      <c r="PAT403" s="148"/>
      <c r="PAU403" s="148"/>
      <c r="PAV403" s="148"/>
      <c r="PAW403" s="148"/>
      <c r="PAX403" s="148"/>
      <c r="PAY403" s="148"/>
      <c r="PAZ403" s="148"/>
      <c r="PBA403" s="148"/>
      <c r="PBB403" s="148"/>
      <c r="PBC403" s="148"/>
      <c r="PBD403" s="148"/>
      <c r="PBE403" s="148"/>
      <c r="PBF403" s="148"/>
      <c r="PBG403" s="148"/>
      <c r="PBH403" s="148"/>
      <c r="PBI403" s="148"/>
      <c r="PBJ403" s="148"/>
      <c r="PBK403" s="148"/>
      <c r="PBL403" s="148"/>
      <c r="PBM403" s="148"/>
      <c r="PBN403" s="148"/>
      <c r="PBO403" s="148"/>
      <c r="PBP403" s="148"/>
      <c r="PBQ403" s="148"/>
      <c r="PBR403" s="148"/>
      <c r="PBS403" s="148"/>
      <c r="PBT403" s="148"/>
      <c r="PBU403" s="148"/>
      <c r="PBV403" s="148"/>
      <c r="PBW403" s="148"/>
      <c r="PBX403" s="148"/>
      <c r="PBY403" s="148"/>
      <c r="PBZ403" s="148"/>
      <c r="PCA403" s="148"/>
      <c r="PCB403" s="148"/>
      <c r="PCC403" s="148"/>
      <c r="PCD403" s="148"/>
      <c r="PCE403" s="148"/>
      <c r="PCF403" s="148"/>
      <c r="PCG403" s="148"/>
      <c r="PCH403" s="148"/>
      <c r="PCI403" s="148"/>
      <c r="PCJ403" s="148"/>
      <c r="PCK403" s="148"/>
      <c r="PCL403" s="148"/>
      <c r="PCM403" s="148"/>
      <c r="PCN403" s="148"/>
      <c r="PCO403" s="148"/>
      <c r="PCP403" s="148"/>
      <c r="PCQ403" s="148"/>
      <c r="PCR403" s="148"/>
      <c r="PCS403" s="148"/>
      <c r="PCT403" s="148"/>
      <c r="PCU403" s="148"/>
      <c r="PCV403" s="148"/>
      <c r="PCW403" s="148"/>
      <c r="PCX403" s="148"/>
      <c r="PCY403" s="148"/>
      <c r="PCZ403" s="148"/>
      <c r="PDA403" s="148"/>
      <c r="PDB403" s="148"/>
      <c r="PDC403" s="148"/>
      <c r="PDD403" s="148"/>
      <c r="PDE403" s="148"/>
      <c r="PDF403" s="148"/>
      <c r="PDG403" s="148"/>
      <c r="PDH403" s="148"/>
      <c r="PDI403" s="148"/>
      <c r="PDJ403" s="148"/>
      <c r="PDK403" s="148"/>
      <c r="PDL403" s="148"/>
      <c r="PDM403" s="148"/>
      <c r="PDN403" s="148"/>
      <c r="PDO403" s="148"/>
      <c r="PDP403" s="148"/>
      <c r="PDQ403" s="148"/>
      <c r="PDR403" s="148"/>
      <c r="PDS403" s="148"/>
      <c r="PDT403" s="148"/>
      <c r="PDU403" s="148"/>
      <c r="PDV403" s="148"/>
      <c r="PDW403" s="148"/>
      <c r="PDX403" s="148"/>
      <c r="PDY403" s="148"/>
      <c r="PDZ403" s="148"/>
      <c r="PEA403" s="148"/>
      <c r="PEB403" s="148"/>
      <c r="PEC403" s="148"/>
      <c r="PED403" s="148"/>
      <c r="PEE403" s="148"/>
      <c r="PEF403" s="148"/>
      <c r="PEG403" s="148"/>
      <c r="PEH403" s="148"/>
      <c r="PEI403" s="148"/>
      <c r="PEJ403" s="148"/>
      <c r="PEK403" s="148"/>
      <c r="PEL403" s="148"/>
      <c r="PEM403" s="148"/>
      <c r="PEN403" s="148"/>
      <c r="PEO403" s="148"/>
      <c r="PEP403" s="148"/>
      <c r="PEQ403" s="148"/>
      <c r="PER403" s="148"/>
      <c r="PES403" s="148"/>
      <c r="PET403" s="148"/>
      <c r="PEU403" s="148"/>
      <c r="PEV403" s="148"/>
      <c r="PEW403" s="148"/>
      <c r="PEX403" s="148"/>
      <c r="PEY403" s="148"/>
      <c r="PEZ403" s="148"/>
      <c r="PFA403" s="148"/>
      <c r="PFB403" s="148"/>
      <c r="PFC403" s="148"/>
      <c r="PFD403" s="148"/>
      <c r="PFE403" s="148"/>
      <c r="PFF403" s="148"/>
      <c r="PFG403" s="148"/>
      <c r="PFH403" s="148"/>
      <c r="PFI403" s="148"/>
      <c r="PFJ403" s="148"/>
      <c r="PFK403" s="148"/>
      <c r="PFL403" s="148"/>
      <c r="PFM403" s="148"/>
      <c r="PFN403" s="148"/>
      <c r="PFO403" s="148"/>
      <c r="PFP403" s="148"/>
      <c r="PFQ403" s="148"/>
      <c r="PFR403" s="148"/>
      <c r="PFS403" s="148"/>
      <c r="PFT403" s="148"/>
      <c r="PFU403" s="148"/>
      <c r="PFV403" s="148"/>
      <c r="PFW403" s="148"/>
      <c r="PFX403" s="148"/>
      <c r="PFY403" s="148"/>
      <c r="PFZ403" s="148"/>
      <c r="PGA403" s="148"/>
      <c r="PGB403" s="148"/>
      <c r="PGC403" s="148"/>
      <c r="PGD403" s="148"/>
      <c r="PGE403" s="148"/>
      <c r="PGF403" s="148"/>
      <c r="PGG403" s="148"/>
      <c r="PGH403" s="148"/>
      <c r="PGI403" s="148"/>
      <c r="PGJ403" s="148"/>
      <c r="PGK403" s="148"/>
      <c r="PGL403" s="148"/>
      <c r="PGM403" s="148"/>
      <c r="PGN403" s="148"/>
      <c r="PGO403" s="148"/>
      <c r="PGP403" s="148"/>
      <c r="PGQ403" s="148"/>
      <c r="PGR403" s="148"/>
      <c r="PGS403" s="148"/>
      <c r="PGT403" s="148"/>
      <c r="PGU403" s="148"/>
      <c r="PGV403" s="148"/>
      <c r="PGW403" s="148"/>
      <c r="PGX403" s="148"/>
      <c r="PGY403" s="148"/>
      <c r="PGZ403" s="148"/>
      <c r="PHA403" s="148"/>
      <c r="PHB403" s="148"/>
      <c r="PHC403" s="148"/>
      <c r="PHD403" s="148"/>
      <c r="PHE403" s="148"/>
      <c r="PHF403" s="148"/>
      <c r="PHG403" s="148"/>
      <c r="PHH403" s="148"/>
      <c r="PHI403" s="148"/>
      <c r="PHJ403" s="148"/>
      <c r="PHK403" s="148"/>
      <c r="PHL403" s="148"/>
      <c r="PHM403" s="148"/>
      <c r="PHN403" s="148"/>
      <c r="PHO403" s="148"/>
      <c r="PHP403" s="148"/>
      <c r="PHQ403" s="148"/>
      <c r="PHR403" s="148"/>
      <c r="PHS403" s="148"/>
      <c r="PHT403" s="148"/>
      <c r="PHU403" s="148"/>
      <c r="PHV403" s="148"/>
      <c r="PHW403" s="148"/>
      <c r="PHX403" s="148"/>
      <c r="PHY403" s="148"/>
      <c r="PHZ403" s="148"/>
      <c r="PIA403" s="148"/>
      <c r="PIB403" s="148"/>
      <c r="PIC403" s="148"/>
      <c r="PID403" s="148"/>
      <c r="PIE403" s="148"/>
      <c r="PIF403" s="148"/>
      <c r="PIG403" s="148"/>
      <c r="PIH403" s="148"/>
      <c r="PII403" s="148"/>
      <c r="PIJ403" s="148"/>
      <c r="PIK403" s="148"/>
      <c r="PIL403" s="148"/>
      <c r="PIM403" s="148"/>
      <c r="PIN403" s="148"/>
      <c r="PIO403" s="148"/>
      <c r="PIP403" s="148"/>
      <c r="PIQ403" s="148"/>
      <c r="PIR403" s="148"/>
      <c r="PIS403" s="148"/>
      <c r="PIT403" s="148"/>
      <c r="PIU403" s="148"/>
      <c r="PIV403" s="148"/>
      <c r="PIW403" s="148"/>
      <c r="PIX403" s="148"/>
      <c r="PIY403" s="148"/>
      <c r="PIZ403" s="148"/>
      <c r="PJA403" s="148"/>
      <c r="PJB403" s="148"/>
      <c r="PJC403" s="148"/>
      <c r="PJD403" s="148"/>
      <c r="PJE403" s="148"/>
      <c r="PJF403" s="148"/>
      <c r="PJG403" s="148"/>
      <c r="PJH403" s="148"/>
      <c r="PJI403" s="148"/>
      <c r="PJJ403" s="148"/>
      <c r="PJK403" s="148"/>
      <c r="PJL403" s="148"/>
      <c r="PJM403" s="148"/>
      <c r="PJN403" s="148"/>
      <c r="PJO403" s="148"/>
      <c r="PJP403" s="148"/>
      <c r="PJQ403" s="148"/>
      <c r="PJR403" s="148"/>
      <c r="PJS403" s="148"/>
      <c r="PJT403" s="148"/>
      <c r="PJU403" s="148"/>
      <c r="PJV403" s="148"/>
      <c r="PJW403" s="148"/>
      <c r="PJX403" s="148"/>
      <c r="PJY403" s="148"/>
      <c r="PJZ403" s="148"/>
      <c r="PKA403" s="148"/>
      <c r="PKB403" s="148"/>
      <c r="PKC403" s="148"/>
      <c r="PKD403" s="148"/>
      <c r="PKE403" s="148"/>
      <c r="PKF403" s="148"/>
      <c r="PKG403" s="148"/>
      <c r="PKH403" s="148"/>
      <c r="PKI403" s="148"/>
      <c r="PKJ403" s="148"/>
      <c r="PKK403" s="148"/>
      <c r="PKL403" s="148"/>
      <c r="PKM403" s="148"/>
      <c r="PKN403" s="148"/>
      <c r="PKO403" s="148"/>
      <c r="PKP403" s="148"/>
      <c r="PKQ403" s="148"/>
      <c r="PKR403" s="148"/>
      <c r="PKS403" s="148"/>
      <c r="PKT403" s="148"/>
      <c r="PKU403" s="148"/>
      <c r="PKV403" s="148"/>
      <c r="PKW403" s="148"/>
      <c r="PKX403" s="148"/>
      <c r="PKY403" s="148"/>
      <c r="PKZ403" s="148"/>
      <c r="PLA403" s="148"/>
      <c r="PLB403" s="148"/>
      <c r="PLC403" s="148"/>
      <c r="PLD403" s="148"/>
      <c r="PLE403" s="148"/>
      <c r="PLF403" s="148"/>
      <c r="PLG403" s="148"/>
      <c r="PLH403" s="148"/>
      <c r="PLI403" s="148"/>
      <c r="PLJ403" s="148"/>
      <c r="PLK403" s="148"/>
      <c r="PLL403" s="148"/>
      <c r="PLM403" s="148"/>
      <c r="PLN403" s="148"/>
      <c r="PLO403" s="148"/>
      <c r="PLP403" s="148"/>
      <c r="PLQ403" s="148"/>
      <c r="PLR403" s="148"/>
      <c r="PLS403" s="148"/>
      <c r="PLT403" s="148"/>
      <c r="PLU403" s="148"/>
      <c r="PLV403" s="148"/>
      <c r="PLW403" s="148"/>
      <c r="PLX403" s="148"/>
      <c r="PLY403" s="148"/>
      <c r="PLZ403" s="148"/>
      <c r="PMA403" s="148"/>
      <c r="PMB403" s="148"/>
      <c r="PMC403" s="148"/>
      <c r="PMD403" s="148"/>
      <c r="PME403" s="148"/>
      <c r="PMF403" s="148"/>
      <c r="PMG403" s="148"/>
      <c r="PMH403" s="148"/>
      <c r="PMI403" s="148"/>
      <c r="PMJ403" s="148"/>
      <c r="PMK403" s="148"/>
      <c r="PML403" s="148"/>
      <c r="PMM403" s="148"/>
      <c r="PMN403" s="148"/>
      <c r="PMO403" s="148"/>
      <c r="PMP403" s="148"/>
      <c r="PMQ403" s="148"/>
      <c r="PMR403" s="148"/>
      <c r="PMS403" s="148"/>
      <c r="PMT403" s="148"/>
      <c r="PMU403" s="148"/>
      <c r="PMV403" s="148"/>
      <c r="PMW403" s="148"/>
      <c r="PMX403" s="148"/>
      <c r="PMY403" s="148"/>
      <c r="PMZ403" s="148"/>
      <c r="PNA403" s="148"/>
      <c r="PNB403" s="148"/>
      <c r="PNC403" s="148"/>
      <c r="PND403" s="148"/>
      <c r="PNE403" s="148"/>
      <c r="PNF403" s="148"/>
      <c r="PNG403" s="148"/>
      <c r="PNH403" s="148"/>
      <c r="PNI403" s="148"/>
      <c r="PNJ403" s="148"/>
      <c r="PNK403" s="148"/>
      <c r="PNL403" s="148"/>
      <c r="PNM403" s="148"/>
      <c r="PNN403" s="148"/>
      <c r="PNO403" s="148"/>
      <c r="PNP403" s="148"/>
      <c r="PNQ403" s="148"/>
      <c r="PNR403" s="148"/>
      <c r="PNS403" s="148"/>
      <c r="PNT403" s="148"/>
      <c r="PNU403" s="148"/>
      <c r="PNV403" s="148"/>
      <c r="PNW403" s="148"/>
      <c r="PNX403" s="148"/>
      <c r="PNY403" s="148"/>
      <c r="PNZ403" s="148"/>
      <c r="POA403" s="148"/>
      <c r="POB403" s="148"/>
      <c r="POC403" s="148"/>
      <c r="POD403" s="148"/>
      <c r="POE403" s="148"/>
      <c r="POF403" s="148"/>
      <c r="POG403" s="148"/>
      <c r="POH403" s="148"/>
      <c r="POI403" s="148"/>
      <c r="POJ403" s="148"/>
      <c r="POK403" s="148"/>
      <c r="POL403" s="148"/>
      <c r="POM403" s="148"/>
      <c r="PON403" s="148"/>
      <c r="POO403" s="148"/>
      <c r="POP403" s="148"/>
      <c r="POQ403" s="148"/>
      <c r="POR403" s="148"/>
      <c r="POS403" s="148"/>
      <c r="POT403" s="148"/>
      <c r="POU403" s="148"/>
      <c r="POV403" s="148"/>
      <c r="POW403" s="148"/>
      <c r="POX403" s="148"/>
      <c r="POY403" s="148"/>
      <c r="POZ403" s="148"/>
      <c r="PPA403" s="148"/>
      <c r="PPB403" s="148"/>
      <c r="PPC403" s="148"/>
      <c r="PPD403" s="148"/>
      <c r="PPE403" s="148"/>
      <c r="PPF403" s="148"/>
      <c r="PPG403" s="148"/>
      <c r="PPH403" s="148"/>
      <c r="PPI403" s="148"/>
      <c r="PPJ403" s="148"/>
      <c r="PPK403" s="148"/>
      <c r="PPL403" s="148"/>
      <c r="PPM403" s="148"/>
      <c r="PPN403" s="148"/>
      <c r="PPO403" s="148"/>
      <c r="PPP403" s="148"/>
      <c r="PPQ403" s="148"/>
      <c r="PPR403" s="148"/>
      <c r="PPS403" s="148"/>
      <c r="PPT403" s="148"/>
      <c r="PPU403" s="148"/>
      <c r="PPV403" s="148"/>
      <c r="PPW403" s="148"/>
      <c r="PPX403" s="148"/>
      <c r="PPY403" s="148"/>
      <c r="PPZ403" s="148"/>
      <c r="PQA403" s="148"/>
      <c r="PQB403" s="148"/>
      <c r="PQC403" s="148"/>
      <c r="PQD403" s="148"/>
      <c r="PQE403" s="148"/>
      <c r="PQF403" s="148"/>
      <c r="PQG403" s="148"/>
      <c r="PQH403" s="148"/>
      <c r="PQI403" s="148"/>
      <c r="PQJ403" s="148"/>
      <c r="PQK403" s="148"/>
      <c r="PQL403" s="148"/>
      <c r="PQM403" s="148"/>
      <c r="PQN403" s="148"/>
      <c r="PQO403" s="148"/>
      <c r="PQP403" s="148"/>
      <c r="PQQ403" s="148"/>
      <c r="PQR403" s="148"/>
      <c r="PQS403" s="148"/>
      <c r="PQT403" s="148"/>
      <c r="PQU403" s="148"/>
      <c r="PQV403" s="148"/>
      <c r="PQW403" s="148"/>
      <c r="PQX403" s="148"/>
      <c r="PQY403" s="148"/>
      <c r="PQZ403" s="148"/>
      <c r="PRA403" s="148"/>
      <c r="PRB403" s="148"/>
      <c r="PRC403" s="148"/>
      <c r="PRD403" s="148"/>
      <c r="PRE403" s="148"/>
      <c r="PRF403" s="148"/>
      <c r="PRG403" s="148"/>
      <c r="PRH403" s="148"/>
      <c r="PRI403" s="148"/>
      <c r="PRJ403" s="148"/>
      <c r="PRK403" s="148"/>
      <c r="PRL403" s="148"/>
      <c r="PRM403" s="148"/>
      <c r="PRN403" s="148"/>
      <c r="PRO403" s="148"/>
      <c r="PRP403" s="148"/>
      <c r="PRQ403" s="148"/>
      <c r="PRR403" s="148"/>
      <c r="PRS403" s="148"/>
      <c r="PRT403" s="148"/>
      <c r="PRU403" s="148"/>
      <c r="PRV403" s="148"/>
      <c r="PRW403" s="148"/>
      <c r="PRX403" s="148"/>
      <c r="PRY403" s="148"/>
      <c r="PRZ403" s="148"/>
      <c r="PSA403" s="148"/>
      <c r="PSB403" s="148"/>
      <c r="PSC403" s="148"/>
      <c r="PSD403" s="148"/>
      <c r="PSE403" s="148"/>
      <c r="PSF403" s="148"/>
      <c r="PSG403" s="148"/>
      <c r="PSH403" s="148"/>
      <c r="PSI403" s="148"/>
      <c r="PSJ403" s="148"/>
      <c r="PSK403" s="148"/>
      <c r="PSL403" s="148"/>
      <c r="PSM403" s="148"/>
      <c r="PSN403" s="148"/>
      <c r="PSO403" s="148"/>
      <c r="PSP403" s="148"/>
      <c r="PSQ403" s="148"/>
      <c r="PSR403" s="148"/>
      <c r="PSS403" s="148"/>
      <c r="PST403" s="148"/>
      <c r="PSU403" s="148"/>
      <c r="PSV403" s="148"/>
      <c r="PSW403" s="148"/>
      <c r="PSX403" s="148"/>
      <c r="PSY403" s="148"/>
      <c r="PSZ403" s="148"/>
      <c r="PTA403" s="148"/>
      <c r="PTB403" s="148"/>
      <c r="PTC403" s="148"/>
      <c r="PTD403" s="148"/>
      <c r="PTE403" s="148"/>
      <c r="PTF403" s="148"/>
      <c r="PTG403" s="148"/>
      <c r="PTH403" s="148"/>
      <c r="PTI403" s="148"/>
      <c r="PTJ403" s="148"/>
      <c r="PTK403" s="148"/>
      <c r="PTL403" s="148"/>
      <c r="PTM403" s="148"/>
      <c r="PTN403" s="148"/>
      <c r="PTO403" s="148"/>
      <c r="PTP403" s="148"/>
      <c r="PTQ403" s="148"/>
      <c r="PTR403" s="148"/>
      <c r="PTS403" s="148"/>
      <c r="PTT403" s="148"/>
      <c r="PTU403" s="148"/>
      <c r="PTV403" s="148"/>
      <c r="PTW403" s="148"/>
      <c r="PTX403" s="148"/>
      <c r="PTY403" s="148"/>
      <c r="PTZ403" s="148"/>
      <c r="PUA403" s="148"/>
      <c r="PUB403" s="148"/>
      <c r="PUC403" s="148"/>
      <c r="PUD403" s="148"/>
      <c r="PUE403" s="148"/>
      <c r="PUF403" s="148"/>
      <c r="PUG403" s="148"/>
      <c r="PUH403" s="148"/>
      <c r="PUI403" s="148"/>
      <c r="PUJ403" s="148"/>
      <c r="PUK403" s="148"/>
      <c r="PUL403" s="148"/>
      <c r="PUM403" s="148"/>
      <c r="PUN403" s="148"/>
      <c r="PUO403" s="148"/>
      <c r="PUP403" s="148"/>
      <c r="PUQ403" s="148"/>
      <c r="PUR403" s="148"/>
      <c r="PUS403" s="148"/>
      <c r="PUT403" s="148"/>
      <c r="PUU403" s="148"/>
      <c r="PUV403" s="148"/>
      <c r="PUW403" s="148"/>
      <c r="PUX403" s="148"/>
      <c r="PUY403" s="148"/>
      <c r="PUZ403" s="148"/>
      <c r="PVA403" s="148"/>
      <c r="PVB403" s="148"/>
      <c r="PVC403" s="148"/>
      <c r="PVD403" s="148"/>
      <c r="PVE403" s="148"/>
      <c r="PVF403" s="148"/>
      <c r="PVG403" s="148"/>
      <c r="PVH403" s="148"/>
      <c r="PVI403" s="148"/>
      <c r="PVJ403" s="148"/>
      <c r="PVK403" s="148"/>
      <c r="PVL403" s="148"/>
      <c r="PVM403" s="148"/>
      <c r="PVN403" s="148"/>
      <c r="PVO403" s="148"/>
      <c r="PVP403" s="148"/>
      <c r="PVQ403" s="148"/>
      <c r="PVR403" s="148"/>
      <c r="PVS403" s="148"/>
      <c r="PVT403" s="148"/>
      <c r="PVU403" s="148"/>
      <c r="PVV403" s="148"/>
      <c r="PVW403" s="148"/>
      <c r="PVX403" s="148"/>
      <c r="PVY403" s="148"/>
      <c r="PVZ403" s="148"/>
      <c r="PWA403" s="148"/>
      <c r="PWB403" s="148"/>
      <c r="PWC403" s="148"/>
      <c r="PWD403" s="148"/>
      <c r="PWE403" s="148"/>
      <c r="PWF403" s="148"/>
      <c r="PWG403" s="148"/>
      <c r="PWH403" s="148"/>
      <c r="PWI403" s="148"/>
      <c r="PWJ403" s="148"/>
      <c r="PWK403" s="148"/>
      <c r="PWL403" s="148"/>
      <c r="PWM403" s="148"/>
      <c r="PWN403" s="148"/>
      <c r="PWO403" s="148"/>
      <c r="PWP403" s="148"/>
      <c r="PWQ403" s="148"/>
      <c r="PWR403" s="148"/>
      <c r="PWS403" s="148"/>
      <c r="PWT403" s="148"/>
      <c r="PWU403" s="148"/>
      <c r="PWV403" s="148"/>
      <c r="PWW403" s="148"/>
      <c r="PWX403" s="148"/>
      <c r="PWY403" s="148"/>
      <c r="PWZ403" s="148"/>
      <c r="PXA403" s="148"/>
      <c r="PXB403" s="148"/>
      <c r="PXC403" s="148"/>
      <c r="PXD403" s="148"/>
      <c r="PXE403" s="148"/>
      <c r="PXF403" s="148"/>
      <c r="PXG403" s="148"/>
      <c r="PXH403" s="148"/>
      <c r="PXI403" s="148"/>
      <c r="PXJ403" s="148"/>
      <c r="PXK403" s="148"/>
      <c r="PXL403" s="148"/>
      <c r="PXM403" s="148"/>
      <c r="PXN403" s="148"/>
      <c r="PXO403" s="148"/>
      <c r="PXP403" s="148"/>
      <c r="PXQ403" s="148"/>
      <c r="PXR403" s="148"/>
      <c r="PXS403" s="148"/>
      <c r="PXT403" s="148"/>
      <c r="PXU403" s="148"/>
      <c r="PXV403" s="148"/>
      <c r="PXW403" s="148"/>
      <c r="PXX403" s="148"/>
      <c r="PXY403" s="148"/>
      <c r="PXZ403" s="148"/>
      <c r="PYA403" s="148"/>
      <c r="PYB403" s="148"/>
      <c r="PYC403" s="148"/>
      <c r="PYD403" s="148"/>
      <c r="PYE403" s="148"/>
      <c r="PYF403" s="148"/>
      <c r="PYG403" s="148"/>
      <c r="PYH403" s="148"/>
      <c r="PYI403" s="148"/>
      <c r="PYJ403" s="148"/>
      <c r="PYK403" s="148"/>
      <c r="PYL403" s="148"/>
      <c r="PYM403" s="148"/>
      <c r="PYN403" s="148"/>
      <c r="PYO403" s="148"/>
      <c r="PYP403" s="148"/>
      <c r="PYQ403" s="148"/>
      <c r="PYR403" s="148"/>
      <c r="PYS403" s="148"/>
      <c r="PYT403" s="148"/>
      <c r="PYU403" s="148"/>
      <c r="PYV403" s="148"/>
      <c r="PYW403" s="148"/>
      <c r="PYX403" s="148"/>
      <c r="PYY403" s="148"/>
      <c r="PYZ403" s="148"/>
      <c r="PZA403" s="148"/>
      <c r="PZB403" s="148"/>
      <c r="PZC403" s="148"/>
      <c r="PZD403" s="148"/>
      <c r="PZE403" s="148"/>
      <c r="PZF403" s="148"/>
      <c r="PZG403" s="148"/>
      <c r="PZH403" s="148"/>
      <c r="PZI403" s="148"/>
      <c r="PZJ403" s="148"/>
      <c r="PZK403" s="148"/>
      <c r="PZL403" s="148"/>
      <c r="PZM403" s="148"/>
      <c r="PZN403" s="148"/>
      <c r="PZO403" s="148"/>
      <c r="PZP403" s="148"/>
      <c r="PZQ403" s="148"/>
      <c r="PZR403" s="148"/>
      <c r="PZS403" s="148"/>
      <c r="PZT403" s="148"/>
      <c r="PZU403" s="148"/>
      <c r="PZV403" s="148"/>
      <c r="PZW403" s="148"/>
      <c r="PZX403" s="148"/>
      <c r="PZY403" s="148"/>
      <c r="PZZ403" s="148"/>
      <c r="QAA403" s="148"/>
      <c r="QAB403" s="148"/>
      <c r="QAC403" s="148"/>
      <c r="QAD403" s="148"/>
      <c r="QAE403" s="148"/>
      <c r="QAF403" s="148"/>
      <c r="QAG403" s="148"/>
      <c r="QAH403" s="148"/>
      <c r="QAI403" s="148"/>
      <c r="QAJ403" s="148"/>
      <c r="QAK403" s="148"/>
      <c r="QAL403" s="148"/>
      <c r="QAM403" s="148"/>
      <c r="QAN403" s="148"/>
      <c r="QAO403" s="148"/>
      <c r="QAP403" s="148"/>
      <c r="QAQ403" s="148"/>
      <c r="QAR403" s="148"/>
      <c r="QAS403" s="148"/>
      <c r="QAT403" s="148"/>
      <c r="QAU403" s="148"/>
      <c r="QAV403" s="148"/>
      <c r="QAW403" s="148"/>
      <c r="QAX403" s="148"/>
      <c r="QAY403" s="148"/>
      <c r="QAZ403" s="148"/>
      <c r="QBA403" s="148"/>
      <c r="QBB403" s="148"/>
      <c r="QBC403" s="148"/>
      <c r="QBD403" s="148"/>
      <c r="QBE403" s="148"/>
      <c r="QBF403" s="148"/>
      <c r="QBG403" s="148"/>
      <c r="QBH403" s="148"/>
      <c r="QBI403" s="148"/>
      <c r="QBJ403" s="148"/>
      <c r="QBK403" s="148"/>
      <c r="QBL403" s="148"/>
      <c r="QBM403" s="148"/>
      <c r="QBN403" s="148"/>
      <c r="QBO403" s="148"/>
      <c r="QBP403" s="148"/>
      <c r="QBQ403" s="148"/>
      <c r="QBR403" s="148"/>
      <c r="QBS403" s="148"/>
      <c r="QBT403" s="148"/>
      <c r="QBU403" s="148"/>
      <c r="QBV403" s="148"/>
      <c r="QBW403" s="148"/>
      <c r="QBX403" s="148"/>
      <c r="QBY403" s="148"/>
      <c r="QBZ403" s="148"/>
      <c r="QCA403" s="148"/>
      <c r="QCB403" s="148"/>
      <c r="QCC403" s="148"/>
      <c r="QCD403" s="148"/>
      <c r="QCE403" s="148"/>
      <c r="QCF403" s="148"/>
      <c r="QCG403" s="148"/>
      <c r="QCH403" s="148"/>
      <c r="QCI403" s="148"/>
      <c r="QCJ403" s="148"/>
      <c r="QCK403" s="148"/>
      <c r="QCL403" s="148"/>
      <c r="QCM403" s="148"/>
      <c r="QCN403" s="148"/>
      <c r="QCO403" s="148"/>
      <c r="QCP403" s="148"/>
      <c r="QCQ403" s="148"/>
      <c r="QCR403" s="148"/>
      <c r="QCS403" s="148"/>
      <c r="QCT403" s="148"/>
      <c r="QCU403" s="148"/>
      <c r="QCV403" s="148"/>
      <c r="QCW403" s="148"/>
      <c r="QCX403" s="148"/>
      <c r="QCY403" s="148"/>
      <c r="QCZ403" s="148"/>
      <c r="QDA403" s="148"/>
      <c r="QDB403" s="148"/>
      <c r="QDC403" s="148"/>
      <c r="QDD403" s="148"/>
      <c r="QDE403" s="148"/>
      <c r="QDF403" s="148"/>
      <c r="QDG403" s="148"/>
      <c r="QDH403" s="148"/>
      <c r="QDI403" s="148"/>
      <c r="QDJ403" s="148"/>
      <c r="QDK403" s="148"/>
      <c r="QDL403" s="148"/>
      <c r="QDM403" s="148"/>
      <c r="QDN403" s="148"/>
      <c r="QDO403" s="148"/>
      <c r="QDP403" s="148"/>
      <c r="QDQ403" s="148"/>
      <c r="QDR403" s="148"/>
      <c r="QDS403" s="148"/>
      <c r="QDT403" s="148"/>
      <c r="QDU403" s="148"/>
      <c r="QDV403" s="148"/>
      <c r="QDW403" s="148"/>
      <c r="QDX403" s="148"/>
      <c r="QDY403" s="148"/>
      <c r="QDZ403" s="148"/>
      <c r="QEA403" s="148"/>
      <c r="QEB403" s="148"/>
      <c r="QEC403" s="148"/>
      <c r="QED403" s="148"/>
      <c r="QEE403" s="148"/>
      <c r="QEF403" s="148"/>
      <c r="QEG403" s="148"/>
      <c r="QEH403" s="148"/>
      <c r="QEI403" s="148"/>
      <c r="QEJ403" s="148"/>
      <c r="QEK403" s="148"/>
      <c r="QEL403" s="148"/>
      <c r="QEM403" s="148"/>
      <c r="QEN403" s="148"/>
      <c r="QEO403" s="148"/>
      <c r="QEP403" s="148"/>
      <c r="QEQ403" s="148"/>
      <c r="QER403" s="148"/>
      <c r="QES403" s="148"/>
      <c r="QET403" s="148"/>
      <c r="QEU403" s="148"/>
      <c r="QEV403" s="148"/>
      <c r="QEW403" s="148"/>
      <c r="QEX403" s="148"/>
      <c r="QEY403" s="148"/>
      <c r="QEZ403" s="148"/>
      <c r="QFA403" s="148"/>
      <c r="QFB403" s="148"/>
      <c r="QFC403" s="148"/>
      <c r="QFD403" s="148"/>
      <c r="QFE403" s="148"/>
      <c r="QFF403" s="148"/>
      <c r="QFG403" s="148"/>
      <c r="QFH403" s="148"/>
      <c r="QFI403" s="148"/>
      <c r="QFJ403" s="148"/>
      <c r="QFK403" s="148"/>
      <c r="QFL403" s="148"/>
      <c r="QFM403" s="148"/>
      <c r="QFN403" s="148"/>
      <c r="QFO403" s="148"/>
      <c r="QFP403" s="148"/>
      <c r="QFQ403" s="148"/>
      <c r="QFR403" s="148"/>
      <c r="QFS403" s="148"/>
      <c r="QFT403" s="148"/>
      <c r="QFU403" s="148"/>
      <c r="QFV403" s="148"/>
      <c r="QFW403" s="148"/>
      <c r="QFX403" s="148"/>
      <c r="QFY403" s="148"/>
      <c r="QFZ403" s="148"/>
      <c r="QGA403" s="148"/>
      <c r="QGB403" s="148"/>
      <c r="QGC403" s="148"/>
      <c r="QGD403" s="148"/>
      <c r="QGE403" s="148"/>
      <c r="QGF403" s="148"/>
      <c r="QGG403" s="148"/>
      <c r="QGH403" s="148"/>
      <c r="QGI403" s="148"/>
      <c r="QGJ403" s="148"/>
      <c r="QGK403" s="148"/>
      <c r="QGL403" s="148"/>
      <c r="QGM403" s="148"/>
      <c r="QGN403" s="148"/>
      <c r="QGO403" s="148"/>
      <c r="QGP403" s="148"/>
      <c r="QGQ403" s="148"/>
      <c r="QGR403" s="148"/>
      <c r="QGS403" s="148"/>
      <c r="QGT403" s="148"/>
      <c r="QGU403" s="148"/>
      <c r="QGV403" s="148"/>
      <c r="QGW403" s="148"/>
      <c r="QGX403" s="148"/>
      <c r="QGY403" s="148"/>
      <c r="QGZ403" s="148"/>
      <c r="QHA403" s="148"/>
      <c r="QHB403" s="148"/>
      <c r="QHC403" s="148"/>
      <c r="QHD403" s="148"/>
      <c r="QHE403" s="148"/>
      <c r="QHF403" s="148"/>
      <c r="QHG403" s="148"/>
      <c r="QHH403" s="148"/>
      <c r="QHI403" s="148"/>
      <c r="QHJ403" s="148"/>
      <c r="QHK403" s="148"/>
      <c r="QHL403" s="148"/>
      <c r="QHM403" s="148"/>
      <c r="QHN403" s="148"/>
      <c r="QHO403" s="148"/>
      <c r="QHP403" s="148"/>
      <c r="QHQ403" s="148"/>
      <c r="QHR403" s="148"/>
      <c r="QHS403" s="148"/>
      <c r="QHT403" s="148"/>
      <c r="QHU403" s="148"/>
      <c r="QHV403" s="148"/>
      <c r="QHW403" s="148"/>
      <c r="QHX403" s="148"/>
      <c r="QHY403" s="148"/>
      <c r="QHZ403" s="148"/>
      <c r="QIA403" s="148"/>
      <c r="QIB403" s="148"/>
      <c r="QIC403" s="148"/>
      <c r="QID403" s="148"/>
      <c r="QIE403" s="148"/>
      <c r="QIF403" s="148"/>
      <c r="QIG403" s="148"/>
      <c r="QIH403" s="148"/>
      <c r="QII403" s="148"/>
      <c r="QIJ403" s="148"/>
      <c r="QIK403" s="148"/>
      <c r="QIL403" s="148"/>
      <c r="QIM403" s="148"/>
      <c r="QIN403" s="148"/>
      <c r="QIO403" s="148"/>
      <c r="QIP403" s="148"/>
      <c r="QIQ403" s="148"/>
      <c r="QIR403" s="148"/>
      <c r="QIS403" s="148"/>
      <c r="QIT403" s="148"/>
      <c r="QIU403" s="148"/>
      <c r="QIV403" s="148"/>
      <c r="QIW403" s="148"/>
      <c r="QIX403" s="148"/>
      <c r="QIY403" s="148"/>
      <c r="QIZ403" s="148"/>
      <c r="QJA403" s="148"/>
      <c r="QJB403" s="148"/>
      <c r="QJC403" s="148"/>
      <c r="QJD403" s="148"/>
      <c r="QJE403" s="148"/>
      <c r="QJF403" s="148"/>
      <c r="QJG403" s="148"/>
      <c r="QJH403" s="148"/>
      <c r="QJI403" s="148"/>
      <c r="QJJ403" s="148"/>
      <c r="QJK403" s="148"/>
      <c r="QJL403" s="148"/>
      <c r="QJM403" s="148"/>
      <c r="QJN403" s="148"/>
      <c r="QJO403" s="148"/>
      <c r="QJP403" s="148"/>
      <c r="QJQ403" s="148"/>
      <c r="QJR403" s="148"/>
      <c r="QJS403" s="148"/>
      <c r="QJT403" s="148"/>
      <c r="QJU403" s="148"/>
      <c r="QJV403" s="148"/>
      <c r="QJW403" s="148"/>
      <c r="QJX403" s="148"/>
      <c r="QJY403" s="148"/>
      <c r="QJZ403" s="148"/>
      <c r="QKA403" s="148"/>
      <c r="QKB403" s="148"/>
      <c r="QKC403" s="148"/>
      <c r="QKD403" s="148"/>
      <c r="QKE403" s="148"/>
      <c r="QKF403" s="148"/>
      <c r="QKG403" s="148"/>
      <c r="QKH403" s="148"/>
      <c r="QKI403" s="148"/>
      <c r="QKJ403" s="148"/>
      <c r="QKK403" s="148"/>
      <c r="QKL403" s="148"/>
      <c r="QKM403" s="148"/>
      <c r="QKN403" s="148"/>
      <c r="QKO403" s="148"/>
      <c r="QKP403" s="148"/>
      <c r="QKQ403" s="148"/>
      <c r="QKR403" s="148"/>
      <c r="QKS403" s="148"/>
      <c r="QKT403" s="148"/>
      <c r="QKU403" s="148"/>
      <c r="QKV403" s="148"/>
      <c r="QKW403" s="148"/>
      <c r="QKX403" s="148"/>
      <c r="QKY403" s="148"/>
      <c r="QKZ403" s="148"/>
      <c r="QLA403" s="148"/>
      <c r="QLB403" s="148"/>
      <c r="QLC403" s="148"/>
      <c r="QLD403" s="148"/>
      <c r="QLE403" s="148"/>
      <c r="QLF403" s="148"/>
      <c r="QLG403" s="148"/>
      <c r="QLH403" s="148"/>
      <c r="QLI403" s="148"/>
      <c r="QLJ403" s="148"/>
      <c r="QLK403" s="148"/>
      <c r="QLL403" s="148"/>
      <c r="QLM403" s="148"/>
      <c r="QLN403" s="148"/>
      <c r="QLO403" s="148"/>
      <c r="QLP403" s="148"/>
      <c r="QLQ403" s="148"/>
      <c r="QLR403" s="148"/>
      <c r="QLS403" s="148"/>
      <c r="QLT403" s="148"/>
      <c r="QLU403" s="148"/>
      <c r="QLV403" s="148"/>
      <c r="QLW403" s="148"/>
      <c r="QLX403" s="148"/>
      <c r="QLY403" s="148"/>
      <c r="QLZ403" s="148"/>
      <c r="QMA403" s="148"/>
      <c r="QMB403" s="148"/>
      <c r="QMC403" s="148"/>
      <c r="QMD403" s="148"/>
      <c r="QME403" s="148"/>
      <c r="QMF403" s="148"/>
      <c r="QMG403" s="148"/>
      <c r="QMH403" s="148"/>
      <c r="QMI403" s="148"/>
      <c r="QMJ403" s="148"/>
      <c r="QMK403" s="148"/>
      <c r="QML403" s="148"/>
      <c r="QMM403" s="148"/>
      <c r="QMN403" s="148"/>
      <c r="QMO403" s="148"/>
      <c r="QMP403" s="148"/>
      <c r="QMQ403" s="148"/>
      <c r="QMR403" s="148"/>
      <c r="QMS403" s="148"/>
      <c r="QMT403" s="148"/>
      <c r="QMU403" s="148"/>
      <c r="QMV403" s="148"/>
      <c r="QMW403" s="148"/>
      <c r="QMX403" s="148"/>
      <c r="QMY403" s="148"/>
      <c r="QMZ403" s="148"/>
      <c r="QNA403" s="148"/>
      <c r="QNB403" s="148"/>
      <c r="QNC403" s="148"/>
      <c r="QND403" s="148"/>
      <c r="QNE403" s="148"/>
      <c r="QNF403" s="148"/>
      <c r="QNG403" s="148"/>
      <c r="QNH403" s="148"/>
      <c r="QNI403" s="148"/>
      <c r="QNJ403" s="148"/>
      <c r="QNK403" s="148"/>
      <c r="QNL403" s="148"/>
      <c r="QNM403" s="148"/>
      <c r="QNN403" s="148"/>
      <c r="QNO403" s="148"/>
      <c r="QNP403" s="148"/>
      <c r="QNQ403" s="148"/>
      <c r="QNR403" s="148"/>
      <c r="QNS403" s="148"/>
      <c r="QNT403" s="148"/>
      <c r="QNU403" s="148"/>
      <c r="QNV403" s="148"/>
      <c r="QNW403" s="148"/>
      <c r="QNX403" s="148"/>
      <c r="QNY403" s="148"/>
      <c r="QNZ403" s="148"/>
      <c r="QOA403" s="148"/>
      <c r="QOB403" s="148"/>
      <c r="QOC403" s="148"/>
      <c r="QOD403" s="148"/>
      <c r="QOE403" s="148"/>
      <c r="QOF403" s="148"/>
      <c r="QOG403" s="148"/>
      <c r="QOH403" s="148"/>
      <c r="QOI403" s="148"/>
      <c r="QOJ403" s="148"/>
      <c r="QOK403" s="148"/>
      <c r="QOL403" s="148"/>
      <c r="QOM403" s="148"/>
      <c r="QON403" s="148"/>
      <c r="QOO403" s="148"/>
      <c r="QOP403" s="148"/>
      <c r="QOQ403" s="148"/>
      <c r="QOR403" s="148"/>
      <c r="QOS403" s="148"/>
      <c r="QOT403" s="148"/>
      <c r="QOU403" s="148"/>
      <c r="QOV403" s="148"/>
      <c r="QOW403" s="148"/>
      <c r="QOX403" s="148"/>
      <c r="QOY403" s="148"/>
      <c r="QOZ403" s="148"/>
      <c r="QPA403" s="148"/>
      <c r="QPB403" s="148"/>
      <c r="QPC403" s="148"/>
      <c r="QPD403" s="148"/>
      <c r="QPE403" s="148"/>
      <c r="QPF403" s="148"/>
      <c r="QPG403" s="148"/>
      <c r="QPH403" s="148"/>
      <c r="QPI403" s="148"/>
      <c r="QPJ403" s="148"/>
      <c r="QPK403" s="148"/>
      <c r="QPL403" s="148"/>
      <c r="QPM403" s="148"/>
      <c r="QPN403" s="148"/>
      <c r="QPO403" s="148"/>
      <c r="QPP403" s="148"/>
      <c r="QPQ403" s="148"/>
      <c r="QPR403" s="148"/>
      <c r="QPS403" s="148"/>
      <c r="QPT403" s="148"/>
      <c r="QPU403" s="148"/>
      <c r="QPV403" s="148"/>
      <c r="QPW403" s="148"/>
      <c r="QPX403" s="148"/>
      <c r="QPY403" s="148"/>
      <c r="QPZ403" s="148"/>
      <c r="QQA403" s="148"/>
      <c r="QQB403" s="148"/>
      <c r="QQC403" s="148"/>
      <c r="QQD403" s="148"/>
      <c r="QQE403" s="148"/>
      <c r="QQF403" s="148"/>
      <c r="QQG403" s="148"/>
      <c r="QQH403" s="148"/>
      <c r="QQI403" s="148"/>
      <c r="QQJ403" s="148"/>
      <c r="QQK403" s="148"/>
      <c r="QQL403" s="148"/>
      <c r="QQM403" s="148"/>
      <c r="QQN403" s="148"/>
      <c r="QQO403" s="148"/>
      <c r="QQP403" s="148"/>
      <c r="QQQ403" s="148"/>
      <c r="QQR403" s="148"/>
      <c r="QQS403" s="148"/>
      <c r="QQT403" s="148"/>
      <c r="QQU403" s="148"/>
      <c r="QQV403" s="148"/>
      <c r="QQW403" s="148"/>
      <c r="QQX403" s="148"/>
      <c r="QQY403" s="148"/>
      <c r="QQZ403" s="148"/>
      <c r="QRA403" s="148"/>
      <c r="QRB403" s="148"/>
      <c r="QRC403" s="148"/>
      <c r="QRD403" s="148"/>
      <c r="QRE403" s="148"/>
      <c r="QRF403" s="148"/>
      <c r="QRG403" s="148"/>
      <c r="QRH403" s="148"/>
      <c r="QRI403" s="148"/>
      <c r="QRJ403" s="148"/>
      <c r="QRK403" s="148"/>
      <c r="QRL403" s="148"/>
      <c r="QRM403" s="148"/>
      <c r="QRN403" s="148"/>
      <c r="QRO403" s="148"/>
      <c r="QRP403" s="148"/>
      <c r="QRQ403" s="148"/>
      <c r="QRR403" s="148"/>
      <c r="QRS403" s="148"/>
      <c r="QRT403" s="148"/>
      <c r="QRU403" s="148"/>
      <c r="QRV403" s="148"/>
      <c r="QRW403" s="148"/>
      <c r="QRX403" s="148"/>
      <c r="QRY403" s="148"/>
      <c r="QRZ403" s="148"/>
      <c r="QSA403" s="148"/>
      <c r="QSB403" s="148"/>
      <c r="QSC403" s="148"/>
      <c r="QSD403" s="148"/>
      <c r="QSE403" s="148"/>
      <c r="QSF403" s="148"/>
      <c r="QSG403" s="148"/>
      <c r="QSH403" s="148"/>
      <c r="QSI403" s="148"/>
      <c r="QSJ403" s="148"/>
      <c r="QSK403" s="148"/>
      <c r="QSL403" s="148"/>
      <c r="QSM403" s="148"/>
      <c r="QSN403" s="148"/>
      <c r="QSO403" s="148"/>
      <c r="QSP403" s="148"/>
      <c r="QSQ403" s="148"/>
      <c r="QSR403" s="148"/>
      <c r="QSS403" s="148"/>
      <c r="QST403" s="148"/>
      <c r="QSU403" s="148"/>
      <c r="QSV403" s="148"/>
      <c r="QSW403" s="148"/>
      <c r="QSX403" s="148"/>
      <c r="QSY403" s="148"/>
      <c r="QSZ403" s="148"/>
      <c r="QTA403" s="148"/>
      <c r="QTB403" s="148"/>
      <c r="QTC403" s="148"/>
      <c r="QTD403" s="148"/>
      <c r="QTE403" s="148"/>
      <c r="QTF403" s="148"/>
      <c r="QTG403" s="148"/>
      <c r="QTH403" s="148"/>
      <c r="QTI403" s="148"/>
      <c r="QTJ403" s="148"/>
      <c r="QTK403" s="148"/>
      <c r="QTL403" s="148"/>
      <c r="QTM403" s="148"/>
      <c r="QTN403" s="148"/>
      <c r="QTO403" s="148"/>
      <c r="QTP403" s="148"/>
      <c r="QTQ403" s="148"/>
      <c r="QTR403" s="148"/>
      <c r="QTS403" s="148"/>
      <c r="QTT403" s="148"/>
      <c r="QTU403" s="148"/>
      <c r="QTV403" s="148"/>
      <c r="QTW403" s="148"/>
      <c r="QTX403" s="148"/>
      <c r="QTY403" s="148"/>
      <c r="QTZ403" s="148"/>
      <c r="QUA403" s="148"/>
      <c r="QUB403" s="148"/>
      <c r="QUC403" s="148"/>
      <c r="QUD403" s="148"/>
      <c r="QUE403" s="148"/>
      <c r="QUF403" s="148"/>
      <c r="QUG403" s="148"/>
      <c r="QUH403" s="148"/>
      <c r="QUI403" s="148"/>
      <c r="QUJ403" s="148"/>
      <c r="QUK403" s="148"/>
      <c r="QUL403" s="148"/>
      <c r="QUM403" s="148"/>
      <c r="QUN403" s="148"/>
      <c r="QUO403" s="148"/>
      <c r="QUP403" s="148"/>
      <c r="QUQ403" s="148"/>
      <c r="QUR403" s="148"/>
      <c r="QUS403" s="148"/>
      <c r="QUT403" s="148"/>
      <c r="QUU403" s="148"/>
      <c r="QUV403" s="148"/>
      <c r="QUW403" s="148"/>
      <c r="QUX403" s="148"/>
      <c r="QUY403" s="148"/>
      <c r="QUZ403" s="148"/>
      <c r="QVA403" s="148"/>
      <c r="QVB403" s="148"/>
      <c r="QVC403" s="148"/>
      <c r="QVD403" s="148"/>
      <c r="QVE403" s="148"/>
      <c r="QVF403" s="148"/>
      <c r="QVG403" s="148"/>
      <c r="QVH403" s="148"/>
      <c r="QVI403" s="148"/>
      <c r="QVJ403" s="148"/>
      <c r="QVK403" s="148"/>
      <c r="QVL403" s="148"/>
      <c r="QVM403" s="148"/>
      <c r="QVN403" s="148"/>
      <c r="QVO403" s="148"/>
      <c r="QVP403" s="148"/>
      <c r="QVQ403" s="148"/>
      <c r="QVR403" s="148"/>
      <c r="QVS403" s="148"/>
      <c r="QVT403" s="148"/>
      <c r="QVU403" s="148"/>
      <c r="QVV403" s="148"/>
      <c r="QVW403" s="148"/>
      <c r="QVX403" s="148"/>
      <c r="QVY403" s="148"/>
      <c r="QVZ403" s="148"/>
      <c r="QWA403" s="148"/>
      <c r="QWB403" s="148"/>
      <c r="QWC403" s="148"/>
      <c r="QWD403" s="148"/>
      <c r="QWE403" s="148"/>
      <c r="QWF403" s="148"/>
      <c r="QWG403" s="148"/>
      <c r="QWH403" s="148"/>
      <c r="QWI403" s="148"/>
      <c r="QWJ403" s="148"/>
      <c r="QWK403" s="148"/>
      <c r="QWL403" s="148"/>
      <c r="QWM403" s="148"/>
      <c r="QWN403" s="148"/>
      <c r="QWO403" s="148"/>
      <c r="QWP403" s="148"/>
      <c r="QWQ403" s="148"/>
      <c r="QWR403" s="148"/>
      <c r="QWS403" s="148"/>
      <c r="QWT403" s="148"/>
      <c r="QWU403" s="148"/>
      <c r="QWV403" s="148"/>
      <c r="QWW403" s="148"/>
      <c r="QWX403" s="148"/>
      <c r="QWY403" s="148"/>
      <c r="QWZ403" s="148"/>
      <c r="QXA403" s="148"/>
      <c r="QXB403" s="148"/>
      <c r="QXC403" s="148"/>
      <c r="QXD403" s="148"/>
      <c r="QXE403" s="148"/>
      <c r="QXF403" s="148"/>
      <c r="QXG403" s="148"/>
      <c r="QXH403" s="148"/>
      <c r="QXI403" s="148"/>
      <c r="QXJ403" s="148"/>
      <c r="QXK403" s="148"/>
      <c r="QXL403" s="148"/>
      <c r="QXM403" s="148"/>
      <c r="QXN403" s="148"/>
      <c r="QXO403" s="148"/>
      <c r="QXP403" s="148"/>
      <c r="QXQ403" s="148"/>
      <c r="QXR403" s="148"/>
      <c r="QXS403" s="148"/>
      <c r="QXT403" s="148"/>
      <c r="QXU403" s="148"/>
      <c r="QXV403" s="148"/>
      <c r="QXW403" s="148"/>
      <c r="QXX403" s="148"/>
      <c r="QXY403" s="148"/>
      <c r="QXZ403" s="148"/>
      <c r="QYA403" s="148"/>
      <c r="QYB403" s="148"/>
      <c r="QYC403" s="148"/>
      <c r="QYD403" s="148"/>
      <c r="QYE403" s="148"/>
      <c r="QYF403" s="148"/>
      <c r="QYG403" s="148"/>
      <c r="QYH403" s="148"/>
      <c r="QYI403" s="148"/>
      <c r="QYJ403" s="148"/>
      <c r="QYK403" s="148"/>
      <c r="QYL403" s="148"/>
      <c r="QYM403" s="148"/>
      <c r="QYN403" s="148"/>
      <c r="QYO403" s="148"/>
      <c r="QYP403" s="148"/>
      <c r="QYQ403" s="148"/>
      <c r="QYR403" s="148"/>
      <c r="QYS403" s="148"/>
      <c r="QYT403" s="148"/>
      <c r="QYU403" s="148"/>
      <c r="QYV403" s="148"/>
      <c r="QYW403" s="148"/>
      <c r="QYX403" s="148"/>
      <c r="QYY403" s="148"/>
      <c r="QYZ403" s="148"/>
      <c r="QZA403" s="148"/>
      <c r="QZB403" s="148"/>
      <c r="QZC403" s="148"/>
      <c r="QZD403" s="148"/>
      <c r="QZE403" s="148"/>
      <c r="QZF403" s="148"/>
      <c r="QZG403" s="148"/>
      <c r="QZH403" s="148"/>
      <c r="QZI403" s="148"/>
      <c r="QZJ403" s="148"/>
      <c r="QZK403" s="148"/>
      <c r="QZL403" s="148"/>
      <c r="QZM403" s="148"/>
      <c r="QZN403" s="148"/>
      <c r="QZO403" s="148"/>
      <c r="QZP403" s="148"/>
      <c r="QZQ403" s="148"/>
      <c r="QZR403" s="148"/>
      <c r="QZS403" s="148"/>
      <c r="QZT403" s="148"/>
      <c r="QZU403" s="148"/>
      <c r="QZV403" s="148"/>
      <c r="QZW403" s="148"/>
      <c r="QZX403" s="148"/>
      <c r="QZY403" s="148"/>
      <c r="QZZ403" s="148"/>
      <c r="RAA403" s="148"/>
      <c r="RAB403" s="148"/>
      <c r="RAC403" s="148"/>
      <c r="RAD403" s="148"/>
      <c r="RAE403" s="148"/>
      <c r="RAF403" s="148"/>
      <c r="RAG403" s="148"/>
      <c r="RAH403" s="148"/>
      <c r="RAI403" s="148"/>
      <c r="RAJ403" s="148"/>
      <c r="RAK403" s="148"/>
      <c r="RAL403" s="148"/>
      <c r="RAM403" s="148"/>
      <c r="RAN403" s="148"/>
      <c r="RAO403" s="148"/>
      <c r="RAP403" s="148"/>
      <c r="RAQ403" s="148"/>
      <c r="RAR403" s="148"/>
      <c r="RAS403" s="148"/>
      <c r="RAT403" s="148"/>
      <c r="RAU403" s="148"/>
      <c r="RAV403" s="148"/>
      <c r="RAW403" s="148"/>
      <c r="RAX403" s="148"/>
      <c r="RAY403" s="148"/>
      <c r="RAZ403" s="148"/>
      <c r="RBA403" s="148"/>
      <c r="RBB403" s="148"/>
      <c r="RBC403" s="148"/>
      <c r="RBD403" s="148"/>
      <c r="RBE403" s="148"/>
      <c r="RBF403" s="148"/>
      <c r="RBG403" s="148"/>
      <c r="RBH403" s="148"/>
      <c r="RBI403" s="148"/>
      <c r="RBJ403" s="148"/>
      <c r="RBK403" s="148"/>
      <c r="RBL403" s="148"/>
      <c r="RBM403" s="148"/>
      <c r="RBN403" s="148"/>
      <c r="RBO403" s="148"/>
      <c r="RBP403" s="148"/>
      <c r="RBQ403" s="148"/>
      <c r="RBR403" s="148"/>
      <c r="RBS403" s="148"/>
      <c r="RBT403" s="148"/>
      <c r="RBU403" s="148"/>
      <c r="RBV403" s="148"/>
      <c r="RBW403" s="148"/>
      <c r="RBX403" s="148"/>
      <c r="RBY403" s="148"/>
      <c r="RBZ403" s="148"/>
      <c r="RCA403" s="148"/>
      <c r="RCB403" s="148"/>
      <c r="RCC403" s="148"/>
      <c r="RCD403" s="148"/>
      <c r="RCE403" s="148"/>
      <c r="RCF403" s="148"/>
      <c r="RCG403" s="148"/>
      <c r="RCH403" s="148"/>
      <c r="RCI403" s="148"/>
      <c r="RCJ403" s="148"/>
      <c r="RCK403" s="148"/>
      <c r="RCL403" s="148"/>
      <c r="RCM403" s="148"/>
      <c r="RCN403" s="148"/>
      <c r="RCO403" s="148"/>
      <c r="RCP403" s="148"/>
      <c r="RCQ403" s="148"/>
      <c r="RCR403" s="148"/>
      <c r="RCS403" s="148"/>
      <c r="RCT403" s="148"/>
      <c r="RCU403" s="148"/>
      <c r="RCV403" s="148"/>
      <c r="RCW403" s="148"/>
      <c r="RCX403" s="148"/>
      <c r="RCY403" s="148"/>
      <c r="RCZ403" s="148"/>
      <c r="RDA403" s="148"/>
      <c r="RDB403" s="148"/>
      <c r="RDC403" s="148"/>
      <c r="RDD403" s="148"/>
      <c r="RDE403" s="148"/>
      <c r="RDF403" s="148"/>
      <c r="RDG403" s="148"/>
      <c r="RDH403" s="148"/>
      <c r="RDI403" s="148"/>
      <c r="RDJ403" s="148"/>
      <c r="RDK403" s="148"/>
      <c r="RDL403" s="148"/>
      <c r="RDM403" s="148"/>
      <c r="RDN403" s="148"/>
      <c r="RDO403" s="148"/>
      <c r="RDP403" s="148"/>
      <c r="RDQ403" s="148"/>
      <c r="RDR403" s="148"/>
      <c r="RDS403" s="148"/>
      <c r="RDT403" s="148"/>
      <c r="RDU403" s="148"/>
      <c r="RDV403" s="148"/>
      <c r="RDW403" s="148"/>
      <c r="RDX403" s="148"/>
      <c r="RDY403" s="148"/>
      <c r="RDZ403" s="148"/>
      <c r="REA403" s="148"/>
      <c r="REB403" s="148"/>
      <c r="REC403" s="148"/>
      <c r="RED403" s="148"/>
      <c r="REE403" s="148"/>
      <c r="REF403" s="148"/>
      <c r="REG403" s="148"/>
      <c r="REH403" s="148"/>
      <c r="REI403" s="148"/>
      <c r="REJ403" s="148"/>
      <c r="REK403" s="148"/>
      <c r="REL403" s="148"/>
      <c r="REM403" s="148"/>
      <c r="REN403" s="148"/>
      <c r="REO403" s="148"/>
      <c r="REP403" s="148"/>
      <c r="REQ403" s="148"/>
      <c r="RER403" s="148"/>
      <c r="RES403" s="148"/>
      <c r="RET403" s="148"/>
      <c r="REU403" s="148"/>
      <c r="REV403" s="148"/>
      <c r="REW403" s="148"/>
      <c r="REX403" s="148"/>
      <c r="REY403" s="148"/>
      <c r="REZ403" s="148"/>
      <c r="RFA403" s="148"/>
      <c r="RFB403" s="148"/>
      <c r="RFC403" s="148"/>
      <c r="RFD403" s="148"/>
      <c r="RFE403" s="148"/>
      <c r="RFF403" s="148"/>
      <c r="RFG403" s="148"/>
      <c r="RFH403" s="148"/>
      <c r="RFI403" s="148"/>
      <c r="RFJ403" s="148"/>
      <c r="RFK403" s="148"/>
      <c r="RFL403" s="148"/>
      <c r="RFM403" s="148"/>
      <c r="RFN403" s="148"/>
      <c r="RFO403" s="148"/>
      <c r="RFP403" s="148"/>
      <c r="RFQ403" s="148"/>
      <c r="RFR403" s="148"/>
      <c r="RFS403" s="148"/>
      <c r="RFT403" s="148"/>
      <c r="RFU403" s="148"/>
      <c r="RFV403" s="148"/>
      <c r="RFW403" s="148"/>
      <c r="RFX403" s="148"/>
      <c r="RFY403" s="148"/>
      <c r="RFZ403" s="148"/>
      <c r="RGA403" s="148"/>
      <c r="RGB403" s="148"/>
      <c r="RGC403" s="148"/>
      <c r="RGD403" s="148"/>
      <c r="RGE403" s="148"/>
      <c r="RGF403" s="148"/>
      <c r="RGG403" s="148"/>
      <c r="RGH403" s="148"/>
      <c r="RGI403" s="148"/>
      <c r="RGJ403" s="148"/>
      <c r="RGK403" s="148"/>
      <c r="RGL403" s="148"/>
      <c r="RGM403" s="148"/>
      <c r="RGN403" s="148"/>
      <c r="RGO403" s="148"/>
      <c r="RGP403" s="148"/>
      <c r="RGQ403" s="148"/>
      <c r="RGR403" s="148"/>
      <c r="RGS403" s="148"/>
      <c r="RGT403" s="148"/>
      <c r="RGU403" s="148"/>
      <c r="RGV403" s="148"/>
      <c r="RGW403" s="148"/>
      <c r="RGX403" s="148"/>
      <c r="RGY403" s="148"/>
      <c r="RGZ403" s="148"/>
      <c r="RHA403" s="148"/>
      <c r="RHB403" s="148"/>
      <c r="RHC403" s="148"/>
      <c r="RHD403" s="148"/>
      <c r="RHE403" s="148"/>
      <c r="RHF403" s="148"/>
      <c r="RHG403" s="148"/>
      <c r="RHH403" s="148"/>
      <c r="RHI403" s="148"/>
      <c r="RHJ403" s="148"/>
      <c r="RHK403" s="148"/>
      <c r="RHL403" s="148"/>
      <c r="RHM403" s="148"/>
      <c r="RHN403" s="148"/>
      <c r="RHO403" s="148"/>
      <c r="RHP403" s="148"/>
      <c r="RHQ403" s="148"/>
      <c r="RHR403" s="148"/>
      <c r="RHS403" s="148"/>
      <c r="RHT403" s="148"/>
      <c r="RHU403" s="148"/>
      <c r="RHV403" s="148"/>
      <c r="RHW403" s="148"/>
      <c r="RHX403" s="148"/>
      <c r="RHY403" s="148"/>
      <c r="RHZ403" s="148"/>
      <c r="RIA403" s="148"/>
      <c r="RIB403" s="148"/>
      <c r="RIC403" s="148"/>
      <c r="RID403" s="148"/>
      <c r="RIE403" s="148"/>
      <c r="RIF403" s="148"/>
      <c r="RIG403" s="148"/>
      <c r="RIH403" s="148"/>
      <c r="RII403" s="148"/>
      <c r="RIJ403" s="148"/>
      <c r="RIK403" s="148"/>
      <c r="RIL403" s="148"/>
      <c r="RIM403" s="148"/>
      <c r="RIN403" s="148"/>
      <c r="RIO403" s="148"/>
      <c r="RIP403" s="148"/>
      <c r="RIQ403" s="148"/>
      <c r="RIR403" s="148"/>
      <c r="RIS403" s="148"/>
      <c r="RIT403" s="148"/>
      <c r="RIU403" s="148"/>
      <c r="RIV403" s="148"/>
      <c r="RIW403" s="148"/>
      <c r="RIX403" s="148"/>
      <c r="RIY403" s="148"/>
      <c r="RIZ403" s="148"/>
      <c r="RJA403" s="148"/>
      <c r="RJB403" s="148"/>
      <c r="RJC403" s="148"/>
      <c r="RJD403" s="148"/>
      <c r="RJE403" s="148"/>
      <c r="RJF403" s="148"/>
      <c r="RJG403" s="148"/>
      <c r="RJH403" s="148"/>
      <c r="RJI403" s="148"/>
      <c r="RJJ403" s="148"/>
      <c r="RJK403" s="148"/>
      <c r="RJL403" s="148"/>
      <c r="RJM403" s="148"/>
      <c r="RJN403" s="148"/>
      <c r="RJO403" s="148"/>
      <c r="RJP403" s="148"/>
      <c r="RJQ403" s="148"/>
      <c r="RJR403" s="148"/>
      <c r="RJS403" s="148"/>
      <c r="RJT403" s="148"/>
      <c r="RJU403" s="148"/>
      <c r="RJV403" s="148"/>
      <c r="RJW403" s="148"/>
      <c r="RJX403" s="148"/>
      <c r="RJY403" s="148"/>
      <c r="RJZ403" s="148"/>
      <c r="RKA403" s="148"/>
      <c r="RKB403" s="148"/>
      <c r="RKC403" s="148"/>
      <c r="RKD403" s="148"/>
      <c r="RKE403" s="148"/>
      <c r="RKF403" s="148"/>
      <c r="RKG403" s="148"/>
      <c r="RKH403" s="148"/>
      <c r="RKI403" s="148"/>
      <c r="RKJ403" s="148"/>
      <c r="RKK403" s="148"/>
      <c r="RKL403" s="148"/>
      <c r="RKM403" s="148"/>
      <c r="RKN403" s="148"/>
      <c r="RKO403" s="148"/>
      <c r="RKP403" s="148"/>
      <c r="RKQ403" s="148"/>
      <c r="RKR403" s="148"/>
      <c r="RKS403" s="148"/>
      <c r="RKT403" s="148"/>
      <c r="RKU403" s="148"/>
      <c r="RKV403" s="148"/>
      <c r="RKW403" s="148"/>
      <c r="RKX403" s="148"/>
      <c r="RKY403" s="148"/>
      <c r="RKZ403" s="148"/>
      <c r="RLA403" s="148"/>
      <c r="RLB403" s="148"/>
      <c r="RLC403" s="148"/>
      <c r="RLD403" s="148"/>
      <c r="RLE403" s="148"/>
      <c r="RLF403" s="148"/>
      <c r="RLG403" s="148"/>
      <c r="RLH403" s="148"/>
      <c r="RLI403" s="148"/>
      <c r="RLJ403" s="148"/>
      <c r="RLK403" s="148"/>
      <c r="RLL403" s="148"/>
      <c r="RLM403" s="148"/>
      <c r="RLN403" s="148"/>
      <c r="RLO403" s="148"/>
      <c r="RLP403" s="148"/>
      <c r="RLQ403" s="148"/>
      <c r="RLR403" s="148"/>
      <c r="RLS403" s="148"/>
      <c r="RLT403" s="148"/>
      <c r="RLU403" s="148"/>
      <c r="RLV403" s="148"/>
      <c r="RLW403" s="148"/>
      <c r="RLX403" s="148"/>
      <c r="RLY403" s="148"/>
      <c r="RLZ403" s="148"/>
      <c r="RMA403" s="148"/>
      <c r="RMB403" s="148"/>
      <c r="RMC403" s="148"/>
      <c r="RMD403" s="148"/>
      <c r="RME403" s="148"/>
      <c r="RMF403" s="148"/>
      <c r="RMG403" s="148"/>
      <c r="RMH403" s="148"/>
      <c r="RMI403" s="148"/>
      <c r="RMJ403" s="148"/>
      <c r="RMK403" s="148"/>
      <c r="RML403" s="148"/>
      <c r="RMM403" s="148"/>
      <c r="RMN403" s="148"/>
      <c r="RMO403" s="148"/>
      <c r="RMP403" s="148"/>
      <c r="RMQ403" s="148"/>
      <c r="RMR403" s="148"/>
      <c r="RMS403" s="148"/>
      <c r="RMT403" s="148"/>
      <c r="RMU403" s="148"/>
      <c r="RMV403" s="148"/>
      <c r="RMW403" s="148"/>
      <c r="RMX403" s="148"/>
      <c r="RMY403" s="148"/>
      <c r="RMZ403" s="148"/>
      <c r="RNA403" s="148"/>
      <c r="RNB403" s="148"/>
      <c r="RNC403" s="148"/>
      <c r="RND403" s="148"/>
      <c r="RNE403" s="148"/>
      <c r="RNF403" s="148"/>
      <c r="RNG403" s="148"/>
      <c r="RNH403" s="148"/>
      <c r="RNI403" s="148"/>
      <c r="RNJ403" s="148"/>
      <c r="RNK403" s="148"/>
      <c r="RNL403" s="148"/>
      <c r="RNM403" s="148"/>
      <c r="RNN403" s="148"/>
      <c r="RNO403" s="148"/>
      <c r="RNP403" s="148"/>
      <c r="RNQ403" s="148"/>
      <c r="RNR403" s="148"/>
      <c r="RNS403" s="148"/>
      <c r="RNT403" s="148"/>
      <c r="RNU403" s="148"/>
      <c r="RNV403" s="148"/>
      <c r="RNW403" s="148"/>
      <c r="RNX403" s="148"/>
      <c r="RNY403" s="148"/>
      <c r="RNZ403" s="148"/>
      <c r="ROA403" s="148"/>
      <c r="ROB403" s="148"/>
      <c r="ROC403" s="148"/>
      <c r="ROD403" s="148"/>
      <c r="ROE403" s="148"/>
      <c r="ROF403" s="148"/>
      <c r="ROG403" s="148"/>
      <c r="ROH403" s="148"/>
      <c r="ROI403" s="148"/>
      <c r="ROJ403" s="148"/>
      <c r="ROK403" s="148"/>
      <c r="ROL403" s="148"/>
      <c r="ROM403" s="148"/>
      <c r="RON403" s="148"/>
      <c r="ROO403" s="148"/>
      <c r="ROP403" s="148"/>
      <c r="ROQ403" s="148"/>
      <c r="ROR403" s="148"/>
      <c r="ROS403" s="148"/>
      <c r="ROT403" s="148"/>
      <c r="ROU403" s="148"/>
      <c r="ROV403" s="148"/>
      <c r="ROW403" s="148"/>
      <c r="ROX403" s="148"/>
      <c r="ROY403" s="148"/>
      <c r="ROZ403" s="148"/>
      <c r="RPA403" s="148"/>
      <c r="RPB403" s="148"/>
      <c r="RPC403" s="148"/>
      <c r="RPD403" s="148"/>
      <c r="RPE403" s="148"/>
      <c r="RPF403" s="148"/>
      <c r="RPG403" s="148"/>
      <c r="RPH403" s="148"/>
      <c r="RPI403" s="148"/>
      <c r="RPJ403" s="148"/>
      <c r="RPK403" s="148"/>
      <c r="RPL403" s="148"/>
      <c r="RPM403" s="148"/>
      <c r="RPN403" s="148"/>
      <c r="RPO403" s="148"/>
      <c r="RPP403" s="148"/>
      <c r="RPQ403" s="148"/>
      <c r="RPR403" s="148"/>
      <c r="RPS403" s="148"/>
      <c r="RPT403" s="148"/>
      <c r="RPU403" s="148"/>
      <c r="RPV403" s="148"/>
      <c r="RPW403" s="148"/>
      <c r="RPX403" s="148"/>
      <c r="RPY403" s="148"/>
      <c r="RPZ403" s="148"/>
      <c r="RQA403" s="148"/>
      <c r="RQB403" s="148"/>
      <c r="RQC403" s="148"/>
      <c r="RQD403" s="148"/>
      <c r="RQE403" s="148"/>
      <c r="RQF403" s="148"/>
      <c r="RQG403" s="148"/>
      <c r="RQH403" s="148"/>
      <c r="RQI403" s="148"/>
      <c r="RQJ403" s="148"/>
      <c r="RQK403" s="148"/>
      <c r="RQL403" s="148"/>
      <c r="RQM403" s="148"/>
      <c r="RQN403" s="148"/>
      <c r="RQO403" s="148"/>
      <c r="RQP403" s="148"/>
      <c r="RQQ403" s="148"/>
      <c r="RQR403" s="148"/>
      <c r="RQS403" s="148"/>
      <c r="RQT403" s="148"/>
      <c r="RQU403" s="148"/>
      <c r="RQV403" s="148"/>
      <c r="RQW403" s="148"/>
      <c r="RQX403" s="148"/>
      <c r="RQY403" s="148"/>
      <c r="RQZ403" s="148"/>
      <c r="RRA403" s="148"/>
      <c r="RRB403" s="148"/>
      <c r="RRC403" s="148"/>
      <c r="RRD403" s="148"/>
      <c r="RRE403" s="148"/>
      <c r="RRF403" s="148"/>
      <c r="RRG403" s="148"/>
      <c r="RRH403" s="148"/>
      <c r="RRI403" s="148"/>
      <c r="RRJ403" s="148"/>
      <c r="RRK403" s="148"/>
      <c r="RRL403" s="148"/>
      <c r="RRM403" s="148"/>
      <c r="RRN403" s="148"/>
      <c r="RRO403" s="148"/>
      <c r="RRP403" s="148"/>
      <c r="RRQ403" s="148"/>
      <c r="RRR403" s="148"/>
      <c r="RRS403" s="148"/>
      <c r="RRT403" s="148"/>
      <c r="RRU403" s="148"/>
      <c r="RRV403" s="148"/>
      <c r="RRW403" s="148"/>
      <c r="RRX403" s="148"/>
      <c r="RRY403" s="148"/>
      <c r="RRZ403" s="148"/>
      <c r="RSA403" s="148"/>
      <c r="RSB403" s="148"/>
      <c r="RSC403" s="148"/>
      <c r="RSD403" s="148"/>
      <c r="RSE403" s="148"/>
      <c r="RSF403" s="148"/>
      <c r="RSG403" s="148"/>
      <c r="RSH403" s="148"/>
      <c r="RSI403" s="148"/>
      <c r="RSJ403" s="148"/>
      <c r="RSK403" s="148"/>
      <c r="RSL403" s="148"/>
      <c r="RSM403" s="148"/>
      <c r="RSN403" s="148"/>
      <c r="RSO403" s="148"/>
      <c r="RSP403" s="148"/>
      <c r="RSQ403" s="148"/>
      <c r="RSR403" s="148"/>
      <c r="RSS403" s="148"/>
      <c r="RST403" s="148"/>
      <c r="RSU403" s="148"/>
      <c r="RSV403" s="148"/>
      <c r="RSW403" s="148"/>
      <c r="RSX403" s="148"/>
      <c r="RSY403" s="148"/>
      <c r="RSZ403" s="148"/>
      <c r="RTA403" s="148"/>
      <c r="RTB403" s="148"/>
      <c r="RTC403" s="148"/>
      <c r="RTD403" s="148"/>
      <c r="RTE403" s="148"/>
      <c r="RTF403" s="148"/>
      <c r="RTG403" s="148"/>
      <c r="RTH403" s="148"/>
      <c r="RTI403" s="148"/>
      <c r="RTJ403" s="148"/>
      <c r="RTK403" s="148"/>
      <c r="RTL403" s="148"/>
      <c r="RTM403" s="148"/>
      <c r="RTN403" s="148"/>
      <c r="RTO403" s="148"/>
      <c r="RTP403" s="148"/>
      <c r="RTQ403" s="148"/>
      <c r="RTR403" s="148"/>
      <c r="RTS403" s="148"/>
      <c r="RTT403" s="148"/>
      <c r="RTU403" s="148"/>
      <c r="RTV403" s="148"/>
      <c r="RTW403" s="148"/>
      <c r="RTX403" s="148"/>
      <c r="RTY403" s="148"/>
      <c r="RTZ403" s="148"/>
      <c r="RUA403" s="148"/>
      <c r="RUB403" s="148"/>
      <c r="RUC403" s="148"/>
      <c r="RUD403" s="148"/>
      <c r="RUE403" s="148"/>
      <c r="RUF403" s="148"/>
      <c r="RUG403" s="148"/>
      <c r="RUH403" s="148"/>
      <c r="RUI403" s="148"/>
      <c r="RUJ403" s="148"/>
      <c r="RUK403" s="148"/>
      <c r="RUL403" s="148"/>
      <c r="RUM403" s="148"/>
      <c r="RUN403" s="148"/>
      <c r="RUO403" s="148"/>
      <c r="RUP403" s="148"/>
      <c r="RUQ403" s="148"/>
      <c r="RUR403" s="148"/>
      <c r="RUS403" s="148"/>
      <c r="RUT403" s="148"/>
      <c r="RUU403" s="148"/>
      <c r="RUV403" s="148"/>
      <c r="RUW403" s="148"/>
      <c r="RUX403" s="148"/>
      <c r="RUY403" s="148"/>
      <c r="RUZ403" s="148"/>
      <c r="RVA403" s="148"/>
      <c r="RVB403" s="148"/>
      <c r="RVC403" s="148"/>
      <c r="RVD403" s="148"/>
      <c r="RVE403" s="148"/>
      <c r="RVF403" s="148"/>
      <c r="RVG403" s="148"/>
      <c r="RVH403" s="148"/>
      <c r="RVI403" s="148"/>
      <c r="RVJ403" s="148"/>
      <c r="RVK403" s="148"/>
      <c r="RVL403" s="148"/>
      <c r="RVM403" s="148"/>
      <c r="RVN403" s="148"/>
      <c r="RVO403" s="148"/>
      <c r="RVP403" s="148"/>
      <c r="RVQ403" s="148"/>
      <c r="RVR403" s="148"/>
      <c r="RVS403" s="148"/>
      <c r="RVT403" s="148"/>
      <c r="RVU403" s="148"/>
      <c r="RVV403" s="148"/>
      <c r="RVW403" s="148"/>
      <c r="RVX403" s="148"/>
      <c r="RVY403" s="148"/>
      <c r="RVZ403" s="148"/>
      <c r="RWA403" s="148"/>
      <c r="RWB403" s="148"/>
      <c r="RWC403" s="148"/>
      <c r="RWD403" s="148"/>
      <c r="RWE403" s="148"/>
      <c r="RWF403" s="148"/>
      <c r="RWG403" s="148"/>
      <c r="RWH403" s="148"/>
      <c r="RWI403" s="148"/>
      <c r="RWJ403" s="148"/>
      <c r="RWK403" s="148"/>
      <c r="RWL403" s="148"/>
      <c r="RWM403" s="148"/>
      <c r="RWN403" s="148"/>
      <c r="RWO403" s="148"/>
      <c r="RWP403" s="148"/>
      <c r="RWQ403" s="148"/>
      <c r="RWR403" s="148"/>
      <c r="RWS403" s="148"/>
      <c r="RWT403" s="148"/>
      <c r="RWU403" s="148"/>
      <c r="RWV403" s="148"/>
      <c r="RWW403" s="148"/>
      <c r="RWX403" s="148"/>
      <c r="RWY403" s="148"/>
      <c r="RWZ403" s="148"/>
      <c r="RXA403" s="148"/>
      <c r="RXB403" s="148"/>
      <c r="RXC403" s="148"/>
      <c r="RXD403" s="148"/>
      <c r="RXE403" s="148"/>
      <c r="RXF403" s="148"/>
      <c r="RXG403" s="148"/>
      <c r="RXH403" s="148"/>
      <c r="RXI403" s="148"/>
      <c r="RXJ403" s="148"/>
      <c r="RXK403" s="148"/>
      <c r="RXL403" s="148"/>
      <c r="RXM403" s="148"/>
      <c r="RXN403" s="148"/>
      <c r="RXO403" s="148"/>
      <c r="RXP403" s="148"/>
      <c r="RXQ403" s="148"/>
      <c r="RXR403" s="148"/>
      <c r="RXS403" s="148"/>
      <c r="RXT403" s="148"/>
      <c r="RXU403" s="148"/>
      <c r="RXV403" s="148"/>
      <c r="RXW403" s="148"/>
      <c r="RXX403" s="148"/>
      <c r="RXY403" s="148"/>
      <c r="RXZ403" s="148"/>
      <c r="RYA403" s="148"/>
      <c r="RYB403" s="148"/>
      <c r="RYC403" s="148"/>
      <c r="RYD403" s="148"/>
      <c r="RYE403" s="148"/>
      <c r="RYF403" s="148"/>
      <c r="RYG403" s="148"/>
      <c r="RYH403" s="148"/>
      <c r="RYI403" s="148"/>
      <c r="RYJ403" s="148"/>
      <c r="RYK403" s="148"/>
      <c r="RYL403" s="148"/>
      <c r="RYM403" s="148"/>
      <c r="RYN403" s="148"/>
      <c r="RYO403" s="148"/>
      <c r="RYP403" s="148"/>
      <c r="RYQ403" s="148"/>
      <c r="RYR403" s="148"/>
      <c r="RYS403" s="148"/>
      <c r="RYT403" s="148"/>
      <c r="RYU403" s="148"/>
      <c r="RYV403" s="148"/>
      <c r="RYW403" s="148"/>
      <c r="RYX403" s="148"/>
      <c r="RYY403" s="148"/>
      <c r="RYZ403" s="148"/>
      <c r="RZA403" s="148"/>
      <c r="RZB403" s="148"/>
      <c r="RZC403" s="148"/>
      <c r="RZD403" s="148"/>
      <c r="RZE403" s="148"/>
      <c r="RZF403" s="148"/>
      <c r="RZG403" s="148"/>
      <c r="RZH403" s="148"/>
      <c r="RZI403" s="148"/>
      <c r="RZJ403" s="148"/>
      <c r="RZK403" s="148"/>
      <c r="RZL403" s="148"/>
      <c r="RZM403" s="148"/>
      <c r="RZN403" s="148"/>
      <c r="RZO403" s="148"/>
      <c r="RZP403" s="148"/>
      <c r="RZQ403" s="148"/>
      <c r="RZR403" s="148"/>
      <c r="RZS403" s="148"/>
      <c r="RZT403" s="148"/>
      <c r="RZU403" s="148"/>
      <c r="RZV403" s="148"/>
      <c r="RZW403" s="148"/>
      <c r="RZX403" s="148"/>
      <c r="RZY403" s="148"/>
      <c r="RZZ403" s="148"/>
      <c r="SAA403" s="148"/>
      <c r="SAB403" s="148"/>
      <c r="SAC403" s="148"/>
      <c r="SAD403" s="148"/>
      <c r="SAE403" s="148"/>
      <c r="SAF403" s="148"/>
      <c r="SAG403" s="148"/>
      <c r="SAH403" s="148"/>
      <c r="SAI403" s="148"/>
      <c r="SAJ403" s="148"/>
      <c r="SAK403" s="148"/>
      <c r="SAL403" s="148"/>
      <c r="SAM403" s="148"/>
      <c r="SAN403" s="148"/>
      <c r="SAO403" s="148"/>
      <c r="SAP403" s="148"/>
      <c r="SAQ403" s="148"/>
      <c r="SAR403" s="148"/>
      <c r="SAS403" s="148"/>
      <c r="SAT403" s="148"/>
      <c r="SAU403" s="148"/>
      <c r="SAV403" s="148"/>
      <c r="SAW403" s="148"/>
      <c r="SAX403" s="148"/>
      <c r="SAY403" s="148"/>
      <c r="SAZ403" s="148"/>
      <c r="SBA403" s="148"/>
      <c r="SBB403" s="148"/>
      <c r="SBC403" s="148"/>
      <c r="SBD403" s="148"/>
      <c r="SBE403" s="148"/>
      <c r="SBF403" s="148"/>
      <c r="SBG403" s="148"/>
      <c r="SBH403" s="148"/>
      <c r="SBI403" s="148"/>
      <c r="SBJ403" s="148"/>
      <c r="SBK403" s="148"/>
      <c r="SBL403" s="148"/>
      <c r="SBM403" s="148"/>
      <c r="SBN403" s="148"/>
      <c r="SBO403" s="148"/>
      <c r="SBP403" s="148"/>
      <c r="SBQ403" s="148"/>
      <c r="SBR403" s="148"/>
      <c r="SBS403" s="148"/>
      <c r="SBT403" s="148"/>
      <c r="SBU403" s="148"/>
      <c r="SBV403" s="148"/>
      <c r="SBW403" s="148"/>
      <c r="SBX403" s="148"/>
      <c r="SBY403" s="148"/>
      <c r="SBZ403" s="148"/>
      <c r="SCA403" s="148"/>
      <c r="SCB403" s="148"/>
      <c r="SCC403" s="148"/>
      <c r="SCD403" s="148"/>
      <c r="SCE403" s="148"/>
      <c r="SCF403" s="148"/>
      <c r="SCG403" s="148"/>
      <c r="SCH403" s="148"/>
      <c r="SCI403" s="148"/>
      <c r="SCJ403" s="148"/>
      <c r="SCK403" s="148"/>
      <c r="SCL403" s="148"/>
      <c r="SCM403" s="148"/>
      <c r="SCN403" s="148"/>
      <c r="SCO403" s="148"/>
      <c r="SCP403" s="148"/>
      <c r="SCQ403" s="148"/>
      <c r="SCR403" s="148"/>
      <c r="SCS403" s="148"/>
      <c r="SCT403" s="148"/>
      <c r="SCU403" s="148"/>
      <c r="SCV403" s="148"/>
      <c r="SCW403" s="148"/>
      <c r="SCX403" s="148"/>
      <c r="SCY403" s="148"/>
      <c r="SCZ403" s="148"/>
      <c r="SDA403" s="148"/>
      <c r="SDB403" s="148"/>
      <c r="SDC403" s="148"/>
      <c r="SDD403" s="148"/>
      <c r="SDE403" s="148"/>
      <c r="SDF403" s="148"/>
      <c r="SDG403" s="148"/>
      <c r="SDH403" s="148"/>
      <c r="SDI403" s="148"/>
      <c r="SDJ403" s="148"/>
      <c r="SDK403" s="148"/>
      <c r="SDL403" s="148"/>
      <c r="SDM403" s="148"/>
      <c r="SDN403" s="148"/>
      <c r="SDO403" s="148"/>
      <c r="SDP403" s="148"/>
      <c r="SDQ403" s="148"/>
      <c r="SDR403" s="148"/>
      <c r="SDS403" s="148"/>
      <c r="SDT403" s="148"/>
      <c r="SDU403" s="148"/>
      <c r="SDV403" s="148"/>
      <c r="SDW403" s="148"/>
      <c r="SDX403" s="148"/>
      <c r="SDY403" s="148"/>
      <c r="SDZ403" s="148"/>
      <c r="SEA403" s="148"/>
      <c r="SEB403" s="148"/>
      <c r="SEC403" s="148"/>
      <c r="SED403" s="148"/>
      <c r="SEE403" s="148"/>
      <c r="SEF403" s="148"/>
      <c r="SEG403" s="148"/>
      <c r="SEH403" s="148"/>
      <c r="SEI403" s="148"/>
      <c r="SEJ403" s="148"/>
      <c r="SEK403" s="148"/>
      <c r="SEL403" s="148"/>
      <c r="SEM403" s="148"/>
      <c r="SEN403" s="148"/>
      <c r="SEO403" s="148"/>
      <c r="SEP403" s="148"/>
      <c r="SEQ403" s="148"/>
      <c r="SER403" s="148"/>
      <c r="SES403" s="148"/>
      <c r="SET403" s="148"/>
      <c r="SEU403" s="148"/>
      <c r="SEV403" s="148"/>
      <c r="SEW403" s="148"/>
      <c r="SEX403" s="148"/>
      <c r="SEY403" s="148"/>
      <c r="SEZ403" s="148"/>
      <c r="SFA403" s="148"/>
      <c r="SFB403" s="148"/>
      <c r="SFC403" s="148"/>
      <c r="SFD403" s="148"/>
      <c r="SFE403" s="148"/>
      <c r="SFF403" s="148"/>
      <c r="SFG403" s="148"/>
      <c r="SFH403" s="148"/>
      <c r="SFI403" s="148"/>
      <c r="SFJ403" s="148"/>
      <c r="SFK403" s="148"/>
      <c r="SFL403" s="148"/>
      <c r="SFM403" s="148"/>
      <c r="SFN403" s="148"/>
      <c r="SFO403" s="148"/>
      <c r="SFP403" s="148"/>
      <c r="SFQ403" s="148"/>
      <c r="SFR403" s="148"/>
      <c r="SFS403" s="148"/>
      <c r="SFT403" s="148"/>
      <c r="SFU403" s="148"/>
      <c r="SFV403" s="148"/>
      <c r="SFW403" s="148"/>
      <c r="SFX403" s="148"/>
      <c r="SFY403" s="148"/>
      <c r="SFZ403" s="148"/>
      <c r="SGA403" s="148"/>
      <c r="SGB403" s="148"/>
      <c r="SGC403" s="148"/>
      <c r="SGD403" s="148"/>
      <c r="SGE403" s="148"/>
      <c r="SGF403" s="148"/>
      <c r="SGG403" s="148"/>
      <c r="SGH403" s="148"/>
      <c r="SGI403" s="148"/>
      <c r="SGJ403" s="148"/>
      <c r="SGK403" s="148"/>
      <c r="SGL403" s="148"/>
      <c r="SGM403" s="148"/>
      <c r="SGN403" s="148"/>
      <c r="SGO403" s="148"/>
      <c r="SGP403" s="148"/>
      <c r="SGQ403" s="148"/>
      <c r="SGR403" s="148"/>
      <c r="SGS403" s="148"/>
      <c r="SGT403" s="148"/>
      <c r="SGU403" s="148"/>
      <c r="SGV403" s="148"/>
      <c r="SGW403" s="148"/>
      <c r="SGX403" s="148"/>
      <c r="SGY403" s="148"/>
      <c r="SGZ403" s="148"/>
      <c r="SHA403" s="148"/>
      <c r="SHB403" s="148"/>
      <c r="SHC403" s="148"/>
      <c r="SHD403" s="148"/>
      <c r="SHE403" s="148"/>
      <c r="SHF403" s="148"/>
      <c r="SHG403" s="148"/>
      <c r="SHH403" s="148"/>
      <c r="SHI403" s="148"/>
      <c r="SHJ403" s="148"/>
      <c r="SHK403" s="148"/>
      <c r="SHL403" s="148"/>
      <c r="SHM403" s="148"/>
      <c r="SHN403" s="148"/>
      <c r="SHO403" s="148"/>
      <c r="SHP403" s="148"/>
      <c r="SHQ403" s="148"/>
      <c r="SHR403" s="148"/>
      <c r="SHS403" s="148"/>
      <c r="SHT403" s="148"/>
      <c r="SHU403" s="148"/>
      <c r="SHV403" s="148"/>
      <c r="SHW403" s="148"/>
      <c r="SHX403" s="148"/>
      <c r="SHY403" s="148"/>
      <c r="SHZ403" s="148"/>
      <c r="SIA403" s="148"/>
      <c r="SIB403" s="148"/>
      <c r="SIC403" s="148"/>
      <c r="SID403" s="148"/>
      <c r="SIE403" s="148"/>
      <c r="SIF403" s="148"/>
      <c r="SIG403" s="148"/>
      <c r="SIH403" s="148"/>
      <c r="SII403" s="148"/>
      <c r="SIJ403" s="148"/>
      <c r="SIK403" s="148"/>
      <c r="SIL403" s="148"/>
      <c r="SIM403" s="148"/>
      <c r="SIN403" s="148"/>
      <c r="SIO403" s="148"/>
      <c r="SIP403" s="148"/>
      <c r="SIQ403" s="148"/>
      <c r="SIR403" s="148"/>
      <c r="SIS403" s="148"/>
      <c r="SIT403" s="148"/>
      <c r="SIU403" s="148"/>
      <c r="SIV403" s="148"/>
      <c r="SIW403" s="148"/>
      <c r="SIX403" s="148"/>
      <c r="SIY403" s="148"/>
      <c r="SIZ403" s="148"/>
      <c r="SJA403" s="148"/>
      <c r="SJB403" s="148"/>
      <c r="SJC403" s="148"/>
      <c r="SJD403" s="148"/>
      <c r="SJE403" s="148"/>
      <c r="SJF403" s="148"/>
      <c r="SJG403" s="148"/>
      <c r="SJH403" s="148"/>
      <c r="SJI403" s="148"/>
      <c r="SJJ403" s="148"/>
      <c r="SJK403" s="148"/>
      <c r="SJL403" s="148"/>
      <c r="SJM403" s="148"/>
      <c r="SJN403" s="148"/>
      <c r="SJO403" s="148"/>
      <c r="SJP403" s="148"/>
      <c r="SJQ403" s="148"/>
      <c r="SJR403" s="148"/>
      <c r="SJS403" s="148"/>
      <c r="SJT403" s="148"/>
      <c r="SJU403" s="148"/>
      <c r="SJV403" s="148"/>
      <c r="SJW403" s="148"/>
      <c r="SJX403" s="148"/>
      <c r="SJY403" s="148"/>
      <c r="SJZ403" s="148"/>
      <c r="SKA403" s="148"/>
      <c r="SKB403" s="148"/>
      <c r="SKC403" s="148"/>
      <c r="SKD403" s="148"/>
      <c r="SKE403" s="148"/>
      <c r="SKF403" s="148"/>
      <c r="SKG403" s="148"/>
      <c r="SKH403" s="148"/>
      <c r="SKI403" s="148"/>
      <c r="SKJ403" s="148"/>
      <c r="SKK403" s="148"/>
      <c r="SKL403" s="148"/>
      <c r="SKM403" s="148"/>
      <c r="SKN403" s="148"/>
      <c r="SKO403" s="148"/>
      <c r="SKP403" s="148"/>
      <c r="SKQ403" s="148"/>
      <c r="SKR403" s="148"/>
      <c r="SKS403" s="148"/>
      <c r="SKT403" s="148"/>
      <c r="SKU403" s="148"/>
      <c r="SKV403" s="148"/>
      <c r="SKW403" s="148"/>
      <c r="SKX403" s="148"/>
      <c r="SKY403" s="148"/>
      <c r="SKZ403" s="148"/>
      <c r="SLA403" s="148"/>
      <c r="SLB403" s="148"/>
      <c r="SLC403" s="148"/>
      <c r="SLD403" s="148"/>
      <c r="SLE403" s="148"/>
      <c r="SLF403" s="148"/>
      <c r="SLG403" s="148"/>
      <c r="SLH403" s="148"/>
      <c r="SLI403" s="148"/>
      <c r="SLJ403" s="148"/>
      <c r="SLK403" s="148"/>
      <c r="SLL403" s="148"/>
      <c r="SLM403" s="148"/>
      <c r="SLN403" s="148"/>
      <c r="SLO403" s="148"/>
      <c r="SLP403" s="148"/>
      <c r="SLQ403" s="148"/>
      <c r="SLR403" s="148"/>
      <c r="SLS403" s="148"/>
      <c r="SLT403" s="148"/>
      <c r="SLU403" s="148"/>
      <c r="SLV403" s="148"/>
      <c r="SLW403" s="148"/>
      <c r="SLX403" s="148"/>
      <c r="SLY403" s="148"/>
      <c r="SLZ403" s="148"/>
      <c r="SMA403" s="148"/>
      <c r="SMB403" s="148"/>
      <c r="SMC403" s="148"/>
      <c r="SMD403" s="148"/>
      <c r="SME403" s="148"/>
      <c r="SMF403" s="148"/>
      <c r="SMG403" s="148"/>
      <c r="SMH403" s="148"/>
      <c r="SMI403" s="148"/>
      <c r="SMJ403" s="148"/>
      <c r="SMK403" s="148"/>
      <c r="SML403" s="148"/>
      <c r="SMM403" s="148"/>
      <c r="SMN403" s="148"/>
      <c r="SMO403" s="148"/>
      <c r="SMP403" s="148"/>
      <c r="SMQ403" s="148"/>
      <c r="SMR403" s="148"/>
      <c r="SMS403" s="148"/>
      <c r="SMT403" s="148"/>
      <c r="SMU403" s="148"/>
      <c r="SMV403" s="148"/>
      <c r="SMW403" s="148"/>
      <c r="SMX403" s="148"/>
      <c r="SMY403" s="148"/>
      <c r="SMZ403" s="148"/>
      <c r="SNA403" s="148"/>
      <c r="SNB403" s="148"/>
      <c r="SNC403" s="148"/>
      <c r="SND403" s="148"/>
      <c r="SNE403" s="148"/>
      <c r="SNF403" s="148"/>
      <c r="SNG403" s="148"/>
      <c r="SNH403" s="148"/>
      <c r="SNI403" s="148"/>
      <c r="SNJ403" s="148"/>
      <c r="SNK403" s="148"/>
      <c r="SNL403" s="148"/>
      <c r="SNM403" s="148"/>
      <c r="SNN403" s="148"/>
      <c r="SNO403" s="148"/>
      <c r="SNP403" s="148"/>
      <c r="SNQ403" s="148"/>
      <c r="SNR403" s="148"/>
      <c r="SNS403" s="148"/>
      <c r="SNT403" s="148"/>
      <c r="SNU403" s="148"/>
      <c r="SNV403" s="148"/>
      <c r="SNW403" s="148"/>
      <c r="SNX403" s="148"/>
      <c r="SNY403" s="148"/>
      <c r="SNZ403" s="148"/>
      <c r="SOA403" s="148"/>
      <c r="SOB403" s="148"/>
      <c r="SOC403" s="148"/>
      <c r="SOD403" s="148"/>
      <c r="SOE403" s="148"/>
      <c r="SOF403" s="148"/>
      <c r="SOG403" s="148"/>
      <c r="SOH403" s="148"/>
      <c r="SOI403" s="148"/>
      <c r="SOJ403" s="148"/>
      <c r="SOK403" s="148"/>
      <c r="SOL403" s="148"/>
      <c r="SOM403" s="148"/>
      <c r="SON403" s="148"/>
      <c r="SOO403" s="148"/>
      <c r="SOP403" s="148"/>
      <c r="SOQ403" s="148"/>
      <c r="SOR403" s="148"/>
      <c r="SOS403" s="148"/>
      <c r="SOT403" s="148"/>
      <c r="SOU403" s="148"/>
      <c r="SOV403" s="148"/>
      <c r="SOW403" s="148"/>
      <c r="SOX403" s="148"/>
      <c r="SOY403" s="148"/>
      <c r="SOZ403" s="148"/>
      <c r="SPA403" s="148"/>
      <c r="SPB403" s="148"/>
      <c r="SPC403" s="148"/>
      <c r="SPD403" s="148"/>
      <c r="SPE403" s="148"/>
      <c r="SPF403" s="148"/>
      <c r="SPG403" s="148"/>
      <c r="SPH403" s="148"/>
      <c r="SPI403" s="148"/>
      <c r="SPJ403" s="148"/>
      <c r="SPK403" s="148"/>
      <c r="SPL403" s="148"/>
      <c r="SPM403" s="148"/>
      <c r="SPN403" s="148"/>
      <c r="SPO403" s="148"/>
      <c r="SPP403" s="148"/>
      <c r="SPQ403" s="148"/>
      <c r="SPR403" s="148"/>
      <c r="SPS403" s="148"/>
      <c r="SPT403" s="148"/>
      <c r="SPU403" s="148"/>
      <c r="SPV403" s="148"/>
      <c r="SPW403" s="148"/>
      <c r="SPX403" s="148"/>
      <c r="SPY403" s="148"/>
      <c r="SPZ403" s="148"/>
      <c r="SQA403" s="148"/>
      <c r="SQB403" s="148"/>
      <c r="SQC403" s="148"/>
      <c r="SQD403" s="148"/>
      <c r="SQE403" s="148"/>
      <c r="SQF403" s="148"/>
      <c r="SQG403" s="148"/>
      <c r="SQH403" s="148"/>
      <c r="SQI403" s="148"/>
      <c r="SQJ403" s="148"/>
      <c r="SQK403" s="148"/>
      <c r="SQL403" s="148"/>
      <c r="SQM403" s="148"/>
      <c r="SQN403" s="148"/>
      <c r="SQO403" s="148"/>
      <c r="SQP403" s="148"/>
      <c r="SQQ403" s="148"/>
      <c r="SQR403" s="148"/>
      <c r="SQS403" s="148"/>
      <c r="SQT403" s="148"/>
      <c r="SQU403" s="148"/>
      <c r="SQV403" s="148"/>
      <c r="SQW403" s="148"/>
      <c r="SQX403" s="148"/>
      <c r="SQY403" s="148"/>
      <c r="SQZ403" s="148"/>
      <c r="SRA403" s="148"/>
      <c r="SRB403" s="148"/>
      <c r="SRC403" s="148"/>
      <c r="SRD403" s="148"/>
      <c r="SRE403" s="148"/>
      <c r="SRF403" s="148"/>
      <c r="SRG403" s="148"/>
      <c r="SRH403" s="148"/>
      <c r="SRI403" s="148"/>
      <c r="SRJ403" s="148"/>
      <c r="SRK403" s="148"/>
      <c r="SRL403" s="148"/>
      <c r="SRM403" s="148"/>
      <c r="SRN403" s="148"/>
      <c r="SRO403" s="148"/>
      <c r="SRP403" s="148"/>
      <c r="SRQ403" s="148"/>
      <c r="SRR403" s="148"/>
      <c r="SRS403" s="148"/>
      <c r="SRT403" s="148"/>
      <c r="SRU403" s="148"/>
      <c r="SRV403" s="148"/>
      <c r="SRW403" s="148"/>
      <c r="SRX403" s="148"/>
      <c r="SRY403" s="148"/>
      <c r="SRZ403" s="148"/>
      <c r="SSA403" s="148"/>
      <c r="SSB403" s="148"/>
      <c r="SSC403" s="148"/>
      <c r="SSD403" s="148"/>
      <c r="SSE403" s="148"/>
      <c r="SSF403" s="148"/>
      <c r="SSG403" s="148"/>
      <c r="SSH403" s="148"/>
      <c r="SSI403" s="148"/>
      <c r="SSJ403" s="148"/>
      <c r="SSK403" s="148"/>
      <c r="SSL403" s="148"/>
      <c r="SSM403" s="148"/>
      <c r="SSN403" s="148"/>
      <c r="SSO403" s="148"/>
      <c r="SSP403" s="148"/>
      <c r="SSQ403" s="148"/>
      <c r="SSR403" s="148"/>
      <c r="SSS403" s="148"/>
      <c r="SST403" s="148"/>
      <c r="SSU403" s="148"/>
      <c r="SSV403" s="148"/>
      <c r="SSW403" s="148"/>
      <c r="SSX403" s="148"/>
      <c r="SSY403" s="148"/>
      <c r="SSZ403" s="148"/>
      <c r="STA403" s="148"/>
      <c r="STB403" s="148"/>
      <c r="STC403" s="148"/>
      <c r="STD403" s="148"/>
      <c r="STE403" s="148"/>
      <c r="STF403" s="148"/>
      <c r="STG403" s="148"/>
      <c r="STH403" s="148"/>
      <c r="STI403" s="148"/>
      <c r="STJ403" s="148"/>
      <c r="STK403" s="148"/>
      <c r="STL403" s="148"/>
      <c r="STM403" s="148"/>
      <c r="STN403" s="148"/>
      <c r="STO403" s="148"/>
      <c r="STP403" s="148"/>
      <c r="STQ403" s="148"/>
      <c r="STR403" s="148"/>
      <c r="STS403" s="148"/>
      <c r="STT403" s="148"/>
      <c r="STU403" s="148"/>
      <c r="STV403" s="148"/>
      <c r="STW403" s="148"/>
      <c r="STX403" s="148"/>
      <c r="STY403" s="148"/>
      <c r="STZ403" s="148"/>
      <c r="SUA403" s="148"/>
      <c r="SUB403" s="148"/>
      <c r="SUC403" s="148"/>
      <c r="SUD403" s="148"/>
      <c r="SUE403" s="148"/>
      <c r="SUF403" s="148"/>
      <c r="SUG403" s="148"/>
      <c r="SUH403" s="148"/>
      <c r="SUI403" s="148"/>
      <c r="SUJ403" s="148"/>
      <c r="SUK403" s="148"/>
      <c r="SUL403" s="148"/>
      <c r="SUM403" s="148"/>
      <c r="SUN403" s="148"/>
      <c r="SUO403" s="148"/>
      <c r="SUP403" s="148"/>
      <c r="SUQ403" s="148"/>
      <c r="SUR403" s="148"/>
      <c r="SUS403" s="148"/>
      <c r="SUT403" s="148"/>
      <c r="SUU403" s="148"/>
      <c r="SUV403" s="148"/>
      <c r="SUW403" s="148"/>
      <c r="SUX403" s="148"/>
      <c r="SUY403" s="148"/>
      <c r="SUZ403" s="148"/>
      <c r="SVA403" s="148"/>
      <c r="SVB403" s="148"/>
      <c r="SVC403" s="148"/>
      <c r="SVD403" s="148"/>
      <c r="SVE403" s="148"/>
      <c r="SVF403" s="148"/>
      <c r="SVG403" s="148"/>
      <c r="SVH403" s="148"/>
      <c r="SVI403" s="148"/>
      <c r="SVJ403" s="148"/>
      <c r="SVK403" s="148"/>
      <c r="SVL403" s="148"/>
      <c r="SVM403" s="148"/>
      <c r="SVN403" s="148"/>
      <c r="SVO403" s="148"/>
      <c r="SVP403" s="148"/>
      <c r="SVQ403" s="148"/>
      <c r="SVR403" s="148"/>
      <c r="SVS403" s="148"/>
      <c r="SVT403" s="148"/>
      <c r="SVU403" s="148"/>
      <c r="SVV403" s="148"/>
      <c r="SVW403" s="148"/>
      <c r="SVX403" s="148"/>
      <c r="SVY403" s="148"/>
      <c r="SVZ403" s="148"/>
      <c r="SWA403" s="148"/>
      <c r="SWB403" s="148"/>
      <c r="SWC403" s="148"/>
      <c r="SWD403" s="148"/>
      <c r="SWE403" s="148"/>
      <c r="SWF403" s="148"/>
      <c r="SWG403" s="148"/>
      <c r="SWH403" s="148"/>
      <c r="SWI403" s="148"/>
      <c r="SWJ403" s="148"/>
      <c r="SWK403" s="148"/>
      <c r="SWL403" s="148"/>
      <c r="SWM403" s="148"/>
      <c r="SWN403" s="148"/>
      <c r="SWO403" s="148"/>
      <c r="SWP403" s="148"/>
      <c r="SWQ403" s="148"/>
      <c r="SWR403" s="148"/>
      <c r="SWS403" s="148"/>
      <c r="SWT403" s="148"/>
      <c r="SWU403" s="148"/>
      <c r="SWV403" s="148"/>
      <c r="SWW403" s="148"/>
      <c r="SWX403" s="148"/>
      <c r="SWY403" s="148"/>
      <c r="SWZ403" s="148"/>
      <c r="SXA403" s="148"/>
      <c r="SXB403" s="148"/>
      <c r="SXC403" s="148"/>
      <c r="SXD403" s="148"/>
      <c r="SXE403" s="148"/>
      <c r="SXF403" s="148"/>
      <c r="SXG403" s="148"/>
      <c r="SXH403" s="148"/>
      <c r="SXI403" s="148"/>
      <c r="SXJ403" s="148"/>
      <c r="SXK403" s="148"/>
      <c r="SXL403" s="148"/>
      <c r="SXM403" s="148"/>
      <c r="SXN403" s="148"/>
      <c r="SXO403" s="148"/>
      <c r="SXP403" s="148"/>
      <c r="SXQ403" s="148"/>
      <c r="SXR403" s="148"/>
      <c r="SXS403" s="148"/>
      <c r="SXT403" s="148"/>
      <c r="SXU403" s="148"/>
      <c r="SXV403" s="148"/>
      <c r="SXW403" s="148"/>
      <c r="SXX403" s="148"/>
      <c r="SXY403" s="148"/>
      <c r="SXZ403" s="148"/>
      <c r="SYA403" s="148"/>
      <c r="SYB403" s="148"/>
      <c r="SYC403" s="148"/>
      <c r="SYD403" s="148"/>
      <c r="SYE403" s="148"/>
      <c r="SYF403" s="148"/>
      <c r="SYG403" s="148"/>
      <c r="SYH403" s="148"/>
      <c r="SYI403" s="148"/>
      <c r="SYJ403" s="148"/>
      <c r="SYK403" s="148"/>
      <c r="SYL403" s="148"/>
      <c r="SYM403" s="148"/>
      <c r="SYN403" s="148"/>
      <c r="SYO403" s="148"/>
      <c r="SYP403" s="148"/>
      <c r="SYQ403" s="148"/>
      <c r="SYR403" s="148"/>
      <c r="SYS403" s="148"/>
      <c r="SYT403" s="148"/>
      <c r="SYU403" s="148"/>
      <c r="SYV403" s="148"/>
      <c r="SYW403" s="148"/>
      <c r="SYX403" s="148"/>
      <c r="SYY403" s="148"/>
      <c r="SYZ403" s="148"/>
      <c r="SZA403" s="148"/>
      <c r="SZB403" s="148"/>
      <c r="SZC403" s="148"/>
      <c r="SZD403" s="148"/>
      <c r="SZE403" s="148"/>
      <c r="SZF403" s="148"/>
      <c r="SZG403" s="148"/>
      <c r="SZH403" s="148"/>
      <c r="SZI403" s="148"/>
      <c r="SZJ403" s="148"/>
      <c r="SZK403" s="148"/>
      <c r="SZL403" s="148"/>
      <c r="SZM403" s="148"/>
      <c r="SZN403" s="148"/>
      <c r="SZO403" s="148"/>
      <c r="SZP403" s="148"/>
      <c r="SZQ403" s="148"/>
      <c r="SZR403" s="148"/>
      <c r="SZS403" s="148"/>
      <c r="SZT403" s="148"/>
      <c r="SZU403" s="148"/>
      <c r="SZV403" s="148"/>
      <c r="SZW403" s="148"/>
      <c r="SZX403" s="148"/>
      <c r="SZY403" s="148"/>
      <c r="SZZ403" s="148"/>
      <c r="TAA403" s="148"/>
      <c r="TAB403" s="148"/>
      <c r="TAC403" s="148"/>
      <c r="TAD403" s="148"/>
      <c r="TAE403" s="148"/>
      <c r="TAF403" s="148"/>
      <c r="TAG403" s="148"/>
      <c r="TAH403" s="148"/>
      <c r="TAI403" s="148"/>
      <c r="TAJ403" s="148"/>
      <c r="TAK403" s="148"/>
      <c r="TAL403" s="148"/>
      <c r="TAM403" s="148"/>
      <c r="TAN403" s="148"/>
      <c r="TAO403" s="148"/>
      <c r="TAP403" s="148"/>
      <c r="TAQ403" s="148"/>
      <c r="TAR403" s="148"/>
      <c r="TAS403" s="148"/>
      <c r="TAT403" s="148"/>
      <c r="TAU403" s="148"/>
      <c r="TAV403" s="148"/>
      <c r="TAW403" s="148"/>
      <c r="TAX403" s="148"/>
      <c r="TAY403" s="148"/>
      <c r="TAZ403" s="148"/>
      <c r="TBA403" s="148"/>
      <c r="TBB403" s="148"/>
      <c r="TBC403" s="148"/>
      <c r="TBD403" s="148"/>
      <c r="TBE403" s="148"/>
      <c r="TBF403" s="148"/>
      <c r="TBG403" s="148"/>
      <c r="TBH403" s="148"/>
      <c r="TBI403" s="148"/>
      <c r="TBJ403" s="148"/>
      <c r="TBK403" s="148"/>
      <c r="TBL403" s="148"/>
      <c r="TBM403" s="148"/>
      <c r="TBN403" s="148"/>
      <c r="TBO403" s="148"/>
      <c r="TBP403" s="148"/>
      <c r="TBQ403" s="148"/>
      <c r="TBR403" s="148"/>
      <c r="TBS403" s="148"/>
      <c r="TBT403" s="148"/>
      <c r="TBU403" s="148"/>
      <c r="TBV403" s="148"/>
      <c r="TBW403" s="148"/>
      <c r="TBX403" s="148"/>
      <c r="TBY403" s="148"/>
      <c r="TBZ403" s="148"/>
      <c r="TCA403" s="148"/>
      <c r="TCB403" s="148"/>
      <c r="TCC403" s="148"/>
      <c r="TCD403" s="148"/>
      <c r="TCE403" s="148"/>
      <c r="TCF403" s="148"/>
      <c r="TCG403" s="148"/>
      <c r="TCH403" s="148"/>
      <c r="TCI403" s="148"/>
      <c r="TCJ403" s="148"/>
      <c r="TCK403" s="148"/>
      <c r="TCL403" s="148"/>
      <c r="TCM403" s="148"/>
      <c r="TCN403" s="148"/>
      <c r="TCO403" s="148"/>
      <c r="TCP403" s="148"/>
      <c r="TCQ403" s="148"/>
      <c r="TCR403" s="148"/>
      <c r="TCS403" s="148"/>
      <c r="TCT403" s="148"/>
      <c r="TCU403" s="148"/>
      <c r="TCV403" s="148"/>
      <c r="TCW403" s="148"/>
      <c r="TCX403" s="148"/>
      <c r="TCY403" s="148"/>
      <c r="TCZ403" s="148"/>
      <c r="TDA403" s="148"/>
      <c r="TDB403" s="148"/>
      <c r="TDC403" s="148"/>
      <c r="TDD403" s="148"/>
      <c r="TDE403" s="148"/>
      <c r="TDF403" s="148"/>
      <c r="TDG403" s="148"/>
      <c r="TDH403" s="148"/>
      <c r="TDI403" s="148"/>
      <c r="TDJ403" s="148"/>
      <c r="TDK403" s="148"/>
      <c r="TDL403" s="148"/>
      <c r="TDM403" s="148"/>
      <c r="TDN403" s="148"/>
      <c r="TDO403" s="148"/>
      <c r="TDP403" s="148"/>
      <c r="TDQ403" s="148"/>
      <c r="TDR403" s="148"/>
      <c r="TDS403" s="148"/>
      <c r="TDT403" s="148"/>
      <c r="TDU403" s="148"/>
      <c r="TDV403" s="148"/>
      <c r="TDW403" s="148"/>
      <c r="TDX403" s="148"/>
      <c r="TDY403" s="148"/>
      <c r="TDZ403" s="148"/>
      <c r="TEA403" s="148"/>
      <c r="TEB403" s="148"/>
      <c r="TEC403" s="148"/>
      <c r="TED403" s="148"/>
      <c r="TEE403" s="148"/>
      <c r="TEF403" s="148"/>
      <c r="TEG403" s="148"/>
      <c r="TEH403" s="148"/>
      <c r="TEI403" s="148"/>
      <c r="TEJ403" s="148"/>
      <c r="TEK403" s="148"/>
      <c r="TEL403" s="148"/>
      <c r="TEM403" s="148"/>
      <c r="TEN403" s="148"/>
      <c r="TEO403" s="148"/>
      <c r="TEP403" s="148"/>
      <c r="TEQ403" s="148"/>
      <c r="TER403" s="148"/>
      <c r="TES403" s="148"/>
      <c r="TET403" s="148"/>
      <c r="TEU403" s="148"/>
      <c r="TEV403" s="148"/>
      <c r="TEW403" s="148"/>
      <c r="TEX403" s="148"/>
      <c r="TEY403" s="148"/>
      <c r="TEZ403" s="148"/>
      <c r="TFA403" s="148"/>
      <c r="TFB403" s="148"/>
      <c r="TFC403" s="148"/>
      <c r="TFD403" s="148"/>
      <c r="TFE403" s="148"/>
      <c r="TFF403" s="148"/>
      <c r="TFG403" s="148"/>
      <c r="TFH403" s="148"/>
      <c r="TFI403" s="148"/>
      <c r="TFJ403" s="148"/>
      <c r="TFK403" s="148"/>
      <c r="TFL403" s="148"/>
      <c r="TFM403" s="148"/>
      <c r="TFN403" s="148"/>
      <c r="TFO403" s="148"/>
      <c r="TFP403" s="148"/>
      <c r="TFQ403" s="148"/>
      <c r="TFR403" s="148"/>
      <c r="TFS403" s="148"/>
      <c r="TFT403" s="148"/>
      <c r="TFU403" s="148"/>
      <c r="TFV403" s="148"/>
      <c r="TFW403" s="148"/>
      <c r="TFX403" s="148"/>
      <c r="TFY403" s="148"/>
      <c r="TFZ403" s="148"/>
      <c r="TGA403" s="148"/>
      <c r="TGB403" s="148"/>
      <c r="TGC403" s="148"/>
      <c r="TGD403" s="148"/>
      <c r="TGE403" s="148"/>
      <c r="TGF403" s="148"/>
      <c r="TGG403" s="148"/>
      <c r="TGH403" s="148"/>
      <c r="TGI403" s="148"/>
      <c r="TGJ403" s="148"/>
      <c r="TGK403" s="148"/>
      <c r="TGL403" s="148"/>
      <c r="TGM403" s="148"/>
      <c r="TGN403" s="148"/>
      <c r="TGO403" s="148"/>
      <c r="TGP403" s="148"/>
      <c r="TGQ403" s="148"/>
      <c r="TGR403" s="148"/>
      <c r="TGS403" s="148"/>
      <c r="TGT403" s="148"/>
      <c r="TGU403" s="148"/>
      <c r="TGV403" s="148"/>
      <c r="TGW403" s="148"/>
      <c r="TGX403" s="148"/>
      <c r="TGY403" s="148"/>
      <c r="TGZ403" s="148"/>
      <c r="THA403" s="148"/>
      <c r="THB403" s="148"/>
      <c r="THC403" s="148"/>
      <c r="THD403" s="148"/>
      <c r="THE403" s="148"/>
      <c r="THF403" s="148"/>
      <c r="THG403" s="148"/>
      <c r="THH403" s="148"/>
      <c r="THI403" s="148"/>
      <c r="THJ403" s="148"/>
      <c r="THK403" s="148"/>
      <c r="THL403" s="148"/>
      <c r="THM403" s="148"/>
      <c r="THN403" s="148"/>
      <c r="THO403" s="148"/>
      <c r="THP403" s="148"/>
      <c r="THQ403" s="148"/>
      <c r="THR403" s="148"/>
      <c r="THS403" s="148"/>
      <c r="THT403" s="148"/>
      <c r="THU403" s="148"/>
      <c r="THV403" s="148"/>
      <c r="THW403" s="148"/>
      <c r="THX403" s="148"/>
      <c r="THY403" s="148"/>
      <c r="THZ403" s="148"/>
      <c r="TIA403" s="148"/>
      <c r="TIB403" s="148"/>
      <c r="TIC403" s="148"/>
      <c r="TID403" s="148"/>
      <c r="TIE403" s="148"/>
      <c r="TIF403" s="148"/>
      <c r="TIG403" s="148"/>
      <c r="TIH403" s="148"/>
      <c r="TII403" s="148"/>
      <c r="TIJ403" s="148"/>
      <c r="TIK403" s="148"/>
      <c r="TIL403" s="148"/>
      <c r="TIM403" s="148"/>
      <c r="TIN403" s="148"/>
      <c r="TIO403" s="148"/>
      <c r="TIP403" s="148"/>
      <c r="TIQ403" s="148"/>
      <c r="TIR403" s="148"/>
      <c r="TIS403" s="148"/>
      <c r="TIT403" s="148"/>
      <c r="TIU403" s="148"/>
      <c r="TIV403" s="148"/>
      <c r="TIW403" s="148"/>
      <c r="TIX403" s="148"/>
      <c r="TIY403" s="148"/>
      <c r="TIZ403" s="148"/>
      <c r="TJA403" s="148"/>
      <c r="TJB403" s="148"/>
      <c r="TJC403" s="148"/>
      <c r="TJD403" s="148"/>
      <c r="TJE403" s="148"/>
      <c r="TJF403" s="148"/>
      <c r="TJG403" s="148"/>
      <c r="TJH403" s="148"/>
      <c r="TJI403" s="148"/>
      <c r="TJJ403" s="148"/>
      <c r="TJK403" s="148"/>
      <c r="TJL403" s="148"/>
      <c r="TJM403" s="148"/>
      <c r="TJN403" s="148"/>
      <c r="TJO403" s="148"/>
      <c r="TJP403" s="148"/>
      <c r="TJQ403" s="148"/>
      <c r="TJR403" s="148"/>
      <c r="TJS403" s="148"/>
      <c r="TJT403" s="148"/>
      <c r="TJU403" s="148"/>
      <c r="TJV403" s="148"/>
      <c r="TJW403" s="148"/>
      <c r="TJX403" s="148"/>
      <c r="TJY403" s="148"/>
      <c r="TJZ403" s="148"/>
      <c r="TKA403" s="148"/>
      <c r="TKB403" s="148"/>
      <c r="TKC403" s="148"/>
      <c r="TKD403" s="148"/>
      <c r="TKE403" s="148"/>
      <c r="TKF403" s="148"/>
      <c r="TKG403" s="148"/>
      <c r="TKH403" s="148"/>
      <c r="TKI403" s="148"/>
      <c r="TKJ403" s="148"/>
      <c r="TKK403" s="148"/>
      <c r="TKL403" s="148"/>
      <c r="TKM403" s="148"/>
      <c r="TKN403" s="148"/>
      <c r="TKO403" s="148"/>
      <c r="TKP403" s="148"/>
      <c r="TKQ403" s="148"/>
      <c r="TKR403" s="148"/>
      <c r="TKS403" s="148"/>
      <c r="TKT403" s="148"/>
      <c r="TKU403" s="148"/>
      <c r="TKV403" s="148"/>
      <c r="TKW403" s="148"/>
      <c r="TKX403" s="148"/>
      <c r="TKY403" s="148"/>
      <c r="TKZ403" s="148"/>
      <c r="TLA403" s="148"/>
      <c r="TLB403" s="148"/>
      <c r="TLC403" s="148"/>
      <c r="TLD403" s="148"/>
      <c r="TLE403" s="148"/>
      <c r="TLF403" s="148"/>
      <c r="TLG403" s="148"/>
      <c r="TLH403" s="148"/>
      <c r="TLI403" s="148"/>
      <c r="TLJ403" s="148"/>
      <c r="TLK403" s="148"/>
      <c r="TLL403" s="148"/>
      <c r="TLM403" s="148"/>
      <c r="TLN403" s="148"/>
      <c r="TLO403" s="148"/>
      <c r="TLP403" s="148"/>
      <c r="TLQ403" s="148"/>
      <c r="TLR403" s="148"/>
      <c r="TLS403" s="148"/>
      <c r="TLT403" s="148"/>
      <c r="TLU403" s="148"/>
      <c r="TLV403" s="148"/>
      <c r="TLW403" s="148"/>
      <c r="TLX403" s="148"/>
      <c r="TLY403" s="148"/>
      <c r="TLZ403" s="148"/>
      <c r="TMA403" s="148"/>
      <c r="TMB403" s="148"/>
      <c r="TMC403" s="148"/>
      <c r="TMD403" s="148"/>
      <c r="TME403" s="148"/>
      <c r="TMF403" s="148"/>
      <c r="TMG403" s="148"/>
      <c r="TMH403" s="148"/>
      <c r="TMI403" s="148"/>
      <c r="TMJ403" s="148"/>
      <c r="TMK403" s="148"/>
      <c r="TML403" s="148"/>
      <c r="TMM403" s="148"/>
      <c r="TMN403" s="148"/>
      <c r="TMO403" s="148"/>
      <c r="TMP403" s="148"/>
      <c r="TMQ403" s="148"/>
      <c r="TMR403" s="148"/>
      <c r="TMS403" s="148"/>
      <c r="TMT403" s="148"/>
      <c r="TMU403" s="148"/>
      <c r="TMV403" s="148"/>
      <c r="TMW403" s="148"/>
      <c r="TMX403" s="148"/>
      <c r="TMY403" s="148"/>
      <c r="TMZ403" s="148"/>
      <c r="TNA403" s="148"/>
      <c r="TNB403" s="148"/>
      <c r="TNC403" s="148"/>
      <c r="TND403" s="148"/>
      <c r="TNE403" s="148"/>
      <c r="TNF403" s="148"/>
      <c r="TNG403" s="148"/>
      <c r="TNH403" s="148"/>
      <c r="TNI403" s="148"/>
      <c r="TNJ403" s="148"/>
      <c r="TNK403" s="148"/>
      <c r="TNL403" s="148"/>
      <c r="TNM403" s="148"/>
      <c r="TNN403" s="148"/>
      <c r="TNO403" s="148"/>
      <c r="TNP403" s="148"/>
      <c r="TNQ403" s="148"/>
      <c r="TNR403" s="148"/>
      <c r="TNS403" s="148"/>
      <c r="TNT403" s="148"/>
      <c r="TNU403" s="148"/>
      <c r="TNV403" s="148"/>
      <c r="TNW403" s="148"/>
      <c r="TNX403" s="148"/>
      <c r="TNY403" s="148"/>
      <c r="TNZ403" s="148"/>
      <c r="TOA403" s="148"/>
      <c r="TOB403" s="148"/>
      <c r="TOC403" s="148"/>
      <c r="TOD403" s="148"/>
      <c r="TOE403" s="148"/>
      <c r="TOF403" s="148"/>
      <c r="TOG403" s="148"/>
      <c r="TOH403" s="148"/>
      <c r="TOI403" s="148"/>
      <c r="TOJ403" s="148"/>
      <c r="TOK403" s="148"/>
      <c r="TOL403" s="148"/>
      <c r="TOM403" s="148"/>
      <c r="TON403" s="148"/>
      <c r="TOO403" s="148"/>
      <c r="TOP403" s="148"/>
      <c r="TOQ403" s="148"/>
      <c r="TOR403" s="148"/>
      <c r="TOS403" s="148"/>
      <c r="TOT403" s="148"/>
      <c r="TOU403" s="148"/>
      <c r="TOV403" s="148"/>
      <c r="TOW403" s="148"/>
      <c r="TOX403" s="148"/>
      <c r="TOY403" s="148"/>
      <c r="TOZ403" s="148"/>
      <c r="TPA403" s="148"/>
      <c r="TPB403" s="148"/>
      <c r="TPC403" s="148"/>
      <c r="TPD403" s="148"/>
      <c r="TPE403" s="148"/>
      <c r="TPF403" s="148"/>
      <c r="TPG403" s="148"/>
      <c r="TPH403" s="148"/>
      <c r="TPI403" s="148"/>
      <c r="TPJ403" s="148"/>
      <c r="TPK403" s="148"/>
      <c r="TPL403" s="148"/>
      <c r="TPM403" s="148"/>
      <c r="TPN403" s="148"/>
      <c r="TPO403" s="148"/>
      <c r="TPP403" s="148"/>
      <c r="TPQ403" s="148"/>
      <c r="TPR403" s="148"/>
      <c r="TPS403" s="148"/>
      <c r="TPT403" s="148"/>
      <c r="TPU403" s="148"/>
      <c r="TPV403" s="148"/>
      <c r="TPW403" s="148"/>
      <c r="TPX403" s="148"/>
      <c r="TPY403" s="148"/>
      <c r="TPZ403" s="148"/>
      <c r="TQA403" s="148"/>
      <c r="TQB403" s="148"/>
      <c r="TQC403" s="148"/>
      <c r="TQD403" s="148"/>
      <c r="TQE403" s="148"/>
      <c r="TQF403" s="148"/>
      <c r="TQG403" s="148"/>
      <c r="TQH403" s="148"/>
      <c r="TQI403" s="148"/>
      <c r="TQJ403" s="148"/>
      <c r="TQK403" s="148"/>
      <c r="TQL403" s="148"/>
      <c r="TQM403" s="148"/>
      <c r="TQN403" s="148"/>
      <c r="TQO403" s="148"/>
      <c r="TQP403" s="148"/>
      <c r="TQQ403" s="148"/>
      <c r="TQR403" s="148"/>
      <c r="TQS403" s="148"/>
      <c r="TQT403" s="148"/>
      <c r="TQU403" s="148"/>
      <c r="TQV403" s="148"/>
      <c r="TQW403" s="148"/>
      <c r="TQX403" s="148"/>
      <c r="TQY403" s="148"/>
      <c r="TQZ403" s="148"/>
      <c r="TRA403" s="148"/>
      <c r="TRB403" s="148"/>
      <c r="TRC403" s="148"/>
      <c r="TRD403" s="148"/>
      <c r="TRE403" s="148"/>
      <c r="TRF403" s="148"/>
      <c r="TRG403" s="148"/>
      <c r="TRH403" s="148"/>
      <c r="TRI403" s="148"/>
      <c r="TRJ403" s="148"/>
      <c r="TRK403" s="148"/>
      <c r="TRL403" s="148"/>
      <c r="TRM403" s="148"/>
      <c r="TRN403" s="148"/>
      <c r="TRO403" s="148"/>
      <c r="TRP403" s="148"/>
      <c r="TRQ403" s="148"/>
      <c r="TRR403" s="148"/>
      <c r="TRS403" s="148"/>
      <c r="TRT403" s="148"/>
      <c r="TRU403" s="148"/>
      <c r="TRV403" s="148"/>
      <c r="TRW403" s="148"/>
      <c r="TRX403" s="148"/>
      <c r="TRY403" s="148"/>
      <c r="TRZ403" s="148"/>
      <c r="TSA403" s="148"/>
      <c r="TSB403" s="148"/>
      <c r="TSC403" s="148"/>
      <c r="TSD403" s="148"/>
      <c r="TSE403" s="148"/>
      <c r="TSF403" s="148"/>
      <c r="TSG403" s="148"/>
      <c r="TSH403" s="148"/>
      <c r="TSI403" s="148"/>
      <c r="TSJ403" s="148"/>
      <c r="TSK403" s="148"/>
      <c r="TSL403" s="148"/>
      <c r="TSM403" s="148"/>
      <c r="TSN403" s="148"/>
      <c r="TSO403" s="148"/>
      <c r="TSP403" s="148"/>
      <c r="TSQ403" s="148"/>
      <c r="TSR403" s="148"/>
      <c r="TSS403" s="148"/>
      <c r="TST403" s="148"/>
      <c r="TSU403" s="148"/>
      <c r="TSV403" s="148"/>
      <c r="TSW403" s="148"/>
      <c r="TSX403" s="148"/>
      <c r="TSY403" s="148"/>
      <c r="TSZ403" s="148"/>
      <c r="TTA403" s="148"/>
      <c r="TTB403" s="148"/>
      <c r="TTC403" s="148"/>
      <c r="TTD403" s="148"/>
      <c r="TTE403" s="148"/>
      <c r="TTF403" s="148"/>
      <c r="TTG403" s="148"/>
      <c r="TTH403" s="148"/>
      <c r="TTI403" s="148"/>
      <c r="TTJ403" s="148"/>
      <c r="TTK403" s="148"/>
      <c r="TTL403" s="148"/>
      <c r="TTM403" s="148"/>
      <c r="TTN403" s="148"/>
      <c r="TTO403" s="148"/>
      <c r="TTP403" s="148"/>
      <c r="TTQ403" s="148"/>
      <c r="TTR403" s="148"/>
      <c r="TTS403" s="148"/>
      <c r="TTT403" s="148"/>
      <c r="TTU403" s="148"/>
      <c r="TTV403" s="148"/>
      <c r="TTW403" s="148"/>
      <c r="TTX403" s="148"/>
      <c r="TTY403" s="148"/>
      <c r="TTZ403" s="148"/>
      <c r="TUA403" s="148"/>
      <c r="TUB403" s="148"/>
      <c r="TUC403" s="148"/>
      <c r="TUD403" s="148"/>
      <c r="TUE403" s="148"/>
      <c r="TUF403" s="148"/>
      <c r="TUG403" s="148"/>
      <c r="TUH403" s="148"/>
      <c r="TUI403" s="148"/>
      <c r="TUJ403" s="148"/>
      <c r="TUK403" s="148"/>
      <c r="TUL403" s="148"/>
      <c r="TUM403" s="148"/>
      <c r="TUN403" s="148"/>
      <c r="TUO403" s="148"/>
      <c r="TUP403" s="148"/>
      <c r="TUQ403" s="148"/>
      <c r="TUR403" s="148"/>
      <c r="TUS403" s="148"/>
      <c r="TUT403" s="148"/>
      <c r="TUU403" s="148"/>
      <c r="TUV403" s="148"/>
      <c r="TUW403" s="148"/>
      <c r="TUX403" s="148"/>
      <c r="TUY403" s="148"/>
      <c r="TUZ403" s="148"/>
      <c r="TVA403" s="148"/>
      <c r="TVB403" s="148"/>
      <c r="TVC403" s="148"/>
      <c r="TVD403" s="148"/>
      <c r="TVE403" s="148"/>
      <c r="TVF403" s="148"/>
      <c r="TVG403" s="148"/>
      <c r="TVH403" s="148"/>
      <c r="TVI403" s="148"/>
      <c r="TVJ403" s="148"/>
      <c r="TVK403" s="148"/>
      <c r="TVL403" s="148"/>
      <c r="TVM403" s="148"/>
      <c r="TVN403" s="148"/>
      <c r="TVO403" s="148"/>
      <c r="TVP403" s="148"/>
      <c r="TVQ403" s="148"/>
      <c r="TVR403" s="148"/>
      <c r="TVS403" s="148"/>
      <c r="TVT403" s="148"/>
      <c r="TVU403" s="148"/>
      <c r="TVV403" s="148"/>
      <c r="TVW403" s="148"/>
      <c r="TVX403" s="148"/>
      <c r="TVY403" s="148"/>
      <c r="TVZ403" s="148"/>
      <c r="TWA403" s="148"/>
      <c r="TWB403" s="148"/>
      <c r="TWC403" s="148"/>
      <c r="TWD403" s="148"/>
      <c r="TWE403" s="148"/>
      <c r="TWF403" s="148"/>
      <c r="TWG403" s="148"/>
      <c r="TWH403" s="148"/>
      <c r="TWI403" s="148"/>
      <c r="TWJ403" s="148"/>
      <c r="TWK403" s="148"/>
      <c r="TWL403" s="148"/>
      <c r="TWM403" s="148"/>
      <c r="TWN403" s="148"/>
      <c r="TWO403" s="148"/>
      <c r="TWP403" s="148"/>
      <c r="TWQ403" s="148"/>
      <c r="TWR403" s="148"/>
      <c r="TWS403" s="148"/>
      <c r="TWT403" s="148"/>
      <c r="TWU403" s="148"/>
      <c r="TWV403" s="148"/>
      <c r="TWW403" s="148"/>
      <c r="TWX403" s="148"/>
      <c r="TWY403" s="148"/>
      <c r="TWZ403" s="148"/>
      <c r="TXA403" s="148"/>
      <c r="TXB403" s="148"/>
      <c r="TXC403" s="148"/>
      <c r="TXD403" s="148"/>
      <c r="TXE403" s="148"/>
      <c r="TXF403" s="148"/>
      <c r="TXG403" s="148"/>
      <c r="TXH403" s="148"/>
      <c r="TXI403" s="148"/>
      <c r="TXJ403" s="148"/>
      <c r="TXK403" s="148"/>
      <c r="TXL403" s="148"/>
      <c r="TXM403" s="148"/>
      <c r="TXN403" s="148"/>
      <c r="TXO403" s="148"/>
      <c r="TXP403" s="148"/>
      <c r="TXQ403" s="148"/>
      <c r="TXR403" s="148"/>
      <c r="TXS403" s="148"/>
      <c r="TXT403" s="148"/>
      <c r="TXU403" s="148"/>
      <c r="TXV403" s="148"/>
      <c r="TXW403" s="148"/>
      <c r="TXX403" s="148"/>
      <c r="TXY403" s="148"/>
      <c r="TXZ403" s="148"/>
      <c r="TYA403" s="148"/>
      <c r="TYB403" s="148"/>
      <c r="TYC403" s="148"/>
      <c r="TYD403" s="148"/>
      <c r="TYE403" s="148"/>
      <c r="TYF403" s="148"/>
      <c r="TYG403" s="148"/>
      <c r="TYH403" s="148"/>
      <c r="TYI403" s="148"/>
      <c r="TYJ403" s="148"/>
      <c r="TYK403" s="148"/>
      <c r="TYL403" s="148"/>
      <c r="TYM403" s="148"/>
      <c r="TYN403" s="148"/>
      <c r="TYO403" s="148"/>
      <c r="TYP403" s="148"/>
      <c r="TYQ403" s="148"/>
      <c r="TYR403" s="148"/>
      <c r="TYS403" s="148"/>
      <c r="TYT403" s="148"/>
      <c r="TYU403" s="148"/>
      <c r="TYV403" s="148"/>
      <c r="TYW403" s="148"/>
      <c r="TYX403" s="148"/>
      <c r="TYY403" s="148"/>
      <c r="TYZ403" s="148"/>
      <c r="TZA403" s="148"/>
      <c r="TZB403" s="148"/>
      <c r="TZC403" s="148"/>
      <c r="TZD403" s="148"/>
      <c r="TZE403" s="148"/>
      <c r="TZF403" s="148"/>
      <c r="TZG403" s="148"/>
      <c r="TZH403" s="148"/>
      <c r="TZI403" s="148"/>
      <c r="TZJ403" s="148"/>
      <c r="TZK403" s="148"/>
      <c r="TZL403" s="148"/>
      <c r="TZM403" s="148"/>
      <c r="TZN403" s="148"/>
      <c r="TZO403" s="148"/>
      <c r="TZP403" s="148"/>
      <c r="TZQ403" s="148"/>
      <c r="TZR403" s="148"/>
      <c r="TZS403" s="148"/>
      <c r="TZT403" s="148"/>
      <c r="TZU403" s="148"/>
      <c r="TZV403" s="148"/>
      <c r="TZW403" s="148"/>
      <c r="TZX403" s="148"/>
      <c r="TZY403" s="148"/>
      <c r="TZZ403" s="148"/>
      <c r="UAA403" s="148"/>
      <c r="UAB403" s="148"/>
      <c r="UAC403" s="148"/>
      <c r="UAD403" s="148"/>
      <c r="UAE403" s="148"/>
      <c r="UAF403" s="148"/>
      <c r="UAG403" s="148"/>
      <c r="UAH403" s="148"/>
      <c r="UAI403" s="148"/>
      <c r="UAJ403" s="148"/>
      <c r="UAK403" s="148"/>
      <c r="UAL403" s="148"/>
      <c r="UAM403" s="148"/>
      <c r="UAN403" s="148"/>
      <c r="UAO403" s="148"/>
      <c r="UAP403" s="148"/>
      <c r="UAQ403" s="148"/>
      <c r="UAR403" s="148"/>
      <c r="UAS403" s="148"/>
      <c r="UAT403" s="148"/>
      <c r="UAU403" s="148"/>
      <c r="UAV403" s="148"/>
      <c r="UAW403" s="148"/>
      <c r="UAX403" s="148"/>
      <c r="UAY403" s="148"/>
      <c r="UAZ403" s="148"/>
      <c r="UBA403" s="148"/>
      <c r="UBB403" s="148"/>
      <c r="UBC403" s="148"/>
      <c r="UBD403" s="148"/>
      <c r="UBE403" s="148"/>
      <c r="UBF403" s="148"/>
      <c r="UBG403" s="148"/>
      <c r="UBH403" s="148"/>
      <c r="UBI403" s="148"/>
      <c r="UBJ403" s="148"/>
      <c r="UBK403" s="148"/>
      <c r="UBL403" s="148"/>
      <c r="UBM403" s="148"/>
      <c r="UBN403" s="148"/>
      <c r="UBO403" s="148"/>
      <c r="UBP403" s="148"/>
      <c r="UBQ403" s="148"/>
      <c r="UBR403" s="148"/>
      <c r="UBS403" s="148"/>
      <c r="UBT403" s="148"/>
      <c r="UBU403" s="148"/>
      <c r="UBV403" s="148"/>
      <c r="UBW403" s="148"/>
      <c r="UBX403" s="148"/>
      <c r="UBY403" s="148"/>
      <c r="UBZ403" s="148"/>
      <c r="UCA403" s="148"/>
      <c r="UCB403" s="148"/>
      <c r="UCC403" s="148"/>
      <c r="UCD403" s="148"/>
      <c r="UCE403" s="148"/>
      <c r="UCF403" s="148"/>
      <c r="UCG403" s="148"/>
      <c r="UCH403" s="148"/>
      <c r="UCI403" s="148"/>
      <c r="UCJ403" s="148"/>
      <c r="UCK403" s="148"/>
      <c r="UCL403" s="148"/>
      <c r="UCM403" s="148"/>
      <c r="UCN403" s="148"/>
      <c r="UCO403" s="148"/>
      <c r="UCP403" s="148"/>
      <c r="UCQ403" s="148"/>
      <c r="UCR403" s="148"/>
      <c r="UCS403" s="148"/>
      <c r="UCT403" s="148"/>
      <c r="UCU403" s="148"/>
      <c r="UCV403" s="148"/>
      <c r="UCW403" s="148"/>
      <c r="UCX403" s="148"/>
      <c r="UCY403" s="148"/>
      <c r="UCZ403" s="148"/>
      <c r="UDA403" s="148"/>
      <c r="UDB403" s="148"/>
      <c r="UDC403" s="148"/>
      <c r="UDD403" s="148"/>
      <c r="UDE403" s="148"/>
      <c r="UDF403" s="148"/>
      <c r="UDG403" s="148"/>
      <c r="UDH403" s="148"/>
      <c r="UDI403" s="148"/>
      <c r="UDJ403" s="148"/>
      <c r="UDK403" s="148"/>
      <c r="UDL403" s="148"/>
      <c r="UDM403" s="148"/>
      <c r="UDN403" s="148"/>
      <c r="UDO403" s="148"/>
      <c r="UDP403" s="148"/>
      <c r="UDQ403" s="148"/>
      <c r="UDR403" s="148"/>
      <c r="UDS403" s="148"/>
      <c r="UDT403" s="148"/>
      <c r="UDU403" s="148"/>
      <c r="UDV403" s="148"/>
      <c r="UDW403" s="148"/>
      <c r="UDX403" s="148"/>
      <c r="UDY403" s="148"/>
      <c r="UDZ403" s="148"/>
      <c r="UEA403" s="148"/>
      <c r="UEB403" s="148"/>
      <c r="UEC403" s="148"/>
      <c r="UED403" s="148"/>
      <c r="UEE403" s="148"/>
      <c r="UEF403" s="148"/>
      <c r="UEG403" s="148"/>
      <c r="UEH403" s="148"/>
      <c r="UEI403" s="148"/>
      <c r="UEJ403" s="148"/>
      <c r="UEK403" s="148"/>
      <c r="UEL403" s="148"/>
      <c r="UEM403" s="148"/>
      <c r="UEN403" s="148"/>
      <c r="UEO403" s="148"/>
      <c r="UEP403" s="148"/>
      <c r="UEQ403" s="148"/>
      <c r="UER403" s="148"/>
      <c r="UES403" s="148"/>
      <c r="UET403" s="148"/>
      <c r="UEU403" s="148"/>
      <c r="UEV403" s="148"/>
      <c r="UEW403" s="148"/>
      <c r="UEX403" s="148"/>
      <c r="UEY403" s="148"/>
      <c r="UEZ403" s="148"/>
      <c r="UFA403" s="148"/>
      <c r="UFB403" s="148"/>
      <c r="UFC403" s="148"/>
      <c r="UFD403" s="148"/>
      <c r="UFE403" s="148"/>
      <c r="UFF403" s="148"/>
      <c r="UFG403" s="148"/>
      <c r="UFH403" s="148"/>
      <c r="UFI403" s="148"/>
      <c r="UFJ403" s="148"/>
      <c r="UFK403" s="148"/>
      <c r="UFL403" s="148"/>
      <c r="UFM403" s="148"/>
      <c r="UFN403" s="148"/>
      <c r="UFO403" s="148"/>
      <c r="UFP403" s="148"/>
      <c r="UFQ403" s="148"/>
      <c r="UFR403" s="148"/>
      <c r="UFS403" s="148"/>
      <c r="UFT403" s="148"/>
      <c r="UFU403" s="148"/>
      <c r="UFV403" s="148"/>
      <c r="UFW403" s="148"/>
      <c r="UFX403" s="148"/>
      <c r="UFY403" s="148"/>
      <c r="UFZ403" s="148"/>
      <c r="UGA403" s="148"/>
      <c r="UGB403" s="148"/>
      <c r="UGC403" s="148"/>
      <c r="UGD403" s="148"/>
      <c r="UGE403" s="148"/>
      <c r="UGF403" s="148"/>
      <c r="UGG403" s="148"/>
      <c r="UGH403" s="148"/>
      <c r="UGI403" s="148"/>
      <c r="UGJ403" s="148"/>
      <c r="UGK403" s="148"/>
      <c r="UGL403" s="148"/>
      <c r="UGM403" s="148"/>
      <c r="UGN403" s="148"/>
      <c r="UGO403" s="148"/>
      <c r="UGP403" s="148"/>
      <c r="UGQ403" s="148"/>
      <c r="UGR403" s="148"/>
      <c r="UGS403" s="148"/>
      <c r="UGT403" s="148"/>
      <c r="UGU403" s="148"/>
      <c r="UGV403" s="148"/>
      <c r="UGW403" s="148"/>
      <c r="UGX403" s="148"/>
      <c r="UGY403" s="148"/>
      <c r="UGZ403" s="148"/>
      <c r="UHA403" s="148"/>
      <c r="UHB403" s="148"/>
      <c r="UHC403" s="148"/>
      <c r="UHD403" s="148"/>
      <c r="UHE403" s="148"/>
      <c r="UHF403" s="148"/>
      <c r="UHG403" s="148"/>
      <c r="UHH403" s="148"/>
      <c r="UHI403" s="148"/>
      <c r="UHJ403" s="148"/>
      <c r="UHK403" s="148"/>
      <c r="UHL403" s="148"/>
      <c r="UHM403" s="148"/>
      <c r="UHN403" s="148"/>
      <c r="UHO403" s="148"/>
      <c r="UHP403" s="148"/>
      <c r="UHQ403" s="148"/>
      <c r="UHR403" s="148"/>
      <c r="UHS403" s="148"/>
      <c r="UHT403" s="148"/>
      <c r="UHU403" s="148"/>
      <c r="UHV403" s="148"/>
      <c r="UHW403" s="148"/>
      <c r="UHX403" s="148"/>
      <c r="UHY403" s="148"/>
      <c r="UHZ403" s="148"/>
      <c r="UIA403" s="148"/>
      <c r="UIB403" s="148"/>
      <c r="UIC403" s="148"/>
      <c r="UID403" s="148"/>
      <c r="UIE403" s="148"/>
      <c r="UIF403" s="148"/>
      <c r="UIG403" s="148"/>
      <c r="UIH403" s="148"/>
      <c r="UII403" s="148"/>
      <c r="UIJ403" s="148"/>
      <c r="UIK403" s="148"/>
      <c r="UIL403" s="148"/>
      <c r="UIM403" s="148"/>
      <c r="UIN403" s="148"/>
      <c r="UIO403" s="148"/>
      <c r="UIP403" s="148"/>
      <c r="UIQ403" s="148"/>
      <c r="UIR403" s="148"/>
      <c r="UIS403" s="148"/>
      <c r="UIT403" s="148"/>
      <c r="UIU403" s="148"/>
      <c r="UIV403" s="148"/>
      <c r="UIW403" s="148"/>
      <c r="UIX403" s="148"/>
      <c r="UIY403" s="148"/>
      <c r="UIZ403" s="148"/>
      <c r="UJA403" s="148"/>
      <c r="UJB403" s="148"/>
      <c r="UJC403" s="148"/>
      <c r="UJD403" s="148"/>
      <c r="UJE403" s="148"/>
      <c r="UJF403" s="148"/>
      <c r="UJG403" s="148"/>
      <c r="UJH403" s="148"/>
      <c r="UJI403" s="148"/>
      <c r="UJJ403" s="148"/>
      <c r="UJK403" s="148"/>
      <c r="UJL403" s="148"/>
      <c r="UJM403" s="148"/>
      <c r="UJN403" s="148"/>
      <c r="UJO403" s="148"/>
      <c r="UJP403" s="148"/>
      <c r="UJQ403" s="148"/>
      <c r="UJR403" s="148"/>
      <c r="UJS403" s="148"/>
      <c r="UJT403" s="148"/>
      <c r="UJU403" s="148"/>
      <c r="UJV403" s="148"/>
      <c r="UJW403" s="148"/>
      <c r="UJX403" s="148"/>
      <c r="UJY403" s="148"/>
      <c r="UJZ403" s="148"/>
      <c r="UKA403" s="148"/>
      <c r="UKB403" s="148"/>
      <c r="UKC403" s="148"/>
      <c r="UKD403" s="148"/>
      <c r="UKE403" s="148"/>
      <c r="UKF403" s="148"/>
      <c r="UKG403" s="148"/>
      <c r="UKH403" s="148"/>
      <c r="UKI403" s="148"/>
      <c r="UKJ403" s="148"/>
      <c r="UKK403" s="148"/>
      <c r="UKL403" s="148"/>
      <c r="UKM403" s="148"/>
      <c r="UKN403" s="148"/>
      <c r="UKO403" s="148"/>
      <c r="UKP403" s="148"/>
      <c r="UKQ403" s="148"/>
      <c r="UKR403" s="148"/>
      <c r="UKS403" s="148"/>
      <c r="UKT403" s="148"/>
      <c r="UKU403" s="148"/>
      <c r="UKV403" s="148"/>
      <c r="UKW403" s="148"/>
      <c r="UKX403" s="148"/>
      <c r="UKY403" s="148"/>
      <c r="UKZ403" s="148"/>
      <c r="ULA403" s="148"/>
      <c r="ULB403" s="148"/>
      <c r="ULC403" s="148"/>
      <c r="ULD403" s="148"/>
      <c r="ULE403" s="148"/>
      <c r="ULF403" s="148"/>
      <c r="ULG403" s="148"/>
      <c r="ULH403" s="148"/>
      <c r="ULI403" s="148"/>
      <c r="ULJ403" s="148"/>
      <c r="ULK403" s="148"/>
      <c r="ULL403" s="148"/>
      <c r="ULM403" s="148"/>
      <c r="ULN403" s="148"/>
      <c r="ULO403" s="148"/>
      <c r="ULP403" s="148"/>
      <c r="ULQ403" s="148"/>
      <c r="ULR403" s="148"/>
      <c r="ULS403" s="148"/>
      <c r="ULT403" s="148"/>
      <c r="ULU403" s="148"/>
      <c r="ULV403" s="148"/>
      <c r="ULW403" s="148"/>
      <c r="ULX403" s="148"/>
      <c r="ULY403" s="148"/>
      <c r="ULZ403" s="148"/>
      <c r="UMA403" s="148"/>
      <c r="UMB403" s="148"/>
      <c r="UMC403" s="148"/>
      <c r="UMD403" s="148"/>
      <c r="UME403" s="148"/>
      <c r="UMF403" s="148"/>
      <c r="UMG403" s="148"/>
      <c r="UMH403" s="148"/>
      <c r="UMI403" s="148"/>
      <c r="UMJ403" s="148"/>
      <c r="UMK403" s="148"/>
      <c r="UML403" s="148"/>
      <c r="UMM403" s="148"/>
      <c r="UMN403" s="148"/>
      <c r="UMO403" s="148"/>
      <c r="UMP403" s="148"/>
      <c r="UMQ403" s="148"/>
      <c r="UMR403" s="148"/>
      <c r="UMS403" s="148"/>
      <c r="UMT403" s="148"/>
      <c r="UMU403" s="148"/>
      <c r="UMV403" s="148"/>
      <c r="UMW403" s="148"/>
      <c r="UMX403" s="148"/>
      <c r="UMY403" s="148"/>
      <c r="UMZ403" s="148"/>
      <c r="UNA403" s="148"/>
      <c r="UNB403" s="148"/>
      <c r="UNC403" s="148"/>
      <c r="UND403" s="148"/>
      <c r="UNE403" s="148"/>
      <c r="UNF403" s="148"/>
      <c r="UNG403" s="148"/>
      <c r="UNH403" s="148"/>
      <c r="UNI403" s="148"/>
      <c r="UNJ403" s="148"/>
      <c r="UNK403" s="148"/>
      <c r="UNL403" s="148"/>
      <c r="UNM403" s="148"/>
      <c r="UNN403" s="148"/>
      <c r="UNO403" s="148"/>
      <c r="UNP403" s="148"/>
      <c r="UNQ403" s="148"/>
      <c r="UNR403" s="148"/>
      <c r="UNS403" s="148"/>
      <c r="UNT403" s="148"/>
      <c r="UNU403" s="148"/>
      <c r="UNV403" s="148"/>
      <c r="UNW403" s="148"/>
      <c r="UNX403" s="148"/>
      <c r="UNY403" s="148"/>
      <c r="UNZ403" s="148"/>
      <c r="UOA403" s="148"/>
      <c r="UOB403" s="148"/>
      <c r="UOC403" s="148"/>
      <c r="UOD403" s="148"/>
      <c r="UOE403" s="148"/>
      <c r="UOF403" s="148"/>
      <c r="UOG403" s="148"/>
      <c r="UOH403" s="148"/>
      <c r="UOI403" s="148"/>
      <c r="UOJ403" s="148"/>
      <c r="UOK403" s="148"/>
      <c r="UOL403" s="148"/>
      <c r="UOM403" s="148"/>
      <c r="UON403" s="148"/>
      <c r="UOO403" s="148"/>
      <c r="UOP403" s="148"/>
      <c r="UOQ403" s="148"/>
      <c r="UOR403" s="148"/>
      <c r="UOS403" s="148"/>
      <c r="UOT403" s="148"/>
      <c r="UOU403" s="148"/>
      <c r="UOV403" s="148"/>
      <c r="UOW403" s="148"/>
      <c r="UOX403" s="148"/>
      <c r="UOY403" s="148"/>
      <c r="UOZ403" s="148"/>
      <c r="UPA403" s="148"/>
      <c r="UPB403" s="148"/>
      <c r="UPC403" s="148"/>
      <c r="UPD403" s="148"/>
      <c r="UPE403" s="148"/>
      <c r="UPF403" s="148"/>
      <c r="UPG403" s="148"/>
      <c r="UPH403" s="148"/>
      <c r="UPI403" s="148"/>
      <c r="UPJ403" s="148"/>
      <c r="UPK403" s="148"/>
      <c r="UPL403" s="148"/>
      <c r="UPM403" s="148"/>
      <c r="UPN403" s="148"/>
      <c r="UPO403" s="148"/>
      <c r="UPP403" s="148"/>
      <c r="UPQ403" s="148"/>
      <c r="UPR403" s="148"/>
      <c r="UPS403" s="148"/>
      <c r="UPT403" s="148"/>
      <c r="UPU403" s="148"/>
      <c r="UPV403" s="148"/>
      <c r="UPW403" s="148"/>
      <c r="UPX403" s="148"/>
      <c r="UPY403" s="148"/>
      <c r="UPZ403" s="148"/>
      <c r="UQA403" s="148"/>
      <c r="UQB403" s="148"/>
      <c r="UQC403" s="148"/>
      <c r="UQD403" s="148"/>
      <c r="UQE403" s="148"/>
      <c r="UQF403" s="148"/>
      <c r="UQG403" s="148"/>
      <c r="UQH403" s="148"/>
      <c r="UQI403" s="148"/>
      <c r="UQJ403" s="148"/>
      <c r="UQK403" s="148"/>
      <c r="UQL403" s="148"/>
      <c r="UQM403" s="148"/>
      <c r="UQN403" s="148"/>
      <c r="UQO403" s="148"/>
      <c r="UQP403" s="148"/>
      <c r="UQQ403" s="148"/>
      <c r="UQR403" s="148"/>
      <c r="UQS403" s="148"/>
      <c r="UQT403" s="148"/>
      <c r="UQU403" s="148"/>
      <c r="UQV403" s="148"/>
      <c r="UQW403" s="148"/>
      <c r="UQX403" s="148"/>
      <c r="UQY403" s="148"/>
      <c r="UQZ403" s="148"/>
      <c r="URA403" s="148"/>
      <c r="URB403" s="148"/>
      <c r="URC403" s="148"/>
      <c r="URD403" s="148"/>
      <c r="URE403" s="148"/>
      <c r="URF403" s="148"/>
      <c r="URG403" s="148"/>
      <c r="URH403" s="148"/>
      <c r="URI403" s="148"/>
      <c r="URJ403" s="148"/>
      <c r="URK403" s="148"/>
      <c r="URL403" s="148"/>
      <c r="URM403" s="148"/>
      <c r="URN403" s="148"/>
      <c r="URO403" s="148"/>
      <c r="URP403" s="148"/>
      <c r="URQ403" s="148"/>
      <c r="URR403" s="148"/>
      <c r="URS403" s="148"/>
      <c r="URT403" s="148"/>
      <c r="URU403" s="148"/>
      <c r="URV403" s="148"/>
      <c r="URW403" s="148"/>
      <c r="URX403" s="148"/>
      <c r="URY403" s="148"/>
      <c r="URZ403" s="148"/>
      <c r="USA403" s="148"/>
      <c r="USB403" s="148"/>
      <c r="USC403" s="148"/>
      <c r="USD403" s="148"/>
      <c r="USE403" s="148"/>
      <c r="USF403" s="148"/>
      <c r="USG403" s="148"/>
      <c r="USH403" s="148"/>
      <c r="USI403" s="148"/>
      <c r="USJ403" s="148"/>
      <c r="USK403" s="148"/>
      <c r="USL403" s="148"/>
      <c r="USM403" s="148"/>
      <c r="USN403" s="148"/>
      <c r="USO403" s="148"/>
      <c r="USP403" s="148"/>
      <c r="USQ403" s="148"/>
      <c r="USR403" s="148"/>
      <c r="USS403" s="148"/>
      <c r="UST403" s="148"/>
      <c r="USU403" s="148"/>
      <c r="USV403" s="148"/>
      <c r="USW403" s="148"/>
      <c r="USX403" s="148"/>
      <c r="USY403" s="148"/>
      <c r="USZ403" s="148"/>
      <c r="UTA403" s="148"/>
      <c r="UTB403" s="148"/>
      <c r="UTC403" s="148"/>
      <c r="UTD403" s="148"/>
      <c r="UTE403" s="148"/>
      <c r="UTF403" s="148"/>
      <c r="UTG403" s="148"/>
      <c r="UTH403" s="148"/>
      <c r="UTI403" s="148"/>
      <c r="UTJ403" s="148"/>
      <c r="UTK403" s="148"/>
      <c r="UTL403" s="148"/>
      <c r="UTM403" s="148"/>
      <c r="UTN403" s="148"/>
      <c r="UTO403" s="148"/>
      <c r="UTP403" s="148"/>
      <c r="UTQ403" s="148"/>
      <c r="UTR403" s="148"/>
      <c r="UTS403" s="148"/>
      <c r="UTT403" s="148"/>
      <c r="UTU403" s="148"/>
      <c r="UTV403" s="148"/>
      <c r="UTW403" s="148"/>
      <c r="UTX403" s="148"/>
      <c r="UTY403" s="148"/>
      <c r="UTZ403" s="148"/>
      <c r="UUA403" s="148"/>
      <c r="UUB403" s="148"/>
      <c r="UUC403" s="148"/>
      <c r="UUD403" s="148"/>
      <c r="UUE403" s="148"/>
      <c r="UUF403" s="148"/>
      <c r="UUG403" s="148"/>
      <c r="UUH403" s="148"/>
      <c r="UUI403" s="148"/>
      <c r="UUJ403" s="148"/>
      <c r="UUK403" s="148"/>
      <c r="UUL403" s="148"/>
      <c r="UUM403" s="148"/>
      <c r="UUN403" s="148"/>
      <c r="UUO403" s="148"/>
      <c r="UUP403" s="148"/>
      <c r="UUQ403" s="148"/>
      <c r="UUR403" s="148"/>
      <c r="UUS403" s="148"/>
      <c r="UUT403" s="148"/>
      <c r="UUU403" s="148"/>
      <c r="UUV403" s="148"/>
      <c r="UUW403" s="148"/>
      <c r="UUX403" s="148"/>
      <c r="UUY403" s="148"/>
      <c r="UUZ403" s="148"/>
      <c r="UVA403" s="148"/>
      <c r="UVB403" s="148"/>
      <c r="UVC403" s="148"/>
      <c r="UVD403" s="148"/>
      <c r="UVE403" s="148"/>
      <c r="UVF403" s="148"/>
      <c r="UVG403" s="148"/>
      <c r="UVH403" s="148"/>
      <c r="UVI403" s="148"/>
      <c r="UVJ403" s="148"/>
      <c r="UVK403" s="148"/>
      <c r="UVL403" s="148"/>
      <c r="UVM403" s="148"/>
      <c r="UVN403" s="148"/>
      <c r="UVO403" s="148"/>
      <c r="UVP403" s="148"/>
      <c r="UVQ403" s="148"/>
      <c r="UVR403" s="148"/>
      <c r="UVS403" s="148"/>
      <c r="UVT403" s="148"/>
      <c r="UVU403" s="148"/>
      <c r="UVV403" s="148"/>
      <c r="UVW403" s="148"/>
      <c r="UVX403" s="148"/>
      <c r="UVY403" s="148"/>
      <c r="UVZ403" s="148"/>
      <c r="UWA403" s="148"/>
      <c r="UWB403" s="148"/>
      <c r="UWC403" s="148"/>
      <c r="UWD403" s="148"/>
      <c r="UWE403" s="148"/>
      <c r="UWF403" s="148"/>
      <c r="UWG403" s="148"/>
      <c r="UWH403" s="148"/>
      <c r="UWI403" s="148"/>
      <c r="UWJ403" s="148"/>
      <c r="UWK403" s="148"/>
      <c r="UWL403" s="148"/>
      <c r="UWM403" s="148"/>
      <c r="UWN403" s="148"/>
      <c r="UWO403" s="148"/>
      <c r="UWP403" s="148"/>
      <c r="UWQ403" s="148"/>
      <c r="UWR403" s="148"/>
      <c r="UWS403" s="148"/>
      <c r="UWT403" s="148"/>
      <c r="UWU403" s="148"/>
      <c r="UWV403" s="148"/>
      <c r="UWW403" s="148"/>
      <c r="UWX403" s="148"/>
      <c r="UWY403" s="148"/>
      <c r="UWZ403" s="148"/>
      <c r="UXA403" s="148"/>
      <c r="UXB403" s="148"/>
      <c r="UXC403" s="148"/>
      <c r="UXD403" s="148"/>
      <c r="UXE403" s="148"/>
      <c r="UXF403" s="148"/>
      <c r="UXG403" s="148"/>
      <c r="UXH403" s="148"/>
      <c r="UXI403" s="148"/>
      <c r="UXJ403" s="148"/>
      <c r="UXK403" s="148"/>
      <c r="UXL403" s="148"/>
      <c r="UXM403" s="148"/>
      <c r="UXN403" s="148"/>
      <c r="UXO403" s="148"/>
      <c r="UXP403" s="148"/>
      <c r="UXQ403" s="148"/>
      <c r="UXR403" s="148"/>
      <c r="UXS403" s="148"/>
      <c r="UXT403" s="148"/>
      <c r="UXU403" s="148"/>
      <c r="UXV403" s="148"/>
      <c r="UXW403" s="148"/>
      <c r="UXX403" s="148"/>
      <c r="UXY403" s="148"/>
      <c r="UXZ403" s="148"/>
      <c r="UYA403" s="148"/>
      <c r="UYB403" s="148"/>
      <c r="UYC403" s="148"/>
      <c r="UYD403" s="148"/>
      <c r="UYE403" s="148"/>
      <c r="UYF403" s="148"/>
      <c r="UYG403" s="148"/>
      <c r="UYH403" s="148"/>
      <c r="UYI403" s="148"/>
      <c r="UYJ403" s="148"/>
      <c r="UYK403" s="148"/>
      <c r="UYL403" s="148"/>
      <c r="UYM403" s="148"/>
      <c r="UYN403" s="148"/>
      <c r="UYO403" s="148"/>
      <c r="UYP403" s="148"/>
      <c r="UYQ403" s="148"/>
      <c r="UYR403" s="148"/>
      <c r="UYS403" s="148"/>
      <c r="UYT403" s="148"/>
      <c r="UYU403" s="148"/>
      <c r="UYV403" s="148"/>
      <c r="UYW403" s="148"/>
      <c r="UYX403" s="148"/>
      <c r="UYY403" s="148"/>
      <c r="UYZ403" s="148"/>
      <c r="UZA403" s="148"/>
      <c r="UZB403" s="148"/>
      <c r="UZC403" s="148"/>
      <c r="UZD403" s="148"/>
      <c r="UZE403" s="148"/>
      <c r="UZF403" s="148"/>
      <c r="UZG403" s="148"/>
      <c r="UZH403" s="148"/>
      <c r="UZI403" s="148"/>
      <c r="UZJ403" s="148"/>
      <c r="UZK403" s="148"/>
      <c r="UZL403" s="148"/>
      <c r="UZM403" s="148"/>
      <c r="UZN403" s="148"/>
      <c r="UZO403" s="148"/>
      <c r="UZP403" s="148"/>
      <c r="UZQ403" s="148"/>
      <c r="UZR403" s="148"/>
      <c r="UZS403" s="148"/>
      <c r="UZT403" s="148"/>
      <c r="UZU403" s="148"/>
      <c r="UZV403" s="148"/>
      <c r="UZW403" s="148"/>
      <c r="UZX403" s="148"/>
      <c r="UZY403" s="148"/>
      <c r="UZZ403" s="148"/>
      <c r="VAA403" s="148"/>
      <c r="VAB403" s="148"/>
      <c r="VAC403" s="148"/>
      <c r="VAD403" s="148"/>
      <c r="VAE403" s="148"/>
      <c r="VAF403" s="148"/>
      <c r="VAG403" s="148"/>
      <c r="VAH403" s="148"/>
      <c r="VAI403" s="148"/>
      <c r="VAJ403" s="148"/>
      <c r="VAK403" s="148"/>
      <c r="VAL403" s="148"/>
      <c r="VAM403" s="148"/>
      <c r="VAN403" s="148"/>
      <c r="VAO403" s="148"/>
      <c r="VAP403" s="148"/>
      <c r="VAQ403" s="148"/>
      <c r="VAR403" s="148"/>
      <c r="VAS403" s="148"/>
      <c r="VAT403" s="148"/>
      <c r="VAU403" s="148"/>
      <c r="VAV403" s="148"/>
      <c r="VAW403" s="148"/>
      <c r="VAX403" s="148"/>
      <c r="VAY403" s="148"/>
      <c r="VAZ403" s="148"/>
      <c r="VBA403" s="148"/>
      <c r="VBB403" s="148"/>
      <c r="VBC403" s="148"/>
      <c r="VBD403" s="148"/>
      <c r="VBE403" s="148"/>
      <c r="VBF403" s="148"/>
      <c r="VBG403" s="148"/>
      <c r="VBH403" s="148"/>
      <c r="VBI403" s="148"/>
      <c r="VBJ403" s="148"/>
      <c r="VBK403" s="148"/>
      <c r="VBL403" s="148"/>
      <c r="VBM403" s="148"/>
      <c r="VBN403" s="148"/>
      <c r="VBO403" s="148"/>
      <c r="VBP403" s="148"/>
      <c r="VBQ403" s="148"/>
      <c r="VBR403" s="148"/>
      <c r="VBS403" s="148"/>
      <c r="VBT403" s="148"/>
      <c r="VBU403" s="148"/>
      <c r="VBV403" s="148"/>
      <c r="VBW403" s="148"/>
      <c r="VBX403" s="148"/>
      <c r="VBY403" s="148"/>
      <c r="VBZ403" s="148"/>
      <c r="VCA403" s="148"/>
      <c r="VCB403" s="148"/>
      <c r="VCC403" s="148"/>
      <c r="VCD403" s="148"/>
      <c r="VCE403" s="148"/>
      <c r="VCF403" s="148"/>
      <c r="VCG403" s="148"/>
      <c r="VCH403" s="148"/>
      <c r="VCI403" s="148"/>
      <c r="VCJ403" s="148"/>
      <c r="VCK403" s="148"/>
      <c r="VCL403" s="148"/>
      <c r="VCM403" s="148"/>
      <c r="VCN403" s="148"/>
      <c r="VCO403" s="148"/>
      <c r="VCP403" s="148"/>
      <c r="VCQ403" s="148"/>
      <c r="VCR403" s="148"/>
      <c r="VCS403" s="148"/>
      <c r="VCT403" s="148"/>
      <c r="VCU403" s="148"/>
      <c r="VCV403" s="148"/>
      <c r="VCW403" s="148"/>
      <c r="VCX403" s="148"/>
      <c r="VCY403" s="148"/>
      <c r="VCZ403" s="148"/>
      <c r="VDA403" s="148"/>
      <c r="VDB403" s="148"/>
      <c r="VDC403" s="148"/>
      <c r="VDD403" s="148"/>
      <c r="VDE403" s="148"/>
      <c r="VDF403" s="148"/>
      <c r="VDG403" s="148"/>
      <c r="VDH403" s="148"/>
      <c r="VDI403" s="148"/>
      <c r="VDJ403" s="148"/>
      <c r="VDK403" s="148"/>
      <c r="VDL403" s="148"/>
      <c r="VDM403" s="148"/>
      <c r="VDN403" s="148"/>
      <c r="VDO403" s="148"/>
      <c r="VDP403" s="148"/>
      <c r="VDQ403" s="148"/>
      <c r="VDR403" s="148"/>
      <c r="VDS403" s="148"/>
      <c r="VDT403" s="148"/>
      <c r="VDU403" s="148"/>
      <c r="VDV403" s="148"/>
      <c r="VDW403" s="148"/>
      <c r="VDX403" s="148"/>
      <c r="VDY403" s="148"/>
      <c r="VDZ403" s="148"/>
      <c r="VEA403" s="148"/>
      <c r="VEB403" s="148"/>
      <c r="VEC403" s="148"/>
      <c r="VED403" s="148"/>
      <c r="VEE403" s="148"/>
      <c r="VEF403" s="148"/>
      <c r="VEG403" s="148"/>
      <c r="VEH403" s="148"/>
      <c r="VEI403" s="148"/>
      <c r="VEJ403" s="148"/>
      <c r="VEK403" s="148"/>
      <c r="VEL403" s="148"/>
      <c r="VEM403" s="148"/>
      <c r="VEN403" s="148"/>
      <c r="VEO403" s="148"/>
      <c r="VEP403" s="148"/>
      <c r="VEQ403" s="148"/>
      <c r="VER403" s="148"/>
      <c r="VES403" s="148"/>
      <c r="VET403" s="148"/>
      <c r="VEU403" s="148"/>
      <c r="VEV403" s="148"/>
      <c r="VEW403" s="148"/>
      <c r="VEX403" s="148"/>
      <c r="VEY403" s="148"/>
      <c r="VEZ403" s="148"/>
      <c r="VFA403" s="148"/>
      <c r="VFB403" s="148"/>
      <c r="VFC403" s="148"/>
      <c r="VFD403" s="148"/>
      <c r="VFE403" s="148"/>
      <c r="VFF403" s="148"/>
      <c r="VFG403" s="148"/>
      <c r="VFH403" s="148"/>
      <c r="VFI403" s="148"/>
      <c r="VFJ403" s="148"/>
      <c r="VFK403" s="148"/>
      <c r="VFL403" s="148"/>
      <c r="VFM403" s="148"/>
      <c r="VFN403" s="148"/>
      <c r="VFO403" s="148"/>
      <c r="VFP403" s="148"/>
      <c r="VFQ403" s="148"/>
      <c r="VFR403" s="148"/>
      <c r="VFS403" s="148"/>
      <c r="VFT403" s="148"/>
      <c r="VFU403" s="148"/>
      <c r="VFV403" s="148"/>
      <c r="VFW403" s="148"/>
      <c r="VFX403" s="148"/>
      <c r="VFY403" s="148"/>
      <c r="VFZ403" s="148"/>
      <c r="VGA403" s="148"/>
      <c r="VGB403" s="148"/>
      <c r="VGC403" s="148"/>
      <c r="VGD403" s="148"/>
      <c r="VGE403" s="148"/>
      <c r="VGF403" s="148"/>
      <c r="VGG403" s="148"/>
      <c r="VGH403" s="148"/>
      <c r="VGI403" s="148"/>
      <c r="VGJ403" s="148"/>
      <c r="VGK403" s="148"/>
      <c r="VGL403" s="148"/>
      <c r="VGM403" s="148"/>
      <c r="VGN403" s="148"/>
      <c r="VGO403" s="148"/>
      <c r="VGP403" s="148"/>
      <c r="VGQ403" s="148"/>
      <c r="VGR403" s="148"/>
      <c r="VGS403" s="148"/>
      <c r="VGT403" s="148"/>
      <c r="VGU403" s="148"/>
      <c r="VGV403" s="148"/>
      <c r="VGW403" s="148"/>
      <c r="VGX403" s="148"/>
      <c r="VGY403" s="148"/>
      <c r="VGZ403" s="148"/>
      <c r="VHA403" s="148"/>
      <c r="VHB403" s="148"/>
      <c r="VHC403" s="148"/>
      <c r="VHD403" s="148"/>
      <c r="VHE403" s="148"/>
      <c r="VHF403" s="148"/>
      <c r="VHG403" s="148"/>
      <c r="VHH403" s="148"/>
      <c r="VHI403" s="148"/>
      <c r="VHJ403" s="148"/>
      <c r="VHK403" s="148"/>
      <c r="VHL403" s="148"/>
      <c r="VHM403" s="148"/>
      <c r="VHN403" s="148"/>
      <c r="VHO403" s="148"/>
      <c r="VHP403" s="148"/>
      <c r="VHQ403" s="148"/>
      <c r="VHR403" s="148"/>
      <c r="VHS403" s="148"/>
      <c r="VHT403" s="148"/>
      <c r="VHU403" s="148"/>
      <c r="VHV403" s="148"/>
      <c r="VHW403" s="148"/>
      <c r="VHX403" s="148"/>
      <c r="VHY403" s="148"/>
      <c r="VHZ403" s="148"/>
      <c r="VIA403" s="148"/>
      <c r="VIB403" s="148"/>
      <c r="VIC403" s="148"/>
      <c r="VID403" s="148"/>
      <c r="VIE403" s="148"/>
      <c r="VIF403" s="148"/>
      <c r="VIG403" s="148"/>
      <c r="VIH403" s="148"/>
      <c r="VII403" s="148"/>
      <c r="VIJ403" s="148"/>
      <c r="VIK403" s="148"/>
      <c r="VIL403" s="148"/>
      <c r="VIM403" s="148"/>
      <c r="VIN403" s="148"/>
      <c r="VIO403" s="148"/>
      <c r="VIP403" s="148"/>
      <c r="VIQ403" s="148"/>
      <c r="VIR403" s="148"/>
      <c r="VIS403" s="148"/>
      <c r="VIT403" s="148"/>
      <c r="VIU403" s="148"/>
      <c r="VIV403" s="148"/>
      <c r="VIW403" s="148"/>
      <c r="VIX403" s="148"/>
      <c r="VIY403" s="148"/>
      <c r="VIZ403" s="148"/>
      <c r="VJA403" s="148"/>
      <c r="VJB403" s="148"/>
      <c r="VJC403" s="148"/>
      <c r="VJD403" s="148"/>
      <c r="VJE403" s="148"/>
      <c r="VJF403" s="148"/>
      <c r="VJG403" s="148"/>
      <c r="VJH403" s="148"/>
      <c r="VJI403" s="148"/>
      <c r="VJJ403" s="148"/>
      <c r="VJK403" s="148"/>
      <c r="VJL403" s="148"/>
      <c r="VJM403" s="148"/>
      <c r="VJN403" s="148"/>
      <c r="VJO403" s="148"/>
      <c r="VJP403" s="148"/>
      <c r="VJQ403" s="148"/>
      <c r="VJR403" s="148"/>
      <c r="VJS403" s="148"/>
      <c r="VJT403" s="148"/>
      <c r="VJU403" s="148"/>
      <c r="VJV403" s="148"/>
      <c r="VJW403" s="148"/>
      <c r="VJX403" s="148"/>
      <c r="VJY403" s="148"/>
      <c r="VJZ403" s="148"/>
      <c r="VKA403" s="148"/>
      <c r="VKB403" s="148"/>
      <c r="VKC403" s="148"/>
      <c r="VKD403" s="148"/>
      <c r="VKE403" s="148"/>
      <c r="VKF403" s="148"/>
      <c r="VKG403" s="148"/>
      <c r="VKH403" s="148"/>
      <c r="VKI403" s="148"/>
      <c r="VKJ403" s="148"/>
      <c r="VKK403" s="148"/>
      <c r="VKL403" s="148"/>
      <c r="VKM403" s="148"/>
      <c r="VKN403" s="148"/>
      <c r="VKO403" s="148"/>
      <c r="VKP403" s="148"/>
      <c r="VKQ403" s="148"/>
      <c r="VKR403" s="148"/>
      <c r="VKS403" s="148"/>
      <c r="VKT403" s="148"/>
      <c r="VKU403" s="148"/>
      <c r="VKV403" s="148"/>
      <c r="VKW403" s="148"/>
      <c r="VKX403" s="148"/>
      <c r="VKY403" s="148"/>
      <c r="VKZ403" s="148"/>
      <c r="VLA403" s="148"/>
      <c r="VLB403" s="148"/>
      <c r="VLC403" s="148"/>
      <c r="VLD403" s="148"/>
      <c r="VLE403" s="148"/>
      <c r="VLF403" s="148"/>
      <c r="VLG403" s="148"/>
      <c r="VLH403" s="148"/>
      <c r="VLI403" s="148"/>
      <c r="VLJ403" s="148"/>
      <c r="VLK403" s="148"/>
      <c r="VLL403" s="148"/>
      <c r="VLM403" s="148"/>
      <c r="VLN403" s="148"/>
      <c r="VLO403" s="148"/>
      <c r="VLP403" s="148"/>
      <c r="VLQ403" s="148"/>
      <c r="VLR403" s="148"/>
      <c r="VLS403" s="148"/>
      <c r="VLT403" s="148"/>
      <c r="VLU403" s="148"/>
      <c r="VLV403" s="148"/>
      <c r="VLW403" s="148"/>
      <c r="VLX403" s="148"/>
      <c r="VLY403" s="148"/>
      <c r="VLZ403" s="148"/>
      <c r="VMA403" s="148"/>
      <c r="VMB403" s="148"/>
      <c r="VMC403" s="148"/>
      <c r="VMD403" s="148"/>
      <c r="VME403" s="148"/>
      <c r="VMF403" s="148"/>
      <c r="VMG403" s="148"/>
      <c r="VMH403" s="148"/>
      <c r="VMI403" s="148"/>
      <c r="VMJ403" s="148"/>
      <c r="VMK403" s="148"/>
      <c r="VML403" s="148"/>
      <c r="VMM403" s="148"/>
      <c r="VMN403" s="148"/>
      <c r="VMO403" s="148"/>
      <c r="VMP403" s="148"/>
      <c r="VMQ403" s="148"/>
      <c r="VMR403" s="148"/>
      <c r="VMS403" s="148"/>
      <c r="VMT403" s="148"/>
      <c r="VMU403" s="148"/>
      <c r="VMV403" s="148"/>
      <c r="VMW403" s="148"/>
      <c r="VMX403" s="148"/>
      <c r="VMY403" s="148"/>
      <c r="VMZ403" s="148"/>
      <c r="VNA403" s="148"/>
      <c r="VNB403" s="148"/>
      <c r="VNC403" s="148"/>
      <c r="VND403" s="148"/>
      <c r="VNE403" s="148"/>
      <c r="VNF403" s="148"/>
      <c r="VNG403" s="148"/>
      <c r="VNH403" s="148"/>
      <c r="VNI403" s="148"/>
      <c r="VNJ403" s="148"/>
      <c r="VNK403" s="148"/>
      <c r="VNL403" s="148"/>
      <c r="VNM403" s="148"/>
      <c r="VNN403" s="148"/>
      <c r="VNO403" s="148"/>
      <c r="VNP403" s="148"/>
      <c r="VNQ403" s="148"/>
      <c r="VNR403" s="148"/>
      <c r="VNS403" s="148"/>
      <c r="VNT403" s="148"/>
      <c r="VNU403" s="148"/>
      <c r="VNV403" s="148"/>
      <c r="VNW403" s="148"/>
      <c r="VNX403" s="148"/>
      <c r="VNY403" s="148"/>
      <c r="VNZ403" s="148"/>
      <c r="VOA403" s="148"/>
      <c r="VOB403" s="148"/>
      <c r="VOC403" s="148"/>
      <c r="VOD403" s="148"/>
      <c r="VOE403" s="148"/>
      <c r="VOF403" s="148"/>
      <c r="VOG403" s="148"/>
      <c r="VOH403" s="148"/>
      <c r="VOI403" s="148"/>
      <c r="VOJ403" s="148"/>
      <c r="VOK403" s="148"/>
      <c r="VOL403" s="148"/>
      <c r="VOM403" s="148"/>
      <c r="VON403" s="148"/>
      <c r="VOO403" s="148"/>
      <c r="VOP403" s="148"/>
      <c r="VOQ403" s="148"/>
      <c r="VOR403" s="148"/>
      <c r="VOS403" s="148"/>
      <c r="VOT403" s="148"/>
      <c r="VOU403" s="148"/>
      <c r="VOV403" s="148"/>
      <c r="VOW403" s="148"/>
      <c r="VOX403" s="148"/>
      <c r="VOY403" s="148"/>
      <c r="VOZ403" s="148"/>
      <c r="VPA403" s="148"/>
      <c r="VPB403" s="148"/>
      <c r="VPC403" s="148"/>
      <c r="VPD403" s="148"/>
      <c r="VPE403" s="148"/>
      <c r="VPF403" s="148"/>
      <c r="VPG403" s="148"/>
      <c r="VPH403" s="148"/>
      <c r="VPI403" s="148"/>
      <c r="VPJ403" s="148"/>
      <c r="VPK403" s="148"/>
      <c r="VPL403" s="148"/>
      <c r="VPM403" s="148"/>
      <c r="VPN403" s="148"/>
      <c r="VPO403" s="148"/>
      <c r="VPP403" s="148"/>
      <c r="VPQ403" s="148"/>
      <c r="VPR403" s="148"/>
      <c r="VPS403" s="148"/>
      <c r="VPT403" s="148"/>
      <c r="VPU403" s="148"/>
      <c r="VPV403" s="148"/>
      <c r="VPW403" s="148"/>
      <c r="VPX403" s="148"/>
      <c r="VPY403" s="148"/>
      <c r="VPZ403" s="148"/>
      <c r="VQA403" s="148"/>
      <c r="VQB403" s="148"/>
      <c r="VQC403" s="148"/>
      <c r="VQD403" s="148"/>
      <c r="VQE403" s="148"/>
      <c r="VQF403" s="148"/>
      <c r="VQG403" s="148"/>
      <c r="VQH403" s="148"/>
      <c r="VQI403" s="148"/>
      <c r="VQJ403" s="148"/>
      <c r="VQK403" s="148"/>
      <c r="VQL403" s="148"/>
      <c r="VQM403" s="148"/>
      <c r="VQN403" s="148"/>
      <c r="VQO403" s="148"/>
      <c r="VQP403" s="148"/>
      <c r="VQQ403" s="148"/>
      <c r="VQR403" s="148"/>
      <c r="VQS403" s="148"/>
      <c r="VQT403" s="148"/>
      <c r="VQU403" s="148"/>
      <c r="VQV403" s="148"/>
      <c r="VQW403" s="148"/>
      <c r="VQX403" s="148"/>
      <c r="VQY403" s="148"/>
      <c r="VQZ403" s="148"/>
      <c r="VRA403" s="148"/>
      <c r="VRB403" s="148"/>
      <c r="VRC403" s="148"/>
      <c r="VRD403" s="148"/>
      <c r="VRE403" s="148"/>
      <c r="VRF403" s="148"/>
      <c r="VRG403" s="148"/>
      <c r="VRH403" s="148"/>
      <c r="VRI403" s="148"/>
      <c r="VRJ403" s="148"/>
      <c r="VRK403" s="148"/>
      <c r="VRL403" s="148"/>
      <c r="VRM403" s="148"/>
      <c r="VRN403" s="148"/>
      <c r="VRO403" s="148"/>
      <c r="VRP403" s="148"/>
      <c r="VRQ403" s="148"/>
      <c r="VRR403" s="148"/>
      <c r="VRS403" s="148"/>
      <c r="VRT403" s="148"/>
      <c r="VRU403" s="148"/>
      <c r="VRV403" s="148"/>
      <c r="VRW403" s="148"/>
      <c r="VRX403" s="148"/>
      <c r="VRY403" s="148"/>
      <c r="VRZ403" s="148"/>
      <c r="VSA403" s="148"/>
      <c r="VSB403" s="148"/>
      <c r="VSC403" s="148"/>
      <c r="VSD403" s="148"/>
      <c r="VSE403" s="148"/>
      <c r="VSF403" s="148"/>
      <c r="VSG403" s="148"/>
      <c r="VSH403" s="148"/>
      <c r="VSI403" s="148"/>
      <c r="VSJ403" s="148"/>
      <c r="VSK403" s="148"/>
      <c r="VSL403" s="148"/>
      <c r="VSM403" s="148"/>
      <c r="VSN403" s="148"/>
      <c r="VSO403" s="148"/>
      <c r="VSP403" s="148"/>
      <c r="VSQ403" s="148"/>
      <c r="VSR403" s="148"/>
      <c r="VSS403" s="148"/>
      <c r="VST403" s="148"/>
      <c r="VSU403" s="148"/>
      <c r="VSV403" s="148"/>
      <c r="VSW403" s="148"/>
      <c r="VSX403" s="148"/>
      <c r="VSY403" s="148"/>
      <c r="VSZ403" s="148"/>
      <c r="VTA403" s="148"/>
      <c r="VTB403" s="148"/>
      <c r="VTC403" s="148"/>
      <c r="VTD403" s="148"/>
      <c r="VTE403" s="148"/>
      <c r="VTF403" s="148"/>
      <c r="VTG403" s="148"/>
      <c r="VTH403" s="148"/>
      <c r="VTI403" s="148"/>
      <c r="VTJ403" s="148"/>
      <c r="VTK403" s="148"/>
      <c r="VTL403" s="148"/>
      <c r="VTM403" s="148"/>
      <c r="VTN403" s="148"/>
      <c r="VTO403" s="148"/>
      <c r="VTP403" s="148"/>
      <c r="VTQ403" s="148"/>
      <c r="VTR403" s="148"/>
      <c r="VTS403" s="148"/>
      <c r="VTT403" s="148"/>
      <c r="VTU403" s="148"/>
      <c r="VTV403" s="148"/>
      <c r="VTW403" s="148"/>
      <c r="VTX403" s="148"/>
      <c r="VTY403" s="148"/>
      <c r="VTZ403" s="148"/>
      <c r="VUA403" s="148"/>
      <c r="VUB403" s="148"/>
      <c r="VUC403" s="148"/>
      <c r="VUD403" s="148"/>
      <c r="VUE403" s="148"/>
      <c r="VUF403" s="148"/>
      <c r="VUG403" s="148"/>
      <c r="VUH403" s="148"/>
      <c r="VUI403" s="148"/>
      <c r="VUJ403" s="148"/>
      <c r="VUK403" s="148"/>
      <c r="VUL403" s="148"/>
      <c r="VUM403" s="148"/>
      <c r="VUN403" s="148"/>
      <c r="VUO403" s="148"/>
      <c r="VUP403" s="148"/>
      <c r="VUQ403" s="148"/>
      <c r="VUR403" s="148"/>
      <c r="VUS403" s="148"/>
      <c r="VUT403" s="148"/>
      <c r="VUU403" s="148"/>
      <c r="VUV403" s="148"/>
      <c r="VUW403" s="148"/>
      <c r="VUX403" s="148"/>
      <c r="VUY403" s="148"/>
      <c r="VUZ403" s="148"/>
      <c r="VVA403" s="148"/>
      <c r="VVB403" s="148"/>
      <c r="VVC403" s="148"/>
      <c r="VVD403" s="148"/>
      <c r="VVE403" s="148"/>
      <c r="VVF403" s="148"/>
      <c r="VVG403" s="148"/>
      <c r="VVH403" s="148"/>
      <c r="VVI403" s="148"/>
      <c r="VVJ403" s="148"/>
      <c r="VVK403" s="148"/>
      <c r="VVL403" s="148"/>
      <c r="VVM403" s="148"/>
      <c r="VVN403" s="148"/>
      <c r="VVO403" s="148"/>
      <c r="VVP403" s="148"/>
      <c r="VVQ403" s="148"/>
      <c r="VVR403" s="148"/>
      <c r="VVS403" s="148"/>
      <c r="VVT403" s="148"/>
      <c r="VVU403" s="148"/>
      <c r="VVV403" s="148"/>
      <c r="VVW403" s="148"/>
      <c r="VVX403" s="148"/>
      <c r="VVY403" s="148"/>
      <c r="VVZ403" s="148"/>
      <c r="VWA403" s="148"/>
      <c r="VWB403" s="148"/>
      <c r="VWC403" s="148"/>
      <c r="VWD403" s="148"/>
      <c r="VWE403" s="148"/>
      <c r="VWF403" s="148"/>
      <c r="VWG403" s="148"/>
      <c r="VWH403" s="148"/>
      <c r="VWI403" s="148"/>
      <c r="VWJ403" s="148"/>
      <c r="VWK403" s="148"/>
      <c r="VWL403" s="148"/>
      <c r="VWM403" s="148"/>
      <c r="VWN403" s="148"/>
      <c r="VWO403" s="148"/>
      <c r="VWP403" s="148"/>
      <c r="VWQ403" s="148"/>
      <c r="VWR403" s="148"/>
      <c r="VWS403" s="148"/>
      <c r="VWT403" s="148"/>
      <c r="VWU403" s="148"/>
      <c r="VWV403" s="148"/>
      <c r="VWW403" s="148"/>
      <c r="VWX403" s="148"/>
      <c r="VWY403" s="148"/>
      <c r="VWZ403" s="148"/>
      <c r="VXA403" s="148"/>
      <c r="VXB403" s="148"/>
      <c r="VXC403" s="148"/>
      <c r="VXD403" s="148"/>
      <c r="VXE403" s="148"/>
      <c r="VXF403" s="148"/>
      <c r="VXG403" s="148"/>
      <c r="VXH403" s="148"/>
      <c r="VXI403" s="148"/>
      <c r="VXJ403" s="148"/>
      <c r="VXK403" s="148"/>
      <c r="VXL403" s="148"/>
      <c r="VXM403" s="148"/>
      <c r="VXN403" s="148"/>
      <c r="VXO403" s="148"/>
      <c r="VXP403" s="148"/>
      <c r="VXQ403" s="148"/>
      <c r="VXR403" s="148"/>
      <c r="VXS403" s="148"/>
      <c r="VXT403" s="148"/>
      <c r="VXU403" s="148"/>
      <c r="VXV403" s="148"/>
      <c r="VXW403" s="148"/>
      <c r="VXX403" s="148"/>
      <c r="VXY403" s="148"/>
      <c r="VXZ403" s="148"/>
      <c r="VYA403" s="148"/>
      <c r="VYB403" s="148"/>
      <c r="VYC403" s="148"/>
      <c r="VYD403" s="148"/>
      <c r="VYE403" s="148"/>
      <c r="VYF403" s="148"/>
      <c r="VYG403" s="148"/>
      <c r="VYH403" s="148"/>
      <c r="VYI403" s="148"/>
      <c r="VYJ403" s="148"/>
      <c r="VYK403" s="148"/>
      <c r="VYL403" s="148"/>
      <c r="VYM403" s="148"/>
      <c r="VYN403" s="148"/>
      <c r="VYO403" s="148"/>
      <c r="VYP403" s="148"/>
      <c r="VYQ403" s="148"/>
      <c r="VYR403" s="148"/>
      <c r="VYS403" s="148"/>
      <c r="VYT403" s="148"/>
      <c r="VYU403" s="148"/>
      <c r="VYV403" s="148"/>
      <c r="VYW403" s="148"/>
      <c r="VYX403" s="148"/>
      <c r="VYY403" s="148"/>
      <c r="VYZ403" s="148"/>
      <c r="VZA403" s="148"/>
      <c r="VZB403" s="148"/>
      <c r="VZC403" s="148"/>
      <c r="VZD403" s="148"/>
      <c r="VZE403" s="148"/>
      <c r="VZF403" s="148"/>
      <c r="VZG403" s="148"/>
      <c r="VZH403" s="148"/>
      <c r="VZI403" s="148"/>
      <c r="VZJ403" s="148"/>
      <c r="VZK403" s="148"/>
      <c r="VZL403" s="148"/>
      <c r="VZM403" s="148"/>
      <c r="VZN403" s="148"/>
      <c r="VZO403" s="148"/>
      <c r="VZP403" s="148"/>
      <c r="VZQ403" s="148"/>
      <c r="VZR403" s="148"/>
      <c r="VZS403" s="148"/>
      <c r="VZT403" s="148"/>
      <c r="VZU403" s="148"/>
      <c r="VZV403" s="148"/>
      <c r="VZW403" s="148"/>
      <c r="VZX403" s="148"/>
      <c r="VZY403" s="148"/>
      <c r="VZZ403" s="148"/>
      <c r="WAA403" s="148"/>
      <c r="WAB403" s="148"/>
      <c r="WAC403" s="148"/>
      <c r="WAD403" s="148"/>
      <c r="WAE403" s="148"/>
      <c r="WAF403" s="148"/>
      <c r="WAG403" s="148"/>
      <c r="WAH403" s="148"/>
      <c r="WAI403" s="148"/>
      <c r="WAJ403" s="148"/>
      <c r="WAK403" s="148"/>
      <c r="WAL403" s="148"/>
      <c r="WAM403" s="148"/>
      <c r="WAN403" s="148"/>
      <c r="WAO403" s="148"/>
      <c r="WAP403" s="148"/>
      <c r="WAQ403" s="148"/>
      <c r="WAR403" s="148"/>
      <c r="WAS403" s="148"/>
      <c r="WAT403" s="148"/>
      <c r="WAU403" s="148"/>
      <c r="WAV403" s="148"/>
      <c r="WAW403" s="148"/>
      <c r="WAX403" s="148"/>
      <c r="WAY403" s="148"/>
      <c r="WAZ403" s="148"/>
      <c r="WBA403" s="148"/>
      <c r="WBB403" s="148"/>
      <c r="WBC403" s="148"/>
      <c r="WBD403" s="148"/>
      <c r="WBE403" s="148"/>
      <c r="WBF403" s="148"/>
      <c r="WBG403" s="148"/>
      <c r="WBH403" s="148"/>
      <c r="WBI403" s="148"/>
      <c r="WBJ403" s="148"/>
      <c r="WBK403" s="148"/>
      <c r="WBL403" s="148"/>
      <c r="WBM403" s="148"/>
      <c r="WBN403" s="148"/>
      <c r="WBO403" s="148"/>
      <c r="WBP403" s="148"/>
      <c r="WBQ403" s="148"/>
      <c r="WBR403" s="148"/>
      <c r="WBS403" s="148"/>
      <c r="WBT403" s="148"/>
      <c r="WBU403" s="148"/>
      <c r="WBV403" s="148"/>
      <c r="WBW403" s="148"/>
      <c r="WBX403" s="148"/>
      <c r="WBY403" s="148"/>
      <c r="WBZ403" s="148"/>
      <c r="WCA403" s="148"/>
      <c r="WCB403" s="148"/>
      <c r="WCC403" s="148"/>
      <c r="WCD403" s="148"/>
      <c r="WCE403" s="148"/>
      <c r="WCF403" s="148"/>
      <c r="WCG403" s="148"/>
      <c r="WCH403" s="148"/>
      <c r="WCI403" s="148"/>
      <c r="WCJ403" s="148"/>
      <c r="WCK403" s="148"/>
      <c r="WCL403" s="148"/>
      <c r="WCM403" s="148"/>
      <c r="WCN403" s="148"/>
      <c r="WCO403" s="148"/>
      <c r="WCP403" s="148"/>
      <c r="WCQ403" s="148"/>
      <c r="WCR403" s="148"/>
      <c r="WCS403" s="148"/>
      <c r="WCT403" s="148"/>
      <c r="WCU403" s="148"/>
      <c r="WCV403" s="148"/>
      <c r="WCW403" s="148"/>
      <c r="WCX403" s="148"/>
      <c r="WCY403" s="148"/>
      <c r="WCZ403" s="148"/>
      <c r="WDA403" s="148"/>
      <c r="WDB403" s="148"/>
      <c r="WDC403" s="148"/>
      <c r="WDD403" s="148"/>
      <c r="WDE403" s="148"/>
      <c r="WDF403" s="148"/>
      <c r="WDG403" s="148"/>
      <c r="WDH403" s="148"/>
      <c r="WDI403" s="148"/>
      <c r="WDJ403" s="148"/>
      <c r="WDK403" s="148"/>
      <c r="WDL403" s="148"/>
      <c r="WDM403" s="148"/>
      <c r="WDN403" s="148"/>
      <c r="WDO403" s="148"/>
      <c r="WDP403" s="148"/>
      <c r="WDQ403" s="148"/>
      <c r="WDR403" s="148"/>
      <c r="WDS403" s="148"/>
      <c r="WDT403" s="148"/>
      <c r="WDU403" s="148"/>
      <c r="WDV403" s="148"/>
      <c r="WDW403" s="148"/>
      <c r="WDX403" s="148"/>
      <c r="WDY403" s="148"/>
      <c r="WDZ403" s="148"/>
      <c r="WEA403" s="148"/>
      <c r="WEB403" s="148"/>
      <c r="WEC403" s="148"/>
      <c r="WED403" s="148"/>
      <c r="WEE403" s="148"/>
      <c r="WEF403" s="148"/>
      <c r="WEG403" s="148"/>
      <c r="WEH403" s="148"/>
      <c r="WEI403" s="148"/>
      <c r="WEJ403" s="148"/>
      <c r="WEK403" s="148"/>
      <c r="WEL403" s="148"/>
      <c r="WEM403" s="148"/>
      <c r="WEN403" s="148"/>
      <c r="WEO403" s="148"/>
      <c r="WEP403" s="148"/>
      <c r="WEQ403" s="148"/>
      <c r="WER403" s="148"/>
      <c r="WES403" s="148"/>
      <c r="WET403" s="148"/>
      <c r="WEU403" s="148"/>
      <c r="WEV403" s="148"/>
      <c r="WEW403" s="148"/>
      <c r="WEX403" s="148"/>
      <c r="WEY403" s="148"/>
      <c r="WEZ403" s="148"/>
      <c r="WFA403" s="148"/>
      <c r="WFB403" s="148"/>
      <c r="WFC403" s="148"/>
      <c r="WFD403" s="148"/>
      <c r="WFE403" s="148"/>
      <c r="WFF403" s="148"/>
      <c r="WFG403" s="148"/>
      <c r="WFH403" s="148"/>
      <c r="WFI403" s="148"/>
      <c r="WFJ403" s="148"/>
      <c r="WFK403" s="148"/>
      <c r="WFL403" s="148"/>
      <c r="WFM403" s="148"/>
      <c r="WFN403" s="148"/>
      <c r="WFO403" s="148"/>
      <c r="WFP403" s="148"/>
      <c r="WFQ403" s="148"/>
      <c r="WFR403" s="148"/>
      <c r="WFS403" s="148"/>
      <c r="WFT403" s="148"/>
      <c r="WFU403" s="148"/>
      <c r="WFV403" s="148"/>
      <c r="WFW403" s="148"/>
      <c r="WFX403" s="148"/>
      <c r="WFY403" s="148"/>
      <c r="WFZ403" s="148"/>
      <c r="WGA403" s="148"/>
      <c r="WGB403" s="148"/>
      <c r="WGC403" s="148"/>
      <c r="WGD403" s="148"/>
      <c r="WGE403" s="148"/>
      <c r="WGF403" s="148"/>
      <c r="WGG403" s="148"/>
      <c r="WGH403" s="148"/>
      <c r="WGI403" s="148"/>
      <c r="WGJ403" s="148"/>
      <c r="WGK403" s="148"/>
      <c r="WGL403" s="148"/>
      <c r="WGM403" s="148"/>
      <c r="WGN403" s="148"/>
      <c r="WGO403" s="148"/>
      <c r="WGP403" s="148"/>
      <c r="WGQ403" s="148"/>
      <c r="WGR403" s="148"/>
      <c r="WGS403" s="148"/>
      <c r="WGT403" s="148"/>
      <c r="WGU403" s="148"/>
      <c r="WGV403" s="148"/>
      <c r="WGW403" s="148"/>
      <c r="WGX403" s="148"/>
      <c r="WGY403" s="148"/>
      <c r="WGZ403" s="148"/>
      <c r="WHA403" s="148"/>
      <c r="WHB403" s="148"/>
      <c r="WHC403" s="148"/>
      <c r="WHD403" s="148"/>
      <c r="WHE403" s="148"/>
      <c r="WHF403" s="148"/>
      <c r="WHG403" s="148"/>
      <c r="WHH403" s="148"/>
      <c r="WHI403" s="148"/>
      <c r="WHJ403" s="148"/>
      <c r="WHK403" s="148"/>
      <c r="WHL403" s="148"/>
      <c r="WHM403" s="148"/>
      <c r="WHN403" s="148"/>
      <c r="WHO403" s="148"/>
      <c r="WHP403" s="148"/>
      <c r="WHQ403" s="148"/>
      <c r="WHR403" s="148"/>
      <c r="WHS403" s="148"/>
      <c r="WHT403" s="148"/>
      <c r="WHU403" s="148"/>
      <c r="WHV403" s="148"/>
      <c r="WHW403" s="148"/>
      <c r="WHX403" s="148"/>
      <c r="WHY403" s="148"/>
      <c r="WHZ403" s="148"/>
      <c r="WIA403" s="148"/>
      <c r="WIB403" s="148"/>
      <c r="WIC403" s="148"/>
      <c r="WID403" s="148"/>
      <c r="WIE403" s="148"/>
      <c r="WIF403" s="148"/>
      <c r="WIG403" s="148"/>
      <c r="WIH403" s="148"/>
      <c r="WII403" s="148"/>
      <c r="WIJ403" s="148"/>
      <c r="WIK403" s="148"/>
      <c r="WIL403" s="148"/>
      <c r="WIM403" s="148"/>
      <c r="WIN403" s="148"/>
      <c r="WIO403" s="148"/>
      <c r="WIP403" s="148"/>
      <c r="WIQ403" s="148"/>
      <c r="WIR403" s="148"/>
      <c r="WIS403" s="148"/>
      <c r="WIT403" s="148"/>
      <c r="WIU403" s="148"/>
      <c r="WIV403" s="148"/>
      <c r="WIW403" s="148"/>
      <c r="WIX403" s="148"/>
      <c r="WIY403" s="148"/>
      <c r="WIZ403" s="148"/>
      <c r="WJA403" s="148"/>
      <c r="WJB403" s="148"/>
      <c r="WJC403" s="148"/>
      <c r="WJD403" s="148"/>
      <c r="WJE403" s="148"/>
      <c r="WJF403" s="148"/>
      <c r="WJG403" s="148"/>
      <c r="WJH403" s="148"/>
      <c r="WJI403" s="148"/>
      <c r="WJJ403" s="148"/>
      <c r="WJK403" s="148"/>
      <c r="WJL403" s="148"/>
      <c r="WJM403" s="148"/>
      <c r="WJN403" s="148"/>
      <c r="WJO403" s="148"/>
      <c r="WJP403" s="148"/>
      <c r="WJQ403" s="148"/>
      <c r="WJR403" s="148"/>
      <c r="WJS403" s="148"/>
      <c r="WJT403" s="148"/>
      <c r="WJU403" s="148"/>
      <c r="WJV403" s="148"/>
      <c r="WJW403" s="148"/>
      <c r="WJX403" s="148"/>
      <c r="WJY403" s="148"/>
      <c r="WJZ403" s="148"/>
      <c r="WKA403" s="148"/>
      <c r="WKB403" s="148"/>
      <c r="WKC403" s="148"/>
      <c r="WKD403" s="148"/>
      <c r="WKE403" s="148"/>
      <c r="WKF403" s="148"/>
      <c r="WKG403" s="148"/>
      <c r="WKH403" s="148"/>
      <c r="WKI403" s="148"/>
      <c r="WKJ403" s="148"/>
      <c r="WKK403" s="148"/>
      <c r="WKL403" s="148"/>
      <c r="WKM403" s="148"/>
      <c r="WKN403" s="148"/>
      <c r="WKO403" s="148"/>
      <c r="WKP403" s="148"/>
      <c r="WKQ403" s="148"/>
      <c r="WKR403" s="148"/>
      <c r="WKS403" s="148"/>
      <c r="WKT403" s="148"/>
      <c r="WKU403" s="148"/>
      <c r="WKV403" s="148"/>
      <c r="WKW403" s="148"/>
      <c r="WKX403" s="148"/>
      <c r="WKY403" s="148"/>
      <c r="WKZ403" s="148"/>
      <c r="WLA403" s="148"/>
      <c r="WLB403" s="148"/>
      <c r="WLC403" s="148"/>
      <c r="WLD403" s="148"/>
      <c r="WLE403" s="148"/>
      <c r="WLF403" s="148"/>
      <c r="WLG403" s="148"/>
      <c r="WLH403" s="148"/>
      <c r="WLI403" s="148"/>
      <c r="WLJ403" s="148"/>
      <c r="WLK403" s="148"/>
      <c r="WLL403" s="148"/>
      <c r="WLM403" s="148"/>
      <c r="WLN403" s="148"/>
      <c r="WLO403" s="148"/>
      <c r="WLP403" s="148"/>
      <c r="WLQ403" s="148"/>
      <c r="WLR403" s="148"/>
      <c r="WLS403" s="148"/>
      <c r="WLT403" s="148"/>
      <c r="WLU403" s="148"/>
      <c r="WLV403" s="148"/>
      <c r="WLW403" s="148"/>
      <c r="WLX403" s="148"/>
      <c r="WLY403" s="148"/>
      <c r="WLZ403" s="148"/>
      <c r="WMA403" s="148"/>
      <c r="WMB403" s="148"/>
      <c r="WMC403" s="148"/>
      <c r="WMD403" s="148"/>
      <c r="WME403" s="148"/>
      <c r="WMF403" s="148"/>
      <c r="WMG403" s="148"/>
      <c r="WMH403" s="148"/>
      <c r="WMI403" s="148"/>
      <c r="WMJ403" s="148"/>
      <c r="WMK403" s="148"/>
      <c r="WML403" s="148"/>
      <c r="WMM403" s="148"/>
      <c r="WMN403" s="148"/>
      <c r="WMO403" s="148"/>
      <c r="WMP403" s="148"/>
      <c r="WMQ403" s="148"/>
      <c r="WMR403" s="148"/>
      <c r="WMS403" s="148"/>
      <c r="WMT403" s="148"/>
      <c r="WMU403" s="148"/>
      <c r="WMV403" s="148"/>
      <c r="WMW403" s="148"/>
      <c r="WMX403" s="148"/>
      <c r="WMY403" s="148"/>
      <c r="WMZ403" s="148"/>
      <c r="WNA403" s="148"/>
      <c r="WNB403" s="148"/>
      <c r="WNC403" s="148"/>
      <c r="WND403" s="148"/>
      <c r="WNE403" s="148"/>
      <c r="WNF403" s="148"/>
      <c r="WNG403" s="148"/>
      <c r="WNH403" s="148"/>
      <c r="WNI403" s="148"/>
      <c r="WNJ403" s="148"/>
      <c r="WNK403" s="148"/>
      <c r="WNL403" s="148"/>
      <c r="WNM403" s="148"/>
      <c r="WNN403" s="148"/>
      <c r="WNO403" s="148"/>
      <c r="WNP403" s="148"/>
      <c r="WNQ403" s="148"/>
      <c r="WNR403" s="148"/>
      <c r="WNS403" s="148"/>
      <c r="WNT403" s="148"/>
      <c r="WNU403" s="148"/>
      <c r="WNV403" s="148"/>
      <c r="WNW403" s="148"/>
      <c r="WNX403" s="148"/>
      <c r="WNY403" s="148"/>
      <c r="WNZ403" s="148"/>
      <c r="WOA403" s="148"/>
      <c r="WOB403" s="148"/>
      <c r="WOC403" s="148"/>
      <c r="WOD403" s="148"/>
      <c r="WOE403" s="148"/>
      <c r="WOF403" s="148"/>
      <c r="WOG403" s="148"/>
      <c r="WOH403" s="148"/>
      <c r="WOI403" s="148"/>
      <c r="WOJ403" s="148"/>
      <c r="WOK403" s="148"/>
      <c r="WOL403" s="148"/>
      <c r="WOM403" s="148"/>
      <c r="WON403" s="148"/>
      <c r="WOO403" s="148"/>
      <c r="WOP403" s="148"/>
      <c r="WOQ403" s="148"/>
      <c r="WOR403" s="148"/>
      <c r="WOS403" s="148"/>
      <c r="WOT403" s="148"/>
      <c r="WOU403" s="148"/>
      <c r="WOV403" s="148"/>
      <c r="WOW403" s="148"/>
      <c r="WOX403" s="148"/>
      <c r="WOY403" s="148"/>
      <c r="WOZ403" s="148"/>
      <c r="WPA403" s="148"/>
      <c r="WPB403" s="148"/>
      <c r="WPC403" s="148"/>
      <c r="WPD403" s="148"/>
      <c r="WPE403" s="148"/>
      <c r="WPF403" s="148"/>
      <c r="WPG403" s="148"/>
      <c r="WPH403" s="148"/>
      <c r="WPI403" s="148"/>
      <c r="WPJ403" s="148"/>
      <c r="WPK403" s="148"/>
      <c r="WPL403" s="148"/>
      <c r="WPM403" s="148"/>
      <c r="WPN403" s="148"/>
      <c r="WPO403" s="148"/>
      <c r="WPP403" s="148"/>
      <c r="WPQ403" s="148"/>
      <c r="WPR403" s="148"/>
      <c r="WPS403" s="148"/>
      <c r="WPT403" s="148"/>
      <c r="WPU403" s="148"/>
      <c r="WPV403" s="148"/>
      <c r="WPW403" s="148"/>
      <c r="WPX403" s="148"/>
      <c r="WPY403" s="148"/>
      <c r="WPZ403" s="148"/>
      <c r="WQA403" s="148"/>
      <c r="WQB403" s="148"/>
      <c r="WQC403" s="148"/>
      <c r="WQD403" s="148"/>
      <c r="WQE403" s="148"/>
      <c r="WQF403" s="148"/>
      <c r="WQG403" s="148"/>
      <c r="WQH403" s="148"/>
      <c r="WQI403" s="148"/>
      <c r="WQJ403" s="148"/>
      <c r="WQK403" s="148"/>
      <c r="WQL403" s="148"/>
      <c r="WQM403" s="148"/>
      <c r="WQN403" s="148"/>
      <c r="WQO403" s="148"/>
      <c r="WQP403" s="148"/>
      <c r="WQQ403" s="148"/>
      <c r="WQR403" s="148"/>
      <c r="WQS403" s="148"/>
      <c r="WQT403" s="148"/>
      <c r="WQU403" s="148"/>
      <c r="WQV403" s="148"/>
      <c r="WQW403" s="148"/>
      <c r="WQX403" s="148"/>
      <c r="WQY403" s="148"/>
      <c r="WQZ403" s="148"/>
      <c r="WRA403" s="148"/>
      <c r="WRB403" s="148"/>
      <c r="WRC403" s="148"/>
      <c r="WRD403" s="148"/>
      <c r="WRE403" s="148"/>
      <c r="WRF403" s="148"/>
      <c r="WRG403" s="148"/>
      <c r="WRH403" s="148"/>
      <c r="WRI403" s="148"/>
      <c r="WRJ403" s="148"/>
      <c r="WRK403" s="148"/>
      <c r="WRL403" s="148"/>
      <c r="WRM403" s="148"/>
      <c r="WRN403" s="148"/>
      <c r="WRO403" s="148"/>
      <c r="WRP403" s="148"/>
      <c r="WRQ403" s="148"/>
      <c r="WRR403" s="148"/>
      <c r="WRS403" s="148"/>
      <c r="WRT403" s="148"/>
      <c r="WRU403" s="148"/>
      <c r="WRV403" s="148"/>
      <c r="WRW403" s="148"/>
      <c r="WRX403" s="148"/>
      <c r="WRY403" s="148"/>
      <c r="WRZ403" s="148"/>
      <c r="WSA403" s="148"/>
      <c r="WSB403" s="148"/>
      <c r="WSC403" s="148"/>
      <c r="WSD403" s="148"/>
      <c r="WSE403" s="148"/>
      <c r="WSF403" s="148"/>
      <c r="WSG403" s="148"/>
      <c r="WSH403" s="148"/>
      <c r="WSI403" s="148"/>
      <c r="WSJ403" s="148"/>
      <c r="WSK403" s="148"/>
      <c r="WSL403" s="148"/>
      <c r="WSM403" s="148"/>
      <c r="WSN403" s="148"/>
      <c r="WSO403" s="148"/>
      <c r="WSP403" s="148"/>
      <c r="WSQ403" s="148"/>
      <c r="WSR403" s="148"/>
      <c r="WSS403" s="148"/>
      <c r="WST403" s="148"/>
      <c r="WSU403" s="148"/>
      <c r="WSV403" s="148"/>
      <c r="WSW403" s="148"/>
      <c r="WSX403" s="148"/>
      <c r="WSY403" s="148"/>
      <c r="WSZ403" s="148"/>
      <c r="WTA403" s="148"/>
      <c r="WTB403" s="148"/>
      <c r="WTC403" s="148"/>
      <c r="WTD403" s="148"/>
      <c r="WTE403" s="148"/>
      <c r="WTF403" s="148"/>
      <c r="WTG403" s="148"/>
      <c r="WTH403" s="148"/>
      <c r="WTI403" s="148"/>
      <c r="WTJ403" s="148"/>
      <c r="WTK403" s="148"/>
      <c r="WTL403" s="148"/>
      <c r="WTM403" s="148"/>
      <c r="WTN403" s="148"/>
      <c r="WTO403" s="148"/>
      <c r="WTP403" s="148"/>
      <c r="WTQ403" s="148"/>
      <c r="WTR403" s="148"/>
      <c r="WTS403" s="148"/>
      <c r="WTT403" s="148"/>
      <c r="WTU403" s="148"/>
      <c r="WTV403" s="148"/>
      <c r="WTW403" s="148"/>
      <c r="WTX403" s="148"/>
      <c r="WTY403" s="148"/>
      <c r="WTZ403" s="148"/>
      <c r="WUA403" s="148"/>
      <c r="WUB403" s="148"/>
      <c r="WUC403" s="148"/>
      <c r="WUD403" s="148"/>
      <c r="WUE403" s="148"/>
      <c r="WUF403" s="148"/>
      <c r="WUG403" s="148"/>
      <c r="WUH403" s="148"/>
      <c r="WUI403" s="148"/>
      <c r="WUJ403" s="148"/>
      <c r="WUK403" s="148"/>
      <c r="WUL403" s="148"/>
      <c r="WUM403" s="148"/>
      <c r="WUN403" s="148"/>
      <c r="WUO403" s="148"/>
      <c r="WUP403" s="148"/>
      <c r="WUQ403" s="148"/>
      <c r="WUR403" s="148"/>
      <c r="WUS403" s="148"/>
      <c r="WUT403" s="148"/>
      <c r="WUU403" s="148"/>
      <c r="WUV403" s="148"/>
      <c r="WUW403" s="148"/>
      <c r="WUX403" s="148"/>
      <c r="WUY403" s="148"/>
      <c r="WUZ403" s="148"/>
      <c r="WVA403" s="148"/>
      <c r="WVB403" s="148"/>
      <c r="WVC403" s="148"/>
      <c r="WVD403" s="148"/>
      <c r="WVE403" s="148"/>
      <c r="WVF403" s="148"/>
      <c r="WVG403" s="148"/>
      <c r="WVH403" s="148"/>
      <c r="WVI403" s="148"/>
      <c r="WVJ403" s="148"/>
      <c r="WVK403" s="148"/>
      <c r="WVL403" s="148"/>
      <c r="WVM403" s="148"/>
      <c r="WVN403" s="148"/>
      <c r="WVO403" s="148"/>
      <c r="WVP403" s="148"/>
      <c r="WVQ403" s="148"/>
      <c r="WVR403" s="148"/>
      <c r="WVS403" s="148"/>
      <c r="WVT403" s="148"/>
      <c r="WVU403" s="148"/>
      <c r="WVV403" s="148"/>
      <c r="WVW403" s="148"/>
      <c r="WVX403" s="148"/>
      <c r="WVY403" s="148"/>
      <c r="WVZ403" s="148"/>
      <c r="WWA403" s="148"/>
      <c r="WWB403" s="148"/>
      <c r="WWC403" s="148"/>
      <c r="WWD403" s="148"/>
      <c r="WWE403" s="148"/>
      <c r="WWF403" s="148"/>
      <c r="WWG403" s="148"/>
      <c r="WWH403" s="148"/>
      <c r="WWI403" s="148"/>
      <c r="WWJ403" s="148"/>
      <c r="WWK403" s="148"/>
      <c r="WWL403" s="148"/>
      <c r="WWM403" s="148"/>
      <c r="WWN403" s="148"/>
      <c r="WWO403" s="148"/>
      <c r="WWP403" s="148"/>
      <c r="WWQ403" s="148"/>
      <c r="WWR403" s="148"/>
      <c r="WWS403" s="148"/>
      <c r="WWT403" s="148"/>
      <c r="WWU403" s="148"/>
      <c r="WWV403" s="148"/>
      <c r="WWW403" s="148"/>
      <c r="WWX403" s="148"/>
      <c r="WWY403" s="148"/>
      <c r="WWZ403" s="148"/>
      <c r="WXA403" s="148"/>
      <c r="WXB403" s="148"/>
      <c r="WXC403" s="148"/>
      <c r="WXD403" s="148"/>
      <c r="WXE403" s="148"/>
      <c r="WXF403" s="148"/>
      <c r="WXG403" s="148"/>
      <c r="WXH403" s="148"/>
      <c r="WXI403" s="148"/>
      <c r="WXJ403" s="148"/>
      <c r="WXK403" s="148"/>
      <c r="WXL403" s="148"/>
      <c r="WXM403" s="148"/>
      <c r="WXN403" s="148"/>
      <c r="WXO403" s="148"/>
      <c r="WXP403" s="148"/>
      <c r="WXQ403" s="148"/>
      <c r="WXR403" s="148"/>
      <c r="WXS403" s="148"/>
      <c r="WXT403" s="148"/>
      <c r="WXU403" s="148"/>
      <c r="WXV403" s="148"/>
      <c r="WXW403" s="148"/>
      <c r="WXX403" s="148"/>
      <c r="WXY403" s="148"/>
      <c r="WXZ403" s="148"/>
      <c r="WYA403" s="148"/>
      <c r="WYB403" s="148"/>
      <c r="WYC403" s="148"/>
      <c r="WYD403" s="148"/>
      <c r="WYE403" s="148"/>
      <c r="WYF403" s="148"/>
      <c r="WYG403" s="148"/>
      <c r="WYH403" s="148"/>
      <c r="WYI403" s="148"/>
      <c r="WYJ403" s="148"/>
      <c r="WYK403" s="148"/>
      <c r="WYL403" s="148"/>
      <c r="WYM403" s="148"/>
      <c r="WYN403" s="148"/>
      <c r="WYO403" s="148"/>
      <c r="WYP403" s="148"/>
      <c r="WYQ403" s="148"/>
      <c r="WYR403" s="148"/>
      <c r="WYS403" s="148"/>
      <c r="WYT403" s="148"/>
      <c r="WYU403" s="148"/>
      <c r="WYV403" s="148"/>
      <c r="WYW403" s="148"/>
      <c r="WYX403" s="148"/>
      <c r="WYY403" s="148"/>
      <c r="WYZ403" s="148"/>
      <c r="WZA403" s="148"/>
      <c r="WZB403" s="148"/>
      <c r="WZC403" s="148"/>
      <c r="WZD403" s="148"/>
      <c r="WZE403" s="148"/>
      <c r="WZF403" s="148"/>
      <c r="WZG403" s="148"/>
      <c r="WZH403" s="148"/>
      <c r="WZI403" s="148"/>
      <c r="WZJ403" s="148"/>
      <c r="WZK403" s="148"/>
      <c r="WZL403" s="148"/>
      <c r="WZM403" s="148"/>
      <c r="WZN403" s="148"/>
      <c r="WZO403" s="148"/>
      <c r="WZP403" s="148"/>
      <c r="WZQ403" s="148"/>
      <c r="WZR403" s="148"/>
      <c r="WZS403" s="148"/>
      <c r="WZT403" s="148"/>
      <c r="WZU403" s="148"/>
      <c r="WZV403" s="148"/>
      <c r="WZW403" s="148"/>
      <c r="WZX403" s="148"/>
      <c r="WZY403" s="148"/>
      <c r="WZZ403" s="148"/>
      <c r="XAA403" s="148"/>
      <c r="XAB403" s="148"/>
      <c r="XAC403" s="148"/>
      <c r="XAD403" s="148"/>
      <c r="XAE403" s="148"/>
      <c r="XAF403" s="148"/>
      <c r="XAG403" s="148"/>
      <c r="XAH403" s="148"/>
      <c r="XAI403" s="148"/>
      <c r="XAJ403" s="148"/>
      <c r="XAK403" s="148"/>
      <c r="XAL403" s="148"/>
      <c r="XAM403" s="148"/>
      <c r="XAN403" s="148"/>
      <c r="XAO403" s="148"/>
      <c r="XAP403" s="148"/>
      <c r="XAQ403" s="148"/>
      <c r="XAR403" s="148"/>
      <c r="XAS403" s="148"/>
      <c r="XAT403" s="148"/>
      <c r="XAU403" s="148"/>
      <c r="XAV403" s="148"/>
      <c r="XAW403" s="148"/>
      <c r="XAX403" s="148"/>
      <c r="XAY403" s="148"/>
      <c r="XAZ403" s="148"/>
      <c r="XBA403" s="148"/>
      <c r="XBB403" s="148"/>
      <c r="XBC403" s="148"/>
      <c r="XBD403" s="148"/>
      <c r="XBE403" s="148"/>
      <c r="XBF403" s="148"/>
      <c r="XBG403" s="148"/>
      <c r="XBH403" s="148"/>
      <c r="XBI403" s="148"/>
      <c r="XBJ403" s="148"/>
      <c r="XBK403" s="148"/>
      <c r="XBL403" s="148"/>
      <c r="XBM403" s="148"/>
      <c r="XBN403" s="148"/>
      <c r="XBO403" s="148"/>
      <c r="XBP403" s="148"/>
      <c r="XBQ403" s="148"/>
      <c r="XBR403" s="148"/>
      <c r="XBS403" s="148"/>
      <c r="XBT403" s="148"/>
      <c r="XBU403" s="148"/>
      <c r="XBV403" s="148"/>
      <c r="XBW403" s="148"/>
      <c r="XBX403" s="148"/>
      <c r="XBY403" s="148"/>
      <c r="XBZ403" s="148"/>
      <c r="XCA403" s="148"/>
      <c r="XCB403" s="148"/>
      <c r="XCC403" s="148"/>
      <c r="XCD403" s="148"/>
      <c r="XCE403" s="148"/>
      <c r="XCF403" s="148"/>
      <c r="XCG403" s="148"/>
      <c r="XCH403" s="148"/>
      <c r="XCI403" s="148"/>
      <c r="XCJ403" s="148"/>
      <c r="XCK403" s="148"/>
      <c r="XCL403" s="148"/>
      <c r="XCM403" s="148"/>
      <c r="XCN403" s="148"/>
      <c r="XCO403" s="148"/>
      <c r="XCP403" s="148"/>
      <c r="XCQ403" s="148"/>
      <c r="XCR403" s="148"/>
      <c r="XCS403" s="148"/>
      <c r="XCT403" s="148"/>
      <c r="XCU403" s="148"/>
      <c r="XCV403" s="148"/>
      <c r="XCW403" s="148"/>
      <c r="XCX403" s="148"/>
      <c r="XCY403" s="148"/>
      <c r="XCZ403" s="148"/>
      <c r="XDA403" s="148"/>
      <c r="XDB403" s="148"/>
      <c r="XDC403" s="148"/>
      <c r="XDD403" s="148"/>
      <c r="XDE403" s="148"/>
      <c r="XDF403" s="148"/>
      <c r="XDG403" s="148"/>
      <c r="XDH403" s="148"/>
      <c r="XDI403" s="148"/>
      <c r="XDJ403" s="148"/>
      <c r="XDK403" s="148"/>
      <c r="XDL403" s="148"/>
      <c r="XDM403" s="148"/>
      <c r="XDN403" s="148"/>
      <c r="XDO403" s="148"/>
      <c r="XDP403" s="148"/>
      <c r="XDQ403" s="148"/>
      <c r="XDR403" s="148"/>
      <c r="XDS403" s="148"/>
      <c r="XDT403" s="148"/>
      <c r="XDU403" s="148"/>
      <c r="XDV403" s="148"/>
      <c r="XDW403" s="148"/>
      <c r="XDX403" s="148"/>
      <c r="XDY403" s="148"/>
      <c r="XDZ403" s="148"/>
      <c r="XEA403" s="148"/>
      <c r="XEB403" s="148"/>
      <c r="XEC403" s="148"/>
      <c r="XED403" s="148"/>
      <c r="XEE403" s="148"/>
      <c r="XEF403" s="148"/>
      <c r="XEG403" s="148"/>
      <c r="XEH403" s="148"/>
      <c r="XEI403" s="148"/>
      <c r="XEJ403" s="148"/>
      <c r="XEK403" s="148"/>
      <c r="XEL403" s="148"/>
      <c r="XEM403" s="148"/>
      <c r="XEN403" s="148"/>
      <c r="XEO403" s="148"/>
      <c r="XEP403" s="148"/>
      <c r="XEQ403" s="148"/>
      <c r="XER403" s="148"/>
      <c r="XES403" s="148"/>
      <c r="XET403" s="148"/>
      <c r="XEU403" s="148"/>
      <c r="XEV403" s="148"/>
    </row>
    <row r="404" ht="16" customHeight="1" spans="1:12">
      <c r="A404" s="102"/>
      <c r="B404" s="102"/>
      <c r="C404" s="102"/>
      <c r="D404" s="102"/>
      <c r="E404" s="102"/>
      <c r="F404" s="102"/>
      <c r="G404" s="102"/>
      <c r="H404" s="102"/>
      <c r="I404" s="102" t="s">
        <v>13025</v>
      </c>
      <c r="J404" s="102"/>
      <c r="K404" s="102"/>
      <c r="L404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4"/>
  <sheetViews>
    <sheetView topLeftCell="B246" workbookViewId="0">
      <selection activeCell="F273" sqref="F273"/>
    </sheetView>
  </sheetViews>
  <sheetFormatPr defaultColWidth="9" defaultRowHeight="13.5"/>
  <cols>
    <col min="4" max="4" width="21.25" customWidth="1"/>
    <col min="9" max="9" width="9.625" customWidth="1"/>
    <col min="10" max="10" width="13.875" customWidth="1"/>
    <col min="12" max="12" width="11.75" customWidth="1"/>
  </cols>
  <sheetData>
    <row r="1" ht="18.75" spans="1:12">
      <c r="A1" s="99" t="s">
        <v>13026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ht="16" customHeight="1" spans="1:13">
      <c r="A3" s="132">
        <v>1</v>
      </c>
      <c r="B3" s="102" t="s">
        <v>13027</v>
      </c>
      <c r="C3" s="15" t="s">
        <v>13028</v>
      </c>
      <c r="D3" s="142" t="s">
        <v>13029</v>
      </c>
      <c r="E3" s="102">
        <v>2020</v>
      </c>
      <c r="F3" s="102">
        <v>2020</v>
      </c>
      <c r="G3" s="132" t="s">
        <v>16</v>
      </c>
      <c r="H3" s="15">
        <v>200</v>
      </c>
      <c r="I3" s="15">
        <v>200</v>
      </c>
      <c r="J3" s="128"/>
      <c r="K3" s="104"/>
      <c r="L3" s="105">
        <v>20201118</v>
      </c>
      <c r="M3" s="133"/>
    </row>
    <row r="4" ht="16" customHeight="1" spans="1:13">
      <c r="A4" s="132">
        <v>2</v>
      </c>
      <c r="B4" s="102" t="s">
        <v>13027</v>
      </c>
      <c r="C4" s="15" t="s">
        <v>13030</v>
      </c>
      <c r="D4" s="142" t="s">
        <v>13031</v>
      </c>
      <c r="E4" s="102">
        <v>2020</v>
      </c>
      <c r="F4" s="102">
        <v>2020</v>
      </c>
      <c r="G4" s="132" t="s">
        <v>16</v>
      </c>
      <c r="H4" s="15">
        <v>200</v>
      </c>
      <c r="I4" s="15">
        <v>200</v>
      </c>
      <c r="J4" s="128"/>
      <c r="K4" s="104"/>
      <c r="L4" s="105">
        <v>20201118</v>
      </c>
      <c r="M4" s="133"/>
    </row>
    <row r="5" ht="16" customHeight="1" spans="1:13">
      <c r="A5" s="132">
        <v>3</v>
      </c>
      <c r="B5" s="102" t="s">
        <v>13027</v>
      </c>
      <c r="C5" s="15" t="s">
        <v>13032</v>
      </c>
      <c r="D5" s="142" t="s">
        <v>13033</v>
      </c>
      <c r="E5" s="102">
        <v>2020</v>
      </c>
      <c r="F5" s="102">
        <v>2020</v>
      </c>
      <c r="G5" s="132" t="s">
        <v>16</v>
      </c>
      <c r="H5" s="15">
        <v>3000</v>
      </c>
      <c r="I5" s="15">
        <v>3000</v>
      </c>
      <c r="J5" s="102"/>
      <c r="K5" s="104"/>
      <c r="L5" s="105">
        <v>20201118</v>
      </c>
      <c r="M5" s="133"/>
    </row>
    <row r="6" ht="16" customHeight="1" spans="1:13">
      <c r="A6" s="132">
        <v>4</v>
      </c>
      <c r="B6" s="102" t="s">
        <v>13027</v>
      </c>
      <c r="C6" s="15" t="s">
        <v>13034</v>
      </c>
      <c r="D6" s="142" t="s">
        <v>13035</v>
      </c>
      <c r="E6" s="102">
        <v>2020</v>
      </c>
      <c r="F6" s="102">
        <v>2020</v>
      </c>
      <c r="G6" s="132" t="s">
        <v>16</v>
      </c>
      <c r="H6" s="15">
        <v>200</v>
      </c>
      <c r="I6" s="15">
        <v>200</v>
      </c>
      <c r="J6" s="102"/>
      <c r="K6" s="104"/>
      <c r="L6" s="105">
        <v>20201118</v>
      </c>
      <c r="M6" s="133"/>
    </row>
    <row r="7" ht="16" customHeight="1" spans="1:13">
      <c r="A7" s="132">
        <v>5</v>
      </c>
      <c r="B7" s="102" t="s">
        <v>13027</v>
      </c>
      <c r="C7" s="15" t="s">
        <v>11803</v>
      </c>
      <c r="D7" s="142" t="s">
        <v>13036</v>
      </c>
      <c r="E7" s="102">
        <v>2020</v>
      </c>
      <c r="F7" s="102">
        <v>2020</v>
      </c>
      <c r="G7" s="132" t="s">
        <v>16</v>
      </c>
      <c r="H7" s="15">
        <v>200</v>
      </c>
      <c r="I7" s="15">
        <v>200</v>
      </c>
      <c r="J7" s="102"/>
      <c r="K7" s="104"/>
      <c r="L7" s="105">
        <v>20201118</v>
      </c>
      <c r="M7" s="133"/>
    </row>
    <row r="8" ht="16" customHeight="1" spans="1:13">
      <c r="A8" s="132">
        <v>6</v>
      </c>
      <c r="B8" s="102" t="s">
        <v>13027</v>
      </c>
      <c r="C8" s="15" t="s">
        <v>13037</v>
      </c>
      <c r="D8" s="142" t="s">
        <v>13038</v>
      </c>
      <c r="E8" s="102">
        <v>2020</v>
      </c>
      <c r="F8" s="102">
        <v>2020</v>
      </c>
      <c r="G8" s="132" t="s">
        <v>16</v>
      </c>
      <c r="H8" s="15">
        <v>200</v>
      </c>
      <c r="I8" s="15">
        <v>200</v>
      </c>
      <c r="J8" s="102"/>
      <c r="K8" s="104"/>
      <c r="L8" s="105">
        <v>20201118</v>
      </c>
      <c r="M8" s="133"/>
    </row>
    <row r="9" ht="16" customHeight="1" spans="1:13">
      <c r="A9" s="132">
        <v>7</v>
      </c>
      <c r="B9" s="102" t="s">
        <v>13027</v>
      </c>
      <c r="C9" s="15" t="s">
        <v>11786</v>
      </c>
      <c r="D9" s="142" t="s">
        <v>13039</v>
      </c>
      <c r="E9" s="102">
        <v>2020</v>
      </c>
      <c r="F9" s="102">
        <v>2020</v>
      </c>
      <c r="G9" s="132" t="s">
        <v>16</v>
      </c>
      <c r="H9" s="15">
        <v>200</v>
      </c>
      <c r="I9" s="15">
        <v>200</v>
      </c>
      <c r="J9" s="102"/>
      <c r="K9" s="104"/>
      <c r="L9" s="105">
        <v>20201118</v>
      </c>
      <c r="M9" s="133"/>
    </row>
    <row r="10" ht="16" customHeight="1" spans="1:13">
      <c r="A10" s="132">
        <v>8</v>
      </c>
      <c r="B10" s="102" t="s">
        <v>13027</v>
      </c>
      <c r="C10" s="15" t="s">
        <v>1518</v>
      </c>
      <c r="D10" s="142" t="s">
        <v>13040</v>
      </c>
      <c r="E10" s="102">
        <v>2020</v>
      </c>
      <c r="F10" s="102">
        <v>2020</v>
      </c>
      <c r="G10" s="132" t="s">
        <v>16</v>
      </c>
      <c r="H10" s="15">
        <v>200</v>
      </c>
      <c r="I10" s="15">
        <v>200</v>
      </c>
      <c r="J10" s="102" t="s">
        <v>1242</v>
      </c>
      <c r="K10" s="104"/>
      <c r="L10" s="105">
        <v>20201118</v>
      </c>
      <c r="M10" s="133"/>
    </row>
    <row r="11" ht="16" customHeight="1" spans="1:13">
      <c r="A11" s="132">
        <v>9</v>
      </c>
      <c r="B11" s="102" t="s">
        <v>13027</v>
      </c>
      <c r="C11" s="15" t="s">
        <v>13041</v>
      </c>
      <c r="D11" s="142" t="s">
        <v>13042</v>
      </c>
      <c r="E11" s="102">
        <v>2020</v>
      </c>
      <c r="F11" s="102">
        <v>2020</v>
      </c>
      <c r="G11" s="132" t="s">
        <v>16</v>
      </c>
      <c r="H11" s="15">
        <v>200</v>
      </c>
      <c r="I11" s="15">
        <v>200</v>
      </c>
      <c r="J11" s="102"/>
      <c r="K11" s="104"/>
      <c r="L11" s="105">
        <v>20201118</v>
      </c>
      <c r="M11" s="133"/>
    </row>
    <row r="12" ht="16" customHeight="1" spans="1:13">
      <c r="A12" s="132">
        <v>10</v>
      </c>
      <c r="B12" s="102" t="s">
        <v>13027</v>
      </c>
      <c r="C12" s="15" t="s">
        <v>13043</v>
      </c>
      <c r="D12" s="142" t="s">
        <v>13044</v>
      </c>
      <c r="E12" s="102">
        <v>2020</v>
      </c>
      <c r="F12" s="102">
        <v>2020</v>
      </c>
      <c r="G12" s="132" t="s">
        <v>16</v>
      </c>
      <c r="H12" s="15">
        <v>1000</v>
      </c>
      <c r="I12" s="15">
        <v>1000</v>
      </c>
      <c r="J12" s="102"/>
      <c r="K12" s="104"/>
      <c r="L12" s="105">
        <v>20201118</v>
      </c>
      <c r="M12" s="133"/>
    </row>
    <row r="13" ht="16" customHeight="1" spans="1:13">
      <c r="A13" s="132">
        <v>11</v>
      </c>
      <c r="B13" s="102" t="s">
        <v>13027</v>
      </c>
      <c r="C13" s="15" t="s">
        <v>13045</v>
      </c>
      <c r="D13" s="142" t="s">
        <v>13046</v>
      </c>
      <c r="E13" s="102">
        <v>2020</v>
      </c>
      <c r="F13" s="102">
        <v>2020</v>
      </c>
      <c r="G13" s="132" t="s">
        <v>16</v>
      </c>
      <c r="H13" s="15">
        <v>200</v>
      </c>
      <c r="I13" s="15">
        <v>200</v>
      </c>
      <c r="J13" s="102"/>
      <c r="K13" s="104"/>
      <c r="L13" s="105">
        <v>20201118</v>
      </c>
      <c r="M13" s="133"/>
    </row>
    <row r="14" ht="16" customHeight="1" spans="1:13">
      <c r="A14" s="132">
        <v>12</v>
      </c>
      <c r="B14" s="102" t="s">
        <v>13027</v>
      </c>
      <c r="C14" s="15" t="s">
        <v>13047</v>
      </c>
      <c r="D14" s="142" t="s">
        <v>13048</v>
      </c>
      <c r="E14" s="102">
        <v>2020</v>
      </c>
      <c r="F14" s="102">
        <v>2020</v>
      </c>
      <c r="G14" s="132" t="s">
        <v>16</v>
      </c>
      <c r="H14" s="15">
        <v>200</v>
      </c>
      <c r="I14" s="15">
        <v>200</v>
      </c>
      <c r="J14" s="102"/>
      <c r="K14" s="104"/>
      <c r="L14" s="105">
        <v>20201118</v>
      </c>
      <c r="M14" s="133"/>
    </row>
    <row r="15" ht="16" customHeight="1" spans="1:13">
      <c r="A15" s="132">
        <v>13</v>
      </c>
      <c r="B15" s="102" t="s">
        <v>13027</v>
      </c>
      <c r="C15" s="15" t="s">
        <v>13049</v>
      </c>
      <c r="D15" s="142" t="s">
        <v>13050</v>
      </c>
      <c r="E15" s="102">
        <v>2020</v>
      </c>
      <c r="F15" s="102">
        <v>2020</v>
      </c>
      <c r="G15" s="132" t="s">
        <v>16</v>
      </c>
      <c r="H15" s="15">
        <v>200</v>
      </c>
      <c r="I15" s="15">
        <v>200</v>
      </c>
      <c r="J15" s="102"/>
      <c r="K15" s="104"/>
      <c r="L15" s="105">
        <v>20201118</v>
      </c>
      <c r="M15" s="133"/>
    </row>
    <row r="16" ht="16" customHeight="1" spans="1:13">
      <c r="A16" s="132">
        <v>14</v>
      </c>
      <c r="B16" s="102" t="s">
        <v>13027</v>
      </c>
      <c r="C16" s="15" t="s">
        <v>13051</v>
      </c>
      <c r="D16" s="142" t="s">
        <v>13052</v>
      </c>
      <c r="E16" s="102">
        <v>2020</v>
      </c>
      <c r="F16" s="102">
        <v>2020</v>
      </c>
      <c r="G16" s="132" t="s">
        <v>16</v>
      </c>
      <c r="H16" s="15">
        <v>200</v>
      </c>
      <c r="I16" s="15">
        <v>200</v>
      </c>
      <c r="J16" s="102"/>
      <c r="K16" s="104"/>
      <c r="L16" s="105">
        <v>20201118</v>
      </c>
      <c r="M16" s="133"/>
    </row>
    <row r="17" ht="16" customHeight="1" spans="1:13">
      <c r="A17" s="132">
        <v>15</v>
      </c>
      <c r="B17" s="102" t="s">
        <v>13027</v>
      </c>
      <c r="C17" s="15" t="s">
        <v>13053</v>
      </c>
      <c r="D17" s="142" t="s">
        <v>13054</v>
      </c>
      <c r="E17" s="102">
        <v>2020</v>
      </c>
      <c r="F17" s="102">
        <v>2020</v>
      </c>
      <c r="G17" s="132" t="s">
        <v>16</v>
      </c>
      <c r="H17" s="15">
        <v>200</v>
      </c>
      <c r="I17" s="15">
        <v>200</v>
      </c>
      <c r="J17" s="102"/>
      <c r="K17" s="104"/>
      <c r="L17" s="105">
        <v>20201118</v>
      </c>
      <c r="M17" s="133"/>
    </row>
    <row r="18" ht="16" customHeight="1" spans="1:13">
      <c r="A18" s="132">
        <v>16</v>
      </c>
      <c r="B18" s="102" t="s">
        <v>13027</v>
      </c>
      <c r="C18" s="15" t="s">
        <v>13055</v>
      </c>
      <c r="D18" s="142" t="s">
        <v>13056</v>
      </c>
      <c r="E18" s="102">
        <v>2020</v>
      </c>
      <c r="F18" s="102">
        <v>2020</v>
      </c>
      <c r="G18" s="132" t="s">
        <v>16</v>
      </c>
      <c r="H18" s="15">
        <v>200</v>
      </c>
      <c r="I18" s="15">
        <v>200</v>
      </c>
      <c r="J18" s="102"/>
      <c r="K18" s="104"/>
      <c r="L18" s="105">
        <v>20201118</v>
      </c>
      <c r="M18" s="133"/>
    </row>
    <row r="19" ht="16" customHeight="1" spans="1:13">
      <c r="A19" s="132">
        <v>17</v>
      </c>
      <c r="B19" s="102" t="s">
        <v>13027</v>
      </c>
      <c r="C19" s="15" t="s">
        <v>13057</v>
      </c>
      <c r="D19" s="142" t="s">
        <v>13058</v>
      </c>
      <c r="E19" s="102">
        <v>2020</v>
      </c>
      <c r="F19" s="102">
        <v>2020</v>
      </c>
      <c r="G19" s="132" t="s">
        <v>16</v>
      </c>
      <c r="H19" s="15">
        <v>200</v>
      </c>
      <c r="I19" s="15">
        <v>200</v>
      </c>
      <c r="J19" s="102"/>
      <c r="K19" s="104"/>
      <c r="L19" s="105">
        <v>20201118</v>
      </c>
      <c r="M19" s="133"/>
    </row>
    <row r="20" ht="16" customHeight="1" spans="1:13">
      <c r="A20" s="132">
        <v>18</v>
      </c>
      <c r="B20" s="102" t="s">
        <v>13027</v>
      </c>
      <c r="C20" s="15" t="s">
        <v>13059</v>
      </c>
      <c r="D20" s="142" t="s">
        <v>13060</v>
      </c>
      <c r="E20" s="102">
        <v>2020</v>
      </c>
      <c r="F20" s="102">
        <v>2020</v>
      </c>
      <c r="G20" s="132" t="s">
        <v>16</v>
      </c>
      <c r="H20" s="15">
        <v>200</v>
      </c>
      <c r="I20" s="15">
        <v>200</v>
      </c>
      <c r="J20" s="102"/>
      <c r="K20" s="104"/>
      <c r="L20" s="105">
        <v>20201118</v>
      </c>
      <c r="M20" s="133"/>
    </row>
    <row r="21" ht="16" customHeight="1" spans="1:13">
      <c r="A21" s="132">
        <v>19</v>
      </c>
      <c r="B21" s="102" t="s">
        <v>13027</v>
      </c>
      <c r="C21" s="15" t="s">
        <v>13061</v>
      </c>
      <c r="D21" s="142" t="s">
        <v>13062</v>
      </c>
      <c r="E21" s="102">
        <v>2020</v>
      </c>
      <c r="F21" s="102">
        <v>2020</v>
      </c>
      <c r="G21" s="132" t="s">
        <v>16</v>
      </c>
      <c r="H21" s="15">
        <v>200</v>
      </c>
      <c r="I21" s="15">
        <v>200</v>
      </c>
      <c r="J21" s="102"/>
      <c r="K21" s="104"/>
      <c r="L21" s="105">
        <v>20201118</v>
      </c>
      <c r="M21" s="133"/>
    </row>
    <row r="22" ht="16" customHeight="1" spans="1:13">
      <c r="A22" s="132">
        <v>20</v>
      </c>
      <c r="B22" s="102" t="s">
        <v>13027</v>
      </c>
      <c r="C22" s="15" t="s">
        <v>13063</v>
      </c>
      <c r="D22" s="142" t="s">
        <v>13064</v>
      </c>
      <c r="E22" s="102">
        <v>2020</v>
      </c>
      <c r="F22" s="102">
        <v>2020</v>
      </c>
      <c r="G22" s="132" t="s">
        <v>16</v>
      </c>
      <c r="H22" s="15">
        <v>200</v>
      </c>
      <c r="I22" s="15">
        <v>200</v>
      </c>
      <c r="J22" s="102"/>
      <c r="K22" s="104"/>
      <c r="L22" s="105">
        <v>20201118</v>
      </c>
      <c r="M22" s="133"/>
    </row>
    <row r="23" ht="16" customHeight="1" spans="1:13">
      <c r="A23" s="132">
        <v>21</v>
      </c>
      <c r="B23" s="102" t="s">
        <v>13027</v>
      </c>
      <c r="C23" s="15" t="s">
        <v>13065</v>
      </c>
      <c r="D23" s="142" t="s">
        <v>13066</v>
      </c>
      <c r="E23" s="102">
        <v>2020</v>
      </c>
      <c r="F23" s="102">
        <v>2020</v>
      </c>
      <c r="G23" s="132" t="s">
        <v>16</v>
      </c>
      <c r="H23" s="15">
        <v>200</v>
      </c>
      <c r="I23" s="15">
        <v>200</v>
      </c>
      <c r="J23" s="102"/>
      <c r="K23" s="104"/>
      <c r="L23" s="105">
        <v>20201118</v>
      </c>
      <c r="M23" s="133"/>
    </row>
    <row r="24" ht="16" customHeight="1" spans="1:13">
      <c r="A24" s="132">
        <v>22</v>
      </c>
      <c r="B24" s="102" t="s">
        <v>13027</v>
      </c>
      <c r="C24" s="15" t="s">
        <v>13067</v>
      </c>
      <c r="D24" s="142" t="s">
        <v>13068</v>
      </c>
      <c r="E24" s="102">
        <v>2020</v>
      </c>
      <c r="F24" s="102">
        <v>2020</v>
      </c>
      <c r="G24" s="132" t="s">
        <v>16</v>
      </c>
      <c r="H24" s="15">
        <v>200</v>
      </c>
      <c r="I24" s="15">
        <v>200</v>
      </c>
      <c r="J24" s="102"/>
      <c r="K24" s="104"/>
      <c r="L24" s="105">
        <v>20201118</v>
      </c>
      <c r="M24" s="133"/>
    </row>
    <row r="25" ht="16" customHeight="1" spans="1:13">
      <c r="A25" s="132">
        <v>23</v>
      </c>
      <c r="B25" s="102" t="s">
        <v>13027</v>
      </c>
      <c r="C25" s="15" t="s">
        <v>13069</v>
      </c>
      <c r="D25" s="142" t="s">
        <v>13070</v>
      </c>
      <c r="E25" s="102">
        <v>2020</v>
      </c>
      <c r="F25" s="102">
        <v>2020</v>
      </c>
      <c r="G25" s="132" t="s">
        <v>16</v>
      </c>
      <c r="H25" s="15">
        <v>200</v>
      </c>
      <c r="I25" s="15">
        <v>200</v>
      </c>
      <c r="J25" s="102"/>
      <c r="K25" s="104"/>
      <c r="L25" s="105">
        <v>20201118</v>
      </c>
      <c r="M25" s="133"/>
    </row>
    <row r="26" ht="16" customHeight="1" spans="1:13">
      <c r="A26" s="132">
        <v>24</v>
      </c>
      <c r="B26" s="102" t="s">
        <v>13027</v>
      </c>
      <c r="C26" s="15" t="s">
        <v>13071</v>
      </c>
      <c r="D26" s="142" t="s">
        <v>13072</v>
      </c>
      <c r="E26" s="102">
        <v>2020</v>
      </c>
      <c r="F26" s="102">
        <v>2020</v>
      </c>
      <c r="G26" s="132" t="s">
        <v>16</v>
      </c>
      <c r="H26" s="15">
        <v>200</v>
      </c>
      <c r="I26" s="15">
        <v>200</v>
      </c>
      <c r="J26" s="102"/>
      <c r="K26" s="104"/>
      <c r="L26" s="105">
        <v>20201118</v>
      </c>
      <c r="M26" s="133"/>
    </row>
    <row r="27" ht="16" customHeight="1" spans="1:13">
      <c r="A27" s="132">
        <v>25</v>
      </c>
      <c r="B27" s="102" t="s">
        <v>13027</v>
      </c>
      <c r="C27" s="15" t="s">
        <v>13073</v>
      </c>
      <c r="D27" s="142" t="s">
        <v>13074</v>
      </c>
      <c r="E27" s="102">
        <v>2020</v>
      </c>
      <c r="F27" s="102">
        <v>2020</v>
      </c>
      <c r="G27" s="132" t="s">
        <v>16</v>
      </c>
      <c r="H27" s="15">
        <v>200</v>
      </c>
      <c r="I27" s="15">
        <v>200</v>
      </c>
      <c r="J27" s="102"/>
      <c r="K27" s="104"/>
      <c r="L27" s="105">
        <v>20201118</v>
      </c>
      <c r="M27" s="133"/>
    </row>
    <row r="28" ht="16" customHeight="1" spans="1:13">
      <c r="A28" s="132">
        <v>26</v>
      </c>
      <c r="B28" s="102" t="s">
        <v>13027</v>
      </c>
      <c r="C28" s="15" t="s">
        <v>13075</v>
      </c>
      <c r="D28" s="142" t="s">
        <v>13076</v>
      </c>
      <c r="E28" s="102">
        <v>2020</v>
      </c>
      <c r="F28" s="102">
        <v>2020</v>
      </c>
      <c r="G28" s="132" t="s">
        <v>16</v>
      </c>
      <c r="H28" s="15">
        <v>200</v>
      </c>
      <c r="I28" s="15">
        <v>200</v>
      </c>
      <c r="J28" s="102"/>
      <c r="K28" s="104"/>
      <c r="L28" s="105">
        <v>20201118</v>
      </c>
      <c r="M28" s="133"/>
    </row>
    <row r="29" ht="16" customHeight="1" spans="1:13">
      <c r="A29" s="132">
        <v>27</v>
      </c>
      <c r="B29" s="102" t="s">
        <v>13027</v>
      </c>
      <c r="C29" s="15" t="s">
        <v>13077</v>
      </c>
      <c r="D29" s="142" t="s">
        <v>13078</v>
      </c>
      <c r="E29" s="102">
        <v>2020</v>
      </c>
      <c r="F29" s="102">
        <v>2020</v>
      </c>
      <c r="G29" s="132" t="s">
        <v>16</v>
      </c>
      <c r="H29" s="15">
        <v>200</v>
      </c>
      <c r="I29" s="15">
        <v>200</v>
      </c>
      <c r="J29" s="102"/>
      <c r="K29" s="104"/>
      <c r="L29" s="105">
        <v>20201118</v>
      </c>
      <c r="M29" s="133"/>
    </row>
    <row r="30" ht="16" customHeight="1" spans="1:13">
      <c r="A30" s="132">
        <v>28</v>
      </c>
      <c r="B30" s="102" t="s">
        <v>13027</v>
      </c>
      <c r="C30" s="15" t="s">
        <v>13079</v>
      </c>
      <c r="D30" s="142" t="s">
        <v>13080</v>
      </c>
      <c r="E30" s="102">
        <v>2020</v>
      </c>
      <c r="F30" s="102">
        <v>2020</v>
      </c>
      <c r="G30" s="132" t="s">
        <v>16</v>
      </c>
      <c r="H30" s="15">
        <v>200</v>
      </c>
      <c r="I30" s="15">
        <v>200</v>
      </c>
      <c r="J30" s="102"/>
      <c r="K30" s="104"/>
      <c r="L30" s="105">
        <v>20201118</v>
      </c>
      <c r="M30" s="133"/>
    </row>
    <row r="31" ht="16" customHeight="1" spans="1:13">
      <c r="A31" s="132">
        <v>29</v>
      </c>
      <c r="B31" s="102" t="s">
        <v>13027</v>
      </c>
      <c r="C31" s="15" t="s">
        <v>13081</v>
      </c>
      <c r="D31" s="142" t="s">
        <v>13082</v>
      </c>
      <c r="E31" s="102">
        <v>2020</v>
      </c>
      <c r="F31" s="102">
        <v>2020</v>
      </c>
      <c r="G31" s="132" t="s">
        <v>16</v>
      </c>
      <c r="H31" s="15">
        <v>200</v>
      </c>
      <c r="I31" s="15">
        <v>200</v>
      </c>
      <c r="J31" s="102" t="s">
        <v>1242</v>
      </c>
      <c r="K31" s="104"/>
      <c r="L31" s="105">
        <v>20201118</v>
      </c>
      <c r="M31" s="133"/>
    </row>
    <row r="32" ht="16" customHeight="1" spans="1:13">
      <c r="A32" s="132">
        <v>30</v>
      </c>
      <c r="B32" s="102" t="s">
        <v>13027</v>
      </c>
      <c r="C32" s="15" t="s">
        <v>13083</v>
      </c>
      <c r="D32" s="142" t="s">
        <v>13084</v>
      </c>
      <c r="E32" s="102">
        <v>2020</v>
      </c>
      <c r="F32" s="102">
        <v>2020</v>
      </c>
      <c r="G32" s="132" t="s">
        <v>16</v>
      </c>
      <c r="H32" s="15">
        <v>200</v>
      </c>
      <c r="I32" s="15">
        <v>200</v>
      </c>
      <c r="J32" s="102"/>
      <c r="K32" s="104"/>
      <c r="L32" s="105">
        <v>20201118</v>
      </c>
      <c r="M32" s="133"/>
    </row>
    <row r="33" ht="16" customHeight="1" spans="1:13">
      <c r="A33" s="132">
        <v>31</v>
      </c>
      <c r="B33" s="102" t="s">
        <v>13027</v>
      </c>
      <c r="C33" s="15" t="s">
        <v>196</v>
      </c>
      <c r="D33" s="142" t="s">
        <v>13085</v>
      </c>
      <c r="E33" s="102">
        <v>2020</v>
      </c>
      <c r="F33" s="102">
        <v>2020</v>
      </c>
      <c r="G33" s="132" t="s">
        <v>16</v>
      </c>
      <c r="H33" s="15">
        <v>200</v>
      </c>
      <c r="I33" s="15">
        <v>200</v>
      </c>
      <c r="J33" s="102" t="s">
        <v>1242</v>
      </c>
      <c r="K33" s="104"/>
      <c r="L33" s="105">
        <v>20201118</v>
      </c>
      <c r="M33" s="133"/>
    </row>
    <row r="34" ht="16" customHeight="1" spans="1:13">
      <c r="A34" s="132">
        <v>32</v>
      </c>
      <c r="B34" s="102" t="s">
        <v>13027</v>
      </c>
      <c r="C34" s="15" t="s">
        <v>13086</v>
      </c>
      <c r="D34" s="142" t="s">
        <v>13087</v>
      </c>
      <c r="E34" s="102">
        <v>2020</v>
      </c>
      <c r="F34" s="102">
        <v>2020</v>
      </c>
      <c r="G34" s="132" t="s">
        <v>16</v>
      </c>
      <c r="H34" s="15">
        <v>200</v>
      </c>
      <c r="I34" s="15">
        <v>200</v>
      </c>
      <c r="J34" s="102"/>
      <c r="K34" s="104"/>
      <c r="L34" s="105">
        <v>20201118</v>
      </c>
      <c r="M34" s="133"/>
    </row>
    <row r="35" ht="16" customHeight="1" spans="1:13">
      <c r="A35" s="132">
        <v>33</v>
      </c>
      <c r="B35" s="102" t="s">
        <v>13027</v>
      </c>
      <c r="C35" s="15" t="s">
        <v>8324</v>
      </c>
      <c r="D35" s="142" t="s">
        <v>13088</v>
      </c>
      <c r="E35" s="102">
        <v>2020</v>
      </c>
      <c r="F35" s="102">
        <v>2020</v>
      </c>
      <c r="G35" s="132" t="s">
        <v>16</v>
      </c>
      <c r="H35" s="15">
        <v>200</v>
      </c>
      <c r="I35" s="15">
        <v>200</v>
      </c>
      <c r="J35" s="102"/>
      <c r="K35" s="104"/>
      <c r="L35" s="105">
        <v>20201118</v>
      </c>
      <c r="M35" s="133"/>
    </row>
    <row r="36" ht="16" customHeight="1" spans="1:13">
      <c r="A36" s="132">
        <v>34</v>
      </c>
      <c r="B36" s="102" t="s">
        <v>13027</v>
      </c>
      <c r="C36" s="15" t="s">
        <v>13089</v>
      </c>
      <c r="D36" s="142" t="s">
        <v>13090</v>
      </c>
      <c r="E36" s="102">
        <v>2020</v>
      </c>
      <c r="F36" s="102">
        <v>2020</v>
      </c>
      <c r="G36" s="132" t="s">
        <v>16</v>
      </c>
      <c r="H36" s="15">
        <v>200</v>
      </c>
      <c r="I36" s="15">
        <v>200</v>
      </c>
      <c r="J36" s="102"/>
      <c r="K36" s="104"/>
      <c r="L36" s="105">
        <v>20201118</v>
      </c>
      <c r="M36" s="133"/>
    </row>
    <row r="37" ht="16" customHeight="1" spans="1:13">
      <c r="A37" s="132">
        <v>35</v>
      </c>
      <c r="B37" s="102" t="s">
        <v>13027</v>
      </c>
      <c r="C37" s="15" t="s">
        <v>13091</v>
      </c>
      <c r="D37" s="142" t="s">
        <v>13092</v>
      </c>
      <c r="E37" s="102">
        <v>2020</v>
      </c>
      <c r="F37" s="102">
        <v>2020</v>
      </c>
      <c r="G37" s="132" t="s">
        <v>16</v>
      </c>
      <c r="H37" s="15">
        <v>200</v>
      </c>
      <c r="I37" s="15">
        <v>200</v>
      </c>
      <c r="J37" s="102"/>
      <c r="K37" s="104"/>
      <c r="L37" s="105">
        <v>20201118</v>
      </c>
      <c r="M37" s="133"/>
    </row>
    <row r="38" ht="16" customHeight="1" spans="1:13">
      <c r="A38" s="132">
        <v>36</v>
      </c>
      <c r="B38" s="102" t="s">
        <v>13027</v>
      </c>
      <c r="C38" s="15" t="s">
        <v>13093</v>
      </c>
      <c r="D38" s="142" t="s">
        <v>13094</v>
      </c>
      <c r="E38" s="102">
        <v>2020</v>
      </c>
      <c r="F38" s="102">
        <v>2020</v>
      </c>
      <c r="G38" s="132" t="s">
        <v>16</v>
      </c>
      <c r="H38" s="15">
        <v>200</v>
      </c>
      <c r="I38" s="15">
        <v>200</v>
      </c>
      <c r="J38" s="102"/>
      <c r="K38" s="104"/>
      <c r="L38" s="105">
        <v>20201118</v>
      </c>
      <c r="M38" s="133"/>
    </row>
    <row r="39" ht="16" customHeight="1" spans="1:13">
      <c r="A39" s="132">
        <v>37</v>
      </c>
      <c r="B39" s="102" t="s">
        <v>13027</v>
      </c>
      <c r="C39" s="15" t="s">
        <v>13095</v>
      </c>
      <c r="D39" s="142" t="s">
        <v>13096</v>
      </c>
      <c r="E39" s="102">
        <v>2020</v>
      </c>
      <c r="F39" s="102">
        <v>2020</v>
      </c>
      <c r="G39" s="132" t="s">
        <v>16</v>
      </c>
      <c r="H39" s="15">
        <v>200</v>
      </c>
      <c r="I39" s="15">
        <v>200</v>
      </c>
      <c r="J39" s="102" t="s">
        <v>1242</v>
      </c>
      <c r="K39" s="104"/>
      <c r="L39" s="105">
        <v>20201118</v>
      </c>
      <c r="M39" s="133"/>
    </row>
    <row r="40" ht="16" customHeight="1" spans="1:13">
      <c r="A40" s="132">
        <v>38</v>
      </c>
      <c r="B40" s="102" t="s">
        <v>13027</v>
      </c>
      <c r="C40" s="15" t="s">
        <v>7654</v>
      </c>
      <c r="D40" s="142" t="s">
        <v>13097</v>
      </c>
      <c r="E40" s="102">
        <v>2020</v>
      </c>
      <c r="F40" s="102">
        <v>2020</v>
      </c>
      <c r="G40" s="132" t="s">
        <v>16</v>
      </c>
      <c r="H40" s="15">
        <v>200</v>
      </c>
      <c r="I40" s="15">
        <v>200</v>
      </c>
      <c r="J40" s="102"/>
      <c r="K40" s="104"/>
      <c r="L40" s="105">
        <v>20201118</v>
      </c>
      <c r="M40" s="133"/>
    </row>
    <row r="41" ht="16" customHeight="1" spans="1:13">
      <c r="A41" s="132">
        <v>39</v>
      </c>
      <c r="B41" s="102" t="s">
        <v>13027</v>
      </c>
      <c r="C41" s="15" t="s">
        <v>13098</v>
      </c>
      <c r="D41" s="142" t="s">
        <v>13099</v>
      </c>
      <c r="E41" s="102">
        <v>2020</v>
      </c>
      <c r="F41" s="102">
        <v>2020</v>
      </c>
      <c r="G41" s="132" t="s">
        <v>16</v>
      </c>
      <c r="H41" s="15">
        <v>200</v>
      </c>
      <c r="I41" s="15">
        <v>200</v>
      </c>
      <c r="J41" s="102"/>
      <c r="K41" s="104"/>
      <c r="L41" s="105">
        <v>20201118</v>
      </c>
      <c r="M41" s="133"/>
    </row>
    <row r="42" ht="16" customHeight="1" spans="1:13">
      <c r="A42" s="132">
        <v>40</v>
      </c>
      <c r="B42" s="102" t="s">
        <v>13027</v>
      </c>
      <c r="C42" s="15" t="s">
        <v>13100</v>
      </c>
      <c r="D42" s="142" t="s">
        <v>13101</v>
      </c>
      <c r="E42" s="102">
        <v>2020</v>
      </c>
      <c r="F42" s="102">
        <v>2020</v>
      </c>
      <c r="G42" s="132" t="s">
        <v>16</v>
      </c>
      <c r="H42" s="15">
        <v>200</v>
      </c>
      <c r="I42" s="15">
        <v>200</v>
      </c>
      <c r="J42" s="102"/>
      <c r="K42" s="104"/>
      <c r="L42" s="105">
        <v>20201118</v>
      </c>
      <c r="M42" s="133"/>
    </row>
    <row r="43" ht="16" customHeight="1" spans="1:13">
      <c r="A43" s="132">
        <v>41</v>
      </c>
      <c r="B43" s="102" t="s">
        <v>13027</v>
      </c>
      <c r="C43" s="15" t="s">
        <v>13102</v>
      </c>
      <c r="D43" s="142" t="s">
        <v>13103</v>
      </c>
      <c r="E43" s="102">
        <v>2020</v>
      </c>
      <c r="F43" s="102">
        <v>2020</v>
      </c>
      <c r="G43" s="132" t="s">
        <v>16</v>
      </c>
      <c r="H43" s="15">
        <v>200</v>
      </c>
      <c r="I43" s="15">
        <v>200</v>
      </c>
      <c r="J43" s="102"/>
      <c r="K43" s="104"/>
      <c r="L43" s="105">
        <v>20201118</v>
      </c>
      <c r="M43" s="133"/>
    </row>
    <row r="44" ht="16" customHeight="1" spans="1:13">
      <c r="A44" s="132">
        <v>42</v>
      </c>
      <c r="B44" s="102" t="s">
        <v>13027</v>
      </c>
      <c r="C44" s="15" t="s">
        <v>13104</v>
      </c>
      <c r="D44" s="142" t="s">
        <v>13105</v>
      </c>
      <c r="E44" s="102">
        <v>2020</v>
      </c>
      <c r="F44" s="102">
        <v>2020</v>
      </c>
      <c r="G44" s="132" t="s">
        <v>16</v>
      </c>
      <c r="H44" s="15">
        <v>200</v>
      </c>
      <c r="I44" s="15">
        <v>200</v>
      </c>
      <c r="J44" s="102"/>
      <c r="K44" s="104"/>
      <c r="L44" s="105">
        <v>20201118</v>
      </c>
      <c r="M44" s="133"/>
    </row>
    <row r="45" ht="16" customHeight="1" spans="1:13">
      <c r="A45" s="132">
        <v>43</v>
      </c>
      <c r="B45" s="102" t="s">
        <v>13027</v>
      </c>
      <c r="C45" s="15" t="s">
        <v>13106</v>
      </c>
      <c r="D45" s="142" t="s">
        <v>13107</v>
      </c>
      <c r="E45" s="102">
        <v>2020</v>
      </c>
      <c r="F45" s="102">
        <v>2020</v>
      </c>
      <c r="G45" s="132" t="s">
        <v>16</v>
      </c>
      <c r="H45" s="15">
        <v>200</v>
      </c>
      <c r="I45" s="15">
        <v>200</v>
      </c>
      <c r="J45" s="102"/>
      <c r="K45" s="104"/>
      <c r="L45" s="105">
        <v>20201118</v>
      </c>
      <c r="M45" s="133"/>
    </row>
    <row r="46" ht="16" customHeight="1" spans="1:13">
      <c r="A46" s="132">
        <v>44</v>
      </c>
      <c r="B46" s="102" t="s">
        <v>13027</v>
      </c>
      <c r="C46" s="15" t="s">
        <v>13108</v>
      </c>
      <c r="D46" s="142" t="s">
        <v>13109</v>
      </c>
      <c r="E46" s="102">
        <v>2020</v>
      </c>
      <c r="F46" s="102">
        <v>2020</v>
      </c>
      <c r="G46" s="132" t="s">
        <v>16</v>
      </c>
      <c r="H46" s="15">
        <v>200</v>
      </c>
      <c r="I46" s="15">
        <v>200</v>
      </c>
      <c r="J46" s="102"/>
      <c r="K46" s="104"/>
      <c r="L46" s="105">
        <v>20201118</v>
      </c>
      <c r="M46" s="133"/>
    </row>
    <row r="47" ht="16" customHeight="1" spans="1:13">
      <c r="A47" s="132">
        <v>45</v>
      </c>
      <c r="B47" s="102" t="s">
        <v>13027</v>
      </c>
      <c r="C47" s="15" t="s">
        <v>13110</v>
      </c>
      <c r="D47" s="142" t="s">
        <v>13111</v>
      </c>
      <c r="E47" s="102">
        <v>2020</v>
      </c>
      <c r="F47" s="102">
        <v>2020</v>
      </c>
      <c r="G47" s="132" t="s">
        <v>16</v>
      </c>
      <c r="H47" s="15">
        <v>200</v>
      </c>
      <c r="I47" s="15">
        <v>200</v>
      </c>
      <c r="J47" s="102"/>
      <c r="K47" s="104"/>
      <c r="L47" s="105">
        <v>20201118</v>
      </c>
      <c r="M47" s="133"/>
    </row>
    <row r="48" ht="16" customHeight="1" spans="1:13">
      <c r="A48" s="132">
        <v>46</v>
      </c>
      <c r="B48" s="102" t="s">
        <v>13027</v>
      </c>
      <c r="C48" s="15" t="s">
        <v>13112</v>
      </c>
      <c r="D48" s="142" t="s">
        <v>13113</v>
      </c>
      <c r="E48" s="102">
        <v>2020</v>
      </c>
      <c r="F48" s="102">
        <v>2020</v>
      </c>
      <c r="G48" s="132" t="s">
        <v>16</v>
      </c>
      <c r="H48" s="15">
        <v>200</v>
      </c>
      <c r="I48" s="15">
        <v>200</v>
      </c>
      <c r="J48" s="102"/>
      <c r="K48" s="104"/>
      <c r="L48" s="105">
        <v>20201118</v>
      </c>
      <c r="M48" s="133"/>
    </row>
    <row r="49" ht="16" customHeight="1" spans="1:13">
      <c r="A49" s="132">
        <v>47</v>
      </c>
      <c r="B49" s="102" t="s">
        <v>13027</v>
      </c>
      <c r="C49" s="15" t="s">
        <v>7925</v>
      </c>
      <c r="D49" s="142" t="s">
        <v>13114</v>
      </c>
      <c r="E49" s="102">
        <v>2020</v>
      </c>
      <c r="F49" s="102">
        <v>2020</v>
      </c>
      <c r="G49" s="132" t="s">
        <v>16</v>
      </c>
      <c r="H49" s="15">
        <v>200</v>
      </c>
      <c r="I49" s="15">
        <v>200</v>
      </c>
      <c r="J49" s="102"/>
      <c r="K49" s="104"/>
      <c r="L49" s="105">
        <v>20201118</v>
      </c>
      <c r="M49" s="133"/>
    </row>
    <row r="50" ht="16" customHeight="1" spans="1:13">
      <c r="A50" s="132">
        <v>48</v>
      </c>
      <c r="B50" s="102" t="s">
        <v>13027</v>
      </c>
      <c r="C50" s="15" t="s">
        <v>13115</v>
      </c>
      <c r="D50" s="142" t="s">
        <v>13116</v>
      </c>
      <c r="E50" s="102">
        <v>2020</v>
      </c>
      <c r="F50" s="102">
        <v>2020</v>
      </c>
      <c r="G50" s="132" t="s">
        <v>16</v>
      </c>
      <c r="H50" s="15">
        <v>200</v>
      </c>
      <c r="I50" s="15">
        <v>200</v>
      </c>
      <c r="J50" s="102"/>
      <c r="K50" s="104"/>
      <c r="L50" s="105">
        <v>20201118</v>
      </c>
      <c r="M50" s="133"/>
    </row>
    <row r="51" ht="16" customHeight="1" spans="1:13">
      <c r="A51" s="132">
        <v>49</v>
      </c>
      <c r="B51" s="102" t="s">
        <v>13027</v>
      </c>
      <c r="C51" s="15" t="s">
        <v>13117</v>
      </c>
      <c r="D51" s="142" t="s">
        <v>13118</v>
      </c>
      <c r="E51" s="102">
        <v>2020</v>
      </c>
      <c r="F51" s="102">
        <v>2020</v>
      </c>
      <c r="G51" s="132" t="s">
        <v>16</v>
      </c>
      <c r="H51" s="15">
        <v>200</v>
      </c>
      <c r="I51" s="15">
        <v>200</v>
      </c>
      <c r="J51" s="102" t="s">
        <v>3647</v>
      </c>
      <c r="K51" s="104"/>
      <c r="L51" s="105">
        <v>20201118</v>
      </c>
      <c r="M51" s="133"/>
    </row>
    <row r="52" ht="16" customHeight="1" spans="1:13">
      <c r="A52" s="132">
        <v>50</v>
      </c>
      <c r="B52" s="102" t="s">
        <v>13027</v>
      </c>
      <c r="C52" s="15" t="s">
        <v>13119</v>
      </c>
      <c r="D52" s="142" t="s">
        <v>13120</v>
      </c>
      <c r="E52" s="102">
        <v>2020</v>
      </c>
      <c r="F52" s="102">
        <v>2020</v>
      </c>
      <c r="G52" s="132" t="s">
        <v>16</v>
      </c>
      <c r="H52" s="15">
        <v>200</v>
      </c>
      <c r="I52" s="15">
        <v>200</v>
      </c>
      <c r="J52" s="102"/>
      <c r="K52" s="104"/>
      <c r="L52" s="105">
        <v>20201118</v>
      </c>
      <c r="M52" s="133"/>
    </row>
    <row r="53" ht="16" customHeight="1" spans="1:13">
      <c r="A53" s="132">
        <v>51</v>
      </c>
      <c r="B53" s="102" t="s">
        <v>13027</v>
      </c>
      <c r="C53" s="15" t="s">
        <v>13121</v>
      </c>
      <c r="D53" s="142" t="s">
        <v>13122</v>
      </c>
      <c r="E53" s="102">
        <v>2020</v>
      </c>
      <c r="F53" s="102">
        <v>2020</v>
      </c>
      <c r="G53" s="132" t="s">
        <v>16</v>
      </c>
      <c r="H53" s="15">
        <v>200</v>
      </c>
      <c r="I53" s="15">
        <v>200</v>
      </c>
      <c r="J53" s="102"/>
      <c r="K53" s="104"/>
      <c r="L53" s="105">
        <v>20201118</v>
      </c>
      <c r="M53" s="133"/>
    </row>
    <row r="54" ht="16" customHeight="1" spans="1:13">
      <c r="A54" s="132">
        <v>52</v>
      </c>
      <c r="B54" s="102" t="s">
        <v>13027</v>
      </c>
      <c r="C54" s="15" t="s">
        <v>4182</v>
      </c>
      <c r="D54" s="142" t="s">
        <v>13123</v>
      </c>
      <c r="E54" s="102">
        <v>2020</v>
      </c>
      <c r="F54" s="102">
        <v>2020</v>
      </c>
      <c r="G54" s="132" t="s">
        <v>16</v>
      </c>
      <c r="H54" s="15">
        <v>200</v>
      </c>
      <c r="I54" s="15">
        <v>200</v>
      </c>
      <c r="J54" s="102"/>
      <c r="K54" s="104"/>
      <c r="L54" s="105">
        <v>20201118</v>
      </c>
      <c r="M54" s="133"/>
    </row>
    <row r="55" ht="16" customHeight="1" spans="1:13">
      <c r="A55" s="132">
        <v>53</v>
      </c>
      <c r="B55" s="102" t="s">
        <v>13027</v>
      </c>
      <c r="C55" s="15" t="s">
        <v>13124</v>
      </c>
      <c r="D55" s="142" t="s">
        <v>13125</v>
      </c>
      <c r="E55" s="102">
        <v>2020</v>
      </c>
      <c r="F55" s="102">
        <v>2020</v>
      </c>
      <c r="G55" s="132" t="s">
        <v>16</v>
      </c>
      <c r="H55" s="15">
        <v>200</v>
      </c>
      <c r="I55" s="15">
        <v>200</v>
      </c>
      <c r="J55" s="102"/>
      <c r="K55" s="104"/>
      <c r="L55" s="105">
        <v>20201118</v>
      </c>
      <c r="M55" s="133"/>
    </row>
    <row r="56" ht="16" customHeight="1" spans="1:13">
      <c r="A56" s="132">
        <v>54</v>
      </c>
      <c r="B56" s="102" t="s">
        <v>13027</v>
      </c>
      <c r="C56" s="15" t="s">
        <v>13126</v>
      </c>
      <c r="D56" s="142" t="s">
        <v>13127</v>
      </c>
      <c r="E56" s="102">
        <v>2020</v>
      </c>
      <c r="F56" s="102">
        <v>2020</v>
      </c>
      <c r="G56" s="132" t="s">
        <v>16</v>
      </c>
      <c r="H56" s="15">
        <v>200</v>
      </c>
      <c r="I56" s="15">
        <v>200</v>
      </c>
      <c r="J56" s="102"/>
      <c r="K56" s="104"/>
      <c r="L56" s="105">
        <v>20201118</v>
      </c>
      <c r="M56" s="133"/>
    </row>
    <row r="57" ht="16" customHeight="1" spans="1:13">
      <c r="A57" s="132">
        <v>55</v>
      </c>
      <c r="B57" s="102" t="s">
        <v>13027</v>
      </c>
      <c r="C57" s="15" t="s">
        <v>13128</v>
      </c>
      <c r="D57" s="142" t="s">
        <v>13129</v>
      </c>
      <c r="E57" s="102">
        <v>2020</v>
      </c>
      <c r="F57" s="102">
        <v>2020</v>
      </c>
      <c r="G57" s="132" t="s">
        <v>16</v>
      </c>
      <c r="H57" s="15">
        <v>200</v>
      </c>
      <c r="I57" s="15">
        <v>200</v>
      </c>
      <c r="J57" s="102"/>
      <c r="K57" s="104"/>
      <c r="L57" s="105">
        <v>20201118</v>
      </c>
      <c r="M57" s="133"/>
    </row>
    <row r="58" ht="16" customHeight="1" spans="1:13">
      <c r="A58" s="132">
        <v>56</v>
      </c>
      <c r="B58" s="102" t="s">
        <v>13027</v>
      </c>
      <c r="C58" s="15" t="s">
        <v>13130</v>
      </c>
      <c r="D58" s="142" t="s">
        <v>13131</v>
      </c>
      <c r="E58" s="102">
        <v>2020</v>
      </c>
      <c r="F58" s="102">
        <v>2020</v>
      </c>
      <c r="G58" s="132" t="s">
        <v>16</v>
      </c>
      <c r="H58" s="15">
        <v>200</v>
      </c>
      <c r="I58" s="15">
        <v>200</v>
      </c>
      <c r="J58" s="102"/>
      <c r="K58" s="104"/>
      <c r="L58" s="105">
        <v>20201118</v>
      </c>
      <c r="M58" s="133"/>
    </row>
    <row r="59" ht="16" customHeight="1" spans="1:13">
      <c r="A59" s="132">
        <v>57</v>
      </c>
      <c r="B59" s="102" t="s">
        <v>13027</v>
      </c>
      <c r="C59" s="15" t="s">
        <v>13132</v>
      </c>
      <c r="D59" s="142" t="s">
        <v>13133</v>
      </c>
      <c r="E59" s="102">
        <v>2020</v>
      </c>
      <c r="F59" s="102">
        <v>2020</v>
      </c>
      <c r="G59" s="132" t="s">
        <v>16</v>
      </c>
      <c r="H59" s="15">
        <v>200</v>
      </c>
      <c r="I59" s="15">
        <v>200</v>
      </c>
      <c r="J59" s="102"/>
      <c r="K59" s="104"/>
      <c r="L59" s="105">
        <v>20201118</v>
      </c>
      <c r="M59" s="133"/>
    </row>
    <row r="60" ht="16" customHeight="1" spans="1:13">
      <c r="A60" s="132">
        <v>58</v>
      </c>
      <c r="B60" s="102" t="s">
        <v>13027</v>
      </c>
      <c r="C60" s="15" t="s">
        <v>12539</v>
      </c>
      <c r="D60" s="142" t="s">
        <v>13134</v>
      </c>
      <c r="E60" s="102">
        <v>2020</v>
      </c>
      <c r="F60" s="102">
        <v>2020</v>
      </c>
      <c r="G60" s="132" t="s">
        <v>16</v>
      </c>
      <c r="H60" s="15">
        <v>200</v>
      </c>
      <c r="I60" s="15">
        <v>200</v>
      </c>
      <c r="J60" s="102"/>
      <c r="K60" s="104"/>
      <c r="L60" s="105">
        <v>20201118</v>
      </c>
      <c r="M60" s="133"/>
    </row>
    <row r="61" ht="16" customHeight="1" spans="1:13">
      <c r="A61" s="132">
        <v>59</v>
      </c>
      <c r="B61" s="102" t="s">
        <v>13027</v>
      </c>
      <c r="C61" s="15" t="s">
        <v>13135</v>
      </c>
      <c r="D61" s="142" t="s">
        <v>13136</v>
      </c>
      <c r="E61" s="102">
        <v>2020</v>
      </c>
      <c r="F61" s="102">
        <v>2020</v>
      </c>
      <c r="G61" s="132" t="s">
        <v>16</v>
      </c>
      <c r="H61" s="15">
        <v>200</v>
      </c>
      <c r="I61" s="15">
        <v>200</v>
      </c>
      <c r="J61" s="102"/>
      <c r="K61" s="104"/>
      <c r="L61" s="105">
        <v>20201118</v>
      </c>
      <c r="M61" s="133"/>
    </row>
    <row r="62" ht="16" customHeight="1" spans="1:13">
      <c r="A62" s="132">
        <v>60</v>
      </c>
      <c r="B62" s="102" t="s">
        <v>13027</v>
      </c>
      <c r="C62" s="15" t="s">
        <v>13137</v>
      </c>
      <c r="D62" s="142" t="s">
        <v>13138</v>
      </c>
      <c r="E62" s="102">
        <v>2020</v>
      </c>
      <c r="F62" s="102">
        <v>2020</v>
      </c>
      <c r="G62" s="132" t="s">
        <v>16</v>
      </c>
      <c r="H62" s="15">
        <v>200</v>
      </c>
      <c r="I62" s="15">
        <v>200</v>
      </c>
      <c r="J62" s="102"/>
      <c r="K62" s="104"/>
      <c r="L62" s="105">
        <v>20201118</v>
      </c>
      <c r="M62" s="133"/>
    </row>
    <row r="63" ht="16" customHeight="1" spans="1:13">
      <c r="A63" s="132">
        <v>61</v>
      </c>
      <c r="B63" s="102" t="s">
        <v>13027</v>
      </c>
      <c r="C63" s="15" t="s">
        <v>13139</v>
      </c>
      <c r="D63" s="142" t="s">
        <v>13140</v>
      </c>
      <c r="E63" s="102">
        <v>2020</v>
      </c>
      <c r="F63" s="102">
        <v>2020</v>
      </c>
      <c r="G63" s="132" t="s">
        <v>16</v>
      </c>
      <c r="H63" s="15">
        <v>200</v>
      </c>
      <c r="I63" s="15">
        <v>200</v>
      </c>
      <c r="J63" s="102"/>
      <c r="K63" s="104"/>
      <c r="L63" s="105">
        <v>20201118</v>
      </c>
      <c r="M63" s="133"/>
    </row>
    <row r="64" ht="16" customHeight="1" spans="1:13">
      <c r="A64" s="132">
        <v>62</v>
      </c>
      <c r="B64" s="102" t="s">
        <v>13027</v>
      </c>
      <c r="C64" s="15" t="s">
        <v>13141</v>
      </c>
      <c r="D64" s="142" t="s">
        <v>13142</v>
      </c>
      <c r="E64" s="102">
        <v>2020</v>
      </c>
      <c r="F64" s="102">
        <v>2020</v>
      </c>
      <c r="G64" s="132" t="s">
        <v>16</v>
      </c>
      <c r="H64" s="15">
        <v>200</v>
      </c>
      <c r="I64" s="15">
        <v>200</v>
      </c>
      <c r="J64" s="102"/>
      <c r="K64" s="104"/>
      <c r="L64" s="105">
        <v>20201118</v>
      </c>
      <c r="M64" s="133"/>
    </row>
    <row r="65" ht="16" customHeight="1" spans="1:13">
      <c r="A65" s="132">
        <v>63</v>
      </c>
      <c r="B65" s="102" t="s">
        <v>13027</v>
      </c>
      <c r="C65" s="15" t="s">
        <v>13143</v>
      </c>
      <c r="D65" s="142" t="s">
        <v>13144</v>
      </c>
      <c r="E65" s="102">
        <v>2020</v>
      </c>
      <c r="F65" s="102">
        <v>2020</v>
      </c>
      <c r="G65" s="132" t="s">
        <v>16</v>
      </c>
      <c r="H65" s="15">
        <v>200</v>
      </c>
      <c r="I65" s="15">
        <v>200</v>
      </c>
      <c r="J65" s="102"/>
      <c r="K65" s="104"/>
      <c r="L65" s="105">
        <v>20201118</v>
      </c>
      <c r="M65" s="133"/>
    </row>
    <row r="66" ht="16" customHeight="1" spans="1:13">
      <c r="A66" s="132">
        <v>64</v>
      </c>
      <c r="B66" s="102" t="s">
        <v>13027</v>
      </c>
      <c r="C66" s="15" t="s">
        <v>13145</v>
      </c>
      <c r="D66" s="142" t="s">
        <v>13146</v>
      </c>
      <c r="E66" s="102">
        <v>2020</v>
      </c>
      <c r="F66" s="102">
        <v>2020</v>
      </c>
      <c r="G66" s="132" t="s">
        <v>16</v>
      </c>
      <c r="H66" s="15">
        <v>200</v>
      </c>
      <c r="I66" s="15">
        <v>200</v>
      </c>
      <c r="J66" s="102"/>
      <c r="K66" s="104"/>
      <c r="L66" s="105">
        <v>20201118</v>
      </c>
      <c r="M66" s="133"/>
    </row>
    <row r="67" ht="16" customHeight="1" spans="1:13">
      <c r="A67" s="132">
        <v>65</v>
      </c>
      <c r="B67" s="102" t="s">
        <v>13027</v>
      </c>
      <c r="C67" s="15" t="s">
        <v>13147</v>
      </c>
      <c r="D67" s="142" t="s">
        <v>13148</v>
      </c>
      <c r="E67" s="102">
        <v>2020</v>
      </c>
      <c r="F67" s="102">
        <v>2020</v>
      </c>
      <c r="G67" s="132" t="s">
        <v>16</v>
      </c>
      <c r="H67" s="15">
        <v>200</v>
      </c>
      <c r="I67" s="15">
        <v>200</v>
      </c>
      <c r="J67" s="102"/>
      <c r="K67" s="104"/>
      <c r="L67" s="105">
        <v>20201118</v>
      </c>
      <c r="M67" s="133"/>
    </row>
    <row r="68" ht="16" customHeight="1" spans="1:13">
      <c r="A68" s="132">
        <v>66</v>
      </c>
      <c r="B68" s="102" t="s">
        <v>13027</v>
      </c>
      <c r="C68" s="15" t="s">
        <v>13149</v>
      </c>
      <c r="D68" s="142" t="s">
        <v>13150</v>
      </c>
      <c r="E68" s="102">
        <v>2020</v>
      </c>
      <c r="F68" s="102">
        <v>2020</v>
      </c>
      <c r="G68" s="132" t="s">
        <v>16</v>
      </c>
      <c r="H68" s="15">
        <v>200</v>
      </c>
      <c r="I68" s="15">
        <v>200</v>
      </c>
      <c r="J68" s="102"/>
      <c r="K68" s="104"/>
      <c r="L68" s="105">
        <v>20201118</v>
      </c>
      <c r="M68" s="133"/>
    </row>
    <row r="69" ht="16" customHeight="1" spans="1:13">
      <c r="A69" s="132">
        <v>67</v>
      </c>
      <c r="B69" s="102" t="s">
        <v>13027</v>
      </c>
      <c r="C69" s="15" t="s">
        <v>13151</v>
      </c>
      <c r="D69" s="142" t="s">
        <v>13152</v>
      </c>
      <c r="E69" s="102">
        <v>2020</v>
      </c>
      <c r="F69" s="102">
        <v>2020</v>
      </c>
      <c r="G69" s="132" t="s">
        <v>16</v>
      </c>
      <c r="H69" s="15">
        <v>200</v>
      </c>
      <c r="I69" s="15">
        <v>200</v>
      </c>
      <c r="J69" s="102"/>
      <c r="K69" s="104"/>
      <c r="L69" s="105">
        <v>20201118</v>
      </c>
      <c r="M69" s="133"/>
    </row>
    <row r="70" ht="16" customHeight="1" spans="1:13">
      <c r="A70" s="132">
        <v>68</v>
      </c>
      <c r="B70" s="102" t="s">
        <v>13027</v>
      </c>
      <c r="C70" s="15" t="s">
        <v>13153</v>
      </c>
      <c r="D70" s="142" t="s">
        <v>13154</v>
      </c>
      <c r="E70" s="102">
        <v>2020</v>
      </c>
      <c r="F70" s="102">
        <v>2020</v>
      </c>
      <c r="G70" s="132" t="s">
        <v>16</v>
      </c>
      <c r="H70" s="15">
        <v>200</v>
      </c>
      <c r="I70" s="15">
        <v>200</v>
      </c>
      <c r="J70" s="102"/>
      <c r="K70" s="104"/>
      <c r="L70" s="105">
        <v>20201118</v>
      </c>
      <c r="M70" s="133"/>
    </row>
    <row r="71" ht="16" customHeight="1" spans="1:13">
      <c r="A71" s="132">
        <v>69</v>
      </c>
      <c r="B71" s="102" t="s">
        <v>13027</v>
      </c>
      <c r="C71" s="15" t="s">
        <v>1858</v>
      </c>
      <c r="D71" s="142" t="s">
        <v>13155</v>
      </c>
      <c r="E71" s="102">
        <v>2020</v>
      </c>
      <c r="F71" s="102">
        <v>2020</v>
      </c>
      <c r="G71" s="132" t="s">
        <v>16</v>
      </c>
      <c r="H71" s="15">
        <v>200</v>
      </c>
      <c r="I71" s="15">
        <v>200</v>
      </c>
      <c r="J71" s="102"/>
      <c r="K71" s="104"/>
      <c r="L71" s="105">
        <v>20201118</v>
      </c>
      <c r="M71" s="133"/>
    </row>
    <row r="72" ht="16" customHeight="1" spans="1:13">
      <c r="A72" s="132">
        <v>70</v>
      </c>
      <c r="B72" s="102" t="s">
        <v>13027</v>
      </c>
      <c r="C72" s="15" t="s">
        <v>13156</v>
      </c>
      <c r="D72" s="142" t="s">
        <v>13157</v>
      </c>
      <c r="E72" s="102">
        <v>2020</v>
      </c>
      <c r="F72" s="102">
        <v>2020</v>
      </c>
      <c r="G72" s="132" t="s">
        <v>16</v>
      </c>
      <c r="H72" s="15">
        <v>200</v>
      </c>
      <c r="I72" s="15">
        <v>200</v>
      </c>
      <c r="J72" s="102"/>
      <c r="K72" s="104"/>
      <c r="L72" s="105">
        <v>20201118</v>
      </c>
      <c r="M72" s="133"/>
    </row>
    <row r="73" ht="16" customHeight="1" spans="1:13">
      <c r="A73" s="132">
        <v>71</v>
      </c>
      <c r="B73" s="102" t="s">
        <v>13027</v>
      </c>
      <c r="C73" s="15" t="s">
        <v>13158</v>
      </c>
      <c r="D73" s="142" t="s">
        <v>13159</v>
      </c>
      <c r="E73" s="102">
        <v>2020</v>
      </c>
      <c r="F73" s="102">
        <v>2020</v>
      </c>
      <c r="G73" s="132" t="s">
        <v>16</v>
      </c>
      <c r="H73" s="15">
        <v>200</v>
      </c>
      <c r="I73" s="15">
        <v>200</v>
      </c>
      <c r="J73" s="102"/>
      <c r="K73" s="104"/>
      <c r="L73" s="105">
        <v>20201118</v>
      </c>
      <c r="M73" s="133"/>
    </row>
    <row r="74" ht="16" customHeight="1" spans="1:13">
      <c r="A74" s="132">
        <v>72</v>
      </c>
      <c r="B74" s="102" t="s">
        <v>13027</v>
      </c>
      <c r="C74" s="15" t="s">
        <v>13160</v>
      </c>
      <c r="D74" s="142" t="s">
        <v>13161</v>
      </c>
      <c r="E74" s="102">
        <v>2020</v>
      </c>
      <c r="F74" s="102">
        <v>2020</v>
      </c>
      <c r="G74" s="132" t="s">
        <v>16</v>
      </c>
      <c r="H74" s="15">
        <v>200</v>
      </c>
      <c r="I74" s="15">
        <v>200</v>
      </c>
      <c r="J74" s="102"/>
      <c r="K74" s="104"/>
      <c r="L74" s="105">
        <v>20201118</v>
      </c>
      <c r="M74" s="133"/>
    </row>
    <row r="75" ht="16" customHeight="1" spans="1:13">
      <c r="A75" s="132">
        <v>73</v>
      </c>
      <c r="B75" s="102" t="s">
        <v>13027</v>
      </c>
      <c r="C75" s="15" t="s">
        <v>13162</v>
      </c>
      <c r="D75" s="142" t="s">
        <v>13163</v>
      </c>
      <c r="E75" s="102">
        <v>2020</v>
      </c>
      <c r="F75" s="102">
        <v>2020</v>
      </c>
      <c r="G75" s="132" t="s">
        <v>16</v>
      </c>
      <c r="H75" s="15">
        <v>200</v>
      </c>
      <c r="I75" s="15">
        <v>200</v>
      </c>
      <c r="J75" s="102"/>
      <c r="K75" s="104"/>
      <c r="L75" s="105">
        <v>20201118</v>
      </c>
      <c r="M75" s="133"/>
    </row>
    <row r="76" ht="16" customHeight="1" spans="1:13">
      <c r="A76" s="132">
        <v>74</v>
      </c>
      <c r="B76" s="102" t="s">
        <v>13027</v>
      </c>
      <c r="C76" s="15" t="s">
        <v>13164</v>
      </c>
      <c r="D76" s="142" t="s">
        <v>13165</v>
      </c>
      <c r="E76" s="102">
        <v>2020</v>
      </c>
      <c r="F76" s="102">
        <v>2020</v>
      </c>
      <c r="G76" s="132" t="s">
        <v>16</v>
      </c>
      <c r="H76" s="15">
        <v>200</v>
      </c>
      <c r="I76" s="15">
        <v>200</v>
      </c>
      <c r="J76" s="102"/>
      <c r="K76" s="104"/>
      <c r="L76" s="105">
        <v>20201118</v>
      </c>
      <c r="M76" s="133"/>
    </row>
    <row r="77" ht="16" customHeight="1" spans="1:13">
      <c r="A77" s="132">
        <v>75</v>
      </c>
      <c r="B77" s="102" t="s">
        <v>13027</v>
      </c>
      <c r="C77" s="15" t="s">
        <v>13166</v>
      </c>
      <c r="D77" s="142" t="s">
        <v>13167</v>
      </c>
      <c r="E77" s="102">
        <v>2020</v>
      </c>
      <c r="F77" s="102">
        <v>2020</v>
      </c>
      <c r="G77" s="132" t="s">
        <v>16</v>
      </c>
      <c r="H77" s="15">
        <v>200</v>
      </c>
      <c r="I77" s="15">
        <v>200</v>
      </c>
      <c r="J77" s="102"/>
      <c r="K77" s="104"/>
      <c r="L77" s="105">
        <v>20201118</v>
      </c>
      <c r="M77" s="133"/>
    </row>
    <row r="78" ht="16" customHeight="1" spans="1:13">
      <c r="A78" s="132">
        <v>76</v>
      </c>
      <c r="B78" s="102" t="s">
        <v>13027</v>
      </c>
      <c r="C78" s="15" t="s">
        <v>13168</v>
      </c>
      <c r="D78" s="142" t="s">
        <v>13169</v>
      </c>
      <c r="E78" s="102">
        <v>2020</v>
      </c>
      <c r="F78" s="102">
        <v>2020</v>
      </c>
      <c r="G78" s="132" t="s">
        <v>16</v>
      </c>
      <c r="H78" s="15">
        <v>200</v>
      </c>
      <c r="I78" s="15">
        <v>200</v>
      </c>
      <c r="J78" s="102"/>
      <c r="K78" s="104"/>
      <c r="L78" s="105">
        <v>20201118</v>
      </c>
      <c r="M78" s="133"/>
    </row>
    <row r="79" ht="16" customHeight="1" spans="1:13">
      <c r="A79" s="132">
        <v>77</v>
      </c>
      <c r="B79" s="102" t="s">
        <v>13027</v>
      </c>
      <c r="C79" s="15" t="s">
        <v>13170</v>
      </c>
      <c r="D79" s="142" t="s">
        <v>13171</v>
      </c>
      <c r="E79" s="102">
        <v>2020</v>
      </c>
      <c r="F79" s="102">
        <v>2020</v>
      </c>
      <c r="G79" s="132" t="s">
        <v>16</v>
      </c>
      <c r="H79" s="15">
        <v>200</v>
      </c>
      <c r="I79" s="15">
        <v>200</v>
      </c>
      <c r="J79" s="102"/>
      <c r="K79" s="104"/>
      <c r="L79" s="105">
        <v>20201118</v>
      </c>
      <c r="M79" s="133"/>
    </row>
    <row r="80" ht="16" customHeight="1" spans="1:13">
      <c r="A80" s="132">
        <v>78</v>
      </c>
      <c r="B80" s="102" t="s">
        <v>13027</v>
      </c>
      <c r="C80" s="15" t="s">
        <v>13172</v>
      </c>
      <c r="D80" s="142" t="s">
        <v>13173</v>
      </c>
      <c r="E80" s="102">
        <v>2020</v>
      </c>
      <c r="F80" s="102">
        <v>2020</v>
      </c>
      <c r="G80" s="132" t="s">
        <v>16</v>
      </c>
      <c r="H80" s="15">
        <v>200</v>
      </c>
      <c r="I80" s="15">
        <v>200</v>
      </c>
      <c r="J80" s="102"/>
      <c r="K80" s="104"/>
      <c r="L80" s="105">
        <v>20201118</v>
      </c>
      <c r="M80" s="133"/>
    </row>
    <row r="81" ht="16" customHeight="1" spans="1:13">
      <c r="A81" s="132">
        <v>79</v>
      </c>
      <c r="B81" s="102" t="s">
        <v>13027</v>
      </c>
      <c r="C81" s="15" t="s">
        <v>13174</v>
      </c>
      <c r="D81" s="142" t="s">
        <v>13175</v>
      </c>
      <c r="E81" s="102">
        <v>2020</v>
      </c>
      <c r="F81" s="102">
        <v>2020</v>
      </c>
      <c r="G81" s="132" t="s">
        <v>16</v>
      </c>
      <c r="H81" s="15">
        <v>200</v>
      </c>
      <c r="I81" s="15">
        <v>200</v>
      </c>
      <c r="J81" s="102"/>
      <c r="K81" s="104"/>
      <c r="L81" s="105">
        <v>20201118</v>
      </c>
      <c r="M81" s="133"/>
    </row>
    <row r="82" ht="16" customHeight="1" spans="1:13">
      <c r="A82" s="132">
        <v>80</v>
      </c>
      <c r="B82" s="102" t="s">
        <v>13027</v>
      </c>
      <c r="C82" s="15" t="s">
        <v>13176</v>
      </c>
      <c r="D82" s="142" t="s">
        <v>13177</v>
      </c>
      <c r="E82" s="102">
        <v>2020</v>
      </c>
      <c r="F82" s="102">
        <v>2020</v>
      </c>
      <c r="G82" s="132" t="s">
        <v>16</v>
      </c>
      <c r="H82" s="15">
        <v>200</v>
      </c>
      <c r="I82" s="15">
        <v>200</v>
      </c>
      <c r="J82" s="102"/>
      <c r="K82" s="104"/>
      <c r="L82" s="105">
        <v>20201118</v>
      </c>
      <c r="M82" s="133"/>
    </row>
    <row r="83" ht="16" customHeight="1" spans="1:13">
      <c r="A83" s="132">
        <v>81</v>
      </c>
      <c r="B83" s="102" t="s">
        <v>13027</v>
      </c>
      <c r="C83" s="15" t="s">
        <v>13178</v>
      </c>
      <c r="D83" s="142" t="s">
        <v>13179</v>
      </c>
      <c r="E83" s="102">
        <v>2020</v>
      </c>
      <c r="F83" s="102">
        <v>2020</v>
      </c>
      <c r="G83" s="132" t="s">
        <v>16</v>
      </c>
      <c r="H83" s="15">
        <v>200</v>
      </c>
      <c r="I83" s="15">
        <v>200</v>
      </c>
      <c r="J83" s="102"/>
      <c r="K83" s="104"/>
      <c r="L83" s="105">
        <v>20201118</v>
      </c>
      <c r="M83" s="133"/>
    </row>
    <row r="84" ht="16" customHeight="1" spans="1:13">
      <c r="A84" s="132">
        <v>82</v>
      </c>
      <c r="B84" s="102" t="s">
        <v>13027</v>
      </c>
      <c r="C84" s="15" t="s">
        <v>13180</v>
      </c>
      <c r="D84" s="142" t="s">
        <v>13181</v>
      </c>
      <c r="E84" s="102">
        <v>2020</v>
      </c>
      <c r="F84" s="102">
        <v>2020</v>
      </c>
      <c r="G84" s="132" t="s">
        <v>16</v>
      </c>
      <c r="H84" s="15">
        <v>200</v>
      </c>
      <c r="I84" s="15">
        <v>200</v>
      </c>
      <c r="J84" s="102"/>
      <c r="K84" s="104"/>
      <c r="L84" s="105">
        <v>20201118</v>
      </c>
      <c r="M84" s="133"/>
    </row>
    <row r="85" ht="16" customHeight="1" spans="1:13">
      <c r="A85" s="132">
        <v>83</v>
      </c>
      <c r="B85" s="102" t="s">
        <v>13027</v>
      </c>
      <c r="C85" s="15" t="s">
        <v>13182</v>
      </c>
      <c r="D85" s="142" t="s">
        <v>13183</v>
      </c>
      <c r="E85" s="102">
        <v>2020</v>
      </c>
      <c r="F85" s="102">
        <v>2020</v>
      </c>
      <c r="G85" s="132" t="s">
        <v>16</v>
      </c>
      <c r="H85" s="15">
        <v>200</v>
      </c>
      <c r="I85" s="15">
        <v>200</v>
      </c>
      <c r="J85" s="102"/>
      <c r="K85" s="104"/>
      <c r="L85" s="105">
        <v>20201118</v>
      </c>
      <c r="M85" s="133"/>
    </row>
    <row r="86" ht="16" customHeight="1" spans="1:13">
      <c r="A86" s="132">
        <v>84</v>
      </c>
      <c r="B86" s="102" t="s">
        <v>13027</v>
      </c>
      <c r="C86" s="15" t="s">
        <v>13184</v>
      </c>
      <c r="D86" s="142" t="s">
        <v>13185</v>
      </c>
      <c r="E86" s="102">
        <v>2020</v>
      </c>
      <c r="F86" s="102">
        <v>2020</v>
      </c>
      <c r="G86" s="132" t="s">
        <v>16</v>
      </c>
      <c r="H86" s="15">
        <v>200</v>
      </c>
      <c r="I86" s="15">
        <v>200</v>
      </c>
      <c r="J86" s="102"/>
      <c r="K86" s="104"/>
      <c r="L86" s="105">
        <v>20201118</v>
      </c>
      <c r="M86" s="133"/>
    </row>
    <row r="87" ht="16" customHeight="1" spans="1:13">
      <c r="A87" s="132">
        <v>85</v>
      </c>
      <c r="B87" s="102" t="s">
        <v>13027</v>
      </c>
      <c r="C87" s="15" t="s">
        <v>13186</v>
      </c>
      <c r="D87" s="142" t="s">
        <v>13187</v>
      </c>
      <c r="E87" s="102">
        <v>2020</v>
      </c>
      <c r="F87" s="102">
        <v>2020</v>
      </c>
      <c r="G87" s="132" t="s">
        <v>16</v>
      </c>
      <c r="H87" s="15">
        <v>200</v>
      </c>
      <c r="I87" s="15">
        <v>200</v>
      </c>
      <c r="J87" s="102"/>
      <c r="K87" s="104"/>
      <c r="L87" s="105">
        <v>20201118</v>
      </c>
      <c r="M87" s="133"/>
    </row>
    <row r="88" ht="16" customHeight="1" spans="1:13">
      <c r="A88" s="132">
        <v>86</v>
      </c>
      <c r="B88" s="102" t="s">
        <v>13027</v>
      </c>
      <c r="C88" s="15" t="s">
        <v>13188</v>
      </c>
      <c r="D88" s="142" t="s">
        <v>13189</v>
      </c>
      <c r="E88" s="102">
        <v>2020</v>
      </c>
      <c r="F88" s="102">
        <v>2020</v>
      </c>
      <c r="G88" s="132" t="s">
        <v>16</v>
      </c>
      <c r="H88" s="15">
        <v>200</v>
      </c>
      <c r="I88" s="15">
        <v>200</v>
      </c>
      <c r="J88" s="102"/>
      <c r="K88" s="104"/>
      <c r="L88" s="105">
        <v>20201118</v>
      </c>
      <c r="M88" s="133"/>
    </row>
    <row r="89" ht="16" customHeight="1" spans="1:13">
      <c r="A89" s="132">
        <v>87</v>
      </c>
      <c r="B89" s="102" t="s">
        <v>13027</v>
      </c>
      <c r="C89" s="15" t="s">
        <v>8881</v>
      </c>
      <c r="D89" s="142" t="s">
        <v>13190</v>
      </c>
      <c r="E89" s="102">
        <v>2020</v>
      </c>
      <c r="F89" s="102">
        <v>2020</v>
      </c>
      <c r="G89" s="132" t="s">
        <v>16</v>
      </c>
      <c r="H89" s="15">
        <v>200</v>
      </c>
      <c r="I89" s="15">
        <v>200</v>
      </c>
      <c r="J89" s="102"/>
      <c r="K89" s="104"/>
      <c r="L89" s="105">
        <v>20201118</v>
      </c>
      <c r="M89" s="133"/>
    </row>
    <row r="90" ht="16" customHeight="1" spans="1:13">
      <c r="A90" s="132">
        <v>88</v>
      </c>
      <c r="B90" s="102" t="s">
        <v>13027</v>
      </c>
      <c r="C90" s="15" t="s">
        <v>13191</v>
      </c>
      <c r="D90" s="142" t="s">
        <v>13192</v>
      </c>
      <c r="E90" s="102">
        <v>2020</v>
      </c>
      <c r="F90" s="102">
        <v>2020</v>
      </c>
      <c r="G90" s="132" t="s">
        <v>16</v>
      </c>
      <c r="H90" s="15">
        <v>200</v>
      </c>
      <c r="I90" s="15">
        <v>200</v>
      </c>
      <c r="J90" s="102"/>
      <c r="K90" s="104"/>
      <c r="L90" s="105">
        <v>20201118</v>
      </c>
      <c r="M90" s="133"/>
    </row>
    <row r="91" ht="16" customHeight="1" spans="1:13">
      <c r="A91" s="132">
        <v>89</v>
      </c>
      <c r="B91" s="102" t="s">
        <v>13027</v>
      </c>
      <c r="C91" s="15" t="s">
        <v>13193</v>
      </c>
      <c r="D91" s="142" t="s">
        <v>13194</v>
      </c>
      <c r="E91" s="102">
        <v>2020</v>
      </c>
      <c r="F91" s="102">
        <v>2020</v>
      </c>
      <c r="G91" s="132" t="s">
        <v>16</v>
      </c>
      <c r="H91" s="15">
        <v>200</v>
      </c>
      <c r="I91" s="15">
        <v>200</v>
      </c>
      <c r="J91" s="102"/>
      <c r="K91" s="104"/>
      <c r="L91" s="105">
        <v>20201118</v>
      </c>
      <c r="M91" s="133"/>
    </row>
    <row r="92" ht="16" customHeight="1" spans="1:13">
      <c r="A92" s="132">
        <v>90</v>
      </c>
      <c r="B92" s="102" t="s">
        <v>13027</v>
      </c>
      <c r="C92" s="15" t="s">
        <v>13195</v>
      </c>
      <c r="D92" s="142" t="s">
        <v>13196</v>
      </c>
      <c r="E92" s="102">
        <v>2020</v>
      </c>
      <c r="F92" s="102">
        <v>2020</v>
      </c>
      <c r="G92" s="132" t="s">
        <v>16</v>
      </c>
      <c r="H92" s="15">
        <v>200</v>
      </c>
      <c r="I92" s="15">
        <v>200</v>
      </c>
      <c r="J92" s="102"/>
      <c r="K92" s="104"/>
      <c r="L92" s="105">
        <v>20201118</v>
      </c>
      <c r="M92" s="133"/>
    </row>
    <row r="93" ht="16" customHeight="1" spans="1:13">
      <c r="A93" s="132">
        <v>91</v>
      </c>
      <c r="B93" s="102" t="s">
        <v>13027</v>
      </c>
      <c r="C93" s="15" t="s">
        <v>13197</v>
      </c>
      <c r="D93" s="142" t="s">
        <v>13198</v>
      </c>
      <c r="E93" s="102">
        <v>2020</v>
      </c>
      <c r="F93" s="102">
        <v>2020</v>
      </c>
      <c r="G93" s="132" t="s">
        <v>16</v>
      </c>
      <c r="H93" s="15">
        <v>200</v>
      </c>
      <c r="I93" s="15">
        <v>200</v>
      </c>
      <c r="J93" s="102"/>
      <c r="K93" s="104"/>
      <c r="L93" s="105">
        <v>20201118</v>
      </c>
      <c r="M93" s="133"/>
    </row>
    <row r="94" ht="16" customHeight="1" spans="1:13">
      <c r="A94" s="132">
        <v>92</v>
      </c>
      <c r="B94" s="102" t="s">
        <v>13027</v>
      </c>
      <c r="C94" s="15" t="s">
        <v>7222</v>
      </c>
      <c r="D94" s="142" t="s">
        <v>13199</v>
      </c>
      <c r="E94" s="102">
        <v>2020</v>
      </c>
      <c r="F94" s="102">
        <v>2020</v>
      </c>
      <c r="G94" s="132" t="s">
        <v>16</v>
      </c>
      <c r="H94" s="15">
        <v>200</v>
      </c>
      <c r="I94" s="15">
        <v>200</v>
      </c>
      <c r="J94" s="102"/>
      <c r="K94" s="104"/>
      <c r="L94" s="105">
        <v>20201118</v>
      </c>
      <c r="M94" s="133"/>
    </row>
    <row r="95" ht="16" customHeight="1" spans="1:13">
      <c r="A95" s="132">
        <v>93</v>
      </c>
      <c r="B95" s="102" t="s">
        <v>13027</v>
      </c>
      <c r="C95" s="15" t="s">
        <v>13200</v>
      </c>
      <c r="D95" s="142" t="s">
        <v>13201</v>
      </c>
      <c r="E95" s="102">
        <v>2020</v>
      </c>
      <c r="F95" s="102">
        <v>2020</v>
      </c>
      <c r="G95" s="132" t="s">
        <v>16</v>
      </c>
      <c r="H95" s="15">
        <v>200</v>
      </c>
      <c r="I95" s="15">
        <v>200</v>
      </c>
      <c r="J95" s="102"/>
      <c r="K95" s="104"/>
      <c r="L95" s="105">
        <v>20201118</v>
      </c>
      <c r="M95" s="133"/>
    </row>
    <row r="96" ht="16" customHeight="1" spans="1:13">
      <c r="A96" s="132">
        <v>94</v>
      </c>
      <c r="B96" s="102" t="s">
        <v>13027</v>
      </c>
      <c r="C96" s="15" t="s">
        <v>13202</v>
      </c>
      <c r="D96" s="142" t="s">
        <v>13203</v>
      </c>
      <c r="E96" s="102">
        <v>2020</v>
      </c>
      <c r="F96" s="102">
        <v>2020</v>
      </c>
      <c r="G96" s="132" t="s">
        <v>16</v>
      </c>
      <c r="H96" s="15">
        <v>200</v>
      </c>
      <c r="I96" s="15">
        <v>200</v>
      </c>
      <c r="J96" s="102"/>
      <c r="K96" s="104"/>
      <c r="L96" s="105">
        <v>20201118</v>
      </c>
      <c r="M96" s="133"/>
    </row>
    <row r="97" ht="16" customHeight="1" spans="1:13">
      <c r="A97" s="132">
        <v>95</v>
      </c>
      <c r="B97" s="102" t="s">
        <v>13027</v>
      </c>
      <c r="C97" s="15" t="s">
        <v>13204</v>
      </c>
      <c r="D97" s="142" t="s">
        <v>13205</v>
      </c>
      <c r="E97" s="102">
        <v>2020</v>
      </c>
      <c r="F97" s="102">
        <v>2020</v>
      </c>
      <c r="G97" s="132" t="s">
        <v>16</v>
      </c>
      <c r="H97" s="15">
        <v>200</v>
      </c>
      <c r="I97" s="15">
        <v>200</v>
      </c>
      <c r="J97" s="102"/>
      <c r="K97" s="104"/>
      <c r="L97" s="105">
        <v>20201118</v>
      </c>
      <c r="M97" s="133"/>
    </row>
    <row r="98" ht="16" customHeight="1" spans="1:13">
      <c r="A98" s="132">
        <v>96</v>
      </c>
      <c r="B98" s="102" t="s">
        <v>13027</v>
      </c>
      <c r="C98" s="15" t="s">
        <v>9016</v>
      </c>
      <c r="D98" s="142" t="s">
        <v>13206</v>
      </c>
      <c r="E98" s="102">
        <v>2020</v>
      </c>
      <c r="F98" s="102">
        <v>2020</v>
      </c>
      <c r="G98" s="132" t="s">
        <v>16</v>
      </c>
      <c r="H98" s="15">
        <v>200</v>
      </c>
      <c r="I98" s="15">
        <v>200</v>
      </c>
      <c r="J98" s="102"/>
      <c r="K98" s="104"/>
      <c r="L98" s="105">
        <v>20201118</v>
      </c>
      <c r="M98" s="133"/>
    </row>
    <row r="99" ht="16" customHeight="1" spans="1:13">
      <c r="A99" s="132">
        <v>97</v>
      </c>
      <c r="B99" s="102" t="s">
        <v>13027</v>
      </c>
      <c r="C99" s="15" t="s">
        <v>13207</v>
      </c>
      <c r="D99" s="142" t="s">
        <v>13208</v>
      </c>
      <c r="E99" s="102">
        <v>2020</v>
      </c>
      <c r="F99" s="102">
        <v>2020</v>
      </c>
      <c r="G99" s="132" t="s">
        <v>16</v>
      </c>
      <c r="H99" s="15">
        <v>200</v>
      </c>
      <c r="I99" s="15">
        <v>200</v>
      </c>
      <c r="J99" s="102"/>
      <c r="K99" s="104"/>
      <c r="L99" s="105">
        <v>20201118</v>
      </c>
      <c r="M99" s="133"/>
    </row>
    <row r="100" ht="16" customHeight="1" spans="1:13">
      <c r="A100" s="132">
        <v>98</v>
      </c>
      <c r="B100" s="102" t="s">
        <v>13027</v>
      </c>
      <c r="C100" s="15" t="s">
        <v>13209</v>
      </c>
      <c r="D100" s="142" t="s">
        <v>13210</v>
      </c>
      <c r="E100" s="102">
        <v>2020</v>
      </c>
      <c r="F100" s="102">
        <v>2020</v>
      </c>
      <c r="G100" s="132" t="s">
        <v>16</v>
      </c>
      <c r="H100" s="15">
        <v>200</v>
      </c>
      <c r="I100" s="15">
        <v>200</v>
      </c>
      <c r="J100" s="102"/>
      <c r="K100" s="104"/>
      <c r="L100" s="105">
        <v>20201118</v>
      </c>
      <c r="M100" s="133"/>
    </row>
    <row r="101" ht="16" customHeight="1" spans="1:13">
      <c r="A101" s="132">
        <v>99</v>
      </c>
      <c r="B101" s="102" t="s">
        <v>13027</v>
      </c>
      <c r="C101" s="15" t="s">
        <v>13211</v>
      </c>
      <c r="D101" s="142" t="s">
        <v>13212</v>
      </c>
      <c r="E101" s="102">
        <v>2020</v>
      </c>
      <c r="F101" s="102">
        <v>2020</v>
      </c>
      <c r="G101" s="132" t="s">
        <v>16</v>
      </c>
      <c r="H101" s="15">
        <v>200</v>
      </c>
      <c r="I101" s="15">
        <v>200</v>
      </c>
      <c r="J101" s="102"/>
      <c r="K101" s="104"/>
      <c r="L101" s="105">
        <v>20201118</v>
      </c>
      <c r="M101" s="133"/>
    </row>
    <row r="102" ht="16" customHeight="1" spans="1:13">
      <c r="A102" s="132">
        <v>100</v>
      </c>
      <c r="B102" s="102" t="s">
        <v>13027</v>
      </c>
      <c r="C102" s="15" t="s">
        <v>13213</v>
      </c>
      <c r="D102" s="142" t="s">
        <v>13214</v>
      </c>
      <c r="E102" s="102">
        <v>2020</v>
      </c>
      <c r="F102" s="102">
        <v>2020</v>
      </c>
      <c r="G102" s="132" t="s">
        <v>16</v>
      </c>
      <c r="H102" s="15">
        <v>200</v>
      </c>
      <c r="I102" s="15">
        <v>200</v>
      </c>
      <c r="J102" s="102"/>
      <c r="K102" s="104"/>
      <c r="L102" s="105">
        <v>20201118</v>
      </c>
      <c r="M102" s="133"/>
    </row>
    <row r="103" ht="16" customHeight="1" spans="1:13">
      <c r="A103" s="132">
        <v>101</v>
      </c>
      <c r="B103" s="102" t="s">
        <v>13027</v>
      </c>
      <c r="C103" s="15" t="s">
        <v>13215</v>
      </c>
      <c r="D103" s="142" t="s">
        <v>13216</v>
      </c>
      <c r="E103" s="102">
        <v>2020</v>
      </c>
      <c r="F103" s="102">
        <v>2020</v>
      </c>
      <c r="G103" s="132" t="s">
        <v>16</v>
      </c>
      <c r="H103" s="15">
        <v>200</v>
      </c>
      <c r="I103" s="15">
        <v>200</v>
      </c>
      <c r="J103" s="102"/>
      <c r="K103" s="104"/>
      <c r="L103" s="105">
        <v>20201118</v>
      </c>
      <c r="M103" s="133"/>
    </row>
    <row r="104" ht="16" customHeight="1" spans="1:13">
      <c r="A104" s="132">
        <v>102</v>
      </c>
      <c r="B104" s="102" t="s">
        <v>13027</v>
      </c>
      <c r="C104" s="15" t="s">
        <v>13217</v>
      </c>
      <c r="D104" s="142" t="s">
        <v>13218</v>
      </c>
      <c r="E104" s="102">
        <v>2020</v>
      </c>
      <c r="F104" s="102">
        <v>2020</v>
      </c>
      <c r="G104" s="132" t="s">
        <v>16</v>
      </c>
      <c r="H104" s="15">
        <v>200</v>
      </c>
      <c r="I104" s="15">
        <v>200</v>
      </c>
      <c r="J104" s="102"/>
      <c r="K104" s="104"/>
      <c r="L104" s="105">
        <v>20201118</v>
      </c>
      <c r="M104" s="133"/>
    </row>
    <row r="105" ht="16" customHeight="1" spans="1:13">
      <c r="A105" s="132">
        <v>103</v>
      </c>
      <c r="B105" s="102" t="s">
        <v>13027</v>
      </c>
      <c r="C105" s="15" t="s">
        <v>13219</v>
      </c>
      <c r="D105" s="142" t="s">
        <v>13220</v>
      </c>
      <c r="E105" s="102">
        <v>2020</v>
      </c>
      <c r="F105" s="102">
        <v>2020</v>
      </c>
      <c r="G105" s="132" t="s">
        <v>16</v>
      </c>
      <c r="H105" s="15">
        <v>200</v>
      </c>
      <c r="I105" s="15">
        <v>200</v>
      </c>
      <c r="J105" s="102"/>
      <c r="K105" s="104"/>
      <c r="L105" s="105">
        <v>20201118</v>
      </c>
      <c r="M105" s="133"/>
    </row>
    <row r="106" ht="16" customHeight="1" spans="1:13">
      <c r="A106" s="132">
        <v>104</v>
      </c>
      <c r="B106" s="102" t="s">
        <v>13027</v>
      </c>
      <c r="C106" s="15" t="s">
        <v>13221</v>
      </c>
      <c r="D106" s="142" t="s">
        <v>13222</v>
      </c>
      <c r="E106" s="102">
        <v>2020</v>
      </c>
      <c r="F106" s="102">
        <v>2020</v>
      </c>
      <c r="G106" s="132" t="s">
        <v>16</v>
      </c>
      <c r="H106" s="15">
        <v>200</v>
      </c>
      <c r="I106" s="15">
        <v>200</v>
      </c>
      <c r="J106" s="102"/>
      <c r="K106" s="104"/>
      <c r="L106" s="105">
        <v>20201118</v>
      </c>
      <c r="M106" s="133"/>
    </row>
    <row r="107" ht="16" customHeight="1" spans="1:13">
      <c r="A107" s="132">
        <v>105</v>
      </c>
      <c r="B107" s="102" t="s">
        <v>13027</v>
      </c>
      <c r="C107" s="15" t="s">
        <v>13223</v>
      </c>
      <c r="D107" s="142" t="s">
        <v>13224</v>
      </c>
      <c r="E107" s="102">
        <v>2020</v>
      </c>
      <c r="F107" s="102">
        <v>2020</v>
      </c>
      <c r="G107" s="132" t="s">
        <v>16</v>
      </c>
      <c r="H107" s="15">
        <v>200</v>
      </c>
      <c r="I107" s="15">
        <v>200</v>
      </c>
      <c r="J107" s="102"/>
      <c r="K107" s="104"/>
      <c r="L107" s="105">
        <v>20201118</v>
      </c>
      <c r="M107" s="133"/>
    </row>
    <row r="108" ht="16" customHeight="1" spans="1:13">
      <c r="A108" s="132">
        <v>106</v>
      </c>
      <c r="B108" s="102" t="s">
        <v>13027</v>
      </c>
      <c r="C108" s="15" t="s">
        <v>13225</v>
      </c>
      <c r="D108" s="142" t="s">
        <v>13226</v>
      </c>
      <c r="E108" s="102">
        <v>2020</v>
      </c>
      <c r="F108" s="102">
        <v>2020</v>
      </c>
      <c r="G108" s="132" t="s">
        <v>16</v>
      </c>
      <c r="H108" s="15">
        <v>200</v>
      </c>
      <c r="I108" s="15">
        <v>200</v>
      </c>
      <c r="J108" s="102"/>
      <c r="K108" s="104"/>
      <c r="L108" s="105">
        <v>20201118</v>
      </c>
      <c r="M108" s="133"/>
    </row>
    <row r="109" ht="16" customHeight="1" spans="1:13">
      <c r="A109" s="132">
        <v>107</v>
      </c>
      <c r="B109" s="102" t="s">
        <v>13027</v>
      </c>
      <c r="C109" s="15" t="s">
        <v>13227</v>
      </c>
      <c r="D109" s="142" t="s">
        <v>13228</v>
      </c>
      <c r="E109" s="102">
        <v>2020</v>
      </c>
      <c r="F109" s="102">
        <v>2020</v>
      </c>
      <c r="G109" s="132" t="s">
        <v>16</v>
      </c>
      <c r="H109" s="15">
        <v>200</v>
      </c>
      <c r="I109" s="15">
        <v>200</v>
      </c>
      <c r="J109" s="102"/>
      <c r="K109" s="104"/>
      <c r="L109" s="105">
        <v>20201118</v>
      </c>
      <c r="M109" s="133"/>
    </row>
    <row r="110" ht="16" customHeight="1" spans="1:13">
      <c r="A110" s="132">
        <v>108</v>
      </c>
      <c r="B110" s="102" t="s">
        <v>13027</v>
      </c>
      <c r="C110" s="15" t="s">
        <v>13229</v>
      </c>
      <c r="D110" s="142" t="s">
        <v>13230</v>
      </c>
      <c r="E110" s="102">
        <v>2020</v>
      </c>
      <c r="F110" s="102">
        <v>2020</v>
      </c>
      <c r="G110" s="132" t="s">
        <v>16</v>
      </c>
      <c r="H110" s="15">
        <v>200</v>
      </c>
      <c r="I110" s="15">
        <v>200</v>
      </c>
      <c r="J110" s="102"/>
      <c r="K110" s="104"/>
      <c r="L110" s="105">
        <v>20201118</v>
      </c>
      <c r="M110" s="133"/>
    </row>
    <row r="111" ht="16" customHeight="1" spans="1:13">
      <c r="A111" s="132">
        <v>109</v>
      </c>
      <c r="B111" s="102" t="s">
        <v>13027</v>
      </c>
      <c r="C111" s="15" t="s">
        <v>12737</v>
      </c>
      <c r="D111" s="142" t="s">
        <v>13231</v>
      </c>
      <c r="E111" s="102">
        <v>2020</v>
      </c>
      <c r="F111" s="102">
        <v>2020</v>
      </c>
      <c r="G111" s="132" t="s">
        <v>16</v>
      </c>
      <c r="H111" s="15">
        <v>200</v>
      </c>
      <c r="I111" s="15">
        <v>200</v>
      </c>
      <c r="J111" s="102"/>
      <c r="K111" s="104"/>
      <c r="L111" s="105">
        <v>20201118</v>
      </c>
      <c r="M111" s="133"/>
    </row>
    <row r="112" ht="16" customHeight="1" spans="1:13">
      <c r="A112" s="132">
        <v>110</v>
      </c>
      <c r="B112" s="102" t="s">
        <v>13027</v>
      </c>
      <c r="C112" s="15" t="s">
        <v>1520</v>
      </c>
      <c r="D112" s="142" t="s">
        <v>13232</v>
      </c>
      <c r="E112" s="102">
        <v>2020</v>
      </c>
      <c r="F112" s="102">
        <v>2020</v>
      </c>
      <c r="G112" s="132" t="s">
        <v>16</v>
      </c>
      <c r="H112" s="15">
        <v>200</v>
      </c>
      <c r="I112" s="15">
        <v>200</v>
      </c>
      <c r="J112" s="102"/>
      <c r="K112" s="104"/>
      <c r="L112" s="105">
        <v>20201118</v>
      </c>
      <c r="M112" s="133"/>
    </row>
    <row r="113" ht="16" customHeight="1" spans="1:13">
      <c r="A113" s="132">
        <v>111</v>
      </c>
      <c r="B113" s="102" t="s">
        <v>13027</v>
      </c>
      <c r="C113" s="15" t="s">
        <v>1158</v>
      </c>
      <c r="D113" s="142" t="s">
        <v>13233</v>
      </c>
      <c r="E113" s="102">
        <v>2020</v>
      </c>
      <c r="F113" s="102">
        <v>2020</v>
      </c>
      <c r="G113" s="132" t="s">
        <v>16</v>
      </c>
      <c r="H113" s="15">
        <v>200</v>
      </c>
      <c r="I113" s="15">
        <v>200</v>
      </c>
      <c r="J113" s="102"/>
      <c r="K113" s="104"/>
      <c r="L113" s="105">
        <v>20201118</v>
      </c>
      <c r="M113" s="133"/>
    </row>
    <row r="114" ht="16" customHeight="1" spans="1:13">
      <c r="A114" s="132">
        <v>112</v>
      </c>
      <c r="B114" s="102" t="s">
        <v>13027</v>
      </c>
      <c r="C114" s="15" t="s">
        <v>13234</v>
      </c>
      <c r="D114" s="142" t="s">
        <v>13235</v>
      </c>
      <c r="E114" s="102">
        <v>2020</v>
      </c>
      <c r="F114" s="102">
        <v>2020</v>
      </c>
      <c r="G114" s="132" t="s">
        <v>16</v>
      </c>
      <c r="H114" s="15">
        <v>200</v>
      </c>
      <c r="I114" s="15">
        <v>200</v>
      </c>
      <c r="J114" s="102"/>
      <c r="K114" s="104"/>
      <c r="L114" s="105">
        <v>20201118</v>
      </c>
      <c r="M114" s="133"/>
    </row>
    <row r="115" ht="16" customHeight="1" spans="1:13">
      <c r="A115" s="132">
        <v>113</v>
      </c>
      <c r="B115" s="102" t="s">
        <v>13027</v>
      </c>
      <c r="C115" s="15" t="s">
        <v>1158</v>
      </c>
      <c r="D115" s="142" t="s">
        <v>13236</v>
      </c>
      <c r="E115" s="102">
        <v>2020</v>
      </c>
      <c r="F115" s="102">
        <v>2020</v>
      </c>
      <c r="G115" s="132" t="s">
        <v>16</v>
      </c>
      <c r="H115" s="15">
        <v>200</v>
      </c>
      <c r="I115" s="15">
        <v>200</v>
      </c>
      <c r="J115" s="102"/>
      <c r="K115" s="104"/>
      <c r="L115" s="105">
        <v>20201118</v>
      </c>
      <c r="M115" s="133"/>
    </row>
    <row r="116" ht="16" customHeight="1" spans="1:13">
      <c r="A116" s="132">
        <v>114</v>
      </c>
      <c r="B116" s="102" t="s">
        <v>13027</v>
      </c>
      <c r="C116" s="15" t="s">
        <v>13237</v>
      </c>
      <c r="D116" s="142" t="s">
        <v>13238</v>
      </c>
      <c r="E116" s="102">
        <v>2020</v>
      </c>
      <c r="F116" s="102">
        <v>2020</v>
      </c>
      <c r="G116" s="132" t="s">
        <v>16</v>
      </c>
      <c r="H116" s="15">
        <v>200</v>
      </c>
      <c r="I116" s="15">
        <v>200</v>
      </c>
      <c r="J116" s="102"/>
      <c r="K116" s="104"/>
      <c r="L116" s="105">
        <v>20201118</v>
      </c>
      <c r="M116" s="133"/>
    </row>
    <row r="117" ht="16" customHeight="1" spans="1:13">
      <c r="A117" s="132">
        <v>115</v>
      </c>
      <c r="B117" s="102" t="s">
        <v>13027</v>
      </c>
      <c r="C117" s="15" t="s">
        <v>13239</v>
      </c>
      <c r="D117" s="142" t="s">
        <v>13240</v>
      </c>
      <c r="E117" s="102">
        <v>2020</v>
      </c>
      <c r="F117" s="102">
        <v>2020</v>
      </c>
      <c r="G117" s="132" t="s">
        <v>16</v>
      </c>
      <c r="H117" s="15">
        <v>200</v>
      </c>
      <c r="I117" s="15">
        <v>200</v>
      </c>
      <c r="J117" s="102"/>
      <c r="K117" s="104"/>
      <c r="L117" s="105">
        <v>20201118</v>
      </c>
      <c r="M117" s="133"/>
    </row>
    <row r="118" ht="16" customHeight="1" spans="1:13">
      <c r="A118" s="132">
        <v>116</v>
      </c>
      <c r="B118" s="102" t="s">
        <v>13027</v>
      </c>
      <c r="C118" s="15" t="s">
        <v>13241</v>
      </c>
      <c r="D118" s="142" t="s">
        <v>13242</v>
      </c>
      <c r="E118" s="102">
        <v>2020</v>
      </c>
      <c r="F118" s="102">
        <v>2020</v>
      </c>
      <c r="G118" s="132" t="s">
        <v>16</v>
      </c>
      <c r="H118" s="15">
        <v>200</v>
      </c>
      <c r="I118" s="15">
        <v>200</v>
      </c>
      <c r="J118" s="102"/>
      <c r="K118" s="104"/>
      <c r="L118" s="105">
        <v>20201118</v>
      </c>
      <c r="M118" s="133"/>
    </row>
    <row r="119" ht="16" customHeight="1" spans="1:13">
      <c r="A119" s="132">
        <v>117</v>
      </c>
      <c r="B119" s="102" t="s">
        <v>13027</v>
      </c>
      <c r="C119" s="15" t="s">
        <v>13243</v>
      </c>
      <c r="D119" s="142" t="s">
        <v>13244</v>
      </c>
      <c r="E119" s="102">
        <v>2020</v>
      </c>
      <c r="F119" s="102">
        <v>2020</v>
      </c>
      <c r="G119" s="132" t="s">
        <v>16</v>
      </c>
      <c r="H119" s="15">
        <v>200</v>
      </c>
      <c r="I119" s="15">
        <v>200</v>
      </c>
      <c r="J119" s="102"/>
      <c r="K119" s="104"/>
      <c r="L119" s="105">
        <v>20201118</v>
      </c>
      <c r="M119" s="133"/>
    </row>
    <row r="120" ht="16" customHeight="1" spans="1:13">
      <c r="A120" s="132">
        <v>118</v>
      </c>
      <c r="B120" s="102" t="s">
        <v>13027</v>
      </c>
      <c r="C120" s="15" t="s">
        <v>13245</v>
      </c>
      <c r="D120" s="142" t="s">
        <v>13246</v>
      </c>
      <c r="E120" s="102">
        <v>2020</v>
      </c>
      <c r="F120" s="102">
        <v>2020</v>
      </c>
      <c r="G120" s="132" t="s">
        <v>16</v>
      </c>
      <c r="H120" s="15">
        <v>200</v>
      </c>
      <c r="I120" s="15">
        <v>200</v>
      </c>
      <c r="J120" s="102"/>
      <c r="K120" s="104"/>
      <c r="L120" s="105">
        <v>20201118</v>
      </c>
      <c r="M120" s="133"/>
    </row>
    <row r="121" ht="16" customHeight="1" spans="1:13">
      <c r="A121" s="132">
        <v>119</v>
      </c>
      <c r="B121" s="102" t="s">
        <v>13027</v>
      </c>
      <c r="C121" s="15" t="s">
        <v>13247</v>
      </c>
      <c r="D121" s="142" t="s">
        <v>13248</v>
      </c>
      <c r="E121" s="102">
        <v>2020</v>
      </c>
      <c r="F121" s="102">
        <v>2020</v>
      </c>
      <c r="G121" s="132" t="s">
        <v>16</v>
      </c>
      <c r="H121" s="15">
        <v>200</v>
      </c>
      <c r="I121" s="15">
        <v>200</v>
      </c>
      <c r="J121" s="102"/>
      <c r="K121" s="104"/>
      <c r="L121" s="105">
        <v>20201118</v>
      </c>
      <c r="M121" s="133"/>
    </row>
    <row r="122" ht="16" customHeight="1" spans="1:13">
      <c r="A122" s="132">
        <v>120</v>
      </c>
      <c r="B122" s="102" t="s">
        <v>13027</v>
      </c>
      <c r="C122" s="15" t="s">
        <v>13249</v>
      </c>
      <c r="D122" s="142" t="s">
        <v>13250</v>
      </c>
      <c r="E122" s="102">
        <v>2020</v>
      </c>
      <c r="F122" s="102">
        <v>2020</v>
      </c>
      <c r="G122" s="132" t="s">
        <v>16</v>
      </c>
      <c r="H122" s="15">
        <v>200</v>
      </c>
      <c r="I122" s="15">
        <v>200</v>
      </c>
      <c r="J122" s="102"/>
      <c r="K122" s="104"/>
      <c r="L122" s="105">
        <v>20201118</v>
      </c>
      <c r="M122" s="133"/>
    </row>
    <row r="123" ht="16" customHeight="1" spans="1:13">
      <c r="A123" s="132">
        <v>121</v>
      </c>
      <c r="B123" s="102" t="s">
        <v>13027</v>
      </c>
      <c r="C123" s="15" t="s">
        <v>13251</v>
      </c>
      <c r="D123" s="142" t="s">
        <v>13252</v>
      </c>
      <c r="E123" s="102">
        <v>2020</v>
      </c>
      <c r="F123" s="102">
        <v>2020</v>
      </c>
      <c r="G123" s="132" t="s">
        <v>16</v>
      </c>
      <c r="H123" s="15">
        <v>600</v>
      </c>
      <c r="I123" s="15">
        <v>600</v>
      </c>
      <c r="J123" s="102"/>
      <c r="K123" s="104"/>
      <c r="L123" s="105">
        <v>20201118</v>
      </c>
      <c r="M123" s="133"/>
    </row>
    <row r="124" ht="16" customHeight="1" spans="1:13">
      <c r="A124" s="132">
        <v>122</v>
      </c>
      <c r="B124" s="102" t="s">
        <v>13027</v>
      </c>
      <c r="C124" s="15" t="s">
        <v>7141</v>
      </c>
      <c r="D124" s="142" t="s">
        <v>13253</v>
      </c>
      <c r="E124" s="102">
        <v>2020</v>
      </c>
      <c r="F124" s="102">
        <v>2020</v>
      </c>
      <c r="G124" s="132" t="s">
        <v>16</v>
      </c>
      <c r="H124" s="15">
        <v>200</v>
      </c>
      <c r="I124" s="15">
        <v>200</v>
      </c>
      <c r="J124" s="102"/>
      <c r="K124" s="104"/>
      <c r="L124" s="105">
        <v>20201118</v>
      </c>
      <c r="M124" s="133"/>
    </row>
    <row r="125" ht="16" customHeight="1" spans="1:13">
      <c r="A125" s="132">
        <v>123</v>
      </c>
      <c r="B125" s="102" t="s">
        <v>13027</v>
      </c>
      <c r="C125" s="15" t="s">
        <v>13254</v>
      </c>
      <c r="D125" s="142" t="s">
        <v>13255</v>
      </c>
      <c r="E125" s="102">
        <v>2020</v>
      </c>
      <c r="F125" s="102">
        <v>2020</v>
      </c>
      <c r="G125" s="132" t="s">
        <v>16</v>
      </c>
      <c r="H125" s="15">
        <v>200</v>
      </c>
      <c r="I125" s="15">
        <v>200</v>
      </c>
      <c r="J125" s="102"/>
      <c r="K125" s="104"/>
      <c r="L125" s="105">
        <v>20201118</v>
      </c>
      <c r="M125" s="133"/>
    </row>
    <row r="126" ht="16" customHeight="1" spans="1:13">
      <c r="A126" s="132">
        <v>124</v>
      </c>
      <c r="B126" s="102" t="s">
        <v>13027</v>
      </c>
      <c r="C126" s="15" t="s">
        <v>13256</v>
      </c>
      <c r="D126" s="142" t="s">
        <v>13257</v>
      </c>
      <c r="E126" s="102">
        <v>2020</v>
      </c>
      <c r="F126" s="102">
        <v>2020</v>
      </c>
      <c r="G126" s="132" t="s">
        <v>16</v>
      </c>
      <c r="H126" s="15">
        <v>200</v>
      </c>
      <c r="I126" s="15">
        <v>200</v>
      </c>
      <c r="J126" s="102"/>
      <c r="K126" s="104"/>
      <c r="L126" s="105">
        <v>20201118</v>
      </c>
      <c r="M126" s="133"/>
    </row>
    <row r="127" ht="16" customHeight="1" spans="1:13">
      <c r="A127" s="132">
        <v>125</v>
      </c>
      <c r="B127" s="102" t="s">
        <v>13027</v>
      </c>
      <c r="C127" s="15" t="s">
        <v>13258</v>
      </c>
      <c r="D127" s="142" t="s">
        <v>13259</v>
      </c>
      <c r="E127" s="102">
        <v>2020</v>
      </c>
      <c r="F127" s="102">
        <v>2020</v>
      </c>
      <c r="G127" s="132" t="s">
        <v>16</v>
      </c>
      <c r="H127" s="15">
        <v>200</v>
      </c>
      <c r="I127" s="15">
        <v>200</v>
      </c>
      <c r="J127" s="102"/>
      <c r="K127" s="104"/>
      <c r="L127" s="105">
        <v>20201118</v>
      </c>
      <c r="M127" s="133"/>
    </row>
    <row r="128" ht="16" customHeight="1" spans="1:13">
      <c r="A128" s="132">
        <v>126</v>
      </c>
      <c r="B128" s="102" t="s">
        <v>13027</v>
      </c>
      <c r="C128" s="15" t="s">
        <v>13260</v>
      </c>
      <c r="D128" s="142" t="s">
        <v>13261</v>
      </c>
      <c r="E128" s="102">
        <v>2020</v>
      </c>
      <c r="F128" s="102">
        <v>2020</v>
      </c>
      <c r="G128" s="132" t="s">
        <v>16</v>
      </c>
      <c r="H128" s="15">
        <v>200</v>
      </c>
      <c r="I128" s="15">
        <v>200</v>
      </c>
      <c r="J128" s="102"/>
      <c r="K128" s="104"/>
      <c r="L128" s="105">
        <v>20201118</v>
      </c>
      <c r="M128" s="133"/>
    </row>
    <row r="129" ht="16" customHeight="1" spans="1:13">
      <c r="A129" s="132">
        <v>127</v>
      </c>
      <c r="B129" s="102" t="s">
        <v>13027</v>
      </c>
      <c r="C129" s="15" t="s">
        <v>13262</v>
      </c>
      <c r="D129" s="142" t="s">
        <v>13263</v>
      </c>
      <c r="E129" s="102">
        <v>2020</v>
      </c>
      <c r="F129" s="102">
        <v>2020</v>
      </c>
      <c r="G129" s="132" t="s">
        <v>16</v>
      </c>
      <c r="H129" s="15">
        <v>200</v>
      </c>
      <c r="I129" s="15">
        <v>200</v>
      </c>
      <c r="J129" s="102"/>
      <c r="K129" s="104"/>
      <c r="L129" s="105">
        <v>20201118</v>
      </c>
      <c r="M129" s="133"/>
    </row>
    <row r="130" ht="16" customHeight="1" spans="1:13">
      <c r="A130" s="132">
        <v>128</v>
      </c>
      <c r="B130" s="102" t="s">
        <v>13027</v>
      </c>
      <c r="C130" s="15" t="s">
        <v>13264</v>
      </c>
      <c r="D130" s="142" t="s">
        <v>13265</v>
      </c>
      <c r="E130" s="102">
        <v>2020</v>
      </c>
      <c r="F130" s="102">
        <v>2020</v>
      </c>
      <c r="G130" s="132" t="s">
        <v>16</v>
      </c>
      <c r="H130" s="15">
        <v>200</v>
      </c>
      <c r="I130" s="15">
        <v>200</v>
      </c>
      <c r="J130" s="102"/>
      <c r="K130" s="104"/>
      <c r="L130" s="105">
        <v>20201118</v>
      </c>
      <c r="M130" s="133"/>
    </row>
    <row r="131" ht="16" customHeight="1" spans="1:13">
      <c r="A131" s="132">
        <v>129</v>
      </c>
      <c r="B131" s="102" t="s">
        <v>13027</v>
      </c>
      <c r="C131" s="15" t="s">
        <v>12371</v>
      </c>
      <c r="D131" s="142" t="s">
        <v>13266</v>
      </c>
      <c r="E131" s="102">
        <v>2020</v>
      </c>
      <c r="F131" s="102">
        <v>2020</v>
      </c>
      <c r="G131" s="132" t="s">
        <v>16</v>
      </c>
      <c r="H131" s="15">
        <v>500</v>
      </c>
      <c r="I131" s="15">
        <v>500</v>
      </c>
      <c r="J131" s="102"/>
      <c r="K131" s="104"/>
      <c r="L131" s="105">
        <v>20201118</v>
      </c>
      <c r="M131" s="133"/>
    </row>
    <row r="132" ht="16" customHeight="1" spans="1:13">
      <c r="A132" s="132">
        <v>130</v>
      </c>
      <c r="B132" s="102" t="s">
        <v>13027</v>
      </c>
      <c r="C132" s="15" t="s">
        <v>13267</v>
      </c>
      <c r="D132" s="142" t="s">
        <v>13268</v>
      </c>
      <c r="E132" s="102">
        <v>2020</v>
      </c>
      <c r="F132" s="102">
        <v>2020</v>
      </c>
      <c r="G132" s="132" t="s">
        <v>16</v>
      </c>
      <c r="H132" s="15">
        <v>200</v>
      </c>
      <c r="I132" s="15">
        <v>200</v>
      </c>
      <c r="J132" s="102"/>
      <c r="K132" s="104"/>
      <c r="L132" s="105">
        <v>20201118</v>
      </c>
      <c r="M132" s="133"/>
    </row>
    <row r="133" ht="16" customHeight="1" spans="1:13">
      <c r="A133" s="132">
        <v>131</v>
      </c>
      <c r="B133" s="102" t="s">
        <v>13027</v>
      </c>
      <c r="C133" s="15" t="s">
        <v>13269</v>
      </c>
      <c r="D133" s="142" t="s">
        <v>13270</v>
      </c>
      <c r="E133" s="102">
        <v>2020</v>
      </c>
      <c r="F133" s="102">
        <v>2020</v>
      </c>
      <c r="G133" s="132" t="s">
        <v>16</v>
      </c>
      <c r="H133" s="15">
        <v>500</v>
      </c>
      <c r="I133" s="15">
        <v>500</v>
      </c>
      <c r="J133" s="102"/>
      <c r="K133" s="104"/>
      <c r="L133" s="105">
        <v>20201118</v>
      </c>
      <c r="M133" s="133"/>
    </row>
    <row r="134" ht="16" customHeight="1" spans="1:13">
      <c r="A134" s="132">
        <v>132</v>
      </c>
      <c r="B134" s="102" t="s">
        <v>13027</v>
      </c>
      <c r="C134" s="15" t="s">
        <v>13271</v>
      </c>
      <c r="D134" s="142" t="s">
        <v>13272</v>
      </c>
      <c r="E134" s="102">
        <v>2020</v>
      </c>
      <c r="F134" s="102">
        <v>2020</v>
      </c>
      <c r="G134" s="132" t="s">
        <v>16</v>
      </c>
      <c r="H134" s="15">
        <v>200</v>
      </c>
      <c r="I134" s="15">
        <v>200</v>
      </c>
      <c r="J134" s="102"/>
      <c r="K134" s="104"/>
      <c r="L134" s="105">
        <v>20201118</v>
      </c>
      <c r="M134" s="133"/>
    </row>
    <row r="135" ht="16" customHeight="1" spans="1:13">
      <c r="A135" s="132">
        <v>133</v>
      </c>
      <c r="B135" s="102" t="s">
        <v>13027</v>
      </c>
      <c r="C135" s="15" t="s">
        <v>13273</v>
      </c>
      <c r="D135" s="142" t="s">
        <v>13274</v>
      </c>
      <c r="E135" s="102">
        <v>2020</v>
      </c>
      <c r="F135" s="102">
        <v>2020</v>
      </c>
      <c r="G135" s="132" t="s">
        <v>16</v>
      </c>
      <c r="H135" s="15">
        <v>200</v>
      </c>
      <c r="I135" s="15">
        <v>200</v>
      </c>
      <c r="J135" s="102"/>
      <c r="K135" s="104"/>
      <c r="L135" s="105">
        <v>20201118</v>
      </c>
      <c r="M135" s="133"/>
    </row>
    <row r="136" ht="16" customHeight="1" spans="1:13">
      <c r="A136" s="132">
        <v>134</v>
      </c>
      <c r="B136" s="102" t="s">
        <v>13027</v>
      </c>
      <c r="C136" s="15" t="s">
        <v>13275</v>
      </c>
      <c r="D136" s="142" t="s">
        <v>13276</v>
      </c>
      <c r="E136" s="102">
        <v>2020</v>
      </c>
      <c r="F136" s="102">
        <v>2020</v>
      </c>
      <c r="G136" s="132" t="s">
        <v>16</v>
      </c>
      <c r="H136" s="15">
        <v>200</v>
      </c>
      <c r="I136" s="15">
        <v>200</v>
      </c>
      <c r="J136" s="102"/>
      <c r="K136" s="104"/>
      <c r="L136" s="105">
        <v>20201118</v>
      </c>
      <c r="M136" s="133"/>
    </row>
    <row r="137" ht="16" customHeight="1" spans="1:13">
      <c r="A137" s="132">
        <v>135</v>
      </c>
      <c r="B137" s="102" t="s">
        <v>13027</v>
      </c>
      <c r="C137" s="15" t="s">
        <v>13277</v>
      </c>
      <c r="D137" s="142" t="s">
        <v>13278</v>
      </c>
      <c r="E137" s="102">
        <v>2020</v>
      </c>
      <c r="F137" s="102">
        <v>2020</v>
      </c>
      <c r="G137" s="132" t="s">
        <v>16</v>
      </c>
      <c r="H137" s="15">
        <v>200</v>
      </c>
      <c r="I137" s="15">
        <v>200</v>
      </c>
      <c r="J137" s="102"/>
      <c r="K137" s="104"/>
      <c r="L137" s="105">
        <v>20201118</v>
      </c>
      <c r="M137" s="133"/>
    </row>
    <row r="138" ht="16" customHeight="1" spans="1:13">
      <c r="A138" s="132">
        <v>136</v>
      </c>
      <c r="B138" s="102" t="s">
        <v>13027</v>
      </c>
      <c r="C138" s="15" t="s">
        <v>13279</v>
      </c>
      <c r="D138" s="142" t="s">
        <v>13280</v>
      </c>
      <c r="E138" s="102">
        <v>2020</v>
      </c>
      <c r="F138" s="102">
        <v>2020</v>
      </c>
      <c r="G138" s="132" t="s">
        <v>16</v>
      </c>
      <c r="H138" s="15">
        <v>200</v>
      </c>
      <c r="I138" s="15">
        <v>200</v>
      </c>
      <c r="J138" s="102"/>
      <c r="K138" s="104"/>
      <c r="L138" s="105">
        <v>20201118</v>
      </c>
      <c r="M138" s="133"/>
    </row>
    <row r="139" ht="16" customHeight="1" spans="1:13">
      <c r="A139" s="132">
        <v>137</v>
      </c>
      <c r="B139" s="102" t="s">
        <v>13027</v>
      </c>
      <c r="C139" s="15" t="s">
        <v>13281</v>
      </c>
      <c r="D139" s="142" t="s">
        <v>13282</v>
      </c>
      <c r="E139" s="102">
        <v>2020</v>
      </c>
      <c r="F139" s="102">
        <v>2020</v>
      </c>
      <c r="G139" s="132" t="s">
        <v>16</v>
      </c>
      <c r="H139" s="15">
        <v>200</v>
      </c>
      <c r="I139" s="15">
        <v>200</v>
      </c>
      <c r="J139" s="102"/>
      <c r="K139" s="104"/>
      <c r="L139" s="105">
        <v>20201118</v>
      </c>
      <c r="M139" s="133"/>
    </row>
    <row r="140" ht="16" customHeight="1" spans="1:13">
      <c r="A140" s="132">
        <v>138</v>
      </c>
      <c r="B140" s="102" t="s">
        <v>13027</v>
      </c>
      <c r="C140" s="15" t="s">
        <v>13283</v>
      </c>
      <c r="D140" s="142" t="s">
        <v>13284</v>
      </c>
      <c r="E140" s="102">
        <v>2020</v>
      </c>
      <c r="F140" s="102">
        <v>2020</v>
      </c>
      <c r="G140" s="132" t="s">
        <v>16</v>
      </c>
      <c r="H140" s="15">
        <v>200</v>
      </c>
      <c r="I140" s="15">
        <v>200</v>
      </c>
      <c r="J140" s="102"/>
      <c r="K140" s="104"/>
      <c r="L140" s="105">
        <v>20201118</v>
      </c>
      <c r="M140" s="133"/>
    </row>
    <row r="141" ht="16" customHeight="1" spans="1:13">
      <c r="A141" s="132">
        <v>139</v>
      </c>
      <c r="B141" s="102" t="s">
        <v>13027</v>
      </c>
      <c r="C141" s="15" t="s">
        <v>13285</v>
      </c>
      <c r="D141" s="142" t="s">
        <v>13286</v>
      </c>
      <c r="E141" s="102">
        <v>2020</v>
      </c>
      <c r="F141" s="102">
        <v>2020</v>
      </c>
      <c r="G141" s="132" t="s">
        <v>16</v>
      </c>
      <c r="H141" s="15">
        <v>200</v>
      </c>
      <c r="I141" s="15">
        <v>200</v>
      </c>
      <c r="J141" s="102"/>
      <c r="K141" s="104"/>
      <c r="L141" s="105">
        <v>20201118</v>
      </c>
      <c r="M141" s="133"/>
    </row>
    <row r="142" ht="16" customHeight="1" spans="1:13">
      <c r="A142" s="132">
        <v>140</v>
      </c>
      <c r="B142" s="102" t="s">
        <v>13027</v>
      </c>
      <c r="C142" s="15" t="s">
        <v>13287</v>
      </c>
      <c r="D142" s="142" t="s">
        <v>13288</v>
      </c>
      <c r="E142" s="102">
        <v>2020</v>
      </c>
      <c r="F142" s="102">
        <v>2020</v>
      </c>
      <c r="G142" s="132" t="s">
        <v>16</v>
      </c>
      <c r="H142" s="15">
        <v>200</v>
      </c>
      <c r="I142" s="15">
        <v>200</v>
      </c>
      <c r="J142" s="102"/>
      <c r="K142" s="104"/>
      <c r="L142" s="105">
        <v>20201118</v>
      </c>
      <c r="M142" s="133"/>
    </row>
    <row r="143" ht="16" customHeight="1" spans="1:13">
      <c r="A143" s="132">
        <v>141</v>
      </c>
      <c r="B143" s="102" t="s">
        <v>13027</v>
      </c>
      <c r="C143" s="15" t="s">
        <v>13289</v>
      </c>
      <c r="D143" s="142" t="s">
        <v>13290</v>
      </c>
      <c r="E143" s="102">
        <v>2020</v>
      </c>
      <c r="F143" s="102">
        <v>2020</v>
      </c>
      <c r="G143" s="132" t="s">
        <v>16</v>
      </c>
      <c r="H143" s="15">
        <v>200</v>
      </c>
      <c r="I143" s="15">
        <v>200</v>
      </c>
      <c r="J143" s="102"/>
      <c r="K143" s="104"/>
      <c r="L143" s="105">
        <v>20201118</v>
      </c>
      <c r="M143" s="133"/>
    </row>
    <row r="144" ht="16" customHeight="1" spans="1:13">
      <c r="A144" s="132">
        <v>142</v>
      </c>
      <c r="B144" s="102" t="s">
        <v>13027</v>
      </c>
      <c r="C144" s="15" t="s">
        <v>12507</v>
      </c>
      <c r="D144" s="142" t="s">
        <v>13291</v>
      </c>
      <c r="E144" s="102">
        <v>2020</v>
      </c>
      <c r="F144" s="102">
        <v>2020</v>
      </c>
      <c r="G144" s="132" t="s">
        <v>16</v>
      </c>
      <c r="H144" s="15">
        <v>600</v>
      </c>
      <c r="I144" s="15">
        <v>600</v>
      </c>
      <c r="J144" s="102"/>
      <c r="K144" s="104"/>
      <c r="L144" s="105">
        <v>20201118</v>
      </c>
      <c r="M144" s="133"/>
    </row>
    <row r="145" ht="16" customHeight="1" spans="1:13">
      <c r="A145" s="132">
        <v>143</v>
      </c>
      <c r="B145" s="102" t="s">
        <v>13027</v>
      </c>
      <c r="C145" s="15" t="s">
        <v>13292</v>
      </c>
      <c r="D145" s="142" t="s">
        <v>13293</v>
      </c>
      <c r="E145" s="102">
        <v>2020</v>
      </c>
      <c r="F145" s="102">
        <v>2020</v>
      </c>
      <c r="G145" s="132" t="s">
        <v>16</v>
      </c>
      <c r="H145" s="15">
        <v>200</v>
      </c>
      <c r="I145" s="15">
        <v>200</v>
      </c>
      <c r="J145" s="102"/>
      <c r="K145" s="104"/>
      <c r="L145" s="105">
        <v>20201118</v>
      </c>
      <c r="M145" s="133"/>
    </row>
    <row r="146" ht="16" customHeight="1" spans="1:13">
      <c r="A146" s="132">
        <v>144</v>
      </c>
      <c r="B146" s="102" t="s">
        <v>13027</v>
      </c>
      <c r="C146" s="15" t="s">
        <v>10815</v>
      </c>
      <c r="D146" s="142" t="s">
        <v>13294</v>
      </c>
      <c r="E146" s="102">
        <v>2020</v>
      </c>
      <c r="F146" s="102">
        <v>2020</v>
      </c>
      <c r="G146" s="132" t="s">
        <v>16</v>
      </c>
      <c r="H146" s="15">
        <v>200</v>
      </c>
      <c r="I146" s="15">
        <v>200</v>
      </c>
      <c r="J146" s="102"/>
      <c r="K146" s="104"/>
      <c r="L146" s="105">
        <v>20201118</v>
      </c>
      <c r="M146" s="133"/>
    </row>
    <row r="147" ht="16" customHeight="1" spans="1:13">
      <c r="A147" s="132">
        <v>145</v>
      </c>
      <c r="B147" s="102" t="s">
        <v>13027</v>
      </c>
      <c r="C147" s="15" t="s">
        <v>13295</v>
      </c>
      <c r="D147" s="142" t="s">
        <v>13296</v>
      </c>
      <c r="E147" s="102">
        <v>2020</v>
      </c>
      <c r="F147" s="102">
        <v>2020</v>
      </c>
      <c r="G147" s="132" t="s">
        <v>16</v>
      </c>
      <c r="H147" s="15">
        <v>200</v>
      </c>
      <c r="I147" s="15">
        <v>200</v>
      </c>
      <c r="J147" s="102"/>
      <c r="K147" s="104"/>
      <c r="L147" s="105">
        <v>20201118</v>
      </c>
      <c r="M147" s="133"/>
    </row>
    <row r="148" ht="16" customHeight="1" spans="1:13">
      <c r="A148" s="132">
        <v>146</v>
      </c>
      <c r="B148" s="102" t="s">
        <v>13027</v>
      </c>
      <c r="C148" s="15" t="s">
        <v>13297</v>
      </c>
      <c r="D148" s="142" t="s">
        <v>13298</v>
      </c>
      <c r="E148" s="102">
        <v>2020</v>
      </c>
      <c r="F148" s="102">
        <v>2020</v>
      </c>
      <c r="G148" s="132" t="s">
        <v>16</v>
      </c>
      <c r="H148" s="15">
        <v>200</v>
      </c>
      <c r="I148" s="15">
        <v>200</v>
      </c>
      <c r="J148" s="102"/>
      <c r="K148" s="104"/>
      <c r="L148" s="105">
        <v>20201118</v>
      </c>
      <c r="M148" s="133"/>
    </row>
    <row r="149" ht="16" customHeight="1" spans="1:13">
      <c r="A149" s="132">
        <v>147</v>
      </c>
      <c r="B149" s="102" t="s">
        <v>13027</v>
      </c>
      <c r="C149" s="15" t="s">
        <v>13299</v>
      </c>
      <c r="D149" s="142" t="s">
        <v>13300</v>
      </c>
      <c r="E149" s="102">
        <v>2020</v>
      </c>
      <c r="F149" s="102">
        <v>2020</v>
      </c>
      <c r="G149" s="132" t="s">
        <v>16</v>
      </c>
      <c r="H149" s="15">
        <v>200</v>
      </c>
      <c r="I149" s="15">
        <v>200</v>
      </c>
      <c r="J149" s="102"/>
      <c r="K149" s="104"/>
      <c r="L149" s="105">
        <v>20201118</v>
      </c>
      <c r="M149" s="133"/>
    </row>
    <row r="150" ht="16" customHeight="1" spans="1:13">
      <c r="A150" s="132">
        <v>148</v>
      </c>
      <c r="B150" s="102" t="s">
        <v>13027</v>
      </c>
      <c r="C150" s="15" t="s">
        <v>13301</v>
      </c>
      <c r="D150" s="142" t="s">
        <v>13302</v>
      </c>
      <c r="E150" s="102">
        <v>2020</v>
      </c>
      <c r="F150" s="102">
        <v>2020</v>
      </c>
      <c r="G150" s="132" t="s">
        <v>16</v>
      </c>
      <c r="H150" s="15">
        <v>200</v>
      </c>
      <c r="I150" s="15">
        <v>200</v>
      </c>
      <c r="J150" s="102"/>
      <c r="K150" s="104"/>
      <c r="L150" s="105">
        <v>20201118</v>
      </c>
      <c r="M150" s="133"/>
    </row>
    <row r="151" ht="16" customHeight="1" spans="1:13">
      <c r="A151" s="132">
        <v>149</v>
      </c>
      <c r="B151" s="102" t="s">
        <v>13027</v>
      </c>
      <c r="C151" s="15" t="s">
        <v>13303</v>
      </c>
      <c r="D151" s="142" t="s">
        <v>13304</v>
      </c>
      <c r="E151" s="102">
        <v>2020</v>
      </c>
      <c r="F151" s="102">
        <v>2020</v>
      </c>
      <c r="G151" s="132" t="s">
        <v>16</v>
      </c>
      <c r="H151" s="15">
        <v>200</v>
      </c>
      <c r="I151" s="15">
        <v>200</v>
      </c>
      <c r="J151" s="102"/>
      <c r="K151" s="104"/>
      <c r="L151" s="105">
        <v>20201118</v>
      </c>
      <c r="M151" s="133"/>
    </row>
    <row r="152" ht="16" customHeight="1" spans="1:13">
      <c r="A152" s="132">
        <v>150</v>
      </c>
      <c r="B152" s="102" t="s">
        <v>13027</v>
      </c>
      <c r="C152" s="15" t="s">
        <v>13305</v>
      </c>
      <c r="D152" s="142" t="s">
        <v>13306</v>
      </c>
      <c r="E152" s="102">
        <v>2020</v>
      </c>
      <c r="F152" s="102">
        <v>2020</v>
      </c>
      <c r="G152" s="132" t="s">
        <v>16</v>
      </c>
      <c r="H152" s="15">
        <v>200</v>
      </c>
      <c r="I152" s="15">
        <v>200</v>
      </c>
      <c r="J152" s="102"/>
      <c r="K152" s="104"/>
      <c r="L152" s="105">
        <v>20201118</v>
      </c>
      <c r="M152" s="133"/>
    </row>
    <row r="153" ht="16" customHeight="1" spans="1:13">
      <c r="A153" s="132">
        <v>151</v>
      </c>
      <c r="B153" s="102" t="s">
        <v>13027</v>
      </c>
      <c r="C153" s="15" t="s">
        <v>13307</v>
      </c>
      <c r="D153" s="142" t="s">
        <v>13308</v>
      </c>
      <c r="E153" s="102">
        <v>2020</v>
      </c>
      <c r="F153" s="102">
        <v>2020</v>
      </c>
      <c r="G153" s="132" t="s">
        <v>16</v>
      </c>
      <c r="H153" s="15">
        <v>200</v>
      </c>
      <c r="I153" s="15">
        <v>200</v>
      </c>
      <c r="J153" s="102"/>
      <c r="K153" s="104"/>
      <c r="L153" s="105">
        <v>20201118</v>
      </c>
      <c r="M153" s="133"/>
    </row>
    <row r="154" ht="16" customHeight="1" spans="1:13">
      <c r="A154" s="132">
        <v>152</v>
      </c>
      <c r="B154" s="102" t="s">
        <v>13027</v>
      </c>
      <c r="C154" s="15" t="s">
        <v>13309</v>
      </c>
      <c r="D154" s="142" t="s">
        <v>13310</v>
      </c>
      <c r="E154" s="102">
        <v>2020</v>
      </c>
      <c r="F154" s="102">
        <v>2020</v>
      </c>
      <c r="G154" s="132" t="s">
        <v>16</v>
      </c>
      <c r="H154" s="15">
        <v>200</v>
      </c>
      <c r="I154" s="15">
        <v>200</v>
      </c>
      <c r="J154" s="102"/>
      <c r="K154" s="104"/>
      <c r="L154" s="105">
        <v>20201118</v>
      </c>
      <c r="M154" s="133"/>
    </row>
    <row r="155" ht="16" customHeight="1" spans="1:13">
      <c r="A155" s="132">
        <v>153</v>
      </c>
      <c r="B155" s="102" t="s">
        <v>13027</v>
      </c>
      <c r="C155" s="15" t="s">
        <v>13311</v>
      </c>
      <c r="D155" s="142" t="s">
        <v>13312</v>
      </c>
      <c r="E155" s="102">
        <v>2020</v>
      </c>
      <c r="F155" s="102">
        <v>2020</v>
      </c>
      <c r="G155" s="132" t="s">
        <v>16</v>
      </c>
      <c r="H155" s="15">
        <v>200</v>
      </c>
      <c r="I155" s="15">
        <v>200</v>
      </c>
      <c r="J155" s="102"/>
      <c r="K155" s="104"/>
      <c r="L155" s="105">
        <v>20201118</v>
      </c>
      <c r="M155" s="133"/>
    </row>
    <row r="156" ht="16" customHeight="1" spans="1:13">
      <c r="A156" s="132">
        <v>154</v>
      </c>
      <c r="B156" s="102" t="s">
        <v>13027</v>
      </c>
      <c r="C156" s="15" t="s">
        <v>13313</v>
      </c>
      <c r="D156" s="142" t="s">
        <v>13314</v>
      </c>
      <c r="E156" s="102">
        <v>2020</v>
      </c>
      <c r="F156" s="102">
        <v>2020</v>
      </c>
      <c r="G156" s="132" t="s">
        <v>16</v>
      </c>
      <c r="H156" s="15">
        <v>200</v>
      </c>
      <c r="I156" s="15">
        <v>200</v>
      </c>
      <c r="J156" s="102"/>
      <c r="K156" s="104"/>
      <c r="L156" s="105">
        <v>20201118</v>
      </c>
      <c r="M156" s="133"/>
    </row>
    <row r="157" ht="16" customHeight="1" spans="1:13">
      <c r="A157" s="132">
        <v>155</v>
      </c>
      <c r="B157" s="102" t="s">
        <v>13027</v>
      </c>
      <c r="C157" s="15" t="s">
        <v>13315</v>
      </c>
      <c r="D157" s="142" t="s">
        <v>13316</v>
      </c>
      <c r="E157" s="102">
        <v>2020</v>
      </c>
      <c r="F157" s="102">
        <v>2020</v>
      </c>
      <c r="G157" s="132" t="s">
        <v>16</v>
      </c>
      <c r="H157" s="15">
        <v>200</v>
      </c>
      <c r="I157" s="15">
        <v>200</v>
      </c>
      <c r="J157" s="102"/>
      <c r="K157" s="104"/>
      <c r="L157" s="105">
        <v>20201118</v>
      </c>
      <c r="M157" s="133"/>
    </row>
    <row r="158" ht="16" customHeight="1" spans="1:13">
      <c r="A158" s="132">
        <v>156</v>
      </c>
      <c r="B158" s="102" t="s">
        <v>13027</v>
      </c>
      <c r="C158" s="15" t="s">
        <v>13317</v>
      </c>
      <c r="D158" s="142" t="s">
        <v>13318</v>
      </c>
      <c r="E158" s="102">
        <v>2020</v>
      </c>
      <c r="F158" s="102">
        <v>2020</v>
      </c>
      <c r="G158" s="132" t="s">
        <v>16</v>
      </c>
      <c r="H158" s="15">
        <v>200</v>
      </c>
      <c r="I158" s="15">
        <v>200</v>
      </c>
      <c r="J158" s="102"/>
      <c r="K158" s="104"/>
      <c r="L158" s="105">
        <v>20201118</v>
      </c>
      <c r="M158" s="133"/>
    </row>
    <row r="159" ht="16" customHeight="1" spans="1:13">
      <c r="A159" s="132">
        <v>157</v>
      </c>
      <c r="B159" s="102" t="s">
        <v>13027</v>
      </c>
      <c r="C159" s="15" t="s">
        <v>8832</v>
      </c>
      <c r="D159" s="142" t="s">
        <v>13319</v>
      </c>
      <c r="E159" s="102">
        <v>2020</v>
      </c>
      <c r="F159" s="102">
        <v>2020</v>
      </c>
      <c r="G159" s="132" t="s">
        <v>16</v>
      </c>
      <c r="H159" s="15">
        <v>200</v>
      </c>
      <c r="I159" s="15">
        <v>200</v>
      </c>
      <c r="J159" s="102"/>
      <c r="K159" s="104"/>
      <c r="L159" s="105">
        <v>20201118</v>
      </c>
      <c r="M159" s="133"/>
    </row>
    <row r="160" ht="16" customHeight="1" spans="1:13">
      <c r="A160" s="132">
        <v>158</v>
      </c>
      <c r="B160" s="102" t="s">
        <v>13027</v>
      </c>
      <c r="C160" s="15" t="s">
        <v>13320</v>
      </c>
      <c r="D160" s="142" t="s">
        <v>13321</v>
      </c>
      <c r="E160" s="102">
        <v>2020</v>
      </c>
      <c r="F160" s="102">
        <v>2020</v>
      </c>
      <c r="G160" s="132" t="s">
        <v>16</v>
      </c>
      <c r="H160" s="15">
        <v>200</v>
      </c>
      <c r="I160" s="15">
        <v>200</v>
      </c>
      <c r="J160" s="102" t="s">
        <v>13322</v>
      </c>
      <c r="K160" s="104"/>
      <c r="L160" s="105">
        <v>20201118</v>
      </c>
      <c r="M160" s="133"/>
    </row>
    <row r="161" ht="16" customHeight="1" spans="1:13">
      <c r="A161" s="132">
        <v>159</v>
      </c>
      <c r="B161" s="102" t="s">
        <v>13027</v>
      </c>
      <c r="C161" s="15" t="s">
        <v>7131</v>
      </c>
      <c r="D161" s="142" t="s">
        <v>13323</v>
      </c>
      <c r="E161" s="102">
        <v>2020</v>
      </c>
      <c r="F161" s="102">
        <v>2020</v>
      </c>
      <c r="G161" s="132" t="s">
        <v>16</v>
      </c>
      <c r="H161" s="15">
        <v>200</v>
      </c>
      <c r="I161" s="15">
        <v>200</v>
      </c>
      <c r="J161" s="102"/>
      <c r="K161" s="104"/>
      <c r="L161" s="105">
        <v>20201118</v>
      </c>
      <c r="M161" s="133"/>
    </row>
    <row r="162" ht="16" customHeight="1" spans="1:13">
      <c r="A162" s="132">
        <v>160</v>
      </c>
      <c r="B162" s="102" t="s">
        <v>13027</v>
      </c>
      <c r="C162" s="15" t="s">
        <v>13324</v>
      </c>
      <c r="D162" s="142" t="s">
        <v>13325</v>
      </c>
      <c r="E162" s="102">
        <v>2020</v>
      </c>
      <c r="F162" s="102">
        <v>2020</v>
      </c>
      <c r="G162" s="132" t="s">
        <v>16</v>
      </c>
      <c r="H162" s="15">
        <v>200</v>
      </c>
      <c r="I162" s="15">
        <v>200</v>
      </c>
      <c r="J162" s="102"/>
      <c r="K162" s="104"/>
      <c r="L162" s="105">
        <v>20201118</v>
      </c>
      <c r="M162" s="133"/>
    </row>
    <row r="163" ht="16" customHeight="1" spans="1:13">
      <c r="A163" s="132">
        <v>161</v>
      </c>
      <c r="B163" s="102" t="s">
        <v>13027</v>
      </c>
      <c r="C163" s="15" t="s">
        <v>13326</v>
      </c>
      <c r="D163" s="142" t="s">
        <v>13327</v>
      </c>
      <c r="E163" s="102">
        <v>2020</v>
      </c>
      <c r="F163" s="102">
        <v>2020</v>
      </c>
      <c r="G163" s="132" t="s">
        <v>16</v>
      </c>
      <c r="H163" s="15">
        <v>200</v>
      </c>
      <c r="I163" s="15">
        <v>200</v>
      </c>
      <c r="J163" s="102"/>
      <c r="K163" s="104"/>
      <c r="L163" s="105">
        <v>20201118</v>
      </c>
      <c r="M163" s="133"/>
    </row>
    <row r="164" ht="16" customHeight="1" spans="1:13">
      <c r="A164" s="132">
        <v>162</v>
      </c>
      <c r="B164" s="102" t="s">
        <v>13027</v>
      </c>
      <c r="C164" s="15" t="s">
        <v>8674</v>
      </c>
      <c r="D164" s="142" t="s">
        <v>13328</v>
      </c>
      <c r="E164" s="102">
        <v>2020</v>
      </c>
      <c r="F164" s="102">
        <v>2020</v>
      </c>
      <c r="G164" s="132" t="s">
        <v>16</v>
      </c>
      <c r="H164" s="15">
        <v>200</v>
      </c>
      <c r="I164" s="15">
        <v>200</v>
      </c>
      <c r="J164" s="102"/>
      <c r="K164" s="104"/>
      <c r="L164" s="105">
        <v>20201118</v>
      </c>
      <c r="M164" s="133"/>
    </row>
    <row r="165" ht="16" customHeight="1" spans="1:13">
      <c r="A165" s="132">
        <v>163</v>
      </c>
      <c r="B165" s="102" t="s">
        <v>13027</v>
      </c>
      <c r="C165" s="15" t="s">
        <v>13329</v>
      </c>
      <c r="D165" s="142" t="s">
        <v>13330</v>
      </c>
      <c r="E165" s="102">
        <v>2020</v>
      </c>
      <c r="F165" s="102">
        <v>2020</v>
      </c>
      <c r="G165" s="132" t="s">
        <v>16</v>
      </c>
      <c r="H165" s="15">
        <v>200</v>
      </c>
      <c r="I165" s="15">
        <v>200</v>
      </c>
      <c r="J165" s="102"/>
      <c r="K165" s="104"/>
      <c r="L165" s="105">
        <v>20201118</v>
      </c>
      <c r="M165" s="133"/>
    </row>
    <row r="166" ht="16" customHeight="1" spans="1:13">
      <c r="A166" s="132">
        <v>164</v>
      </c>
      <c r="B166" s="102" t="s">
        <v>13027</v>
      </c>
      <c r="C166" s="15" t="s">
        <v>4691</v>
      </c>
      <c r="D166" s="142" t="s">
        <v>13331</v>
      </c>
      <c r="E166" s="102">
        <v>2020</v>
      </c>
      <c r="F166" s="102">
        <v>2020</v>
      </c>
      <c r="G166" s="132" t="s">
        <v>16</v>
      </c>
      <c r="H166" s="15">
        <v>200</v>
      </c>
      <c r="I166" s="15">
        <v>200</v>
      </c>
      <c r="J166" s="102"/>
      <c r="K166" s="104"/>
      <c r="L166" s="105">
        <v>20201118</v>
      </c>
      <c r="M166" s="133"/>
    </row>
    <row r="167" ht="16" customHeight="1" spans="1:13">
      <c r="A167" s="132">
        <v>165</v>
      </c>
      <c r="B167" s="102" t="s">
        <v>13027</v>
      </c>
      <c r="C167" s="15" t="s">
        <v>13332</v>
      </c>
      <c r="D167" s="142" t="s">
        <v>13333</v>
      </c>
      <c r="E167" s="102">
        <v>2020</v>
      </c>
      <c r="F167" s="102">
        <v>2020</v>
      </c>
      <c r="G167" s="132" t="s">
        <v>16</v>
      </c>
      <c r="H167" s="15">
        <v>200</v>
      </c>
      <c r="I167" s="15">
        <v>200</v>
      </c>
      <c r="J167" s="102"/>
      <c r="K167" s="104"/>
      <c r="L167" s="105">
        <v>20201118</v>
      </c>
      <c r="M167" s="133"/>
    </row>
    <row r="168" ht="16" customHeight="1" spans="1:13">
      <c r="A168" s="132">
        <v>166</v>
      </c>
      <c r="B168" s="102" t="s">
        <v>13027</v>
      </c>
      <c r="C168" s="15" t="s">
        <v>13334</v>
      </c>
      <c r="D168" s="142" t="s">
        <v>13335</v>
      </c>
      <c r="E168" s="102">
        <v>2020</v>
      </c>
      <c r="F168" s="102">
        <v>2020</v>
      </c>
      <c r="G168" s="132" t="s">
        <v>16</v>
      </c>
      <c r="H168" s="15">
        <v>200</v>
      </c>
      <c r="I168" s="15">
        <v>200</v>
      </c>
      <c r="J168" s="102"/>
      <c r="K168" s="104"/>
      <c r="L168" s="105">
        <v>20201118</v>
      </c>
      <c r="M168" s="133"/>
    </row>
    <row r="169" ht="16" customHeight="1" spans="1:13">
      <c r="A169" s="132">
        <v>167</v>
      </c>
      <c r="B169" s="102" t="s">
        <v>13027</v>
      </c>
      <c r="C169" s="15" t="s">
        <v>13336</v>
      </c>
      <c r="D169" s="142" t="s">
        <v>13337</v>
      </c>
      <c r="E169" s="102">
        <v>2020</v>
      </c>
      <c r="F169" s="102">
        <v>2020</v>
      </c>
      <c r="G169" s="132" t="s">
        <v>16</v>
      </c>
      <c r="H169" s="15">
        <v>200</v>
      </c>
      <c r="I169" s="15">
        <v>200</v>
      </c>
      <c r="J169" s="102"/>
      <c r="K169" s="104"/>
      <c r="L169" s="105">
        <v>20201118</v>
      </c>
      <c r="M169" s="133"/>
    </row>
    <row r="170" ht="16" customHeight="1" spans="1:13">
      <c r="A170" s="132">
        <v>168</v>
      </c>
      <c r="B170" s="102" t="s">
        <v>13027</v>
      </c>
      <c r="C170" s="15" t="s">
        <v>13338</v>
      </c>
      <c r="D170" s="142" t="s">
        <v>13339</v>
      </c>
      <c r="E170" s="102">
        <v>2020</v>
      </c>
      <c r="F170" s="102">
        <v>2020</v>
      </c>
      <c r="G170" s="132" t="s">
        <v>16</v>
      </c>
      <c r="H170" s="15">
        <v>200</v>
      </c>
      <c r="I170" s="15">
        <v>200</v>
      </c>
      <c r="J170" s="102"/>
      <c r="K170" s="104"/>
      <c r="L170" s="105">
        <v>20201118</v>
      </c>
      <c r="M170" s="133"/>
    </row>
    <row r="171" ht="16" customHeight="1" spans="1:13">
      <c r="A171" s="132">
        <v>169</v>
      </c>
      <c r="B171" s="102" t="s">
        <v>13027</v>
      </c>
      <c r="C171" s="15" t="s">
        <v>13340</v>
      </c>
      <c r="D171" s="142" t="s">
        <v>13341</v>
      </c>
      <c r="E171" s="102">
        <v>2020</v>
      </c>
      <c r="F171" s="102">
        <v>2020</v>
      </c>
      <c r="G171" s="132" t="s">
        <v>16</v>
      </c>
      <c r="H171" s="15">
        <v>200</v>
      </c>
      <c r="I171" s="15">
        <v>200</v>
      </c>
      <c r="J171" s="102"/>
      <c r="K171" s="104"/>
      <c r="L171" s="105">
        <v>20201118</v>
      </c>
      <c r="M171" s="133"/>
    </row>
    <row r="172" ht="16" customHeight="1" spans="1:13">
      <c r="A172" s="132">
        <v>170</v>
      </c>
      <c r="B172" s="102" t="s">
        <v>13027</v>
      </c>
      <c r="C172" s="15" t="s">
        <v>13342</v>
      </c>
      <c r="D172" s="142" t="s">
        <v>13343</v>
      </c>
      <c r="E172" s="102">
        <v>2020</v>
      </c>
      <c r="F172" s="102">
        <v>2020</v>
      </c>
      <c r="G172" s="132" t="s">
        <v>16</v>
      </c>
      <c r="H172" s="15">
        <v>200</v>
      </c>
      <c r="I172" s="15">
        <v>200</v>
      </c>
      <c r="J172" s="102"/>
      <c r="K172" s="104"/>
      <c r="L172" s="105">
        <v>20201118</v>
      </c>
      <c r="M172" s="133"/>
    </row>
    <row r="173" ht="16" customHeight="1" spans="1:13">
      <c r="A173" s="132">
        <v>171</v>
      </c>
      <c r="B173" s="102" t="s">
        <v>13027</v>
      </c>
      <c r="C173" s="15" t="s">
        <v>13344</v>
      </c>
      <c r="D173" s="142" t="s">
        <v>13345</v>
      </c>
      <c r="E173" s="102">
        <v>2020</v>
      </c>
      <c r="F173" s="102">
        <v>2020</v>
      </c>
      <c r="G173" s="132" t="s">
        <v>16</v>
      </c>
      <c r="H173" s="15">
        <v>200</v>
      </c>
      <c r="I173" s="15">
        <v>200</v>
      </c>
      <c r="J173" s="102"/>
      <c r="K173" s="104"/>
      <c r="L173" s="105">
        <v>20201118</v>
      </c>
      <c r="M173" s="133"/>
    </row>
    <row r="174" ht="16" customHeight="1" spans="1:13">
      <c r="A174" s="132">
        <v>172</v>
      </c>
      <c r="B174" s="102" t="s">
        <v>13027</v>
      </c>
      <c r="C174" s="15" t="s">
        <v>13346</v>
      </c>
      <c r="D174" s="142" t="s">
        <v>13347</v>
      </c>
      <c r="E174" s="102">
        <v>2020</v>
      </c>
      <c r="F174" s="102">
        <v>2020</v>
      </c>
      <c r="G174" s="132" t="s">
        <v>16</v>
      </c>
      <c r="H174" s="15">
        <v>200</v>
      </c>
      <c r="I174" s="15">
        <v>200</v>
      </c>
      <c r="J174" s="102"/>
      <c r="K174" s="104"/>
      <c r="L174" s="105">
        <v>20201118</v>
      </c>
      <c r="M174" s="133"/>
    </row>
    <row r="175" ht="16" customHeight="1" spans="1:13">
      <c r="A175" s="132">
        <v>173</v>
      </c>
      <c r="B175" s="102" t="s">
        <v>13027</v>
      </c>
      <c r="C175" s="15" t="s">
        <v>13348</v>
      </c>
      <c r="D175" s="142" t="s">
        <v>13349</v>
      </c>
      <c r="E175" s="102">
        <v>2020</v>
      </c>
      <c r="F175" s="102">
        <v>2020</v>
      </c>
      <c r="G175" s="132" t="s">
        <v>16</v>
      </c>
      <c r="H175" s="15">
        <v>200</v>
      </c>
      <c r="I175" s="15">
        <v>200</v>
      </c>
      <c r="J175" s="102"/>
      <c r="K175" s="104"/>
      <c r="L175" s="105">
        <v>20201118</v>
      </c>
      <c r="M175" s="133"/>
    </row>
    <row r="176" ht="16" customHeight="1" spans="1:13">
      <c r="A176" s="132">
        <v>174</v>
      </c>
      <c r="B176" s="102" t="s">
        <v>13027</v>
      </c>
      <c r="C176" s="15" t="s">
        <v>11760</v>
      </c>
      <c r="D176" s="142" t="s">
        <v>13350</v>
      </c>
      <c r="E176" s="102">
        <v>2020</v>
      </c>
      <c r="F176" s="102">
        <v>2020</v>
      </c>
      <c r="G176" s="132" t="s">
        <v>16</v>
      </c>
      <c r="H176" s="15">
        <v>500</v>
      </c>
      <c r="I176" s="15">
        <v>500</v>
      </c>
      <c r="J176" s="102"/>
      <c r="K176" s="104"/>
      <c r="L176" s="105">
        <v>20201118</v>
      </c>
      <c r="M176" s="133"/>
    </row>
    <row r="177" ht="16" customHeight="1" spans="1:13">
      <c r="A177" s="132">
        <v>175</v>
      </c>
      <c r="B177" s="102" t="s">
        <v>13027</v>
      </c>
      <c r="C177" s="15" t="s">
        <v>13351</v>
      </c>
      <c r="D177" s="142" t="s">
        <v>13352</v>
      </c>
      <c r="E177" s="102">
        <v>2020</v>
      </c>
      <c r="F177" s="102">
        <v>2020</v>
      </c>
      <c r="G177" s="132" t="s">
        <v>16</v>
      </c>
      <c r="H177" s="15">
        <v>200</v>
      </c>
      <c r="I177" s="15">
        <v>200</v>
      </c>
      <c r="J177" s="102"/>
      <c r="K177" s="104"/>
      <c r="L177" s="105">
        <v>20201118</v>
      </c>
      <c r="M177" s="133"/>
    </row>
    <row r="178" ht="16" customHeight="1" spans="1:13">
      <c r="A178" s="132">
        <v>176</v>
      </c>
      <c r="B178" s="102" t="s">
        <v>13027</v>
      </c>
      <c r="C178" s="15" t="s">
        <v>13353</v>
      </c>
      <c r="D178" s="142" t="s">
        <v>13354</v>
      </c>
      <c r="E178" s="102">
        <v>2020</v>
      </c>
      <c r="F178" s="102">
        <v>2020</v>
      </c>
      <c r="G178" s="132" t="s">
        <v>16</v>
      </c>
      <c r="H178" s="15">
        <v>200</v>
      </c>
      <c r="I178" s="15">
        <v>200</v>
      </c>
      <c r="J178" s="102"/>
      <c r="K178" s="104"/>
      <c r="L178" s="105">
        <v>20201118</v>
      </c>
      <c r="M178" s="133"/>
    </row>
    <row r="179" ht="16" customHeight="1" spans="1:13">
      <c r="A179" s="132">
        <v>177</v>
      </c>
      <c r="B179" s="102" t="s">
        <v>13027</v>
      </c>
      <c r="C179" s="15" t="s">
        <v>13355</v>
      </c>
      <c r="D179" s="142" t="s">
        <v>13356</v>
      </c>
      <c r="E179" s="102">
        <v>2020</v>
      </c>
      <c r="F179" s="102">
        <v>2020</v>
      </c>
      <c r="G179" s="132" t="s">
        <v>16</v>
      </c>
      <c r="H179" s="15">
        <v>200</v>
      </c>
      <c r="I179" s="15">
        <v>200</v>
      </c>
      <c r="J179" s="102"/>
      <c r="K179" s="104"/>
      <c r="L179" s="105">
        <v>20201118</v>
      </c>
      <c r="M179" s="133"/>
    </row>
    <row r="180" ht="16" customHeight="1" spans="1:13">
      <c r="A180" s="132">
        <v>178</v>
      </c>
      <c r="B180" s="102" t="s">
        <v>13027</v>
      </c>
      <c r="C180" s="15" t="s">
        <v>13357</v>
      </c>
      <c r="D180" s="142" t="s">
        <v>13358</v>
      </c>
      <c r="E180" s="102">
        <v>2020</v>
      </c>
      <c r="F180" s="102">
        <v>2020</v>
      </c>
      <c r="G180" s="132" t="s">
        <v>16</v>
      </c>
      <c r="H180" s="15">
        <v>200</v>
      </c>
      <c r="I180" s="15">
        <v>200</v>
      </c>
      <c r="J180" s="102"/>
      <c r="K180" s="104"/>
      <c r="L180" s="105">
        <v>20201118</v>
      </c>
      <c r="M180" s="133"/>
    </row>
    <row r="181" ht="16" customHeight="1" spans="1:13">
      <c r="A181" s="132">
        <v>179</v>
      </c>
      <c r="B181" s="102" t="s">
        <v>13027</v>
      </c>
      <c r="C181" s="15" t="s">
        <v>13359</v>
      </c>
      <c r="D181" s="142" t="s">
        <v>13360</v>
      </c>
      <c r="E181" s="102">
        <v>2020</v>
      </c>
      <c r="F181" s="102">
        <v>2020</v>
      </c>
      <c r="G181" s="132" t="s">
        <v>16</v>
      </c>
      <c r="H181" s="15">
        <v>200</v>
      </c>
      <c r="I181" s="15">
        <v>200</v>
      </c>
      <c r="J181" s="102"/>
      <c r="K181" s="104"/>
      <c r="L181" s="105">
        <v>20201118</v>
      </c>
      <c r="M181" s="133"/>
    </row>
    <row r="182" ht="16" customHeight="1" spans="1:13">
      <c r="A182" s="132">
        <v>180</v>
      </c>
      <c r="B182" s="102" t="s">
        <v>13027</v>
      </c>
      <c r="C182" s="15" t="s">
        <v>13361</v>
      </c>
      <c r="D182" s="142" t="s">
        <v>13362</v>
      </c>
      <c r="E182" s="102">
        <v>2020</v>
      </c>
      <c r="F182" s="102">
        <v>2020</v>
      </c>
      <c r="G182" s="132" t="s">
        <v>16</v>
      </c>
      <c r="H182" s="15">
        <v>200</v>
      </c>
      <c r="I182" s="15">
        <v>200</v>
      </c>
      <c r="J182" s="102"/>
      <c r="K182" s="104"/>
      <c r="L182" s="105">
        <v>20201118</v>
      </c>
      <c r="M182" s="133"/>
    </row>
    <row r="183" ht="16" customHeight="1" spans="1:13">
      <c r="A183" s="132">
        <v>181</v>
      </c>
      <c r="B183" s="102" t="s">
        <v>13027</v>
      </c>
      <c r="C183" s="15" t="s">
        <v>13363</v>
      </c>
      <c r="D183" s="142" t="s">
        <v>13364</v>
      </c>
      <c r="E183" s="102">
        <v>2020</v>
      </c>
      <c r="F183" s="102">
        <v>2020</v>
      </c>
      <c r="G183" s="132" t="s">
        <v>16</v>
      </c>
      <c r="H183" s="15">
        <v>200</v>
      </c>
      <c r="I183" s="15">
        <v>200</v>
      </c>
      <c r="J183" s="102"/>
      <c r="K183" s="104"/>
      <c r="L183" s="105">
        <v>20201118</v>
      </c>
      <c r="M183" s="133"/>
    </row>
    <row r="184" ht="16" customHeight="1" spans="1:13">
      <c r="A184" s="132">
        <v>182</v>
      </c>
      <c r="B184" s="102" t="s">
        <v>13027</v>
      </c>
      <c r="C184" s="15" t="s">
        <v>13365</v>
      </c>
      <c r="D184" s="142" t="s">
        <v>13366</v>
      </c>
      <c r="E184" s="102">
        <v>2020</v>
      </c>
      <c r="F184" s="102">
        <v>2020</v>
      </c>
      <c r="G184" s="132" t="s">
        <v>16</v>
      </c>
      <c r="H184" s="15">
        <v>200</v>
      </c>
      <c r="I184" s="15">
        <v>200</v>
      </c>
      <c r="J184" s="102"/>
      <c r="K184" s="104"/>
      <c r="L184" s="105">
        <v>20201118</v>
      </c>
      <c r="M184" s="133"/>
    </row>
    <row r="185" ht="16" customHeight="1" spans="1:13">
      <c r="A185" s="132">
        <v>183</v>
      </c>
      <c r="B185" s="102" t="s">
        <v>13027</v>
      </c>
      <c r="C185" s="15" t="s">
        <v>13367</v>
      </c>
      <c r="D185" s="142" t="s">
        <v>13368</v>
      </c>
      <c r="E185" s="102">
        <v>2020</v>
      </c>
      <c r="F185" s="102">
        <v>2020</v>
      </c>
      <c r="G185" s="132" t="s">
        <v>16</v>
      </c>
      <c r="H185" s="15">
        <v>200</v>
      </c>
      <c r="I185" s="15">
        <v>200</v>
      </c>
      <c r="J185" s="102"/>
      <c r="K185" s="104"/>
      <c r="L185" s="105">
        <v>20201118</v>
      </c>
      <c r="M185" s="133"/>
    </row>
    <row r="186" ht="16" customHeight="1" spans="1:13">
      <c r="A186" s="132">
        <v>184</v>
      </c>
      <c r="B186" s="102" t="s">
        <v>13027</v>
      </c>
      <c r="C186" s="15" t="s">
        <v>4697</v>
      </c>
      <c r="D186" s="142" t="s">
        <v>13369</v>
      </c>
      <c r="E186" s="102">
        <v>2020</v>
      </c>
      <c r="F186" s="102">
        <v>2020</v>
      </c>
      <c r="G186" s="132" t="s">
        <v>16</v>
      </c>
      <c r="H186" s="15">
        <v>200</v>
      </c>
      <c r="I186" s="15">
        <v>200</v>
      </c>
      <c r="J186" s="102"/>
      <c r="K186" s="104"/>
      <c r="L186" s="105">
        <v>20201118</v>
      </c>
      <c r="M186" s="133"/>
    </row>
    <row r="187" ht="16" customHeight="1" spans="1:13">
      <c r="A187" s="132">
        <v>185</v>
      </c>
      <c r="B187" s="102" t="s">
        <v>13027</v>
      </c>
      <c r="C187" s="15" t="s">
        <v>13370</v>
      </c>
      <c r="D187" s="142" t="s">
        <v>13371</v>
      </c>
      <c r="E187" s="102">
        <v>2020</v>
      </c>
      <c r="F187" s="102">
        <v>2020</v>
      </c>
      <c r="G187" s="132" t="s">
        <v>16</v>
      </c>
      <c r="H187" s="15">
        <v>200</v>
      </c>
      <c r="I187" s="15">
        <v>200</v>
      </c>
      <c r="J187" s="102"/>
      <c r="K187" s="104"/>
      <c r="L187" s="105">
        <v>20201118</v>
      </c>
      <c r="M187" s="133"/>
    </row>
    <row r="188" ht="16" customHeight="1" spans="1:13">
      <c r="A188" s="132">
        <v>186</v>
      </c>
      <c r="B188" s="102" t="s">
        <v>13027</v>
      </c>
      <c r="C188" s="15" t="s">
        <v>13372</v>
      </c>
      <c r="D188" s="142" t="s">
        <v>13373</v>
      </c>
      <c r="E188" s="102">
        <v>2020</v>
      </c>
      <c r="F188" s="102">
        <v>2020</v>
      </c>
      <c r="G188" s="132" t="s">
        <v>16</v>
      </c>
      <c r="H188" s="15">
        <v>200</v>
      </c>
      <c r="I188" s="15">
        <v>200</v>
      </c>
      <c r="J188" s="102"/>
      <c r="K188" s="104"/>
      <c r="L188" s="105">
        <v>20201118</v>
      </c>
      <c r="M188" s="133"/>
    </row>
    <row r="189" ht="16" customHeight="1" spans="1:13">
      <c r="A189" s="132">
        <v>187</v>
      </c>
      <c r="B189" s="102" t="s">
        <v>13027</v>
      </c>
      <c r="C189" s="15" t="s">
        <v>13374</v>
      </c>
      <c r="D189" s="142" t="s">
        <v>13375</v>
      </c>
      <c r="E189" s="102">
        <v>2020</v>
      </c>
      <c r="F189" s="102">
        <v>2020</v>
      </c>
      <c r="G189" s="132" t="s">
        <v>16</v>
      </c>
      <c r="H189" s="15">
        <v>200</v>
      </c>
      <c r="I189" s="15">
        <v>200</v>
      </c>
      <c r="J189" s="102"/>
      <c r="K189" s="104"/>
      <c r="L189" s="105">
        <v>20201118</v>
      </c>
      <c r="M189" s="133"/>
    </row>
    <row r="190" ht="16" customHeight="1" spans="1:13">
      <c r="A190" s="132">
        <v>188</v>
      </c>
      <c r="B190" s="102" t="s">
        <v>13027</v>
      </c>
      <c r="C190" s="15" t="s">
        <v>5770</v>
      </c>
      <c r="D190" s="142" t="s">
        <v>13376</v>
      </c>
      <c r="E190" s="102">
        <v>2020</v>
      </c>
      <c r="F190" s="102">
        <v>2020</v>
      </c>
      <c r="G190" s="132" t="s">
        <v>16</v>
      </c>
      <c r="H190" s="15">
        <v>200</v>
      </c>
      <c r="I190" s="15">
        <v>200</v>
      </c>
      <c r="J190" s="102"/>
      <c r="K190" s="104"/>
      <c r="L190" s="105">
        <v>20201118</v>
      </c>
      <c r="M190" s="133"/>
    </row>
    <row r="191" ht="16" customHeight="1" spans="1:13">
      <c r="A191" s="132">
        <v>189</v>
      </c>
      <c r="B191" s="102" t="s">
        <v>13027</v>
      </c>
      <c r="C191" s="15" t="s">
        <v>13377</v>
      </c>
      <c r="D191" s="142" t="s">
        <v>13378</v>
      </c>
      <c r="E191" s="102">
        <v>2020</v>
      </c>
      <c r="F191" s="102">
        <v>2020</v>
      </c>
      <c r="G191" s="132" t="s">
        <v>16</v>
      </c>
      <c r="H191" s="15">
        <v>200</v>
      </c>
      <c r="I191" s="15">
        <v>200</v>
      </c>
      <c r="J191" s="102"/>
      <c r="K191" s="104"/>
      <c r="L191" s="105">
        <v>20201118</v>
      </c>
      <c r="M191" s="133"/>
    </row>
    <row r="192" ht="16" customHeight="1" spans="1:13">
      <c r="A192" s="132">
        <v>190</v>
      </c>
      <c r="B192" s="102" t="s">
        <v>13027</v>
      </c>
      <c r="C192" s="15" t="s">
        <v>9027</v>
      </c>
      <c r="D192" s="142" t="s">
        <v>13379</v>
      </c>
      <c r="E192" s="102">
        <v>2020</v>
      </c>
      <c r="F192" s="102">
        <v>2020</v>
      </c>
      <c r="G192" s="132" t="s">
        <v>16</v>
      </c>
      <c r="H192" s="15">
        <v>200</v>
      </c>
      <c r="I192" s="15">
        <v>200</v>
      </c>
      <c r="J192" s="102"/>
      <c r="K192" s="104"/>
      <c r="L192" s="105">
        <v>20201118</v>
      </c>
      <c r="M192" s="133"/>
    </row>
    <row r="193" ht="16" customHeight="1" spans="1:13">
      <c r="A193" s="132">
        <v>191</v>
      </c>
      <c r="B193" s="102" t="s">
        <v>13027</v>
      </c>
      <c r="C193" s="15" t="s">
        <v>13380</v>
      </c>
      <c r="D193" s="142" t="s">
        <v>13381</v>
      </c>
      <c r="E193" s="102">
        <v>2020</v>
      </c>
      <c r="F193" s="102">
        <v>2020</v>
      </c>
      <c r="G193" s="132" t="s">
        <v>16</v>
      </c>
      <c r="H193" s="15">
        <v>200</v>
      </c>
      <c r="I193" s="15">
        <v>200</v>
      </c>
      <c r="J193" s="102"/>
      <c r="K193" s="104"/>
      <c r="L193" s="105">
        <v>20201118</v>
      </c>
      <c r="M193" s="133"/>
    </row>
    <row r="194" ht="16" customHeight="1" spans="1:13">
      <c r="A194" s="132">
        <v>192</v>
      </c>
      <c r="B194" s="102" t="s">
        <v>13027</v>
      </c>
      <c r="C194" s="15" t="s">
        <v>13382</v>
      </c>
      <c r="D194" s="142" t="s">
        <v>13383</v>
      </c>
      <c r="E194" s="102">
        <v>2020</v>
      </c>
      <c r="F194" s="102">
        <v>2020</v>
      </c>
      <c r="G194" s="132" t="s">
        <v>16</v>
      </c>
      <c r="H194" s="15">
        <v>200</v>
      </c>
      <c r="I194" s="15">
        <v>200</v>
      </c>
      <c r="J194" s="102" t="s">
        <v>1242</v>
      </c>
      <c r="K194" s="104"/>
      <c r="L194" s="105">
        <v>20201118</v>
      </c>
      <c r="M194" s="133"/>
    </row>
    <row r="195" ht="16" customHeight="1" spans="1:13">
      <c r="A195" s="132">
        <v>193</v>
      </c>
      <c r="B195" s="102" t="s">
        <v>13027</v>
      </c>
      <c r="C195" s="15" t="s">
        <v>13384</v>
      </c>
      <c r="D195" s="142" t="s">
        <v>13385</v>
      </c>
      <c r="E195" s="102">
        <v>2020</v>
      </c>
      <c r="F195" s="102">
        <v>2020</v>
      </c>
      <c r="G195" s="132" t="s">
        <v>16</v>
      </c>
      <c r="H195" s="15">
        <v>200</v>
      </c>
      <c r="I195" s="15">
        <v>200</v>
      </c>
      <c r="J195" s="102"/>
      <c r="K195" s="104"/>
      <c r="L195" s="105">
        <v>20201118</v>
      </c>
      <c r="M195" s="133"/>
    </row>
    <row r="196" ht="16" customHeight="1" spans="1:13">
      <c r="A196" s="132">
        <v>194</v>
      </c>
      <c r="B196" s="102" t="s">
        <v>13027</v>
      </c>
      <c r="C196" s="15" t="s">
        <v>13386</v>
      </c>
      <c r="D196" s="142" t="s">
        <v>13387</v>
      </c>
      <c r="E196" s="102">
        <v>2020</v>
      </c>
      <c r="F196" s="102">
        <v>2020</v>
      </c>
      <c r="G196" s="132" t="s">
        <v>16</v>
      </c>
      <c r="H196" s="15">
        <v>200</v>
      </c>
      <c r="I196" s="15">
        <v>200</v>
      </c>
      <c r="J196" s="102"/>
      <c r="K196" s="104"/>
      <c r="L196" s="105">
        <v>20201118</v>
      </c>
      <c r="M196" s="133"/>
    </row>
    <row r="197" ht="16" customHeight="1" spans="1:13">
      <c r="A197" s="132">
        <v>195</v>
      </c>
      <c r="B197" s="102" t="s">
        <v>13027</v>
      </c>
      <c r="C197" s="15" t="s">
        <v>13388</v>
      </c>
      <c r="D197" s="142" t="s">
        <v>13389</v>
      </c>
      <c r="E197" s="102">
        <v>2020</v>
      </c>
      <c r="F197" s="102">
        <v>2020</v>
      </c>
      <c r="G197" s="132" t="s">
        <v>16</v>
      </c>
      <c r="H197" s="15">
        <v>200</v>
      </c>
      <c r="I197" s="15">
        <v>200</v>
      </c>
      <c r="J197" s="102"/>
      <c r="K197" s="104"/>
      <c r="L197" s="105">
        <v>20201118</v>
      </c>
      <c r="M197" s="133"/>
    </row>
    <row r="198" ht="16" customHeight="1" spans="1:13">
      <c r="A198" s="132">
        <v>196</v>
      </c>
      <c r="B198" s="102" t="s">
        <v>13027</v>
      </c>
      <c r="C198" s="15" t="s">
        <v>13390</v>
      </c>
      <c r="D198" s="142" t="s">
        <v>13391</v>
      </c>
      <c r="E198" s="102">
        <v>2020</v>
      </c>
      <c r="F198" s="102">
        <v>2020</v>
      </c>
      <c r="G198" s="132" t="s">
        <v>16</v>
      </c>
      <c r="H198" s="15">
        <v>500</v>
      </c>
      <c r="I198" s="15">
        <v>500</v>
      </c>
      <c r="J198" s="102"/>
      <c r="K198" s="104"/>
      <c r="L198" s="105">
        <v>20201118</v>
      </c>
      <c r="M198" s="133"/>
    </row>
    <row r="199" ht="16" customHeight="1" spans="1:13">
      <c r="A199" s="132">
        <v>197</v>
      </c>
      <c r="B199" s="102" t="s">
        <v>13027</v>
      </c>
      <c r="C199" s="15" t="s">
        <v>13392</v>
      </c>
      <c r="D199" s="142" t="s">
        <v>13393</v>
      </c>
      <c r="E199" s="102">
        <v>2020</v>
      </c>
      <c r="F199" s="102">
        <v>2020</v>
      </c>
      <c r="G199" s="132" t="s">
        <v>16</v>
      </c>
      <c r="H199" s="15">
        <v>200</v>
      </c>
      <c r="I199" s="15">
        <v>200</v>
      </c>
      <c r="J199" s="102"/>
      <c r="K199" s="104"/>
      <c r="L199" s="105">
        <v>20201118</v>
      </c>
      <c r="M199" s="133"/>
    </row>
    <row r="200" ht="16" customHeight="1" spans="1:13">
      <c r="A200" s="132">
        <v>198</v>
      </c>
      <c r="B200" s="102" t="s">
        <v>13027</v>
      </c>
      <c r="C200" s="15" t="s">
        <v>13394</v>
      </c>
      <c r="D200" s="142" t="s">
        <v>13395</v>
      </c>
      <c r="E200" s="102">
        <v>2020</v>
      </c>
      <c r="F200" s="102">
        <v>2020</v>
      </c>
      <c r="G200" s="132" t="s">
        <v>16</v>
      </c>
      <c r="H200" s="15">
        <v>200</v>
      </c>
      <c r="I200" s="15">
        <v>200</v>
      </c>
      <c r="J200" s="102"/>
      <c r="K200" s="104"/>
      <c r="L200" s="105">
        <v>20201118</v>
      </c>
      <c r="M200" s="133"/>
    </row>
    <row r="201" ht="16" customHeight="1" spans="1:13">
      <c r="A201" s="132">
        <v>199</v>
      </c>
      <c r="B201" s="102" t="s">
        <v>13027</v>
      </c>
      <c r="C201" s="15" t="s">
        <v>13396</v>
      </c>
      <c r="D201" s="142" t="s">
        <v>13397</v>
      </c>
      <c r="E201" s="102">
        <v>2020</v>
      </c>
      <c r="F201" s="102">
        <v>2020</v>
      </c>
      <c r="G201" s="132" t="s">
        <v>16</v>
      </c>
      <c r="H201" s="15">
        <v>200</v>
      </c>
      <c r="I201" s="15">
        <v>200</v>
      </c>
      <c r="J201" s="102"/>
      <c r="K201" s="104"/>
      <c r="L201" s="105">
        <v>20201118</v>
      </c>
      <c r="M201" s="133"/>
    </row>
    <row r="202" ht="16" customHeight="1" spans="1:13">
      <c r="A202" s="132">
        <v>200</v>
      </c>
      <c r="B202" s="102" t="s">
        <v>13027</v>
      </c>
      <c r="C202" s="15" t="s">
        <v>13398</v>
      </c>
      <c r="D202" s="142" t="s">
        <v>13399</v>
      </c>
      <c r="E202" s="102">
        <v>2020</v>
      </c>
      <c r="F202" s="102">
        <v>2020</v>
      </c>
      <c r="G202" s="132" t="s">
        <v>16</v>
      </c>
      <c r="H202" s="15">
        <v>200</v>
      </c>
      <c r="I202" s="15">
        <v>200</v>
      </c>
      <c r="J202" s="102"/>
      <c r="K202" s="104"/>
      <c r="L202" s="105">
        <v>20201118</v>
      </c>
      <c r="M202" s="133"/>
    </row>
    <row r="203" ht="16" customHeight="1" spans="1:13">
      <c r="A203" s="132">
        <v>201</v>
      </c>
      <c r="B203" s="102" t="s">
        <v>13027</v>
      </c>
      <c r="C203" s="15" t="s">
        <v>13400</v>
      </c>
      <c r="D203" s="142" t="s">
        <v>13401</v>
      </c>
      <c r="E203" s="102">
        <v>2020</v>
      </c>
      <c r="F203" s="102">
        <v>2020</v>
      </c>
      <c r="G203" s="132" t="s">
        <v>16</v>
      </c>
      <c r="H203" s="15">
        <v>200</v>
      </c>
      <c r="I203" s="15">
        <v>200</v>
      </c>
      <c r="J203" s="102" t="s">
        <v>1242</v>
      </c>
      <c r="K203" s="104"/>
      <c r="L203" s="105">
        <v>20201118</v>
      </c>
      <c r="M203" s="133"/>
    </row>
    <row r="204" ht="16" customHeight="1" spans="1:13">
      <c r="A204" s="132">
        <v>202</v>
      </c>
      <c r="B204" s="102" t="s">
        <v>13027</v>
      </c>
      <c r="C204" s="15" t="s">
        <v>13402</v>
      </c>
      <c r="D204" s="142" t="s">
        <v>13403</v>
      </c>
      <c r="E204" s="102">
        <v>2020</v>
      </c>
      <c r="F204" s="102">
        <v>2020</v>
      </c>
      <c r="G204" s="132" t="s">
        <v>16</v>
      </c>
      <c r="H204" s="15">
        <v>200</v>
      </c>
      <c r="I204" s="15">
        <v>200</v>
      </c>
      <c r="J204" s="102"/>
      <c r="K204" s="104"/>
      <c r="L204" s="105">
        <v>20201118</v>
      </c>
      <c r="M204" s="133"/>
    </row>
    <row r="205" ht="16" customHeight="1" spans="1:13">
      <c r="A205" s="132">
        <v>203</v>
      </c>
      <c r="B205" s="102" t="s">
        <v>13027</v>
      </c>
      <c r="C205" s="15" t="s">
        <v>13404</v>
      </c>
      <c r="D205" s="142" t="s">
        <v>13405</v>
      </c>
      <c r="E205" s="102">
        <v>2020</v>
      </c>
      <c r="F205" s="102">
        <v>2020</v>
      </c>
      <c r="G205" s="132" t="s">
        <v>16</v>
      </c>
      <c r="H205" s="15">
        <v>200</v>
      </c>
      <c r="I205" s="15">
        <v>200</v>
      </c>
      <c r="J205" s="102"/>
      <c r="K205" s="104"/>
      <c r="L205" s="105">
        <v>20201118</v>
      </c>
      <c r="M205" s="133"/>
    </row>
    <row r="206" ht="16" customHeight="1" spans="1:13">
      <c r="A206" s="132">
        <v>204</v>
      </c>
      <c r="B206" s="102" t="s">
        <v>13027</v>
      </c>
      <c r="C206" s="15" t="s">
        <v>2293</v>
      </c>
      <c r="D206" s="142" t="s">
        <v>13406</v>
      </c>
      <c r="E206" s="102">
        <v>2020</v>
      </c>
      <c r="F206" s="102">
        <v>2020</v>
      </c>
      <c r="G206" s="132" t="s">
        <v>16</v>
      </c>
      <c r="H206" s="15">
        <v>200</v>
      </c>
      <c r="I206" s="15">
        <v>200</v>
      </c>
      <c r="J206" s="102"/>
      <c r="K206" s="104"/>
      <c r="L206" s="105">
        <v>20201118</v>
      </c>
      <c r="M206" s="133"/>
    </row>
    <row r="207" ht="16" customHeight="1" spans="1:13">
      <c r="A207" s="132">
        <v>205</v>
      </c>
      <c r="B207" s="102" t="s">
        <v>13027</v>
      </c>
      <c r="C207" s="15" t="s">
        <v>13407</v>
      </c>
      <c r="D207" s="142" t="s">
        <v>13408</v>
      </c>
      <c r="E207" s="102">
        <v>2020</v>
      </c>
      <c r="F207" s="102">
        <v>2020</v>
      </c>
      <c r="G207" s="132" t="s">
        <v>16</v>
      </c>
      <c r="H207" s="15">
        <v>200</v>
      </c>
      <c r="I207" s="15">
        <v>200</v>
      </c>
      <c r="J207" s="102" t="s">
        <v>1242</v>
      </c>
      <c r="K207" s="104"/>
      <c r="L207" s="105">
        <v>20201118</v>
      </c>
      <c r="M207" s="133"/>
    </row>
    <row r="208" ht="16" customHeight="1" spans="1:13">
      <c r="A208" s="132">
        <v>206</v>
      </c>
      <c r="B208" s="102" t="s">
        <v>13027</v>
      </c>
      <c r="C208" s="15" t="s">
        <v>1148</v>
      </c>
      <c r="D208" s="142" t="s">
        <v>13409</v>
      </c>
      <c r="E208" s="102">
        <v>2020</v>
      </c>
      <c r="F208" s="102">
        <v>2020</v>
      </c>
      <c r="G208" s="132" t="s">
        <v>16</v>
      </c>
      <c r="H208" s="15">
        <v>200</v>
      </c>
      <c r="I208" s="15">
        <v>200</v>
      </c>
      <c r="J208" s="102"/>
      <c r="K208" s="104"/>
      <c r="L208" s="105">
        <v>20201118</v>
      </c>
      <c r="M208" s="133"/>
    </row>
    <row r="209" ht="16" customHeight="1" spans="1:13">
      <c r="A209" s="132">
        <v>207</v>
      </c>
      <c r="B209" s="102" t="s">
        <v>13027</v>
      </c>
      <c r="C209" s="15" t="s">
        <v>13410</v>
      </c>
      <c r="D209" s="142" t="s">
        <v>13411</v>
      </c>
      <c r="E209" s="102">
        <v>2020</v>
      </c>
      <c r="F209" s="102">
        <v>2020</v>
      </c>
      <c r="G209" s="132" t="s">
        <v>16</v>
      </c>
      <c r="H209" s="15">
        <v>200</v>
      </c>
      <c r="I209" s="15">
        <v>200</v>
      </c>
      <c r="J209" s="102"/>
      <c r="K209" s="104"/>
      <c r="L209" s="105">
        <v>20201118</v>
      </c>
      <c r="M209" s="133"/>
    </row>
    <row r="210" ht="16" customHeight="1" spans="1:13">
      <c r="A210" s="132">
        <v>208</v>
      </c>
      <c r="B210" s="102" t="s">
        <v>13027</v>
      </c>
      <c r="C210" s="15" t="s">
        <v>13412</v>
      </c>
      <c r="D210" s="142" t="s">
        <v>13413</v>
      </c>
      <c r="E210" s="102">
        <v>2020</v>
      </c>
      <c r="F210" s="102">
        <v>2020</v>
      </c>
      <c r="G210" s="132" t="s">
        <v>16</v>
      </c>
      <c r="H210" s="15">
        <v>500</v>
      </c>
      <c r="I210" s="15">
        <v>500</v>
      </c>
      <c r="J210" s="102"/>
      <c r="K210" s="104"/>
      <c r="L210" s="105">
        <v>20201118</v>
      </c>
      <c r="M210" s="133"/>
    </row>
    <row r="211" ht="16" customHeight="1" spans="1:13">
      <c r="A211" s="132">
        <v>209</v>
      </c>
      <c r="B211" s="102" t="s">
        <v>13027</v>
      </c>
      <c r="C211" s="15" t="s">
        <v>13414</v>
      </c>
      <c r="D211" s="142" t="s">
        <v>13415</v>
      </c>
      <c r="E211" s="102">
        <v>2020</v>
      </c>
      <c r="F211" s="102">
        <v>2020</v>
      </c>
      <c r="G211" s="132" t="s">
        <v>16</v>
      </c>
      <c r="H211" s="15">
        <v>200</v>
      </c>
      <c r="I211" s="15">
        <v>200</v>
      </c>
      <c r="J211" s="102"/>
      <c r="K211" s="104"/>
      <c r="L211" s="105">
        <v>20201118</v>
      </c>
      <c r="M211" s="133"/>
    </row>
    <row r="212" ht="16" customHeight="1" spans="1:13">
      <c r="A212" s="132">
        <v>210</v>
      </c>
      <c r="B212" s="102" t="s">
        <v>13027</v>
      </c>
      <c r="C212" s="15" t="s">
        <v>13416</v>
      </c>
      <c r="D212" s="142" t="s">
        <v>13417</v>
      </c>
      <c r="E212" s="102">
        <v>2020</v>
      </c>
      <c r="F212" s="102">
        <v>2020</v>
      </c>
      <c r="G212" s="132" t="s">
        <v>16</v>
      </c>
      <c r="H212" s="15">
        <v>200</v>
      </c>
      <c r="I212" s="15">
        <v>200</v>
      </c>
      <c r="J212" s="102"/>
      <c r="K212" s="104"/>
      <c r="L212" s="105">
        <v>20201118</v>
      </c>
      <c r="M212" s="133"/>
    </row>
    <row r="213" ht="16" customHeight="1" spans="1:13">
      <c r="A213" s="132">
        <v>211</v>
      </c>
      <c r="B213" s="102" t="s">
        <v>13027</v>
      </c>
      <c r="C213" s="15" t="s">
        <v>884</v>
      </c>
      <c r="D213" s="142" t="s">
        <v>13418</v>
      </c>
      <c r="E213" s="102">
        <v>2020</v>
      </c>
      <c r="F213" s="102">
        <v>2020</v>
      </c>
      <c r="G213" s="132" t="s">
        <v>16</v>
      </c>
      <c r="H213" s="15">
        <v>200</v>
      </c>
      <c r="I213" s="15">
        <v>200</v>
      </c>
      <c r="J213" s="102"/>
      <c r="K213" s="104"/>
      <c r="L213" s="105">
        <v>20201118</v>
      </c>
      <c r="M213" s="133"/>
    </row>
    <row r="214" ht="16" customHeight="1" spans="1:13">
      <c r="A214" s="132">
        <v>212</v>
      </c>
      <c r="B214" s="102" t="s">
        <v>13027</v>
      </c>
      <c r="C214" s="15" t="s">
        <v>13419</v>
      </c>
      <c r="D214" s="142" t="s">
        <v>13420</v>
      </c>
      <c r="E214" s="102">
        <v>2020</v>
      </c>
      <c r="F214" s="102">
        <v>2020</v>
      </c>
      <c r="G214" s="132" t="s">
        <v>16</v>
      </c>
      <c r="H214" s="15">
        <v>200</v>
      </c>
      <c r="I214" s="15">
        <v>200</v>
      </c>
      <c r="J214" s="102"/>
      <c r="K214" s="104"/>
      <c r="L214" s="105">
        <v>20201118</v>
      </c>
      <c r="M214" s="133"/>
    </row>
    <row r="215" ht="16" customHeight="1" spans="1:13">
      <c r="A215" s="132">
        <v>213</v>
      </c>
      <c r="B215" s="102" t="s">
        <v>13027</v>
      </c>
      <c r="C215" s="15" t="s">
        <v>13421</v>
      </c>
      <c r="D215" s="142" t="s">
        <v>13422</v>
      </c>
      <c r="E215" s="102">
        <v>2020</v>
      </c>
      <c r="F215" s="102">
        <v>2020</v>
      </c>
      <c r="G215" s="132" t="s">
        <v>16</v>
      </c>
      <c r="H215" s="15">
        <v>200</v>
      </c>
      <c r="I215" s="15">
        <v>200</v>
      </c>
      <c r="J215" s="102"/>
      <c r="K215" s="104"/>
      <c r="L215" s="105">
        <v>20201118</v>
      </c>
      <c r="M215" s="133"/>
    </row>
    <row r="216" ht="16" customHeight="1" spans="1:13">
      <c r="A216" s="132">
        <v>214</v>
      </c>
      <c r="B216" s="102" t="s">
        <v>13027</v>
      </c>
      <c r="C216" s="15" t="s">
        <v>13423</v>
      </c>
      <c r="D216" s="142" t="s">
        <v>13424</v>
      </c>
      <c r="E216" s="102">
        <v>2020</v>
      </c>
      <c r="F216" s="102">
        <v>2020</v>
      </c>
      <c r="G216" s="132" t="s">
        <v>16</v>
      </c>
      <c r="H216" s="15">
        <v>200</v>
      </c>
      <c r="I216" s="15">
        <v>200</v>
      </c>
      <c r="J216" s="102"/>
      <c r="K216" s="104"/>
      <c r="L216" s="105">
        <v>20201118</v>
      </c>
      <c r="M216" s="133"/>
    </row>
    <row r="217" ht="16" customHeight="1" spans="1:13">
      <c r="A217" s="132">
        <v>215</v>
      </c>
      <c r="B217" s="102" t="s">
        <v>13027</v>
      </c>
      <c r="C217" s="15" t="s">
        <v>13425</v>
      </c>
      <c r="D217" s="142" t="s">
        <v>13426</v>
      </c>
      <c r="E217" s="102">
        <v>2020</v>
      </c>
      <c r="F217" s="102">
        <v>2020</v>
      </c>
      <c r="G217" s="132" t="s">
        <v>16</v>
      </c>
      <c r="H217" s="15">
        <v>200</v>
      </c>
      <c r="I217" s="15">
        <v>200</v>
      </c>
      <c r="J217" s="102"/>
      <c r="K217" s="104"/>
      <c r="L217" s="105">
        <v>20201118</v>
      </c>
      <c r="M217" s="133"/>
    </row>
    <row r="218" ht="16" customHeight="1" spans="1:13">
      <c r="A218" s="132">
        <v>216</v>
      </c>
      <c r="B218" s="102" t="s">
        <v>13027</v>
      </c>
      <c r="C218" s="15" t="s">
        <v>13427</v>
      </c>
      <c r="D218" s="142" t="s">
        <v>13428</v>
      </c>
      <c r="E218" s="102">
        <v>2020</v>
      </c>
      <c r="F218" s="102">
        <v>2020</v>
      </c>
      <c r="G218" s="132" t="s">
        <v>16</v>
      </c>
      <c r="H218" s="15">
        <v>200</v>
      </c>
      <c r="I218" s="15">
        <v>200</v>
      </c>
      <c r="J218" s="102" t="s">
        <v>1242</v>
      </c>
      <c r="K218" s="104"/>
      <c r="L218" s="105">
        <v>20201118</v>
      </c>
      <c r="M218" s="133"/>
    </row>
    <row r="219" ht="16" customHeight="1" spans="1:13">
      <c r="A219" s="132">
        <v>217</v>
      </c>
      <c r="B219" s="102" t="s">
        <v>13027</v>
      </c>
      <c r="C219" s="15" t="s">
        <v>13429</v>
      </c>
      <c r="D219" s="142" t="s">
        <v>13430</v>
      </c>
      <c r="E219" s="102">
        <v>2020</v>
      </c>
      <c r="F219" s="102">
        <v>2020</v>
      </c>
      <c r="G219" s="132" t="s">
        <v>16</v>
      </c>
      <c r="H219" s="15">
        <v>200</v>
      </c>
      <c r="I219" s="15">
        <v>200</v>
      </c>
      <c r="J219" s="102"/>
      <c r="K219" s="104"/>
      <c r="L219" s="105">
        <v>20201118</v>
      </c>
      <c r="M219" s="133"/>
    </row>
    <row r="220" ht="16" customHeight="1" spans="1:13">
      <c r="A220" s="132">
        <v>218</v>
      </c>
      <c r="B220" s="102" t="s">
        <v>13027</v>
      </c>
      <c r="C220" s="15" t="s">
        <v>7624</v>
      </c>
      <c r="D220" s="142" t="s">
        <v>13431</v>
      </c>
      <c r="E220" s="102">
        <v>2020</v>
      </c>
      <c r="F220" s="102">
        <v>2020</v>
      </c>
      <c r="G220" s="132" t="s">
        <v>16</v>
      </c>
      <c r="H220" s="15">
        <v>200</v>
      </c>
      <c r="I220" s="15">
        <v>200</v>
      </c>
      <c r="J220" s="102"/>
      <c r="K220" s="104"/>
      <c r="L220" s="105">
        <v>20201118</v>
      </c>
      <c r="M220" s="133"/>
    </row>
    <row r="221" ht="16" customHeight="1" spans="1:13">
      <c r="A221" s="132">
        <v>219</v>
      </c>
      <c r="B221" s="102" t="s">
        <v>13027</v>
      </c>
      <c r="C221" s="15" t="s">
        <v>13432</v>
      </c>
      <c r="D221" s="142" t="s">
        <v>13433</v>
      </c>
      <c r="E221" s="102">
        <v>2020</v>
      </c>
      <c r="F221" s="102">
        <v>2020</v>
      </c>
      <c r="G221" s="132" t="s">
        <v>16</v>
      </c>
      <c r="H221" s="15">
        <v>200</v>
      </c>
      <c r="I221" s="15">
        <v>200</v>
      </c>
      <c r="J221" s="102"/>
      <c r="K221" s="104"/>
      <c r="L221" s="105">
        <v>20201118</v>
      </c>
      <c r="M221" s="133"/>
    </row>
    <row r="222" ht="16" customHeight="1" spans="1:13">
      <c r="A222" s="132">
        <v>220</v>
      </c>
      <c r="B222" s="102" t="s">
        <v>13027</v>
      </c>
      <c r="C222" s="15" t="s">
        <v>13434</v>
      </c>
      <c r="D222" s="142" t="s">
        <v>13435</v>
      </c>
      <c r="E222" s="102">
        <v>2020</v>
      </c>
      <c r="F222" s="102">
        <v>2020</v>
      </c>
      <c r="G222" s="132" t="s">
        <v>16</v>
      </c>
      <c r="H222" s="15">
        <v>200</v>
      </c>
      <c r="I222" s="15">
        <v>200</v>
      </c>
      <c r="J222" s="102"/>
      <c r="K222" s="104"/>
      <c r="L222" s="105">
        <v>20201118</v>
      </c>
      <c r="M222" s="133"/>
    </row>
    <row r="223" ht="16" customHeight="1" spans="1:13">
      <c r="A223" s="132">
        <v>221</v>
      </c>
      <c r="B223" s="102" t="s">
        <v>13027</v>
      </c>
      <c r="C223" s="15" t="s">
        <v>11001</v>
      </c>
      <c r="D223" s="142" t="s">
        <v>13436</v>
      </c>
      <c r="E223" s="102">
        <v>2020</v>
      </c>
      <c r="F223" s="102">
        <v>2020</v>
      </c>
      <c r="G223" s="132" t="s">
        <v>16</v>
      </c>
      <c r="H223" s="15">
        <v>200</v>
      </c>
      <c r="I223" s="15">
        <v>200</v>
      </c>
      <c r="J223" s="102"/>
      <c r="K223" s="104"/>
      <c r="L223" s="105">
        <v>20201118</v>
      </c>
      <c r="M223" s="133"/>
    </row>
    <row r="224" ht="16" customHeight="1" spans="1:13">
      <c r="A224" s="132">
        <v>222</v>
      </c>
      <c r="B224" s="102" t="s">
        <v>13027</v>
      </c>
      <c r="C224" s="15" t="s">
        <v>13437</v>
      </c>
      <c r="D224" s="142" t="s">
        <v>13438</v>
      </c>
      <c r="E224" s="102">
        <v>2020</v>
      </c>
      <c r="F224" s="102">
        <v>2020</v>
      </c>
      <c r="G224" s="132" t="s">
        <v>16</v>
      </c>
      <c r="H224" s="15">
        <v>200</v>
      </c>
      <c r="I224" s="15">
        <v>200</v>
      </c>
      <c r="J224" s="102"/>
      <c r="K224" s="104"/>
      <c r="L224" s="105">
        <v>20201118</v>
      </c>
      <c r="M224" s="133"/>
    </row>
    <row r="225" ht="16" customHeight="1" spans="1:13">
      <c r="A225" s="132">
        <v>223</v>
      </c>
      <c r="B225" s="102" t="s">
        <v>13027</v>
      </c>
      <c r="C225" s="15" t="s">
        <v>13439</v>
      </c>
      <c r="D225" s="142" t="s">
        <v>13440</v>
      </c>
      <c r="E225" s="102">
        <v>2020</v>
      </c>
      <c r="F225" s="102">
        <v>2020</v>
      </c>
      <c r="G225" s="132" t="s">
        <v>16</v>
      </c>
      <c r="H225" s="15">
        <v>200</v>
      </c>
      <c r="I225" s="15">
        <v>200</v>
      </c>
      <c r="J225" s="102"/>
      <c r="K225" s="104"/>
      <c r="L225" s="105">
        <v>20201118</v>
      </c>
      <c r="M225" s="133"/>
    </row>
    <row r="226" ht="16" customHeight="1" spans="1:13">
      <c r="A226" s="132">
        <v>224</v>
      </c>
      <c r="B226" s="102" t="s">
        <v>13027</v>
      </c>
      <c r="C226" s="15" t="s">
        <v>13441</v>
      </c>
      <c r="D226" s="142" t="s">
        <v>13442</v>
      </c>
      <c r="E226" s="102">
        <v>2020</v>
      </c>
      <c r="F226" s="102">
        <v>2020</v>
      </c>
      <c r="G226" s="132" t="s">
        <v>16</v>
      </c>
      <c r="H226" s="15">
        <v>200</v>
      </c>
      <c r="I226" s="15">
        <v>200</v>
      </c>
      <c r="J226" s="102"/>
      <c r="K226" s="104"/>
      <c r="L226" s="105">
        <v>20201118</v>
      </c>
      <c r="M226" s="133"/>
    </row>
    <row r="227" ht="16" customHeight="1" spans="1:13">
      <c r="A227" s="132">
        <v>225</v>
      </c>
      <c r="B227" s="102" t="s">
        <v>13027</v>
      </c>
      <c r="C227" s="15" t="s">
        <v>13443</v>
      </c>
      <c r="D227" s="142" t="s">
        <v>13444</v>
      </c>
      <c r="E227" s="102">
        <v>2020</v>
      </c>
      <c r="F227" s="102">
        <v>2020</v>
      </c>
      <c r="G227" s="132" t="s">
        <v>16</v>
      </c>
      <c r="H227" s="15">
        <v>200</v>
      </c>
      <c r="I227" s="15">
        <v>200</v>
      </c>
      <c r="J227" s="102"/>
      <c r="K227" s="104"/>
      <c r="L227" s="105">
        <v>20201118</v>
      </c>
      <c r="M227" s="133"/>
    </row>
    <row r="228" ht="16" customHeight="1" spans="1:13">
      <c r="A228" s="132">
        <v>226</v>
      </c>
      <c r="B228" s="102" t="s">
        <v>13027</v>
      </c>
      <c r="C228" s="15" t="s">
        <v>13445</v>
      </c>
      <c r="D228" s="142" t="s">
        <v>13446</v>
      </c>
      <c r="E228" s="102">
        <v>2020</v>
      </c>
      <c r="F228" s="102">
        <v>2020</v>
      </c>
      <c r="G228" s="132" t="s">
        <v>16</v>
      </c>
      <c r="H228" s="15">
        <v>200</v>
      </c>
      <c r="I228" s="15">
        <v>200</v>
      </c>
      <c r="J228" s="102" t="s">
        <v>1242</v>
      </c>
      <c r="K228" s="104"/>
      <c r="L228" s="105">
        <v>20201118</v>
      </c>
      <c r="M228" s="133"/>
    </row>
    <row r="229" ht="16" customHeight="1" spans="1:13">
      <c r="A229" s="132">
        <v>227</v>
      </c>
      <c r="B229" s="102" t="s">
        <v>13027</v>
      </c>
      <c r="C229" s="15" t="s">
        <v>13447</v>
      </c>
      <c r="D229" s="142" t="s">
        <v>13448</v>
      </c>
      <c r="E229" s="102">
        <v>2020</v>
      </c>
      <c r="F229" s="102">
        <v>2020</v>
      </c>
      <c r="G229" s="132" t="s">
        <v>16</v>
      </c>
      <c r="H229" s="15">
        <v>200</v>
      </c>
      <c r="I229" s="15">
        <v>200</v>
      </c>
      <c r="J229" s="102"/>
      <c r="K229" s="104"/>
      <c r="L229" s="105">
        <v>20201118</v>
      </c>
      <c r="M229" s="133"/>
    </row>
    <row r="230" ht="16" customHeight="1" spans="1:13">
      <c r="A230" s="132">
        <v>228</v>
      </c>
      <c r="B230" s="102" t="s">
        <v>13027</v>
      </c>
      <c r="C230" s="15" t="s">
        <v>13449</v>
      </c>
      <c r="D230" s="142" t="s">
        <v>13450</v>
      </c>
      <c r="E230" s="102">
        <v>2020</v>
      </c>
      <c r="F230" s="102">
        <v>2020</v>
      </c>
      <c r="G230" s="132" t="s">
        <v>16</v>
      </c>
      <c r="H230" s="15">
        <v>200</v>
      </c>
      <c r="I230" s="15">
        <v>200</v>
      </c>
      <c r="J230" s="102"/>
      <c r="K230" s="104"/>
      <c r="L230" s="105">
        <v>20201118</v>
      </c>
      <c r="M230" s="133"/>
    </row>
    <row r="231" ht="16" customHeight="1" spans="1:13">
      <c r="A231" s="132">
        <v>229</v>
      </c>
      <c r="B231" s="102" t="s">
        <v>13027</v>
      </c>
      <c r="C231" s="15" t="s">
        <v>13451</v>
      </c>
      <c r="D231" s="142" t="s">
        <v>13452</v>
      </c>
      <c r="E231" s="102">
        <v>2020</v>
      </c>
      <c r="F231" s="102">
        <v>2020</v>
      </c>
      <c r="G231" s="132" t="s">
        <v>16</v>
      </c>
      <c r="H231" s="15">
        <v>200</v>
      </c>
      <c r="I231" s="15">
        <v>200</v>
      </c>
      <c r="J231" s="102"/>
      <c r="K231" s="104"/>
      <c r="L231" s="105">
        <v>20201118</v>
      </c>
      <c r="M231" s="133"/>
    </row>
    <row r="232" ht="16" customHeight="1" spans="1:13">
      <c r="A232" s="132">
        <v>230</v>
      </c>
      <c r="B232" s="102" t="s">
        <v>13027</v>
      </c>
      <c r="C232" s="15" t="s">
        <v>2401</v>
      </c>
      <c r="D232" s="142" t="s">
        <v>13453</v>
      </c>
      <c r="E232" s="102">
        <v>2020</v>
      </c>
      <c r="F232" s="102">
        <v>2020</v>
      </c>
      <c r="G232" s="132" t="s">
        <v>16</v>
      </c>
      <c r="H232" s="15">
        <v>200</v>
      </c>
      <c r="I232" s="15">
        <v>200</v>
      </c>
      <c r="J232" s="102"/>
      <c r="K232" s="104"/>
      <c r="L232" s="105">
        <v>20201118</v>
      </c>
      <c r="M232" s="133"/>
    </row>
    <row r="233" ht="16" customHeight="1" spans="1:13">
      <c r="A233" s="132">
        <v>231</v>
      </c>
      <c r="B233" s="102" t="s">
        <v>13027</v>
      </c>
      <c r="C233" s="15" t="s">
        <v>13454</v>
      </c>
      <c r="D233" s="142" t="s">
        <v>13455</v>
      </c>
      <c r="E233" s="102">
        <v>2020</v>
      </c>
      <c r="F233" s="102">
        <v>2020</v>
      </c>
      <c r="G233" s="132" t="s">
        <v>16</v>
      </c>
      <c r="H233" s="15">
        <v>200</v>
      </c>
      <c r="I233" s="15">
        <v>200</v>
      </c>
      <c r="J233" s="102"/>
      <c r="K233" s="104"/>
      <c r="L233" s="105">
        <v>20201118</v>
      </c>
      <c r="M233" s="133"/>
    </row>
    <row r="234" ht="16" customHeight="1" spans="1:13">
      <c r="A234" s="132">
        <v>232</v>
      </c>
      <c r="B234" s="102" t="s">
        <v>13027</v>
      </c>
      <c r="C234" s="15" t="s">
        <v>13456</v>
      </c>
      <c r="D234" s="142" t="s">
        <v>13457</v>
      </c>
      <c r="E234" s="102">
        <v>2020</v>
      </c>
      <c r="F234" s="102">
        <v>2020</v>
      </c>
      <c r="G234" s="132" t="s">
        <v>16</v>
      </c>
      <c r="H234" s="15">
        <v>200</v>
      </c>
      <c r="I234" s="15">
        <v>200</v>
      </c>
      <c r="J234" s="102"/>
      <c r="K234" s="104"/>
      <c r="L234" s="105">
        <v>20201118</v>
      </c>
      <c r="M234" s="133"/>
    </row>
    <row r="235" ht="16" customHeight="1" spans="1:13">
      <c r="A235" s="132">
        <v>233</v>
      </c>
      <c r="B235" s="102" t="s">
        <v>13027</v>
      </c>
      <c r="C235" s="15" t="s">
        <v>13458</v>
      </c>
      <c r="D235" s="142" t="s">
        <v>13459</v>
      </c>
      <c r="E235" s="102">
        <v>2020</v>
      </c>
      <c r="F235" s="102">
        <v>2020</v>
      </c>
      <c r="G235" s="132" t="s">
        <v>16</v>
      </c>
      <c r="H235" s="15">
        <v>200</v>
      </c>
      <c r="I235" s="15">
        <v>200</v>
      </c>
      <c r="J235" s="102"/>
      <c r="K235" s="104"/>
      <c r="L235" s="105">
        <v>20201118</v>
      </c>
      <c r="M235" s="133"/>
    </row>
    <row r="236" ht="16" customHeight="1" spans="1:13">
      <c r="A236" s="132">
        <v>234</v>
      </c>
      <c r="B236" s="102" t="s">
        <v>13027</v>
      </c>
      <c r="C236" s="15" t="s">
        <v>13460</v>
      </c>
      <c r="D236" s="142" t="s">
        <v>13461</v>
      </c>
      <c r="E236" s="102">
        <v>2020</v>
      </c>
      <c r="F236" s="102">
        <v>2020</v>
      </c>
      <c r="G236" s="132" t="s">
        <v>16</v>
      </c>
      <c r="H236" s="15">
        <v>200</v>
      </c>
      <c r="I236" s="15">
        <v>200</v>
      </c>
      <c r="J236" s="102"/>
      <c r="K236" s="104"/>
      <c r="L236" s="105">
        <v>20201118</v>
      </c>
      <c r="M236" s="133"/>
    </row>
    <row r="237" ht="16" customHeight="1" spans="1:13">
      <c r="A237" s="132">
        <v>235</v>
      </c>
      <c r="B237" s="102" t="s">
        <v>13027</v>
      </c>
      <c r="C237" s="15" t="s">
        <v>13462</v>
      </c>
      <c r="D237" s="142" t="s">
        <v>13463</v>
      </c>
      <c r="E237" s="102">
        <v>2020</v>
      </c>
      <c r="F237" s="102">
        <v>2020</v>
      </c>
      <c r="G237" s="132" t="s">
        <v>16</v>
      </c>
      <c r="H237" s="15">
        <v>200</v>
      </c>
      <c r="I237" s="15">
        <v>200</v>
      </c>
      <c r="J237" s="102"/>
      <c r="K237" s="104"/>
      <c r="L237" s="105">
        <v>20201118</v>
      </c>
      <c r="M237" s="133"/>
    </row>
    <row r="238" ht="16" customHeight="1" spans="1:13">
      <c r="A238" s="132">
        <v>236</v>
      </c>
      <c r="B238" s="102" t="s">
        <v>13027</v>
      </c>
      <c r="C238" s="15" t="s">
        <v>13464</v>
      </c>
      <c r="D238" s="142" t="s">
        <v>13465</v>
      </c>
      <c r="E238" s="102">
        <v>2020</v>
      </c>
      <c r="F238" s="102">
        <v>2020</v>
      </c>
      <c r="G238" s="132" t="s">
        <v>16</v>
      </c>
      <c r="H238" s="15">
        <v>200</v>
      </c>
      <c r="I238" s="15">
        <v>200</v>
      </c>
      <c r="J238" s="102"/>
      <c r="K238" s="104"/>
      <c r="L238" s="105">
        <v>20201118</v>
      </c>
      <c r="M238" s="133"/>
    </row>
    <row r="239" ht="16" customHeight="1" spans="1:13">
      <c r="A239" s="132">
        <v>237</v>
      </c>
      <c r="B239" s="102" t="s">
        <v>13027</v>
      </c>
      <c r="C239" s="15" t="s">
        <v>13466</v>
      </c>
      <c r="D239" s="142" t="s">
        <v>13467</v>
      </c>
      <c r="E239" s="102">
        <v>2020</v>
      </c>
      <c r="F239" s="102">
        <v>2020</v>
      </c>
      <c r="G239" s="132" t="s">
        <v>16</v>
      </c>
      <c r="H239" s="15">
        <v>500</v>
      </c>
      <c r="I239" s="15">
        <v>500</v>
      </c>
      <c r="J239" s="102"/>
      <c r="K239" s="104"/>
      <c r="L239" s="105">
        <v>20201118</v>
      </c>
      <c r="M239" s="133"/>
    </row>
    <row r="240" ht="16" customHeight="1" spans="1:13">
      <c r="A240" s="132">
        <v>238</v>
      </c>
      <c r="B240" s="102" t="s">
        <v>13027</v>
      </c>
      <c r="C240" s="15" t="s">
        <v>13468</v>
      </c>
      <c r="D240" s="142" t="s">
        <v>13469</v>
      </c>
      <c r="E240" s="102">
        <v>2020</v>
      </c>
      <c r="F240" s="102">
        <v>2020</v>
      </c>
      <c r="G240" s="132" t="s">
        <v>16</v>
      </c>
      <c r="H240" s="15">
        <v>200</v>
      </c>
      <c r="I240" s="15">
        <v>200</v>
      </c>
      <c r="J240" s="102"/>
      <c r="K240" s="104"/>
      <c r="L240" s="105">
        <v>20201118</v>
      </c>
      <c r="M240" s="133"/>
    </row>
    <row r="241" ht="16" customHeight="1" spans="1:13">
      <c r="A241" s="132">
        <v>239</v>
      </c>
      <c r="B241" s="102" t="s">
        <v>13027</v>
      </c>
      <c r="C241" s="15" t="s">
        <v>13470</v>
      </c>
      <c r="D241" s="142" t="s">
        <v>13471</v>
      </c>
      <c r="E241" s="102">
        <v>2020</v>
      </c>
      <c r="F241" s="102">
        <v>2020</v>
      </c>
      <c r="G241" s="132" t="s">
        <v>16</v>
      </c>
      <c r="H241" s="15">
        <v>200</v>
      </c>
      <c r="I241" s="15">
        <v>200</v>
      </c>
      <c r="J241" s="102"/>
      <c r="K241" s="104"/>
      <c r="L241" s="105">
        <v>20201118</v>
      </c>
      <c r="M241" s="133"/>
    </row>
    <row r="242" ht="16" customHeight="1" spans="1:13">
      <c r="A242" s="132">
        <v>240</v>
      </c>
      <c r="B242" s="102" t="s">
        <v>13027</v>
      </c>
      <c r="C242" s="15" t="s">
        <v>13472</v>
      </c>
      <c r="D242" s="142" t="s">
        <v>13473</v>
      </c>
      <c r="E242" s="102">
        <v>2020</v>
      </c>
      <c r="F242" s="102">
        <v>2020</v>
      </c>
      <c r="G242" s="132" t="s">
        <v>16</v>
      </c>
      <c r="H242" s="15">
        <v>200</v>
      </c>
      <c r="I242" s="15">
        <v>200</v>
      </c>
      <c r="J242" s="102"/>
      <c r="K242" s="104"/>
      <c r="L242" s="105">
        <v>20201118</v>
      </c>
      <c r="M242" s="133"/>
    </row>
    <row r="243" ht="16" customHeight="1" spans="1:13">
      <c r="A243" s="132">
        <v>241</v>
      </c>
      <c r="B243" s="102" t="s">
        <v>13027</v>
      </c>
      <c r="C243" s="15" t="s">
        <v>10737</v>
      </c>
      <c r="D243" s="142" t="s">
        <v>13474</v>
      </c>
      <c r="E243" s="102">
        <v>2020</v>
      </c>
      <c r="F243" s="102">
        <v>2020</v>
      </c>
      <c r="G243" s="132" t="s">
        <v>16</v>
      </c>
      <c r="H243" s="15">
        <v>200</v>
      </c>
      <c r="I243" s="15">
        <v>200</v>
      </c>
      <c r="J243" s="102"/>
      <c r="K243" s="104"/>
      <c r="L243" s="105">
        <v>20201118</v>
      </c>
      <c r="M243" s="133"/>
    </row>
    <row r="244" ht="16" customHeight="1" spans="1:13">
      <c r="A244" s="132">
        <v>242</v>
      </c>
      <c r="B244" s="102" t="s">
        <v>13027</v>
      </c>
      <c r="C244" s="15" t="s">
        <v>13475</v>
      </c>
      <c r="D244" s="142" t="s">
        <v>13476</v>
      </c>
      <c r="E244" s="102">
        <v>2020</v>
      </c>
      <c r="F244" s="102">
        <v>2020</v>
      </c>
      <c r="G244" s="132" t="s">
        <v>16</v>
      </c>
      <c r="H244" s="15">
        <v>200</v>
      </c>
      <c r="I244" s="15">
        <v>200</v>
      </c>
      <c r="J244" s="102"/>
      <c r="K244" s="104"/>
      <c r="L244" s="105">
        <v>20201118</v>
      </c>
      <c r="M244" s="133"/>
    </row>
    <row r="245" ht="16" customHeight="1" spans="1:13">
      <c r="A245" s="132">
        <v>243</v>
      </c>
      <c r="B245" s="102" t="s">
        <v>13027</v>
      </c>
      <c r="C245" s="15" t="s">
        <v>13477</v>
      </c>
      <c r="D245" s="142" t="s">
        <v>13478</v>
      </c>
      <c r="E245" s="102">
        <v>2020</v>
      </c>
      <c r="F245" s="102">
        <v>2020</v>
      </c>
      <c r="G245" s="132" t="s">
        <v>16</v>
      </c>
      <c r="H245" s="15">
        <v>200</v>
      </c>
      <c r="I245" s="15">
        <v>200</v>
      </c>
      <c r="J245" s="102"/>
      <c r="K245" s="104"/>
      <c r="L245" s="105">
        <v>20201118</v>
      </c>
      <c r="M245" s="133"/>
    </row>
    <row r="246" ht="16" customHeight="1" spans="1:13">
      <c r="A246" s="132">
        <v>244</v>
      </c>
      <c r="B246" s="102" t="s">
        <v>13027</v>
      </c>
      <c r="C246" s="15" t="s">
        <v>13479</v>
      </c>
      <c r="D246" s="142" t="s">
        <v>13480</v>
      </c>
      <c r="E246" s="102">
        <v>2020</v>
      </c>
      <c r="F246" s="102">
        <v>2020</v>
      </c>
      <c r="G246" s="132" t="s">
        <v>16</v>
      </c>
      <c r="H246" s="15">
        <v>200</v>
      </c>
      <c r="I246" s="15">
        <v>200</v>
      </c>
      <c r="J246" s="102"/>
      <c r="K246" s="104"/>
      <c r="L246" s="105">
        <v>20201118</v>
      </c>
      <c r="M246" s="133"/>
    </row>
    <row r="247" ht="16" customHeight="1" spans="1:13">
      <c r="A247" s="132">
        <v>245</v>
      </c>
      <c r="B247" s="102" t="s">
        <v>13027</v>
      </c>
      <c r="C247" s="15" t="s">
        <v>8542</v>
      </c>
      <c r="D247" s="142" t="s">
        <v>13481</v>
      </c>
      <c r="E247" s="102">
        <v>2020</v>
      </c>
      <c r="F247" s="102">
        <v>2020</v>
      </c>
      <c r="G247" s="132" t="s">
        <v>16</v>
      </c>
      <c r="H247" s="15">
        <v>200</v>
      </c>
      <c r="I247" s="15">
        <v>200</v>
      </c>
      <c r="J247" s="102"/>
      <c r="K247" s="104"/>
      <c r="L247" s="105">
        <v>20201118</v>
      </c>
      <c r="M247" s="133"/>
    </row>
    <row r="248" ht="16" customHeight="1" spans="1:13">
      <c r="A248" s="132">
        <v>246</v>
      </c>
      <c r="B248" s="102" t="s">
        <v>13027</v>
      </c>
      <c r="C248" s="15" t="s">
        <v>13482</v>
      </c>
      <c r="D248" s="142" t="s">
        <v>13483</v>
      </c>
      <c r="E248" s="102">
        <v>2020</v>
      </c>
      <c r="F248" s="102">
        <v>2020</v>
      </c>
      <c r="G248" s="132" t="s">
        <v>16</v>
      </c>
      <c r="H248" s="15">
        <v>200</v>
      </c>
      <c r="I248" s="15">
        <v>200</v>
      </c>
      <c r="J248" s="102" t="s">
        <v>13322</v>
      </c>
      <c r="K248" s="104"/>
      <c r="L248" s="105">
        <v>20201118</v>
      </c>
      <c r="M248" s="133"/>
    </row>
    <row r="249" ht="16" customHeight="1" spans="1:13">
      <c r="A249" s="132">
        <v>247</v>
      </c>
      <c r="B249" s="102" t="s">
        <v>13027</v>
      </c>
      <c r="C249" s="15" t="s">
        <v>13484</v>
      </c>
      <c r="D249" s="142" t="s">
        <v>13485</v>
      </c>
      <c r="E249" s="102">
        <v>2020</v>
      </c>
      <c r="F249" s="102">
        <v>2020</v>
      </c>
      <c r="G249" s="132" t="s">
        <v>16</v>
      </c>
      <c r="H249" s="15">
        <v>200</v>
      </c>
      <c r="I249" s="15">
        <v>200</v>
      </c>
      <c r="J249" s="102"/>
      <c r="K249" s="104"/>
      <c r="L249" s="105">
        <v>20201118</v>
      </c>
      <c r="M249" s="133"/>
    </row>
    <row r="250" ht="16" customHeight="1" spans="1:13">
      <c r="A250" s="132">
        <v>248</v>
      </c>
      <c r="B250" s="102" t="s">
        <v>13027</v>
      </c>
      <c r="C250" s="15" t="s">
        <v>13486</v>
      </c>
      <c r="D250" s="142" t="s">
        <v>13487</v>
      </c>
      <c r="E250" s="102">
        <v>2020</v>
      </c>
      <c r="F250" s="102">
        <v>2020</v>
      </c>
      <c r="G250" s="132" t="s">
        <v>16</v>
      </c>
      <c r="H250" s="15">
        <v>200</v>
      </c>
      <c r="I250" s="15">
        <v>200</v>
      </c>
      <c r="J250" s="102"/>
      <c r="K250" s="104"/>
      <c r="L250" s="105">
        <v>20201118</v>
      </c>
      <c r="M250" s="133"/>
    </row>
    <row r="251" ht="16" customHeight="1" spans="1:13">
      <c r="A251" s="132">
        <v>249</v>
      </c>
      <c r="B251" s="102" t="s">
        <v>13027</v>
      </c>
      <c r="C251" s="15" t="s">
        <v>13488</v>
      </c>
      <c r="D251" s="142" t="s">
        <v>13489</v>
      </c>
      <c r="E251" s="102">
        <v>2020</v>
      </c>
      <c r="F251" s="102">
        <v>2020</v>
      </c>
      <c r="G251" s="132" t="s">
        <v>16</v>
      </c>
      <c r="H251" s="15">
        <v>200</v>
      </c>
      <c r="I251" s="15">
        <v>200</v>
      </c>
      <c r="J251" s="102" t="s">
        <v>13322</v>
      </c>
      <c r="K251" s="104"/>
      <c r="L251" s="105">
        <v>20201118</v>
      </c>
      <c r="M251" s="133"/>
    </row>
    <row r="252" ht="16" customHeight="1" spans="1:13">
      <c r="A252" s="132">
        <v>250</v>
      </c>
      <c r="B252" s="102" t="s">
        <v>13027</v>
      </c>
      <c r="C252" s="15" t="s">
        <v>13490</v>
      </c>
      <c r="D252" s="142" t="s">
        <v>13491</v>
      </c>
      <c r="E252" s="102">
        <v>2020</v>
      </c>
      <c r="F252" s="102">
        <v>2020</v>
      </c>
      <c r="G252" s="132" t="s">
        <v>16</v>
      </c>
      <c r="H252" s="15">
        <v>200</v>
      </c>
      <c r="I252" s="15">
        <v>200</v>
      </c>
      <c r="J252" s="102"/>
      <c r="K252" s="104"/>
      <c r="L252" s="105">
        <v>20201118</v>
      </c>
      <c r="M252" s="133"/>
    </row>
    <row r="253" ht="16" customHeight="1" spans="1:13">
      <c r="A253" s="132">
        <v>251</v>
      </c>
      <c r="B253" s="102" t="s">
        <v>13027</v>
      </c>
      <c r="C253" s="15" t="s">
        <v>13492</v>
      </c>
      <c r="D253" s="142" t="s">
        <v>13493</v>
      </c>
      <c r="E253" s="102">
        <v>2020</v>
      </c>
      <c r="F253" s="102">
        <v>2020</v>
      </c>
      <c r="G253" s="132" t="s">
        <v>16</v>
      </c>
      <c r="H253" s="15">
        <v>200</v>
      </c>
      <c r="I253" s="15">
        <v>200</v>
      </c>
      <c r="J253" s="102"/>
      <c r="K253" s="104"/>
      <c r="L253" s="105">
        <v>20201118</v>
      </c>
      <c r="M253" s="133"/>
    </row>
    <row r="254" ht="16" customHeight="1" spans="1:13">
      <c r="A254" s="132">
        <v>252</v>
      </c>
      <c r="B254" s="102" t="s">
        <v>13027</v>
      </c>
      <c r="C254" s="15" t="s">
        <v>13494</v>
      </c>
      <c r="D254" s="142" t="s">
        <v>13495</v>
      </c>
      <c r="E254" s="102">
        <v>2020</v>
      </c>
      <c r="F254" s="102">
        <v>2020</v>
      </c>
      <c r="G254" s="132" t="s">
        <v>16</v>
      </c>
      <c r="H254" s="15">
        <v>200</v>
      </c>
      <c r="I254" s="15">
        <v>200</v>
      </c>
      <c r="J254" s="102"/>
      <c r="K254" s="104"/>
      <c r="L254" s="105">
        <v>20201118</v>
      </c>
      <c r="M254" s="133"/>
    </row>
    <row r="255" ht="16" customHeight="1" spans="1:13">
      <c r="A255" s="132">
        <v>253</v>
      </c>
      <c r="B255" s="102" t="s">
        <v>13027</v>
      </c>
      <c r="C255" s="15" t="s">
        <v>13496</v>
      </c>
      <c r="D255" s="142" t="s">
        <v>13497</v>
      </c>
      <c r="E255" s="102">
        <v>2020</v>
      </c>
      <c r="F255" s="102">
        <v>2020</v>
      </c>
      <c r="G255" s="132" t="s">
        <v>16</v>
      </c>
      <c r="H255" s="15">
        <v>200</v>
      </c>
      <c r="I255" s="15">
        <v>200</v>
      </c>
      <c r="J255" s="102"/>
      <c r="K255" s="104"/>
      <c r="L255" s="105">
        <v>20201118</v>
      </c>
      <c r="M255" s="133"/>
    </row>
    <row r="256" ht="16" customHeight="1" spans="1:13">
      <c r="A256" s="132">
        <v>254</v>
      </c>
      <c r="B256" s="102" t="s">
        <v>13027</v>
      </c>
      <c r="C256" s="15" t="s">
        <v>1148</v>
      </c>
      <c r="D256" s="142" t="s">
        <v>13498</v>
      </c>
      <c r="E256" s="102">
        <v>2020</v>
      </c>
      <c r="F256" s="102">
        <v>2020</v>
      </c>
      <c r="G256" s="132" t="s">
        <v>16</v>
      </c>
      <c r="H256" s="15">
        <v>200</v>
      </c>
      <c r="I256" s="15">
        <v>200</v>
      </c>
      <c r="J256" s="102"/>
      <c r="K256" s="104"/>
      <c r="L256" s="105">
        <v>20201118</v>
      </c>
      <c r="M256" s="133"/>
    </row>
    <row r="257" ht="16" customHeight="1" spans="1:13">
      <c r="A257" s="132">
        <v>255</v>
      </c>
      <c r="B257" s="102" t="s">
        <v>13027</v>
      </c>
      <c r="C257" s="15" t="s">
        <v>13499</v>
      </c>
      <c r="D257" s="142" t="s">
        <v>13500</v>
      </c>
      <c r="E257" s="102">
        <v>2020</v>
      </c>
      <c r="F257" s="102">
        <v>2020</v>
      </c>
      <c r="G257" s="132" t="s">
        <v>16</v>
      </c>
      <c r="H257" s="15">
        <v>200</v>
      </c>
      <c r="I257" s="15">
        <v>200</v>
      </c>
      <c r="J257" s="102"/>
      <c r="K257" s="104"/>
      <c r="L257" s="105">
        <v>20201118</v>
      </c>
      <c r="M257" s="133"/>
    </row>
    <row r="258" ht="16" customHeight="1" spans="1:13">
      <c r="A258" s="132">
        <v>256</v>
      </c>
      <c r="B258" s="102" t="s">
        <v>13027</v>
      </c>
      <c r="C258" s="15" t="s">
        <v>13501</v>
      </c>
      <c r="D258" s="142" t="s">
        <v>13502</v>
      </c>
      <c r="E258" s="102">
        <v>2020</v>
      </c>
      <c r="F258" s="102">
        <v>2020</v>
      </c>
      <c r="G258" s="132" t="s">
        <v>16</v>
      </c>
      <c r="H258" s="15">
        <v>200</v>
      </c>
      <c r="I258" s="15">
        <v>200</v>
      </c>
      <c r="J258" s="102"/>
      <c r="K258" s="104"/>
      <c r="L258" s="105">
        <v>20201118</v>
      </c>
      <c r="M258" s="133"/>
    </row>
    <row r="259" ht="16" customHeight="1" spans="1:13">
      <c r="A259" s="132">
        <v>257</v>
      </c>
      <c r="B259" s="102" t="s">
        <v>13027</v>
      </c>
      <c r="C259" s="15" t="s">
        <v>13503</v>
      </c>
      <c r="D259" s="142" t="s">
        <v>13504</v>
      </c>
      <c r="E259" s="102">
        <v>2020</v>
      </c>
      <c r="F259" s="102">
        <v>2020</v>
      </c>
      <c r="G259" s="132" t="s">
        <v>16</v>
      </c>
      <c r="H259" s="15">
        <v>200</v>
      </c>
      <c r="I259" s="15">
        <v>200</v>
      </c>
      <c r="J259" s="102"/>
      <c r="K259" s="104"/>
      <c r="L259" s="105">
        <v>20201118</v>
      </c>
      <c r="M259" s="133"/>
    </row>
    <row r="260" ht="16" customHeight="1" spans="1:13">
      <c r="A260" s="132">
        <v>258</v>
      </c>
      <c r="B260" s="102" t="s">
        <v>13027</v>
      </c>
      <c r="C260" s="15" t="s">
        <v>8015</v>
      </c>
      <c r="D260" s="142" t="s">
        <v>13505</v>
      </c>
      <c r="E260" s="102">
        <v>2020</v>
      </c>
      <c r="F260" s="102">
        <v>2020</v>
      </c>
      <c r="G260" s="132" t="s">
        <v>16</v>
      </c>
      <c r="H260" s="15">
        <v>200</v>
      </c>
      <c r="I260" s="15">
        <v>200</v>
      </c>
      <c r="J260" s="102"/>
      <c r="K260" s="104"/>
      <c r="L260" s="105">
        <v>20201118</v>
      </c>
      <c r="M260" s="133"/>
    </row>
    <row r="261" ht="16" customHeight="1" spans="1:13">
      <c r="A261" s="132">
        <v>259</v>
      </c>
      <c r="B261" s="102" t="s">
        <v>13027</v>
      </c>
      <c r="C261" s="15" t="s">
        <v>2168</v>
      </c>
      <c r="D261" s="142" t="s">
        <v>13506</v>
      </c>
      <c r="E261" s="102">
        <v>2020</v>
      </c>
      <c r="F261" s="102">
        <v>2020</v>
      </c>
      <c r="G261" s="132" t="s">
        <v>16</v>
      </c>
      <c r="H261" s="15">
        <v>200</v>
      </c>
      <c r="I261" s="15">
        <v>200</v>
      </c>
      <c r="J261" s="102"/>
      <c r="K261" s="104"/>
      <c r="L261" s="105">
        <v>20201118</v>
      </c>
      <c r="M261" s="133"/>
    </row>
    <row r="262" ht="16" customHeight="1" spans="1:13">
      <c r="A262" s="132">
        <v>260</v>
      </c>
      <c r="B262" s="102" t="s">
        <v>13027</v>
      </c>
      <c r="C262" s="15" t="s">
        <v>13507</v>
      </c>
      <c r="D262" s="142" t="s">
        <v>13508</v>
      </c>
      <c r="E262" s="102">
        <v>2020</v>
      </c>
      <c r="F262" s="102">
        <v>2020</v>
      </c>
      <c r="G262" s="132" t="s">
        <v>16</v>
      </c>
      <c r="H262" s="15">
        <v>200</v>
      </c>
      <c r="I262" s="15">
        <v>200</v>
      </c>
      <c r="J262" s="102"/>
      <c r="K262" s="104"/>
      <c r="L262" s="105">
        <v>20201118</v>
      </c>
      <c r="M262" s="133"/>
    </row>
    <row r="263" ht="16" customHeight="1" spans="1:13">
      <c r="A263" s="132">
        <v>261</v>
      </c>
      <c r="B263" s="102" t="s">
        <v>13027</v>
      </c>
      <c r="C263" s="15" t="s">
        <v>13509</v>
      </c>
      <c r="D263" s="142" t="s">
        <v>13510</v>
      </c>
      <c r="E263" s="102">
        <v>2020</v>
      </c>
      <c r="F263" s="102">
        <v>2020</v>
      </c>
      <c r="G263" s="132" t="s">
        <v>16</v>
      </c>
      <c r="H263" s="15">
        <v>200</v>
      </c>
      <c r="I263" s="15">
        <v>200</v>
      </c>
      <c r="J263" s="102"/>
      <c r="K263" s="104"/>
      <c r="L263" s="105">
        <v>20201118</v>
      </c>
      <c r="M263" s="133"/>
    </row>
    <row r="264" ht="16" customHeight="1" spans="1:13">
      <c r="A264" s="132">
        <v>262</v>
      </c>
      <c r="B264" s="102" t="s">
        <v>13027</v>
      </c>
      <c r="C264" s="15" t="s">
        <v>13511</v>
      </c>
      <c r="D264" s="142" t="s">
        <v>13512</v>
      </c>
      <c r="E264" s="102">
        <v>2020</v>
      </c>
      <c r="F264" s="102">
        <v>2020</v>
      </c>
      <c r="G264" s="132" t="s">
        <v>16</v>
      </c>
      <c r="H264" s="15">
        <v>200</v>
      </c>
      <c r="I264" s="15">
        <v>200</v>
      </c>
      <c r="J264" s="102"/>
      <c r="K264" s="104"/>
      <c r="L264" s="105">
        <v>20201118</v>
      </c>
      <c r="M264" s="133"/>
    </row>
    <row r="265" ht="16" customHeight="1" spans="1:13">
      <c r="A265" s="132">
        <v>263</v>
      </c>
      <c r="B265" s="102" t="s">
        <v>13027</v>
      </c>
      <c r="C265" s="15" t="s">
        <v>2401</v>
      </c>
      <c r="D265" s="142" t="s">
        <v>13513</v>
      </c>
      <c r="E265" s="102">
        <v>2020</v>
      </c>
      <c r="F265" s="102">
        <v>2020</v>
      </c>
      <c r="G265" s="132" t="s">
        <v>16</v>
      </c>
      <c r="H265" s="15">
        <v>200</v>
      </c>
      <c r="I265" s="15">
        <v>200</v>
      </c>
      <c r="J265" s="102"/>
      <c r="K265" s="104"/>
      <c r="L265" s="105">
        <v>20201118</v>
      </c>
      <c r="M265" s="133"/>
    </row>
    <row r="266" ht="16" customHeight="1" spans="1:13">
      <c r="A266" s="132">
        <v>264</v>
      </c>
      <c r="B266" s="102" t="s">
        <v>13027</v>
      </c>
      <c r="C266" s="15" t="s">
        <v>13514</v>
      </c>
      <c r="D266" s="142" t="s">
        <v>13515</v>
      </c>
      <c r="E266" s="102">
        <v>2020</v>
      </c>
      <c r="F266" s="102">
        <v>2020</v>
      </c>
      <c r="G266" s="132" t="s">
        <v>16</v>
      </c>
      <c r="H266" s="15">
        <v>200</v>
      </c>
      <c r="I266" s="15">
        <v>200</v>
      </c>
      <c r="J266" s="102"/>
      <c r="K266" s="104"/>
      <c r="L266" s="105">
        <v>20201118</v>
      </c>
      <c r="M266" s="133"/>
    </row>
    <row r="267" ht="16" customHeight="1" spans="1:13">
      <c r="A267" s="132">
        <v>265</v>
      </c>
      <c r="B267" s="102" t="s">
        <v>13027</v>
      </c>
      <c r="C267" s="15" t="s">
        <v>13516</v>
      </c>
      <c r="D267" s="142" t="s">
        <v>13517</v>
      </c>
      <c r="E267" s="102">
        <v>2020</v>
      </c>
      <c r="F267" s="102">
        <v>2020</v>
      </c>
      <c r="G267" s="132" t="s">
        <v>16</v>
      </c>
      <c r="H267" s="15">
        <v>200</v>
      </c>
      <c r="I267" s="15">
        <v>200</v>
      </c>
      <c r="J267" s="102"/>
      <c r="K267" s="104"/>
      <c r="L267" s="105">
        <v>20201118</v>
      </c>
      <c r="M267" s="133"/>
    </row>
    <row r="268" ht="16" customHeight="1" spans="1:13">
      <c r="A268" s="132">
        <v>266</v>
      </c>
      <c r="B268" s="102" t="s">
        <v>13027</v>
      </c>
      <c r="C268" s="15" t="s">
        <v>13518</v>
      </c>
      <c r="D268" s="143" t="s">
        <v>13519</v>
      </c>
      <c r="E268" s="102">
        <v>2020</v>
      </c>
      <c r="F268" s="102">
        <v>2020</v>
      </c>
      <c r="G268" s="106" t="s">
        <v>295</v>
      </c>
      <c r="H268" s="15">
        <v>200</v>
      </c>
      <c r="I268" s="15">
        <v>200</v>
      </c>
      <c r="J268" s="102"/>
      <c r="K268" s="104"/>
      <c r="L268" s="105">
        <v>20201118</v>
      </c>
      <c r="M268" s="144"/>
    </row>
    <row r="269" ht="16" customHeight="1" spans="1:13">
      <c r="A269" s="132">
        <v>267</v>
      </c>
      <c r="B269" s="102" t="s">
        <v>13027</v>
      </c>
      <c r="C269" s="15" t="s">
        <v>13520</v>
      </c>
      <c r="D269" s="143" t="s">
        <v>13521</v>
      </c>
      <c r="E269" s="102">
        <v>2020</v>
      </c>
      <c r="F269" s="102">
        <v>2020</v>
      </c>
      <c r="G269" s="106" t="s">
        <v>295</v>
      </c>
      <c r="H269" s="15">
        <v>200</v>
      </c>
      <c r="I269" s="15">
        <v>200</v>
      </c>
      <c r="J269" s="102"/>
      <c r="K269" s="104"/>
      <c r="L269" s="105">
        <v>20201118</v>
      </c>
      <c r="M269" s="144"/>
    </row>
    <row r="270" ht="16" customHeight="1" spans="1:13">
      <c r="A270" s="132">
        <v>268</v>
      </c>
      <c r="B270" s="102" t="s">
        <v>13027</v>
      </c>
      <c r="C270" s="15" t="s">
        <v>13522</v>
      </c>
      <c r="D270" s="143" t="s">
        <v>13523</v>
      </c>
      <c r="E270" s="102">
        <v>2020</v>
      </c>
      <c r="F270" s="102">
        <v>2020</v>
      </c>
      <c r="G270" s="106" t="s">
        <v>295</v>
      </c>
      <c r="H270" s="15">
        <v>200</v>
      </c>
      <c r="I270" s="15">
        <v>200</v>
      </c>
      <c r="J270" s="102"/>
      <c r="K270" s="104"/>
      <c r="L270" s="105">
        <v>20201118</v>
      </c>
      <c r="M270" s="144"/>
    </row>
    <row r="271" ht="16" customHeight="1" spans="1:13">
      <c r="A271" s="132">
        <v>269</v>
      </c>
      <c r="B271" s="102" t="s">
        <v>13027</v>
      </c>
      <c r="C271" s="15" t="s">
        <v>13524</v>
      </c>
      <c r="D271" s="143" t="s">
        <v>13525</v>
      </c>
      <c r="E271" s="141">
        <v>2019</v>
      </c>
      <c r="F271" s="141">
        <v>2020</v>
      </c>
      <c r="G271" s="132" t="s">
        <v>13526</v>
      </c>
      <c r="H271" s="15">
        <v>200</v>
      </c>
      <c r="I271" s="15">
        <v>400</v>
      </c>
      <c r="J271" s="102"/>
      <c r="K271" s="104"/>
      <c r="L271" s="105">
        <v>20201118</v>
      </c>
      <c r="M271" s="144"/>
    </row>
    <row r="272" ht="16" customHeight="1" spans="1:13">
      <c r="A272" s="132">
        <v>270</v>
      </c>
      <c r="B272" s="102" t="s">
        <v>13027</v>
      </c>
      <c r="C272" s="15" t="s">
        <v>13527</v>
      </c>
      <c r="D272" s="143" t="s">
        <v>13528</v>
      </c>
      <c r="E272" s="141">
        <v>2011</v>
      </c>
      <c r="F272" s="141" t="s">
        <v>1047</v>
      </c>
      <c r="G272" s="132" t="s">
        <v>13526</v>
      </c>
      <c r="H272" s="15">
        <v>200</v>
      </c>
      <c r="I272" s="15">
        <v>1800</v>
      </c>
      <c r="J272" s="102"/>
      <c r="K272" s="104"/>
      <c r="L272" s="105">
        <v>20201118</v>
      </c>
      <c r="M272" s="144"/>
    </row>
    <row r="273" ht="16" customHeight="1" spans="1:13">
      <c r="A273" s="132">
        <v>271</v>
      </c>
      <c r="B273" s="102" t="s">
        <v>13027</v>
      </c>
      <c r="C273" s="5" t="s">
        <v>13529</v>
      </c>
      <c r="D273" s="102" t="s">
        <v>13530</v>
      </c>
      <c r="E273" s="141">
        <v>2011</v>
      </c>
      <c r="F273" s="141" t="s">
        <v>1047</v>
      </c>
      <c r="G273" s="132" t="s">
        <v>13526</v>
      </c>
      <c r="H273" s="15">
        <v>200</v>
      </c>
      <c r="I273" s="15">
        <v>1800</v>
      </c>
      <c r="J273" s="102"/>
      <c r="K273" s="104"/>
      <c r="L273" s="105">
        <v>20201118</v>
      </c>
      <c r="M273" s="144"/>
    </row>
    <row r="274" ht="16" customHeight="1" spans="1:12">
      <c r="A274" s="105"/>
      <c r="B274" s="105"/>
      <c r="C274" s="105"/>
      <c r="D274" s="105"/>
      <c r="E274" s="105"/>
      <c r="F274" s="105"/>
      <c r="G274" s="105"/>
      <c r="H274" s="105"/>
      <c r="I274" s="105">
        <v>63800</v>
      </c>
      <c r="J274" s="105"/>
      <c r="K274" s="105"/>
      <c r="L274" s="105" t="s">
        <v>13531</v>
      </c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42"/>
  <sheetViews>
    <sheetView topLeftCell="A305" workbookViewId="0">
      <selection activeCell="A3" sqref="A3:L341"/>
    </sheetView>
  </sheetViews>
  <sheetFormatPr defaultColWidth="9" defaultRowHeight="13.5"/>
  <cols>
    <col min="4" max="4" width="21.625" customWidth="1"/>
    <col min="12" max="12" width="11.75" customWidth="1"/>
  </cols>
  <sheetData>
    <row r="1" ht="18.75" spans="1:12">
      <c r="A1" s="99" t="s">
        <v>13532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ht="16" customHeight="1" spans="1:12">
      <c r="A3" s="102">
        <v>1</v>
      </c>
      <c r="B3" s="102" t="s">
        <v>13533</v>
      </c>
      <c r="C3" s="32" t="s">
        <v>13534</v>
      </c>
      <c r="D3" s="32" t="s">
        <v>13535</v>
      </c>
      <c r="E3" s="102">
        <v>2020</v>
      </c>
      <c r="F3" s="102">
        <v>2020</v>
      </c>
      <c r="G3" s="137" t="s">
        <v>2480</v>
      </c>
      <c r="H3" s="32">
        <v>200</v>
      </c>
      <c r="I3" s="32">
        <v>200</v>
      </c>
      <c r="J3" s="62"/>
      <c r="K3" s="104"/>
      <c r="L3" s="105">
        <v>20201118</v>
      </c>
    </row>
    <row r="4" ht="16" customHeight="1" spans="1:12">
      <c r="A4" s="102">
        <v>2</v>
      </c>
      <c r="B4" s="102" t="s">
        <v>13533</v>
      </c>
      <c r="C4" s="32" t="s">
        <v>13536</v>
      </c>
      <c r="D4" s="32" t="str">
        <f>"152326199810017142"</f>
        <v>152326199810017142</v>
      </c>
      <c r="E4" s="102">
        <v>2020</v>
      </c>
      <c r="F4" s="102">
        <v>2020</v>
      </c>
      <c r="G4" s="137" t="s">
        <v>2480</v>
      </c>
      <c r="H4" s="32">
        <v>200</v>
      </c>
      <c r="I4" s="32">
        <v>200</v>
      </c>
      <c r="J4" s="62"/>
      <c r="K4" s="104"/>
      <c r="L4" s="105">
        <v>20201118</v>
      </c>
    </row>
    <row r="5" ht="16" customHeight="1" spans="1:12">
      <c r="A5" s="102">
        <v>3</v>
      </c>
      <c r="B5" s="102" t="s">
        <v>13533</v>
      </c>
      <c r="C5" s="32" t="s">
        <v>13537</v>
      </c>
      <c r="D5" s="32" t="str">
        <f>"152326199510297111"</f>
        <v>152326199510297111</v>
      </c>
      <c r="E5" s="102">
        <v>2020</v>
      </c>
      <c r="F5" s="102">
        <v>2020</v>
      </c>
      <c r="G5" s="137" t="s">
        <v>2480</v>
      </c>
      <c r="H5" s="32">
        <v>200</v>
      </c>
      <c r="I5" s="32">
        <v>200</v>
      </c>
      <c r="J5" s="62"/>
      <c r="K5" s="104"/>
      <c r="L5" s="105">
        <v>20201118</v>
      </c>
    </row>
    <row r="6" ht="16" customHeight="1" spans="1:12">
      <c r="A6" s="102">
        <v>4</v>
      </c>
      <c r="B6" s="102" t="s">
        <v>13533</v>
      </c>
      <c r="C6" s="32" t="s">
        <v>13538</v>
      </c>
      <c r="D6" s="32" t="str">
        <f>"152326199310237122"</f>
        <v>152326199310237122</v>
      </c>
      <c r="E6" s="102">
        <v>2020</v>
      </c>
      <c r="F6" s="102">
        <v>2020</v>
      </c>
      <c r="G6" s="137" t="s">
        <v>2480</v>
      </c>
      <c r="H6" s="32">
        <v>200</v>
      </c>
      <c r="I6" s="32">
        <v>200</v>
      </c>
      <c r="J6" s="32"/>
      <c r="K6" s="104"/>
      <c r="L6" s="105">
        <v>20201118</v>
      </c>
    </row>
    <row r="7" ht="16" customHeight="1" spans="1:12">
      <c r="A7" s="102">
        <v>5</v>
      </c>
      <c r="B7" s="102" t="s">
        <v>13533</v>
      </c>
      <c r="C7" s="32" t="s">
        <v>13539</v>
      </c>
      <c r="D7" s="32" t="str">
        <f>"152326199303217123"</f>
        <v>152326199303217123</v>
      </c>
      <c r="E7" s="102">
        <v>2020</v>
      </c>
      <c r="F7" s="102">
        <v>2020</v>
      </c>
      <c r="G7" s="137" t="s">
        <v>2480</v>
      </c>
      <c r="H7" s="32">
        <v>200</v>
      </c>
      <c r="I7" s="32">
        <v>200</v>
      </c>
      <c r="J7" s="32"/>
      <c r="K7" s="104"/>
      <c r="L7" s="105">
        <v>20201118</v>
      </c>
    </row>
    <row r="8" ht="16" customHeight="1" spans="1:12">
      <c r="A8" s="102">
        <v>6</v>
      </c>
      <c r="B8" s="102" t="s">
        <v>13533</v>
      </c>
      <c r="C8" s="32" t="s">
        <v>13540</v>
      </c>
      <c r="D8" s="32" t="str">
        <f>"152326199308077123"</f>
        <v>152326199308077123</v>
      </c>
      <c r="E8" s="102">
        <v>2020</v>
      </c>
      <c r="F8" s="102">
        <v>2020</v>
      </c>
      <c r="G8" s="137" t="s">
        <v>2480</v>
      </c>
      <c r="H8" s="32">
        <v>200</v>
      </c>
      <c r="I8" s="32">
        <v>200</v>
      </c>
      <c r="J8" s="32"/>
      <c r="K8" s="104"/>
      <c r="L8" s="105">
        <v>20201118</v>
      </c>
    </row>
    <row r="9" ht="16" customHeight="1" spans="1:12">
      <c r="A9" s="102">
        <v>7</v>
      </c>
      <c r="B9" s="102" t="s">
        <v>13533</v>
      </c>
      <c r="C9" s="32" t="s">
        <v>13541</v>
      </c>
      <c r="D9" s="32" t="str">
        <f>"152326199204067123"</f>
        <v>152326199204067123</v>
      </c>
      <c r="E9" s="102">
        <v>2020</v>
      </c>
      <c r="F9" s="102">
        <v>2020</v>
      </c>
      <c r="G9" s="137" t="s">
        <v>2480</v>
      </c>
      <c r="H9" s="32">
        <v>200</v>
      </c>
      <c r="I9" s="32">
        <v>200</v>
      </c>
      <c r="J9" s="62"/>
      <c r="K9" s="104"/>
      <c r="L9" s="105">
        <v>20201118</v>
      </c>
    </row>
    <row r="10" ht="16" customHeight="1" spans="1:12">
      <c r="A10" s="102">
        <v>8</v>
      </c>
      <c r="B10" s="102" t="s">
        <v>13533</v>
      </c>
      <c r="C10" s="32" t="s">
        <v>13542</v>
      </c>
      <c r="D10" s="32" t="str">
        <f>"152326199207277118"</f>
        <v>152326199207277118</v>
      </c>
      <c r="E10" s="102">
        <v>2020</v>
      </c>
      <c r="F10" s="102">
        <v>2020</v>
      </c>
      <c r="G10" s="137" t="s">
        <v>2480</v>
      </c>
      <c r="H10" s="32">
        <v>200</v>
      </c>
      <c r="I10" s="32">
        <v>200</v>
      </c>
      <c r="J10" s="62"/>
      <c r="K10" s="104"/>
      <c r="L10" s="105">
        <v>20201118</v>
      </c>
    </row>
    <row r="11" ht="16" customHeight="1" spans="1:12">
      <c r="A11" s="102">
        <v>9</v>
      </c>
      <c r="B11" s="102" t="s">
        <v>13533</v>
      </c>
      <c r="C11" s="32" t="s">
        <v>5261</v>
      </c>
      <c r="D11" s="32" t="str">
        <f>"152326199003157114"</f>
        <v>152326199003157114</v>
      </c>
      <c r="E11" s="102">
        <v>2020</v>
      </c>
      <c r="F11" s="102">
        <v>2020</v>
      </c>
      <c r="G11" s="137" t="s">
        <v>2480</v>
      </c>
      <c r="H11" s="32">
        <v>200</v>
      </c>
      <c r="I11" s="32">
        <v>200</v>
      </c>
      <c r="J11" s="32"/>
      <c r="K11" s="104"/>
      <c r="L11" s="105">
        <v>20201118</v>
      </c>
    </row>
    <row r="12" ht="16" customHeight="1" spans="1:12">
      <c r="A12" s="102">
        <v>10</v>
      </c>
      <c r="B12" s="102" t="s">
        <v>13533</v>
      </c>
      <c r="C12" s="32" t="s">
        <v>13543</v>
      </c>
      <c r="D12" s="32" t="str">
        <f>"152326198906207130"</f>
        <v>152326198906207130</v>
      </c>
      <c r="E12" s="102">
        <v>2020</v>
      </c>
      <c r="F12" s="102">
        <v>2020</v>
      </c>
      <c r="G12" s="137" t="s">
        <v>2480</v>
      </c>
      <c r="H12" s="32">
        <v>200</v>
      </c>
      <c r="I12" s="32">
        <v>200</v>
      </c>
      <c r="J12" s="32"/>
      <c r="K12" s="104"/>
      <c r="L12" s="105">
        <v>20201118</v>
      </c>
    </row>
    <row r="13" ht="16" customHeight="1" spans="1:12">
      <c r="A13" s="102">
        <v>11</v>
      </c>
      <c r="B13" s="102" t="s">
        <v>13533</v>
      </c>
      <c r="C13" s="32" t="s">
        <v>13544</v>
      </c>
      <c r="D13" s="32" t="str">
        <f>"152326198801187110"</f>
        <v>152326198801187110</v>
      </c>
      <c r="E13" s="102">
        <v>2020</v>
      </c>
      <c r="F13" s="102">
        <v>2020</v>
      </c>
      <c r="G13" s="137" t="s">
        <v>2480</v>
      </c>
      <c r="H13" s="32">
        <v>200</v>
      </c>
      <c r="I13" s="32">
        <v>200</v>
      </c>
      <c r="J13" s="62"/>
      <c r="K13" s="104"/>
      <c r="L13" s="105">
        <v>20201118</v>
      </c>
    </row>
    <row r="14" ht="16" customHeight="1" spans="1:12">
      <c r="A14" s="102">
        <v>12</v>
      </c>
      <c r="B14" s="102" t="s">
        <v>13533</v>
      </c>
      <c r="C14" s="32" t="s">
        <v>13545</v>
      </c>
      <c r="D14" s="32" t="str">
        <f>"152326198802027119"</f>
        <v>152326198802027119</v>
      </c>
      <c r="E14" s="102">
        <v>2020</v>
      </c>
      <c r="F14" s="102">
        <v>2020</v>
      </c>
      <c r="G14" s="137" t="s">
        <v>2480</v>
      </c>
      <c r="H14" s="32">
        <v>200</v>
      </c>
      <c r="I14" s="32">
        <v>200</v>
      </c>
      <c r="J14" s="32"/>
      <c r="K14" s="104"/>
      <c r="L14" s="105">
        <v>20201118</v>
      </c>
    </row>
    <row r="15" ht="16" customHeight="1" spans="1:12">
      <c r="A15" s="102">
        <v>13</v>
      </c>
      <c r="B15" s="102" t="s">
        <v>13533</v>
      </c>
      <c r="C15" s="32" t="s">
        <v>13546</v>
      </c>
      <c r="D15" s="32" t="s">
        <v>13547</v>
      </c>
      <c r="E15" s="102">
        <v>2020</v>
      </c>
      <c r="F15" s="102">
        <v>2020</v>
      </c>
      <c r="G15" s="137" t="s">
        <v>2480</v>
      </c>
      <c r="H15" s="32">
        <v>200</v>
      </c>
      <c r="I15" s="32">
        <v>200</v>
      </c>
      <c r="J15" s="62"/>
      <c r="K15" s="104"/>
      <c r="L15" s="105">
        <v>20201118</v>
      </c>
    </row>
    <row r="16" ht="16" customHeight="1" spans="1:12">
      <c r="A16" s="102">
        <v>14</v>
      </c>
      <c r="B16" s="102" t="s">
        <v>13533</v>
      </c>
      <c r="C16" s="32" t="s">
        <v>13548</v>
      </c>
      <c r="D16" s="32" t="str">
        <f>"152326198806067142"</f>
        <v>152326198806067142</v>
      </c>
      <c r="E16" s="102">
        <v>2020</v>
      </c>
      <c r="F16" s="102">
        <v>2020</v>
      </c>
      <c r="G16" s="137" t="s">
        <v>2480</v>
      </c>
      <c r="H16" s="32">
        <v>200</v>
      </c>
      <c r="I16" s="32">
        <v>200</v>
      </c>
      <c r="J16" s="32"/>
      <c r="K16" s="104"/>
      <c r="L16" s="105">
        <v>20201118</v>
      </c>
    </row>
    <row r="17" ht="16" customHeight="1" spans="1:12">
      <c r="A17" s="102">
        <v>15</v>
      </c>
      <c r="B17" s="102" t="s">
        <v>13533</v>
      </c>
      <c r="C17" s="32" t="s">
        <v>13549</v>
      </c>
      <c r="D17" s="32" t="s">
        <v>13550</v>
      </c>
      <c r="E17" s="102">
        <v>2020</v>
      </c>
      <c r="F17" s="102">
        <v>2020</v>
      </c>
      <c r="G17" s="137" t="s">
        <v>2480</v>
      </c>
      <c r="H17" s="32">
        <v>200</v>
      </c>
      <c r="I17" s="32">
        <v>200</v>
      </c>
      <c r="J17" s="81" t="s">
        <v>13551</v>
      </c>
      <c r="K17" s="104"/>
      <c r="L17" s="105">
        <v>20201118</v>
      </c>
    </row>
    <row r="18" ht="16" customHeight="1" spans="1:12">
      <c r="A18" s="102">
        <v>16</v>
      </c>
      <c r="B18" s="102" t="s">
        <v>13533</v>
      </c>
      <c r="C18" s="32" t="s">
        <v>13552</v>
      </c>
      <c r="D18" s="32" t="s">
        <v>13553</v>
      </c>
      <c r="E18" s="102">
        <v>2020</v>
      </c>
      <c r="F18" s="102">
        <v>2020</v>
      </c>
      <c r="G18" s="137" t="s">
        <v>2480</v>
      </c>
      <c r="H18" s="32">
        <v>200</v>
      </c>
      <c r="I18" s="32">
        <v>200</v>
      </c>
      <c r="J18" s="32"/>
      <c r="K18" s="104"/>
      <c r="L18" s="105">
        <v>20201118</v>
      </c>
    </row>
    <row r="19" ht="16" customHeight="1" spans="1:12">
      <c r="A19" s="102">
        <v>17</v>
      </c>
      <c r="B19" s="102" t="s">
        <v>13533</v>
      </c>
      <c r="C19" s="32" t="s">
        <v>13554</v>
      </c>
      <c r="D19" s="32" t="str">
        <f>"152326198701207161"</f>
        <v>152326198701207161</v>
      </c>
      <c r="E19" s="102">
        <v>2020</v>
      </c>
      <c r="F19" s="102">
        <v>2020</v>
      </c>
      <c r="G19" s="137" t="s">
        <v>2480</v>
      </c>
      <c r="H19" s="32">
        <v>200</v>
      </c>
      <c r="I19" s="32">
        <v>200</v>
      </c>
      <c r="J19" s="62"/>
      <c r="K19" s="104"/>
      <c r="L19" s="105">
        <v>20201118</v>
      </c>
    </row>
    <row r="20" ht="16" customHeight="1" spans="1:12">
      <c r="A20" s="102">
        <v>18</v>
      </c>
      <c r="B20" s="102" t="s">
        <v>13533</v>
      </c>
      <c r="C20" s="32" t="s">
        <v>13555</v>
      </c>
      <c r="D20" s="32" t="str">
        <f>"152326198609277116"</f>
        <v>152326198609277116</v>
      </c>
      <c r="E20" s="102">
        <v>2020</v>
      </c>
      <c r="F20" s="102">
        <v>2020</v>
      </c>
      <c r="G20" s="137" t="s">
        <v>2480</v>
      </c>
      <c r="H20" s="32">
        <v>200</v>
      </c>
      <c r="I20" s="32">
        <v>200</v>
      </c>
      <c r="J20" s="32"/>
      <c r="K20" s="104"/>
      <c r="L20" s="105">
        <v>20201118</v>
      </c>
    </row>
    <row r="21" ht="16" customHeight="1" spans="1:12">
      <c r="A21" s="102">
        <v>19</v>
      </c>
      <c r="B21" s="102" t="s">
        <v>13533</v>
      </c>
      <c r="C21" s="32" t="s">
        <v>13556</v>
      </c>
      <c r="D21" s="32" t="str">
        <f>"152326198610087133"</f>
        <v>152326198610087133</v>
      </c>
      <c r="E21" s="102">
        <v>2020</v>
      </c>
      <c r="F21" s="102">
        <v>2020</v>
      </c>
      <c r="G21" s="137" t="s">
        <v>2480</v>
      </c>
      <c r="H21" s="32">
        <v>200</v>
      </c>
      <c r="I21" s="32">
        <v>200</v>
      </c>
      <c r="J21" s="32"/>
      <c r="K21" s="104"/>
      <c r="L21" s="105">
        <v>20201118</v>
      </c>
    </row>
    <row r="22" ht="16" customHeight="1" spans="1:12">
      <c r="A22" s="102">
        <v>20</v>
      </c>
      <c r="B22" s="102" t="s">
        <v>13533</v>
      </c>
      <c r="C22" s="32" t="s">
        <v>5842</v>
      </c>
      <c r="D22" s="32" t="str">
        <f>"152326198612127127"</f>
        <v>152326198612127127</v>
      </c>
      <c r="E22" s="102">
        <v>2020</v>
      </c>
      <c r="F22" s="102">
        <v>2020</v>
      </c>
      <c r="G22" s="137" t="s">
        <v>2480</v>
      </c>
      <c r="H22" s="32">
        <v>200</v>
      </c>
      <c r="I22" s="32">
        <v>200</v>
      </c>
      <c r="J22" s="32"/>
      <c r="K22" s="104"/>
      <c r="L22" s="105">
        <v>20201118</v>
      </c>
    </row>
    <row r="23" ht="16" customHeight="1" spans="1:12">
      <c r="A23" s="102">
        <v>21</v>
      </c>
      <c r="B23" s="102" t="s">
        <v>13533</v>
      </c>
      <c r="C23" s="32" t="s">
        <v>13557</v>
      </c>
      <c r="D23" s="32" t="str">
        <f>"152326198506097120"</f>
        <v>152326198506097120</v>
      </c>
      <c r="E23" s="102">
        <v>2020</v>
      </c>
      <c r="F23" s="102">
        <v>2020</v>
      </c>
      <c r="G23" s="137" t="s">
        <v>2480</v>
      </c>
      <c r="H23" s="32">
        <v>200</v>
      </c>
      <c r="I23" s="32">
        <v>200</v>
      </c>
      <c r="J23" s="32"/>
      <c r="K23" s="104"/>
      <c r="L23" s="105">
        <v>20201118</v>
      </c>
    </row>
    <row r="24" ht="16" customHeight="1" spans="1:12">
      <c r="A24" s="102">
        <v>22</v>
      </c>
      <c r="B24" s="102" t="s">
        <v>13533</v>
      </c>
      <c r="C24" s="32" t="s">
        <v>13558</v>
      </c>
      <c r="D24" s="32" t="str">
        <f>"152326198506047123"</f>
        <v>152326198506047123</v>
      </c>
      <c r="E24" s="102">
        <v>2020</v>
      </c>
      <c r="F24" s="102">
        <v>2020</v>
      </c>
      <c r="G24" s="137" t="s">
        <v>2480</v>
      </c>
      <c r="H24" s="32">
        <v>200</v>
      </c>
      <c r="I24" s="32">
        <v>200</v>
      </c>
      <c r="J24" s="32"/>
      <c r="K24" s="104"/>
      <c r="L24" s="105">
        <v>20201118</v>
      </c>
    </row>
    <row r="25" ht="16" customHeight="1" spans="1:12">
      <c r="A25" s="102">
        <v>23</v>
      </c>
      <c r="B25" s="102" t="s">
        <v>13533</v>
      </c>
      <c r="C25" s="32" t="s">
        <v>13559</v>
      </c>
      <c r="D25" s="32" t="str">
        <f>"152326198506147124"</f>
        <v>152326198506147124</v>
      </c>
      <c r="E25" s="102">
        <v>2020</v>
      </c>
      <c r="F25" s="102">
        <v>2020</v>
      </c>
      <c r="G25" s="137" t="s">
        <v>2480</v>
      </c>
      <c r="H25" s="32">
        <v>200</v>
      </c>
      <c r="I25" s="32">
        <v>200</v>
      </c>
      <c r="J25" s="32"/>
      <c r="K25" s="104"/>
      <c r="L25" s="105">
        <v>20201118</v>
      </c>
    </row>
    <row r="26" ht="16" customHeight="1" spans="1:12">
      <c r="A26" s="102">
        <v>24</v>
      </c>
      <c r="B26" s="102" t="s">
        <v>13533</v>
      </c>
      <c r="C26" s="32" t="s">
        <v>13560</v>
      </c>
      <c r="D26" s="32" t="str">
        <f>"152326198509047129"</f>
        <v>152326198509047129</v>
      </c>
      <c r="E26" s="102">
        <v>2020</v>
      </c>
      <c r="F26" s="102">
        <v>2020</v>
      </c>
      <c r="G26" s="137" t="s">
        <v>2480</v>
      </c>
      <c r="H26" s="32">
        <v>200</v>
      </c>
      <c r="I26" s="32">
        <v>200</v>
      </c>
      <c r="J26" s="32"/>
      <c r="K26" s="104"/>
      <c r="L26" s="105">
        <v>20201118</v>
      </c>
    </row>
    <row r="27" ht="16" customHeight="1" spans="1:12">
      <c r="A27" s="102">
        <v>25</v>
      </c>
      <c r="B27" s="102" t="s">
        <v>13533</v>
      </c>
      <c r="C27" s="32" t="s">
        <v>12228</v>
      </c>
      <c r="D27" s="32" t="s">
        <v>13561</v>
      </c>
      <c r="E27" s="102">
        <v>2020</v>
      </c>
      <c r="F27" s="102">
        <v>2020</v>
      </c>
      <c r="G27" s="137" t="s">
        <v>2480</v>
      </c>
      <c r="H27" s="32">
        <v>200</v>
      </c>
      <c r="I27" s="32">
        <v>200</v>
      </c>
      <c r="J27" s="32"/>
      <c r="K27" s="104"/>
      <c r="L27" s="105">
        <v>20201118</v>
      </c>
    </row>
    <row r="28" ht="16" customHeight="1" spans="1:12">
      <c r="A28" s="102">
        <v>26</v>
      </c>
      <c r="B28" s="102" t="s">
        <v>13533</v>
      </c>
      <c r="C28" s="32" t="s">
        <v>13562</v>
      </c>
      <c r="D28" s="32" t="str">
        <f>"152326198402177118"</f>
        <v>152326198402177118</v>
      </c>
      <c r="E28" s="102">
        <v>2020</v>
      </c>
      <c r="F28" s="102">
        <v>2020</v>
      </c>
      <c r="G28" s="137" t="s">
        <v>2480</v>
      </c>
      <c r="H28" s="32">
        <v>200</v>
      </c>
      <c r="I28" s="32">
        <v>200</v>
      </c>
      <c r="J28" s="32"/>
      <c r="K28" s="104"/>
      <c r="L28" s="105">
        <v>20201118</v>
      </c>
    </row>
    <row r="29" ht="16" customHeight="1" spans="1:12">
      <c r="A29" s="102">
        <v>27</v>
      </c>
      <c r="B29" s="102" t="s">
        <v>13533</v>
      </c>
      <c r="C29" s="32" t="s">
        <v>13563</v>
      </c>
      <c r="D29" s="32" t="str">
        <f>"152326198412087140"</f>
        <v>152326198412087140</v>
      </c>
      <c r="E29" s="102">
        <v>2020</v>
      </c>
      <c r="F29" s="102">
        <v>2020</v>
      </c>
      <c r="G29" s="137" t="s">
        <v>2480</v>
      </c>
      <c r="H29" s="32">
        <v>200</v>
      </c>
      <c r="I29" s="32">
        <v>200</v>
      </c>
      <c r="J29" s="62"/>
      <c r="K29" s="104"/>
      <c r="L29" s="105">
        <v>20201118</v>
      </c>
    </row>
    <row r="30" ht="16" customHeight="1" spans="1:12">
      <c r="A30" s="102">
        <v>28</v>
      </c>
      <c r="B30" s="102" t="s">
        <v>13533</v>
      </c>
      <c r="C30" s="32" t="s">
        <v>13564</v>
      </c>
      <c r="D30" s="32" t="str">
        <f>"152326198405277114"</f>
        <v>152326198405277114</v>
      </c>
      <c r="E30" s="102">
        <v>2020</v>
      </c>
      <c r="F30" s="102">
        <v>2020</v>
      </c>
      <c r="G30" s="137" t="s">
        <v>2480</v>
      </c>
      <c r="H30" s="32">
        <v>200</v>
      </c>
      <c r="I30" s="32">
        <v>200</v>
      </c>
      <c r="J30" s="32"/>
      <c r="K30" s="104"/>
      <c r="L30" s="105">
        <v>20201118</v>
      </c>
    </row>
    <row r="31" ht="16" customHeight="1" spans="1:12">
      <c r="A31" s="102">
        <v>29</v>
      </c>
      <c r="B31" s="102" t="s">
        <v>13533</v>
      </c>
      <c r="C31" s="32" t="s">
        <v>13565</v>
      </c>
      <c r="D31" s="32" t="str">
        <f>"152326198405297115"</f>
        <v>152326198405297115</v>
      </c>
      <c r="E31" s="102">
        <v>2020</v>
      </c>
      <c r="F31" s="102">
        <v>2020</v>
      </c>
      <c r="G31" s="137" t="s">
        <v>2480</v>
      </c>
      <c r="H31" s="32">
        <v>200</v>
      </c>
      <c r="I31" s="32">
        <v>200</v>
      </c>
      <c r="J31" s="62"/>
      <c r="K31" s="104"/>
      <c r="L31" s="105">
        <v>20201118</v>
      </c>
    </row>
    <row r="32" ht="16" customHeight="1" spans="1:12">
      <c r="A32" s="102">
        <v>30</v>
      </c>
      <c r="B32" s="102" t="s">
        <v>13533</v>
      </c>
      <c r="C32" s="32" t="s">
        <v>13566</v>
      </c>
      <c r="D32" s="32" t="str">
        <f>"152326198402077125"</f>
        <v>152326198402077125</v>
      </c>
      <c r="E32" s="102">
        <v>2020</v>
      </c>
      <c r="F32" s="102">
        <v>2020</v>
      </c>
      <c r="G32" s="137" t="s">
        <v>2480</v>
      </c>
      <c r="H32" s="32">
        <v>200</v>
      </c>
      <c r="I32" s="32">
        <v>200</v>
      </c>
      <c r="J32" s="32"/>
      <c r="K32" s="104"/>
      <c r="L32" s="105">
        <v>20201118</v>
      </c>
    </row>
    <row r="33" ht="16" customHeight="1" spans="1:12">
      <c r="A33" s="102">
        <v>31</v>
      </c>
      <c r="B33" s="102" t="s">
        <v>13533</v>
      </c>
      <c r="C33" s="32" t="s">
        <v>13567</v>
      </c>
      <c r="D33" s="32" t="str">
        <f>"152326198412277120"</f>
        <v>152326198412277120</v>
      </c>
      <c r="E33" s="102">
        <v>2020</v>
      </c>
      <c r="F33" s="102">
        <v>2020</v>
      </c>
      <c r="G33" s="137" t="s">
        <v>2480</v>
      </c>
      <c r="H33" s="32">
        <v>200</v>
      </c>
      <c r="I33" s="32">
        <v>200</v>
      </c>
      <c r="J33" s="32"/>
      <c r="K33" s="104"/>
      <c r="L33" s="105">
        <v>20201118</v>
      </c>
    </row>
    <row r="34" ht="16" customHeight="1" spans="1:12">
      <c r="A34" s="102">
        <v>32</v>
      </c>
      <c r="B34" s="102" t="s">
        <v>13533</v>
      </c>
      <c r="C34" s="32" t="s">
        <v>13568</v>
      </c>
      <c r="D34" s="32" t="str">
        <f>"152326198404207122"</f>
        <v>152326198404207122</v>
      </c>
      <c r="E34" s="102">
        <v>2020</v>
      </c>
      <c r="F34" s="102">
        <v>2020</v>
      </c>
      <c r="G34" s="137" t="s">
        <v>2480</v>
      </c>
      <c r="H34" s="32">
        <v>200</v>
      </c>
      <c r="I34" s="32">
        <v>200</v>
      </c>
      <c r="J34" s="32"/>
      <c r="K34" s="104"/>
      <c r="L34" s="105">
        <v>20201118</v>
      </c>
    </row>
    <row r="35" ht="16" customHeight="1" spans="1:12">
      <c r="A35" s="102">
        <v>33</v>
      </c>
      <c r="B35" s="102" t="s">
        <v>13533</v>
      </c>
      <c r="C35" s="32" t="s">
        <v>13569</v>
      </c>
      <c r="D35" s="32" t="str">
        <f>"152326198311217137"</f>
        <v>152326198311217137</v>
      </c>
      <c r="E35" s="102">
        <v>2020</v>
      </c>
      <c r="F35" s="102">
        <v>2020</v>
      </c>
      <c r="G35" s="137" t="s">
        <v>2480</v>
      </c>
      <c r="H35" s="32">
        <v>200</v>
      </c>
      <c r="I35" s="32">
        <v>200</v>
      </c>
      <c r="J35" s="32"/>
      <c r="K35" s="104"/>
      <c r="L35" s="105">
        <v>20201118</v>
      </c>
    </row>
    <row r="36" ht="16" customHeight="1" spans="1:12">
      <c r="A36" s="102">
        <v>34</v>
      </c>
      <c r="B36" s="102" t="s">
        <v>13533</v>
      </c>
      <c r="C36" s="32" t="s">
        <v>13570</v>
      </c>
      <c r="D36" s="32" t="str">
        <f>"152326198302037118"</f>
        <v>152326198302037118</v>
      </c>
      <c r="E36" s="102">
        <v>2020</v>
      </c>
      <c r="F36" s="102">
        <v>2020</v>
      </c>
      <c r="G36" s="137" t="s">
        <v>2480</v>
      </c>
      <c r="H36" s="32">
        <v>200</v>
      </c>
      <c r="I36" s="32">
        <v>200</v>
      </c>
      <c r="J36" s="62"/>
      <c r="K36" s="104"/>
      <c r="L36" s="105">
        <v>20201118</v>
      </c>
    </row>
    <row r="37" ht="16" customHeight="1" spans="1:12">
      <c r="A37" s="102">
        <v>35</v>
      </c>
      <c r="B37" s="102" t="s">
        <v>13533</v>
      </c>
      <c r="C37" s="32" t="s">
        <v>13571</v>
      </c>
      <c r="D37" s="32" t="str">
        <f>"152321198203244224"</f>
        <v>152321198203244224</v>
      </c>
      <c r="E37" s="102">
        <v>2020</v>
      </c>
      <c r="F37" s="102">
        <v>2020</v>
      </c>
      <c r="G37" s="137" t="s">
        <v>2480</v>
      </c>
      <c r="H37" s="32">
        <v>200</v>
      </c>
      <c r="I37" s="32">
        <v>200</v>
      </c>
      <c r="J37" s="62"/>
      <c r="K37" s="104"/>
      <c r="L37" s="105">
        <v>20201118</v>
      </c>
    </row>
    <row r="38" ht="16" customHeight="1" spans="1:12">
      <c r="A38" s="102">
        <v>36</v>
      </c>
      <c r="B38" s="102" t="s">
        <v>13533</v>
      </c>
      <c r="C38" s="32" t="s">
        <v>13572</v>
      </c>
      <c r="D38" s="32" t="str">
        <f>"152326198201277112"</f>
        <v>152326198201277112</v>
      </c>
      <c r="E38" s="102">
        <v>2020</v>
      </c>
      <c r="F38" s="102">
        <v>2020</v>
      </c>
      <c r="G38" s="137" t="s">
        <v>2480</v>
      </c>
      <c r="H38" s="32">
        <v>200</v>
      </c>
      <c r="I38" s="32">
        <v>200</v>
      </c>
      <c r="J38" s="62"/>
      <c r="K38" s="104"/>
      <c r="L38" s="105">
        <v>20201118</v>
      </c>
    </row>
    <row r="39" ht="16" customHeight="1" spans="1:12">
      <c r="A39" s="102">
        <v>37</v>
      </c>
      <c r="B39" s="102" t="s">
        <v>13533</v>
      </c>
      <c r="C39" s="32" t="s">
        <v>13573</v>
      </c>
      <c r="D39" s="32" t="str">
        <f>"152326198203047118"</f>
        <v>152326198203047118</v>
      </c>
      <c r="E39" s="102">
        <v>2020</v>
      </c>
      <c r="F39" s="102">
        <v>2020</v>
      </c>
      <c r="G39" s="137" t="s">
        <v>2480</v>
      </c>
      <c r="H39" s="32">
        <v>200</v>
      </c>
      <c r="I39" s="32">
        <v>200</v>
      </c>
      <c r="J39" s="32"/>
      <c r="K39" s="104"/>
      <c r="L39" s="105">
        <v>20201118</v>
      </c>
    </row>
    <row r="40" ht="16" customHeight="1" spans="1:12">
      <c r="A40" s="102">
        <v>38</v>
      </c>
      <c r="B40" s="102" t="s">
        <v>13533</v>
      </c>
      <c r="C40" s="32" t="s">
        <v>13574</v>
      </c>
      <c r="D40" s="32" t="str">
        <f>"152326198202197114"</f>
        <v>152326198202197114</v>
      </c>
      <c r="E40" s="102">
        <v>2020</v>
      </c>
      <c r="F40" s="102">
        <v>2020</v>
      </c>
      <c r="G40" s="137" t="s">
        <v>2480</v>
      </c>
      <c r="H40" s="32">
        <v>200</v>
      </c>
      <c r="I40" s="32">
        <v>200</v>
      </c>
      <c r="J40" s="62"/>
      <c r="K40" s="104"/>
      <c r="L40" s="105">
        <v>20201118</v>
      </c>
    </row>
    <row r="41" ht="16" customHeight="1" spans="1:12">
      <c r="A41" s="102">
        <v>39</v>
      </c>
      <c r="B41" s="102" t="s">
        <v>13533</v>
      </c>
      <c r="C41" s="32" t="s">
        <v>13575</v>
      </c>
      <c r="D41" s="32" t="str">
        <f>"152326198209157115"</f>
        <v>152326198209157115</v>
      </c>
      <c r="E41" s="102">
        <v>2020</v>
      </c>
      <c r="F41" s="102">
        <v>2020</v>
      </c>
      <c r="G41" s="137" t="s">
        <v>2480</v>
      </c>
      <c r="H41" s="32">
        <v>200</v>
      </c>
      <c r="I41" s="32">
        <v>200</v>
      </c>
      <c r="J41" s="32"/>
      <c r="K41" s="104"/>
      <c r="L41" s="105">
        <v>20201118</v>
      </c>
    </row>
    <row r="42" ht="16" customHeight="1" spans="1:12">
      <c r="A42" s="102">
        <v>40</v>
      </c>
      <c r="B42" s="102" t="s">
        <v>13533</v>
      </c>
      <c r="C42" s="32" t="s">
        <v>13576</v>
      </c>
      <c r="D42" s="32" t="str">
        <f>"152326198204137123"</f>
        <v>152326198204137123</v>
      </c>
      <c r="E42" s="102">
        <v>2020</v>
      </c>
      <c r="F42" s="102">
        <v>2020</v>
      </c>
      <c r="G42" s="137" t="s">
        <v>2480</v>
      </c>
      <c r="H42" s="32">
        <v>200</v>
      </c>
      <c r="I42" s="32">
        <v>200</v>
      </c>
      <c r="J42" s="62"/>
      <c r="K42" s="104"/>
      <c r="L42" s="105">
        <v>20201118</v>
      </c>
    </row>
    <row r="43" ht="16" customHeight="1" spans="1:12">
      <c r="A43" s="102">
        <v>41</v>
      </c>
      <c r="B43" s="102" t="s">
        <v>13533</v>
      </c>
      <c r="C43" s="32" t="s">
        <v>13577</v>
      </c>
      <c r="D43" s="32" t="str">
        <f>"152326198112157127"</f>
        <v>152326198112157127</v>
      </c>
      <c r="E43" s="102">
        <v>2020</v>
      </c>
      <c r="F43" s="102">
        <v>2020</v>
      </c>
      <c r="G43" s="137" t="s">
        <v>2480</v>
      </c>
      <c r="H43" s="32">
        <v>200</v>
      </c>
      <c r="I43" s="32">
        <v>200</v>
      </c>
      <c r="J43" s="62"/>
      <c r="K43" s="104"/>
      <c r="L43" s="105">
        <v>20201118</v>
      </c>
    </row>
    <row r="44" ht="16" customHeight="1" spans="1:12">
      <c r="A44" s="102">
        <v>42</v>
      </c>
      <c r="B44" s="102" t="s">
        <v>13533</v>
      </c>
      <c r="C44" s="32" t="s">
        <v>13578</v>
      </c>
      <c r="D44" s="32" t="str">
        <f>"152326198107077114"</f>
        <v>152326198107077114</v>
      </c>
      <c r="E44" s="102">
        <v>2020</v>
      </c>
      <c r="F44" s="102">
        <v>2020</v>
      </c>
      <c r="G44" s="137" t="s">
        <v>2480</v>
      </c>
      <c r="H44" s="32">
        <v>200</v>
      </c>
      <c r="I44" s="32">
        <v>200</v>
      </c>
      <c r="J44" s="32"/>
      <c r="K44" s="104"/>
      <c r="L44" s="105">
        <v>20201118</v>
      </c>
    </row>
    <row r="45" ht="16" customHeight="1" spans="1:12">
      <c r="A45" s="102">
        <v>43</v>
      </c>
      <c r="B45" s="102" t="s">
        <v>13533</v>
      </c>
      <c r="C45" s="32" t="s">
        <v>13579</v>
      </c>
      <c r="D45" s="32" t="str">
        <f>"152326198111037115"</f>
        <v>152326198111037115</v>
      </c>
      <c r="E45" s="102">
        <v>2020</v>
      </c>
      <c r="F45" s="102">
        <v>2020</v>
      </c>
      <c r="G45" s="137" t="s">
        <v>2480</v>
      </c>
      <c r="H45" s="32">
        <v>200</v>
      </c>
      <c r="I45" s="32">
        <v>200</v>
      </c>
      <c r="J45" s="62"/>
      <c r="K45" s="104"/>
      <c r="L45" s="105">
        <v>20201118</v>
      </c>
    </row>
    <row r="46" ht="16" customHeight="1" spans="1:12">
      <c r="A46" s="102">
        <v>44</v>
      </c>
      <c r="B46" s="102" t="s">
        <v>13533</v>
      </c>
      <c r="C46" s="32" t="s">
        <v>13580</v>
      </c>
      <c r="D46" s="32" t="str">
        <f>"152326198101077121"</f>
        <v>152326198101077121</v>
      </c>
      <c r="E46" s="102">
        <v>2020</v>
      </c>
      <c r="F46" s="102">
        <v>2020</v>
      </c>
      <c r="G46" s="137" t="s">
        <v>2480</v>
      </c>
      <c r="H46" s="32">
        <v>200</v>
      </c>
      <c r="I46" s="32">
        <v>200</v>
      </c>
      <c r="J46" s="62"/>
      <c r="K46" s="104"/>
      <c r="L46" s="105">
        <v>20201118</v>
      </c>
    </row>
    <row r="47" ht="16" customHeight="1" spans="1:12">
      <c r="A47" s="102">
        <v>45</v>
      </c>
      <c r="B47" s="102" t="s">
        <v>13533</v>
      </c>
      <c r="C47" s="32" t="s">
        <v>13466</v>
      </c>
      <c r="D47" s="32" t="s">
        <v>13581</v>
      </c>
      <c r="E47" s="102">
        <v>2020</v>
      </c>
      <c r="F47" s="102">
        <v>2020</v>
      </c>
      <c r="G47" s="137" t="s">
        <v>2480</v>
      </c>
      <c r="H47" s="32">
        <v>200</v>
      </c>
      <c r="I47" s="32">
        <v>200</v>
      </c>
      <c r="J47" s="32"/>
      <c r="K47" s="104"/>
      <c r="L47" s="105">
        <v>20201118</v>
      </c>
    </row>
    <row r="48" ht="16" customHeight="1" spans="1:12">
      <c r="A48" s="102">
        <v>46</v>
      </c>
      <c r="B48" s="102" t="s">
        <v>13533</v>
      </c>
      <c r="C48" s="32" t="s">
        <v>13582</v>
      </c>
      <c r="D48" s="32" t="str">
        <f>"152326198007277119"</f>
        <v>152326198007277119</v>
      </c>
      <c r="E48" s="102">
        <v>2020</v>
      </c>
      <c r="F48" s="102">
        <v>2020</v>
      </c>
      <c r="G48" s="137" t="s">
        <v>2480</v>
      </c>
      <c r="H48" s="32">
        <v>200</v>
      </c>
      <c r="I48" s="32">
        <v>200</v>
      </c>
      <c r="J48" s="32"/>
      <c r="K48" s="104"/>
      <c r="L48" s="105">
        <v>20201118</v>
      </c>
    </row>
    <row r="49" ht="16" customHeight="1" spans="1:12">
      <c r="A49" s="102">
        <v>47</v>
      </c>
      <c r="B49" s="102" t="s">
        <v>13533</v>
      </c>
      <c r="C49" s="32" t="s">
        <v>13583</v>
      </c>
      <c r="D49" s="32" t="str">
        <f>"152326198008057126"</f>
        <v>152326198008057126</v>
      </c>
      <c r="E49" s="102">
        <v>2020</v>
      </c>
      <c r="F49" s="102">
        <v>2020</v>
      </c>
      <c r="G49" s="137" t="s">
        <v>2480</v>
      </c>
      <c r="H49" s="32">
        <v>200</v>
      </c>
      <c r="I49" s="32">
        <v>200</v>
      </c>
      <c r="J49" s="32"/>
      <c r="K49" s="104"/>
      <c r="L49" s="105">
        <v>20201118</v>
      </c>
    </row>
    <row r="50" ht="16" customHeight="1" spans="1:12">
      <c r="A50" s="102">
        <v>48</v>
      </c>
      <c r="B50" s="102" t="s">
        <v>13533</v>
      </c>
      <c r="C50" s="32" t="s">
        <v>13584</v>
      </c>
      <c r="D50" s="32" t="str">
        <f>"152326198001067145"</f>
        <v>152326198001067145</v>
      </c>
      <c r="E50" s="102">
        <v>2020</v>
      </c>
      <c r="F50" s="102">
        <v>2020</v>
      </c>
      <c r="G50" s="137" t="s">
        <v>2480</v>
      </c>
      <c r="H50" s="32">
        <v>200</v>
      </c>
      <c r="I50" s="32">
        <v>200</v>
      </c>
      <c r="J50" s="32"/>
      <c r="K50" s="104"/>
      <c r="L50" s="105">
        <v>20201118</v>
      </c>
    </row>
    <row r="51" ht="16" customHeight="1" spans="1:12">
      <c r="A51" s="102">
        <v>49</v>
      </c>
      <c r="B51" s="102" t="s">
        <v>13533</v>
      </c>
      <c r="C51" s="32" t="s">
        <v>13585</v>
      </c>
      <c r="D51" s="32" t="str">
        <f>"152326198011047148"</f>
        <v>152326198011047148</v>
      </c>
      <c r="E51" s="102">
        <v>2020</v>
      </c>
      <c r="F51" s="102">
        <v>2020</v>
      </c>
      <c r="G51" s="137" t="s">
        <v>2480</v>
      </c>
      <c r="H51" s="32">
        <v>500</v>
      </c>
      <c r="I51" s="32">
        <v>500</v>
      </c>
      <c r="J51" s="32"/>
      <c r="K51" s="104"/>
      <c r="L51" s="105">
        <v>20201118</v>
      </c>
    </row>
    <row r="52" ht="16" customHeight="1" spans="1:12">
      <c r="A52" s="102">
        <v>50</v>
      </c>
      <c r="B52" s="102" t="s">
        <v>13533</v>
      </c>
      <c r="C52" s="32" t="s">
        <v>13586</v>
      </c>
      <c r="D52" s="32" t="str">
        <f>"152326198001227129"</f>
        <v>152326198001227129</v>
      </c>
      <c r="E52" s="102">
        <v>2020</v>
      </c>
      <c r="F52" s="102">
        <v>2020</v>
      </c>
      <c r="G52" s="137" t="s">
        <v>2480</v>
      </c>
      <c r="H52" s="32">
        <v>200</v>
      </c>
      <c r="I52" s="32">
        <v>200</v>
      </c>
      <c r="J52" s="62"/>
      <c r="K52" s="104"/>
      <c r="L52" s="105">
        <v>20201118</v>
      </c>
    </row>
    <row r="53" ht="16" customHeight="1" spans="1:12">
      <c r="A53" s="102">
        <v>51</v>
      </c>
      <c r="B53" s="102" t="s">
        <v>13533</v>
      </c>
      <c r="C53" s="32" t="s">
        <v>13587</v>
      </c>
      <c r="D53" s="32" t="str">
        <f>"152326197908297139"</f>
        <v>152326197908297139</v>
      </c>
      <c r="E53" s="102">
        <v>2020</v>
      </c>
      <c r="F53" s="102">
        <v>2020</v>
      </c>
      <c r="G53" s="137" t="s">
        <v>2480</v>
      </c>
      <c r="H53" s="32">
        <v>200</v>
      </c>
      <c r="I53" s="32">
        <v>200</v>
      </c>
      <c r="J53" s="32"/>
      <c r="K53" s="104"/>
      <c r="L53" s="105">
        <v>20201118</v>
      </c>
    </row>
    <row r="54" ht="16" customHeight="1" spans="1:12">
      <c r="A54" s="102">
        <v>52</v>
      </c>
      <c r="B54" s="102" t="s">
        <v>13533</v>
      </c>
      <c r="C54" s="32" t="s">
        <v>4343</v>
      </c>
      <c r="D54" s="32" t="str">
        <f>"152326197903137128"</f>
        <v>152326197903137128</v>
      </c>
      <c r="E54" s="102">
        <v>2020</v>
      </c>
      <c r="F54" s="102">
        <v>2020</v>
      </c>
      <c r="G54" s="137" t="s">
        <v>2480</v>
      </c>
      <c r="H54" s="32">
        <v>200</v>
      </c>
      <c r="I54" s="32">
        <v>200</v>
      </c>
      <c r="J54" s="62"/>
      <c r="K54" s="104"/>
      <c r="L54" s="105">
        <v>20201118</v>
      </c>
    </row>
    <row r="55" ht="16" customHeight="1" spans="1:12">
      <c r="A55" s="102">
        <v>53</v>
      </c>
      <c r="B55" s="102" t="s">
        <v>13533</v>
      </c>
      <c r="C55" s="32" t="s">
        <v>13588</v>
      </c>
      <c r="D55" s="32" t="str">
        <f>"152326197903187117"</f>
        <v>152326197903187117</v>
      </c>
      <c r="E55" s="102">
        <v>2020</v>
      </c>
      <c r="F55" s="102">
        <v>2020</v>
      </c>
      <c r="G55" s="137" t="s">
        <v>2480</v>
      </c>
      <c r="H55" s="32">
        <v>200</v>
      </c>
      <c r="I55" s="32">
        <v>200</v>
      </c>
      <c r="J55" s="62"/>
      <c r="K55" s="104"/>
      <c r="L55" s="105">
        <v>20201118</v>
      </c>
    </row>
    <row r="56" ht="16" customHeight="1" spans="1:12">
      <c r="A56" s="102">
        <v>54</v>
      </c>
      <c r="B56" s="102" t="s">
        <v>13533</v>
      </c>
      <c r="C56" s="32" t="s">
        <v>13589</v>
      </c>
      <c r="D56" s="32" t="str">
        <f>"152326197907077118"</f>
        <v>152326197907077118</v>
      </c>
      <c r="E56" s="102">
        <v>2020</v>
      </c>
      <c r="F56" s="102">
        <v>2020</v>
      </c>
      <c r="G56" s="137" t="s">
        <v>2480</v>
      </c>
      <c r="H56" s="32">
        <v>200</v>
      </c>
      <c r="I56" s="32">
        <v>200</v>
      </c>
      <c r="J56" s="32"/>
      <c r="K56" s="104"/>
      <c r="L56" s="105">
        <v>20201118</v>
      </c>
    </row>
    <row r="57" ht="16" customHeight="1" spans="1:12">
      <c r="A57" s="102">
        <v>55</v>
      </c>
      <c r="B57" s="102" t="s">
        <v>13533</v>
      </c>
      <c r="C57" s="32" t="s">
        <v>6026</v>
      </c>
      <c r="D57" s="32" t="str">
        <f>"152326197903247116"</f>
        <v>152326197903247116</v>
      </c>
      <c r="E57" s="102">
        <v>2020</v>
      </c>
      <c r="F57" s="102">
        <v>2020</v>
      </c>
      <c r="G57" s="137" t="s">
        <v>2480</v>
      </c>
      <c r="H57" s="32">
        <v>200</v>
      </c>
      <c r="I57" s="32">
        <v>200</v>
      </c>
      <c r="J57" s="62"/>
      <c r="K57" s="104"/>
      <c r="L57" s="105">
        <v>20201118</v>
      </c>
    </row>
    <row r="58" ht="16" customHeight="1" spans="1:12">
      <c r="A58" s="102">
        <v>56</v>
      </c>
      <c r="B58" s="102" t="s">
        <v>13533</v>
      </c>
      <c r="C58" s="32" t="s">
        <v>13590</v>
      </c>
      <c r="D58" s="32" t="s">
        <v>13591</v>
      </c>
      <c r="E58" s="102">
        <v>2020</v>
      </c>
      <c r="F58" s="102">
        <v>2020</v>
      </c>
      <c r="G58" s="137" t="s">
        <v>2480</v>
      </c>
      <c r="H58" s="32">
        <v>200</v>
      </c>
      <c r="I58" s="32">
        <v>200</v>
      </c>
      <c r="J58" s="32"/>
      <c r="K58" s="104"/>
      <c r="L58" s="105">
        <v>20201118</v>
      </c>
    </row>
    <row r="59" ht="16" customHeight="1" spans="1:12">
      <c r="A59" s="102">
        <v>57</v>
      </c>
      <c r="B59" s="102" t="s">
        <v>13533</v>
      </c>
      <c r="C59" s="32" t="s">
        <v>13592</v>
      </c>
      <c r="D59" s="32" t="str">
        <f>"152326197901027136"</f>
        <v>152326197901027136</v>
      </c>
      <c r="E59" s="102">
        <v>2020</v>
      </c>
      <c r="F59" s="102">
        <v>2020</v>
      </c>
      <c r="G59" s="137" t="s">
        <v>2480</v>
      </c>
      <c r="H59" s="32">
        <v>200</v>
      </c>
      <c r="I59" s="32">
        <v>200</v>
      </c>
      <c r="J59" s="62"/>
      <c r="K59" s="104"/>
      <c r="L59" s="105">
        <v>20201118</v>
      </c>
    </row>
    <row r="60" ht="16" customHeight="1" spans="1:12">
      <c r="A60" s="102">
        <v>58</v>
      </c>
      <c r="B60" s="102" t="s">
        <v>13533</v>
      </c>
      <c r="C60" s="32" t="s">
        <v>13593</v>
      </c>
      <c r="D60" s="32" t="str">
        <f>"152326197903277112"</f>
        <v>152326197903277112</v>
      </c>
      <c r="E60" s="102">
        <v>2020</v>
      </c>
      <c r="F60" s="102">
        <v>2020</v>
      </c>
      <c r="G60" s="137" t="s">
        <v>2480</v>
      </c>
      <c r="H60" s="32">
        <v>200</v>
      </c>
      <c r="I60" s="32">
        <v>200</v>
      </c>
      <c r="J60" s="62"/>
      <c r="K60" s="104"/>
      <c r="L60" s="105">
        <v>20201118</v>
      </c>
    </row>
    <row r="61" ht="16" customHeight="1" spans="1:12">
      <c r="A61" s="102">
        <v>59</v>
      </c>
      <c r="B61" s="102" t="s">
        <v>13533</v>
      </c>
      <c r="C61" s="32" t="s">
        <v>13594</v>
      </c>
      <c r="D61" s="32" t="str">
        <f>"152326197809057121"</f>
        <v>152326197809057121</v>
      </c>
      <c r="E61" s="102">
        <v>2020</v>
      </c>
      <c r="F61" s="102">
        <v>2020</v>
      </c>
      <c r="G61" s="137" t="s">
        <v>2480</v>
      </c>
      <c r="H61" s="32">
        <v>200</v>
      </c>
      <c r="I61" s="32">
        <v>200</v>
      </c>
      <c r="J61" s="62"/>
      <c r="K61" s="104"/>
      <c r="L61" s="105">
        <v>20201118</v>
      </c>
    </row>
    <row r="62" ht="16" customHeight="1" spans="1:12">
      <c r="A62" s="102">
        <v>60</v>
      </c>
      <c r="B62" s="102" t="s">
        <v>13533</v>
      </c>
      <c r="C62" s="32" t="s">
        <v>13595</v>
      </c>
      <c r="D62" s="32" t="str">
        <f>"152326197802057110"</f>
        <v>152326197802057110</v>
      </c>
      <c r="E62" s="102">
        <v>2020</v>
      </c>
      <c r="F62" s="102">
        <v>2020</v>
      </c>
      <c r="G62" s="137" t="s">
        <v>2480</v>
      </c>
      <c r="H62" s="32">
        <v>200</v>
      </c>
      <c r="I62" s="32">
        <v>200</v>
      </c>
      <c r="J62" s="62"/>
      <c r="K62" s="104"/>
      <c r="L62" s="105">
        <v>20201118</v>
      </c>
    </row>
    <row r="63" ht="16" customHeight="1" spans="1:12">
      <c r="A63" s="102">
        <v>61</v>
      </c>
      <c r="B63" s="102" t="s">
        <v>13533</v>
      </c>
      <c r="C63" s="32" t="s">
        <v>13596</v>
      </c>
      <c r="D63" s="32" t="s">
        <v>13597</v>
      </c>
      <c r="E63" s="102">
        <v>2020</v>
      </c>
      <c r="F63" s="102">
        <v>2020</v>
      </c>
      <c r="G63" s="137" t="s">
        <v>2480</v>
      </c>
      <c r="H63" s="32">
        <v>500</v>
      </c>
      <c r="I63" s="32">
        <v>500</v>
      </c>
      <c r="J63" s="32"/>
      <c r="K63" s="104"/>
      <c r="L63" s="105">
        <v>20201118</v>
      </c>
    </row>
    <row r="64" ht="16" customHeight="1" spans="1:12">
      <c r="A64" s="102">
        <v>62</v>
      </c>
      <c r="B64" s="102" t="s">
        <v>13533</v>
      </c>
      <c r="C64" s="32" t="s">
        <v>2200</v>
      </c>
      <c r="D64" s="32" t="str">
        <f>"152326197808176620"</f>
        <v>152326197808176620</v>
      </c>
      <c r="E64" s="102">
        <v>2020</v>
      </c>
      <c r="F64" s="102">
        <v>2020</v>
      </c>
      <c r="G64" s="137" t="s">
        <v>2480</v>
      </c>
      <c r="H64" s="32">
        <v>200</v>
      </c>
      <c r="I64" s="32">
        <v>200</v>
      </c>
      <c r="J64" s="32"/>
      <c r="K64" s="104"/>
      <c r="L64" s="105">
        <v>20201118</v>
      </c>
    </row>
    <row r="65" ht="16" customHeight="1" spans="1:12">
      <c r="A65" s="102">
        <v>63</v>
      </c>
      <c r="B65" s="102" t="s">
        <v>13533</v>
      </c>
      <c r="C65" s="32" t="s">
        <v>13598</v>
      </c>
      <c r="D65" s="32" t="str">
        <f>"152326197808207116"</f>
        <v>152326197808207116</v>
      </c>
      <c r="E65" s="102">
        <v>2020</v>
      </c>
      <c r="F65" s="102">
        <v>2020</v>
      </c>
      <c r="G65" s="137" t="s">
        <v>2480</v>
      </c>
      <c r="H65" s="32">
        <v>200</v>
      </c>
      <c r="I65" s="32">
        <v>200</v>
      </c>
      <c r="J65" s="32"/>
      <c r="K65" s="104"/>
      <c r="L65" s="105">
        <v>20201118</v>
      </c>
    </row>
    <row r="66" ht="16" customHeight="1" spans="1:12">
      <c r="A66" s="102">
        <v>64</v>
      </c>
      <c r="B66" s="102" t="s">
        <v>13533</v>
      </c>
      <c r="C66" s="32" t="s">
        <v>13599</v>
      </c>
      <c r="D66" s="32" t="str">
        <f>"152326197801087123"</f>
        <v>152326197801087123</v>
      </c>
      <c r="E66" s="102">
        <v>2020</v>
      </c>
      <c r="F66" s="102">
        <v>2020</v>
      </c>
      <c r="G66" s="137" t="s">
        <v>2480</v>
      </c>
      <c r="H66" s="32">
        <v>200</v>
      </c>
      <c r="I66" s="32">
        <v>200</v>
      </c>
      <c r="J66" s="62"/>
      <c r="K66" s="104"/>
      <c r="L66" s="105">
        <v>20201118</v>
      </c>
    </row>
    <row r="67" ht="16" customHeight="1" spans="1:12">
      <c r="A67" s="102">
        <v>65</v>
      </c>
      <c r="B67" s="102" t="s">
        <v>13533</v>
      </c>
      <c r="C67" s="32" t="s">
        <v>13600</v>
      </c>
      <c r="D67" s="32" t="str">
        <f>"152326197801047148"</f>
        <v>152326197801047148</v>
      </c>
      <c r="E67" s="102">
        <v>2020</v>
      </c>
      <c r="F67" s="102">
        <v>2020</v>
      </c>
      <c r="G67" s="137" t="s">
        <v>2480</v>
      </c>
      <c r="H67" s="32">
        <v>200</v>
      </c>
      <c r="I67" s="32">
        <v>200</v>
      </c>
      <c r="J67" s="62"/>
      <c r="K67" s="104"/>
      <c r="L67" s="105">
        <v>20201118</v>
      </c>
    </row>
    <row r="68" ht="16" customHeight="1" spans="1:12">
      <c r="A68" s="102">
        <v>66</v>
      </c>
      <c r="B68" s="102" t="s">
        <v>13533</v>
      </c>
      <c r="C68" s="32" t="s">
        <v>8442</v>
      </c>
      <c r="D68" s="32" t="str">
        <f>"152326197809267188"</f>
        <v>152326197809267188</v>
      </c>
      <c r="E68" s="102">
        <v>2020</v>
      </c>
      <c r="F68" s="102">
        <v>2020</v>
      </c>
      <c r="G68" s="137" t="s">
        <v>2480</v>
      </c>
      <c r="H68" s="32">
        <v>200</v>
      </c>
      <c r="I68" s="32">
        <v>200</v>
      </c>
      <c r="J68" s="32"/>
      <c r="K68" s="104"/>
      <c r="L68" s="105">
        <v>20201118</v>
      </c>
    </row>
    <row r="69" ht="16" customHeight="1" spans="1:12">
      <c r="A69" s="102">
        <v>67</v>
      </c>
      <c r="B69" s="102" t="s">
        <v>13533</v>
      </c>
      <c r="C69" s="32" t="s">
        <v>13601</v>
      </c>
      <c r="D69" s="32" t="str">
        <f>"152326197809027125"</f>
        <v>152326197809027125</v>
      </c>
      <c r="E69" s="102">
        <v>2020</v>
      </c>
      <c r="F69" s="102">
        <v>2020</v>
      </c>
      <c r="G69" s="137" t="s">
        <v>2480</v>
      </c>
      <c r="H69" s="32">
        <v>200</v>
      </c>
      <c r="I69" s="32">
        <v>200</v>
      </c>
      <c r="J69" s="62"/>
      <c r="K69" s="104"/>
      <c r="L69" s="105">
        <v>20201118</v>
      </c>
    </row>
    <row r="70" ht="16" customHeight="1" spans="1:12">
      <c r="A70" s="102">
        <v>68</v>
      </c>
      <c r="B70" s="102" t="s">
        <v>13533</v>
      </c>
      <c r="C70" s="32" t="s">
        <v>13602</v>
      </c>
      <c r="D70" s="32" t="str">
        <f>"152326197801147122"</f>
        <v>152326197801147122</v>
      </c>
      <c r="E70" s="102">
        <v>2020</v>
      </c>
      <c r="F70" s="102">
        <v>2020</v>
      </c>
      <c r="G70" s="137" t="s">
        <v>2480</v>
      </c>
      <c r="H70" s="32">
        <v>200</v>
      </c>
      <c r="I70" s="32">
        <v>200</v>
      </c>
      <c r="J70" s="62"/>
      <c r="K70" s="104"/>
      <c r="L70" s="105">
        <v>20201118</v>
      </c>
    </row>
    <row r="71" ht="16" customHeight="1" spans="1:12">
      <c r="A71" s="102">
        <v>69</v>
      </c>
      <c r="B71" s="102" t="s">
        <v>13533</v>
      </c>
      <c r="C71" s="32" t="s">
        <v>13603</v>
      </c>
      <c r="D71" s="32" t="s">
        <v>13604</v>
      </c>
      <c r="E71" s="102">
        <v>2020</v>
      </c>
      <c r="F71" s="102">
        <v>2020</v>
      </c>
      <c r="G71" s="137" t="s">
        <v>2480</v>
      </c>
      <c r="H71" s="32">
        <v>200</v>
      </c>
      <c r="I71" s="32">
        <v>200</v>
      </c>
      <c r="J71" s="32"/>
      <c r="K71" s="104"/>
      <c r="L71" s="105">
        <v>20201118</v>
      </c>
    </row>
    <row r="72" ht="16" customHeight="1" spans="1:12">
      <c r="A72" s="102">
        <v>70</v>
      </c>
      <c r="B72" s="102" t="s">
        <v>13533</v>
      </c>
      <c r="C72" s="32" t="s">
        <v>13605</v>
      </c>
      <c r="D72" s="32" t="str">
        <f>"152326197804177124"</f>
        <v>152326197804177124</v>
      </c>
      <c r="E72" s="102">
        <v>2020</v>
      </c>
      <c r="F72" s="102">
        <v>2020</v>
      </c>
      <c r="G72" s="137" t="s">
        <v>2480</v>
      </c>
      <c r="H72" s="32">
        <v>200</v>
      </c>
      <c r="I72" s="32">
        <v>200</v>
      </c>
      <c r="J72" s="62"/>
      <c r="K72" s="104"/>
      <c r="L72" s="105">
        <v>20201118</v>
      </c>
    </row>
    <row r="73" ht="16" customHeight="1" spans="1:12">
      <c r="A73" s="102">
        <v>71</v>
      </c>
      <c r="B73" s="102" t="s">
        <v>13533</v>
      </c>
      <c r="C73" s="32" t="s">
        <v>13606</v>
      </c>
      <c r="D73" s="32" t="str">
        <f>"152326197706197121"</f>
        <v>152326197706197121</v>
      </c>
      <c r="E73" s="102">
        <v>2020</v>
      </c>
      <c r="F73" s="102">
        <v>2020</v>
      </c>
      <c r="G73" s="137" t="s">
        <v>2480</v>
      </c>
      <c r="H73" s="32">
        <v>200</v>
      </c>
      <c r="I73" s="32">
        <v>200</v>
      </c>
      <c r="J73" s="62"/>
      <c r="K73" s="104"/>
      <c r="L73" s="105">
        <v>20201118</v>
      </c>
    </row>
    <row r="74" ht="16" customHeight="1" spans="1:12">
      <c r="A74" s="102">
        <v>72</v>
      </c>
      <c r="B74" s="102" t="s">
        <v>13533</v>
      </c>
      <c r="C74" s="32" t="s">
        <v>13607</v>
      </c>
      <c r="D74" s="32" t="str">
        <f>"152326197707307126"</f>
        <v>152326197707307126</v>
      </c>
      <c r="E74" s="102">
        <v>2020</v>
      </c>
      <c r="F74" s="102">
        <v>2020</v>
      </c>
      <c r="G74" s="137" t="s">
        <v>2480</v>
      </c>
      <c r="H74" s="32">
        <v>200</v>
      </c>
      <c r="I74" s="32">
        <v>200</v>
      </c>
      <c r="J74" s="32"/>
      <c r="K74" s="104"/>
      <c r="L74" s="105">
        <v>20201118</v>
      </c>
    </row>
    <row r="75" ht="16" customHeight="1" spans="1:12">
      <c r="A75" s="102">
        <v>73</v>
      </c>
      <c r="B75" s="102" t="s">
        <v>13533</v>
      </c>
      <c r="C75" s="32" t="s">
        <v>13608</v>
      </c>
      <c r="D75" s="32" t="str">
        <f>"152326197701124089"</f>
        <v>152326197701124089</v>
      </c>
      <c r="E75" s="102">
        <v>2020</v>
      </c>
      <c r="F75" s="102">
        <v>2020</v>
      </c>
      <c r="G75" s="137" t="s">
        <v>2480</v>
      </c>
      <c r="H75" s="32">
        <v>200</v>
      </c>
      <c r="I75" s="32">
        <v>200</v>
      </c>
      <c r="J75" s="32"/>
      <c r="K75" s="104"/>
      <c r="L75" s="105">
        <v>20201118</v>
      </c>
    </row>
    <row r="76" ht="16" customHeight="1" spans="1:12">
      <c r="A76" s="102">
        <v>74</v>
      </c>
      <c r="B76" s="102" t="s">
        <v>13533</v>
      </c>
      <c r="C76" s="32" t="s">
        <v>13609</v>
      </c>
      <c r="D76" s="32" t="str">
        <f>"152326197710227143"</f>
        <v>152326197710227143</v>
      </c>
      <c r="E76" s="102">
        <v>2020</v>
      </c>
      <c r="F76" s="102">
        <v>2020</v>
      </c>
      <c r="G76" s="137" t="s">
        <v>2480</v>
      </c>
      <c r="H76" s="32">
        <v>200</v>
      </c>
      <c r="I76" s="32">
        <v>200</v>
      </c>
      <c r="J76" s="32"/>
      <c r="K76" s="104"/>
      <c r="L76" s="105">
        <v>20201118</v>
      </c>
    </row>
    <row r="77" ht="16" customHeight="1" spans="1:12">
      <c r="A77" s="102">
        <v>75</v>
      </c>
      <c r="B77" s="102" t="s">
        <v>13533</v>
      </c>
      <c r="C77" s="32" t="s">
        <v>13610</v>
      </c>
      <c r="D77" s="32" t="str">
        <f>"152326197710257115"</f>
        <v>152326197710257115</v>
      </c>
      <c r="E77" s="102">
        <v>2020</v>
      </c>
      <c r="F77" s="102">
        <v>2020</v>
      </c>
      <c r="G77" s="137" t="s">
        <v>2480</v>
      </c>
      <c r="H77" s="32">
        <v>200</v>
      </c>
      <c r="I77" s="32">
        <v>200</v>
      </c>
      <c r="J77" s="62"/>
      <c r="K77" s="104"/>
      <c r="L77" s="105">
        <v>20201118</v>
      </c>
    </row>
    <row r="78" ht="16" customHeight="1" spans="1:12">
      <c r="A78" s="102">
        <v>76</v>
      </c>
      <c r="B78" s="102" t="s">
        <v>13533</v>
      </c>
      <c r="C78" s="32" t="s">
        <v>13611</v>
      </c>
      <c r="D78" s="32" t="str">
        <f>"152326197701057111"</f>
        <v>152326197701057111</v>
      </c>
      <c r="E78" s="102">
        <v>2020</v>
      </c>
      <c r="F78" s="102">
        <v>2020</v>
      </c>
      <c r="G78" s="137" t="s">
        <v>2480</v>
      </c>
      <c r="H78" s="32">
        <v>200</v>
      </c>
      <c r="I78" s="32">
        <v>200</v>
      </c>
      <c r="J78" s="32"/>
      <c r="K78" s="104"/>
      <c r="L78" s="105">
        <v>20201118</v>
      </c>
    </row>
    <row r="79" ht="16" customHeight="1" spans="1:12">
      <c r="A79" s="102">
        <v>77</v>
      </c>
      <c r="B79" s="102" t="s">
        <v>13533</v>
      </c>
      <c r="C79" s="32" t="s">
        <v>13612</v>
      </c>
      <c r="D79" s="32" t="str">
        <f>"152324197702016028"</f>
        <v>152324197702016028</v>
      </c>
      <c r="E79" s="102">
        <v>2020</v>
      </c>
      <c r="F79" s="102">
        <v>2020</v>
      </c>
      <c r="G79" s="137" t="s">
        <v>2480</v>
      </c>
      <c r="H79" s="32">
        <v>200</v>
      </c>
      <c r="I79" s="32">
        <v>200</v>
      </c>
      <c r="J79" s="62"/>
      <c r="K79" s="104"/>
      <c r="L79" s="105">
        <v>20201118</v>
      </c>
    </row>
    <row r="80" ht="16" customHeight="1" spans="1:12">
      <c r="A80" s="102">
        <v>78</v>
      </c>
      <c r="B80" s="102" t="s">
        <v>13533</v>
      </c>
      <c r="C80" s="32" t="s">
        <v>13613</v>
      </c>
      <c r="D80" s="32" t="str">
        <f>"152326197704127138"</f>
        <v>152326197704127138</v>
      </c>
      <c r="E80" s="102">
        <v>2020</v>
      </c>
      <c r="F80" s="102">
        <v>2020</v>
      </c>
      <c r="G80" s="137" t="s">
        <v>2480</v>
      </c>
      <c r="H80" s="32">
        <v>200</v>
      </c>
      <c r="I80" s="32">
        <v>200</v>
      </c>
      <c r="J80" s="62"/>
      <c r="K80" s="104"/>
      <c r="L80" s="105">
        <v>20201118</v>
      </c>
    </row>
    <row r="81" ht="16" customHeight="1" spans="1:12">
      <c r="A81" s="102">
        <v>79</v>
      </c>
      <c r="B81" s="102" t="s">
        <v>13533</v>
      </c>
      <c r="C81" s="32" t="s">
        <v>13614</v>
      </c>
      <c r="D81" s="32" t="str">
        <f>"152326197607107151"</f>
        <v>152326197607107151</v>
      </c>
      <c r="E81" s="102">
        <v>2020</v>
      </c>
      <c r="F81" s="102">
        <v>2020</v>
      </c>
      <c r="G81" s="137" t="s">
        <v>2480</v>
      </c>
      <c r="H81" s="32">
        <v>200</v>
      </c>
      <c r="I81" s="32">
        <v>200</v>
      </c>
      <c r="J81" s="32"/>
      <c r="K81" s="104"/>
      <c r="L81" s="105">
        <v>20201118</v>
      </c>
    </row>
    <row r="82" ht="16" customHeight="1" spans="1:12">
      <c r="A82" s="102">
        <v>80</v>
      </c>
      <c r="B82" s="102" t="s">
        <v>13533</v>
      </c>
      <c r="C82" s="32" t="s">
        <v>4394</v>
      </c>
      <c r="D82" s="32" t="str">
        <f>"152326197612047149"</f>
        <v>152326197612047149</v>
      </c>
      <c r="E82" s="102">
        <v>2020</v>
      </c>
      <c r="F82" s="102">
        <v>2020</v>
      </c>
      <c r="G82" s="137" t="s">
        <v>2480</v>
      </c>
      <c r="H82" s="32">
        <v>200</v>
      </c>
      <c r="I82" s="32">
        <v>200</v>
      </c>
      <c r="J82" s="32"/>
      <c r="K82" s="104"/>
      <c r="L82" s="105">
        <v>20201118</v>
      </c>
    </row>
    <row r="83" ht="16" customHeight="1" spans="1:12">
      <c r="A83" s="102">
        <v>81</v>
      </c>
      <c r="B83" s="102" t="s">
        <v>13533</v>
      </c>
      <c r="C83" s="32" t="s">
        <v>13615</v>
      </c>
      <c r="D83" s="32" t="s">
        <v>13616</v>
      </c>
      <c r="E83" s="102">
        <v>2020</v>
      </c>
      <c r="F83" s="102">
        <v>2020</v>
      </c>
      <c r="G83" s="137" t="s">
        <v>2480</v>
      </c>
      <c r="H83" s="32">
        <v>200</v>
      </c>
      <c r="I83" s="32">
        <v>200</v>
      </c>
      <c r="J83" s="81" t="s">
        <v>13551</v>
      </c>
      <c r="K83" s="104"/>
      <c r="L83" s="105">
        <v>20201118</v>
      </c>
    </row>
    <row r="84" ht="16" customHeight="1" spans="1:12">
      <c r="A84" s="102">
        <v>82</v>
      </c>
      <c r="B84" s="102" t="s">
        <v>13533</v>
      </c>
      <c r="C84" s="32" t="s">
        <v>13617</v>
      </c>
      <c r="D84" s="32" t="str">
        <f>"152326197606117112"</f>
        <v>152326197606117112</v>
      </c>
      <c r="E84" s="102">
        <v>2020</v>
      </c>
      <c r="F84" s="102">
        <v>2020</v>
      </c>
      <c r="G84" s="137" t="s">
        <v>2480</v>
      </c>
      <c r="H84" s="32">
        <v>200</v>
      </c>
      <c r="I84" s="32">
        <v>200</v>
      </c>
      <c r="J84" s="32"/>
      <c r="K84" s="104"/>
      <c r="L84" s="105">
        <v>20201118</v>
      </c>
    </row>
    <row r="85" ht="16" customHeight="1" spans="1:12">
      <c r="A85" s="102">
        <v>83</v>
      </c>
      <c r="B85" s="102" t="s">
        <v>13533</v>
      </c>
      <c r="C85" s="32" t="s">
        <v>13618</v>
      </c>
      <c r="D85" s="32" t="str">
        <f>"152326197608247121"</f>
        <v>152326197608247121</v>
      </c>
      <c r="E85" s="102">
        <v>2020</v>
      </c>
      <c r="F85" s="102">
        <v>2020</v>
      </c>
      <c r="G85" s="137" t="s">
        <v>2480</v>
      </c>
      <c r="H85" s="32">
        <v>200</v>
      </c>
      <c r="I85" s="32">
        <v>200</v>
      </c>
      <c r="J85" s="62"/>
      <c r="K85" s="104"/>
      <c r="L85" s="105">
        <v>20201118</v>
      </c>
    </row>
    <row r="86" ht="16" customHeight="1" spans="1:12">
      <c r="A86" s="102">
        <v>84</v>
      </c>
      <c r="B86" s="102" t="s">
        <v>13533</v>
      </c>
      <c r="C86" s="32" t="s">
        <v>13619</v>
      </c>
      <c r="D86" s="32" t="str">
        <f>"152326197610257134"</f>
        <v>152326197610257134</v>
      </c>
      <c r="E86" s="102">
        <v>2020</v>
      </c>
      <c r="F86" s="102">
        <v>2020</v>
      </c>
      <c r="G86" s="137" t="s">
        <v>2480</v>
      </c>
      <c r="H86" s="32">
        <v>200</v>
      </c>
      <c r="I86" s="32">
        <v>200</v>
      </c>
      <c r="J86" s="62"/>
      <c r="K86" s="104"/>
      <c r="L86" s="105">
        <v>20201118</v>
      </c>
    </row>
    <row r="87" ht="16" customHeight="1" spans="1:12">
      <c r="A87" s="102">
        <v>85</v>
      </c>
      <c r="B87" s="102" t="s">
        <v>13533</v>
      </c>
      <c r="C87" s="32" t="s">
        <v>13620</v>
      </c>
      <c r="D87" s="32" t="s">
        <v>13621</v>
      </c>
      <c r="E87" s="102">
        <v>2020</v>
      </c>
      <c r="F87" s="102">
        <v>2020</v>
      </c>
      <c r="G87" s="137" t="s">
        <v>2480</v>
      </c>
      <c r="H87" s="32">
        <v>200</v>
      </c>
      <c r="I87" s="32">
        <v>200</v>
      </c>
      <c r="J87" s="138" t="s">
        <v>5331</v>
      </c>
      <c r="K87" s="104"/>
      <c r="L87" s="105">
        <v>20201118</v>
      </c>
    </row>
    <row r="88" ht="16" customHeight="1" spans="1:12">
      <c r="A88" s="102">
        <v>86</v>
      </c>
      <c r="B88" s="102" t="s">
        <v>13533</v>
      </c>
      <c r="C88" s="32" t="s">
        <v>13166</v>
      </c>
      <c r="D88" s="32" t="str">
        <f>"152326197602027128"</f>
        <v>152326197602027128</v>
      </c>
      <c r="E88" s="102">
        <v>2020</v>
      </c>
      <c r="F88" s="102">
        <v>2020</v>
      </c>
      <c r="G88" s="137" t="s">
        <v>2480</v>
      </c>
      <c r="H88" s="32">
        <v>200</v>
      </c>
      <c r="I88" s="32">
        <v>200</v>
      </c>
      <c r="J88" s="62"/>
      <c r="K88" s="104"/>
      <c r="L88" s="105">
        <v>20201118</v>
      </c>
    </row>
    <row r="89" ht="16" customHeight="1" spans="1:12">
      <c r="A89" s="102">
        <v>87</v>
      </c>
      <c r="B89" s="102" t="s">
        <v>13533</v>
      </c>
      <c r="C89" s="32" t="s">
        <v>13622</v>
      </c>
      <c r="D89" s="32" t="str">
        <f>"152326197602247112"</f>
        <v>152326197602247112</v>
      </c>
      <c r="E89" s="102">
        <v>2020</v>
      </c>
      <c r="F89" s="102">
        <v>2020</v>
      </c>
      <c r="G89" s="137" t="s">
        <v>2480</v>
      </c>
      <c r="H89" s="32">
        <v>200</v>
      </c>
      <c r="I89" s="32">
        <v>200</v>
      </c>
      <c r="J89" s="62"/>
      <c r="K89" s="104"/>
      <c r="L89" s="105">
        <v>20201118</v>
      </c>
    </row>
    <row r="90" ht="16" customHeight="1" spans="1:12">
      <c r="A90" s="102">
        <v>88</v>
      </c>
      <c r="B90" s="102" t="s">
        <v>13533</v>
      </c>
      <c r="C90" s="32" t="s">
        <v>13623</v>
      </c>
      <c r="D90" s="32" t="str">
        <f>"152326197605127124"</f>
        <v>152326197605127124</v>
      </c>
      <c r="E90" s="102">
        <v>2020</v>
      </c>
      <c r="F90" s="102">
        <v>2020</v>
      </c>
      <c r="G90" s="137" t="s">
        <v>2480</v>
      </c>
      <c r="H90" s="32">
        <v>200</v>
      </c>
      <c r="I90" s="32">
        <v>200</v>
      </c>
      <c r="J90" s="32"/>
      <c r="K90" s="104"/>
      <c r="L90" s="105">
        <v>20201118</v>
      </c>
    </row>
    <row r="91" ht="16" customHeight="1" spans="1:12">
      <c r="A91" s="102">
        <v>89</v>
      </c>
      <c r="B91" s="102" t="s">
        <v>13533</v>
      </c>
      <c r="C91" s="32" t="s">
        <v>13624</v>
      </c>
      <c r="D91" s="32" t="str">
        <f>"152326197508107121"</f>
        <v>152326197508107121</v>
      </c>
      <c r="E91" s="102">
        <v>2020</v>
      </c>
      <c r="F91" s="102">
        <v>2020</v>
      </c>
      <c r="G91" s="137" t="s">
        <v>2480</v>
      </c>
      <c r="H91" s="32">
        <v>200</v>
      </c>
      <c r="I91" s="32">
        <v>200</v>
      </c>
      <c r="J91" s="62"/>
      <c r="K91" s="104"/>
      <c r="L91" s="105">
        <v>20201118</v>
      </c>
    </row>
    <row r="92" ht="16" customHeight="1" spans="1:12">
      <c r="A92" s="102">
        <v>90</v>
      </c>
      <c r="B92" s="102" t="s">
        <v>13533</v>
      </c>
      <c r="C92" s="32" t="s">
        <v>13625</v>
      </c>
      <c r="D92" s="32" t="str">
        <f>"152326197511127115"</f>
        <v>152326197511127115</v>
      </c>
      <c r="E92" s="102">
        <v>2020</v>
      </c>
      <c r="F92" s="102">
        <v>2020</v>
      </c>
      <c r="G92" s="137" t="s">
        <v>2480</v>
      </c>
      <c r="H92" s="32">
        <v>200</v>
      </c>
      <c r="I92" s="32">
        <v>200</v>
      </c>
      <c r="J92" s="32"/>
      <c r="K92" s="104"/>
      <c r="L92" s="105">
        <v>20201118</v>
      </c>
    </row>
    <row r="93" ht="16" customHeight="1" spans="1:12">
      <c r="A93" s="102">
        <v>91</v>
      </c>
      <c r="B93" s="102" t="s">
        <v>13533</v>
      </c>
      <c r="C93" s="32" t="s">
        <v>13626</v>
      </c>
      <c r="D93" s="32" t="str">
        <f>"152326197508087124"</f>
        <v>152326197508087124</v>
      </c>
      <c r="E93" s="102">
        <v>2020</v>
      </c>
      <c r="F93" s="102">
        <v>2020</v>
      </c>
      <c r="G93" s="137" t="s">
        <v>2480</v>
      </c>
      <c r="H93" s="32">
        <v>200</v>
      </c>
      <c r="I93" s="32">
        <v>200</v>
      </c>
      <c r="J93" s="32"/>
      <c r="K93" s="104"/>
      <c r="L93" s="105">
        <v>20201118</v>
      </c>
    </row>
    <row r="94" ht="16" customHeight="1" spans="1:12">
      <c r="A94" s="102">
        <v>92</v>
      </c>
      <c r="B94" s="102" t="s">
        <v>13533</v>
      </c>
      <c r="C94" s="32" t="s">
        <v>10968</v>
      </c>
      <c r="D94" s="32" t="str">
        <f>"152326197501107110"</f>
        <v>152326197501107110</v>
      </c>
      <c r="E94" s="102">
        <v>2020</v>
      </c>
      <c r="F94" s="102">
        <v>2020</v>
      </c>
      <c r="G94" s="137" t="s">
        <v>2480</v>
      </c>
      <c r="H94" s="32">
        <v>200</v>
      </c>
      <c r="I94" s="32">
        <v>200</v>
      </c>
      <c r="J94" s="62"/>
      <c r="K94" s="104"/>
      <c r="L94" s="105">
        <v>20201118</v>
      </c>
    </row>
    <row r="95" ht="16" customHeight="1" spans="1:12">
      <c r="A95" s="102">
        <v>93</v>
      </c>
      <c r="B95" s="102" t="s">
        <v>13533</v>
      </c>
      <c r="C95" s="32" t="s">
        <v>1852</v>
      </c>
      <c r="D95" s="32" t="str">
        <f>"152326197503187118"</f>
        <v>152326197503187118</v>
      </c>
      <c r="E95" s="102">
        <v>2020</v>
      </c>
      <c r="F95" s="102">
        <v>2020</v>
      </c>
      <c r="G95" s="137" t="s">
        <v>2480</v>
      </c>
      <c r="H95" s="32">
        <v>200</v>
      </c>
      <c r="I95" s="32">
        <v>200</v>
      </c>
      <c r="J95" s="32"/>
      <c r="K95" s="104"/>
      <c r="L95" s="105">
        <v>20201118</v>
      </c>
    </row>
    <row r="96" ht="16" customHeight="1" spans="1:12">
      <c r="A96" s="102">
        <v>94</v>
      </c>
      <c r="B96" s="102" t="s">
        <v>13533</v>
      </c>
      <c r="C96" s="32" t="s">
        <v>13627</v>
      </c>
      <c r="D96" s="32" t="str">
        <f>"152326197503277113"</f>
        <v>152326197503277113</v>
      </c>
      <c r="E96" s="102">
        <v>2020</v>
      </c>
      <c r="F96" s="102">
        <v>2020</v>
      </c>
      <c r="G96" s="137" t="s">
        <v>2480</v>
      </c>
      <c r="H96" s="32">
        <v>200</v>
      </c>
      <c r="I96" s="32">
        <v>200</v>
      </c>
      <c r="J96" s="62"/>
      <c r="K96" s="104"/>
      <c r="L96" s="105">
        <v>20201118</v>
      </c>
    </row>
    <row r="97" ht="16" customHeight="1" spans="1:12">
      <c r="A97" s="102">
        <v>95</v>
      </c>
      <c r="B97" s="102" t="s">
        <v>13533</v>
      </c>
      <c r="C97" s="32" t="s">
        <v>13628</v>
      </c>
      <c r="D97" s="32" t="str">
        <f>"152326197509067125"</f>
        <v>152326197509067125</v>
      </c>
      <c r="E97" s="102">
        <v>2020</v>
      </c>
      <c r="F97" s="102">
        <v>2020</v>
      </c>
      <c r="G97" s="137" t="s">
        <v>2480</v>
      </c>
      <c r="H97" s="32">
        <v>1000</v>
      </c>
      <c r="I97" s="32">
        <v>1000</v>
      </c>
      <c r="J97" s="32"/>
      <c r="K97" s="104"/>
      <c r="L97" s="105">
        <v>20201118</v>
      </c>
    </row>
    <row r="98" ht="16" customHeight="1" spans="1:12">
      <c r="A98" s="102">
        <v>96</v>
      </c>
      <c r="B98" s="102" t="s">
        <v>13533</v>
      </c>
      <c r="C98" s="32" t="s">
        <v>13629</v>
      </c>
      <c r="D98" s="32" t="str">
        <f>"152326197510267116"</f>
        <v>152326197510267116</v>
      </c>
      <c r="E98" s="102">
        <v>2020</v>
      </c>
      <c r="F98" s="102">
        <v>2020</v>
      </c>
      <c r="G98" s="137" t="s">
        <v>2480</v>
      </c>
      <c r="H98" s="32">
        <v>1000</v>
      </c>
      <c r="I98" s="32">
        <v>1000</v>
      </c>
      <c r="J98" s="32"/>
      <c r="K98" s="104"/>
      <c r="L98" s="105">
        <v>20201118</v>
      </c>
    </row>
    <row r="99" ht="16" customHeight="1" spans="1:12">
      <c r="A99" s="102">
        <v>97</v>
      </c>
      <c r="B99" s="102" t="s">
        <v>13533</v>
      </c>
      <c r="C99" s="32" t="s">
        <v>13630</v>
      </c>
      <c r="D99" s="32" t="str">
        <f>"152326197510207121"</f>
        <v>152326197510207121</v>
      </c>
      <c r="E99" s="102">
        <v>2020</v>
      </c>
      <c r="F99" s="102">
        <v>2020</v>
      </c>
      <c r="G99" s="137" t="s">
        <v>2480</v>
      </c>
      <c r="H99" s="32">
        <v>200</v>
      </c>
      <c r="I99" s="32">
        <v>200</v>
      </c>
      <c r="J99" s="62"/>
      <c r="K99" s="104"/>
      <c r="L99" s="105">
        <v>20201118</v>
      </c>
    </row>
    <row r="100" ht="16" customHeight="1" spans="1:12">
      <c r="A100" s="102">
        <v>98</v>
      </c>
      <c r="B100" s="102" t="s">
        <v>13533</v>
      </c>
      <c r="C100" s="32" t="s">
        <v>13631</v>
      </c>
      <c r="D100" s="32" t="str">
        <f>"152326197506057124"</f>
        <v>152326197506057124</v>
      </c>
      <c r="E100" s="102">
        <v>2020</v>
      </c>
      <c r="F100" s="102">
        <v>2020</v>
      </c>
      <c r="G100" s="137" t="s">
        <v>2480</v>
      </c>
      <c r="H100" s="32">
        <v>200</v>
      </c>
      <c r="I100" s="32">
        <v>200</v>
      </c>
      <c r="J100" s="32"/>
      <c r="K100" s="104"/>
      <c r="L100" s="105">
        <v>20201118</v>
      </c>
    </row>
    <row r="101" ht="16" customHeight="1" spans="1:12">
      <c r="A101" s="102">
        <v>99</v>
      </c>
      <c r="B101" s="102" t="s">
        <v>13533</v>
      </c>
      <c r="C101" s="32" t="s">
        <v>13632</v>
      </c>
      <c r="D101" s="32" t="s">
        <v>13633</v>
      </c>
      <c r="E101" s="102">
        <v>2020</v>
      </c>
      <c r="F101" s="102">
        <v>2020</v>
      </c>
      <c r="G101" s="137" t="s">
        <v>2480</v>
      </c>
      <c r="H101" s="32">
        <v>200</v>
      </c>
      <c r="I101" s="32">
        <v>200</v>
      </c>
      <c r="J101" s="62"/>
      <c r="K101" s="104"/>
      <c r="L101" s="105">
        <v>20201118</v>
      </c>
    </row>
    <row r="102" ht="16" customHeight="1" spans="1:12">
      <c r="A102" s="102">
        <v>100</v>
      </c>
      <c r="B102" s="102" t="s">
        <v>13533</v>
      </c>
      <c r="C102" s="32" t="s">
        <v>13634</v>
      </c>
      <c r="D102" s="32" t="str">
        <f>"152326197404297135"</f>
        <v>152326197404297135</v>
      </c>
      <c r="E102" s="102">
        <v>2020</v>
      </c>
      <c r="F102" s="102">
        <v>2020</v>
      </c>
      <c r="G102" s="137" t="s">
        <v>2480</v>
      </c>
      <c r="H102" s="32">
        <v>200</v>
      </c>
      <c r="I102" s="32">
        <v>200</v>
      </c>
      <c r="J102" s="62"/>
      <c r="K102" s="104"/>
      <c r="L102" s="105">
        <v>20201118</v>
      </c>
    </row>
    <row r="103" ht="16" customHeight="1" spans="1:12">
      <c r="A103" s="102">
        <v>101</v>
      </c>
      <c r="B103" s="102" t="s">
        <v>13533</v>
      </c>
      <c r="C103" s="32" t="s">
        <v>13635</v>
      </c>
      <c r="D103" s="32" t="str">
        <f>"152326197411087128"</f>
        <v>152326197411087128</v>
      </c>
      <c r="E103" s="102">
        <v>2020</v>
      </c>
      <c r="F103" s="102">
        <v>2020</v>
      </c>
      <c r="G103" s="137" t="s">
        <v>2480</v>
      </c>
      <c r="H103" s="32">
        <v>200</v>
      </c>
      <c r="I103" s="32">
        <v>200</v>
      </c>
      <c r="J103" s="62"/>
      <c r="K103" s="104"/>
      <c r="L103" s="105">
        <v>20201118</v>
      </c>
    </row>
    <row r="104" ht="16" customHeight="1" spans="1:12">
      <c r="A104" s="102">
        <v>102</v>
      </c>
      <c r="B104" s="102" t="s">
        <v>13533</v>
      </c>
      <c r="C104" s="32" t="s">
        <v>13636</v>
      </c>
      <c r="D104" s="32" t="str">
        <f>"152326197407257120"</f>
        <v>152326197407257120</v>
      </c>
      <c r="E104" s="102">
        <v>2020</v>
      </c>
      <c r="F104" s="102">
        <v>2020</v>
      </c>
      <c r="G104" s="137" t="s">
        <v>2480</v>
      </c>
      <c r="H104" s="32">
        <v>200</v>
      </c>
      <c r="I104" s="32">
        <v>200</v>
      </c>
      <c r="J104" s="62"/>
      <c r="K104" s="104"/>
      <c r="L104" s="105">
        <v>20201118</v>
      </c>
    </row>
    <row r="105" ht="16" customHeight="1" spans="1:12">
      <c r="A105" s="102">
        <v>103</v>
      </c>
      <c r="B105" s="102" t="s">
        <v>13533</v>
      </c>
      <c r="C105" s="32" t="s">
        <v>13637</v>
      </c>
      <c r="D105" s="32" t="str">
        <f>"152326197410257148"</f>
        <v>152326197410257148</v>
      </c>
      <c r="E105" s="102">
        <v>2020</v>
      </c>
      <c r="F105" s="102">
        <v>2020</v>
      </c>
      <c r="G105" s="137" t="s">
        <v>2480</v>
      </c>
      <c r="H105" s="32">
        <v>200</v>
      </c>
      <c r="I105" s="32">
        <v>200</v>
      </c>
      <c r="J105" s="62"/>
      <c r="K105" s="104"/>
      <c r="L105" s="105">
        <v>20201118</v>
      </c>
    </row>
    <row r="106" ht="16" customHeight="1" spans="1:12">
      <c r="A106" s="102">
        <v>104</v>
      </c>
      <c r="B106" s="102" t="s">
        <v>13533</v>
      </c>
      <c r="C106" s="32" t="s">
        <v>13638</v>
      </c>
      <c r="D106" s="32" t="str">
        <f>"152326197408037111"</f>
        <v>152326197408037111</v>
      </c>
      <c r="E106" s="102">
        <v>2020</v>
      </c>
      <c r="F106" s="102">
        <v>2020</v>
      </c>
      <c r="G106" s="137" t="s">
        <v>2480</v>
      </c>
      <c r="H106" s="32">
        <v>200</v>
      </c>
      <c r="I106" s="32">
        <v>200</v>
      </c>
      <c r="J106" s="62"/>
      <c r="K106" s="104"/>
      <c r="L106" s="105">
        <v>20201118</v>
      </c>
    </row>
    <row r="107" ht="16" customHeight="1" spans="1:12">
      <c r="A107" s="102">
        <v>105</v>
      </c>
      <c r="B107" s="102" t="s">
        <v>13533</v>
      </c>
      <c r="C107" s="32" t="s">
        <v>13639</v>
      </c>
      <c r="D107" s="32" t="str">
        <f>"152326197403197140"</f>
        <v>152326197403197140</v>
      </c>
      <c r="E107" s="102">
        <v>2020</v>
      </c>
      <c r="F107" s="102">
        <v>2020</v>
      </c>
      <c r="G107" s="137" t="s">
        <v>2480</v>
      </c>
      <c r="H107" s="32">
        <v>200</v>
      </c>
      <c r="I107" s="32">
        <v>200</v>
      </c>
      <c r="J107" s="62"/>
      <c r="K107" s="104"/>
      <c r="L107" s="105">
        <v>20201118</v>
      </c>
    </row>
    <row r="108" ht="16" customHeight="1" spans="1:12">
      <c r="A108" s="102">
        <v>106</v>
      </c>
      <c r="B108" s="102" t="s">
        <v>13533</v>
      </c>
      <c r="C108" s="32" t="s">
        <v>13640</v>
      </c>
      <c r="D108" s="32" t="str">
        <f>"152326197407177112"</f>
        <v>152326197407177112</v>
      </c>
      <c r="E108" s="102">
        <v>2020</v>
      </c>
      <c r="F108" s="102">
        <v>2020</v>
      </c>
      <c r="G108" s="137" t="s">
        <v>2480</v>
      </c>
      <c r="H108" s="32">
        <v>200</v>
      </c>
      <c r="I108" s="32">
        <v>200</v>
      </c>
      <c r="J108" s="62"/>
      <c r="K108" s="104"/>
      <c r="L108" s="105">
        <v>20201118</v>
      </c>
    </row>
    <row r="109" ht="16" customHeight="1" spans="1:12">
      <c r="A109" s="102">
        <v>107</v>
      </c>
      <c r="B109" s="102" t="s">
        <v>13533</v>
      </c>
      <c r="C109" s="32" t="s">
        <v>13641</v>
      </c>
      <c r="D109" s="32" t="str">
        <f>"152326197408147134"</f>
        <v>152326197408147134</v>
      </c>
      <c r="E109" s="102">
        <v>2020</v>
      </c>
      <c r="F109" s="102">
        <v>2020</v>
      </c>
      <c r="G109" s="137" t="s">
        <v>2480</v>
      </c>
      <c r="H109" s="32">
        <v>200</v>
      </c>
      <c r="I109" s="32">
        <v>200</v>
      </c>
      <c r="J109" s="62"/>
      <c r="K109" s="104"/>
      <c r="L109" s="105">
        <v>20201118</v>
      </c>
    </row>
    <row r="110" ht="16" customHeight="1" spans="1:12">
      <c r="A110" s="102">
        <v>108</v>
      </c>
      <c r="B110" s="102" t="s">
        <v>13533</v>
      </c>
      <c r="C110" s="32" t="s">
        <v>13642</v>
      </c>
      <c r="D110" s="32" t="str">
        <f>"152326197402037110"</f>
        <v>152326197402037110</v>
      </c>
      <c r="E110" s="102">
        <v>2020</v>
      </c>
      <c r="F110" s="102">
        <v>2020</v>
      </c>
      <c r="G110" s="137" t="s">
        <v>2480</v>
      </c>
      <c r="H110" s="32">
        <v>200</v>
      </c>
      <c r="I110" s="32">
        <v>200</v>
      </c>
      <c r="J110" s="32"/>
      <c r="K110" s="104"/>
      <c r="L110" s="105">
        <v>20201118</v>
      </c>
    </row>
    <row r="111" ht="16" customHeight="1" spans="1:12">
      <c r="A111" s="102">
        <v>109</v>
      </c>
      <c r="B111" s="102" t="s">
        <v>13533</v>
      </c>
      <c r="C111" s="32" t="s">
        <v>13643</v>
      </c>
      <c r="D111" s="32" t="str">
        <f>"152326197407157138"</f>
        <v>152326197407157138</v>
      </c>
      <c r="E111" s="102">
        <v>2020</v>
      </c>
      <c r="F111" s="102">
        <v>2020</v>
      </c>
      <c r="G111" s="137" t="s">
        <v>2480</v>
      </c>
      <c r="H111" s="32">
        <v>200</v>
      </c>
      <c r="I111" s="32">
        <v>200</v>
      </c>
      <c r="J111" s="62"/>
      <c r="K111" s="104"/>
      <c r="L111" s="105">
        <v>20201118</v>
      </c>
    </row>
    <row r="112" ht="16" customHeight="1" spans="1:12">
      <c r="A112" s="102">
        <v>110</v>
      </c>
      <c r="B112" s="102" t="s">
        <v>13533</v>
      </c>
      <c r="C112" s="32" t="s">
        <v>13644</v>
      </c>
      <c r="D112" s="32" t="str">
        <f>"152326197409167110"</f>
        <v>152326197409167110</v>
      </c>
      <c r="E112" s="102">
        <v>2020</v>
      </c>
      <c r="F112" s="102">
        <v>2020</v>
      </c>
      <c r="G112" s="137" t="s">
        <v>2480</v>
      </c>
      <c r="H112" s="32">
        <v>200</v>
      </c>
      <c r="I112" s="32">
        <v>200</v>
      </c>
      <c r="J112" s="62"/>
      <c r="K112" s="104"/>
      <c r="L112" s="105">
        <v>20201118</v>
      </c>
    </row>
    <row r="113" ht="16" customHeight="1" spans="1:12">
      <c r="A113" s="102">
        <v>111</v>
      </c>
      <c r="B113" s="102" t="s">
        <v>13533</v>
      </c>
      <c r="C113" s="32" t="s">
        <v>13645</v>
      </c>
      <c r="D113" s="32" t="str">
        <f>"152326197404097117"</f>
        <v>152326197404097117</v>
      </c>
      <c r="E113" s="102">
        <v>2020</v>
      </c>
      <c r="F113" s="102">
        <v>2020</v>
      </c>
      <c r="G113" s="137" t="s">
        <v>2480</v>
      </c>
      <c r="H113" s="32">
        <v>200</v>
      </c>
      <c r="I113" s="32">
        <v>200</v>
      </c>
      <c r="J113" s="62"/>
      <c r="K113" s="104"/>
      <c r="L113" s="105">
        <v>20201118</v>
      </c>
    </row>
    <row r="114" ht="16" customHeight="1" spans="1:12">
      <c r="A114" s="102">
        <v>112</v>
      </c>
      <c r="B114" s="102" t="s">
        <v>13533</v>
      </c>
      <c r="C114" s="32" t="s">
        <v>13646</v>
      </c>
      <c r="D114" s="32" t="str">
        <f>"152326197409297118"</f>
        <v>152326197409297118</v>
      </c>
      <c r="E114" s="102">
        <v>2020</v>
      </c>
      <c r="F114" s="102">
        <v>2020</v>
      </c>
      <c r="G114" s="137" t="s">
        <v>2480</v>
      </c>
      <c r="H114" s="32">
        <v>200</v>
      </c>
      <c r="I114" s="32">
        <v>200</v>
      </c>
      <c r="J114" s="32"/>
      <c r="K114" s="104"/>
      <c r="L114" s="105">
        <v>20201118</v>
      </c>
    </row>
    <row r="115" ht="16" customHeight="1" spans="1:12">
      <c r="A115" s="102">
        <v>113</v>
      </c>
      <c r="B115" s="102" t="s">
        <v>13533</v>
      </c>
      <c r="C115" s="32" t="s">
        <v>13647</v>
      </c>
      <c r="D115" s="32" t="str">
        <f>"152326197301157113"</f>
        <v>152326197301157113</v>
      </c>
      <c r="E115" s="102">
        <v>2020</v>
      </c>
      <c r="F115" s="102">
        <v>2020</v>
      </c>
      <c r="G115" s="137" t="s">
        <v>2480</v>
      </c>
      <c r="H115" s="32">
        <v>200</v>
      </c>
      <c r="I115" s="32">
        <v>200</v>
      </c>
      <c r="J115" s="32"/>
      <c r="K115" s="104"/>
      <c r="L115" s="105">
        <v>20201118</v>
      </c>
    </row>
    <row r="116" ht="16" customHeight="1" spans="1:12">
      <c r="A116" s="102">
        <v>114</v>
      </c>
      <c r="B116" s="102" t="s">
        <v>13533</v>
      </c>
      <c r="C116" s="32" t="s">
        <v>13648</v>
      </c>
      <c r="D116" s="32" t="str">
        <f>"152326197311217116"</f>
        <v>152326197311217116</v>
      </c>
      <c r="E116" s="102">
        <v>2020</v>
      </c>
      <c r="F116" s="102">
        <v>2020</v>
      </c>
      <c r="G116" s="137" t="s">
        <v>2480</v>
      </c>
      <c r="H116" s="32">
        <v>200</v>
      </c>
      <c r="I116" s="32">
        <v>200</v>
      </c>
      <c r="J116" s="62"/>
      <c r="K116" s="104"/>
      <c r="L116" s="105">
        <v>20201118</v>
      </c>
    </row>
    <row r="117" ht="16" customHeight="1" spans="1:12">
      <c r="A117" s="102">
        <v>115</v>
      </c>
      <c r="B117" s="102" t="s">
        <v>13533</v>
      </c>
      <c r="C117" s="32" t="s">
        <v>13649</v>
      </c>
      <c r="D117" s="32" t="str">
        <f>"152326197312197129"</f>
        <v>152326197312197129</v>
      </c>
      <c r="E117" s="102">
        <v>2020</v>
      </c>
      <c r="F117" s="102">
        <v>2020</v>
      </c>
      <c r="G117" s="137" t="s">
        <v>2480</v>
      </c>
      <c r="H117" s="32">
        <v>200</v>
      </c>
      <c r="I117" s="32">
        <v>200</v>
      </c>
      <c r="J117" s="62"/>
      <c r="K117" s="104"/>
      <c r="L117" s="105">
        <v>20201118</v>
      </c>
    </row>
    <row r="118" ht="16" customHeight="1" spans="1:12">
      <c r="A118" s="102">
        <v>116</v>
      </c>
      <c r="B118" s="102" t="s">
        <v>13533</v>
      </c>
      <c r="C118" s="32" t="s">
        <v>13650</v>
      </c>
      <c r="D118" s="32" t="str">
        <f>"152326197310307128"</f>
        <v>152326197310307128</v>
      </c>
      <c r="E118" s="102">
        <v>2020</v>
      </c>
      <c r="F118" s="102">
        <v>2020</v>
      </c>
      <c r="G118" s="137" t="s">
        <v>2480</v>
      </c>
      <c r="H118" s="32">
        <v>200</v>
      </c>
      <c r="I118" s="32">
        <v>200</v>
      </c>
      <c r="J118" s="62"/>
      <c r="K118" s="104"/>
      <c r="L118" s="105">
        <v>20201118</v>
      </c>
    </row>
    <row r="119" ht="16" customHeight="1" spans="1:12">
      <c r="A119" s="102">
        <v>117</v>
      </c>
      <c r="B119" s="102" t="s">
        <v>13533</v>
      </c>
      <c r="C119" s="32" t="s">
        <v>13651</v>
      </c>
      <c r="D119" s="32" t="str">
        <f>"152326197305067131"</f>
        <v>152326197305067131</v>
      </c>
      <c r="E119" s="102">
        <v>2020</v>
      </c>
      <c r="F119" s="102">
        <v>2020</v>
      </c>
      <c r="G119" s="137" t="s">
        <v>2480</v>
      </c>
      <c r="H119" s="32">
        <v>200</v>
      </c>
      <c r="I119" s="32">
        <v>200</v>
      </c>
      <c r="J119" s="62"/>
      <c r="K119" s="104"/>
      <c r="L119" s="105">
        <v>20201118</v>
      </c>
    </row>
    <row r="120" ht="16" customHeight="1" spans="1:12">
      <c r="A120" s="102">
        <v>118</v>
      </c>
      <c r="B120" s="102" t="s">
        <v>13533</v>
      </c>
      <c r="C120" s="32" t="s">
        <v>13652</v>
      </c>
      <c r="D120" s="32" t="str">
        <f>"152326197303147111"</f>
        <v>152326197303147111</v>
      </c>
      <c r="E120" s="102">
        <v>2020</v>
      </c>
      <c r="F120" s="102">
        <v>2020</v>
      </c>
      <c r="G120" s="137" t="s">
        <v>2480</v>
      </c>
      <c r="H120" s="32">
        <v>200</v>
      </c>
      <c r="I120" s="32">
        <v>200</v>
      </c>
      <c r="J120" s="32"/>
      <c r="K120" s="104"/>
      <c r="L120" s="105">
        <v>20201118</v>
      </c>
    </row>
    <row r="121" ht="16" customHeight="1" spans="1:12">
      <c r="A121" s="102">
        <v>119</v>
      </c>
      <c r="B121" s="102" t="s">
        <v>13533</v>
      </c>
      <c r="C121" s="32" t="s">
        <v>13653</v>
      </c>
      <c r="D121" s="32" t="s">
        <v>13654</v>
      </c>
      <c r="E121" s="102">
        <v>2020</v>
      </c>
      <c r="F121" s="102">
        <v>2020</v>
      </c>
      <c r="G121" s="137" t="s">
        <v>2480</v>
      </c>
      <c r="H121" s="32">
        <v>200</v>
      </c>
      <c r="I121" s="32">
        <v>200</v>
      </c>
      <c r="J121" s="32"/>
      <c r="K121" s="104"/>
      <c r="L121" s="105">
        <v>20201118</v>
      </c>
    </row>
    <row r="122" ht="16" customHeight="1" spans="1:12">
      <c r="A122" s="102">
        <v>120</v>
      </c>
      <c r="B122" s="102" t="s">
        <v>13533</v>
      </c>
      <c r="C122" s="32" t="s">
        <v>7531</v>
      </c>
      <c r="D122" s="32" t="str">
        <f>"152326197312097363"</f>
        <v>152326197312097363</v>
      </c>
      <c r="E122" s="102">
        <v>2020</v>
      </c>
      <c r="F122" s="102">
        <v>2020</v>
      </c>
      <c r="G122" s="137" t="s">
        <v>2480</v>
      </c>
      <c r="H122" s="32">
        <v>200</v>
      </c>
      <c r="I122" s="32">
        <v>200</v>
      </c>
      <c r="J122" s="62"/>
      <c r="K122" s="104"/>
      <c r="L122" s="105">
        <v>20201118</v>
      </c>
    </row>
    <row r="123" ht="16" customHeight="1" spans="1:12">
      <c r="A123" s="102">
        <v>121</v>
      </c>
      <c r="B123" s="102" t="s">
        <v>13533</v>
      </c>
      <c r="C123" s="32" t="s">
        <v>13655</v>
      </c>
      <c r="D123" s="32" t="str">
        <f>"152326197312207112"</f>
        <v>152326197312207112</v>
      </c>
      <c r="E123" s="102">
        <v>2020</v>
      </c>
      <c r="F123" s="102">
        <v>2020</v>
      </c>
      <c r="G123" s="137" t="s">
        <v>2480</v>
      </c>
      <c r="H123" s="32">
        <v>200</v>
      </c>
      <c r="I123" s="32">
        <v>200</v>
      </c>
      <c r="J123" s="62"/>
      <c r="K123" s="104"/>
      <c r="L123" s="105">
        <v>20201118</v>
      </c>
    </row>
    <row r="124" ht="16" customHeight="1" spans="1:12">
      <c r="A124" s="102">
        <v>122</v>
      </c>
      <c r="B124" s="102" t="s">
        <v>13533</v>
      </c>
      <c r="C124" s="32" t="s">
        <v>1095</v>
      </c>
      <c r="D124" s="32" t="str">
        <f>"152326197304297111"</f>
        <v>152326197304297111</v>
      </c>
      <c r="E124" s="102">
        <v>2020</v>
      </c>
      <c r="F124" s="102">
        <v>2020</v>
      </c>
      <c r="G124" s="137" t="s">
        <v>2480</v>
      </c>
      <c r="H124" s="32">
        <v>200</v>
      </c>
      <c r="I124" s="32">
        <v>200</v>
      </c>
      <c r="J124" s="62"/>
      <c r="K124" s="104"/>
      <c r="L124" s="105">
        <v>20201118</v>
      </c>
    </row>
    <row r="125" ht="16" customHeight="1" spans="1:12">
      <c r="A125" s="102">
        <v>123</v>
      </c>
      <c r="B125" s="102" t="s">
        <v>13533</v>
      </c>
      <c r="C125" s="32" t="s">
        <v>13656</v>
      </c>
      <c r="D125" s="32" t="str">
        <f>"152326197310087129"</f>
        <v>152326197310087129</v>
      </c>
      <c r="E125" s="102">
        <v>2020</v>
      </c>
      <c r="F125" s="102">
        <v>2020</v>
      </c>
      <c r="G125" s="137" t="s">
        <v>2480</v>
      </c>
      <c r="H125" s="32">
        <v>200</v>
      </c>
      <c r="I125" s="32">
        <v>200</v>
      </c>
      <c r="J125" s="62"/>
      <c r="K125" s="104"/>
      <c r="L125" s="105">
        <v>20201118</v>
      </c>
    </row>
    <row r="126" ht="16" customHeight="1" spans="1:12">
      <c r="A126" s="102">
        <v>124</v>
      </c>
      <c r="B126" s="102" t="s">
        <v>13533</v>
      </c>
      <c r="C126" s="32" t="s">
        <v>13657</v>
      </c>
      <c r="D126" s="32" t="str">
        <f>"152326197311077117"</f>
        <v>152326197311077117</v>
      </c>
      <c r="E126" s="102">
        <v>2020</v>
      </c>
      <c r="F126" s="102">
        <v>2020</v>
      </c>
      <c r="G126" s="137" t="s">
        <v>2480</v>
      </c>
      <c r="H126" s="32">
        <v>200</v>
      </c>
      <c r="I126" s="32">
        <v>200</v>
      </c>
      <c r="J126" s="32"/>
      <c r="K126" s="104"/>
      <c r="L126" s="105">
        <v>20201118</v>
      </c>
    </row>
    <row r="127" ht="16" customHeight="1" spans="1:12">
      <c r="A127" s="102">
        <v>125</v>
      </c>
      <c r="B127" s="102" t="s">
        <v>13533</v>
      </c>
      <c r="C127" s="32" t="s">
        <v>13658</v>
      </c>
      <c r="D127" s="32" t="str">
        <f>"152326197304237119"</f>
        <v>152326197304237119</v>
      </c>
      <c r="E127" s="102">
        <v>2020</v>
      </c>
      <c r="F127" s="102">
        <v>2020</v>
      </c>
      <c r="G127" s="137" t="s">
        <v>2480</v>
      </c>
      <c r="H127" s="32">
        <v>1000</v>
      </c>
      <c r="I127" s="32">
        <v>1000</v>
      </c>
      <c r="J127" s="62"/>
      <c r="K127" s="104"/>
      <c r="L127" s="105">
        <v>20201118</v>
      </c>
    </row>
    <row r="128" ht="16" customHeight="1" spans="1:12">
      <c r="A128" s="102">
        <v>126</v>
      </c>
      <c r="B128" s="102" t="s">
        <v>13533</v>
      </c>
      <c r="C128" s="32" t="s">
        <v>12574</v>
      </c>
      <c r="D128" s="32" t="str">
        <f>"152326197311107128"</f>
        <v>152326197311107128</v>
      </c>
      <c r="E128" s="102">
        <v>2020</v>
      </c>
      <c r="F128" s="102">
        <v>2020</v>
      </c>
      <c r="G128" s="137" t="s">
        <v>2480</v>
      </c>
      <c r="H128" s="32">
        <v>200</v>
      </c>
      <c r="I128" s="32">
        <v>200</v>
      </c>
      <c r="J128" s="62"/>
      <c r="K128" s="104"/>
      <c r="L128" s="105">
        <v>20201118</v>
      </c>
    </row>
    <row r="129" ht="16" customHeight="1" spans="1:12">
      <c r="A129" s="102">
        <v>127</v>
      </c>
      <c r="B129" s="102" t="s">
        <v>13533</v>
      </c>
      <c r="C129" s="32" t="s">
        <v>13659</v>
      </c>
      <c r="D129" s="32" t="str">
        <f>"152326197302177124"</f>
        <v>152326197302177124</v>
      </c>
      <c r="E129" s="102">
        <v>2020</v>
      </c>
      <c r="F129" s="102">
        <v>2020</v>
      </c>
      <c r="G129" s="137" t="s">
        <v>2480</v>
      </c>
      <c r="H129" s="32">
        <v>200</v>
      </c>
      <c r="I129" s="32">
        <v>200</v>
      </c>
      <c r="J129" s="32"/>
      <c r="K129" s="104"/>
      <c r="L129" s="105">
        <v>20201118</v>
      </c>
    </row>
    <row r="130" ht="16" customHeight="1" spans="1:12">
      <c r="A130" s="102">
        <v>128</v>
      </c>
      <c r="B130" s="102" t="s">
        <v>13533</v>
      </c>
      <c r="C130" s="32" t="s">
        <v>13660</v>
      </c>
      <c r="D130" s="32" t="str">
        <f>"152326197311097118"</f>
        <v>152326197311097118</v>
      </c>
      <c r="E130" s="102">
        <v>2020</v>
      </c>
      <c r="F130" s="102">
        <v>2020</v>
      </c>
      <c r="G130" s="137" t="s">
        <v>2480</v>
      </c>
      <c r="H130" s="32">
        <v>200</v>
      </c>
      <c r="I130" s="32">
        <v>200</v>
      </c>
      <c r="J130" s="62"/>
      <c r="K130" s="104"/>
      <c r="L130" s="105">
        <v>20201118</v>
      </c>
    </row>
    <row r="131" ht="16" customHeight="1" spans="1:12">
      <c r="A131" s="102">
        <v>129</v>
      </c>
      <c r="B131" s="102" t="s">
        <v>13533</v>
      </c>
      <c r="C131" s="32" t="s">
        <v>13661</v>
      </c>
      <c r="D131" s="32" t="str">
        <f>"152326197209207122"</f>
        <v>152326197209207122</v>
      </c>
      <c r="E131" s="102">
        <v>2020</v>
      </c>
      <c r="F131" s="102">
        <v>2020</v>
      </c>
      <c r="G131" s="137" t="s">
        <v>2480</v>
      </c>
      <c r="H131" s="32">
        <v>200</v>
      </c>
      <c r="I131" s="32">
        <v>200</v>
      </c>
      <c r="J131" s="62"/>
      <c r="K131" s="104"/>
      <c r="L131" s="105">
        <v>20201118</v>
      </c>
    </row>
    <row r="132" ht="16" customHeight="1" spans="1:12">
      <c r="A132" s="102">
        <v>130</v>
      </c>
      <c r="B132" s="102" t="s">
        <v>13533</v>
      </c>
      <c r="C132" s="32" t="s">
        <v>13662</v>
      </c>
      <c r="D132" s="32" t="str">
        <f>"152326197210067112"</f>
        <v>152326197210067112</v>
      </c>
      <c r="E132" s="102">
        <v>2020</v>
      </c>
      <c r="F132" s="102">
        <v>2020</v>
      </c>
      <c r="G132" s="137" t="s">
        <v>2480</v>
      </c>
      <c r="H132" s="32">
        <v>200</v>
      </c>
      <c r="I132" s="32">
        <v>200</v>
      </c>
      <c r="J132" s="62"/>
      <c r="K132" s="104"/>
      <c r="L132" s="105">
        <v>20201118</v>
      </c>
    </row>
    <row r="133" ht="16" customHeight="1" spans="1:12">
      <c r="A133" s="102">
        <v>131</v>
      </c>
      <c r="B133" s="102" t="s">
        <v>13533</v>
      </c>
      <c r="C133" s="32" t="s">
        <v>13663</v>
      </c>
      <c r="D133" s="32" t="s">
        <v>13664</v>
      </c>
      <c r="E133" s="102">
        <v>2020</v>
      </c>
      <c r="F133" s="102">
        <v>2020</v>
      </c>
      <c r="G133" s="137" t="s">
        <v>2480</v>
      </c>
      <c r="H133" s="32">
        <v>200</v>
      </c>
      <c r="I133" s="32">
        <v>200</v>
      </c>
      <c r="J133" s="32"/>
      <c r="K133" s="104"/>
      <c r="L133" s="105">
        <v>20201118</v>
      </c>
    </row>
    <row r="134" ht="16" customHeight="1" spans="1:12">
      <c r="A134" s="102">
        <v>132</v>
      </c>
      <c r="B134" s="102" t="s">
        <v>13533</v>
      </c>
      <c r="C134" s="32" t="s">
        <v>13665</v>
      </c>
      <c r="D134" s="32" t="str">
        <f>"152326197208067113"</f>
        <v>152326197208067113</v>
      </c>
      <c r="E134" s="102">
        <v>2020</v>
      </c>
      <c r="F134" s="102">
        <v>2020</v>
      </c>
      <c r="G134" s="137" t="s">
        <v>2480</v>
      </c>
      <c r="H134" s="32">
        <v>200</v>
      </c>
      <c r="I134" s="32">
        <v>200</v>
      </c>
      <c r="J134" s="32"/>
      <c r="K134" s="104"/>
      <c r="L134" s="105">
        <v>20201118</v>
      </c>
    </row>
    <row r="135" ht="16" customHeight="1" spans="1:12">
      <c r="A135" s="102">
        <v>133</v>
      </c>
      <c r="B135" s="102" t="s">
        <v>13533</v>
      </c>
      <c r="C135" s="32" t="s">
        <v>13666</v>
      </c>
      <c r="D135" s="32" t="str">
        <f>"152326197207047129"</f>
        <v>152326197207047129</v>
      </c>
      <c r="E135" s="102">
        <v>2020</v>
      </c>
      <c r="F135" s="102">
        <v>2020</v>
      </c>
      <c r="G135" s="137" t="s">
        <v>2480</v>
      </c>
      <c r="H135" s="32">
        <v>200</v>
      </c>
      <c r="I135" s="32">
        <v>200</v>
      </c>
      <c r="J135" s="62"/>
      <c r="K135" s="104"/>
      <c r="L135" s="105">
        <v>20201118</v>
      </c>
    </row>
    <row r="136" ht="16" customHeight="1" spans="1:12">
      <c r="A136" s="102">
        <v>134</v>
      </c>
      <c r="B136" s="102" t="s">
        <v>13533</v>
      </c>
      <c r="C136" s="32" t="s">
        <v>13667</v>
      </c>
      <c r="D136" s="32" t="str">
        <f>"152326197205277123"</f>
        <v>152326197205277123</v>
      </c>
      <c r="E136" s="102">
        <v>2020</v>
      </c>
      <c r="F136" s="102">
        <v>2020</v>
      </c>
      <c r="G136" s="137" t="s">
        <v>2480</v>
      </c>
      <c r="H136" s="32">
        <v>200</v>
      </c>
      <c r="I136" s="32">
        <v>200</v>
      </c>
      <c r="J136" s="62"/>
      <c r="K136" s="104"/>
      <c r="L136" s="105">
        <v>20201118</v>
      </c>
    </row>
    <row r="137" ht="16" customHeight="1" spans="1:12">
      <c r="A137" s="102">
        <v>135</v>
      </c>
      <c r="B137" s="102" t="s">
        <v>13533</v>
      </c>
      <c r="C137" s="32" t="s">
        <v>13668</v>
      </c>
      <c r="D137" s="32" t="str">
        <f>"152326197206077115"</f>
        <v>152326197206077115</v>
      </c>
      <c r="E137" s="102">
        <v>2020</v>
      </c>
      <c r="F137" s="102">
        <v>2020</v>
      </c>
      <c r="G137" s="137" t="s">
        <v>2480</v>
      </c>
      <c r="H137" s="32">
        <v>200</v>
      </c>
      <c r="I137" s="32">
        <v>200</v>
      </c>
      <c r="J137" s="62"/>
      <c r="K137" s="104"/>
      <c r="L137" s="105">
        <v>20201118</v>
      </c>
    </row>
    <row r="138" ht="16" customHeight="1" spans="1:12">
      <c r="A138" s="102">
        <v>136</v>
      </c>
      <c r="B138" s="102" t="s">
        <v>13533</v>
      </c>
      <c r="C138" s="32" t="s">
        <v>13669</v>
      </c>
      <c r="D138" s="32" t="str">
        <f>"152326197108247141"</f>
        <v>152326197108247141</v>
      </c>
      <c r="E138" s="102">
        <v>2020</v>
      </c>
      <c r="F138" s="102">
        <v>2020</v>
      </c>
      <c r="G138" s="137" t="s">
        <v>2480</v>
      </c>
      <c r="H138" s="32">
        <v>200</v>
      </c>
      <c r="I138" s="32">
        <v>200</v>
      </c>
      <c r="J138" s="62"/>
      <c r="K138" s="104"/>
      <c r="L138" s="105">
        <v>20201118</v>
      </c>
    </row>
    <row r="139" ht="16" customHeight="1" spans="1:12">
      <c r="A139" s="102">
        <v>137</v>
      </c>
      <c r="B139" s="102" t="s">
        <v>13533</v>
      </c>
      <c r="C139" s="32" t="s">
        <v>13670</v>
      </c>
      <c r="D139" s="32" t="s">
        <v>13671</v>
      </c>
      <c r="E139" s="102">
        <v>2020</v>
      </c>
      <c r="F139" s="102">
        <v>2020</v>
      </c>
      <c r="G139" s="137" t="s">
        <v>2480</v>
      </c>
      <c r="H139" s="32">
        <v>200</v>
      </c>
      <c r="I139" s="32">
        <v>200</v>
      </c>
      <c r="J139" s="62"/>
      <c r="K139" s="104"/>
      <c r="L139" s="105">
        <v>20201118</v>
      </c>
    </row>
    <row r="140" ht="16" customHeight="1" spans="1:12">
      <c r="A140" s="102">
        <v>138</v>
      </c>
      <c r="B140" s="102" t="s">
        <v>13533</v>
      </c>
      <c r="C140" s="32" t="s">
        <v>13160</v>
      </c>
      <c r="D140" s="32" t="str">
        <f>"152326197102107121"</f>
        <v>152326197102107121</v>
      </c>
      <c r="E140" s="102">
        <v>2020</v>
      </c>
      <c r="F140" s="102">
        <v>2020</v>
      </c>
      <c r="G140" s="137" t="s">
        <v>2480</v>
      </c>
      <c r="H140" s="32">
        <v>200</v>
      </c>
      <c r="I140" s="32">
        <v>200</v>
      </c>
      <c r="J140" s="32"/>
      <c r="K140" s="104"/>
      <c r="L140" s="105">
        <v>20201118</v>
      </c>
    </row>
    <row r="141" ht="16" customHeight="1" spans="1:12">
      <c r="A141" s="102">
        <v>139</v>
      </c>
      <c r="B141" s="102" t="s">
        <v>13533</v>
      </c>
      <c r="C141" s="32" t="s">
        <v>13672</v>
      </c>
      <c r="D141" s="32" t="str">
        <f>"152326197110187125"</f>
        <v>152326197110187125</v>
      </c>
      <c r="E141" s="102">
        <v>2020</v>
      </c>
      <c r="F141" s="102">
        <v>2020</v>
      </c>
      <c r="G141" s="137" t="s">
        <v>2480</v>
      </c>
      <c r="H141" s="32">
        <v>200</v>
      </c>
      <c r="I141" s="32">
        <v>200</v>
      </c>
      <c r="J141" s="62"/>
      <c r="K141" s="104"/>
      <c r="L141" s="105">
        <v>20201118</v>
      </c>
    </row>
    <row r="142" ht="16" customHeight="1" spans="1:12">
      <c r="A142" s="102">
        <v>140</v>
      </c>
      <c r="B142" s="102" t="s">
        <v>13533</v>
      </c>
      <c r="C142" s="32" t="s">
        <v>13673</v>
      </c>
      <c r="D142" s="32" t="str">
        <f>"152326197108227116"</f>
        <v>152326197108227116</v>
      </c>
      <c r="E142" s="102">
        <v>2020</v>
      </c>
      <c r="F142" s="102">
        <v>2020</v>
      </c>
      <c r="G142" s="137" t="s">
        <v>2480</v>
      </c>
      <c r="H142" s="32">
        <v>200</v>
      </c>
      <c r="I142" s="32">
        <v>200</v>
      </c>
      <c r="J142" s="32"/>
      <c r="K142" s="104"/>
      <c r="L142" s="105">
        <v>20201118</v>
      </c>
    </row>
    <row r="143" ht="16" customHeight="1" spans="1:12">
      <c r="A143" s="102">
        <v>141</v>
      </c>
      <c r="B143" s="102" t="s">
        <v>13533</v>
      </c>
      <c r="C143" s="32" t="s">
        <v>13674</v>
      </c>
      <c r="D143" s="32" t="s">
        <v>13675</v>
      </c>
      <c r="E143" s="102">
        <v>2020</v>
      </c>
      <c r="F143" s="102">
        <v>2020</v>
      </c>
      <c r="G143" s="137" t="s">
        <v>2480</v>
      </c>
      <c r="H143" s="32">
        <v>200</v>
      </c>
      <c r="I143" s="32">
        <v>200</v>
      </c>
      <c r="J143" s="62"/>
      <c r="K143" s="104"/>
      <c r="L143" s="105">
        <v>20201118</v>
      </c>
    </row>
    <row r="144" ht="16" customHeight="1" spans="1:12">
      <c r="A144" s="102">
        <v>142</v>
      </c>
      <c r="B144" s="102" t="s">
        <v>13533</v>
      </c>
      <c r="C144" s="32" t="s">
        <v>13676</v>
      </c>
      <c r="D144" s="32" t="str">
        <f>"152326197110297121"</f>
        <v>152326197110297121</v>
      </c>
      <c r="E144" s="102">
        <v>2020</v>
      </c>
      <c r="F144" s="102">
        <v>2020</v>
      </c>
      <c r="G144" s="137" t="s">
        <v>2480</v>
      </c>
      <c r="H144" s="32">
        <v>200</v>
      </c>
      <c r="I144" s="32">
        <v>200</v>
      </c>
      <c r="J144" s="62"/>
      <c r="K144" s="104"/>
      <c r="L144" s="105">
        <v>20201118</v>
      </c>
    </row>
    <row r="145" ht="16" customHeight="1" spans="1:12">
      <c r="A145" s="102">
        <v>143</v>
      </c>
      <c r="B145" s="102" t="s">
        <v>13533</v>
      </c>
      <c r="C145" s="32" t="s">
        <v>13677</v>
      </c>
      <c r="D145" s="32" t="str">
        <f>"152326197104197140"</f>
        <v>152326197104197140</v>
      </c>
      <c r="E145" s="102">
        <v>2020</v>
      </c>
      <c r="F145" s="102">
        <v>2020</v>
      </c>
      <c r="G145" s="137" t="s">
        <v>2480</v>
      </c>
      <c r="H145" s="32">
        <v>200</v>
      </c>
      <c r="I145" s="32">
        <v>200</v>
      </c>
      <c r="J145" s="62"/>
      <c r="K145" s="104"/>
      <c r="L145" s="105">
        <v>20201118</v>
      </c>
    </row>
    <row r="146" ht="16" customHeight="1" spans="1:12">
      <c r="A146" s="102">
        <v>144</v>
      </c>
      <c r="B146" s="102" t="s">
        <v>13533</v>
      </c>
      <c r="C146" s="32" t="s">
        <v>13678</v>
      </c>
      <c r="D146" s="32" t="str">
        <f>"152326197103177113"</f>
        <v>152326197103177113</v>
      </c>
      <c r="E146" s="102">
        <v>2020</v>
      </c>
      <c r="F146" s="102">
        <v>2020</v>
      </c>
      <c r="G146" s="137" t="s">
        <v>2480</v>
      </c>
      <c r="H146" s="32">
        <v>200</v>
      </c>
      <c r="I146" s="32">
        <v>200</v>
      </c>
      <c r="J146" s="32"/>
      <c r="K146" s="104"/>
      <c r="L146" s="105">
        <v>20201118</v>
      </c>
    </row>
    <row r="147" ht="16" customHeight="1" spans="1:12">
      <c r="A147" s="102">
        <v>145</v>
      </c>
      <c r="B147" s="102" t="s">
        <v>13533</v>
      </c>
      <c r="C147" s="32" t="s">
        <v>13679</v>
      </c>
      <c r="D147" s="32" t="str">
        <f>"152326197111097113"</f>
        <v>152326197111097113</v>
      </c>
      <c r="E147" s="102">
        <v>2020</v>
      </c>
      <c r="F147" s="102">
        <v>2020</v>
      </c>
      <c r="G147" s="137" t="s">
        <v>2480</v>
      </c>
      <c r="H147" s="32">
        <v>200</v>
      </c>
      <c r="I147" s="32">
        <v>200</v>
      </c>
      <c r="J147" s="62"/>
      <c r="K147" s="104"/>
      <c r="L147" s="105">
        <v>20201118</v>
      </c>
    </row>
    <row r="148" ht="16" customHeight="1" spans="1:12">
      <c r="A148" s="102">
        <v>146</v>
      </c>
      <c r="B148" s="102" t="s">
        <v>13533</v>
      </c>
      <c r="C148" s="32" t="s">
        <v>13680</v>
      </c>
      <c r="D148" s="32" t="str">
        <f>"152326197105117114"</f>
        <v>152326197105117114</v>
      </c>
      <c r="E148" s="102">
        <v>2020</v>
      </c>
      <c r="F148" s="102">
        <v>2020</v>
      </c>
      <c r="G148" s="137" t="s">
        <v>2480</v>
      </c>
      <c r="H148" s="32">
        <v>200</v>
      </c>
      <c r="I148" s="32">
        <v>200</v>
      </c>
      <c r="J148" s="32"/>
      <c r="K148" s="104"/>
      <c r="L148" s="105">
        <v>20201118</v>
      </c>
    </row>
    <row r="149" ht="16" customHeight="1" spans="1:12">
      <c r="A149" s="102">
        <v>147</v>
      </c>
      <c r="B149" s="102" t="s">
        <v>13533</v>
      </c>
      <c r="C149" s="32" t="s">
        <v>13681</v>
      </c>
      <c r="D149" s="32" t="str">
        <f>"152326197110077110"</f>
        <v>152326197110077110</v>
      </c>
      <c r="E149" s="102">
        <v>2020</v>
      </c>
      <c r="F149" s="102">
        <v>2020</v>
      </c>
      <c r="G149" s="137" t="s">
        <v>2480</v>
      </c>
      <c r="H149" s="32">
        <v>200</v>
      </c>
      <c r="I149" s="32">
        <v>200</v>
      </c>
      <c r="J149" s="32"/>
      <c r="K149" s="104"/>
      <c r="L149" s="105">
        <v>20201118</v>
      </c>
    </row>
    <row r="150" ht="16" customHeight="1" spans="1:12">
      <c r="A150" s="102">
        <v>148</v>
      </c>
      <c r="B150" s="102" t="s">
        <v>13533</v>
      </c>
      <c r="C150" s="32" t="s">
        <v>13682</v>
      </c>
      <c r="D150" s="32" t="str">
        <f>"152326197109147118"</f>
        <v>152326197109147118</v>
      </c>
      <c r="E150" s="102">
        <v>2020</v>
      </c>
      <c r="F150" s="102">
        <v>2020</v>
      </c>
      <c r="G150" s="137" t="s">
        <v>2480</v>
      </c>
      <c r="H150" s="32">
        <v>200</v>
      </c>
      <c r="I150" s="32">
        <v>200</v>
      </c>
      <c r="J150" s="32"/>
      <c r="K150" s="104"/>
      <c r="L150" s="105">
        <v>20201118</v>
      </c>
    </row>
    <row r="151" ht="16" customHeight="1" spans="1:12">
      <c r="A151" s="102">
        <v>149</v>
      </c>
      <c r="B151" s="102" t="s">
        <v>13533</v>
      </c>
      <c r="C151" s="32" t="s">
        <v>13683</v>
      </c>
      <c r="D151" s="32" t="str">
        <f>"152326197009187120"</f>
        <v>152326197009187120</v>
      </c>
      <c r="E151" s="102">
        <v>2020</v>
      </c>
      <c r="F151" s="102">
        <v>2020</v>
      </c>
      <c r="G151" s="137" t="s">
        <v>2480</v>
      </c>
      <c r="H151" s="32">
        <v>200</v>
      </c>
      <c r="I151" s="32">
        <v>200</v>
      </c>
      <c r="J151" s="62"/>
      <c r="K151" s="104"/>
      <c r="L151" s="105">
        <v>20201118</v>
      </c>
    </row>
    <row r="152" ht="16" customHeight="1" spans="1:12">
      <c r="A152" s="102">
        <v>150</v>
      </c>
      <c r="B152" s="102" t="s">
        <v>13533</v>
      </c>
      <c r="C152" s="32" t="s">
        <v>13684</v>
      </c>
      <c r="D152" s="32" t="str">
        <f>"152326197002237121"</f>
        <v>152326197002237121</v>
      </c>
      <c r="E152" s="102">
        <v>2020</v>
      </c>
      <c r="F152" s="102">
        <v>2020</v>
      </c>
      <c r="G152" s="137" t="s">
        <v>2480</v>
      </c>
      <c r="H152" s="32">
        <v>1000</v>
      </c>
      <c r="I152" s="32">
        <v>1000</v>
      </c>
      <c r="J152" s="62"/>
      <c r="K152" s="104"/>
      <c r="L152" s="105">
        <v>20201118</v>
      </c>
    </row>
    <row r="153" ht="16" customHeight="1" spans="1:12">
      <c r="A153" s="102">
        <v>151</v>
      </c>
      <c r="B153" s="102" t="s">
        <v>13533</v>
      </c>
      <c r="C153" s="32" t="s">
        <v>13685</v>
      </c>
      <c r="D153" s="32" t="str">
        <f>"152326197011137149"</f>
        <v>152326197011137149</v>
      </c>
      <c r="E153" s="102">
        <v>2020</v>
      </c>
      <c r="F153" s="102">
        <v>2020</v>
      </c>
      <c r="G153" s="137" t="s">
        <v>2480</v>
      </c>
      <c r="H153" s="32">
        <v>200</v>
      </c>
      <c r="I153" s="32">
        <v>200</v>
      </c>
      <c r="J153" s="32"/>
      <c r="K153" s="104"/>
      <c r="L153" s="105">
        <v>20201118</v>
      </c>
    </row>
    <row r="154" ht="16" customHeight="1" spans="1:12">
      <c r="A154" s="102">
        <v>152</v>
      </c>
      <c r="B154" s="102" t="s">
        <v>13533</v>
      </c>
      <c r="C154" s="32" t="s">
        <v>13686</v>
      </c>
      <c r="D154" s="32" t="str">
        <f>"152326197005127171"</f>
        <v>152326197005127171</v>
      </c>
      <c r="E154" s="102">
        <v>2020</v>
      </c>
      <c r="F154" s="102">
        <v>2020</v>
      </c>
      <c r="G154" s="137" t="s">
        <v>2480</v>
      </c>
      <c r="H154" s="32">
        <v>200</v>
      </c>
      <c r="I154" s="32">
        <v>200</v>
      </c>
      <c r="J154" s="32"/>
      <c r="K154" s="104"/>
      <c r="L154" s="105">
        <v>20201118</v>
      </c>
    </row>
    <row r="155" ht="16" customHeight="1" spans="1:12">
      <c r="A155" s="102">
        <v>153</v>
      </c>
      <c r="B155" s="102" t="s">
        <v>13533</v>
      </c>
      <c r="C155" s="32" t="s">
        <v>13687</v>
      </c>
      <c r="D155" s="32" t="s">
        <v>13688</v>
      </c>
      <c r="E155" s="102">
        <v>2020</v>
      </c>
      <c r="F155" s="102">
        <v>2020</v>
      </c>
      <c r="G155" s="137" t="s">
        <v>2480</v>
      </c>
      <c r="H155" s="32">
        <v>7000</v>
      </c>
      <c r="I155" s="32">
        <v>7000</v>
      </c>
      <c r="J155" s="32"/>
      <c r="K155" s="104"/>
      <c r="L155" s="105">
        <v>20201118</v>
      </c>
    </row>
    <row r="156" ht="16" customHeight="1" spans="1:12">
      <c r="A156" s="102">
        <v>154</v>
      </c>
      <c r="B156" s="102" t="s">
        <v>13533</v>
      </c>
      <c r="C156" s="32" t="s">
        <v>2151</v>
      </c>
      <c r="D156" s="32" t="str">
        <f>"152326197005197129"</f>
        <v>152326197005197129</v>
      </c>
      <c r="E156" s="102">
        <v>2020</v>
      </c>
      <c r="F156" s="102">
        <v>2020</v>
      </c>
      <c r="G156" s="137" t="s">
        <v>2480</v>
      </c>
      <c r="H156" s="32">
        <v>200</v>
      </c>
      <c r="I156" s="32">
        <v>200</v>
      </c>
      <c r="J156" s="32"/>
      <c r="K156" s="104"/>
      <c r="L156" s="105">
        <v>20201118</v>
      </c>
    </row>
    <row r="157" ht="16" customHeight="1" spans="1:12">
      <c r="A157" s="102">
        <v>155</v>
      </c>
      <c r="B157" s="102" t="s">
        <v>13533</v>
      </c>
      <c r="C157" s="32" t="s">
        <v>13689</v>
      </c>
      <c r="D157" s="32" t="str">
        <f>"152326197009257176"</f>
        <v>152326197009257176</v>
      </c>
      <c r="E157" s="102">
        <v>2020</v>
      </c>
      <c r="F157" s="102">
        <v>2020</v>
      </c>
      <c r="G157" s="137" t="s">
        <v>2480</v>
      </c>
      <c r="H157" s="32">
        <v>200</v>
      </c>
      <c r="I157" s="32">
        <v>200</v>
      </c>
      <c r="J157" s="32"/>
      <c r="K157" s="104"/>
      <c r="L157" s="105">
        <v>20201118</v>
      </c>
    </row>
    <row r="158" ht="16" customHeight="1" spans="1:12">
      <c r="A158" s="102">
        <v>156</v>
      </c>
      <c r="B158" s="102" t="s">
        <v>13533</v>
      </c>
      <c r="C158" s="32" t="s">
        <v>13690</v>
      </c>
      <c r="D158" s="32" t="str">
        <f>"152326197001127115"</f>
        <v>152326197001127115</v>
      </c>
      <c r="E158" s="102">
        <v>2020</v>
      </c>
      <c r="F158" s="102">
        <v>2020</v>
      </c>
      <c r="G158" s="137" t="s">
        <v>2480</v>
      </c>
      <c r="H158" s="32">
        <v>200</v>
      </c>
      <c r="I158" s="32">
        <v>200</v>
      </c>
      <c r="J158" s="62"/>
      <c r="K158" s="104"/>
      <c r="L158" s="105">
        <v>20201118</v>
      </c>
    </row>
    <row r="159" ht="16" customHeight="1" spans="1:12">
      <c r="A159" s="102">
        <v>157</v>
      </c>
      <c r="B159" s="102" t="s">
        <v>13533</v>
      </c>
      <c r="C159" s="32" t="s">
        <v>13691</v>
      </c>
      <c r="D159" s="32" t="str">
        <f>"152326197012107128"</f>
        <v>152326197012107128</v>
      </c>
      <c r="E159" s="102">
        <v>2020</v>
      </c>
      <c r="F159" s="102">
        <v>2020</v>
      </c>
      <c r="G159" s="137" t="s">
        <v>2480</v>
      </c>
      <c r="H159" s="32">
        <v>200</v>
      </c>
      <c r="I159" s="32">
        <v>200</v>
      </c>
      <c r="J159" s="32"/>
      <c r="K159" s="104"/>
      <c r="L159" s="105">
        <v>20201118</v>
      </c>
    </row>
    <row r="160" ht="16" customHeight="1" spans="1:12">
      <c r="A160" s="102">
        <v>158</v>
      </c>
      <c r="B160" s="102" t="s">
        <v>13533</v>
      </c>
      <c r="C160" s="32" t="s">
        <v>4020</v>
      </c>
      <c r="D160" s="32" t="str">
        <f>"152326197012217124"</f>
        <v>152326197012217124</v>
      </c>
      <c r="E160" s="102">
        <v>2020</v>
      </c>
      <c r="F160" s="102">
        <v>2020</v>
      </c>
      <c r="G160" s="137" t="s">
        <v>2480</v>
      </c>
      <c r="H160" s="32">
        <v>200</v>
      </c>
      <c r="I160" s="32">
        <v>200</v>
      </c>
      <c r="J160" s="62"/>
      <c r="K160" s="104"/>
      <c r="L160" s="105">
        <v>20201118</v>
      </c>
    </row>
    <row r="161" ht="16" customHeight="1" spans="1:12">
      <c r="A161" s="102">
        <v>159</v>
      </c>
      <c r="B161" s="102" t="s">
        <v>13533</v>
      </c>
      <c r="C161" s="32" t="s">
        <v>13692</v>
      </c>
      <c r="D161" s="32" t="s">
        <v>13693</v>
      </c>
      <c r="E161" s="102">
        <v>2020</v>
      </c>
      <c r="F161" s="102">
        <v>2020</v>
      </c>
      <c r="G161" s="137" t="s">
        <v>2480</v>
      </c>
      <c r="H161" s="32">
        <v>200</v>
      </c>
      <c r="I161" s="32">
        <v>200</v>
      </c>
      <c r="J161" s="32"/>
      <c r="K161" s="104"/>
      <c r="L161" s="105">
        <v>20201118</v>
      </c>
    </row>
    <row r="162" ht="16" customHeight="1" spans="1:12">
      <c r="A162" s="102">
        <v>160</v>
      </c>
      <c r="B162" s="102" t="s">
        <v>13533</v>
      </c>
      <c r="C162" s="32" t="s">
        <v>13694</v>
      </c>
      <c r="D162" s="32" t="str">
        <f>"152326197002177114"</f>
        <v>152326197002177114</v>
      </c>
      <c r="E162" s="102">
        <v>2020</v>
      </c>
      <c r="F162" s="102">
        <v>2020</v>
      </c>
      <c r="G162" s="137" t="s">
        <v>2480</v>
      </c>
      <c r="H162" s="32">
        <v>200</v>
      </c>
      <c r="I162" s="32">
        <v>200</v>
      </c>
      <c r="J162" s="62"/>
      <c r="K162" s="104"/>
      <c r="L162" s="105">
        <v>20201118</v>
      </c>
    </row>
    <row r="163" ht="16" customHeight="1" spans="1:12">
      <c r="A163" s="102">
        <v>161</v>
      </c>
      <c r="B163" s="102" t="s">
        <v>13533</v>
      </c>
      <c r="C163" s="32" t="s">
        <v>13695</v>
      </c>
      <c r="D163" s="32" t="str">
        <f>"152326196901247126"</f>
        <v>152326196901247126</v>
      </c>
      <c r="E163" s="102">
        <v>2020</v>
      </c>
      <c r="F163" s="102">
        <v>2020</v>
      </c>
      <c r="G163" s="137" t="s">
        <v>2480</v>
      </c>
      <c r="H163" s="32">
        <v>7000</v>
      </c>
      <c r="I163" s="32">
        <v>7000</v>
      </c>
      <c r="J163" s="62"/>
      <c r="K163" s="104"/>
      <c r="L163" s="105">
        <v>20201118</v>
      </c>
    </row>
    <row r="164" ht="16" customHeight="1" spans="1:12">
      <c r="A164" s="102">
        <v>162</v>
      </c>
      <c r="B164" s="102" t="s">
        <v>13533</v>
      </c>
      <c r="C164" s="32" t="s">
        <v>3888</v>
      </c>
      <c r="D164" s="32" t="str">
        <f>"152326196906297122"</f>
        <v>152326196906297122</v>
      </c>
      <c r="E164" s="102">
        <v>2020</v>
      </c>
      <c r="F164" s="102">
        <v>2020</v>
      </c>
      <c r="G164" s="137" t="s">
        <v>2480</v>
      </c>
      <c r="H164" s="32">
        <v>1000</v>
      </c>
      <c r="I164" s="32">
        <v>1000</v>
      </c>
      <c r="J164" s="62"/>
      <c r="K164" s="104"/>
      <c r="L164" s="105">
        <v>20201118</v>
      </c>
    </row>
    <row r="165" ht="16" customHeight="1" spans="1:12">
      <c r="A165" s="102">
        <v>163</v>
      </c>
      <c r="B165" s="102" t="s">
        <v>13533</v>
      </c>
      <c r="C165" s="32" t="s">
        <v>13696</v>
      </c>
      <c r="D165" s="32" t="str">
        <f>"152326196910207126"</f>
        <v>152326196910207126</v>
      </c>
      <c r="E165" s="102">
        <v>2020</v>
      </c>
      <c r="F165" s="102">
        <v>2020</v>
      </c>
      <c r="G165" s="137" t="s">
        <v>2480</v>
      </c>
      <c r="H165" s="32">
        <v>200</v>
      </c>
      <c r="I165" s="32">
        <v>200</v>
      </c>
      <c r="J165" s="32"/>
      <c r="K165" s="104"/>
      <c r="L165" s="105">
        <v>20201118</v>
      </c>
    </row>
    <row r="166" ht="16" customHeight="1" spans="1:12">
      <c r="A166" s="102">
        <v>164</v>
      </c>
      <c r="B166" s="102" t="s">
        <v>13533</v>
      </c>
      <c r="C166" s="32" t="s">
        <v>13697</v>
      </c>
      <c r="D166" s="32" t="str">
        <f>"152326196911127179"</f>
        <v>152326196911127179</v>
      </c>
      <c r="E166" s="102">
        <v>2020</v>
      </c>
      <c r="F166" s="102">
        <v>2020</v>
      </c>
      <c r="G166" s="137" t="s">
        <v>2480</v>
      </c>
      <c r="H166" s="32">
        <v>200</v>
      </c>
      <c r="I166" s="32">
        <v>200</v>
      </c>
      <c r="J166" s="32"/>
      <c r="K166" s="104"/>
      <c r="L166" s="105">
        <v>20201118</v>
      </c>
    </row>
    <row r="167" ht="16" customHeight="1" spans="1:12">
      <c r="A167" s="102">
        <v>165</v>
      </c>
      <c r="B167" s="102" t="s">
        <v>13533</v>
      </c>
      <c r="C167" s="32" t="s">
        <v>13698</v>
      </c>
      <c r="D167" s="32" t="str">
        <f>"152326196904077126"</f>
        <v>152326196904077126</v>
      </c>
      <c r="E167" s="102">
        <v>2020</v>
      </c>
      <c r="F167" s="102">
        <v>2020</v>
      </c>
      <c r="G167" s="137" t="s">
        <v>2480</v>
      </c>
      <c r="H167" s="32">
        <v>200</v>
      </c>
      <c r="I167" s="32">
        <v>200</v>
      </c>
      <c r="J167" s="62"/>
      <c r="K167" s="104"/>
      <c r="L167" s="105">
        <v>20201118</v>
      </c>
    </row>
    <row r="168" ht="16" customHeight="1" spans="1:12">
      <c r="A168" s="102">
        <v>166</v>
      </c>
      <c r="B168" s="102" t="s">
        <v>13533</v>
      </c>
      <c r="C168" s="32" t="s">
        <v>13699</v>
      </c>
      <c r="D168" s="32" t="s">
        <v>13700</v>
      </c>
      <c r="E168" s="102">
        <v>2020</v>
      </c>
      <c r="F168" s="102">
        <v>2020</v>
      </c>
      <c r="G168" s="137" t="s">
        <v>2480</v>
      </c>
      <c r="H168" s="32">
        <v>200</v>
      </c>
      <c r="I168" s="32">
        <v>200</v>
      </c>
      <c r="J168" s="62"/>
      <c r="K168" s="104"/>
      <c r="L168" s="105">
        <v>20201118</v>
      </c>
    </row>
    <row r="169" ht="16" customHeight="1" spans="1:12">
      <c r="A169" s="102">
        <v>167</v>
      </c>
      <c r="B169" s="102" t="s">
        <v>13533</v>
      </c>
      <c r="C169" s="32" t="s">
        <v>13701</v>
      </c>
      <c r="D169" s="32" t="str">
        <f>"152326196903197126"</f>
        <v>152326196903197126</v>
      </c>
      <c r="E169" s="102">
        <v>2020</v>
      </c>
      <c r="F169" s="102">
        <v>2020</v>
      </c>
      <c r="G169" s="137" t="s">
        <v>2480</v>
      </c>
      <c r="H169" s="32">
        <v>200</v>
      </c>
      <c r="I169" s="32">
        <v>200</v>
      </c>
      <c r="J169" s="62"/>
      <c r="K169" s="104"/>
      <c r="L169" s="105">
        <v>20201118</v>
      </c>
    </row>
    <row r="170" ht="16" customHeight="1" spans="1:12">
      <c r="A170" s="102">
        <v>168</v>
      </c>
      <c r="B170" s="102" t="s">
        <v>13533</v>
      </c>
      <c r="C170" s="32" t="s">
        <v>13702</v>
      </c>
      <c r="D170" s="32" t="str">
        <f>"152326196905037126"</f>
        <v>152326196905037126</v>
      </c>
      <c r="E170" s="102">
        <v>2020</v>
      </c>
      <c r="F170" s="102">
        <v>2020</v>
      </c>
      <c r="G170" s="137" t="s">
        <v>2480</v>
      </c>
      <c r="H170" s="32">
        <v>200</v>
      </c>
      <c r="I170" s="32">
        <v>200</v>
      </c>
      <c r="J170" s="32"/>
      <c r="K170" s="104"/>
      <c r="L170" s="105">
        <v>20201118</v>
      </c>
    </row>
    <row r="171" ht="16" customHeight="1" spans="1:12">
      <c r="A171" s="102">
        <v>169</v>
      </c>
      <c r="B171" s="102" t="s">
        <v>13533</v>
      </c>
      <c r="C171" s="32" t="s">
        <v>13703</v>
      </c>
      <c r="D171" s="32" t="str">
        <f>"152326196909027128"</f>
        <v>152326196909027128</v>
      </c>
      <c r="E171" s="102">
        <v>2020</v>
      </c>
      <c r="F171" s="102">
        <v>2020</v>
      </c>
      <c r="G171" s="137" t="s">
        <v>2480</v>
      </c>
      <c r="H171" s="32">
        <v>200</v>
      </c>
      <c r="I171" s="32">
        <v>200</v>
      </c>
      <c r="J171" s="62"/>
      <c r="K171" s="104"/>
      <c r="L171" s="105">
        <v>20201118</v>
      </c>
    </row>
    <row r="172" ht="16" customHeight="1" spans="1:12">
      <c r="A172" s="102">
        <v>170</v>
      </c>
      <c r="B172" s="102" t="s">
        <v>13533</v>
      </c>
      <c r="C172" s="32" t="s">
        <v>13704</v>
      </c>
      <c r="D172" s="32" t="str">
        <f>"152326196912237126"</f>
        <v>152326196912237126</v>
      </c>
      <c r="E172" s="102">
        <v>2020</v>
      </c>
      <c r="F172" s="102">
        <v>2020</v>
      </c>
      <c r="G172" s="137" t="s">
        <v>2480</v>
      </c>
      <c r="H172" s="32">
        <v>200</v>
      </c>
      <c r="I172" s="32">
        <v>200</v>
      </c>
      <c r="J172" s="62"/>
      <c r="K172" s="104"/>
      <c r="L172" s="105">
        <v>20201118</v>
      </c>
    </row>
    <row r="173" ht="16" customHeight="1" spans="1:12">
      <c r="A173" s="102">
        <v>171</v>
      </c>
      <c r="B173" s="102" t="s">
        <v>13533</v>
      </c>
      <c r="C173" s="32" t="s">
        <v>13705</v>
      </c>
      <c r="D173" s="32" t="str">
        <f>"152326196911147110"</f>
        <v>152326196911147110</v>
      </c>
      <c r="E173" s="102">
        <v>2020</v>
      </c>
      <c r="F173" s="102">
        <v>2020</v>
      </c>
      <c r="G173" s="137" t="s">
        <v>2480</v>
      </c>
      <c r="H173" s="32">
        <v>200</v>
      </c>
      <c r="I173" s="32">
        <v>200</v>
      </c>
      <c r="J173" s="62"/>
      <c r="K173" s="104"/>
      <c r="L173" s="105">
        <v>20201118</v>
      </c>
    </row>
    <row r="174" ht="16" customHeight="1" spans="1:12">
      <c r="A174" s="102">
        <v>172</v>
      </c>
      <c r="B174" s="102" t="s">
        <v>13533</v>
      </c>
      <c r="C174" s="32" t="s">
        <v>13706</v>
      </c>
      <c r="D174" s="32" t="str">
        <f>"152326196902037139"</f>
        <v>152326196902037139</v>
      </c>
      <c r="E174" s="102">
        <v>2020</v>
      </c>
      <c r="F174" s="102">
        <v>2020</v>
      </c>
      <c r="G174" s="137" t="s">
        <v>2480</v>
      </c>
      <c r="H174" s="32">
        <v>200</v>
      </c>
      <c r="I174" s="32">
        <v>200</v>
      </c>
      <c r="J174" s="32"/>
      <c r="K174" s="104"/>
      <c r="L174" s="105">
        <v>20201118</v>
      </c>
    </row>
    <row r="175" ht="16" customHeight="1" spans="1:12">
      <c r="A175" s="102">
        <v>173</v>
      </c>
      <c r="B175" s="102" t="s">
        <v>13533</v>
      </c>
      <c r="C175" s="32" t="s">
        <v>2168</v>
      </c>
      <c r="D175" s="32" t="str">
        <f>"152326196910027117"</f>
        <v>152326196910027117</v>
      </c>
      <c r="E175" s="102">
        <v>2020</v>
      </c>
      <c r="F175" s="102">
        <v>2020</v>
      </c>
      <c r="G175" s="137" t="s">
        <v>2480</v>
      </c>
      <c r="H175" s="32">
        <v>1000</v>
      </c>
      <c r="I175" s="32">
        <v>1000</v>
      </c>
      <c r="J175" s="62"/>
      <c r="K175" s="104"/>
      <c r="L175" s="105">
        <v>20201118</v>
      </c>
    </row>
    <row r="176" ht="16" customHeight="1" spans="1:12">
      <c r="A176" s="102">
        <v>174</v>
      </c>
      <c r="B176" s="102" t="s">
        <v>13533</v>
      </c>
      <c r="C176" s="32" t="s">
        <v>13707</v>
      </c>
      <c r="D176" s="32" t="str">
        <f>"152326196902237114"</f>
        <v>152326196902237114</v>
      </c>
      <c r="E176" s="102">
        <v>2020</v>
      </c>
      <c r="F176" s="102">
        <v>2020</v>
      </c>
      <c r="G176" s="137" t="s">
        <v>2480</v>
      </c>
      <c r="H176" s="32">
        <v>200</v>
      </c>
      <c r="I176" s="32">
        <v>200</v>
      </c>
      <c r="J176" s="32"/>
      <c r="K176" s="104"/>
      <c r="L176" s="105">
        <v>20201118</v>
      </c>
    </row>
    <row r="177" ht="16" customHeight="1" spans="1:12">
      <c r="A177" s="102">
        <v>175</v>
      </c>
      <c r="B177" s="102" t="s">
        <v>13533</v>
      </c>
      <c r="C177" s="32" t="s">
        <v>13708</v>
      </c>
      <c r="D177" s="32" t="str">
        <f>"152326196910207118"</f>
        <v>152326196910207118</v>
      </c>
      <c r="E177" s="102">
        <v>2020</v>
      </c>
      <c r="F177" s="102">
        <v>2020</v>
      </c>
      <c r="G177" s="137" t="s">
        <v>2480</v>
      </c>
      <c r="H177" s="32">
        <v>200</v>
      </c>
      <c r="I177" s="32">
        <v>200</v>
      </c>
      <c r="J177" s="62"/>
      <c r="K177" s="104"/>
      <c r="L177" s="105">
        <v>20201118</v>
      </c>
    </row>
    <row r="178" ht="16" customHeight="1" spans="1:12">
      <c r="A178" s="102">
        <v>176</v>
      </c>
      <c r="B178" s="102" t="s">
        <v>13533</v>
      </c>
      <c r="C178" s="32" t="s">
        <v>13709</v>
      </c>
      <c r="D178" s="32" t="str">
        <f>"152326196911117114"</f>
        <v>152326196911117114</v>
      </c>
      <c r="E178" s="102">
        <v>2020</v>
      </c>
      <c r="F178" s="102">
        <v>2020</v>
      </c>
      <c r="G178" s="137" t="s">
        <v>2480</v>
      </c>
      <c r="H178" s="32">
        <v>200</v>
      </c>
      <c r="I178" s="32">
        <v>200</v>
      </c>
      <c r="J178" s="62"/>
      <c r="K178" s="104"/>
      <c r="L178" s="105">
        <v>20201118</v>
      </c>
    </row>
    <row r="179" ht="16" customHeight="1" spans="1:12">
      <c r="A179" s="102">
        <v>177</v>
      </c>
      <c r="B179" s="102" t="s">
        <v>13533</v>
      </c>
      <c r="C179" s="32" t="s">
        <v>13710</v>
      </c>
      <c r="D179" s="32" t="str">
        <f>"152326196910167128"</f>
        <v>152326196910167128</v>
      </c>
      <c r="E179" s="102">
        <v>2020</v>
      </c>
      <c r="F179" s="102">
        <v>2020</v>
      </c>
      <c r="G179" s="137" t="s">
        <v>2480</v>
      </c>
      <c r="H179" s="32">
        <v>200</v>
      </c>
      <c r="I179" s="32">
        <v>200</v>
      </c>
      <c r="J179" s="32"/>
      <c r="K179" s="104"/>
      <c r="L179" s="105">
        <v>20201118</v>
      </c>
    </row>
    <row r="180" ht="16" customHeight="1" spans="1:12">
      <c r="A180" s="102">
        <v>178</v>
      </c>
      <c r="B180" s="102" t="s">
        <v>13533</v>
      </c>
      <c r="C180" s="32" t="s">
        <v>13711</v>
      </c>
      <c r="D180" s="32" t="str">
        <f>"152326196810017149"</f>
        <v>152326196810017149</v>
      </c>
      <c r="E180" s="102">
        <v>2020</v>
      </c>
      <c r="F180" s="102">
        <v>2020</v>
      </c>
      <c r="G180" s="137" t="s">
        <v>2480</v>
      </c>
      <c r="H180" s="32">
        <v>200</v>
      </c>
      <c r="I180" s="32">
        <v>200</v>
      </c>
      <c r="J180" s="62"/>
      <c r="K180" s="104"/>
      <c r="L180" s="105">
        <v>20201118</v>
      </c>
    </row>
    <row r="181" ht="16" customHeight="1" spans="1:12">
      <c r="A181" s="102">
        <v>179</v>
      </c>
      <c r="B181" s="102" t="s">
        <v>13533</v>
      </c>
      <c r="C181" s="32" t="s">
        <v>13712</v>
      </c>
      <c r="D181" s="32" t="str">
        <f>"152326196811207120"</f>
        <v>152326196811207120</v>
      </c>
      <c r="E181" s="102">
        <v>2020</v>
      </c>
      <c r="F181" s="102">
        <v>2020</v>
      </c>
      <c r="G181" s="137" t="s">
        <v>2480</v>
      </c>
      <c r="H181" s="32">
        <v>200</v>
      </c>
      <c r="I181" s="32">
        <v>200</v>
      </c>
      <c r="J181" s="32"/>
      <c r="K181" s="104"/>
      <c r="L181" s="105">
        <v>20201118</v>
      </c>
    </row>
    <row r="182" ht="16" customHeight="1" spans="1:12">
      <c r="A182" s="102">
        <v>180</v>
      </c>
      <c r="B182" s="102" t="s">
        <v>13533</v>
      </c>
      <c r="C182" s="32" t="s">
        <v>1752</v>
      </c>
      <c r="D182" s="32" t="str">
        <f>"152326196803307121"</f>
        <v>152326196803307121</v>
      </c>
      <c r="E182" s="102">
        <v>2020</v>
      </c>
      <c r="F182" s="102">
        <v>2020</v>
      </c>
      <c r="G182" s="137" t="s">
        <v>2480</v>
      </c>
      <c r="H182" s="32">
        <v>200</v>
      </c>
      <c r="I182" s="32">
        <v>200</v>
      </c>
      <c r="J182" s="62"/>
      <c r="K182" s="104"/>
      <c r="L182" s="105">
        <v>20201118</v>
      </c>
    </row>
    <row r="183" ht="16" customHeight="1" spans="1:12">
      <c r="A183" s="102">
        <v>181</v>
      </c>
      <c r="B183" s="102" t="s">
        <v>13533</v>
      </c>
      <c r="C183" s="32" t="s">
        <v>13713</v>
      </c>
      <c r="D183" s="32" t="str">
        <f>"152326196810287114"</f>
        <v>152326196810287114</v>
      </c>
      <c r="E183" s="102">
        <v>2020</v>
      </c>
      <c r="F183" s="102">
        <v>2020</v>
      </c>
      <c r="G183" s="137" t="s">
        <v>2480</v>
      </c>
      <c r="H183" s="32">
        <v>200</v>
      </c>
      <c r="I183" s="32">
        <v>200</v>
      </c>
      <c r="J183" s="32"/>
      <c r="K183" s="104"/>
      <c r="L183" s="105">
        <v>20201118</v>
      </c>
    </row>
    <row r="184" ht="16" customHeight="1" spans="1:12">
      <c r="A184" s="102">
        <v>182</v>
      </c>
      <c r="B184" s="102" t="s">
        <v>13533</v>
      </c>
      <c r="C184" s="32" t="s">
        <v>13714</v>
      </c>
      <c r="D184" s="32" t="str">
        <f>"152326196810147138"</f>
        <v>152326196810147138</v>
      </c>
      <c r="E184" s="102">
        <v>2020</v>
      </c>
      <c r="F184" s="102">
        <v>2020</v>
      </c>
      <c r="G184" s="137" t="s">
        <v>2480</v>
      </c>
      <c r="H184" s="32">
        <v>200</v>
      </c>
      <c r="I184" s="32">
        <v>200</v>
      </c>
      <c r="J184" s="32"/>
      <c r="K184" s="104"/>
      <c r="L184" s="105">
        <v>20201118</v>
      </c>
    </row>
    <row r="185" ht="16" customHeight="1" spans="1:12">
      <c r="A185" s="102">
        <v>183</v>
      </c>
      <c r="B185" s="102" t="s">
        <v>13533</v>
      </c>
      <c r="C185" s="32" t="s">
        <v>13715</v>
      </c>
      <c r="D185" s="32" t="str">
        <f>"152326196812027113"</f>
        <v>152326196812027113</v>
      </c>
      <c r="E185" s="102">
        <v>2020</v>
      </c>
      <c r="F185" s="102">
        <v>2020</v>
      </c>
      <c r="G185" s="137" t="s">
        <v>2480</v>
      </c>
      <c r="H185" s="32">
        <v>200</v>
      </c>
      <c r="I185" s="32">
        <v>200</v>
      </c>
      <c r="J185" s="32"/>
      <c r="K185" s="104"/>
      <c r="L185" s="105">
        <v>20201118</v>
      </c>
    </row>
    <row r="186" ht="16" customHeight="1" spans="1:12">
      <c r="A186" s="102">
        <v>184</v>
      </c>
      <c r="B186" s="102" t="s">
        <v>13533</v>
      </c>
      <c r="C186" s="32" t="s">
        <v>13716</v>
      </c>
      <c r="D186" s="32" t="str">
        <f>"152326196810287149"</f>
        <v>152326196810287149</v>
      </c>
      <c r="E186" s="102">
        <v>2020</v>
      </c>
      <c r="F186" s="102">
        <v>2020</v>
      </c>
      <c r="G186" s="137" t="s">
        <v>2480</v>
      </c>
      <c r="H186" s="32">
        <v>200</v>
      </c>
      <c r="I186" s="32">
        <v>200</v>
      </c>
      <c r="J186" s="32"/>
      <c r="K186" s="104"/>
      <c r="L186" s="105">
        <v>20201118</v>
      </c>
    </row>
    <row r="187" ht="16" customHeight="1" spans="1:12">
      <c r="A187" s="102">
        <v>185</v>
      </c>
      <c r="B187" s="102" t="s">
        <v>13533</v>
      </c>
      <c r="C187" s="32" t="s">
        <v>13717</v>
      </c>
      <c r="D187" s="32" t="str">
        <f>"152326196812157110"</f>
        <v>152326196812157110</v>
      </c>
      <c r="E187" s="102">
        <v>2020</v>
      </c>
      <c r="F187" s="102">
        <v>2020</v>
      </c>
      <c r="G187" s="137" t="s">
        <v>2480</v>
      </c>
      <c r="H187" s="32">
        <v>200</v>
      </c>
      <c r="I187" s="32">
        <v>200</v>
      </c>
      <c r="J187" s="62"/>
      <c r="K187" s="104"/>
      <c r="L187" s="105">
        <v>20201118</v>
      </c>
    </row>
    <row r="188" ht="16" customHeight="1" spans="1:12">
      <c r="A188" s="102">
        <v>186</v>
      </c>
      <c r="B188" s="102" t="s">
        <v>13533</v>
      </c>
      <c r="C188" s="32" t="s">
        <v>13718</v>
      </c>
      <c r="D188" s="32" t="str">
        <f>"152326196803037141"</f>
        <v>152326196803037141</v>
      </c>
      <c r="E188" s="102">
        <v>2020</v>
      </c>
      <c r="F188" s="102">
        <v>2020</v>
      </c>
      <c r="G188" s="137" t="s">
        <v>2480</v>
      </c>
      <c r="H188" s="32">
        <v>200</v>
      </c>
      <c r="I188" s="32">
        <v>200</v>
      </c>
      <c r="J188" s="32"/>
      <c r="K188" s="104"/>
      <c r="L188" s="105">
        <v>20201118</v>
      </c>
    </row>
    <row r="189" ht="16" customHeight="1" spans="1:12">
      <c r="A189" s="102">
        <v>187</v>
      </c>
      <c r="B189" s="102" t="s">
        <v>13533</v>
      </c>
      <c r="C189" s="32" t="s">
        <v>13719</v>
      </c>
      <c r="D189" s="32" t="str">
        <f>"152326196803307148"</f>
        <v>152326196803307148</v>
      </c>
      <c r="E189" s="102">
        <v>2020</v>
      </c>
      <c r="F189" s="102">
        <v>2020</v>
      </c>
      <c r="G189" s="137" t="s">
        <v>2480</v>
      </c>
      <c r="H189" s="32">
        <v>200</v>
      </c>
      <c r="I189" s="32">
        <v>200</v>
      </c>
      <c r="J189" s="62"/>
      <c r="K189" s="104"/>
      <c r="L189" s="105">
        <v>20201118</v>
      </c>
    </row>
    <row r="190" ht="16" customHeight="1" spans="1:12">
      <c r="A190" s="102">
        <v>188</v>
      </c>
      <c r="B190" s="102" t="s">
        <v>13533</v>
      </c>
      <c r="C190" s="32" t="s">
        <v>13720</v>
      </c>
      <c r="D190" s="32" t="str">
        <f>"152326196804247124"</f>
        <v>152326196804247124</v>
      </c>
      <c r="E190" s="102">
        <v>2020</v>
      </c>
      <c r="F190" s="102">
        <v>2020</v>
      </c>
      <c r="G190" s="137" t="s">
        <v>2480</v>
      </c>
      <c r="H190" s="32">
        <v>200</v>
      </c>
      <c r="I190" s="32">
        <v>200</v>
      </c>
      <c r="J190" s="32"/>
      <c r="K190" s="104"/>
      <c r="L190" s="105">
        <v>20201118</v>
      </c>
    </row>
    <row r="191" ht="16" customHeight="1" spans="1:12">
      <c r="A191" s="102">
        <v>189</v>
      </c>
      <c r="B191" s="102" t="s">
        <v>13533</v>
      </c>
      <c r="C191" s="32" t="s">
        <v>13721</v>
      </c>
      <c r="D191" s="32" t="str">
        <f>"152326196808247121"</f>
        <v>152326196808247121</v>
      </c>
      <c r="E191" s="102">
        <v>2020</v>
      </c>
      <c r="F191" s="102">
        <v>2020</v>
      </c>
      <c r="G191" s="137" t="s">
        <v>2480</v>
      </c>
      <c r="H191" s="32">
        <v>200</v>
      </c>
      <c r="I191" s="32">
        <v>200</v>
      </c>
      <c r="J191" s="32"/>
      <c r="K191" s="104"/>
      <c r="L191" s="105">
        <v>20201118</v>
      </c>
    </row>
    <row r="192" ht="16" customHeight="1" spans="1:12">
      <c r="A192" s="102">
        <v>190</v>
      </c>
      <c r="B192" s="102" t="s">
        <v>13533</v>
      </c>
      <c r="C192" s="32" t="s">
        <v>13722</v>
      </c>
      <c r="D192" s="32" t="s">
        <v>13723</v>
      </c>
      <c r="E192" s="102">
        <v>2020</v>
      </c>
      <c r="F192" s="102">
        <v>2020</v>
      </c>
      <c r="G192" s="137" t="s">
        <v>2480</v>
      </c>
      <c r="H192" s="32">
        <v>200</v>
      </c>
      <c r="I192" s="32">
        <v>200</v>
      </c>
      <c r="J192" s="32"/>
      <c r="K192" s="104"/>
      <c r="L192" s="105">
        <v>20201118</v>
      </c>
    </row>
    <row r="193" ht="16" customHeight="1" spans="1:12">
      <c r="A193" s="102">
        <v>191</v>
      </c>
      <c r="B193" s="102" t="s">
        <v>13533</v>
      </c>
      <c r="C193" s="32" t="s">
        <v>13724</v>
      </c>
      <c r="D193" s="32" t="str">
        <f>"152326196810107128"</f>
        <v>152326196810107128</v>
      </c>
      <c r="E193" s="102">
        <v>2020</v>
      </c>
      <c r="F193" s="102">
        <v>2020</v>
      </c>
      <c r="G193" s="137" t="s">
        <v>2480</v>
      </c>
      <c r="H193" s="32">
        <v>200</v>
      </c>
      <c r="I193" s="32">
        <v>200</v>
      </c>
      <c r="J193" s="62"/>
      <c r="K193" s="104"/>
      <c r="L193" s="105">
        <v>20201118</v>
      </c>
    </row>
    <row r="194" ht="16" customHeight="1" spans="1:12">
      <c r="A194" s="102">
        <v>192</v>
      </c>
      <c r="B194" s="102" t="s">
        <v>13533</v>
      </c>
      <c r="C194" s="32" t="s">
        <v>13725</v>
      </c>
      <c r="D194" s="32" t="str">
        <f>"152326196705037113"</f>
        <v>152326196705037113</v>
      </c>
      <c r="E194" s="102">
        <v>2020</v>
      </c>
      <c r="F194" s="102">
        <v>2020</v>
      </c>
      <c r="G194" s="137" t="s">
        <v>2480</v>
      </c>
      <c r="H194" s="32">
        <v>200</v>
      </c>
      <c r="I194" s="32">
        <v>200</v>
      </c>
      <c r="J194" s="32"/>
      <c r="K194" s="104"/>
      <c r="L194" s="105">
        <v>20201118</v>
      </c>
    </row>
    <row r="195" ht="16" customHeight="1" spans="1:12">
      <c r="A195" s="102">
        <v>193</v>
      </c>
      <c r="B195" s="102" t="s">
        <v>13533</v>
      </c>
      <c r="C195" s="32" t="s">
        <v>13726</v>
      </c>
      <c r="D195" s="32" t="str">
        <f>"152326196705217114"</f>
        <v>152326196705217114</v>
      </c>
      <c r="E195" s="102">
        <v>2020</v>
      </c>
      <c r="F195" s="102">
        <v>2020</v>
      </c>
      <c r="G195" s="137" t="s">
        <v>2480</v>
      </c>
      <c r="H195" s="32">
        <v>200</v>
      </c>
      <c r="I195" s="32">
        <v>200</v>
      </c>
      <c r="J195" s="62"/>
      <c r="K195" s="104"/>
      <c r="L195" s="105">
        <v>20201118</v>
      </c>
    </row>
    <row r="196" ht="16" customHeight="1" spans="1:12">
      <c r="A196" s="102">
        <v>194</v>
      </c>
      <c r="B196" s="102" t="s">
        <v>13533</v>
      </c>
      <c r="C196" s="32" t="s">
        <v>13727</v>
      </c>
      <c r="D196" s="139" t="str">
        <f>"152326196711107114"</f>
        <v>152326196711107114</v>
      </c>
      <c r="E196" s="102">
        <v>2020</v>
      </c>
      <c r="F196" s="102">
        <v>2020</v>
      </c>
      <c r="G196" s="137" t="s">
        <v>2480</v>
      </c>
      <c r="H196" s="139">
        <v>3000</v>
      </c>
      <c r="I196" s="139">
        <v>3000</v>
      </c>
      <c r="J196" s="140"/>
      <c r="K196" s="104"/>
      <c r="L196" s="105">
        <v>20201118</v>
      </c>
    </row>
    <row r="197" ht="16" customHeight="1" spans="1:12">
      <c r="A197" s="102">
        <v>195</v>
      </c>
      <c r="B197" s="102" t="s">
        <v>13533</v>
      </c>
      <c r="C197" s="32" t="s">
        <v>13728</v>
      </c>
      <c r="D197" s="32" t="str">
        <f>"152326196702077128"</f>
        <v>152326196702077128</v>
      </c>
      <c r="E197" s="102">
        <v>2020</v>
      </c>
      <c r="F197" s="102">
        <v>2020</v>
      </c>
      <c r="G197" s="137" t="s">
        <v>2480</v>
      </c>
      <c r="H197" s="32">
        <v>200</v>
      </c>
      <c r="I197" s="32">
        <v>200</v>
      </c>
      <c r="J197" s="32"/>
      <c r="K197" s="104"/>
      <c r="L197" s="105">
        <v>20201118</v>
      </c>
    </row>
    <row r="198" ht="16" customHeight="1" spans="1:12">
      <c r="A198" s="102">
        <v>196</v>
      </c>
      <c r="B198" s="102" t="s">
        <v>13533</v>
      </c>
      <c r="C198" s="32" t="s">
        <v>13729</v>
      </c>
      <c r="D198" s="32" t="str">
        <f>"152326196709027115"</f>
        <v>152326196709027115</v>
      </c>
      <c r="E198" s="102">
        <v>2020</v>
      </c>
      <c r="F198" s="102">
        <v>2020</v>
      </c>
      <c r="G198" s="137" t="s">
        <v>2480</v>
      </c>
      <c r="H198" s="32">
        <v>200</v>
      </c>
      <c r="I198" s="32">
        <v>200</v>
      </c>
      <c r="J198" s="32"/>
      <c r="K198" s="104"/>
      <c r="L198" s="105">
        <v>20201118</v>
      </c>
    </row>
    <row r="199" ht="16" customHeight="1" spans="1:12">
      <c r="A199" s="102">
        <v>197</v>
      </c>
      <c r="B199" s="102" t="s">
        <v>13533</v>
      </c>
      <c r="C199" s="32" t="s">
        <v>13730</v>
      </c>
      <c r="D199" s="32" t="str">
        <f>"152326196706107128"</f>
        <v>152326196706107128</v>
      </c>
      <c r="E199" s="102">
        <v>2020</v>
      </c>
      <c r="F199" s="102">
        <v>2020</v>
      </c>
      <c r="G199" s="137" t="s">
        <v>2480</v>
      </c>
      <c r="H199" s="32">
        <v>200</v>
      </c>
      <c r="I199" s="32">
        <v>200</v>
      </c>
      <c r="J199" s="32"/>
      <c r="K199" s="104"/>
      <c r="L199" s="105">
        <v>20201118</v>
      </c>
    </row>
    <row r="200" ht="16" customHeight="1" spans="1:12">
      <c r="A200" s="102">
        <v>198</v>
      </c>
      <c r="B200" s="102" t="s">
        <v>13533</v>
      </c>
      <c r="C200" s="32" t="s">
        <v>13731</v>
      </c>
      <c r="D200" s="32" t="str">
        <f>"152326196712167127"</f>
        <v>152326196712167127</v>
      </c>
      <c r="E200" s="102">
        <v>2020</v>
      </c>
      <c r="F200" s="102">
        <v>2020</v>
      </c>
      <c r="G200" s="137" t="s">
        <v>2480</v>
      </c>
      <c r="H200" s="32">
        <v>200</v>
      </c>
      <c r="I200" s="32">
        <v>200</v>
      </c>
      <c r="J200" s="32"/>
      <c r="K200" s="104"/>
      <c r="L200" s="105">
        <v>20201118</v>
      </c>
    </row>
    <row r="201" ht="16" customHeight="1" spans="1:12">
      <c r="A201" s="102">
        <v>199</v>
      </c>
      <c r="B201" s="102" t="s">
        <v>13533</v>
      </c>
      <c r="C201" s="32" t="s">
        <v>13732</v>
      </c>
      <c r="D201" s="32" t="str">
        <f>"152326196706167112"</f>
        <v>152326196706167112</v>
      </c>
      <c r="E201" s="102">
        <v>2020</v>
      </c>
      <c r="F201" s="102">
        <v>2020</v>
      </c>
      <c r="G201" s="137" t="s">
        <v>2480</v>
      </c>
      <c r="H201" s="32">
        <v>200</v>
      </c>
      <c r="I201" s="32">
        <v>200</v>
      </c>
      <c r="J201" s="62"/>
      <c r="K201" s="104"/>
      <c r="L201" s="105">
        <v>20201118</v>
      </c>
    </row>
    <row r="202" ht="16" customHeight="1" spans="1:12">
      <c r="A202" s="102">
        <v>200</v>
      </c>
      <c r="B202" s="102" t="s">
        <v>13533</v>
      </c>
      <c r="C202" s="32" t="s">
        <v>8802</v>
      </c>
      <c r="D202" s="32" t="str">
        <f>"152326196707157143"</f>
        <v>152326196707157143</v>
      </c>
      <c r="E202" s="102">
        <v>2020</v>
      </c>
      <c r="F202" s="102">
        <v>2020</v>
      </c>
      <c r="G202" s="137" t="s">
        <v>2480</v>
      </c>
      <c r="H202" s="32">
        <v>200</v>
      </c>
      <c r="I202" s="32">
        <v>200</v>
      </c>
      <c r="J202" s="32"/>
      <c r="K202" s="104"/>
      <c r="L202" s="105">
        <v>20201118</v>
      </c>
    </row>
    <row r="203" ht="16" customHeight="1" spans="1:12">
      <c r="A203" s="102">
        <v>201</v>
      </c>
      <c r="B203" s="102" t="s">
        <v>13533</v>
      </c>
      <c r="C203" s="32" t="s">
        <v>13733</v>
      </c>
      <c r="D203" s="32" t="s">
        <v>13734</v>
      </c>
      <c r="E203" s="102">
        <v>2020</v>
      </c>
      <c r="F203" s="102">
        <v>2020</v>
      </c>
      <c r="G203" s="137" t="s">
        <v>2480</v>
      </c>
      <c r="H203" s="32">
        <v>200</v>
      </c>
      <c r="I203" s="32">
        <v>200</v>
      </c>
      <c r="J203" s="32"/>
      <c r="K203" s="104"/>
      <c r="L203" s="105">
        <v>20201118</v>
      </c>
    </row>
    <row r="204" ht="16" customHeight="1" spans="1:12">
      <c r="A204" s="102">
        <v>202</v>
      </c>
      <c r="B204" s="102" t="s">
        <v>13533</v>
      </c>
      <c r="C204" s="32" t="s">
        <v>13735</v>
      </c>
      <c r="D204" s="32" t="str">
        <f>"152326196702077136"</f>
        <v>152326196702077136</v>
      </c>
      <c r="E204" s="102">
        <v>2020</v>
      </c>
      <c r="F204" s="102">
        <v>2020</v>
      </c>
      <c r="G204" s="137" t="s">
        <v>2480</v>
      </c>
      <c r="H204" s="32">
        <v>200</v>
      </c>
      <c r="I204" s="32">
        <v>200</v>
      </c>
      <c r="J204" s="32"/>
      <c r="K204" s="104"/>
      <c r="L204" s="105">
        <v>20201118</v>
      </c>
    </row>
    <row r="205" ht="16" customHeight="1" spans="1:12">
      <c r="A205" s="102">
        <v>203</v>
      </c>
      <c r="B205" s="102" t="s">
        <v>13533</v>
      </c>
      <c r="C205" s="32" t="s">
        <v>11760</v>
      </c>
      <c r="D205" s="32" t="str">
        <f>"152326196603027117"</f>
        <v>152326196603027117</v>
      </c>
      <c r="E205" s="102">
        <v>2020</v>
      </c>
      <c r="F205" s="102">
        <v>2020</v>
      </c>
      <c r="G205" s="137" t="s">
        <v>2480</v>
      </c>
      <c r="H205" s="32">
        <v>200</v>
      </c>
      <c r="I205" s="32">
        <v>200</v>
      </c>
      <c r="J205" s="62"/>
      <c r="K205" s="104"/>
      <c r="L205" s="105">
        <v>20201118</v>
      </c>
    </row>
    <row r="206" ht="16" customHeight="1" spans="1:12">
      <c r="A206" s="102">
        <v>204</v>
      </c>
      <c r="B206" s="102" t="s">
        <v>13533</v>
      </c>
      <c r="C206" s="32" t="s">
        <v>13736</v>
      </c>
      <c r="D206" s="32" t="str">
        <f>"152326196612237116"</f>
        <v>152326196612237116</v>
      </c>
      <c r="E206" s="102">
        <v>2020</v>
      </c>
      <c r="F206" s="102">
        <v>2020</v>
      </c>
      <c r="G206" s="137" t="s">
        <v>2480</v>
      </c>
      <c r="H206" s="32">
        <v>200</v>
      </c>
      <c r="I206" s="32">
        <v>200</v>
      </c>
      <c r="J206" s="62"/>
      <c r="K206" s="104"/>
      <c r="L206" s="105">
        <v>20201118</v>
      </c>
    </row>
    <row r="207" ht="16" customHeight="1" spans="1:12">
      <c r="A207" s="102">
        <v>205</v>
      </c>
      <c r="B207" s="102" t="s">
        <v>13533</v>
      </c>
      <c r="C207" s="32" t="s">
        <v>13737</v>
      </c>
      <c r="D207" s="32" t="str">
        <f>"152326196609037121"</f>
        <v>152326196609037121</v>
      </c>
      <c r="E207" s="102">
        <v>2020</v>
      </c>
      <c r="F207" s="102">
        <v>2020</v>
      </c>
      <c r="G207" s="137" t="s">
        <v>2480</v>
      </c>
      <c r="H207" s="32">
        <v>200</v>
      </c>
      <c r="I207" s="32">
        <v>200</v>
      </c>
      <c r="J207" s="32"/>
      <c r="K207" s="104"/>
      <c r="L207" s="105">
        <v>20201118</v>
      </c>
    </row>
    <row r="208" ht="16" customHeight="1" spans="1:12">
      <c r="A208" s="102">
        <v>206</v>
      </c>
      <c r="B208" s="102" t="s">
        <v>13533</v>
      </c>
      <c r="C208" s="32" t="s">
        <v>13738</v>
      </c>
      <c r="D208" s="32" t="str">
        <f>"152326196605077126"</f>
        <v>152326196605077126</v>
      </c>
      <c r="E208" s="102">
        <v>2020</v>
      </c>
      <c r="F208" s="102">
        <v>2020</v>
      </c>
      <c r="G208" s="137" t="s">
        <v>2480</v>
      </c>
      <c r="H208" s="32">
        <v>200</v>
      </c>
      <c r="I208" s="32">
        <v>200</v>
      </c>
      <c r="J208" s="32"/>
      <c r="K208" s="104"/>
      <c r="L208" s="105">
        <v>20201118</v>
      </c>
    </row>
    <row r="209" ht="16" customHeight="1" spans="1:12">
      <c r="A209" s="102">
        <v>207</v>
      </c>
      <c r="B209" s="102" t="s">
        <v>13533</v>
      </c>
      <c r="C209" s="32" t="s">
        <v>13739</v>
      </c>
      <c r="D209" s="32" t="str">
        <f>"152326196609137122"</f>
        <v>152326196609137122</v>
      </c>
      <c r="E209" s="102">
        <v>2020</v>
      </c>
      <c r="F209" s="102">
        <v>2020</v>
      </c>
      <c r="G209" s="137" t="s">
        <v>2480</v>
      </c>
      <c r="H209" s="32">
        <v>200</v>
      </c>
      <c r="I209" s="32">
        <v>200</v>
      </c>
      <c r="J209" s="62"/>
      <c r="K209" s="104"/>
      <c r="L209" s="105">
        <v>20201118</v>
      </c>
    </row>
    <row r="210" ht="16" customHeight="1" spans="1:12">
      <c r="A210" s="102">
        <v>208</v>
      </c>
      <c r="B210" s="102" t="s">
        <v>13533</v>
      </c>
      <c r="C210" s="32" t="s">
        <v>11521</v>
      </c>
      <c r="D210" s="32" t="str">
        <f>"152326196605057117"</f>
        <v>152326196605057117</v>
      </c>
      <c r="E210" s="102">
        <v>2020</v>
      </c>
      <c r="F210" s="102">
        <v>2020</v>
      </c>
      <c r="G210" s="137" t="s">
        <v>2480</v>
      </c>
      <c r="H210" s="32">
        <v>200</v>
      </c>
      <c r="I210" s="32">
        <v>200</v>
      </c>
      <c r="J210" s="32"/>
      <c r="K210" s="104"/>
      <c r="L210" s="105">
        <v>20201118</v>
      </c>
    </row>
    <row r="211" ht="16" customHeight="1" spans="1:12">
      <c r="A211" s="102">
        <v>209</v>
      </c>
      <c r="B211" s="102" t="s">
        <v>13533</v>
      </c>
      <c r="C211" s="32" t="s">
        <v>13740</v>
      </c>
      <c r="D211" s="32" t="str">
        <f>"152326196608237113"</f>
        <v>152326196608237113</v>
      </c>
      <c r="E211" s="102">
        <v>2020</v>
      </c>
      <c r="F211" s="102">
        <v>2020</v>
      </c>
      <c r="G211" s="137" t="s">
        <v>2480</v>
      </c>
      <c r="H211" s="32">
        <v>200</v>
      </c>
      <c r="I211" s="32">
        <v>200</v>
      </c>
      <c r="J211" s="32"/>
      <c r="K211" s="104"/>
      <c r="L211" s="105">
        <v>20201118</v>
      </c>
    </row>
    <row r="212" ht="16" customHeight="1" spans="1:12">
      <c r="A212" s="102">
        <v>210</v>
      </c>
      <c r="B212" s="102" t="s">
        <v>13533</v>
      </c>
      <c r="C212" s="32" t="s">
        <v>13741</v>
      </c>
      <c r="D212" s="32" t="str">
        <f>"152326196601267117"</f>
        <v>152326196601267117</v>
      </c>
      <c r="E212" s="102">
        <v>2020</v>
      </c>
      <c r="F212" s="102">
        <v>2020</v>
      </c>
      <c r="G212" s="137" t="s">
        <v>2480</v>
      </c>
      <c r="H212" s="32">
        <v>200</v>
      </c>
      <c r="I212" s="32">
        <v>200</v>
      </c>
      <c r="J212" s="32"/>
      <c r="K212" s="104"/>
      <c r="L212" s="105">
        <v>20201118</v>
      </c>
    </row>
    <row r="213" ht="16" customHeight="1" spans="1:12">
      <c r="A213" s="102">
        <v>211</v>
      </c>
      <c r="B213" s="102" t="s">
        <v>13533</v>
      </c>
      <c r="C213" s="32" t="s">
        <v>13742</v>
      </c>
      <c r="D213" s="32" t="str">
        <f>"152326196611127134"</f>
        <v>152326196611127134</v>
      </c>
      <c r="E213" s="102">
        <v>2020</v>
      </c>
      <c r="F213" s="102">
        <v>2020</v>
      </c>
      <c r="G213" s="137" t="s">
        <v>2480</v>
      </c>
      <c r="H213" s="32">
        <v>200</v>
      </c>
      <c r="I213" s="32">
        <v>200</v>
      </c>
      <c r="J213" s="32"/>
      <c r="K213" s="104"/>
      <c r="L213" s="105">
        <v>20201118</v>
      </c>
    </row>
    <row r="214" ht="16" customHeight="1" spans="1:12">
      <c r="A214" s="102">
        <v>212</v>
      </c>
      <c r="B214" s="102" t="s">
        <v>13533</v>
      </c>
      <c r="C214" s="32" t="s">
        <v>13743</v>
      </c>
      <c r="D214" s="32" t="str">
        <f>"152326196603297133"</f>
        <v>152326196603297133</v>
      </c>
      <c r="E214" s="102">
        <v>2020</v>
      </c>
      <c r="F214" s="102">
        <v>2020</v>
      </c>
      <c r="G214" s="137" t="s">
        <v>2480</v>
      </c>
      <c r="H214" s="32">
        <v>200</v>
      </c>
      <c r="I214" s="32">
        <v>200</v>
      </c>
      <c r="J214" s="62"/>
      <c r="K214" s="104"/>
      <c r="L214" s="105">
        <v>20201118</v>
      </c>
    </row>
    <row r="215" ht="16" customHeight="1" spans="1:12">
      <c r="A215" s="102">
        <v>213</v>
      </c>
      <c r="B215" s="102" t="s">
        <v>13533</v>
      </c>
      <c r="C215" s="32" t="s">
        <v>13744</v>
      </c>
      <c r="D215" s="32" t="str">
        <f>"152326196610197149"</f>
        <v>152326196610197149</v>
      </c>
      <c r="E215" s="102">
        <v>2020</v>
      </c>
      <c r="F215" s="102">
        <v>2020</v>
      </c>
      <c r="G215" s="137" t="s">
        <v>2480</v>
      </c>
      <c r="H215" s="32">
        <v>200</v>
      </c>
      <c r="I215" s="32">
        <v>200</v>
      </c>
      <c r="J215" s="32"/>
      <c r="K215" s="104"/>
      <c r="L215" s="105">
        <v>20201118</v>
      </c>
    </row>
    <row r="216" ht="16" customHeight="1" spans="1:12">
      <c r="A216" s="102">
        <v>214</v>
      </c>
      <c r="B216" s="102" t="s">
        <v>13533</v>
      </c>
      <c r="C216" s="32" t="s">
        <v>13745</v>
      </c>
      <c r="D216" s="32" t="s">
        <v>13746</v>
      </c>
      <c r="E216" s="102">
        <v>2020</v>
      </c>
      <c r="F216" s="102">
        <v>2020</v>
      </c>
      <c r="G216" s="137" t="s">
        <v>2480</v>
      </c>
      <c r="H216" s="32">
        <v>200</v>
      </c>
      <c r="I216" s="32">
        <v>200</v>
      </c>
      <c r="J216" s="32"/>
      <c r="K216" s="104"/>
      <c r="L216" s="105">
        <v>20201118</v>
      </c>
    </row>
    <row r="217" ht="16" customHeight="1" spans="1:12">
      <c r="A217" s="102">
        <v>215</v>
      </c>
      <c r="B217" s="102" t="s">
        <v>13533</v>
      </c>
      <c r="C217" s="32" t="s">
        <v>13747</v>
      </c>
      <c r="D217" s="32" t="str">
        <f>"152326196610287144"</f>
        <v>152326196610287144</v>
      </c>
      <c r="E217" s="102">
        <v>2020</v>
      </c>
      <c r="F217" s="102">
        <v>2020</v>
      </c>
      <c r="G217" s="137" t="s">
        <v>2480</v>
      </c>
      <c r="H217" s="32">
        <v>200</v>
      </c>
      <c r="I217" s="32">
        <v>200</v>
      </c>
      <c r="J217" s="62"/>
      <c r="K217" s="104"/>
      <c r="L217" s="105">
        <v>20201118</v>
      </c>
    </row>
    <row r="218" ht="16" customHeight="1" spans="1:12">
      <c r="A218" s="102">
        <v>216</v>
      </c>
      <c r="B218" s="102" t="s">
        <v>13533</v>
      </c>
      <c r="C218" s="32" t="s">
        <v>13748</v>
      </c>
      <c r="D218" s="32" t="str">
        <f>"152326196603047150"</f>
        <v>152326196603047150</v>
      </c>
      <c r="E218" s="102">
        <v>2020</v>
      </c>
      <c r="F218" s="102">
        <v>2020</v>
      </c>
      <c r="G218" s="137" t="s">
        <v>2480</v>
      </c>
      <c r="H218" s="32">
        <v>200</v>
      </c>
      <c r="I218" s="32">
        <v>200</v>
      </c>
      <c r="J218" s="62"/>
      <c r="K218" s="104"/>
      <c r="L218" s="105">
        <v>20201118</v>
      </c>
    </row>
    <row r="219" ht="16" customHeight="1" spans="1:12">
      <c r="A219" s="102">
        <v>217</v>
      </c>
      <c r="B219" s="102" t="s">
        <v>13533</v>
      </c>
      <c r="C219" s="32" t="s">
        <v>13749</v>
      </c>
      <c r="D219" s="32" t="str">
        <f>"152326196605217141"</f>
        <v>152326196605217141</v>
      </c>
      <c r="E219" s="102">
        <v>2020</v>
      </c>
      <c r="F219" s="102">
        <v>2020</v>
      </c>
      <c r="G219" s="137" t="s">
        <v>2480</v>
      </c>
      <c r="H219" s="32">
        <v>200</v>
      </c>
      <c r="I219" s="32">
        <v>200</v>
      </c>
      <c r="J219" s="32"/>
      <c r="K219" s="104"/>
      <c r="L219" s="105">
        <v>20201118</v>
      </c>
    </row>
    <row r="220" ht="16" customHeight="1" spans="1:12">
      <c r="A220" s="102">
        <v>218</v>
      </c>
      <c r="B220" s="102" t="s">
        <v>13533</v>
      </c>
      <c r="C220" s="32" t="s">
        <v>13750</v>
      </c>
      <c r="D220" s="32" t="str">
        <f>"152326196610257121"</f>
        <v>152326196610257121</v>
      </c>
      <c r="E220" s="102">
        <v>2020</v>
      </c>
      <c r="F220" s="102">
        <v>2020</v>
      </c>
      <c r="G220" s="137" t="s">
        <v>2480</v>
      </c>
      <c r="H220" s="32">
        <v>200</v>
      </c>
      <c r="I220" s="32">
        <v>200</v>
      </c>
      <c r="J220" s="32"/>
      <c r="K220" s="104"/>
      <c r="L220" s="105">
        <v>20201118</v>
      </c>
    </row>
    <row r="221" ht="16" customHeight="1" spans="1:12">
      <c r="A221" s="102">
        <v>219</v>
      </c>
      <c r="B221" s="102" t="s">
        <v>13533</v>
      </c>
      <c r="C221" s="32" t="s">
        <v>1814</v>
      </c>
      <c r="D221" s="32" t="str">
        <f>"152326196604147129"</f>
        <v>152326196604147129</v>
      </c>
      <c r="E221" s="102">
        <v>2020</v>
      </c>
      <c r="F221" s="102">
        <v>2020</v>
      </c>
      <c r="G221" s="137" t="s">
        <v>2480</v>
      </c>
      <c r="H221" s="32">
        <v>200</v>
      </c>
      <c r="I221" s="32">
        <v>200</v>
      </c>
      <c r="J221" s="32"/>
      <c r="K221" s="104"/>
      <c r="L221" s="105">
        <v>20201118</v>
      </c>
    </row>
    <row r="222" ht="16" customHeight="1" spans="1:12">
      <c r="A222" s="102">
        <v>220</v>
      </c>
      <c r="B222" s="102" t="s">
        <v>13533</v>
      </c>
      <c r="C222" s="32" t="s">
        <v>13751</v>
      </c>
      <c r="D222" s="32" t="str">
        <f>"152326196612287113"</f>
        <v>152326196612287113</v>
      </c>
      <c r="E222" s="102">
        <v>2020</v>
      </c>
      <c r="F222" s="102">
        <v>2020</v>
      </c>
      <c r="G222" s="137" t="s">
        <v>2480</v>
      </c>
      <c r="H222" s="32">
        <v>200</v>
      </c>
      <c r="I222" s="32">
        <v>200</v>
      </c>
      <c r="J222" s="62"/>
      <c r="K222" s="104"/>
      <c r="L222" s="105">
        <v>20201118</v>
      </c>
    </row>
    <row r="223" ht="16" customHeight="1" spans="1:12">
      <c r="A223" s="102">
        <v>221</v>
      </c>
      <c r="B223" s="102" t="s">
        <v>13533</v>
      </c>
      <c r="C223" s="32" t="s">
        <v>13752</v>
      </c>
      <c r="D223" s="32" t="str">
        <f>"152326196501127125"</f>
        <v>152326196501127125</v>
      </c>
      <c r="E223" s="102">
        <v>2020</v>
      </c>
      <c r="F223" s="102">
        <v>2020</v>
      </c>
      <c r="G223" s="137" t="s">
        <v>2480</v>
      </c>
      <c r="H223" s="32">
        <v>200</v>
      </c>
      <c r="I223" s="32">
        <v>200</v>
      </c>
      <c r="J223" s="32"/>
      <c r="K223" s="104"/>
      <c r="L223" s="105">
        <v>20201118</v>
      </c>
    </row>
    <row r="224" ht="16" customHeight="1" spans="1:12">
      <c r="A224" s="102">
        <v>222</v>
      </c>
      <c r="B224" s="102" t="s">
        <v>13533</v>
      </c>
      <c r="C224" s="32" t="s">
        <v>13753</v>
      </c>
      <c r="D224" s="32" t="str">
        <f>"152326196504097160"</f>
        <v>152326196504097160</v>
      </c>
      <c r="E224" s="102">
        <v>2020</v>
      </c>
      <c r="F224" s="102">
        <v>2020</v>
      </c>
      <c r="G224" s="137" t="s">
        <v>2480</v>
      </c>
      <c r="H224" s="32">
        <v>200</v>
      </c>
      <c r="I224" s="32">
        <v>200</v>
      </c>
      <c r="J224" s="32"/>
      <c r="K224" s="104"/>
      <c r="L224" s="105">
        <v>20201118</v>
      </c>
    </row>
    <row r="225" ht="16" customHeight="1" spans="1:12">
      <c r="A225" s="102">
        <v>223</v>
      </c>
      <c r="B225" s="102" t="s">
        <v>13533</v>
      </c>
      <c r="C225" s="32" t="s">
        <v>13754</v>
      </c>
      <c r="D225" s="32" t="str">
        <f>"152325196505217113"</f>
        <v>152325196505217113</v>
      </c>
      <c r="E225" s="102">
        <v>2020</v>
      </c>
      <c r="F225" s="102">
        <v>2020</v>
      </c>
      <c r="G225" s="137" t="s">
        <v>2480</v>
      </c>
      <c r="H225" s="32">
        <v>200</v>
      </c>
      <c r="I225" s="32">
        <v>200</v>
      </c>
      <c r="J225" s="62"/>
      <c r="K225" s="104"/>
      <c r="L225" s="105">
        <v>20201118</v>
      </c>
    </row>
    <row r="226" ht="16" customHeight="1" spans="1:12">
      <c r="A226" s="102">
        <v>224</v>
      </c>
      <c r="B226" s="102" t="s">
        <v>13533</v>
      </c>
      <c r="C226" s="32" t="s">
        <v>13755</v>
      </c>
      <c r="D226" s="32" t="str">
        <f>"152326196503277119"</f>
        <v>152326196503277119</v>
      </c>
      <c r="E226" s="102">
        <v>2020</v>
      </c>
      <c r="F226" s="102">
        <v>2020</v>
      </c>
      <c r="G226" s="137" t="s">
        <v>2480</v>
      </c>
      <c r="H226" s="32">
        <v>200</v>
      </c>
      <c r="I226" s="32">
        <v>200</v>
      </c>
      <c r="J226" s="32"/>
      <c r="K226" s="104"/>
      <c r="L226" s="105">
        <v>20201118</v>
      </c>
    </row>
    <row r="227" ht="16" customHeight="1" spans="1:12">
      <c r="A227" s="102">
        <v>225</v>
      </c>
      <c r="B227" s="102" t="s">
        <v>13533</v>
      </c>
      <c r="C227" s="32" t="s">
        <v>13756</v>
      </c>
      <c r="D227" s="32" t="str">
        <f>"152326196506127124"</f>
        <v>152326196506127124</v>
      </c>
      <c r="E227" s="102">
        <v>2020</v>
      </c>
      <c r="F227" s="102">
        <v>2020</v>
      </c>
      <c r="G227" s="137" t="s">
        <v>2480</v>
      </c>
      <c r="H227" s="32">
        <v>200</v>
      </c>
      <c r="I227" s="32">
        <v>200</v>
      </c>
      <c r="J227" s="32"/>
      <c r="K227" s="104"/>
      <c r="L227" s="105">
        <v>20201118</v>
      </c>
    </row>
    <row r="228" ht="16" customHeight="1" spans="1:12">
      <c r="A228" s="102">
        <v>226</v>
      </c>
      <c r="B228" s="102" t="s">
        <v>13533</v>
      </c>
      <c r="C228" s="32" t="s">
        <v>552</v>
      </c>
      <c r="D228" s="32" t="str">
        <f>"152326196507067127"</f>
        <v>152326196507067127</v>
      </c>
      <c r="E228" s="102">
        <v>2020</v>
      </c>
      <c r="F228" s="102">
        <v>2020</v>
      </c>
      <c r="G228" s="137" t="s">
        <v>2480</v>
      </c>
      <c r="H228" s="32">
        <v>200</v>
      </c>
      <c r="I228" s="32">
        <v>200</v>
      </c>
      <c r="J228" s="62"/>
      <c r="K228" s="104"/>
      <c r="L228" s="105">
        <v>20201118</v>
      </c>
    </row>
    <row r="229" ht="16" customHeight="1" spans="1:12">
      <c r="A229" s="102">
        <v>227</v>
      </c>
      <c r="B229" s="102" t="s">
        <v>13533</v>
      </c>
      <c r="C229" s="32" t="s">
        <v>13757</v>
      </c>
      <c r="D229" s="32" t="str">
        <f>"152326196501237113"</f>
        <v>152326196501237113</v>
      </c>
      <c r="E229" s="102">
        <v>2020</v>
      </c>
      <c r="F229" s="102">
        <v>2020</v>
      </c>
      <c r="G229" s="137" t="s">
        <v>2480</v>
      </c>
      <c r="H229" s="32">
        <v>200</v>
      </c>
      <c r="I229" s="32">
        <v>200</v>
      </c>
      <c r="J229" s="62"/>
      <c r="K229" s="104"/>
      <c r="L229" s="105">
        <v>20201118</v>
      </c>
    </row>
    <row r="230" ht="16" customHeight="1" spans="1:12">
      <c r="A230" s="102">
        <v>228</v>
      </c>
      <c r="B230" s="102" t="s">
        <v>13533</v>
      </c>
      <c r="C230" s="32" t="s">
        <v>13758</v>
      </c>
      <c r="D230" s="32" t="str">
        <f>"152326196506047140"</f>
        <v>152326196506047140</v>
      </c>
      <c r="E230" s="102">
        <v>2020</v>
      </c>
      <c r="F230" s="102">
        <v>2020</v>
      </c>
      <c r="G230" s="137" t="s">
        <v>2480</v>
      </c>
      <c r="H230" s="32">
        <v>200</v>
      </c>
      <c r="I230" s="32">
        <v>200</v>
      </c>
      <c r="J230" s="62"/>
      <c r="K230" s="104"/>
      <c r="L230" s="105">
        <v>20201118</v>
      </c>
    </row>
    <row r="231" ht="16" customHeight="1" spans="1:12">
      <c r="A231" s="102">
        <v>229</v>
      </c>
      <c r="B231" s="102" t="s">
        <v>13533</v>
      </c>
      <c r="C231" s="32" t="s">
        <v>13759</v>
      </c>
      <c r="D231" s="32" t="str">
        <f>"152326196510297126"</f>
        <v>152326196510297126</v>
      </c>
      <c r="E231" s="102">
        <v>2020</v>
      </c>
      <c r="F231" s="102">
        <v>2020</v>
      </c>
      <c r="G231" s="137" t="s">
        <v>2480</v>
      </c>
      <c r="H231" s="32">
        <v>200</v>
      </c>
      <c r="I231" s="32">
        <v>200</v>
      </c>
      <c r="J231" s="32"/>
      <c r="K231" s="104"/>
      <c r="L231" s="105">
        <v>20201118</v>
      </c>
    </row>
    <row r="232" ht="16" customHeight="1" spans="1:12">
      <c r="A232" s="102">
        <v>230</v>
      </c>
      <c r="B232" s="102" t="s">
        <v>13533</v>
      </c>
      <c r="C232" s="32" t="s">
        <v>13760</v>
      </c>
      <c r="D232" s="32" t="str">
        <f>"152326196404037128"</f>
        <v>152326196404037128</v>
      </c>
      <c r="E232" s="102">
        <v>2020</v>
      </c>
      <c r="F232" s="102">
        <v>2020</v>
      </c>
      <c r="G232" s="137" t="s">
        <v>2480</v>
      </c>
      <c r="H232" s="32">
        <v>200</v>
      </c>
      <c r="I232" s="32">
        <v>200</v>
      </c>
      <c r="J232" s="32"/>
      <c r="K232" s="104"/>
      <c r="L232" s="105">
        <v>20201118</v>
      </c>
    </row>
    <row r="233" ht="16" customHeight="1" spans="1:12">
      <c r="A233" s="102">
        <v>231</v>
      </c>
      <c r="B233" s="102" t="s">
        <v>13533</v>
      </c>
      <c r="C233" s="32" t="s">
        <v>13761</v>
      </c>
      <c r="D233" s="32" t="str">
        <f>"152326196408227113"</f>
        <v>152326196408227113</v>
      </c>
      <c r="E233" s="102">
        <v>2020</v>
      </c>
      <c r="F233" s="102">
        <v>2020</v>
      </c>
      <c r="G233" s="137" t="s">
        <v>2480</v>
      </c>
      <c r="H233" s="32">
        <v>200</v>
      </c>
      <c r="I233" s="32">
        <v>200</v>
      </c>
      <c r="J233" s="32"/>
      <c r="K233" s="104"/>
      <c r="L233" s="105">
        <v>20201118</v>
      </c>
    </row>
    <row r="234" ht="16" customHeight="1" spans="1:12">
      <c r="A234" s="102">
        <v>232</v>
      </c>
      <c r="B234" s="102" t="s">
        <v>13533</v>
      </c>
      <c r="C234" s="32" t="s">
        <v>13762</v>
      </c>
      <c r="D234" s="32" t="str">
        <f>"152326196410157126"</f>
        <v>152326196410157126</v>
      </c>
      <c r="E234" s="102">
        <v>2020</v>
      </c>
      <c r="F234" s="102">
        <v>2020</v>
      </c>
      <c r="G234" s="137" t="s">
        <v>2480</v>
      </c>
      <c r="H234" s="32">
        <v>200</v>
      </c>
      <c r="I234" s="32">
        <v>200</v>
      </c>
      <c r="J234" s="62"/>
      <c r="K234" s="104"/>
      <c r="L234" s="105">
        <v>20201118</v>
      </c>
    </row>
    <row r="235" ht="16" customHeight="1" spans="1:12">
      <c r="A235" s="102">
        <v>233</v>
      </c>
      <c r="B235" s="102" t="s">
        <v>13533</v>
      </c>
      <c r="C235" s="32" t="s">
        <v>8531</v>
      </c>
      <c r="D235" s="32" t="str">
        <f>"152326196410067147"</f>
        <v>152326196410067147</v>
      </c>
      <c r="E235" s="102">
        <v>2020</v>
      </c>
      <c r="F235" s="102">
        <v>2020</v>
      </c>
      <c r="G235" s="137" t="s">
        <v>2480</v>
      </c>
      <c r="H235" s="32">
        <v>200</v>
      </c>
      <c r="I235" s="32">
        <v>200</v>
      </c>
      <c r="J235" s="32"/>
      <c r="K235" s="104"/>
      <c r="L235" s="105">
        <v>20201118</v>
      </c>
    </row>
    <row r="236" ht="16" customHeight="1" spans="1:12">
      <c r="A236" s="102">
        <v>234</v>
      </c>
      <c r="B236" s="102" t="s">
        <v>13533</v>
      </c>
      <c r="C236" s="32" t="s">
        <v>13763</v>
      </c>
      <c r="D236" s="32" t="str">
        <f>"152326196405107124"</f>
        <v>152326196405107124</v>
      </c>
      <c r="E236" s="102">
        <v>2020</v>
      </c>
      <c r="F236" s="102">
        <v>2020</v>
      </c>
      <c r="G236" s="137" t="s">
        <v>2480</v>
      </c>
      <c r="H236" s="32">
        <v>200</v>
      </c>
      <c r="I236" s="32">
        <v>200</v>
      </c>
      <c r="J236" s="32"/>
      <c r="K236" s="104"/>
      <c r="L236" s="105">
        <v>20201118</v>
      </c>
    </row>
    <row r="237" ht="16" customHeight="1" spans="1:12">
      <c r="A237" s="102">
        <v>235</v>
      </c>
      <c r="B237" s="102" t="s">
        <v>13533</v>
      </c>
      <c r="C237" s="32" t="s">
        <v>13764</v>
      </c>
      <c r="D237" s="32" t="str">
        <f>"152326196402087121"</f>
        <v>152326196402087121</v>
      </c>
      <c r="E237" s="102">
        <v>2020</v>
      </c>
      <c r="F237" s="102">
        <v>2020</v>
      </c>
      <c r="G237" s="137" t="s">
        <v>2480</v>
      </c>
      <c r="H237" s="32">
        <v>500</v>
      </c>
      <c r="I237" s="32">
        <v>500</v>
      </c>
      <c r="J237" s="62"/>
      <c r="K237" s="104"/>
      <c r="L237" s="105">
        <v>20201118</v>
      </c>
    </row>
    <row r="238" ht="16" customHeight="1" spans="1:12">
      <c r="A238" s="102">
        <v>236</v>
      </c>
      <c r="B238" s="102" t="s">
        <v>13533</v>
      </c>
      <c r="C238" s="32" t="s">
        <v>13765</v>
      </c>
      <c r="D238" s="32" t="str">
        <f>"152326196406297118"</f>
        <v>152326196406297118</v>
      </c>
      <c r="E238" s="102">
        <v>2020</v>
      </c>
      <c r="F238" s="102">
        <v>2020</v>
      </c>
      <c r="G238" s="137" t="s">
        <v>2480</v>
      </c>
      <c r="H238" s="32">
        <v>200</v>
      </c>
      <c r="I238" s="32">
        <v>200</v>
      </c>
      <c r="J238" s="62"/>
      <c r="K238" s="104"/>
      <c r="L238" s="105">
        <v>20201118</v>
      </c>
    </row>
    <row r="239" ht="16" customHeight="1" spans="1:12">
      <c r="A239" s="102">
        <v>237</v>
      </c>
      <c r="B239" s="102" t="s">
        <v>13533</v>
      </c>
      <c r="C239" s="32" t="s">
        <v>13766</v>
      </c>
      <c r="D239" s="32" t="str">
        <f>"152326196408067113"</f>
        <v>152326196408067113</v>
      </c>
      <c r="E239" s="102">
        <v>2020</v>
      </c>
      <c r="F239" s="102">
        <v>2020</v>
      </c>
      <c r="G239" s="137" t="s">
        <v>2480</v>
      </c>
      <c r="H239" s="32">
        <v>200</v>
      </c>
      <c r="I239" s="32">
        <v>200</v>
      </c>
      <c r="J239" s="62"/>
      <c r="K239" s="104"/>
      <c r="L239" s="105">
        <v>20201118</v>
      </c>
    </row>
    <row r="240" ht="16" customHeight="1" spans="1:12">
      <c r="A240" s="102">
        <v>238</v>
      </c>
      <c r="B240" s="102" t="s">
        <v>13533</v>
      </c>
      <c r="C240" s="32" t="s">
        <v>13767</v>
      </c>
      <c r="D240" s="32" t="str">
        <f>"152326196401267120"</f>
        <v>152326196401267120</v>
      </c>
      <c r="E240" s="102">
        <v>2020</v>
      </c>
      <c r="F240" s="102">
        <v>2020</v>
      </c>
      <c r="G240" s="137" t="s">
        <v>2480</v>
      </c>
      <c r="H240" s="32">
        <v>200</v>
      </c>
      <c r="I240" s="32">
        <v>200</v>
      </c>
      <c r="J240" s="32"/>
      <c r="K240" s="104"/>
      <c r="L240" s="105">
        <v>20201118</v>
      </c>
    </row>
    <row r="241" ht="16" customHeight="1" spans="1:12">
      <c r="A241" s="102">
        <v>239</v>
      </c>
      <c r="B241" s="102" t="s">
        <v>13533</v>
      </c>
      <c r="C241" s="32" t="s">
        <v>13768</v>
      </c>
      <c r="D241" s="32" t="str">
        <f>"152326196405197131"</f>
        <v>152326196405197131</v>
      </c>
      <c r="E241" s="102">
        <v>2020</v>
      </c>
      <c r="F241" s="102">
        <v>2020</v>
      </c>
      <c r="G241" s="137" t="s">
        <v>2480</v>
      </c>
      <c r="H241" s="32">
        <v>200</v>
      </c>
      <c r="I241" s="32">
        <v>200</v>
      </c>
      <c r="J241" s="32"/>
      <c r="K241" s="104"/>
      <c r="L241" s="105">
        <v>20201118</v>
      </c>
    </row>
    <row r="242" ht="16" customHeight="1" spans="1:12">
      <c r="A242" s="102">
        <v>240</v>
      </c>
      <c r="B242" s="102" t="s">
        <v>13533</v>
      </c>
      <c r="C242" s="32" t="s">
        <v>13398</v>
      </c>
      <c r="D242" s="32" t="s">
        <v>13769</v>
      </c>
      <c r="E242" s="102">
        <v>2020</v>
      </c>
      <c r="F242" s="102">
        <v>2020</v>
      </c>
      <c r="G242" s="137" t="s">
        <v>2480</v>
      </c>
      <c r="H242" s="32">
        <v>200</v>
      </c>
      <c r="I242" s="32">
        <v>200</v>
      </c>
      <c r="J242" s="32"/>
      <c r="K242" s="104"/>
      <c r="L242" s="105">
        <v>20201118</v>
      </c>
    </row>
    <row r="243" ht="16" customHeight="1" spans="1:12">
      <c r="A243" s="102">
        <v>241</v>
      </c>
      <c r="B243" s="102" t="s">
        <v>13533</v>
      </c>
      <c r="C243" s="32" t="s">
        <v>13770</v>
      </c>
      <c r="D243" s="32" t="str">
        <f>"152326196411057119"</f>
        <v>152326196411057119</v>
      </c>
      <c r="E243" s="102">
        <v>2020</v>
      </c>
      <c r="F243" s="102">
        <v>2020</v>
      </c>
      <c r="G243" s="137" t="s">
        <v>2480</v>
      </c>
      <c r="H243" s="32">
        <v>500</v>
      </c>
      <c r="I243" s="32">
        <v>500</v>
      </c>
      <c r="J243" s="62"/>
      <c r="K243" s="104"/>
      <c r="L243" s="105">
        <v>20201118</v>
      </c>
    </row>
    <row r="244" ht="16" customHeight="1" spans="1:12">
      <c r="A244" s="102">
        <v>242</v>
      </c>
      <c r="B244" s="102" t="s">
        <v>13533</v>
      </c>
      <c r="C244" s="32" t="s">
        <v>13771</v>
      </c>
      <c r="D244" s="32" t="str">
        <f>"152326196409227123"</f>
        <v>152326196409227123</v>
      </c>
      <c r="E244" s="102">
        <v>2020</v>
      </c>
      <c r="F244" s="102">
        <v>2020</v>
      </c>
      <c r="G244" s="137" t="s">
        <v>2480</v>
      </c>
      <c r="H244" s="32">
        <v>200</v>
      </c>
      <c r="I244" s="32">
        <v>200</v>
      </c>
      <c r="J244" s="32"/>
      <c r="K244" s="104"/>
      <c r="L244" s="105">
        <v>20201118</v>
      </c>
    </row>
    <row r="245" ht="16" customHeight="1" spans="1:12">
      <c r="A245" s="102">
        <v>243</v>
      </c>
      <c r="B245" s="102" t="s">
        <v>13533</v>
      </c>
      <c r="C245" s="32" t="s">
        <v>13772</v>
      </c>
      <c r="D245" s="32" t="str">
        <f>"152326196411087123"</f>
        <v>152326196411087123</v>
      </c>
      <c r="E245" s="102">
        <v>2020</v>
      </c>
      <c r="F245" s="102">
        <v>2020</v>
      </c>
      <c r="G245" s="137" t="s">
        <v>2480</v>
      </c>
      <c r="H245" s="32">
        <v>200</v>
      </c>
      <c r="I245" s="32">
        <v>200</v>
      </c>
      <c r="J245" s="32"/>
      <c r="K245" s="104"/>
      <c r="L245" s="105">
        <v>20201118</v>
      </c>
    </row>
    <row r="246" ht="16" customHeight="1" spans="1:12">
      <c r="A246" s="102">
        <v>244</v>
      </c>
      <c r="B246" s="102" t="s">
        <v>13533</v>
      </c>
      <c r="C246" s="32" t="s">
        <v>13773</v>
      </c>
      <c r="D246" s="32" t="s">
        <v>13774</v>
      </c>
      <c r="E246" s="102">
        <v>2020</v>
      </c>
      <c r="F246" s="102">
        <v>2020</v>
      </c>
      <c r="G246" s="137" t="s">
        <v>2480</v>
      </c>
      <c r="H246" s="32">
        <v>1000</v>
      </c>
      <c r="I246" s="32">
        <v>1000</v>
      </c>
      <c r="J246" s="32"/>
      <c r="K246" s="104"/>
      <c r="L246" s="105">
        <v>20201118</v>
      </c>
    </row>
    <row r="247" ht="16" customHeight="1" spans="1:12">
      <c r="A247" s="102">
        <v>245</v>
      </c>
      <c r="B247" s="102" t="s">
        <v>13533</v>
      </c>
      <c r="C247" s="32" t="s">
        <v>13775</v>
      </c>
      <c r="D247" s="32" t="str">
        <f>"152326196410277128"</f>
        <v>152326196410277128</v>
      </c>
      <c r="E247" s="102">
        <v>2020</v>
      </c>
      <c r="F247" s="102">
        <v>2020</v>
      </c>
      <c r="G247" s="137" t="s">
        <v>2480</v>
      </c>
      <c r="H247" s="32">
        <v>200</v>
      </c>
      <c r="I247" s="32">
        <v>200</v>
      </c>
      <c r="J247" s="32"/>
      <c r="K247" s="104"/>
      <c r="L247" s="105">
        <v>20201118</v>
      </c>
    </row>
    <row r="248" ht="16" customHeight="1" spans="1:12">
      <c r="A248" s="102">
        <v>246</v>
      </c>
      <c r="B248" s="102" t="s">
        <v>13533</v>
      </c>
      <c r="C248" s="32" t="s">
        <v>13776</v>
      </c>
      <c r="D248" s="32" t="str">
        <f>"152326196402077126"</f>
        <v>152326196402077126</v>
      </c>
      <c r="E248" s="102">
        <v>2020</v>
      </c>
      <c r="F248" s="102">
        <v>2020</v>
      </c>
      <c r="G248" s="137" t="s">
        <v>2480</v>
      </c>
      <c r="H248" s="32" t="s">
        <v>4178</v>
      </c>
      <c r="I248" s="32">
        <v>3000</v>
      </c>
      <c r="J248" s="32"/>
      <c r="K248" s="104"/>
      <c r="L248" s="105">
        <v>20201118</v>
      </c>
    </row>
    <row r="249" ht="16" customHeight="1" spans="1:12">
      <c r="A249" s="102">
        <v>247</v>
      </c>
      <c r="B249" s="102" t="s">
        <v>13533</v>
      </c>
      <c r="C249" s="32" t="s">
        <v>13777</v>
      </c>
      <c r="D249" s="32" t="str">
        <f>"152326196312157122"</f>
        <v>152326196312157122</v>
      </c>
      <c r="E249" s="102">
        <v>2020</v>
      </c>
      <c r="F249" s="102">
        <v>2020</v>
      </c>
      <c r="G249" s="137" t="s">
        <v>2480</v>
      </c>
      <c r="H249" s="32">
        <v>200</v>
      </c>
      <c r="I249" s="32">
        <v>200</v>
      </c>
      <c r="J249" s="32"/>
      <c r="K249" s="104"/>
      <c r="L249" s="105">
        <v>20201118</v>
      </c>
    </row>
    <row r="250" ht="16" customHeight="1" spans="1:12">
      <c r="A250" s="102">
        <v>248</v>
      </c>
      <c r="B250" s="102" t="s">
        <v>13533</v>
      </c>
      <c r="C250" s="32" t="s">
        <v>13778</v>
      </c>
      <c r="D250" s="32" t="str">
        <f>"152326196307027139"</f>
        <v>152326196307027139</v>
      </c>
      <c r="E250" s="102">
        <v>2020</v>
      </c>
      <c r="F250" s="102">
        <v>2020</v>
      </c>
      <c r="G250" s="137" t="s">
        <v>2480</v>
      </c>
      <c r="H250" s="32">
        <v>200</v>
      </c>
      <c r="I250" s="32">
        <v>200</v>
      </c>
      <c r="J250" s="32"/>
      <c r="K250" s="104"/>
      <c r="L250" s="105">
        <v>20201118</v>
      </c>
    </row>
    <row r="251" ht="16" customHeight="1" spans="1:12">
      <c r="A251" s="102">
        <v>249</v>
      </c>
      <c r="B251" s="102" t="s">
        <v>13533</v>
      </c>
      <c r="C251" s="32" t="s">
        <v>13779</v>
      </c>
      <c r="D251" s="32" t="str">
        <f>"152326196309167127"</f>
        <v>152326196309167127</v>
      </c>
      <c r="E251" s="102">
        <v>2020</v>
      </c>
      <c r="F251" s="102">
        <v>2020</v>
      </c>
      <c r="G251" s="137" t="s">
        <v>2480</v>
      </c>
      <c r="H251" s="32">
        <v>200</v>
      </c>
      <c r="I251" s="32">
        <v>200</v>
      </c>
      <c r="J251" s="32"/>
      <c r="K251" s="104"/>
      <c r="L251" s="105">
        <v>20201118</v>
      </c>
    </row>
    <row r="252" ht="16" customHeight="1" spans="1:12">
      <c r="A252" s="102">
        <v>250</v>
      </c>
      <c r="B252" s="102" t="s">
        <v>13533</v>
      </c>
      <c r="C252" s="32" t="s">
        <v>13780</v>
      </c>
      <c r="D252" s="32" t="s">
        <v>13781</v>
      </c>
      <c r="E252" s="102">
        <v>2020</v>
      </c>
      <c r="F252" s="102">
        <v>2020</v>
      </c>
      <c r="G252" s="137" t="s">
        <v>2480</v>
      </c>
      <c r="H252" s="32">
        <v>200</v>
      </c>
      <c r="I252" s="32">
        <v>200</v>
      </c>
      <c r="J252" s="81" t="s">
        <v>108</v>
      </c>
      <c r="K252" s="104"/>
      <c r="L252" s="105">
        <v>20201118</v>
      </c>
    </row>
    <row r="253" ht="16" customHeight="1" spans="1:12">
      <c r="A253" s="102">
        <v>251</v>
      </c>
      <c r="B253" s="102" t="s">
        <v>13533</v>
      </c>
      <c r="C253" s="32" t="s">
        <v>13782</v>
      </c>
      <c r="D253" s="32" t="str">
        <f>"152326196303147168"</f>
        <v>152326196303147168</v>
      </c>
      <c r="E253" s="102">
        <v>2020</v>
      </c>
      <c r="F253" s="102">
        <v>2020</v>
      </c>
      <c r="G253" s="137" t="s">
        <v>2480</v>
      </c>
      <c r="H253" s="32">
        <v>200</v>
      </c>
      <c r="I253" s="32">
        <v>200</v>
      </c>
      <c r="J253" s="32"/>
      <c r="K253" s="104"/>
      <c r="L253" s="105">
        <v>20201118</v>
      </c>
    </row>
    <row r="254" ht="16" customHeight="1" spans="1:12">
      <c r="A254" s="102">
        <v>252</v>
      </c>
      <c r="B254" s="102" t="s">
        <v>13533</v>
      </c>
      <c r="C254" s="32" t="s">
        <v>11844</v>
      </c>
      <c r="D254" s="32" t="str">
        <f>"152326196310237110"</f>
        <v>152326196310237110</v>
      </c>
      <c r="E254" s="102">
        <v>2020</v>
      </c>
      <c r="F254" s="102">
        <v>2020</v>
      </c>
      <c r="G254" s="137" t="s">
        <v>2480</v>
      </c>
      <c r="H254" s="32">
        <v>200</v>
      </c>
      <c r="I254" s="32">
        <v>200</v>
      </c>
      <c r="J254" s="32"/>
      <c r="K254" s="104"/>
      <c r="L254" s="105">
        <v>20201118</v>
      </c>
    </row>
    <row r="255" ht="16" customHeight="1" spans="1:12">
      <c r="A255" s="102">
        <v>253</v>
      </c>
      <c r="B255" s="102" t="s">
        <v>13533</v>
      </c>
      <c r="C255" s="32" t="s">
        <v>13767</v>
      </c>
      <c r="D255" s="32" t="s">
        <v>13783</v>
      </c>
      <c r="E255" s="102">
        <v>2020</v>
      </c>
      <c r="F255" s="102">
        <v>2020</v>
      </c>
      <c r="G255" s="137" t="s">
        <v>2480</v>
      </c>
      <c r="H255" s="32">
        <v>200</v>
      </c>
      <c r="I255" s="32">
        <v>200</v>
      </c>
      <c r="J255" s="32"/>
      <c r="K255" s="104"/>
      <c r="L255" s="105">
        <v>20201118</v>
      </c>
    </row>
    <row r="256" ht="16" customHeight="1" spans="1:12">
      <c r="A256" s="102">
        <v>254</v>
      </c>
      <c r="B256" s="102" t="s">
        <v>13533</v>
      </c>
      <c r="C256" s="32" t="s">
        <v>13784</v>
      </c>
      <c r="D256" s="32" t="s">
        <v>13785</v>
      </c>
      <c r="E256" s="102">
        <v>2020</v>
      </c>
      <c r="F256" s="102">
        <v>2020</v>
      </c>
      <c r="G256" s="137" t="s">
        <v>2480</v>
      </c>
      <c r="H256" s="32">
        <v>200</v>
      </c>
      <c r="I256" s="32">
        <v>200</v>
      </c>
      <c r="J256" s="32"/>
      <c r="K256" s="104"/>
      <c r="L256" s="105">
        <v>20201118</v>
      </c>
    </row>
    <row r="257" ht="16" customHeight="1" spans="1:12">
      <c r="A257" s="102">
        <v>255</v>
      </c>
      <c r="B257" s="102" t="s">
        <v>13533</v>
      </c>
      <c r="C257" s="32" t="s">
        <v>13786</v>
      </c>
      <c r="D257" s="32" t="str">
        <f>"152326196312067119"</f>
        <v>152326196312067119</v>
      </c>
      <c r="E257" s="102">
        <v>2020</v>
      </c>
      <c r="F257" s="102">
        <v>2020</v>
      </c>
      <c r="G257" s="137" t="s">
        <v>2480</v>
      </c>
      <c r="H257" s="32">
        <v>200</v>
      </c>
      <c r="I257" s="32">
        <v>200</v>
      </c>
      <c r="J257" s="32"/>
      <c r="K257" s="104"/>
      <c r="L257" s="105">
        <v>20201118</v>
      </c>
    </row>
    <row r="258" ht="16" customHeight="1" spans="1:12">
      <c r="A258" s="102">
        <v>256</v>
      </c>
      <c r="B258" s="102" t="s">
        <v>13533</v>
      </c>
      <c r="C258" s="32" t="s">
        <v>13787</v>
      </c>
      <c r="D258" s="32" t="str">
        <f>"152326196307107112"</f>
        <v>152326196307107112</v>
      </c>
      <c r="E258" s="102">
        <v>2020</v>
      </c>
      <c r="F258" s="102">
        <v>2020</v>
      </c>
      <c r="G258" s="137" t="s">
        <v>2480</v>
      </c>
      <c r="H258" s="32">
        <v>200</v>
      </c>
      <c r="I258" s="32">
        <v>200</v>
      </c>
      <c r="J258" s="32"/>
      <c r="K258" s="104"/>
      <c r="L258" s="105">
        <v>20201118</v>
      </c>
    </row>
    <row r="259" ht="16" customHeight="1" spans="1:12">
      <c r="A259" s="102">
        <v>257</v>
      </c>
      <c r="B259" s="102" t="s">
        <v>13533</v>
      </c>
      <c r="C259" s="32" t="s">
        <v>13788</v>
      </c>
      <c r="D259" s="32" t="str">
        <f>"152326196309067118"</f>
        <v>152326196309067118</v>
      </c>
      <c r="E259" s="102">
        <v>2020</v>
      </c>
      <c r="F259" s="102">
        <v>2020</v>
      </c>
      <c r="G259" s="137" t="s">
        <v>2480</v>
      </c>
      <c r="H259" s="32">
        <v>200</v>
      </c>
      <c r="I259" s="32">
        <v>200</v>
      </c>
      <c r="J259" s="32"/>
      <c r="K259" s="104"/>
      <c r="L259" s="105">
        <v>20201118</v>
      </c>
    </row>
    <row r="260" ht="16" customHeight="1" spans="1:12">
      <c r="A260" s="102">
        <v>258</v>
      </c>
      <c r="B260" s="102" t="s">
        <v>13533</v>
      </c>
      <c r="C260" s="32" t="s">
        <v>3573</v>
      </c>
      <c r="D260" s="32" t="str">
        <f>"152326196311267135"</f>
        <v>152326196311267135</v>
      </c>
      <c r="E260" s="102">
        <v>2020</v>
      </c>
      <c r="F260" s="102">
        <v>2020</v>
      </c>
      <c r="G260" s="137" t="s">
        <v>2480</v>
      </c>
      <c r="H260" s="32">
        <v>200</v>
      </c>
      <c r="I260" s="32">
        <v>200</v>
      </c>
      <c r="J260" s="32"/>
      <c r="K260" s="104"/>
      <c r="L260" s="105">
        <v>20201118</v>
      </c>
    </row>
    <row r="261" ht="16" customHeight="1" spans="1:12">
      <c r="A261" s="102">
        <v>259</v>
      </c>
      <c r="B261" s="102" t="s">
        <v>13533</v>
      </c>
      <c r="C261" s="32" t="s">
        <v>4069</v>
      </c>
      <c r="D261" s="32" t="str">
        <f>"152326196310167140"</f>
        <v>152326196310167140</v>
      </c>
      <c r="E261" s="102">
        <v>2020</v>
      </c>
      <c r="F261" s="102">
        <v>2020</v>
      </c>
      <c r="G261" s="137" t="s">
        <v>2480</v>
      </c>
      <c r="H261" s="32">
        <v>200</v>
      </c>
      <c r="I261" s="32">
        <v>200</v>
      </c>
      <c r="J261" s="32"/>
      <c r="K261" s="104"/>
      <c r="L261" s="105">
        <v>20201118</v>
      </c>
    </row>
    <row r="262" ht="16" customHeight="1" spans="1:12">
      <c r="A262" s="102">
        <v>260</v>
      </c>
      <c r="B262" s="102" t="s">
        <v>13533</v>
      </c>
      <c r="C262" s="32" t="s">
        <v>13789</v>
      </c>
      <c r="D262" s="32" t="str">
        <f>"152326196311167126"</f>
        <v>152326196311167126</v>
      </c>
      <c r="E262" s="102">
        <v>2020</v>
      </c>
      <c r="F262" s="102">
        <v>2020</v>
      </c>
      <c r="G262" s="137" t="s">
        <v>2480</v>
      </c>
      <c r="H262" s="32">
        <v>200</v>
      </c>
      <c r="I262" s="32">
        <v>200</v>
      </c>
      <c r="J262" s="32"/>
      <c r="K262" s="104"/>
      <c r="L262" s="105">
        <v>20201118</v>
      </c>
    </row>
    <row r="263" ht="16" customHeight="1" spans="1:12">
      <c r="A263" s="102">
        <v>261</v>
      </c>
      <c r="B263" s="102" t="s">
        <v>13533</v>
      </c>
      <c r="C263" s="32" t="s">
        <v>13790</v>
      </c>
      <c r="D263" s="32" t="str">
        <f>"152326196301027111"</f>
        <v>152326196301027111</v>
      </c>
      <c r="E263" s="102">
        <v>2020</v>
      </c>
      <c r="F263" s="102">
        <v>2020</v>
      </c>
      <c r="G263" s="137" t="s">
        <v>2480</v>
      </c>
      <c r="H263" s="32">
        <v>200</v>
      </c>
      <c r="I263" s="32">
        <v>200</v>
      </c>
      <c r="J263" s="32"/>
      <c r="K263" s="104"/>
      <c r="L263" s="105">
        <v>20201118</v>
      </c>
    </row>
    <row r="264" ht="16" customHeight="1" spans="1:12">
      <c r="A264" s="102">
        <v>262</v>
      </c>
      <c r="B264" s="102" t="s">
        <v>13533</v>
      </c>
      <c r="C264" s="32" t="s">
        <v>13791</v>
      </c>
      <c r="D264" s="32" t="str">
        <f>"152326196304197116"</f>
        <v>152326196304197116</v>
      </c>
      <c r="E264" s="102">
        <v>2020</v>
      </c>
      <c r="F264" s="102">
        <v>2020</v>
      </c>
      <c r="G264" s="137" t="s">
        <v>2480</v>
      </c>
      <c r="H264" s="32">
        <v>200</v>
      </c>
      <c r="I264" s="32">
        <v>200</v>
      </c>
      <c r="J264" s="32"/>
      <c r="K264" s="104"/>
      <c r="L264" s="105">
        <v>20201118</v>
      </c>
    </row>
    <row r="265" ht="16" customHeight="1" spans="1:12">
      <c r="A265" s="102">
        <v>263</v>
      </c>
      <c r="B265" s="102" t="s">
        <v>13533</v>
      </c>
      <c r="C265" s="32" t="s">
        <v>13792</v>
      </c>
      <c r="D265" s="32" t="s">
        <v>13793</v>
      </c>
      <c r="E265" s="102">
        <v>2020</v>
      </c>
      <c r="F265" s="102">
        <v>2020</v>
      </c>
      <c r="G265" s="137" t="s">
        <v>2480</v>
      </c>
      <c r="H265" s="32">
        <v>200</v>
      </c>
      <c r="I265" s="32">
        <v>200</v>
      </c>
      <c r="J265" s="32"/>
      <c r="K265" s="104"/>
      <c r="L265" s="105">
        <v>20201118</v>
      </c>
    </row>
    <row r="266" ht="16" customHeight="1" spans="1:12">
      <c r="A266" s="102">
        <v>264</v>
      </c>
      <c r="B266" s="102" t="s">
        <v>13533</v>
      </c>
      <c r="C266" s="32" t="s">
        <v>13794</v>
      </c>
      <c r="D266" s="32" t="str">
        <f>"152326196209147110"</f>
        <v>152326196209147110</v>
      </c>
      <c r="E266" s="102">
        <v>2020</v>
      </c>
      <c r="F266" s="102">
        <v>2020</v>
      </c>
      <c r="G266" s="137" t="s">
        <v>2480</v>
      </c>
      <c r="H266" s="32">
        <v>200</v>
      </c>
      <c r="I266" s="32">
        <v>200</v>
      </c>
      <c r="J266" s="32"/>
      <c r="K266" s="104"/>
      <c r="L266" s="105">
        <v>20201118</v>
      </c>
    </row>
    <row r="267" ht="16" customHeight="1" spans="1:12">
      <c r="A267" s="102">
        <v>265</v>
      </c>
      <c r="B267" s="102" t="s">
        <v>13533</v>
      </c>
      <c r="C267" s="32" t="s">
        <v>13795</v>
      </c>
      <c r="D267" s="32" t="str">
        <f>"152326196207227125"</f>
        <v>152326196207227125</v>
      </c>
      <c r="E267" s="102">
        <v>2020</v>
      </c>
      <c r="F267" s="102">
        <v>2020</v>
      </c>
      <c r="G267" s="137" t="s">
        <v>2480</v>
      </c>
      <c r="H267" s="32">
        <v>200</v>
      </c>
      <c r="I267" s="32">
        <v>200</v>
      </c>
      <c r="J267" s="32"/>
      <c r="K267" s="104"/>
      <c r="L267" s="105">
        <v>20201118</v>
      </c>
    </row>
    <row r="268" ht="16" customHeight="1" spans="1:12">
      <c r="A268" s="102">
        <v>266</v>
      </c>
      <c r="B268" s="102" t="s">
        <v>13533</v>
      </c>
      <c r="C268" s="32" t="s">
        <v>13796</v>
      </c>
      <c r="D268" s="32" t="str">
        <f>"152326196209017121"</f>
        <v>152326196209017121</v>
      </c>
      <c r="E268" s="102">
        <v>2020</v>
      </c>
      <c r="F268" s="102">
        <v>2020</v>
      </c>
      <c r="G268" s="137" t="s">
        <v>2480</v>
      </c>
      <c r="H268" s="32">
        <v>200</v>
      </c>
      <c r="I268" s="32">
        <v>200</v>
      </c>
      <c r="J268" s="32"/>
      <c r="K268" s="104"/>
      <c r="L268" s="105">
        <v>20201118</v>
      </c>
    </row>
    <row r="269" ht="16" customHeight="1" spans="1:12">
      <c r="A269" s="102">
        <v>267</v>
      </c>
      <c r="B269" s="102" t="s">
        <v>13533</v>
      </c>
      <c r="C269" s="32" t="s">
        <v>13797</v>
      </c>
      <c r="D269" s="32" t="str">
        <f>"152326196210207141"</f>
        <v>152326196210207141</v>
      </c>
      <c r="E269" s="102">
        <v>2020</v>
      </c>
      <c r="F269" s="102">
        <v>2020</v>
      </c>
      <c r="G269" s="137" t="s">
        <v>2480</v>
      </c>
      <c r="H269" s="32">
        <v>200</v>
      </c>
      <c r="I269" s="32">
        <v>200</v>
      </c>
      <c r="J269" s="32"/>
      <c r="K269" s="104"/>
      <c r="L269" s="105">
        <v>20201118</v>
      </c>
    </row>
    <row r="270" ht="16" customHeight="1" spans="1:12">
      <c r="A270" s="102">
        <v>268</v>
      </c>
      <c r="B270" s="102" t="s">
        <v>13533</v>
      </c>
      <c r="C270" s="32" t="s">
        <v>13798</v>
      </c>
      <c r="D270" s="32" t="str">
        <f>"152326196203087129"</f>
        <v>152326196203087129</v>
      </c>
      <c r="E270" s="102">
        <v>2020</v>
      </c>
      <c r="F270" s="102">
        <v>2020</v>
      </c>
      <c r="G270" s="137" t="s">
        <v>2480</v>
      </c>
      <c r="H270" s="32">
        <v>1000</v>
      </c>
      <c r="I270" s="32">
        <v>1000</v>
      </c>
      <c r="J270" s="32"/>
      <c r="K270" s="104"/>
      <c r="L270" s="105">
        <v>20201118</v>
      </c>
    </row>
    <row r="271" ht="16" customHeight="1" spans="1:12">
      <c r="A271" s="102">
        <v>269</v>
      </c>
      <c r="B271" s="102" t="s">
        <v>13533</v>
      </c>
      <c r="C271" s="32" t="s">
        <v>4069</v>
      </c>
      <c r="D271" s="32" t="str">
        <f>"152326196203207127"</f>
        <v>152326196203207127</v>
      </c>
      <c r="E271" s="102">
        <v>2020</v>
      </c>
      <c r="F271" s="102">
        <v>2020</v>
      </c>
      <c r="G271" s="137" t="s">
        <v>2480</v>
      </c>
      <c r="H271" s="32">
        <v>200</v>
      </c>
      <c r="I271" s="32">
        <v>200</v>
      </c>
      <c r="J271" s="32"/>
      <c r="K271" s="104"/>
      <c r="L271" s="105">
        <v>20201118</v>
      </c>
    </row>
    <row r="272" ht="16" customHeight="1" spans="1:12">
      <c r="A272" s="102">
        <v>270</v>
      </c>
      <c r="B272" s="102" t="s">
        <v>13533</v>
      </c>
      <c r="C272" s="32" t="s">
        <v>13799</v>
      </c>
      <c r="D272" s="32" t="str">
        <f>"152326196204087163"</f>
        <v>152326196204087163</v>
      </c>
      <c r="E272" s="102">
        <v>2020</v>
      </c>
      <c r="F272" s="102">
        <v>2020</v>
      </c>
      <c r="G272" s="137" t="s">
        <v>2480</v>
      </c>
      <c r="H272" s="32">
        <v>200</v>
      </c>
      <c r="I272" s="32">
        <v>200</v>
      </c>
      <c r="J272" s="32"/>
      <c r="K272" s="104"/>
      <c r="L272" s="105">
        <v>20201118</v>
      </c>
    </row>
    <row r="273" ht="16" customHeight="1" spans="1:12">
      <c r="A273" s="102">
        <v>271</v>
      </c>
      <c r="B273" s="102" t="s">
        <v>13533</v>
      </c>
      <c r="C273" s="32" t="s">
        <v>13800</v>
      </c>
      <c r="D273" s="32" t="str">
        <f>"152326196211297126"</f>
        <v>152326196211297126</v>
      </c>
      <c r="E273" s="102">
        <v>2020</v>
      </c>
      <c r="F273" s="102">
        <v>2020</v>
      </c>
      <c r="G273" s="137" t="s">
        <v>2480</v>
      </c>
      <c r="H273" s="32">
        <v>200</v>
      </c>
      <c r="I273" s="32">
        <v>200</v>
      </c>
      <c r="J273" s="32"/>
      <c r="K273" s="104"/>
      <c r="L273" s="105">
        <v>20201118</v>
      </c>
    </row>
    <row r="274" ht="16" customHeight="1" spans="1:12">
      <c r="A274" s="102">
        <v>272</v>
      </c>
      <c r="B274" s="102" t="s">
        <v>13533</v>
      </c>
      <c r="C274" s="32" t="s">
        <v>13801</v>
      </c>
      <c r="D274" s="32" t="str">
        <f>"152326196208067119"</f>
        <v>152326196208067119</v>
      </c>
      <c r="E274" s="102">
        <v>2020</v>
      </c>
      <c r="F274" s="102">
        <v>2020</v>
      </c>
      <c r="G274" s="137" t="s">
        <v>2480</v>
      </c>
      <c r="H274" s="32">
        <v>200</v>
      </c>
      <c r="I274" s="32">
        <v>200</v>
      </c>
      <c r="J274" s="32"/>
      <c r="K274" s="104"/>
      <c r="L274" s="105">
        <v>20201118</v>
      </c>
    </row>
    <row r="275" ht="16" customHeight="1" spans="1:12">
      <c r="A275" s="102">
        <v>273</v>
      </c>
      <c r="B275" s="102" t="s">
        <v>13533</v>
      </c>
      <c r="C275" s="32" t="s">
        <v>13802</v>
      </c>
      <c r="D275" s="32" t="str">
        <f>"152326196212167139"</f>
        <v>152326196212167139</v>
      </c>
      <c r="E275" s="102">
        <v>2020</v>
      </c>
      <c r="F275" s="102">
        <v>2020</v>
      </c>
      <c r="G275" s="137" t="s">
        <v>2480</v>
      </c>
      <c r="H275" s="32">
        <v>200</v>
      </c>
      <c r="I275" s="32">
        <v>200</v>
      </c>
      <c r="J275" s="32"/>
      <c r="K275" s="104"/>
      <c r="L275" s="105">
        <v>20201118</v>
      </c>
    </row>
    <row r="276" ht="16" customHeight="1" spans="1:12">
      <c r="A276" s="102">
        <v>274</v>
      </c>
      <c r="B276" s="102" t="s">
        <v>13533</v>
      </c>
      <c r="C276" s="32" t="s">
        <v>13803</v>
      </c>
      <c r="D276" s="32" t="str">
        <f>"152326196212117115"</f>
        <v>152326196212117115</v>
      </c>
      <c r="E276" s="102">
        <v>2020</v>
      </c>
      <c r="F276" s="102">
        <v>2020</v>
      </c>
      <c r="G276" s="137" t="s">
        <v>2480</v>
      </c>
      <c r="H276" s="32">
        <v>200</v>
      </c>
      <c r="I276" s="32">
        <v>200</v>
      </c>
      <c r="J276" s="32"/>
      <c r="K276" s="104"/>
      <c r="L276" s="105">
        <v>20201118</v>
      </c>
    </row>
    <row r="277" ht="16" customHeight="1" spans="1:12">
      <c r="A277" s="102">
        <v>275</v>
      </c>
      <c r="B277" s="102" t="s">
        <v>13533</v>
      </c>
      <c r="C277" s="32" t="s">
        <v>13804</v>
      </c>
      <c r="D277" s="32" t="str">
        <f>"152326196209137131"</f>
        <v>152326196209137131</v>
      </c>
      <c r="E277" s="102">
        <v>2020</v>
      </c>
      <c r="F277" s="102">
        <v>2020</v>
      </c>
      <c r="G277" s="137" t="s">
        <v>2480</v>
      </c>
      <c r="H277" s="32">
        <v>200</v>
      </c>
      <c r="I277" s="32">
        <v>200</v>
      </c>
      <c r="J277" s="32"/>
      <c r="K277" s="104"/>
      <c r="L277" s="105">
        <v>20201118</v>
      </c>
    </row>
    <row r="278" ht="16" customHeight="1" spans="1:12">
      <c r="A278" s="102">
        <v>276</v>
      </c>
      <c r="B278" s="102" t="s">
        <v>13533</v>
      </c>
      <c r="C278" s="32" t="s">
        <v>13805</v>
      </c>
      <c r="D278" s="32" t="str">
        <f>"152326196211197117"</f>
        <v>152326196211197117</v>
      </c>
      <c r="E278" s="102">
        <v>2020</v>
      </c>
      <c r="F278" s="102">
        <v>2020</v>
      </c>
      <c r="G278" s="137" t="s">
        <v>2480</v>
      </c>
      <c r="H278" s="32">
        <v>200</v>
      </c>
      <c r="I278" s="32">
        <v>200</v>
      </c>
      <c r="J278" s="32"/>
      <c r="K278" s="104"/>
      <c r="L278" s="105">
        <v>20201118</v>
      </c>
    </row>
    <row r="279" ht="16" customHeight="1" spans="1:12">
      <c r="A279" s="102">
        <v>277</v>
      </c>
      <c r="B279" s="102" t="s">
        <v>13533</v>
      </c>
      <c r="C279" s="32" t="s">
        <v>13806</v>
      </c>
      <c r="D279" s="32" t="str">
        <f>"152326196203177116"</f>
        <v>152326196203177116</v>
      </c>
      <c r="E279" s="102">
        <v>2020</v>
      </c>
      <c r="F279" s="102">
        <v>2020</v>
      </c>
      <c r="G279" s="137" t="s">
        <v>2480</v>
      </c>
      <c r="H279" s="32">
        <v>200</v>
      </c>
      <c r="I279" s="32">
        <v>200</v>
      </c>
      <c r="J279" s="32"/>
      <c r="K279" s="104"/>
      <c r="L279" s="105">
        <v>20201118</v>
      </c>
    </row>
    <row r="280" ht="16" customHeight="1" spans="1:12">
      <c r="A280" s="102">
        <v>278</v>
      </c>
      <c r="B280" s="102" t="s">
        <v>13533</v>
      </c>
      <c r="C280" s="32" t="s">
        <v>13807</v>
      </c>
      <c r="D280" s="32" t="str">
        <f>"152326196102027119"</f>
        <v>152326196102027119</v>
      </c>
      <c r="E280" s="102">
        <v>2020</v>
      </c>
      <c r="F280" s="102">
        <v>2020</v>
      </c>
      <c r="G280" s="137" t="s">
        <v>2480</v>
      </c>
      <c r="H280" s="32">
        <v>200</v>
      </c>
      <c r="I280" s="32">
        <v>200</v>
      </c>
      <c r="J280" s="32"/>
      <c r="K280" s="104"/>
      <c r="L280" s="105">
        <v>20201118</v>
      </c>
    </row>
    <row r="281" ht="16" customHeight="1" spans="1:12">
      <c r="A281" s="102">
        <v>279</v>
      </c>
      <c r="B281" s="102" t="s">
        <v>13533</v>
      </c>
      <c r="C281" s="32" t="s">
        <v>13808</v>
      </c>
      <c r="D281" s="32" t="str">
        <f>"152326196108197127"</f>
        <v>152326196108197127</v>
      </c>
      <c r="E281" s="102">
        <v>2020</v>
      </c>
      <c r="F281" s="102">
        <v>2020</v>
      </c>
      <c r="G281" s="137" t="s">
        <v>2480</v>
      </c>
      <c r="H281" s="32">
        <v>200</v>
      </c>
      <c r="I281" s="32">
        <v>200</v>
      </c>
      <c r="J281" s="32"/>
      <c r="K281" s="104"/>
      <c r="L281" s="105">
        <v>20201118</v>
      </c>
    </row>
    <row r="282" ht="16" customHeight="1" spans="1:12">
      <c r="A282" s="102">
        <v>280</v>
      </c>
      <c r="B282" s="102" t="s">
        <v>13533</v>
      </c>
      <c r="C282" s="32" t="s">
        <v>13809</v>
      </c>
      <c r="D282" s="32" t="str">
        <f>"152326196110127128"</f>
        <v>152326196110127128</v>
      </c>
      <c r="E282" s="102">
        <v>2020</v>
      </c>
      <c r="F282" s="102">
        <v>2020</v>
      </c>
      <c r="G282" s="137" t="s">
        <v>2480</v>
      </c>
      <c r="H282" s="32">
        <v>200</v>
      </c>
      <c r="I282" s="32">
        <v>200</v>
      </c>
      <c r="J282" s="32"/>
      <c r="K282" s="104"/>
      <c r="L282" s="105">
        <v>20201118</v>
      </c>
    </row>
    <row r="283" ht="16" customHeight="1" spans="1:12">
      <c r="A283" s="102">
        <v>281</v>
      </c>
      <c r="B283" s="102" t="s">
        <v>13533</v>
      </c>
      <c r="C283" s="32" t="s">
        <v>13810</v>
      </c>
      <c r="D283" s="32" t="str">
        <f>"152326196103107129"</f>
        <v>152326196103107129</v>
      </c>
      <c r="E283" s="102">
        <v>2020</v>
      </c>
      <c r="F283" s="102">
        <v>2020</v>
      </c>
      <c r="G283" s="137" t="s">
        <v>2480</v>
      </c>
      <c r="H283" s="32">
        <v>200</v>
      </c>
      <c r="I283" s="32">
        <v>200</v>
      </c>
      <c r="J283" s="32"/>
      <c r="K283" s="104"/>
      <c r="L283" s="105">
        <v>20201118</v>
      </c>
    </row>
    <row r="284" ht="16" customHeight="1" spans="1:12">
      <c r="A284" s="102">
        <v>282</v>
      </c>
      <c r="B284" s="102" t="s">
        <v>13533</v>
      </c>
      <c r="C284" s="32" t="s">
        <v>13811</v>
      </c>
      <c r="D284" s="32" t="str">
        <f>"152326196111277187"</f>
        <v>152326196111277187</v>
      </c>
      <c r="E284" s="102">
        <v>2020</v>
      </c>
      <c r="F284" s="102">
        <v>2020</v>
      </c>
      <c r="G284" s="137" t="s">
        <v>2480</v>
      </c>
      <c r="H284" s="32">
        <v>200</v>
      </c>
      <c r="I284" s="32">
        <v>200</v>
      </c>
      <c r="J284" s="32"/>
      <c r="K284" s="104"/>
      <c r="L284" s="105">
        <v>20201118</v>
      </c>
    </row>
    <row r="285" ht="16" customHeight="1" spans="1:12">
      <c r="A285" s="102">
        <v>283</v>
      </c>
      <c r="B285" s="102" t="s">
        <v>13533</v>
      </c>
      <c r="C285" s="32" t="s">
        <v>13812</v>
      </c>
      <c r="D285" s="32" t="str">
        <f>"152326196111107110"</f>
        <v>152326196111107110</v>
      </c>
      <c r="E285" s="102">
        <v>2020</v>
      </c>
      <c r="F285" s="102">
        <v>2020</v>
      </c>
      <c r="G285" s="137" t="s">
        <v>2480</v>
      </c>
      <c r="H285" s="32">
        <v>200</v>
      </c>
      <c r="I285" s="32">
        <v>200</v>
      </c>
      <c r="J285" s="32"/>
      <c r="K285" s="104"/>
      <c r="L285" s="105">
        <v>20201118</v>
      </c>
    </row>
    <row r="286" ht="16" customHeight="1" spans="1:12">
      <c r="A286" s="102">
        <v>284</v>
      </c>
      <c r="B286" s="102" t="s">
        <v>13533</v>
      </c>
      <c r="C286" s="32" t="s">
        <v>13813</v>
      </c>
      <c r="D286" s="32" t="str">
        <f>"152326196102027127"</f>
        <v>152326196102027127</v>
      </c>
      <c r="E286" s="102">
        <v>2020</v>
      </c>
      <c r="F286" s="102">
        <v>2020</v>
      </c>
      <c r="G286" s="137" t="s">
        <v>2480</v>
      </c>
      <c r="H286" s="32">
        <v>200</v>
      </c>
      <c r="I286" s="32">
        <v>200</v>
      </c>
      <c r="J286" s="32"/>
      <c r="K286" s="104"/>
      <c r="L286" s="105">
        <v>20201118</v>
      </c>
    </row>
    <row r="287" ht="16" customHeight="1" spans="1:12">
      <c r="A287" s="102">
        <v>285</v>
      </c>
      <c r="B287" s="102" t="s">
        <v>13533</v>
      </c>
      <c r="C287" s="32" t="s">
        <v>7852</v>
      </c>
      <c r="D287" s="32" t="str">
        <f>"152326196107077131"</f>
        <v>152326196107077131</v>
      </c>
      <c r="E287" s="102">
        <v>2020</v>
      </c>
      <c r="F287" s="102">
        <v>2020</v>
      </c>
      <c r="G287" s="137" t="s">
        <v>2480</v>
      </c>
      <c r="H287" s="32">
        <v>200</v>
      </c>
      <c r="I287" s="32">
        <v>200</v>
      </c>
      <c r="J287" s="32"/>
      <c r="K287" s="104"/>
      <c r="L287" s="105">
        <v>20201118</v>
      </c>
    </row>
    <row r="288" ht="16" customHeight="1" spans="1:12">
      <c r="A288" s="102">
        <v>286</v>
      </c>
      <c r="B288" s="102" t="s">
        <v>13533</v>
      </c>
      <c r="C288" s="32" t="s">
        <v>13814</v>
      </c>
      <c r="D288" s="32" t="str">
        <f>"152326196111297137"</f>
        <v>152326196111297137</v>
      </c>
      <c r="E288" s="102">
        <v>2020</v>
      </c>
      <c r="F288" s="102">
        <v>2020</v>
      </c>
      <c r="G288" s="137" t="s">
        <v>2480</v>
      </c>
      <c r="H288" s="32">
        <v>200</v>
      </c>
      <c r="I288" s="32">
        <v>200</v>
      </c>
      <c r="J288" s="32"/>
      <c r="K288" s="104"/>
      <c r="L288" s="105">
        <v>20201118</v>
      </c>
    </row>
    <row r="289" ht="16" customHeight="1" spans="1:12">
      <c r="A289" s="102">
        <v>287</v>
      </c>
      <c r="B289" s="102" t="s">
        <v>13533</v>
      </c>
      <c r="C289" s="32" t="s">
        <v>12690</v>
      </c>
      <c r="D289" s="32" t="str">
        <f>"152326196110157124"</f>
        <v>152326196110157124</v>
      </c>
      <c r="E289" s="102">
        <v>2020</v>
      </c>
      <c r="F289" s="102">
        <v>2020</v>
      </c>
      <c r="G289" s="137" t="s">
        <v>2480</v>
      </c>
      <c r="H289" s="32">
        <v>200</v>
      </c>
      <c r="I289" s="32">
        <v>200</v>
      </c>
      <c r="J289" s="32"/>
      <c r="K289" s="104"/>
      <c r="L289" s="105">
        <v>20201118</v>
      </c>
    </row>
    <row r="290" ht="16" customHeight="1" spans="1:12">
      <c r="A290" s="102">
        <v>288</v>
      </c>
      <c r="B290" s="102" t="s">
        <v>13533</v>
      </c>
      <c r="C290" s="32" t="s">
        <v>13815</v>
      </c>
      <c r="D290" s="32" t="s">
        <v>13816</v>
      </c>
      <c r="E290" s="102">
        <v>2020</v>
      </c>
      <c r="F290" s="102">
        <v>2020</v>
      </c>
      <c r="G290" s="137" t="s">
        <v>2480</v>
      </c>
      <c r="H290" s="32">
        <v>200</v>
      </c>
      <c r="I290" s="32">
        <v>200</v>
      </c>
      <c r="J290" s="62"/>
      <c r="K290" s="104"/>
      <c r="L290" s="105">
        <v>20201118</v>
      </c>
    </row>
    <row r="291" ht="16" customHeight="1" spans="1:12">
      <c r="A291" s="102">
        <v>289</v>
      </c>
      <c r="B291" s="102" t="s">
        <v>13533</v>
      </c>
      <c r="C291" s="32" t="s">
        <v>13817</v>
      </c>
      <c r="D291" s="32" t="s">
        <v>13818</v>
      </c>
      <c r="E291" s="102">
        <v>2020</v>
      </c>
      <c r="F291" s="102">
        <v>2020</v>
      </c>
      <c r="G291" s="137" t="s">
        <v>2480</v>
      </c>
      <c r="H291" s="32">
        <v>200</v>
      </c>
      <c r="I291" s="32">
        <v>200</v>
      </c>
      <c r="J291" s="62"/>
      <c r="K291" s="104"/>
      <c r="L291" s="105">
        <v>20201118</v>
      </c>
    </row>
    <row r="292" ht="16" customHeight="1" spans="1:12">
      <c r="A292" s="102">
        <v>290</v>
      </c>
      <c r="B292" s="102" t="s">
        <v>13533</v>
      </c>
      <c r="C292" s="32" t="s">
        <v>13819</v>
      </c>
      <c r="D292" s="32" t="s">
        <v>13820</v>
      </c>
      <c r="E292" s="102">
        <v>2020</v>
      </c>
      <c r="F292" s="102">
        <v>2020</v>
      </c>
      <c r="G292" s="137" t="s">
        <v>2480</v>
      </c>
      <c r="H292" s="32">
        <v>200</v>
      </c>
      <c r="I292" s="32">
        <v>200</v>
      </c>
      <c r="J292" s="62"/>
      <c r="K292" s="104"/>
      <c r="L292" s="105">
        <v>20201118</v>
      </c>
    </row>
    <row r="293" ht="16" customHeight="1" spans="1:12">
      <c r="A293" s="102">
        <v>291</v>
      </c>
      <c r="B293" s="102" t="s">
        <v>13533</v>
      </c>
      <c r="C293" s="32" t="s">
        <v>13821</v>
      </c>
      <c r="D293" s="32" t="s">
        <v>13822</v>
      </c>
      <c r="E293" s="102">
        <v>2020</v>
      </c>
      <c r="F293" s="102">
        <v>2020</v>
      </c>
      <c r="G293" s="137" t="s">
        <v>2480</v>
      </c>
      <c r="H293" s="32">
        <v>200</v>
      </c>
      <c r="I293" s="32">
        <v>200</v>
      </c>
      <c r="J293" s="62"/>
      <c r="K293" s="104"/>
      <c r="L293" s="105">
        <v>20201118</v>
      </c>
    </row>
    <row r="294" ht="16" customHeight="1" spans="1:12">
      <c r="A294" s="102">
        <v>292</v>
      </c>
      <c r="B294" s="102" t="s">
        <v>13533</v>
      </c>
      <c r="C294" s="32" t="s">
        <v>13823</v>
      </c>
      <c r="D294" s="32" t="s">
        <v>13824</v>
      </c>
      <c r="E294" s="102">
        <v>2020</v>
      </c>
      <c r="F294" s="102">
        <v>2020</v>
      </c>
      <c r="G294" s="137" t="s">
        <v>2480</v>
      </c>
      <c r="H294" s="32">
        <v>200</v>
      </c>
      <c r="I294" s="32">
        <v>200</v>
      </c>
      <c r="J294" s="62"/>
      <c r="K294" s="104"/>
      <c r="L294" s="105">
        <v>20201118</v>
      </c>
    </row>
    <row r="295" ht="16" customHeight="1" spans="1:12">
      <c r="A295" s="102">
        <v>293</v>
      </c>
      <c r="B295" s="102" t="s">
        <v>13533</v>
      </c>
      <c r="C295" s="32" t="s">
        <v>13825</v>
      </c>
      <c r="D295" s="32" t="s">
        <v>13826</v>
      </c>
      <c r="E295" s="102">
        <v>2020</v>
      </c>
      <c r="F295" s="102">
        <v>2020</v>
      </c>
      <c r="G295" s="137" t="s">
        <v>2480</v>
      </c>
      <c r="H295" s="32">
        <v>200</v>
      </c>
      <c r="I295" s="32">
        <v>200</v>
      </c>
      <c r="J295" s="62"/>
      <c r="K295" s="104"/>
      <c r="L295" s="105">
        <v>20201118</v>
      </c>
    </row>
    <row r="296" ht="16" customHeight="1" spans="1:12">
      <c r="A296" s="102">
        <v>294</v>
      </c>
      <c r="B296" s="102" t="s">
        <v>13533</v>
      </c>
      <c r="C296" s="32" t="s">
        <v>13827</v>
      </c>
      <c r="D296" s="32" t="s">
        <v>13828</v>
      </c>
      <c r="E296" s="102">
        <v>2020</v>
      </c>
      <c r="F296" s="102">
        <v>2020</v>
      </c>
      <c r="G296" s="137" t="s">
        <v>2480</v>
      </c>
      <c r="H296" s="32">
        <v>200</v>
      </c>
      <c r="I296" s="32">
        <v>200</v>
      </c>
      <c r="J296" s="62"/>
      <c r="K296" s="104"/>
      <c r="L296" s="105">
        <v>20201118</v>
      </c>
    </row>
    <row r="297" ht="16" customHeight="1" spans="1:12">
      <c r="A297" s="102">
        <v>295</v>
      </c>
      <c r="B297" s="102" t="s">
        <v>13533</v>
      </c>
      <c r="C297" s="32" t="s">
        <v>13829</v>
      </c>
      <c r="D297" s="32" t="s">
        <v>13830</v>
      </c>
      <c r="E297" s="102">
        <v>2020</v>
      </c>
      <c r="F297" s="102">
        <v>2020</v>
      </c>
      <c r="G297" s="137" t="s">
        <v>2480</v>
      </c>
      <c r="H297" s="32">
        <v>200</v>
      </c>
      <c r="I297" s="32">
        <v>200</v>
      </c>
      <c r="J297" s="62"/>
      <c r="K297" s="104"/>
      <c r="L297" s="105">
        <v>20201118</v>
      </c>
    </row>
    <row r="298" ht="16" customHeight="1" spans="1:12">
      <c r="A298" s="102">
        <v>296</v>
      </c>
      <c r="B298" s="102" t="s">
        <v>13533</v>
      </c>
      <c r="C298" s="32" t="s">
        <v>13831</v>
      </c>
      <c r="D298" s="32" t="s">
        <v>13832</v>
      </c>
      <c r="E298" s="102">
        <v>2020</v>
      </c>
      <c r="F298" s="102">
        <v>2020</v>
      </c>
      <c r="G298" s="137" t="s">
        <v>2480</v>
      </c>
      <c r="H298" s="32">
        <v>200</v>
      </c>
      <c r="I298" s="32">
        <v>200</v>
      </c>
      <c r="J298" s="62"/>
      <c r="K298" s="104"/>
      <c r="L298" s="105">
        <v>20201118</v>
      </c>
    </row>
    <row r="299" ht="16" customHeight="1" spans="1:12">
      <c r="A299" s="102">
        <v>297</v>
      </c>
      <c r="B299" s="102" t="s">
        <v>13533</v>
      </c>
      <c r="C299" s="32" t="s">
        <v>13833</v>
      </c>
      <c r="D299" s="304" t="s">
        <v>13834</v>
      </c>
      <c r="E299" s="102">
        <v>2020</v>
      </c>
      <c r="F299" s="102">
        <v>2020</v>
      </c>
      <c r="G299" s="137" t="s">
        <v>2480</v>
      </c>
      <c r="H299" s="32">
        <v>200</v>
      </c>
      <c r="I299" s="32">
        <v>200</v>
      </c>
      <c r="J299" s="62"/>
      <c r="K299" s="104"/>
      <c r="L299" s="105">
        <v>20201118</v>
      </c>
    </row>
    <row r="300" ht="16" customHeight="1" spans="1:12">
      <c r="A300" s="102">
        <v>298</v>
      </c>
      <c r="B300" s="102" t="s">
        <v>13533</v>
      </c>
      <c r="C300" s="32" t="s">
        <v>13835</v>
      </c>
      <c r="D300" s="304" t="s">
        <v>13836</v>
      </c>
      <c r="E300" s="102">
        <v>2020</v>
      </c>
      <c r="F300" s="102">
        <v>2020</v>
      </c>
      <c r="G300" s="137" t="s">
        <v>2480</v>
      </c>
      <c r="H300" s="32">
        <v>200</v>
      </c>
      <c r="I300" s="32">
        <v>200</v>
      </c>
      <c r="J300" s="32"/>
      <c r="K300" s="104"/>
      <c r="L300" s="105">
        <v>20201118</v>
      </c>
    </row>
    <row r="301" ht="16" customHeight="1" spans="1:12">
      <c r="A301" s="102">
        <v>299</v>
      </c>
      <c r="B301" s="102" t="s">
        <v>13533</v>
      </c>
      <c r="C301" s="32" t="s">
        <v>13837</v>
      </c>
      <c r="D301" s="304" t="s">
        <v>13838</v>
      </c>
      <c r="E301" s="102">
        <v>2020</v>
      </c>
      <c r="F301" s="102">
        <v>2020</v>
      </c>
      <c r="G301" s="137" t="s">
        <v>2480</v>
      </c>
      <c r="H301" s="32">
        <v>200</v>
      </c>
      <c r="I301" s="32">
        <v>200</v>
      </c>
      <c r="J301" s="32"/>
      <c r="K301" s="104"/>
      <c r="L301" s="105">
        <v>20201118</v>
      </c>
    </row>
    <row r="302" ht="16" customHeight="1" spans="1:12">
      <c r="A302" s="102">
        <v>300</v>
      </c>
      <c r="B302" s="102" t="s">
        <v>13533</v>
      </c>
      <c r="C302" s="32" t="s">
        <v>13839</v>
      </c>
      <c r="D302" s="304" t="s">
        <v>13840</v>
      </c>
      <c r="E302" s="102">
        <v>2020</v>
      </c>
      <c r="F302" s="102">
        <v>2020</v>
      </c>
      <c r="G302" s="137" t="s">
        <v>2480</v>
      </c>
      <c r="H302" s="32">
        <v>200</v>
      </c>
      <c r="I302" s="32">
        <v>200</v>
      </c>
      <c r="J302" s="32"/>
      <c r="K302" s="104"/>
      <c r="L302" s="105">
        <v>20201118</v>
      </c>
    </row>
    <row r="303" ht="16" customHeight="1" spans="1:12">
      <c r="A303" s="102">
        <v>301</v>
      </c>
      <c r="B303" s="102" t="s">
        <v>13533</v>
      </c>
      <c r="C303" s="32" t="s">
        <v>13841</v>
      </c>
      <c r="D303" s="304" t="s">
        <v>13842</v>
      </c>
      <c r="E303" s="102">
        <v>2020</v>
      </c>
      <c r="F303" s="102">
        <v>2020</v>
      </c>
      <c r="G303" s="137" t="s">
        <v>2480</v>
      </c>
      <c r="H303" s="32">
        <v>200</v>
      </c>
      <c r="I303" s="32">
        <v>200</v>
      </c>
      <c r="J303" s="32"/>
      <c r="K303" s="104"/>
      <c r="L303" s="105">
        <v>20201118</v>
      </c>
    </row>
    <row r="304" ht="16" customHeight="1" spans="1:12">
      <c r="A304" s="102">
        <v>302</v>
      </c>
      <c r="B304" s="102" t="s">
        <v>13533</v>
      </c>
      <c r="C304" s="32" t="s">
        <v>13843</v>
      </c>
      <c r="D304" s="304" t="s">
        <v>13844</v>
      </c>
      <c r="E304" s="102">
        <v>2020</v>
      </c>
      <c r="F304" s="102">
        <v>2020</v>
      </c>
      <c r="G304" s="137" t="s">
        <v>2480</v>
      </c>
      <c r="H304" s="32">
        <v>200</v>
      </c>
      <c r="I304" s="32">
        <v>200</v>
      </c>
      <c r="J304" s="32"/>
      <c r="K304" s="104"/>
      <c r="L304" s="105">
        <v>20201118</v>
      </c>
    </row>
    <row r="305" ht="16" customHeight="1" spans="1:12">
      <c r="A305" s="102">
        <v>303</v>
      </c>
      <c r="B305" s="102" t="s">
        <v>13533</v>
      </c>
      <c r="C305" s="32" t="s">
        <v>7093</v>
      </c>
      <c r="D305" s="304" t="s">
        <v>13845</v>
      </c>
      <c r="E305" s="102">
        <v>2020</v>
      </c>
      <c r="F305" s="102">
        <v>2020</v>
      </c>
      <c r="G305" s="137" t="s">
        <v>2480</v>
      </c>
      <c r="H305" s="32">
        <v>200</v>
      </c>
      <c r="I305" s="32">
        <v>200</v>
      </c>
      <c r="J305" s="32"/>
      <c r="K305" s="104"/>
      <c r="L305" s="105">
        <v>20201118</v>
      </c>
    </row>
    <row r="306" ht="16" customHeight="1" spans="1:12">
      <c r="A306" s="102">
        <v>304</v>
      </c>
      <c r="B306" s="102" t="s">
        <v>13533</v>
      </c>
      <c r="C306" s="32" t="s">
        <v>13846</v>
      </c>
      <c r="D306" s="304" t="s">
        <v>13847</v>
      </c>
      <c r="E306" s="102">
        <v>2020</v>
      </c>
      <c r="F306" s="102">
        <v>2020</v>
      </c>
      <c r="G306" s="137" t="s">
        <v>2480</v>
      </c>
      <c r="H306" s="32">
        <v>200</v>
      </c>
      <c r="I306" s="32">
        <v>200</v>
      </c>
      <c r="J306" s="32"/>
      <c r="K306" s="104"/>
      <c r="L306" s="105">
        <v>20201118</v>
      </c>
    </row>
    <row r="307" ht="16" customHeight="1" spans="1:12">
      <c r="A307" s="102">
        <v>305</v>
      </c>
      <c r="B307" s="102" t="s">
        <v>13533</v>
      </c>
      <c r="C307" s="32" t="s">
        <v>7475</v>
      </c>
      <c r="D307" s="304" t="s">
        <v>13848</v>
      </c>
      <c r="E307" s="102">
        <v>2020</v>
      </c>
      <c r="F307" s="102">
        <v>2020</v>
      </c>
      <c r="G307" s="137" t="s">
        <v>2480</v>
      </c>
      <c r="H307" s="32">
        <v>200</v>
      </c>
      <c r="I307" s="32">
        <v>200</v>
      </c>
      <c r="J307" s="32"/>
      <c r="K307" s="104"/>
      <c r="L307" s="105">
        <v>20201118</v>
      </c>
    </row>
    <row r="308" ht="16" customHeight="1" spans="1:12">
      <c r="A308" s="102">
        <v>306</v>
      </c>
      <c r="B308" s="102" t="s">
        <v>13533</v>
      </c>
      <c r="C308" s="32" t="s">
        <v>13849</v>
      </c>
      <c r="D308" s="32" t="s">
        <v>13850</v>
      </c>
      <c r="E308" s="102">
        <v>2020</v>
      </c>
      <c r="F308" s="102">
        <v>2020</v>
      </c>
      <c r="G308" s="137" t="s">
        <v>2480</v>
      </c>
      <c r="H308" s="32">
        <v>1000</v>
      </c>
      <c r="I308" s="32">
        <v>1000</v>
      </c>
      <c r="J308" s="32"/>
      <c r="K308" s="104"/>
      <c r="L308" s="105">
        <v>20201118</v>
      </c>
    </row>
    <row r="309" ht="16" customHeight="1" spans="1:12">
      <c r="A309" s="102">
        <v>307</v>
      </c>
      <c r="B309" s="102" t="s">
        <v>13533</v>
      </c>
      <c r="C309" s="32" t="s">
        <v>13851</v>
      </c>
      <c r="D309" s="32" t="s">
        <v>13852</v>
      </c>
      <c r="E309" s="102">
        <v>2020</v>
      </c>
      <c r="F309" s="102">
        <v>2020</v>
      </c>
      <c r="G309" s="137" t="s">
        <v>2480</v>
      </c>
      <c r="H309" s="32">
        <v>200</v>
      </c>
      <c r="I309" s="32">
        <v>200</v>
      </c>
      <c r="J309" s="32"/>
      <c r="K309" s="104"/>
      <c r="L309" s="105">
        <v>20201118</v>
      </c>
    </row>
    <row r="310" ht="16" customHeight="1" spans="1:12">
      <c r="A310" s="102">
        <v>308</v>
      </c>
      <c r="B310" s="102" t="s">
        <v>13533</v>
      </c>
      <c r="C310" s="32" t="s">
        <v>13853</v>
      </c>
      <c r="D310" s="32" t="s">
        <v>13854</v>
      </c>
      <c r="E310" s="102">
        <v>2020</v>
      </c>
      <c r="F310" s="102">
        <v>2020</v>
      </c>
      <c r="G310" s="137" t="s">
        <v>2480</v>
      </c>
      <c r="H310" s="32">
        <v>200</v>
      </c>
      <c r="I310" s="32">
        <v>200</v>
      </c>
      <c r="J310" s="32"/>
      <c r="K310" s="104"/>
      <c r="L310" s="105">
        <v>20201118</v>
      </c>
    </row>
    <row r="311" ht="16" customHeight="1" spans="1:12">
      <c r="A311" s="102">
        <v>309</v>
      </c>
      <c r="B311" s="102" t="s">
        <v>13533</v>
      </c>
      <c r="C311" s="32" t="s">
        <v>13855</v>
      </c>
      <c r="D311" s="32" t="s">
        <v>13856</v>
      </c>
      <c r="E311" s="102">
        <v>2020</v>
      </c>
      <c r="F311" s="102">
        <v>2020</v>
      </c>
      <c r="G311" s="137" t="s">
        <v>2480</v>
      </c>
      <c r="H311" s="32">
        <v>200</v>
      </c>
      <c r="I311" s="32">
        <v>200</v>
      </c>
      <c r="J311" s="32"/>
      <c r="K311" s="104"/>
      <c r="L311" s="105">
        <v>20201118</v>
      </c>
    </row>
    <row r="312" ht="16" customHeight="1" spans="1:12">
      <c r="A312" s="102">
        <v>310</v>
      </c>
      <c r="B312" s="102" t="s">
        <v>13533</v>
      </c>
      <c r="C312" s="32" t="s">
        <v>13857</v>
      </c>
      <c r="D312" s="32" t="s">
        <v>13858</v>
      </c>
      <c r="E312" s="102">
        <v>2020</v>
      </c>
      <c r="F312" s="102">
        <v>2020</v>
      </c>
      <c r="G312" s="137" t="s">
        <v>2480</v>
      </c>
      <c r="H312" s="32">
        <v>200</v>
      </c>
      <c r="I312" s="32">
        <v>200</v>
      </c>
      <c r="J312" s="32"/>
      <c r="K312" s="104"/>
      <c r="L312" s="105">
        <v>20201118</v>
      </c>
    </row>
    <row r="313" ht="16" customHeight="1" spans="1:12">
      <c r="A313" s="102">
        <v>311</v>
      </c>
      <c r="B313" s="102" t="s">
        <v>13533</v>
      </c>
      <c r="C313" s="32" t="s">
        <v>13859</v>
      </c>
      <c r="D313" s="32" t="s">
        <v>13860</v>
      </c>
      <c r="E313" s="102">
        <v>2020</v>
      </c>
      <c r="F313" s="102">
        <v>2020</v>
      </c>
      <c r="G313" s="137" t="s">
        <v>2480</v>
      </c>
      <c r="H313" s="32">
        <v>200</v>
      </c>
      <c r="I313" s="32">
        <v>200</v>
      </c>
      <c r="J313" s="32"/>
      <c r="K313" s="104"/>
      <c r="L313" s="105">
        <v>20201118</v>
      </c>
    </row>
    <row r="314" ht="16" customHeight="1" spans="1:12">
      <c r="A314" s="102">
        <v>312</v>
      </c>
      <c r="B314" s="102" t="s">
        <v>13533</v>
      </c>
      <c r="C314" s="32" t="s">
        <v>13861</v>
      </c>
      <c r="D314" s="32" t="s">
        <v>13862</v>
      </c>
      <c r="E314" s="102">
        <v>2020</v>
      </c>
      <c r="F314" s="102">
        <v>2020</v>
      </c>
      <c r="G314" s="137" t="s">
        <v>2480</v>
      </c>
      <c r="H314" s="32">
        <v>200</v>
      </c>
      <c r="I314" s="32">
        <v>200</v>
      </c>
      <c r="J314" s="32"/>
      <c r="K314" s="104"/>
      <c r="L314" s="105">
        <v>20201118</v>
      </c>
    </row>
    <row r="315" ht="16" customHeight="1" spans="1:12">
      <c r="A315" s="102">
        <v>313</v>
      </c>
      <c r="B315" s="102" t="s">
        <v>13533</v>
      </c>
      <c r="C315" s="32" t="s">
        <v>13863</v>
      </c>
      <c r="D315" s="32" t="s">
        <v>13864</v>
      </c>
      <c r="E315" s="102">
        <v>2020</v>
      </c>
      <c r="F315" s="102">
        <v>2020</v>
      </c>
      <c r="G315" s="137" t="s">
        <v>2480</v>
      </c>
      <c r="H315" s="32">
        <v>200</v>
      </c>
      <c r="I315" s="32">
        <v>200</v>
      </c>
      <c r="J315" s="32"/>
      <c r="K315" s="104"/>
      <c r="L315" s="105">
        <v>20201118</v>
      </c>
    </row>
    <row r="316" ht="16" customHeight="1" spans="1:12">
      <c r="A316" s="102">
        <v>314</v>
      </c>
      <c r="B316" s="102" t="s">
        <v>13533</v>
      </c>
      <c r="C316" s="32" t="s">
        <v>13865</v>
      </c>
      <c r="D316" s="32" t="s">
        <v>13866</v>
      </c>
      <c r="E316" s="102">
        <v>2020</v>
      </c>
      <c r="F316" s="102">
        <v>2020</v>
      </c>
      <c r="G316" s="137" t="s">
        <v>2480</v>
      </c>
      <c r="H316" s="32">
        <v>200</v>
      </c>
      <c r="I316" s="32">
        <v>200</v>
      </c>
      <c r="J316" s="32"/>
      <c r="K316" s="104"/>
      <c r="L316" s="105">
        <v>20201118</v>
      </c>
    </row>
    <row r="317" ht="16" customHeight="1" spans="1:12">
      <c r="A317" s="102">
        <v>315</v>
      </c>
      <c r="B317" s="102" t="s">
        <v>13533</v>
      </c>
      <c r="C317" s="32" t="s">
        <v>13867</v>
      </c>
      <c r="D317" s="32" t="s">
        <v>13868</v>
      </c>
      <c r="E317" s="102">
        <v>2020</v>
      </c>
      <c r="F317" s="102">
        <v>2020</v>
      </c>
      <c r="G317" s="137" t="s">
        <v>2480</v>
      </c>
      <c r="H317" s="32">
        <v>200</v>
      </c>
      <c r="I317" s="32">
        <v>200</v>
      </c>
      <c r="J317" s="32"/>
      <c r="K317" s="104"/>
      <c r="L317" s="105">
        <v>20201118</v>
      </c>
    </row>
    <row r="318" ht="16" customHeight="1" spans="1:12">
      <c r="A318" s="102">
        <v>316</v>
      </c>
      <c r="B318" s="102" t="s">
        <v>13533</v>
      </c>
      <c r="C318" s="32" t="s">
        <v>3060</v>
      </c>
      <c r="D318" s="32" t="s">
        <v>13869</v>
      </c>
      <c r="E318" s="102">
        <v>2020</v>
      </c>
      <c r="F318" s="102">
        <v>2020</v>
      </c>
      <c r="G318" s="137" t="s">
        <v>2480</v>
      </c>
      <c r="H318" s="32">
        <v>200</v>
      </c>
      <c r="I318" s="32">
        <v>200</v>
      </c>
      <c r="J318" s="32"/>
      <c r="K318" s="104"/>
      <c r="L318" s="105">
        <v>20201118</v>
      </c>
    </row>
    <row r="319" ht="16" customHeight="1" spans="1:12">
      <c r="A319" s="102">
        <v>317</v>
      </c>
      <c r="B319" s="102" t="s">
        <v>13533</v>
      </c>
      <c r="C319" s="32" t="s">
        <v>13870</v>
      </c>
      <c r="D319" s="32" t="s">
        <v>13871</v>
      </c>
      <c r="E319" s="102">
        <v>2020</v>
      </c>
      <c r="F319" s="102">
        <v>2020</v>
      </c>
      <c r="G319" s="137" t="s">
        <v>2480</v>
      </c>
      <c r="H319" s="32">
        <v>200</v>
      </c>
      <c r="I319" s="32">
        <v>200</v>
      </c>
      <c r="J319" s="32"/>
      <c r="K319" s="104"/>
      <c r="L319" s="105">
        <v>20201118</v>
      </c>
    </row>
    <row r="320" ht="16" customHeight="1" spans="1:12">
      <c r="A320" s="102">
        <v>318</v>
      </c>
      <c r="B320" s="102" t="s">
        <v>13533</v>
      </c>
      <c r="C320" s="6" t="s">
        <v>13872</v>
      </c>
      <c r="D320" s="109" t="str">
        <f>"152326197811147118"</f>
        <v>152326197811147118</v>
      </c>
      <c r="E320" s="102">
        <v>2020</v>
      </c>
      <c r="F320" s="102">
        <v>2020</v>
      </c>
      <c r="G320" s="137" t="s">
        <v>2480</v>
      </c>
      <c r="H320" s="32">
        <v>200</v>
      </c>
      <c r="I320" s="32">
        <v>200</v>
      </c>
      <c r="J320" s="32"/>
      <c r="K320" s="104"/>
      <c r="L320" s="105">
        <v>20201118</v>
      </c>
    </row>
    <row r="321" ht="16" customHeight="1" spans="1:12">
      <c r="A321" s="102">
        <v>319</v>
      </c>
      <c r="B321" s="102" t="s">
        <v>13533</v>
      </c>
      <c r="C321" s="6" t="s">
        <v>13873</v>
      </c>
      <c r="D321" s="109" t="str">
        <f>"152326197301237113"</f>
        <v>152326197301237113</v>
      </c>
      <c r="E321" s="102">
        <v>2020</v>
      </c>
      <c r="F321" s="102">
        <v>2020</v>
      </c>
      <c r="G321" s="137" t="s">
        <v>2480</v>
      </c>
      <c r="H321" s="32">
        <v>200</v>
      </c>
      <c r="I321" s="32">
        <v>200</v>
      </c>
      <c r="J321" s="32"/>
      <c r="K321" s="104"/>
      <c r="L321" s="105">
        <v>20201118</v>
      </c>
    </row>
    <row r="322" ht="16" customHeight="1" spans="1:12">
      <c r="A322" s="102">
        <v>320</v>
      </c>
      <c r="B322" s="102" t="s">
        <v>13533</v>
      </c>
      <c r="C322" s="6" t="s">
        <v>11087</v>
      </c>
      <c r="D322" s="109" t="str">
        <f>"152326197511077146"</f>
        <v>152326197511077146</v>
      </c>
      <c r="E322" s="102">
        <v>2020</v>
      </c>
      <c r="F322" s="102">
        <v>2020</v>
      </c>
      <c r="G322" s="137" t="s">
        <v>2480</v>
      </c>
      <c r="H322" s="32">
        <v>200</v>
      </c>
      <c r="I322" s="32">
        <v>200</v>
      </c>
      <c r="J322" s="32"/>
      <c r="K322" s="104"/>
      <c r="L322" s="105">
        <v>20201118</v>
      </c>
    </row>
    <row r="323" ht="16" customHeight="1" spans="1:12">
      <c r="A323" s="102">
        <v>321</v>
      </c>
      <c r="B323" s="102" t="s">
        <v>13533</v>
      </c>
      <c r="C323" s="6" t="s">
        <v>13874</v>
      </c>
      <c r="D323" s="109" t="str">
        <f>"152326197207127110"</f>
        <v>152326197207127110</v>
      </c>
      <c r="E323" s="102">
        <v>2020</v>
      </c>
      <c r="F323" s="102">
        <v>2020</v>
      </c>
      <c r="G323" s="137" t="s">
        <v>2480</v>
      </c>
      <c r="H323" s="32">
        <v>200</v>
      </c>
      <c r="I323" s="32">
        <v>200</v>
      </c>
      <c r="J323" s="32"/>
      <c r="K323" s="104"/>
      <c r="L323" s="105">
        <v>20201118</v>
      </c>
    </row>
    <row r="324" ht="16" customHeight="1" spans="1:12">
      <c r="A324" s="102">
        <v>322</v>
      </c>
      <c r="B324" s="102" t="s">
        <v>13533</v>
      </c>
      <c r="C324" s="6" t="s">
        <v>12075</v>
      </c>
      <c r="D324" s="109" t="str">
        <f>"152326197403157122"</f>
        <v>152326197403157122</v>
      </c>
      <c r="E324" s="102">
        <v>2020</v>
      </c>
      <c r="F324" s="102">
        <v>2020</v>
      </c>
      <c r="G324" s="137" t="s">
        <v>2480</v>
      </c>
      <c r="H324" s="32">
        <v>200</v>
      </c>
      <c r="I324" s="32">
        <v>200</v>
      </c>
      <c r="J324" s="32"/>
      <c r="K324" s="104"/>
      <c r="L324" s="105">
        <v>20201118</v>
      </c>
    </row>
    <row r="325" ht="16" customHeight="1" spans="1:12">
      <c r="A325" s="102">
        <v>323</v>
      </c>
      <c r="B325" s="102" t="s">
        <v>13533</v>
      </c>
      <c r="C325" s="6" t="s">
        <v>13875</v>
      </c>
      <c r="D325" s="109" t="s">
        <v>13876</v>
      </c>
      <c r="E325" s="102">
        <v>2020</v>
      </c>
      <c r="F325" s="102">
        <v>2020</v>
      </c>
      <c r="G325" s="137" t="s">
        <v>2480</v>
      </c>
      <c r="H325" s="32">
        <v>200</v>
      </c>
      <c r="I325" s="32">
        <v>200</v>
      </c>
      <c r="J325" s="32"/>
      <c r="K325" s="104"/>
      <c r="L325" s="105">
        <v>20201118</v>
      </c>
    </row>
    <row r="326" ht="16" customHeight="1" spans="1:12">
      <c r="A326" s="102">
        <v>324</v>
      </c>
      <c r="B326" s="102" t="s">
        <v>13533</v>
      </c>
      <c r="C326" s="6" t="s">
        <v>13877</v>
      </c>
      <c r="D326" s="109" t="s">
        <v>13878</v>
      </c>
      <c r="E326" s="102">
        <v>2020</v>
      </c>
      <c r="F326" s="102">
        <v>2020</v>
      </c>
      <c r="G326" s="137" t="s">
        <v>2480</v>
      </c>
      <c r="H326" s="32">
        <v>200</v>
      </c>
      <c r="I326" s="32">
        <v>200</v>
      </c>
      <c r="J326" s="32"/>
      <c r="K326" s="104"/>
      <c r="L326" s="105">
        <v>20201118</v>
      </c>
    </row>
    <row r="327" ht="16" customHeight="1" spans="1:12">
      <c r="A327" s="102">
        <v>325</v>
      </c>
      <c r="B327" s="102" t="s">
        <v>13533</v>
      </c>
      <c r="C327" s="5" t="s">
        <v>13879</v>
      </c>
      <c r="D327" s="5" t="s">
        <v>13880</v>
      </c>
      <c r="E327" s="102">
        <v>2020</v>
      </c>
      <c r="F327" s="102">
        <v>2020</v>
      </c>
      <c r="G327" s="137" t="s">
        <v>2480</v>
      </c>
      <c r="H327" s="32">
        <v>200</v>
      </c>
      <c r="I327" s="32">
        <v>200</v>
      </c>
      <c r="J327" s="32"/>
      <c r="K327" s="104"/>
      <c r="L327" s="105">
        <v>20201118</v>
      </c>
    </row>
    <row r="328" ht="16" customHeight="1" spans="1:12">
      <c r="A328" s="102">
        <v>326</v>
      </c>
      <c r="B328" s="102" t="s">
        <v>13533</v>
      </c>
      <c r="C328" s="5" t="s">
        <v>13881</v>
      </c>
      <c r="D328" s="5" t="s">
        <v>13882</v>
      </c>
      <c r="E328" s="102">
        <v>2020</v>
      </c>
      <c r="F328" s="102">
        <v>2020</v>
      </c>
      <c r="G328" s="137" t="s">
        <v>2480</v>
      </c>
      <c r="H328" s="32">
        <v>200</v>
      </c>
      <c r="I328" s="32">
        <v>200</v>
      </c>
      <c r="J328" s="32"/>
      <c r="K328" s="104"/>
      <c r="L328" s="105">
        <v>20201118</v>
      </c>
    </row>
    <row r="329" ht="16" customHeight="1" spans="1:12">
      <c r="A329" s="102">
        <v>327</v>
      </c>
      <c r="B329" s="102" t="s">
        <v>13533</v>
      </c>
      <c r="C329" s="5" t="s">
        <v>13883</v>
      </c>
      <c r="D329" s="102" t="s">
        <v>13884</v>
      </c>
      <c r="E329" s="102">
        <v>2020</v>
      </c>
      <c r="F329" s="102">
        <v>2020</v>
      </c>
      <c r="G329" s="137" t="s">
        <v>2480</v>
      </c>
      <c r="H329" s="32">
        <v>200</v>
      </c>
      <c r="I329" s="32">
        <v>200</v>
      </c>
      <c r="J329" s="32"/>
      <c r="K329" s="104"/>
      <c r="L329" s="105">
        <v>20201118</v>
      </c>
    </row>
    <row r="330" ht="16" customHeight="1" spans="1:12">
      <c r="A330" s="102">
        <v>328</v>
      </c>
      <c r="B330" s="102" t="s">
        <v>13533</v>
      </c>
      <c r="C330" s="5" t="s">
        <v>13885</v>
      </c>
      <c r="D330" s="102" t="s">
        <v>13886</v>
      </c>
      <c r="E330" s="102">
        <v>2020</v>
      </c>
      <c r="F330" s="102">
        <v>2020</v>
      </c>
      <c r="G330" s="137" t="s">
        <v>2480</v>
      </c>
      <c r="H330" s="32">
        <v>200</v>
      </c>
      <c r="I330" s="32">
        <v>200</v>
      </c>
      <c r="J330" s="32"/>
      <c r="K330" s="104"/>
      <c r="L330" s="105">
        <v>20201118</v>
      </c>
    </row>
    <row r="331" ht="16" customHeight="1" spans="1:12">
      <c r="A331" s="102">
        <v>329</v>
      </c>
      <c r="B331" s="102" t="s">
        <v>13533</v>
      </c>
      <c r="C331" s="5" t="s">
        <v>13887</v>
      </c>
      <c r="D331" s="102" t="s">
        <v>13888</v>
      </c>
      <c r="E331" s="102">
        <v>2020</v>
      </c>
      <c r="F331" s="102">
        <v>2020</v>
      </c>
      <c r="G331" s="137" t="s">
        <v>2480</v>
      </c>
      <c r="H331" s="32">
        <v>200</v>
      </c>
      <c r="I331" s="32">
        <v>200</v>
      </c>
      <c r="J331" s="32"/>
      <c r="K331" s="104"/>
      <c r="L331" s="105">
        <v>20201118</v>
      </c>
    </row>
    <row r="332" ht="16" customHeight="1" spans="1:12">
      <c r="A332" s="102">
        <v>330</v>
      </c>
      <c r="B332" s="102" t="s">
        <v>13533</v>
      </c>
      <c r="C332" s="5" t="s">
        <v>10005</v>
      </c>
      <c r="D332" s="102" t="s">
        <v>13889</v>
      </c>
      <c r="E332" s="102">
        <v>2020</v>
      </c>
      <c r="F332" s="102">
        <v>2020</v>
      </c>
      <c r="G332" s="137" t="s">
        <v>2480</v>
      </c>
      <c r="H332" s="32">
        <v>200</v>
      </c>
      <c r="I332" s="32">
        <v>200</v>
      </c>
      <c r="J332" s="32"/>
      <c r="K332" s="104"/>
      <c r="L332" s="105">
        <v>20201118</v>
      </c>
    </row>
    <row r="333" ht="16" customHeight="1" spans="1:12">
      <c r="A333" s="102">
        <v>331</v>
      </c>
      <c r="B333" s="102" t="s">
        <v>13533</v>
      </c>
      <c r="C333" s="5" t="s">
        <v>13890</v>
      </c>
      <c r="D333" s="102" t="s">
        <v>13891</v>
      </c>
      <c r="E333" s="102">
        <v>2020</v>
      </c>
      <c r="F333" s="102">
        <v>2020</v>
      </c>
      <c r="G333" s="137" t="s">
        <v>2480</v>
      </c>
      <c r="H333" s="32">
        <v>200</v>
      </c>
      <c r="I333" s="32">
        <v>200</v>
      </c>
      <c r="J333" s="32"/>
      <c r="K333" s="104"/>
      <c r="L333" s="105">
        <v>20201118</v>
      </c>
    </row>
    <row r="334" ht="16" customHeight="1" spans="1:12">
      <c r="A334" s="102">
        <v>332</v>
      </c>
      <c r="B334" s="102" t="s">
        <v>13533</v>
      </c>
      <c r="C334" s="5" t="s">
        <v>13892</v>
      </c>
      <c r="D334" s="102" t="s">
        <v>13893</v>
      </c>
      <c r="E334" s="102">
        <v>2020</v>
      </c>
      <c r="F334" s="102">
        <v>2020</v>
      </c>
      <c r="G334" s="137" t="s">
        <v>2480</v>
      </c>
      <c r="H334" s="32">
        <v>200</v>
      </c>
      <c r="I334" s="32">
        <v>200</v>
      </c>
      <c r="J334" s="32"/>
      <c r="K334" s="104"/>
      <c r="L334" s="105">
        <v>20201118</v>
      </c>
    </row>
    <row r="335" ht="16" customHeight="1" spans="1:12">
      <c r="A335" s="102">
        <v>333</v>
      </c>
      <c r="B335" s="102" t="s">
        <v>13533</v>
      </c>
      <c r="C335" s="5" t="s">
        <v>13894</v>
      </c>
      <c r="D335" s="102" t="s">
        <v>13895</v>
      </c>
      <c r="E335" s="102">
        <v>2020</v>
      </c>
      <c r="F335" s="102">
        <v>2020</v>
      </c>
      <c r="G335" s="137" t="s">
        <v>2480</v>
      </c>
      <c r="H335" s="32">
        <v>200</v>
      </c>
      <c r="I335" s="32">
        <v>200</v>
      </c>
      <c r="J335" s="32"/>
      <c r="K335" s="104"/>
      <c r="L335" s="105">
        <v>20201118</v>
      </c>
    </row>
    <row r="336" ht="16" customHeight="1" spans="1:12">
      <c r="A336" s="102">
        <v>334</v>
      </c>
      <c r="B336" s="102" t="s">
        <v>13533</v>
      </c>
      <c r="C336" s="32" t="s">
        <v>13896</v>
      </c>
      <c r="D336" s="32" t="s">
        <v>13897</v>
      </c>
      <c r="E336" s="141">
        <v>2017</v>
      </c>
      <c r="F336" s="141">
        <v>2020</v>
      </c>
      <c r="G336" s="137" t="s">
        <v>289</v>
      </c>
      <c r="H336" s="32">
        <v>200</v>
      </c>
      <c r="I336" s="32">
        <v>800</v>
      </c>
      <c r="J336" s="32"/>
      <c r="K336" s="104"/>
      <c r="L336" s="105">
        <v>20201118</v>
      </c>
    </row>
    <row r="337" ht="16" customHeight="1" spans="1:12">
      <c r="A337" s="102">
        <v>335</v>
      </c>
      <c r="B337" s="102" t="s">
        <v>13533</v>
      </c>
      <c r="C337" s="32" t="s">
        <v>13898</v>
      </c>
      <c r="D337" s="32" t="s">
        <v>13899</v>
      </c>
      <c r="E337" s="141">
        <v>2011</v>
      </c>
      <c r="F337" s="141">
        <v>2020</v>
      </c>
      <c r="G337" s="137" t="s">
        <v>289</v>
      </c>
      <c r="H337" s="32">
        <v>200</v>
      </c>
      <c r="I337" s="32">
        <v>2000</v>
      </c>
      <c r="J337" s="32"/>
      <c r="K337" s="104"/>
      <c r="L337" s="105">
        <v>20201118</v>
      </c>
    </row>
    <row r="338" ht="16" customHeight="1" spans="1:12">
      <c r="A338" s="102">
        <v>336</v>
      </c>
      <c r="B338" s="102" t="s">
        <v>13533</v>
      </c>
      <c r="C338" s="32" t="s">
        <v>13900</v>
      </c>
      <c r="D338" s="32" t="s">
        <v>13901</v>
      </c>
      <c r="E338" s="141">
        <v>2019</v>
      </c>
      <c r="F338" s="141">
        <v>2020</v>
      </c>
      <c r="G338" s="137" t="s">
        <v>289</v>
      </c>
      <c r="H338" s="32">
        <v>200</v>
      </c>
      <c r="I338" s="32">
        <v>400</v>
      </c>
      <c r="J338" s="32"/>
      <c r="K338" s="104"/>
      <c r="L338" s="105">
        <v>20201118</v>
      </c>
    </row>
    <row r="339" ht="16" customHeight="1" spans="1:12">
      <c r="A339" s="102">
        <v>337</v>
      </c>
      <c r="B339" s="102" t="s">
        <v>13533</v>
      </c>
      <c r="C339" s="32" t="s">
        <v>10353</v>
      </c>
      <c r="D339" s="32" t="s">
        <v>13902</v>
      </c>
      <c r="E339" s="141">
        <v>2015</v>
      </c>
      <c r="F339" s="141">
        <v>2020</v>
      </c>
      <c r="G339" s="137" t="s">
        <v>289</v>
      </c>
      <c r="H339" s="32">
        <v>200</v>
      </c>
      <c r="I339" s="32">
        <v>1200</v>
      </c>
      <c r="J339" s="32"/>
      <c r="K339" s="104"/>
      <c r="L339" s="105">
        <v>20201118</v>
      </c>
    </row>
    <row r="340" ht="16" customHeight="1" spans="1:12">
      <c r="A340" s="102">
        <v>338</v>
      </c>
      <c r="B340" s="102" t="s">
        <v>13533</v>
      </c>
      <c r="C340" s="32" t="s">
        <v>13903</v>
      </c>
      <c r="D340" s="32" t="s">
        <v>13904</v>
      </c>
      <c r="E340" s="141">
        <v>2014</v>
      </c>
      <c r="F340" s="141">
        <v>2020</v>
      </c>
      <c r="G340" s="137" t="s">
        <v>289</v>
      </c>
      <c r="H340" s="32">
        <v>200</v>
      </c>
      <c r="I340" s="32">
        <v>1400</v>
      </c>
      <c r="J340" s="32"/>
      <c r="K340" s="104"/>
      <c r="L340" s="105">
        <v>20201118</v>
      </c>
    </row>
    <row r="341" ht="16" customHeight="1" spans="1:12">
      <c r="A341" s="102">
        <v>339</v>
      </c>
      <c r="B341" s="102" t="s">
        <v>13533</v>
      </c>
      <c r="C341" s="32" t="s">
        <v>13905</v>
      </c>
      <c r="D341" s="32" t="s">
        <v>13906</v>
      </c>
      <c r="E341" s="141">
        <v>2014</v>
      </c>
      <c r="F341" s="141">
        <v>2020</v>
      </c>
      <c r="G341" s="137" t="s">
        <v>289</v>
      </c>
      <c r="H341" s="32">
        <v>200</v>
      </c>
      <c r="I341" s="32">
        <v>1400</v>
      </c>
      <c r="J341" s="32"/>
      <c r="K341" s="104"/>
      <c r="L341" s="105">
        <v>20201118</v>
      </c>
    </row>
    <row r="342" ht="16" customHeight="1" spans="1:12">
      <c r="A342" s="108"/>
      <c r="B342" s="108"/>
      <c r="C342" s="108"/>
      <c r="D342" s="108"/>
      <c r="E342" s="108"/>
      <c r="F342" s="108"/>
      <c r="G342" s="108"/>
      <c r="H342" s="108"/>
      <c r="I342" s="108">
        <v>101400</v>
      </c>
      <c r="J342" s="108"/>
      <c r="K342" s="108"/>
      <c r="L342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8"/>
  <sheetViews>
    <sheetView topLeftCell="A236" workbookViewId="0">
      <selection activeCell="A3" sqref="A3:L267"/>
    </sheetView>
  </sheetViews>
  <sheetFormatPr defaultColWidth="9" defaultRowHeight="13.5"/>
  <cols>
    <col min="4" max="4" width="23" customWidth="1"/>
    <col min="7" max="7" width="10.25" customWidth="1"/>
    <col min="8" max="8" width="10" customWidth="1"/>
    <col min="10" max="10" width="12.25" customWidth="1"/>
    <col min="12" max="12" width="11.75" customWidth="1"/>
  </cols>
  <sheetData>
    <row r="1" ht="18.75" spans="1:12">
      <c r="A1" s="99" t="s">
        <v>13907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ht="16" customHeight="1" spans="1:13">
      <c r="A3" s="132">
        <v>1</v>
      </c>
      <c r="B3" s="102" t="s">
        <v>13908</v>
      </c>
      <c r="C3" s="17" t="s">
        <v>13909</v>
      </c>
      <c r="D3" s="128" t="s">
        <v>13910</v>
      </c>
      <c r="E3" s="102" t="s">
        <v>15</v>
      </c>
      <c r="F3" s="102" t="s">
        <v>15</v>
      </c>
      <c r="G3" s="132" t="s">
        <v>16</v>
      </c>
      <c r="H3" s="128">
        <v>200</v>
      </c>
      <c r="I3" s="128">
        <v>200</v>
      </c>
      <c r="J3" s="128"/>
      <c r="K3" s="104"/>
      <c r="L3" s="105">
        <v>20201118</v>
      </c>
      <c r="M3" s="133"/>
    </row>
    <row r="4" ht="16" customHeight="1" spans="1:13">
      <c r="A4" s="132">
        <v>2</v>
      </c>
      <c r="B4" s="102" t="s">
        <v>13908</v>
      </c>
      <c r="C4" s="17" t="s">
        <v>2218</v>
      </c>
      <c r="D4" s="281" t="s">
        <v>13911</v>
      </c>
      <c r="E4" s="102" t="s">
        <v>15</v>
      </c>
      <c r="F4" s="102" t="s">
        <v>15</v>
      </c>
      <c r="G4" s="132" t="s">
        <v>16</v>
      </c>
      <c r="H4" s="128">
        <v>200</v>
      </c>
      <c r="I4" s="128">
        <v>200</v>
      </c>
      <c r="J4" s="128"/>
      <c r="K4" s="104"/>
      <c r="L4" s="105">
        <v>20201118</v>
      </c>
      <c r="M4" s="133"/>
    </row>
    <row r="5" ht="16" customHeight="1" spans="1:13">
      <c r="A5" s="102">
        <v>3</v>
      </c>
      <c r="B5" s="102" t="s">
        <v>13908</v>
      </c>
      <c r="C5" s="5" t="s">
        <v>13912</v>
      </c>
      <c r="D5" s="102" t="s">
        <v>13913</v>
      </c>
      <c r="E5" s="102" t="s">
        <v>15</v>
      </c>
      <c r="F5" s="102" t="s">
        <v>15</v>
      </c>
      <c r="G5" s="132" t="s">
        <v>16</v>
      </c>
      <c r="H5" s="128">
        <v>200</v>
      </c>
      <c r="I5" s="128">
        <v>200</v>
      </c>
      <c r="J5" s="102"/>
      <c r="K5" s="104"/>
      <c r="L5" s="105">
        <v>20201118</v>
      </c>
      <c r="M5" s="133"/>
    </row>
    <row r="6" ht="16" customHeight="1" spans="1:13">
      <c r="A6" s="102">
        <v>4</v>
      </c>
      <c r="B6" s="102" t="s">
        <v>13908</v>
      </c>
      <c r="C6" s="5" t="s">
        <v>13914</v>
      </c>
      <c r="D6" s="102" t="s">
        <v>13915</v>
      </c>
      <c r="E6" s="102" t="s">
        <v>15</v>
      </c>
      <c r="F6" s="102" t="s">
        <v>15</v>
      </c>
      <c r="G6" s="132" t="s">
        <v>16</v>
      </c>
      <c r="H6" s="128">
        <v>200</v>
      </c>
      <c r="I6" s="128">
        <v>200</v>
      </c>
      <c r="J6" s="102"/>
      <c r="K6" s="104"/>
      <c r="L6" s="105">
        <v>20201118</v>
      </c>
      <c r="M6" s="133"/>
    </row>
    <row r="7" ht="16" customHeight="1" spans="1:13">
      <c r="A7" s="102">
        <v>5</v>
      </c>
      <c r="B7" s="102" t="s">
        <v>13908</v>
      </c>
      <c r="C7" s="5" t="s">
        <v>13916</v>
      </c>
      <c r="D7" s="102" t="s">
        <v>13917</v>
      </c>
      <c r="E7" s="102" t="s">
        <v>15</v>
      </c>
      <c r="F7" s="102" t="s">
        <v>15</v>
      </c>
      <c r="G7" s="132" t="s">
        <v>16</v>
      </c>
      <c r="H7" s="128">
        <v>200</v>
      </c>
      <c r="I7" s="128">
        <v>200</v>
      </c>
      <c r="J7" s="102"/>
      <c r="K7" s="104"/>
      <c r="L7" s="105">
        <v>20201118</v>
      </c>
      <c r="M7" s="133"/>
    </row>
    <row r="8" ht="16" customHeight="1" spans="1:13">
      <c r="A8" s="132">
        <v>6</v>
      </c>
      <c r="B8" s="102" t="s">
        <v>13908</v>
      </c>
      <c r="C8" s="5" t="s">
        <v>13918</v>
      </c>
      <c r="D8" s="102" t="s">
        <v>13919</v>
      </c>
      <c r="E8" s="102" t="s">
        <v>15</v>
      </c>
      <c r="F8" s="102" t="s">
        <v>15</v>
      </c>
      <c r="G8" s="132" t="s">
        <v>16</v>
      </c>
      <c r="H8" s="128">
        <v>200</v>
      </c>
      <c r="I8" s="128">
        <v>200</v>
      </c>
      <c r="J8" s="102"/>
      <c r="K8" s="104"/>
      <c r="L8" s="105">
        <v>20201118</v>
      </c>
      <c r="M8" s="133"/>
    </row>
    <row r="9" ht="16" customHeight="1" spans="1:13">
      <c r="A9" s="132">
        <v>7</v>
      </c>
      <c r="B9" s="102" t="s">
        <v>13908</v>
      </c>
      <c r="C9" s="5" t="s">
        <v>9414</v>
      </c>
      <c r="D9" s="102" t="s">
        <v>13920</v>
      </c>
      <c r="E9" s="102" t="s">
        <v>15</v>
      </c>
      <c r="F9" s="102" t="s">
        <v>15</v>
      </c>
      <c r="G9" s="132" t="s">
        <v>16</v>
      </c>
      <c r="H9" s="128">
        <v>200</v>
      </c>
      <c r="I9" s="128">
        <v>200</v>
      </c>
      <c r="J9" s="102"/>
      <c r="K9" s="104"/>
      <c r="L9" s="105">
        <v>20201118</v>
      </c>
      <c r="M9" s="133"/>
    </row>
    <row r="10" ht="16" customHeight="1" spans="1:13">
      <c r="A10" s="102">
        <v>8</v>
      </c>
      <c r="B10" s="102" t="s">
        <v>13908</v>
      </c>
      <c r="C10" s="5" t="s">
        <v>13921</v>
      </c>
      <c r="D10" s="102" t="s">
        <v>13922</v>
      </c>
      <c r="E10" s="102" t="s">
        <v>15</v>
      </c>
      <c r="F10" s="102" t="s">
        <v>15</v>
      </c>
      <c r="G10" s="132" t="s">
        <v>16</v>
      </c>
      <c r="H10" s="128">
        <v>200</v>
      </c>
      <c r="I10" s="128">
        <v>200</v>
      </c>
      <c r="J10" s="102"/>
      <c r="K10" s="104"/>
      <c r="L10" s="105">
        <v>20201118</v>
      </c>
      <c r="M10" s="133"/>
    </row>
    <row r="11" ht="16" customHeight="1" spans="1:13">
      <c r="A11" s="102">
        <v>9</v>
      </c>
      <c r="B11" s="102" t="s">
        <v>13908</v>
      </c>
      <c r="C11" s="5" t="s">
        <v>13923</v>
      </c>
      <c r="D11" s="102" t="s">
        <v>13924</v>
      </c>
      <c r="E11" s="102" t="s">
        <v>15</v>
      </c>
      <c r="F11" s="102" t="s">
        <v>15</v>
      </c>
      <c r="G11" s="132" t="s">
        <v>16</v>
      </c>
      <c r="H11" s="128">
        <v>200</v>
      </c>
      <c r="I11" s="128">
        <v>200</v>
      </c>
      <c r="J11" s="102"/>
      <c r="K11" s="104"/>
      <c r="L11" s="105">
        <v>20201118</v>
      </c>
      <c r="M11" s="133"/>
    </row>
    <row r="12" ht="16" customHeight="1" spans="1:13">
      <c r="A12" s="102">
        <v>10</v>
      </c>
      <c r="B12" s="102" t="s">
        <v>13908</v>
      </c>
      <c r="C12" s="5" t="s">
        <v>13925</v>
      </c>
      <c r="D12" s="102" t="s">
        <v>13926</v>
      </c>
      <c r="E12" s="102" t="s">
        <v>15</v>
      </c>
      <c r="F12" s="102" t="s">
        <v>15</v>
      </c>
      <c r="G12" s="132" t="s">
        <v>16</v>
      </c>
      <c r="H12" s="128">
        <v>200</v>
      </c>
      <c r="I12" s="128">
        <v>200</v>
      </c>
      <c r="J12" s="102"/>
      <c r="K12" s="104"/>
      <c r="L12" s="105">
        <v>20201118</v>
      </c>
      <c r="M12" s="133"/>
    </row>
    <row r="13" ht="16" customHeight="1" spans="1:13">
      <c r="A13" s="132">
        <v>11</v>
      </c>
      <c r="B13" s="102" t="s">
        <v>13908</v>
      </c>
      <c r="C13" s="5" t="s">
        <v>13927</v>
      </c>
      <c r="D13" s="102" t="s">
        <v>13928</v>
      </c>
      <c r="E13" s="102" t="s">
        <v>15</v>
      </c>
      <c r="F13" s="102" t="s">
        <v>15</v>
      </c>
      <c r="G13" s="132" t="s">
        <v>16</v>
      </c>
      <c r="H13" s="128">
        <v>200</v>
      </c>
      <c r="I13" s="128">
        <v>200</v>
      </c>
      <c r="J13" s="102"/>
      <c r="K13" s="104"/>
      <c r="L13" s="105">
        <v>20201118</v>
      </c>
      <c r="M13" s="133"/>
    </row>
    <row r="14" ht="16" customHeight="1" spans="1:13">
      <c r="A14" s="132">
        <v>12</v>
      </c>
      <c r="B14" s="102" t="s">
        <v>13908</v>
      </c>
      <c r="C14" s="5" t="s">
        <v>13929</v>
      </c>
      <c r="D14" s="102" t="s">
        <v>13930</v>
      </c>
      <c r="E14" s="102" t="s">
        <v>15</v>
      </c>
      <c r="F14" s="102" t="s">
        <v>15</v>
      </c>
      <c r="G14" s="132" t="s">
        <v>16</v>
      </c>
      <c r="H14" s="128">
        <v>200</v>
      </c>
      <c r="I14" s="128">
        <v>200</v>
      </c>
      <c r="J14" s="102"/>
      <c r="K14" s="104"/>
      <c r="L14" s="105">
        <v>20201118</v>
      </c>
      <c r="M14" s="133"/>
    </row>
    <row r="15" ht="16" customHeight="1" spans="1:13">
      <c r="A15" s="102">
        <v>13</v>
      </c>
      <c r="B15" s="102" t="s">
        <v>13908</v>
      </c>
      <c r="C15" s="5" t="s">
        <v>13931</v>
      </c>
      <c r="D15" s="102" t="s">
        <v>13932</v>
      </c>
      <c r="E15" s="102" t="s">
        <v>15</v>
      </c>
      <c r="F15" s="102" t="s">
        <v>15</v>
      </c>
      <c r="G15" s="132" t="s">
        <v>16</v>
      </c>
      <c r="H15" s="128">
        <v>200</v>
      </c>
      <c r="I15" s="128">
        <v>200</v>
      </c>
      <c r="J15" s="102"/>
      <c r="K15" s="104"/>
      <c r="L15" s="105">
        <v>20201118</v>
      </c>
      <c r="M15" s="133"/>
    </row>
    <row r="16" ht="16" customHeight="1" spans="1:13">
      <c r="A16" s="102">
        <v>14</v>
      </c>
      <c r="B16" s="102" t="s">
        <v>13908</v>
      </c>
      <c r="C16" s="5" t="s">
        <v>13933</v>
      </c>
      <c r="D16" s="102" t="s">
        <v>13934</v>
      </c>
      <c r="E16" s="102" t="s">
        <v>15</v>
      </c>
      <c r="F16" s="102" t="s">
        <v>15</v>
      </c>
      <c r="G16" s="132" t="s">
        <v>16</v>
      </c>
      <c r="H16" s="128">
        <v>200</v>
      </c>
      <c r="I16" s="128">
        <v>200</v>
      </c>
      <c r="J16" s="102"/>
      <c r="K16" s="104"/>
      <c r="L16" s="105">
        <v>20201118</v>
      </c>
      <c r="M16" s="133"/>
    </row>
    <row r="17" ht="16" customHeight="1" spans="1:13">
      <c r="A17" s="102">
        <v>15</v>
      </c>
      <c r="B17" s="102" t="s">
        <v>13908</v>
      </c>
      <c r="C17" s="5" t="s">
        <v>13935</v>
      </c>
      <c r="D17" s="102" t="s">
        <v>13936</v>
      </c>
      <c r="E17" s="102" t="s">
        <v>15</v>
      </c>
      <c r="F17" s="102" t="s">
        <v>15</v>
      </c>
      <c r="G17" s="132" t="s">
        <v>16</v>
      </c>
      <c r="H17" s="128">
        <v>200</v>
      </c>
      <c r="I17" s="128">
        <v>200</v>
      </c>
      <c r="J17" s="102"/>
      <c r="K17" s="104"/>
      <c r="L17" s="105">
        <v>20201118</v>
      </c>
      <c r="M17" s="133"/>
    </row>
    <row r="18" ht="16" customHeight="1" spans="1:13">
      <c r="A18" s="132">
        <v>16</v>
      </c>
      <c r="B18" s="102" t="s">
        <v>13908</v>
      </c>
      <c r="C18" s="5" t="s">
        <v>13937</v>
      </c>
      <c r="D18" s="102" t="s">
        <v>13938</v>
      </c>
      <c r="E18" s="102" t="s">
        <v>15</v>
      </c>
      <c r="F18" s="102" t="s">
        <v>15</v>
      </c>
      <c r="G18" s="132" t="s">
        <v>16</v>
      </c>
      <c r="H18" s="128">
        <v>200</v>
      </c>
      <c r="I18" s="128">
        <v>200</v>
      </c>
      <c r="J18" s="102"/>
      <c r="K18" s="104"/>
      <c r="L18" s="105">
        <v>20201118</v>
      </c>
      <c r="M18" s="133"/>
    </row>
    <row r="19" ht="16" customHeight="1" spans="1:13">
      <c r="A19" s="132">
        <v>17</v>
      </c>
      <c r="B19" s="102" t="s">
        <v>13908</v>
      </c>
      <c r="C19" s="5" t="s">
        <v>13939</v>
      </c>
      <c r="D19" s="102" t="s">
        <v>13940</v>
      </c>
      <c r="E19" s="102" t="s">
        <v>15</v>
      </c>
      <c r="F19" s="102" t="s">
        <v>15</v>
      </c>
      <c r="G19" s="132" t="s">
        <v>16</v>
      </c>
      <c r="H19" s="128">
        <v>200</v>
      </c>
      <c r="I19" s="128">
        <v>200</v>
      </c>
      <c r="J19" s="102"/>
      <c r="K19" s="104"/>
      <c r="L19" s="105">
        <v>20201118</v>
      </c>
      <c r="M19" s="133"/>
    </row>
    <row r="20" ht="16" customHeight="1" spans="1:13">
      <c r="A20" s="102">
        <v>18</v>
      </c>
      <c r="B20" s="102" t="s">
        <v>13908</v>
      </c>
      <c r="C20" s="5" t="s">
        <v>13941</v>
      </c>
      <c r="D20" s="102" t="s">
        <v>13942</v>
      </c>
      <c r="E20" s="102" t="s">
        <v>15</v>
      </c>
      <c r="F20" s="102" t="s">
        <v>15</v>
      </c>
      <c r="G20" s="132" t="s">
        <v>16</v>
      </c>
      <c r="H20" s="128">
        <v>200</v>
      </c>
      <c r="I20" s="128">
        <v>200</v>
      </c>
      <c r="J20" s="102"/>
      <c r="K20" s="104"/>
      <c r="L20" s="105">
        <v>20201118</v>
      </c>
      <c r="M20" s="133"/>
    </row>
    <row r="21" ht="16" customHeight="1" spans="1:13">
      <c r="A21" s="102">
        <v>19</v>
      </c>
      <c r="B21" s="102" t="s">
        <v>13908</v>
      </c>
      <c r="C21" s="5" t="s">
        <v>13943</v>
      </c>
      <c r="D21" s="102" t="s">
        <v>13944</v>
      </c>
      <c r="E21" s="102" t="s">
        <v>15</v>
      </c>
      <c r="F21" s="102" t="s">
        <v>15</v>
      </c>
      <c r="G21" s="132" t="s">
        <v>16</v>
      </c>
      <c r="H21" s="128">
        <v>200</v>
      </c>
      <c r="I21" s="128">
        <v>200</v>
      </c>
      <c r="J21" s="102"/>
      <c r="K21" s="104"/>
      <c r="L21" s="105">
        <v>20201118</v>
      </c>
      <c r="M21" s="133"/>
    </row>
    <row r="22" ht="16" customHeight="1" spans="1:13">
      <c r="A22" s="102">
        <v>20</v>
      </c>
      <c r="B22" s="102" t="s">
        <v>13908</v>
      </c>
      <c r="C22" s="5" t="s">
        <v>13945</v>
      </c>
      <c r="D22" s="102" t="s">
        <v>13946</v>
      </c>
      <c r="E22" s="102" t="s">
        <v>15</v>
      </c>
      <c r="F22" s="102" t="s">
        <v>15</v>
      </c>
      <c r="G22" s="132" t="s">
        <v>16</v>
      </c>
      <c r="H22" s="128">
        <v>200</v>
      </c>
      <c r="I22" s="128">
        <v>200</v>
      </c>
      <c r="J22" s="102"/>
      <c r="K22" s="104"/>
      <c r="L22" s="105">
        <v>20201118</v>
      </c>
      <c r="M22" s="133"/>
    </row>
    <row r="23" ht="16" customHeight="1" spans="1:13">
      <c r="A23" s="132">
        <v>21</v>
      </c>
      <c r="B23" s="102" t="s">
        <v>13908</v>
      </c>
      <c r="C23" s="5" t="s">
        <v>13947</v>
      </c>
      <c r="D23" s="102" t="s">
        <v>13948</v>
      </c>
      <c r="E23" s="102" t="s">
        <v>15</v>
      </c>
      <c r="F23" s="102" t="s">
        <v>15</v>
      </c>
      <c r="G23" s="132" t="s">
        <v>16</v>
      </c>
      <c r="H23" s="128">
        <v>200</v>
      </c>
      <c r="I23" s="128">
        <v>200</v>
      </c>
      <c r="J23" s="102"/>
      <c r="K23" s="104"/>
      <c r="L23" s="105">
        <v>20201118</v>
      </c>
      <c r="M23" s="133"/>
    </row>
    <row r="24" ht="16" customHeight="1" spans="1:13">
      <c r="A24" s="132">
        <v>22</v>
      </c>
      <c r="B24" s="102" t="s">
        <v>13908</v>
      </c>
      <c r="C24" s="5" t="s">
        <v>13949</v>
      </c>
      <c r="D24" s="102" t="s">
        <v>13950</v>
      </c>
      <c r="E24" s="102" t="s">
        <v>15</v>
      </c>
      <c r="F24" s="102" t="s">
        <v>15</v>
      </c>
      <c r="G24" s="132" t="s">
        <v>16</v>
      </c>
      <c r="H24" s="128">
        <v>200</v>
      </c>
      <c r="I24" s="128">
        <v>200</v>
      </c>
      <c r="J24" s="102"/>
      <c r="K24" s="104"/>
      <c r="L24" s="105">
        <v>20201118</v>
      </c>
      <c r="M24" s="133"/>
    </row>
    <row r="25" ht="16" customHeight="1" spans="1:13">
      <c r="A25" s="102">
        <v>23</v>
      </c>
      <c r="B25" s="102" t="s">
        <v>13908</v>
      </c>
      <c r="C25" s="5" t="s">
        <v>13951</v>
      </c>
      <c r="D25" s="102" t="s">
        <v>13952</v>
      </c>
      <c r="E25" s="102" t="s">
        <v>15</v>
      </c>
      <c r="F25" s="102" t="s">
        <v>15</v>
      </c>
      <c r="G25" s="132" t="s">
        <v>16</v>
      </c>
      <c r="H25" s="128">
        <v>200</v>
      </c>
      <c r="I25" s="128">
        <v>200</v>
      </c>
      <c r="J25" s="102"/>
      <c r="K25" s="104"/>
      <c r="L25" s="105">
        <v>20201118</v>
      </c>
      <c r="M25" s="133"/>
    </row>
    <row r="26" ht="16" customHeight="1" spans="1:13">
      <c r="A26" s="102">
        <v>24</v>
      </c>
      <c r="B26" s="102" t="s">
        <v>13908</v>
      </c>
      <c r="C26" s="5" t="s">
        <v>13953</v>
      </c>
      <c r="D26" s="102" t="s">
        <v>13954</v>
      </c>
      <c r="E26" s="102" t="s">
        <v>15</v>
      </c>
      <c r="F26" s="102" t="s">
        <v>15</v>
      </c>
      <c r="G26" s="132" t="s">
        <v>16</v>
      </c>
      <c r="H26" s="128">
        <v>200</v>
      </c>
      <c r="I26" s="128">
        <v>200</v>
      </c>
      <c r="J26" s="102"/>
      <c r="K26" s="104"/>
      <c r="L26" s="105">
        <v>20201118</v>
      </c>
      <c r="M26" s="133"/>
    </row>
    <row r="27" ht="16" customHeight="1" spans="1:13">
      <c r="A27" s="102">
        <v>25</v>
      </c>
      <c r="B27" s="102" t="s">
        <v>13908</v>
      </c>
      <c r="C27" s="5" t="s">
        <v>13955</v>
      </c>
      <c r="D27" s="102" t="s">
        <v>13956</v>
      </c>
      <c r="E27" s="102" t="s">
        <v>15</v>
      </c>
      <c r="F27" s="102" t="s">
        <v>15</v>
      </c>
      <c r="G27" s="132" t="s">
        <v>16</v>
      </c>
      <c r="H27" s="128">
        <v>200</v>
      </c>
      <c r="I27" s="128">
        <v>200</v>
      </c>
      <c r="J27" s="102"/>
      <c r="K27" s="104"/>
      <c r="L27" s="105">
        <v>20201118</v>
      </c>
      <c r="M27" s="133"/>
    </row>
    <row r="28" ht="16" customHeight="1" spans="1:13">
      <c r="A28" s="132">
        <v>26</v>
      </c>
      <c r="B28" s="102" t="s">
        <v>13908</v>
      </c>
      <c r="C28" s="102" t="s">
        <v>13957</v>
      </c>
      <c r="D28" s="102" t="s">
        <v>13958</v>
      </c>
      <c r="E28" s="102" t="s">
        <v>15</v>
      </c>
      <c r="F28" s="102" t="s">
        <v>15</v>
      </c>
      <c r="G28" s="132" t="s">
        <v>16</v>
      </c>
      <c r="H28" s="128">
        <v>200</v>
      </c>
      <c r="I28" s="128">
        <v>200</v>
      </c>
      <c r="J28" s="102"/>
      <c r="K28" s="104"/>
      <c r="L28" s="105">
        <v>20201118</v>
      </c>
      <c r="M28" s="133"/>
    </row>
    <row r="29" ht="16" customHeight="1" spans="1:13">
      <c r="A29" s="132">
        <v>27</v>
      </c>
      <c r="B29" s="102" t="s">
        <v>13908</v>
      </c>
      <c r="C29" s="102" t="s">
        <v>13959</v>
      </c>
      <c r="D29" s="102" t="s">
        <v>13960</v>
      </c>
      <c r="E29" s="102" t="s">
        <v>15</v>
      </c>
      <c r="F29" s="102" t="s">
        <v>15</v>
      </c>
      <c r="G29" s="132" t="s">
        <v>16</v>
      </c>
      <c r="H29" s="128">
        <v>200</v>
      </c>
      <c r="I29" s="128">
        <v>200</v>
      </c>
      <c r="J29" s="102"/>
      <c r="K29" s="104"/>
      <c r="L29" s="105">
        <v>20201118</v>
      </c>
      <c r="M29" s="133"/>
    </row>
    <row r="30" ht="16" customHeight="1" spans="1:13">
      <c r="A30" s="102">
        <v>28</v>
      </c>
      <c r="B30" s="102" t="s">
        <v>13908</v>
      </c>
      <c r="C30" s="102" t="s">
        <v>8062</v>
      </c>
      <c r="D30" s="102" t="s">
        <v>13961</v>
      </c>
      <c r="E30" s="102" t="s">
        <v>15</v>
      </c>
      <c r="F30" s="102" t="s">
        <v>15</v>
      </c>
      <c r="G30" s="132" t="s">
        <v>16</v>
      </c>
      <c r="H30" s="128">
        <v>200</v>
      </c>
      <c r="I30" s="128">
        <v>200</v>
      </c>
      <c r="J30" s="102"/>
      <c r="K30" s="104"/>
      <c r="L30" s="105">
        <v>20201118</v>
      </c>
      <c r="M30" s="133"/>
    </row>
    <row r="31" ht="16" customHeight="1" spans="1:13">
      <c r="A31" s="102">
        <v>29</v>
      </c>
      <c r="B31" s="102" t="s">
        <v>13908</v>
      </c>
      <c r="C31" s="102" t="s">
        <v>13962</v>
      </c>
      <c r="D31" s="102" t="s">
        <v>13963</v>
      </c>
      <c r="E31" s="102" t="s">
        <v>15</v>
      </c>
      <c r="F31" s="102" t="s">
        <v>15</v>
      </c>
      <c r="G31" s="132" t="s">
        <v>16</v>
      </c>
      <c r="H31" s="128">
        <v>200</v>
      </c>
      <c r="I31" s="128">
        <v>200</v>
      </c>
      <c r="J31" s="102"/>
      <c r="K31" s="104"/>
      <c r="L31" s="105">
        <v>20201118</v>
      </c>
      <c r="M31" s="133"/>
    </row>
    <row r="32" ht="16" customHeight="1" spans="1:13">
      <c r="A32" s="102">
        <v>30</v>
      </c>
      <c r="B32" s="102" t="s">
        <v>13908</v>
      </c>
      <c r="C32" s="102" t="s">
        <v>13964</v>
      </c>
      <c r="D32" s="102" t="s">
        <v>13965</v>
      </c>
      <c r="E32" s="102" t="s">
        <v>15</v>
      </c>
      <c r="F32" s="102" t="s">
        <v>15</v>
      </c>
      <c r="G32" s="132" t="s">
        <v>16</v>
      </c>
      <c r="H32" s="128">
        <v>200</v>
      </c>
      <c r="I32" s="128">
        <v>200</v>
      </c>
      <c r="J32" s="102"/>
      <c r="K32" s="104"/>
      <c r="L32" s="105">
        <v>20201118</v>
      </c>
      <c r="M32" s="133"/>
    </row>
    <row r="33" ht="16" customHeight="1" spans="1:13">
      <c r="A33" s="132">
        <v>31</v>
      </c>
      <c r="B33" s="102" t="s">
        <v>13908</v>
      </c>
      <c r="C33" s="102" t="s">
        <v>13966</v>
      </c>
      <c r="D33" s="102" t="s">
        <v>13967</v>
      </c>
      <c r="E33" s="102" t="s">
        <v>15</v>
      </c>
      <c r="F33" s="102" t="s">
        <v>15</v>
      </c>
      <c r="G33" s="132" t="s">
        <v>16</v>
      </c>
      <c r="H33" s="128">
        <v>200</v>
      </c>
      <c r="I33" s="128">
        <v>200</v>
      </c>
      <c r="J33" s="102"/>
      <c r="K33" s="104"/>
      <c r="L33" s="105">
        <v>20201118</v>
      </c>
      <c r="M33" s="133"/>
    </row>
    <row r="34" ht="16" customHeight="1" spans="1:13">
      <c r="A34" s="132">
        <v>32</v>
      </c>
      <c r="B34" s="102" t="s">
        <v>13908</v>
      </c>
      <c r="C34" s="102" t="s">
        <v>13968</v>
      </c>
      <c r="D34" s="102" t="s">
        <v>13969</v>
      </c>
      <c r="E34" s="102" t="s">
        <v>15</v>
      </c>
      <c r="F34" s="102" t="s">
        <v>15</v>
      </c>
      <c r="G34" s="132" t="s">
        <v>16</v>
      </c>
      <c r="H34" s="128">
        <v>200</v>
      </c>
      <c r="I34" s="128">
        <v>200</v>
      </c>
      <c r="J34" s="102"/>
      <c r="K34" s="104"/>
      <c r="L34" s="105">
        <v>20201118</v>
      </c>
      <c r="M34" s="133"/>
    </row>
    <row r="35" ht="16" customHeight="1" spans="1:13">
      <c r="A35" s="102">
        <v>33</v>
      </c>
      <c r="B35" s="102" t="s">
        <v>13908</v>
      </c>
      <c r="C35" s="102" t="s">
        <v>13970</v>
      </c>
      <c r="D35" s="102" t="s">
        <v>13971</v>
      </c>
      <c r="E35" s="102" t="s">
        <v>15</v>
      </c>
      <c r="F35" s="102" t="s">
        <v>15</v>
      </c>
      <c r="G35" s="132" t="s">
        <v>16</v>
      </c>
      <c r="H35" s="128">
        <v>200</v>
      </c>
      <c r="I35" s="128">
        <v>200</v>
      </c>
      <c r="J35" s="102"/>
      <c r="K35" s="104"/>
      <c r="L35" s="105">
        <v>20201118</v>
      </c>
      <c r="M35" s="133"/>
    </row>
    <row r="36" ht="16" customHeight="1" spans="1:13">
      <c r="A36" s="102">
        <v>34</v>
      </c>
      <c r="B36" s="102" t="s">
        <v>13908</v>
      </c>
      <c r="C36" s="102" t="s">
        <v>13972</v>
      </c>
      <c r="D36" s="102" t="s">
        <v>13973</v>
      </c>
      <c r="E36" s="102" t="s">
        <v>15</v>
      </c>
      <c r="F36" s="102" t="s">
        <v>15</v>
      </c>
      <c r="G36" s="132" t="s">
        <v>16</v>
      </c>
      <c r="H36" s="128">
        <v>200</v>
      </c>
      <c r="I36" s="128">
        <v>200</v>
      </c>
      <c r="J36" s="102"/>
      <c r="K36" s="104"/>
      <c r="L36" s="105">
        <v>20201118</v>
      </c>
      <c r="M36" s="133"/>
    </row>
    <row r="37" ht="16" customHeight="1" spans="1:13">
      <c r="A37" s="102">
        <v>35</v>
      </c>
      <c r="B37" s="102" t="s">
        <v>13908</v>
      </c>
      <c r="C37" s="102" t="s">
        <v>13974</v>
      </c>
      <c r="D37" s="102" t="s">
        <v>13975</v>
      </c>
      <c r="E37" s="102" t="s">
        <v>15</v>
      </c>
      <c r="F37" s="102" t="s">
        <v>15</v>
      </c>
      <c r="G37" s="132" t="s">
        <v>16</v>
      </c>
      <c r="H37" s="128">
        <v>200</v>
      </c>
      <c r="I37" s="128">
        <v>200</v>
      </c>
      <c r="J37" s="102"/>
      <c r="K37" s="104"/>
      <c r="L37" s="105">
        <v>20201118</v>
      </c>
      <c r="M37" s="133"/>
    </row>
    <row r="38" ht="16" customHeight="1" spans="1:13">
      <c r="A38" s="132">
        <v>36</v>
      </c>
      <c r="B38" s="102" t="s">
        <v>13908</v>
      </c>
      <c r="C38" s="102" t="s">
        <v>4290</v>
      </c>
      <c r="D38" s="102" t="s">
        <v>13976</v>
      </c>
      <c r="E38" s="102" t="s">
        <v>15</v>
      </c>
      <c r="F38" s="102" t="s">
        <v>15</v>
      </c>
      <c r="G38" s="132" t="s">
        <v>16</v>
      </c>
      <c r="H38" s="128">
        <v>200</v>
      </c>
      <c r="I38" s="128">
        <v>200</v>
      </c>
      <c r="J38" s="102"/>
      <c r="K38" s="104"/>
      <c r="L38" s="105">
        <v>20201118</v>
      </c>
      <c r="M38" s="133"/>
    </row>
    <row r="39" ht="16" customHeight="1" spans="1:13">
      <c r="A39" s="132">
        <v>37</v>
      </c>
      <c r="B39" s="102" t="s">
        <v>13908</v>
      </c>
      <c r="C39" s="102" t="s">
        <v>13977</v>
      </c>
      <c r="D39" s="102" t="s">
        <v>13978</v>
      </c>
      <c r="E39" s="102" t="s">
        <v>15</v>
      </c>
      <c r="F39" s="102" t="s">
        <v>15</v>
      </c>
      <c r="G39" s="132" t="s">
        <v>16</v>
      </c>
      <c r="H39" s="128">
        <v>200</v>
      </c>
      <c r="I39" s="128">
        <v>200</v>
      </c>
      <c r="J39" s="102"/>
      <c r="K39" s="104"/>
      <c r="L39" s="105">
        <v>20201118</v>
      </c>
      <c r="M39" s="133"/>
    </row>
    <row r="40" ht="16" customHeight="1" spans="1:13">
      <c r="A40" s="102">
        <v>38</v>
      </c>
      <c r="B40" s="102" t="s">
        <v>13908</v>
      </c>
      <c r="C40" s="102" t="s">
        <v>13979</v>
      </c>
      <c r="D40" s="102" t="s">
        <v>13980</v>
      </c>
      <c r="E40" s="102" t="s">
        <v>15</v>
      </c>
      <c r="F40" s="102" t="s">
        <v>15</v>
      </c>
      <c r="G40" s="132" t="s">
        <v>16</v>
      </c>
      <c r="H40" s="128">
        <v>200</v>
      </c>
      <c r="I40" s="128">
        <v>200</v>
      </c>
      <c r="J40" s="102"/>
      <c r="K40" s="104"/>
      <c r="L40" s="105">
        <v>20201118</v>
      </c>
      <c r="M40" s="133"/>
    </row>
    <row r="41" ht="16" customHeight="1" spans="1:13">
      <c r="A41" s="102">
        <v>39</v>
      </c>
      <c r="B41" s="102" t="s">
        <v>13908</v>
      </c>
      <c r="C41" s="102" t="s">
        <v>13981</v>
      </c>
      <c r="D41" s="102" t="s">
        <v>13982</v>
      </c>
      <c r="E41" s="102" t="s">
        <v>15</v>
      </c>
      <c r="F41" s="102" t="s">
        <v>15</v>
      </c>
      <c r="G41" s="132" t="s">
        <v>16</v>
      </c>
      <c r="H41" s="128">
        <v>200</v>
      </c>
      <c r="I41" s="128">
        <v>200</v>
      </c>
      <c r="J41" s="102"/>
      <c r="K41" s="104"/>
      <c r="L41" s="105">
        <v>20201118</v>
      </c>
      <c r="M41" s="133"/>
    </row>
    <row r="42" ht="16" customHeight="1" spans="1:13">
      <c r="A42" s="102">
        <v>40</v>
      </c>
      <c r="B42" s="102" t="s">
        <v>13908</v>
      </c>
      <c r="C42" s="102" t="s">
        <v>13983</v>
      </c>
      <c r="D42" s="102" t="s">
        <v>13984</v>
      </c>
      <c r="E42" s="102" t="s">
        <v>15</v>
      </c>
      <c r="F42" s="102" t="s">
        <v>15</v>
      </c>
      <c r="G42" s="132" t="s">
        <v>16</v>
      </c>
      <c r="H42" s="128">
        <v>200</v>
      </c>
      <c r="I42" s="128">
        <v>200</v>
      </c>
      <c r="J42" s="102"/>
      <c r="K42" s="104"/>
      <c r="L42" s="105">
        <v>20201118</v>
      </c>
      <c r="M42" s="133"/>
    </row>
    <row r="43" ht="16" customHeight="1" spans="1:13">
      <c r="A43" s="132">
        <v>41</v>
      </c>
      <c r="B43" s="5" t="s">
        <v>13908</v>
      </c>
      <c r="C43" s="5" t="s">
        <v>13985</v>
      </c>
      <c r="D43" s="5" t="s">
        <v>13986</v>
      </c>
      <c r="E43" s="102" t="s">
        <v>15</v>
      </c>
      <c r="F43" s="102" t="s">
        <v>15</v>
      </c>
      <c r="G43" s="14" t="s">
        <v>16</v>
      </c>
      <c r="H43" s="17">
        <v>200</v>
      </c>
      <c r="I43" s="17">
        <v>200</v>
      </c>
      <c r="J43" s="5"/>
      <c r="K43" s="104"/>
      <c r="L43" s="105">
        <v>20201118</v>
      </c>
      <c r="M43" s="134"/>
    </row>
    <row r="44" ht="16" customHeight="1" spans="1:13">
      <c r="A44" s="132">
        <v>42</v>
      </c>
      <c r="B44" s="102" t="s">
        <v>13908</v>
      </c>
      <c r="C44" s="102" t="s">
        <v>8531</v>
      </c>
      <c r="D44" s="102" t="s">
        <v>13987</v>
      </c>
      <c r="E44" s="102" t="s">
        <v>15</v>
      </c>
      <c r="F44" s="102" t="s">
        <v>15</v>
      </c>
      <c r="G44" s="132" t="s">
        <v>16</v>
      </c>
      <c r="H44" s="128">
        <v>200</v>
      </c>
      <c r="I44" s="128">
        <v>200</v>
      </c>
      <c r="J44" s="102"/>
      <c r="K44" s="104"/>
      <c r="L44" s="105">
        <v>20201118</v>
      </c>
      <c r="M44" s="133"/>
    </row>
    <row r="45" ht="16" customHeight="1" spans="1:13">
      <c r="A45" s="102">
        <v>43</v>
      </c>
      <c r="B45" s="102" t="s">
        <v>13908</v>
      </c>
      <c r="C45" s="102" t="s">
        <v>13988</v>
      </c>
      <c r="D45" s="102" t="s">
        <v>13989</v>
      </c>
      <c r="E45" s="102" t="s">
        <v>15</v>
      </c>
      <c r="F45" s="102" t="s">
        <v>15</v>
      </c>
      <c r="G45" s="132" t="s">
        <v>16</v>
      </c>
      <c r="H45" s="128">
        <v>200</v>
      </c>
      <c r="I45" s="128">
        <v>200</v>
      </c>
      <c r="J45" s="102"/>
      <c r="K45" s="104"/>
      <c r="L45" s="105">
        <v>20201118</v>
      </c>
      <c r="M45" s="133"/>
    </row>
    <row r="46" ht="16" customHeight="1" spans="1:13">
      <c r="A46" s="102">
        <v>44</v>
      </c>
      <c r="B46" s="102" t="s">
        <v>13908</v>
      </c>
      <c r="C46" s="102" t="s">
        <v>13990</v>
      </c>
      <c r="D46" s="102" t="s">
        <v>13991</v>
      </c>
      <c r="E46" s="102" t="s">
        <v>15</v>
      </c>
      <c r="F46" s="102" t="s">
        <v>15</v>
      </c>
      <c r="G46" s="132" t="s">
        <v>16</v>
      </c>
      <c r="H46" s="128">
        <v>200</v>
      </c>
      <c r="I46" s="128">
        <v>200</v>
      </c>
      <c r="J46" s="102"/>
      <c r="K46" s="104"/>
      <c r="L46" s="105">
        <v>20201118</v>
      </c>
      <c r="M46" s="133"/>
    </row>
    <row r="47" ht="16" customHeight="1" spans="1:13">
      <c r="A47" s="102">
        <v>45</v>
      </c>
      <c r="B47" s="102" t="s">
        <v>13908</v>
      </c>
      <c r="C47" s="102" t="s">
        <v>13992</v>
      </c>
      <c r="D47" s="102" t="s">
        <v>13993</v>
      </c>
      <c r="E47" s="102" t="s">
        <v>15</v>
      </c>
      <c r="F47" s="102" t="s">
        <v>15</v>
      </c>
      <c r="G47" s="132" t="s">
        <v>16</v>
      </c>
      <c r="H47" s="128">
        <v>200</v>
      </c>
      <c r="I47" s="128">
        <v>200</v>
      </c>
      <c r="J47" s="102"/>
      <c r="K47" s="104"/>
      <c r="L47" s="105">
        <v>20201118</v>
      </c>
      <c r="M47" s="133"/>
    </row>
    <row r="48" ht="16" customHeight="1" spans="1:13">
      <c r="A48" s="132">
        <v>46</v>
      </c>
      <c r="B48" s="102" t="s">
        <v>13908</v>
      </c>
      <c r="C48" s="102" t="s">
        <v>13994</v>
      </c>
      <c r="D48" s="102" t="s">
        <v>13995</v>
      </c>
      <c r="E48" s="102" t="s">
        <v>15</v>
      </c>
      <c r="F48" s="102" t="s">
        <v>15</v>
      </c>
      <c r="G48" s="132" t="s">
        <v>16</v>
      </c>
      <c r="H48" s="128">
        <v>200</v>
      </c>
      <c r="I48" s="128">
        <v>200</v>
      </c>
      <c r="J48" s="102"/>
      <c r="K48" s="104"/>
      <c r="L48" s="105">
        <v>20201118</v>
      </c>
      <c r="M48" s="133"/>
    </row>
    <row r="49" ht="16" customHeight="1" spans="1:13">
      <c r="A49" s="132">
        <v>47</v>
      </c>
      <c r="B49" s="102" t="s">
        <v>13908</v>
      </c>
      <c r="C49" s="102" t="s">
        <v>4069</v>
      </c>
      <c r="D49" s="102" t="s">
        <v>13996</v>
      </c>
      <c r="E49" s="102" t="s">
        <v>15</v>
      </c>
      <c r="F49" s="102" t="s">
        <v>15</v>
      </c>
      <c r="G49" s="132" t="s">
        <v>16</v>
      </c>
      <c r="H49" s="128">
        <v>200</v>
      </c>
      <c r="I49" s="128">
        <v>200</v>
      </c>
      <c r="J49" s="102"/>
      <c r="K49" s="104"/>
      <c r="L49" s="105">
        <v>20201118</v>
      </c>
      <c r="M49" s="133"/>
    </row>
    <row r="50" ht="16" customHeight="1" spans="1:13">
      <c r="A50" s="102">
        <v>48</v>
      </c>
      <c r="B50" s="102" t="s">
        <v>13908</v>
      </c>
      <c r="C50" s="102" t="s">
        <v>13997</v>
      </c>
      <c r="D50" s="102" t="s">
        <v>13998</v>
      </c>
      <c r="E50" s="102" t="s">
        <v>15</v>
      </c>
      <c r="F50" s="102" t="s">
        <v>15</v>
      </c>
      <c r="G50" s="132" t="s">
        <v>16</v>
      </c>
      <c r="H50" s="128">
        <v>200</v>
      </c>
      <c r="I50" s="128">
        <v>200</v>
      </c>
      <c r="J50" s="102"/>
      <c r="K50" s="104"/>
      <c r="L50" s="105">
        <v>20201118</v>
      </c>
      <c r="M50" s="133"/>
    </row>
    <row r="51" ht="16" customHeight="1" spans="1:13">
      <c r="A51" s="102">
        <v>49</v>
      </c>
      <c r="B51" s="102" t="s">
        <v>13908</v>
      </c>
      <c r="C51" s="102" t="s">
        <v>13999</v>
      </c>
      <c r="D51" s="102" t="s">
        <v>14000</v>
      </c>
      <c r="E51" s="102" t="s">
        <v>15</v>
      </c>
      <c r="F51" s="102" t="s">
        <v>15</v>
      </c>
      <c r="G51" s="132" t="s">
        <v>16</v>
      </c>
      <c r="H51" s="128">
        <v>200</v>
      </c>
      <c r="I51" s="128">
        <v>200</v>
      </c>
      <c r="J51" s="102"/>
      <c r="K51" s="104"/>
      <c r="L51" s="105">
        <v>20201118</v>
      </c>
      <c r="M51" s="133"/>
    </row>
    <row r="52" ht="16" customHeight="1" spans="1:13">
      <c r="A52" s="102">
        <v>50</v>
      </c>
      <c r="B52" s="102" t="s">
        <v>13908</v>
      </c>
      <c r="C52" s="102" t="s">
        <v>13170</v>
      </c>
      <c r="D52" s="102" t="s">
        <v>14001</v>
      </c>
      <c r="E52" s="102" t="s">
        <v>15</v>
      </c>
      <c r="F52" s="102" t="s">
        <v>15</v>
      </c>
      <c r="G52" s="132" t="s">
        <v>16</v>
      </c>
      <c r="H52" s="128">
        <v>200</v>
      </c>
      <c r="I52" s="128">
        <v>200</v>
      </c>
      <c r="J52" s="102"/>
      <c r="K52" s="104"/>
      <c r="L52" s="105">
        <v>20201118</v>
      </c>
      <c r="M52" s="133"/>
    </row>
    <row r="53" ht="16" customHeight="1" spans="1:13">
      <c r="A53" s="132">
        <v>51</v>
      </c>
      <c r="B53" s="102" t="s">
        <v>13908</v>
      </c>
      <c r="C53" s="102" t="s">
        <v>4981</v>
      </c>
      <c r="D53" s="102" t="s">
        <v>14002</v>
      </c>
      <c r="E53" s="102" t="s">
        <v>15</v>
      </c>
      <c r="F53" s="102" t="s">
        <v>15</v>
      </c>
      <c r="G53" s="132" t="s">
        <v>16</v>
      </c>
      <c r="H53" s="128">
        <v>200</v>
      </c>
      <c r="I53" s="128">
        <v>200</v>
      </c>
      <c r="J53" s="102"/>
      <c r="K53" s="104"/>
      <c r="L53" s="105">
        <v>20201118</v>
      </c>
      <c r="M53" s="133"/>
    </row>
    <row r="54" ht="16" customHeight="1" spans="1:13">
      <c r="A54" s="132">
        <v>52</v>
      </c>
      <c r="B54" s="102" t="s">
        <v>13908</v>
      </c>
      <c r="C54" s="102" t="s">
        <v>14003</v>
      </c>
      <c r="D54" s="102" t="s">
        <v>14004</v>
      </c>
      <c r="E54" s="102" t="s">
        <v>15</v>
      </c>
      <c r="F54" s="102" t="s">
        <v>15</v>
      </c>
      <c r="G54" s="132" t="s">
        <v>16</v>
      </c>
      <c r="H54" s="128">
        <v>200</v>
      </c>
      <c r="I54" s="128">
        <v>200</v>
      </c>
      <c r="J54" s="102"/>
      <c r="K54" s="104"/>
      <c r="L54" s="105">
        <v>20201118</v>
      </c>
      <c r="M54" s="133"/>
    </row>
    <row r="55" ht="16" customHeight="1" spans="1:13">
      <c r="A55" s="102">
        <v>53</v>
      </c>
      <c r="B55" s="102" t="s">
        <v>13908</v>
      </c>
      <c r="C55" s="102" t="s">
        <v>14005</v>
      </c>
      <c r="D55" s="102" t="s">
        <v>14006</v>
      </c>
      <c r="E55" s="102" t="s">
        <v>15</v>
      </c>
      <c r="F55" s="102" t="s">
        <v>15</v>
      </c>
      <c r="G55" s="132" t="s">
        <v>16</v>
      </c>
      <c r="H55" s="128">
        <v>500</v>
      </c>
      <c r="I55" s="128">
        <v>500</v>
      </c>
      <c r="J55" s="102"/>
      <c r="K55" s="104"/>
      <c r="L55" s="105">
        <v>20201118</v>
      </c>
      <c r="M55" s="133"/>
    </row>
    <row r="56" ht="16" customHeight="1" spans="1:13">
      <c r="A56" s="102">
        <v>54</v>
      </c>
      <c r="B56" s="102" t="s">
        <v>13908</v>
      </c>
      <c r="C56" s="102" t="s">
        <v>14007</v>
      </c>
      <c r="D56" s="102" t="s">
        <v>14008</v>
      </c>
      <c r="E56" s="102" t="s">
        <v>15</v>
      </c>
      <c r="F56" s="102" t="s">
        <v>15</v>
      </c>
      <c r="G56" s="132" t="s">
        <v>16</v>
      </c>
      <c r="H56" s="128">
        <v>200</v>
      </c>
      <c r="I56" s="128">
        <v>200</v>
      </c>
      <c r="J56" s="102"/>
      <c r="K56" s="104"/>
      <c r="L56" s="105">
        <v>20201118</v>
      </c>
      <c r="M56" s="133"/>
    </row>
    <row r="57" ht="16" customHeight="1" spans="1:13">
      <c r="A57" s="102">
        <v>55</v>
      </c>
      <c r="B57" s="102" t="s">
        <v>13908</v>
      </c>
      <c r="C57" s="102" t="s">
        <v>14009</v>
      </c>
      <c r="D57" s="102" t="s">
        <v>14010</v>
      </c>
      <c r="E57" s="102" t="s">
        <v>15</v>
      </c>
      <c r="F57" s="102" t="s">
        <v>15</v>
      </c>
      <c r="G57" s="132" t="s">
        <v>16</v>
      </c>
      <c r="H57" s="128">
        <v>200</v>
      </c>
      <c r="I57" s="128">
        <v>200</v>
      </c>
      <c r="J57" s="102"/>
      <c r="K57" s="104"/>
      <c r="L57" s="105">
        <v>20201118</v>
      </c>
      <c r="M57" s="133"/>
    </row>
    <row r="58" ht="16" customHeight="1" spans="1:13">
      <c r="A58" s="132">
        <v>56</v>
      </c>
      <c r="B58" s="102" t="s">
        <v>13908</v>
      </c>
      <c r="C58" s="102" t="s">
        <v>14011</v>
      </c>
      <c r="D58" s="102" t="s">
        <v>14012</v>
      </c>
      <c r="E58" s="102" t="s">
        <v>15</v>
      </c>
      <c r="F58" s="102" t="s">
        <v>15</v>
      </c>
      <c r="G58" s="132" t="s">
        <v>16</v>
      </c>
      <c r="H58" s="128">
        <v>200</v>
      </c>
      <c r="I58" s="128">
        <v>200</v>
      </c>
      <c r="J58" s="102"/>
      <c r="K58" s="104"/>
      <c r="L58" s="105">
        <v>20201118</v>
      </c>
      <c r="M58" s="133"/>
    </row>
    <row r="59" ht="16" customHeight="1" spans="1:13">
      <c r="A59" s="132">
        <v>57</v>
      </c>
      <c r="B59" s="102" t="s">
        <v>13908</v>
      </c>
      <c r="C59" s="102" t="s">
        <v>8040</v>
      </c>
      <c r="D59" s="102" t="s">
        <v>14013</v>
      </c>
      <c r="E59" s="102" t="s">
        <v>15</v>
      </c>
      <c r="F59" s="102" t="s">
        <v>15</v>
      </c>
      <c r="G59" s="132" t="s">
        <v>16</v>
      </c>
      <c r="H59" s="128">
        <v>200</v>
      </c>
      <c r="I59" s="128">
        <v>200</v>
      </c>
      <c r="J59" s="102"/>
      <c r="K59" s="104"/>
      <c r="L59" s="105">
        <v>20201118</v>
      </c>
      <c r="M59" s="133"/>
    </row>
    <row r="60" ht="16" customHeight="1" spans="1:13">
      <c r="A60" s="102">
        <v>58</v>
      </c>
      <c r="B60" s="102" t="s">
        <v>13908</v>
      </c>
      <c r="C60" s="102" t="s">
        <v>14014</v>
      </c>
      <c r="D60" s="102" t="s">
        <v>14015</v>
      </c>
      <c r="E60" s="102" t="s">
        <v>15</v>
      </c>
      <c r="F60" s="102" t="s">
        <v>15</v>
      </c>
      <c r="G60" s="132" t="s">
        <v>16</v>
      </c>
      <c r="H60" s="128">
        <v>200</v>
      </c>
      <c r="I60" s="128">
        <v>200</v>
      </c>
      <c r="J60" s="102"/>
      <c r="K60" s="104"/>
      <c r="L60" s="105">
        <v>20201118</v>
      </c>
      <c r="M60" s="133"/>
    </row>
    <row r="61" ht="16" customHeight="1" spans="1:13">
      <c r="A61" s="102">
        <v>59</v>
      </c>
      <c r="B61" s="102" t="s">
        <v>13908</v>
      </c>
      <c r="C61" s="102" t="s">
        <v>14016</v>
      </c>
      <c r="D61" s="102" t="s">
        <v>14017</v>
      </c>
      <c r="E61" s="102" t="s">
        <v>15</v>
      </c>
      <c r="F61" s="102" t="s">
        <v>15</v>
      </c>
      <c r="G61" s="132" t="s">
        <v>16</v>
      </c>
      <c r="H61" s="128">
        <v>200</v>
      </c>
      <c r="I61" s="128">
        <v>200</v>
      </c>
      <c r="J61" s="102"/>
      <c r="K61" s="104"/>
      <c r="L61" s="105">
        <v>20201118</v>
      </c>
      <c r="M61" s="133"/>
    </row>
    <row r="62" ht="16" customHeight="1" spans="1:13">
      <c r="A62" s="102">
        <v>60</v>
      </c>
      <c r="B62" s="102" t="s">
        <v>13908</v>
      </c>
      <c r="C62" s="102" t="s">
        <v>14018</v>
      </c>
      <c r="D62" s="102" t="s">
        <v>14019</v>
      </c>
      <c r="E62" s="102" t="s">
        <v>15</v>
      </c>
      <c r="F62" s="102" t="s">
        <v>15</v>
      </c>
      <c r="G62" s="132" t="s">
        <v>16</v>
      </c>
      <c r="H62" s="128">
        <v>200</v>
      </c>
      <c r="I62" s="128">
        <v>200</v>
      </c>
      <c r="J62" s="102"/>
      <c r="K62" s="104"/>
      <c r="L62" s="105">
        <v>20201118</v>
      </c>
      <c r="M62" s="133"/>
    </row>
    <row r="63" ht="16" customHeight="1" spans="1:13">
      <c r="A63" s="132">
        <v>61</v>
      </c>
      <c r="B63" s="102" t="s">
        <v>13908</v>
      </c>
      <c r="C63" s="102" t="s">
        <v>14020</v>
      </c>
      <c r="D63" s="102" t="s">
        <v>14021</v>
      </c>
      <c r="E63" s="102" t="s">
        <v>15</v>
      </c>
      <c r="F63" s="102" t="s">
        <v>15</v>
      </c>
      <c r="G63" s="132" t="s">
        <v>16</v>
      </c>
      <c r="H63" s="128">
        <v>200</v>
      </c>
      <c r="I63" s="128">
        <v>200</v>
      </c>
      <c r="J63" s="102"/>
      <c r="K63" s="104"/>
      <c r="L63" s="105">
        <v>20201118</v>
      </c>
      <c r="M63" s="133"/>
    </row>
    <row r="64" ht="16" customHeight="1" spans="1:13">
      <c r="A64" s="132">
        <v>62</v>
      </c>
      <c r="B64" s="102" t="s">
        <v>13908</v>
      </c>
      <c r="C64" s="102" t="s">
        <v>887</v>
      </c>
      <c r="D64" s="102" t="s">
        <v>14022</v>
      </c>
      <c r="E64" s="102" t="s">
        <v>15</v>
      </c>
      <c r="F64" s="102" t="s">
        <v>15</v>
      </c>
      <c r="G64" s="132" t="s">
        <v>16</v>
      </c>
      <c r="H64" s="128">
        <v>200</v>
      </c>
      <c r="I64" s="128">
        <v>200</v>
      </c>
      <c r="J64" s="102"/>
      <c r="K64" s="104"/>
      <c r="L64" s="105">
        <v>20201118</v>
      </c>
      <c r="M64" s="133"/>
    </row>
    <row r="65" ht="16" customHeight="1" spans="1:13">
      <c r="A65" s="102">
        <v>63</v>
      </c>
      <c r="B65" s="102" t="s">
        <v>13908</v>
      </c>
      <c r="C65" s="102" t="s">
        <v>14023</v>
      </c>
      <c r="D65" s="102" t="s">
        <v>14024</v>
      </c>
      <c r="E65" s="102" t="s">
        <v>15</v>
      </c>
      <c r="F65" s="102" t="s">
        <v>15</v>
      </c>
      <c r="G65" s="132" t="s">
        <v>16</v>
      </c>
      <c r="H65" s="128">
        <v>200</v>
      </c>
      <c r="I65" s="128">
        <v>200</v>
      </c>
      <c r="J65" s="102"/>
      <c r="K65" s="104"/>
      <c r="L65" s="105">
        <v>20201118</v>
      </c>
      <c r="M65" s="133"/>
    </row>
    <row r="66" ht="16" customHeight="1" spans="1:13">
      <c r="A66" s="102">
        <v>64</v>
      </c>
      <c r="B66" s="102" t="s">
        <v>13908</v>
      </c>
      <c r="C66" s="102" t="s">
        <v>14025</v>
      </c>
      <c r="D66" s="102" t="s">
        <v>14026</v>
      </c>
      <c r="E66" s="102" t="s">
        <v>15</v>
      </c>
      <c r="F66" s="102" t="s">
        <v>15</v>
      </c>
      <c r="G66" s="132" t="s">
        <v>16</v>
      </c>
      <c r="H66" s="128">
        <v>200</v>
      </c>
      <c r="I66" s="128">
        <v>200</v>
      </c>
      <c r="J66" s="102" t="s">
        <v>14027</v>
      </c>
      <c r="K66" s="104"/>
      <c r="L66" s="105">
        <v>20201118</v>
      </c>
      <c r="M66" s="133"/>
    </row>
    <row r="67" ht="16" customHeight="1" spans="1:13">
      <c r="A67" s="102">
        <v>65</v>
      </c>
      <c r="B67" s="102" t="s">
        <v>13908</v>
      </c>
      <c r="C67" s="102" t="s">
        <v>14028</v>
      </c>
      <c r="D67" s="102" t="s">
        <v>14029</v>
      </c>
      <c r="E67" s="102" t="s">
        <v>15</v>
      </c>
      <c r="F67" s="102" t="s">
        <v>15</v>
      </c>
      <c r="G67" s="132" t="s">
        <v>16</v>
      </c>
      <c r="H67" s="128">
        <v>200</v>
      </c>
      <c r="I67" s="128">
        <v>200</v>
      </c>
      <c r="J67" s="102" t="s">
        <v>108</v>
      </c>
      <c r="K67" s="104"/>
      <c r="L67" s="105">
        <v>20201118</v>
      </c>
      <c r="M67" s="133"/>
    </row>
    <row r="68" ht="16" customHeight="1" spans="1:13">
      <c r="A68" s="132">
        <v>66</v>
      </c>
      <c r="B68" s="102" t="s">
        <v>13908</v>
      </c>
      <c r="C68" s="102" t="s">
        <v>14030</v>
      </c>
      <c r="D68" s="102" t="s">
        <v>14031</v>
      </c>
      <c r="E68" s="102" t="s">
        <v>15</v>
      </c>
      <c r="F68" s="102" t="s">
        <v>15</v>
      </c>
      <c r="G68" s="132" t="s">
        <v>16</v>
      </c>
      <c r="H68" s="128">
        <v>200</v>
      </c>
      <c r="I68" s="128">
        <v>200</v>
      </c>
      <c r="J68" s="102"/>
      <c r="K68" s="104"/>
      <c r="L68" s="105">
        <v>20201118</v>
      </c>
      <c r="M68" s="133"/>
    </row>
    <row r="69" ht="16" customHeight="1" spans="1:13">
      <c r="A69" s="132">
        <v>67</v>
      </c>
      <c r="B69" s="102" t="s">
        <v>13908</v>
      </c>
      <c r="C69" s="102" t="s">
        <v>10815</v>
      </c>
      <c r="D69" s="102" t="s">
        <v>14032</v>
      </c>
      <c r="E69" s="102" t="s">
        <v>15</v>
      </c>
      <c r="F69" s="102" t="s">
        <v>15</v>
      </c>
      <c r="G69" s="132" t="s">
        <v>16</v>
      </c>
      <c r="H69" s="128">
        <v>200</v>
      </c>
      <c r="I69" s="128">
        <v>200</v>
      </c>
      <c r="J69" s="102"/>
      <c r="K69" s="104"/>
      <c r="L69" s="105">
        <v>20201118</v>
      </c>
      <c r="M69" s="133"/>
    </row>
    <row r="70" ht="16" customHeight="1" spans="1:13">
      <c r="A70" s="102">
        <v>68</v>
      </c>
      <c r="B70" s="102" t="s">
        <v>13908</v>
      </c>
      <c r="C70" s="102" t="s">
        <v>14033</v>
      </c>
      <c r="D70" s="102" t="s">
        <v>14034</v>
      </c>
      <c r="E70" s="102" t="s">
        <v>15</v>
      </c>
      <c r="F70" s="102" t="s">
        <v>15</v>
      </c>
      <c r="G70" s="132" t="s">
        <v>16</v>
      </c>
      <c r="H70" s="128">
        <v>200</v>
      </c>
      <c r="I70" s="128">
        <v>200</v>
      </c>
      <c r="J70" s="102"/>
      <c r="K70" s="104"/>
      <c r="L70" s="105">
        <v>20201118</v>
      </c>
      <c r="M70" s="133"/>
    </row>
    <row r="71" ht="16" customHeight="1" spans="1:13">
      <c r="A71" s="102">
        <v>69</v>
      </c>
      <c r="B71" s="102" t="s">
        <v>13908</v>
      </c>
      <c r="C71" s="102" t="s">
        <v>14035</v>
      </c>
      <c r="D71" s="102" t="s">
        <v>14036</v>
      </c>
      <c r="E71" s="102" t="s">
        <v>15</v>
      </c>
      <c r="F71" s="102" t="s">
        <v>15</v>
      </c>
      <c r="G71" s="132" t="s">
        <v>16</v>
      </c>
      <c r="H71" s="128">
        <v>200</v>
      </c>
      <c r="I71" s="128">
        <v>200</v>
      </c>
      <c r="J71" s="102"/>
      <c r="K71" s="104"/>
      <c r="L71" s="105">
        <v>20201118</v>
      </c>
      <c r="M71" s="133"/>
    </row>
    <row r="72" ht="16" customHeight="1" spans="1:13">
      <c r="A72" s="102">
        <v>70</v>
      </c>
      <c r="B72" s="102" t="s">
        <v>13908</v>
      </c>
      <c r="C72" s="102" t="s">
        <v>3502</v>
      </c>
      <c r="D72" s="102" t="s">
        <v>14037</v>
      </c>
      <c r="E72" s="102" t="s">
        <v>15</v>
      </c>
      <c r="F72" s="102" t="s">
        <v>15</v>
      </c>
      <c r="G72" s="132" t="s">
        <v>16</v>
      </c>
      <c r="H72" s="128">
        <v>200</v>
      </c>
      <c r="I72" s="128">
        <v>200</v>
      </c>
      <c r="J72" s="102"/>
      <c r="K72" s="104"/>
      <c r="L72" s="105">
        <v>20201118</v>
      </c>
      <c r="M72" s="133"/>
    </row>
    <row r="73" ht="16" customHeight="1" spans="1:13">
      <c r="A73" s="132">
        <v>71</v>
      </c>
      <c r="B73" s="102" t="s">
        <v>13908</v>
      </c>
      <c r="C73" s="102" t="s">
        <v>922</v>
      </c>
      <c r="D73" s="102" t="s">
        <v>14038</v>
      </c>
      <c r="E73" s="102" t="s">
        <v>15</v>
      </c>
      <c r="F73" s="102" t="s">
        <v>15</v>
      </c>
      <c r="G73" s="132" t="s">
        <v>16</v>
      </c>
      <c r="H73" s="128">
        <v>200</v>
      </c>
      <c r="I73" s="128">
        <v>200</v>
      </c>
      <c r="J73" s="102"/>
      <c r="K73" s="104"/>
      <c r="L73" s="105">
        <v>20201118</v>
      </c>
      <c r="M73" s="133"/>
    </row>
    <row r="74" ht="16" customHeight="1" spans="1:13">
      <c r="A74" s="132">
        <v>72</v>
      </c>
      <c r="B74" s="102" t="s">
        <v>13908</v>
      </c>
      <c r="C74" s="102" t="s">
        <v>14039</v>
      </c>
      <c r="D74" s="102" t="s">
        <v>14040</v>
      </c>
      <c r="E74" s="102" t="s">
        <v>15</v>
      </c>
      <c r="F74" s="102" t="s">
        <v>15</v>
      </c>
      <c r="G74" s="132" t="s">
        <v>16</v>
      </c>
      <c r="H74" s="128">
        <v>200</v>
      </c>
      <c r="I74" s="128">
        <v>200</v>
      </c>
      <c r="J74" s="102"/>
      <c r="K74" s="104"/>
      <c r="L74" s="105">
        <v>20201118</v>
      </c>
      <c r="M74" s="133"/>
    </row>
    <row r="75" ht="16" customHeight="1" spans="1:13">
      <c r="A75" s="102">
        <v>73</v>
      </c>
      <c r="B75" s="102" t="s">
        <v>13908</v>
      </c>
      <c r="C75" s="102" t="s">
        <v>14041</v>
      </c>
      <c r="D75" s="102" t="s">
        <v>14042</v>
      </c>
      <c r="E75" s="102" t="s">
        <v>15</v>
      </c>
      <c r="F75" s="102" t="s">
        <v>15</v>
      </c>
      <c r="G75" s="132" t="s">
        <v>16</v>
      </c>
      <c r="H75" s="128">
        <v>200</v>
      </c>
      <c r="I75" s="128">
        <v>200</v>
      </c>
      <c r="J75" s="102"/>
      <c r="K75" s="104"/>
      <c r="L75" s="105">
        <v>20201118</v>
      </c>
      <c r="M75" s="133"/>
    </row>
    <row r="76" ht="16" customHeight="1" spans="1:13">
      <c r="A76" s="102">
        <v>74</v>
      </c>
      <c r="B76" s="102" t="s">
        <v>13908</v>
      </c>
      <c r="C76" s="102" t="s">
        <v>14043</v>
      </c>
      <c r="D76" s="102" t="s">
        <v>14044</v>
      </c>
      <c r="E76" s="102" t="s">
        <v>15</v>
      </c>
      <c r="F76" s="102" t="s">
        <v>15</v>
      </c>
      <c r="G76" s="132" t="s">
        <v>16</v>
      </c>
      <c r="H76" s="128">
        <v>200</v>
      </c>
      <c r="I76" s="128">
        <v>200</v>
      </c>
      <c r="J76" s="102"/>
      <c r="K76" s="104"/>
      <c r="L76" s="105">
        <v>20201118</v>
      </c>
      <c r="M76" s="133"/>
    </row>
    <row r="77" ht="16" customHeight="1" spans="1:13">
      <c r="A77" s="102">
        <v>75</v>
      </c>
      <c r="B77" s="102" t="s">
        <v>13908</v>
      </c>
      <c r="C77" s="102" t="s">
        <v>14045</v>
      </c>
      <c r="D77" s="102" t="s">
        <v>14046</v>
      </c>
      <c r="E77" s="102" t="s">
        <v>15</v>
      </c>
      <c r="F77" s="102" t="s">
        <v>15</v>
      </c>
      <c r="G77" s="132" t="s">
        <v>16</v>
      </c>
      <c r="H77" s="128">
        <v>200</v>
      </c>
      <c r="I77" s="128">
        <v>200</v>
      </c>
      <c r="J77" s="102"/>
      <c r="K77" s="104"/>
      <c r="L77" s="105">
        <v>20201118</v>
      </c>
      <c r="M77" s="133"/>
    </row>
    <row r="78" ht="16" customHeight="1" spans="1:13">
      <c r="A78" s="132">
        <v>76</v>
      </c>
      <c r="B78" s="102" t="s">
        <v>13908</v>
      </c>
      <c r="C78" s="102" t="s">
        <v>14047</v>
      </c>
      <c r="D78" s="102" t="s">
        <v>14048</v>
      </c>
      <c r="E78" s="102" t="s">
        <v>15</v>
      </c>
      <c r="F78" s="102" t="s">
        <v>15</v>
      </c>
      <c r="G78" s="132" t="s">
        <v>16</v>
      </c>
      <c r="H78" s="128">
        <v>200</v>
      </c>
      <c r="I78" s="128">
        <v>200</v>
      </c>
      <c r="J78" s="102"/>
      <c r="K78" s="104"/>
      <c r="L78" s="105">
        <v>20201118</v>
      </c>
      <c r="M78" s="133"/>
    </row>
    <row r="79" ht="16" customHeight="1" spans="1:13">
      <c r="A79" s="132">
        <v>77</v>
      </c>
      <c r="B79" s="102" t="s">
        <v>13908</v>
      </c>
      <c r="C79" s="102" t="s">
        <v>14049</v>
      </c>
      <c r="D79" s="102" t="s">
        <v>14050</v>
      </c>
      <c r="E79" s="102" t="s">
        <v>15</v>
      </c>
      <c r="F79" s="102" t="s">
        <v>15</v>
      </c>
      <c r="G79" s="132" t="s">
        <v>16</v>
      </c>
      <c r="H79" s="128">
        <v>500</v>
      </c>
      <c r="I79" s="128">
        <v>500</v>
      </c>
      <c r="J79" s="102"/>
      <c r="K79" s="104"/>
      <c r="L79" s="105">
        <v>20201118</v>
      </c>
      <c r="M79" s="133"/>
    </row>
    <row r="80" ht="16" customHeight="1" spans="1:13">
      <c r="A80" s="102">
        <v>78</v>
      </c>
      <c r="B80" s="102" t="s">
        <v>13908</v>
      </c>
      <c r="C80" s="102" t="s">
        <v>14051</v>
      </c>
      <c r="D80" s="102" t="s">
        <v>14052</v>
      </c>
      <c r="E80" s="102" t="s">
        <v>15</v>
      </c>
      <c r="F80" s="102" t="s">
        <v>15</v>
      </c>
      <c r="G80" s="132" t="s">
        <v>16</v>
      </c>
      <c r="H80" s="128">
        <v>200</v>
      </c>
      <c r="I80" s="128">
        <v>200</v>
      </c>
      <c r="J80" s="102"/>
      <c r="K80" s="104"/>
      <c r="L80" s="105">
        <v>20201118</v>
      </c>
      <c r="M80" s="133"/>
    </row>
    <row r="81" ht="16" customHeight="1" spans="1:13">
      <c r="A81" s="102">
        <v>79</v>
      </c>
      <c r="B81" s="102" t="s">
        <v>13908</v>
      </c>
      <c r="C81" s="102" t="s">
        <v>14053</v>
      </c>
      <c r="D81" s="102" t="s">
        <v>14054</v>
      </c>
      <c r="E81" s="102" t="s">
        <v>15</v>
      </c>
      <c r="F81" s="102" t="s">
        <v>15</v>
      </c>
      <c r="G81" s="132" t="s">
        <v>16</v>
      </c>
      <c r="H81" s="128">
        <v>200</v>
      </c>
      <c r="I81" s="128">
        <v>200</v>
      </c>
      <c r="J81" s="102"/>
      <c r="K81" s="104"/>
      <c r="L81" s="105">
        <v>20201118</v>
      </c>
      <c r="M81" s="133"/>
    </row>
    <row r="82" ht="16" customHeight="1" spans="1:13">
      <c r="A82" s="102">
        <v>80</v>
      </c>
      <c r="B82" s="102" t="s">
        <v>13908</v>
      </c>
      <c r="C82" s="102" t="s">
        <v>14055</v>
      </c>
      <c r="D82" s="102" t="s">
        <v>14056</v>
      </c>
      <c r="E82" s="102" t="s">
        <v>15</v>
      </c>
      <c r="F82" s="102" t="s">
        <v>15</v>
      </c>
      <c r="G82" s="132" t="s">
        <v>16</v>
      </c>
      <c r="H82" s="128">
        <v>200</v>
      </c>
      <c r="I82" s="128">
        <v>200</v>
      </c>
      <c r="J82" s="102"/>
      <c r="K82" s="104"/>
      <c r="L82" s="105">
        <v>20201118</v>
      </c>
      <c r="M82" s="133"/>
    </row>
    <row r="83" ht="16" customHeight="1" spans="1:13">
      <c r="A83" s="132">
        <v>81</v>
      </c>
      <c r="B83" s="102" t="s">
        <v>13908</v>
      </c>
      <c r="C83" s="102" t="s">
        <v>14057</v>
      </c>
      <c r="D83" s="102" t="s">
        <v>14058</v>
      </c>
      <c r="E83" s="102" t="s">
        <v>15</v>
      </c>
      <c r="F83" s="102" t="s">
        <v>15</v>
      </c>
      <c r="G83" s="132" t="s">
        <v>16</v>
      </c>
      <c r="H83" s="128">
        <v>200</v>
      </c>
      <c r="I83" s="128">
        <v>200</v>
      </c>
      <c r="J83" s="102"/>
      <c r="K83" s="104"/>
      <c r="L83" s="105">
        <v>20201118</v>
      </c>
      <c r="M83" s="133"/>
    </row>
    <row r="84" ht="16" customHeight="1" spans="1:13">
      <c r="A84" s="132">
        <v>82</v>
      </c>
      <c r="B84" s="102" t="s">
        <v>13908</v>
      </c>
      <c r="C84" s="102" t="s">
        <v>14059</v>
      </c>
      <c r="D84" s="102" t="s">
        <v>14060</v>
      </c>
      <c r="E84" s="102" t="s">
        <v>15</v>
      </c>
      <c r="F84" s="102" t="s">
        <v>15</v>
      </c>
      <c r="G84" s="132" t="s">
        <v>16</v>
      </c>
      <c r="H84" s="128">
        <v>500</v>
      </c>
      <c r="I84" s="128">
        <v>500</v>
      </c>
      <c r="J84" s="102"/>
      <c r="K84" s="104"/>
      <c r="L84" s="105">
        <v>20201118</v>
      </c>
      <c r="M84" s="133"/>
    </row>
    <row r="85" ht="16" customHeight="1" spans="1:13">
      <c r="A85" s="102">
        <v>83</v>
      </c>
      <c r="B85" s="5" t="s">
        <v>13908</v>
      </c>
      <c r="C85" s="5" t="s">
        <v>14061</v>
      </c>
      <c r="D85" s="5" t="s">
        <v>14062</v>
      </c>
      <c r="E85" s="102" t="s">
        <v>15</v>
      </c>
      <c r="F85" s="102" t="s">
        <v>15</v>
      </c>
      <c r="G85" s="14" t="s">
        <v>16</v>
      </c>
      <c r="H85" s="17">
        <v>500</v>
      </c>
      <c r="I85" s="17">
        <v>500</v>
      </c>
      <c r="J85" s="5"/>
      <c r="K85" s="104"/>
      <c r="L85" s="105">
        <v>20201118</v>
      </c>
      <c r="M85" s="134"/>
    </row>
    <row r="86" ht="16" customHeight="1" spans="1:13">
      <c r="A86" s="102">
        <v>84</v>
      </c>
      <c r="B86" s="102" t="s">
        <v>13908</v>
      </c>
      <c r="C86" s="102" t="s">
        <v>4313</v>
      </c>
      <c r="D86" s="102" t="s">
        <v>14063</v>
      </c>
      <c r="E86" s="102" t="s">
        <v>15</v>
      </c>
      <c r="F86" s="102" t="s">
        <v>15</v>
      </c>
      <c r="G86" s="132" t="s">
        <v>16</v>
      </c>
      <c r="H86" s="128">
        <v>1000</v>
      </c>
      <c r="I86" s="128">
        <v>1000</v>
      </c>
      <c r="J86" s="102"/>
      <c r="K86" s="104"/>
      <c r="L86" s="105">
        <v>20201118</v>
      </c>
      <c r="M86" s="133"/>
    </row>
    <row r="87" ht="16" customHeight="1" spans="1:13">
      <c r="A87" s="102">
        <v>85</v>
      </c>
      <c r="B87" s="102" t="s">
        <v>13908</v>
      </c>
      <c r="C87" s="102" t="s">
        <v>14064</v>
      </c>
      <c r="D87" s="102" t="s">
        <v>14065</v>
      </c>
      <c r="E87" s="102" t="s">
        <v>15</v>
      </c>
      <c r="F87" s="102" t="s">
        <v>15</v>
      </c>
      <c r="G87" s="132" t="s">
        <v>16</v>
      </c>
      <c r="H87" s="128">
        <v>1000</v>
      </c>
      <c r="I87" s="128">
        <v>1000</v>
      </c>
      <c r="J87" s="102"/>
      <c r="K87" s="104"/>
      <c r="L87" s="105">
        <v>20201118</v>
      </c>
      <c r="M87" s="133"/>
    </row>
    <row r="88" ht="16" customHeight="1" spans="1:13">
      <c r="A88" s="132">
        <v>86</v>
      </c>
      <c r="B88" s="102" t="s">
        <v>13908</v>
      </c>
      <c r="C88" s="102" t="s">
        <v>14066</v>
      </c>
      <c r="D88" s="102" t="s">
        <v>14067</v>
      </c>
      <c r="E88" s="102" t="s">
        <v>15</v>
      </c>
      <c r="F88" s="102" t="s">
        <v>15</v>
      </c>
      <c r="G88" s="132" t="s">
        <v>16</v>
      </c>
      <c r="H88" s="128">
        <v>200</v>
      </c>
      <c r="I88" s="128">
        <v>200</v>
      </c>
      <c r="J88" s="102" t="s">
        <v>768</v>
      </c>
      <c r="K88" s="104"/>
      <c r="L88" s="105">
        <v>20201118</v>
      </c>
      <c r="M88" s="133"/>
    </row>
    <row r="89" ht="16" customHeight="1" spans="1:13">
      <c r="A89" s="132">
        <v>87</v>
      </c>
      <c r="B89" s="102" t="s">
        <v>13908</v>
      </c>
      <c r="C89" s="102" t="s">
        <v>14068</v>
      </c>
      <c r="D89" s="102" t="s">
        <v>14069</v>
      </c>
      <c r="E89" s="102" t="s">
        <v>15</v>
      </c>
      <c r="F89" s="102" t="s">
        <v>15</v>
      </c>
      <c r="G89" s="132" t="s">
        <v>16</v>
      </c>
      <c r="H89" s="128">
        <v>200</v>
      </c>
      <c r="I89" s="128">
        <v>200</v>
      </c>
      <c r="J89" s="102"/>
      <c r="K89" s="104"/>
      <c r="L89" s="105">
        <v>20201118</v>
      </c>
      <c r="M89" s="133"/>
    </row>
    <row r="90" ht="16" customHeight="1" spans="1:13">
      <c r="A90" s="102">
        <v>88</v>
      </c>
      <c r="B90" s="102" t="s">
        <v>13908</v>
      </c>
      <c r="C90" s="102" t="s">
        <v>14070</v>
      </c>
      <c r="D90" s="102" t="s">
        <v>14071</v>
      </c>
      <c r="E90" s="102" t="s">
        <v>15</v>
      </c>
      <c r="F90" s="102" t="s">
        <v>15</v>
      </c>
      <c r="G90" s="132" t="s">
        <v>16</v>
      </c>
      <c r="H90" s="128">
        <v>200</v>
      </c>
      <c r="I90" s="128">
        <v>200</v>
      </c>
      <c r="J90" s="102"/>
      <c r="K90" s="104"/>
      <c r="L90" s="105">
        <v>20201118</v>
      </c>
      <c r="M90" s="133"/>
    </row>
    <row r="91" ht="16" customHeight="1" spans="1:13">
      <c r="A91" s="102">
        <v>89</v>
      </c>
      <c r="B91" s="102" t="s">
        <v>13908</v>
      </c>
      <c r="C91" s="102" t="s">
        <v>6813</v>
      </c>
      <c r="D91" s="102" t="s">
        <v>14072</v>
      </c>
      <c r="E91" s="102" t="s">
        <v>15</v>
      </c>
      <c r="F91" s="102" t="s">
        <v>15</v>
      </c>
      <c r="G91" s="132" t="s">
        <v>16</v>
      </c>
      <c r="H91" s="128">
        <v>200</v>
      </c>
      <c r="I91" s="128">
        <v>200</v>
      </c>
      <c r="J91" s="102"/>
      <c r="K91" s="104"/>
      <c r="L91" s="105">
        <v>20201118</v>
      </c>
      <c r="M91" s="133"/>
    </row>
    <row r="92" ht="16" customHeight="1" spans="1:13">
      <c r="A92" s="102">
        <v>90</v>
      </c>
      <c r="B92" s="102" t="s">
        <v>13908</v>
      </c>
      <c r="C92" s="102" t="s">
        <v>5022</v>
      </c>
      <c r="D92" s="102" t="s">
        <v>14073</v>
      </c>
      <c r="E92" s="102" t="s">
        <v>15</v>
      </c>
      <c r="F92" s="102" t="s">
        <v>15</v>
      </c>
      <c r="G92" s="132" t="s">
        <v>16</v>
      </c>
      <c r="H92" s="128">
        <v>200</v>
      </c>
      <c r="I92" s="128">
        <v>200</v>
      </c>
      <c r="J92" s="102"/>
      <c r="K92" s="104"/>
      <c r="L92" s="105">
        <v>20201118</v>
      </c>
      <c r="M92" s="133"/>
    </row>
    <row r="93" ht="16" customHeight="1" spans="1:13">
      <c r="A93" s="132">
        <v>91</v>
      </c>
      <c r="B93" s="102" t="s">
        <v>13908</v>
      </c>
      <c r="C93" s="102" t="s">
        <v>14074</v>
      </c>
      <c r="D93" s="102" t="s">
        <v>14075</v>
      </c>
      <c r="E93" s="102" t="s">
        <v>15</v>
      </c>
      <c r="F93" s="102" t="s">
        <v>15</v>
      </c>
      <c r="G93" s="132" t="s">
        <v>16</v>
      </c>
      <c r="H93" s="128">
        <v>200</v>
      </c>
      <c r="I93" s="128">
        <v>200</v>
      </c>
      <c r="J93" s="102"/>
      <c r="K93" s="104"/>
      <c r="L93" s="105">
        <v>20201118</v>
      </c>
      <c r="M93" s="133"/>
    </row>
    <row r="94" ht="16" customHeight="1" spans="1:13">
      <c r="A94" s="132">
        <v>92</v>
      </c>
      <c r="B94" s="102" t="s">
        <v>13908</v>
      </c>
      <c r="C94" s="102" t="s">
        <v>14076</v>
      </c>
      <c r="D94" s="102" t="s">
        <v>14077</v>
      </c>
      <c r="E94" s="102" t="s">
        <v>15</v>
      </c>
      <c r="F94" s="102" t="s">
        <v>15</v>
      </c>
      <c r="G94" s="132" t="s">
        <v>16</v>
      </c>
      <c r="H94" s="128">
        <v>200</v>
      </c>
      <c r="I94" s="128">
        <v>200</v>
      </c>
      <c r="J94" s="102"/>
      <c r="K94" s="104"/>
      <c r="L94" s="105">
        <v>20201118</v>
      </c>
      <c r="M94" s="133"/>
    </row>
    <row r="95" ht="16" customHeight="1" spans="1:13">
      <c r="A95" s="102">
        <v>93</v>
      </c>
      <c r="B95" s="102" t="s">
        <v>13908</v>
      </c>
      <c r="C95" s="102" t="s">
        <v>14078</v>
      </c>
      <c r="D95" s="102" t="s">
        <v>14079</v>
      </c>
      <c r="E95" s="102" t="s">
        <v>15</v>
      </c>
      <c r="F95" s="102" t="s">
        <v>15</v>
      </c>
      <c r="G95" s="132" t="s">
        <v>16</v>
      </c>
      <c r="H95" s="128">
        <v>200</v>
      </c>
      <c r="I95" s="128">
        <v>200</v>
      </c>
      <c r="J95" s="102"/>
      <c r="K95" s="104"/>
      <c r="L95" s="105">
        <v>20201118</v>
      </c>
      <c r="M95" s="133"/>
    </row>
    <row r="96" ht="16" customHeight="1" spans="1:13">
      <c r="A96" s="102">
        <v>94</v>
      </c>
      <c r="B96" s="102" t="s">
        <v>13908</v>
      </c>
      <c r="C96" s="102" t="s">
        <v>14080</v>
      </c>
      <c r="D96" s="102" t="s">
        <v>14081</v>
      </c>
      <c r="E96" s="102" t="s">
        <v>15</v>
      </c>
      <c r="F96" s="102" t="s">
        <v>15</v>
      </c>
      <c r="G96" s="132" t="s">
        <v>16</v>
      </c>
      <c r="H96" s="128">
        <v>200</v>
      </c>
      <c r="I96" s="128">
        <v>200</v>
      </c>
      <c r="J96" s="102"/>
      <c r="K96" s="104"/>
      <c r="L96" s="105">
        <v>20201118</v>
      </c>
      <c r="M96" s="133"/>
    </row>
    <row r="97" ht="16" customHeight="1" spans="1:13">
      <c r="A97" s="102">
        <v>95</v>
      </c>
      <c r="B97" s="102" t="s">
        <v>13908</v>
      </c>
      <c r="C97" s="102" t="s">
        <v>14082</v>
      </c>
      <c r="D97" s="102" t="s">
        <v>14083</v>
      </c>
      <c r="E97" s="102" t="s">
        <v>15</v>
      </c>
      <c r="F97" s="102" t="s">
        <v>15</v>
      </c>
      <c r="G97" s="132" t="s">
        <v>16</v>
      </c>
      <c r="H97" s="128">
        <v>200</v>
      </c>
      <c r="I97" s="128">
        <v>200</v>
      </c>
      <c r="J97" s="102"/>
      <c r="K97" s="104"/>
      <c r="L97" s="105">
        <v>20201118</v>
      </c>
      <c r="M97" s="133"/>
    </row>
    <row r="98" ht="16" customHeight="1" spans="1:13">
      <c r="A98" s="132">
        <v>96</v>
      </c>
      <c r="B98" s="102" t="s">
        <v>13908</v>
      </c>
      <c r="C98" s="102" t="s">
        <v>14084</v>
      </c>
      <c r="D98" s="102" t="s">
        <v>14085</v>
      </c>
      <c r="E98" s="102" t="s">
        <v>15</v>
      </c>
      <c r="F98" s="102" t="s">
        <v>15</v>
      </c>
      <c r="G98" s="132" t="s">
        <v>16</v>
      </c>
      <c r="H98" s="128">
        <v>200</v>
      </c>
      <c r="I98" s="128">
        <v>200</v>
      </c>
      <c r="J98" s="102"/>
      <c r="K98" s="104"/>
      <c r="L98" s="105">
        <v>20201118</v>
      </c>
      <c r="M98" s="133"/>
    </row>
    <row r="99" ht="16" customHeight="1" spans="1:13">
      <c r="A99" s="132">
        <v>97</v>
      </c>
      <c r="B99" s="102" t="s">
        <v>13908</v>
      </c>
      <c r="C99" s="102" t="s">
        <v>14086</v>
      </c>
      <c r="D99" s="102" t="s">
        <v>14087</v>
      </c>
      <c r="E99" s="102" t="s">
        <v>15</v>
      </c>
      <c r="F99" s="102" t="s">
        <v>15</v>
      </c>
      <c r="G99" s="132" t="s">
        <v>16</v>
      </c>
      <c r="H99" s="128">
        <v>200</v>
      </c>
      <c r="I99" s="128">
        <v>200</v>
      </c>
      <c r="J99" s="102"/>
      <c r="K99" s="104"/>
      <c r="L99" s="105">
        <v>20201118</v>
      </c>
      <c r="M99" s="133"/>
    </row>
    <row r="100" ht="16" customHeight="1" spans="1:13">
      <c r="A100" s="102">
        <v>98</v>
      </c>
      <c r="B100" s="102" t="s">
        <v>13908</v>
      </c>
      <c r="C100" s="102" t="s">
        <v>14088</v>
      </c>
      <c r="D100" s="102" t="s">
        <v>14089</v>
      </c>
      <c r="E100" s="102" t="s">
        <v>15</v>
      </c>
      <c r="F100" s="102" t="s">
        <v>15</v>
      </c>
      <c r="G100" s="132" t="s">
        <v>16</v>
      </c>
      <c r="H100" s="128">
        <v>200</v>
      </c>
      <c r="I100" s="128">
        <v>200</v>
      </c>
      <c r="J100" s="102"/>
      <c r="K100" s="104"/>
      <c r="L100" s="105">
        <v>20201118</v>
      </c>
      <c r="M100" s="133"/>
    </row>
    <row r="101" ht="16" customHeight="1" spans="1:13">
      <c r="A101" s="102">
        <v>99</v>
      </c>
      <c r="B101" s="102" t="s">
        <v>13908</v>
      </c>
      <c r="C101" s="102" t="s">
        <v>14090</v>
      </c>
      <c r="D101" s="102" t="s">
        <v>14091</v>
      </c>
      <c r="E101" s="102" t="s">
        <v>15</v>
      </c>
      <c r="F101" s="102" t="s">
        <v>15</v>
      </c>
      <c r="G101" s="132" t="s">
        <v>16</v>
      </c>
      <c r="H101" s="128">
        <v>200</v>
      </c>
      <c r="I101" s="128">
        <v>200</v>
      </c>
      <c r="J101" s="102"/>
      <c r="K101" s="104"/>
      <c r="L101" s="105">
        <v>20201118</v>
      </c>
      <c r="M101" s="133"/>
    </row>
    <row r="102" ht="16" customHeight="1" spans="1:13">
      <c r="A102" s="102">
        <v>100</v>
      </c>
      <c r="B102" s="102" t="s">
        <v>13908</v>
      </c>
      <c r="C102" s="102" t="s">
        <v>14092</v>
      </c>
      <c r="D102" s="102" t="s">
        <v>14093</v>
      </c>
      <c r="E102" s="102" t="s">
        <v>15</v>
      </c>
      <c r="F102" s="102" t="s">
        <v>15</v>
      </c>
      <c r="G102" s="132" t="s">
        <v>16</v>
      </c>
      <c r="H102" s="128">
        <v>200</v>
      </c>
      <c r="I102" s="128">
        <v>200</v>
      </c>
      <c r="J102" s="102"/>
      <c r="K102" s="104"/>
      <c r="L102" s="105">
        <v>20201118</v>
      </c>
      <c r="M102" s="133"/>
    </row>
    <row r="103" ht="16" customHeight="1" spans="1:13">
      <c r="A103" s="132">
        <v>101</v>
      </c>
      <c r="B103" s="102" t="s">
        <v>13908</v>
      </c>
      <c r="C103" s="102" t="s">
        <v>14094</v>
      </c>
      <c r="D103" s="102" t="s">
        <v>14095</v>
      </c>
      <c r="E103" s="102" t="s">
        <v>15</v>
      </c>
      <c r="F103" s="102" t="s">
        <v>15</v>
      </c>
      <c r="G103" s="132" t="s">
        <v>16</v>
      </c>
      <c r="H103" s="128">
        <v>200</v>
      </c>
      <c r="I103" s="128">
        <v>200</v>
      </c>
      <c r="J103" s="102"/>
      <c r="K103" s="104"/>
      <c r="L103" s="105">
        <v>20201118</v>
      </c>
      <c r="M103" s="133"/>
    </row>
    <row r="104" ht="16" customHeight="1" spans="1:13">
      <c r="A104" s="132">
        <v>102</v>
      </c>
      <c r="B104" s="102" t="s">
        <v>13908</v>
      </c>
      <c r="C104" s="102" t="s">
        <v>1627</v>
      </c>
      <c r="D104" s="102" t="s">
        <v>14096</v>
      </c>
      <c r="E104" s="102" t="s">
        <v>15</v>
      </c>
      <c r="F104" s="102" t="s">
        <v>15</v>
      </c>
      <c r="G104" s="132" t="s">
        <v>16</v>
      </c>
      <c r="H104" s="128">
        <v>200</v>
      </c>
      <c r="I104" s="128">
        <v>200</v>
      </c>
      <c r="J104" s="102"/>
      <c r="K104" s="104"/>
      <c r="L104" s="105">
        <v>20201118</v>
      </c>
      <c r="M104" s="133"/>
    </row>
    <row r="105" ht="16" customHeight="1" spans="1:13">
      <c r="A105" s="102">
        <v>103</v>
      </c>
      <c r="B105" s="102" t="s">
        <v>13908</v>
      </c>
      <c r="C105" s="102" t="s">
        <v>14097</v>
      </c>
      <c r="D105" s="102" t="s">
        <v>14098</v>
      </c>
      <c r="E105" s="102" t="s">
        <v>15</v>
      </c>
      <c r="F105" s="102" t="s">
        <v>15</v>
      </c>
      <c r="G105" s="132" t="s">
        <v>16</v>
      </c>
      <c r="H105" s="128">
        <v>200</v>
      </c>
      <c r="I105" s="128">
        <v>200</v>
      </c>
      <c r="J105" s="102"/>
      <c r="K105" s="104"/>
      <c r="L105" s="105">
        <v>20201118</v>
      </c>
      <c r="M105" s="133"/>
    </row>
    <row r="106" ht="16" customHeight="1" spans="1:13">
      <c r="A106" s="102">
        <v>104</v>
      </c>
      <c r="B106" s="102" t="s">
        <v>13908</v>
      </c>
      <c r="C106" s="102" t="s">
        <v>14099</v>
      </c>
      <c r="D106" s="102" t="s">
        <v>14100</v>
      </c>
      <c r="E106" s="102" t="s">
        <v>15</v>
      </c>
      <c r="F106" s="102" t="s">
        <v>15</v>
      </c>
      <c r="G106" s="132" t="s">
        <v>16</v>
      </c>
      <c r="H106" s="128">
        <v>500</v>
      </c>
      <c r="I106" s="128">
        <v>500</v>
      </c>
      <c r="J106" s="102"/>
      <c r="K106" s="104"/>
      <c r="L106" s="105">
        <v>20201118</v>
      </c>
      <c r="M106" s="133"/>
    </row>
    <row r="107" ht="16" customHeight="1" spans="1:13">
      <c r="A107" s="102">
        <v>105</v>
      </c>
      <c r="B107" s="102" t="s">
        <v>13908</v>
      </c>
      <c r="C107" s="102" t="s">
        <v>6090</v>
      </c>
      <c r="D107" s="102" t="s">
        <v>14101</v>
      </c>
      <c r="E107" s="102" t="s">
        <v>15</v>
      </c>
      <c r="F107" s="102" t="s">
        <v>15</v>
      </c>
      <c r="G107" s="132" t="s">
        <v>16</v>
      </c>
      <c r="H107" s="128">
        <v>200</v>
      </c>
      <c r="I107" s="128">
        <v>200</v>
      </c>
      <c r="J107" s="102"/>
      <c r="K107" s="104"/>
      <c r="L107" s="105">
        <v>20201118</v>
      </c>
      <c r="M107" s="133"/>
    </row>
    <row r="108" ht="16" customHeight="1" spans="1:13">
      <c r="A108" s="132">
        <v>106</v>
      </c>
      <c r="B108" s="102" t="s">
        <v>13908</v>
      </c>
      <c r="C108" s="102" t="s">
        <v>14102</v>
      </c>
      <c r="D108" s="102" t="s">
        <v>14103</v>
      </c>
      <c r="E108" s="102" t="s">
        <v>15</v>
      </c>
      <c r="F108" s="102" t="s">
        <v>15</v>
      </c>
      <c r="G108" s="132" t="s">
        <v>16</v>
      </c>
      <c r="H108" s="128">
        <v>200</v>
      </c>
      <c r="I108" s="128">
        <v>200</v>
      </c>
      <c r="J108" s="102"/>
      <c r="K108" s="104"/>
      <c r="L108" s="105">
        <v>20201118</v>
      </c>
      <c r="M108" s="133"/>
    </row>
    <row r="109" ht="16" customHeight="1" spans="1:13">
      <c r="A109" s="132">
        <v>107</v>
      </c>
      <c r="B109" s="102" t="s">
        <v>13908</v>
      </c>
      <c r="C109" s="102" t="s">
        <v>14104</v>
      </c>
      <c r="D109" s="102" t="s">
        <v>14105</v>
      </c>
      <c r="E109" s="102" t="s">
        <v>15</v>
      </c>
      <c r="F109" s="102" t="s">
        <v>15</v>
      </c>
      <c r="G109" s="132" t="s">
        <v>16</v>
      </c>
      <c r="H109" s="128">
        <v>200</v>
      </c>
      <c r="I109" s="128">
        <v>200</v>
      </c>
      <c r="J109" s="102"/>
      <c r="K109" s="104"/>
      <c r="L109" s="105">
        <v>20201118</v>
      </c>
      <c r="M109" s="133"/>
    </row>
    <row r="110" ht="16" customHeight="1" spans="1:13">
      <c r="A110" s="102">
        <v>108</v>
      </c>
      <c r="B110" s="102" t="s">
        <v>13908</v>
      </c>
      <c r="C110" s="102" t="s">
        <v>14106</v>
      </c>
      <c r="D110" s="102" t="s">
        <v>14107</v>
      </c>
      <c r="E110" s="102" t="s">
        <v>15</v>
      </c>
      <c r="F110" s="102" t="s">
        <v>15</v>
      </c>
      <c r="G110" s="132" t="s">
        <v>16</v>
      </c>
      <c r="H110" s="128">
        <v>1000</v>
      </c>
      <c r="I110" s="128">
        <v>1000</v>
      </c>
      <c r="J110" s="102"/>
      <c r="K110" s="104"/>
      <c r="L110" s="105">
        <v>20201118</v>
      </c>
      <c r="M110" s="133"/>
    </row>
    <row r="111" ht="16" customHeight="1" spans="1:13">
      <c r="A111" s="102">
        <v>109</v>
      </c>
      <c r="B111" s="102" t="s">
        <v>13908</v>
      </c>
      <c r="C111" s="102" t="s">
        <v>14108</v>
      </c>
      <c r="D111" s="102" t="s">
        <v>14109</v>
      </c>
      <c r="E111" s="102" t="s">
        <v>15</v>
      </c>
      <c r="F111" s="102" t="s">
        <v>15</v>
      </c>
      <c r="G111" s="132" t="s">
        <v>16</v>
      </c>
      <c r="H111" s="128">
        <v>1000</v>
      </c>
      <c r="I111" s="128">
        <v>1000</v>
      </c>
      <c r="J111" s="102"/>
      <c r="K111" s="104"/>
      <c r="L111" s="105">
        <v>20201118</v>
      </c>
      <c r="M111" s="133"/>
    </row>
    <row r="112" ht="16" customHeight="1" spans="1:13">
      <c r="A112" s="102">
        <v>110</v>
      </c>
      <c r="B112" s="102" t="s">
        <v>13908</v>
      </c>
      <c r="C112" s="102" t="s">
        <v>14110</v>
      </c>
      <c r="D112" s="102" t="s">
        <v>14111</v>
      </c>
      <c r="E112" s="102" t="s">
        <v>15</v>
      </c>
      <c r="F112" s="102" t="s">
        <v>15</v>
      </c>
      <c r="G112" s="132" t="s">
        <v>16</v>
      </c>
      <c r="H112" s="128">
        <v>200</v>
      </c>
      <c r="I112" s="128">
        <v>200</v>
      </c>
      <c r="J112" s="102"/>
      <c r="K112" s="104"/>
      <c r="L112" s="105">
        <v>20201118</v>
      </c>
      <c r="M112" s="133"/>
    </row>
    <row r="113" ht="16" customHeight="1" spans="1:13">
      <c r="A113" s="132">
        <v>111</v>
      </c>
      <c r="B113" s="102" t="s">
        <v>13908</v>
      </c>
      <c r="C113" s="102" t="s">
        <v>14112</v>
      </c>
      <c r="D113" s="102" t="s">
        <v>14113</v>
      </c>
      <c r="E113" s="102" t="s">
        <v>15</v>
      </c>
      <c r="F113" s="102" t="s">
        <v>15</v>
      </c>
      <c r="G113" s="132" t="s">
        <v>16</v>
      </c>
      <c r="H113" s="128">
        <v>200</v>
      </c>
      <c r="I113" s="128">
        <v>200</v>
      </c>
      <c r="J113" s="102"/>
      <c r="K113" s="104"/>
      <c r="L113" s="105">
        <v>20201118</v>
      </c>
      <c r="M113" s="133"/>
    </row>
    <row r="114" ht="16" customHeight="1" spans="1:13">
      <c r="A114" s="132">
        <v>112</v>
      </c>
      <c r="B114" s="102" t="s">
        <v>13908</v>
      </c>
      <c r="C114" s="102" t="s">
        <v>14114</v>
      </c>
      <c r="D114" s="102" t="s">
        <v>14115</v>
      </c>
      <c r="E114" s="102" t="s">
        <v>15</v>
      </c>
      <c r="F114" s="102" t="s">
        <v>15</v>
      </c>
      <c r="G114" s="132" t="s">
        <v>16</v>
      </c>
      <c r="H114" s="128">
        <v>1000</v>
      </c>
      <c r="I114" s="128">
        <v>1000</v>
      </c>
      <c r="J114" s="5" t="s">
        <v>108</v>
      </c>
      <c r="K114" s="104"/>
      <c r="L114" s="105">
        <v>20201118</v>
      </c>
      <c r="M114" s="133"/>
    </row>
    <row r="115" ht="16" customHeight="1" spans="1:13">
      <c r="A115" s="102">
        <v>113</v>
      </c>
      <c r="B115" s="102" t="s">
        <v>13908</v>
      </c>
      <c r="C115" s="102" t="s">
        <v>14116</v>
      </c>
      <c r="D115" s="102" t="s">
        <v>14117</v>
      </c>
      <c r="E115" s="102" t="s">
        <v>15</v>
      </c>
      <c r="F115" s="102" t="s">
        <v>15</v>
      </c>
      <c r="G115" s="132" t="s">
        <v>16</v>
      </c>
      <c r="H115" s="128">
        <v>200</v>
      </c>
      <c r="I115" s="128">
        <v>200</v>
      </c>
      <c r="J115" s="102"/>
      <c r="K115" s="104"/>
      <c r="L115" s="105">
        <v>20201118</v>
      </c>
      <c r="M115" s="133"/>
    </row>
    <row r="116" ht="16" customHeight="1" spans="1:13">
      <c r="A116" s="102">
        <v>114</v>
      </c>
      <c r="B116" s="102" t="s">
        <v>13908</v>
      </c>
      <c r="C116" s="102" t="s">
        <v>14118</v>
      </c>
      <c r="D116" s="102" t="s">
        <v>14119</v>
      </c>
      <c r="E116" s="102" t="s">
        <v>15</v>
      </c>
      <c r="F116" s="102" t="s">
        <v>15</v>
      </c>
      <c r="G116" s="132" t="s">
        <v>16</v>
      </c>
      <c r="H116" s="128">
        <v>200</v>
      </c>
      <c r="I116" s="128">
        <v>200</v>
      </c>
      <c r="J116" s="102"/>
      <c r="K116" s="104"/>
      <c r="L116" s="105">
        <v>20201118</v>
      </c>
      <c r="M116" s="133"/>
    </row>
    <row r="117" ht="16" customHeight="1" spans="1:13">
      <c r="A117" s="102">
        <v>115</v>
      </c>
      <c r="B117" s="102" t="s">
        <v>13908</v>
      </c>
      <c r="C117" s="102" t="s">
        <v>14120</v>
      </c>
      <c r="D117" s="102" t="s">
        <v>14121</v>
      </c>
      <c r="E117" s="102" t="s">
        <v>15</v>
      </c>
      <c r="F117" s="102" t="s">
        <v>15</v>
      </c>
      <c r="G117" s="132" t="s">
        <v>16</v>
      </c>
      <c r="H117" s="128">
        <v>200</v>
      </c>
      <c r="I117" s="128">
        <v>200</v>
      </c>
      <c r="J117" s="102"/>
      <c r="K117" s="104"/>
      <c r="L117" s="105">
        <v>20201118</v>
      </c>
      <c r="M117" s="133"/>
    </row>
    <row r="118" ht="16" customHeight="1" spans="1:13">
      <c r="A118" s="132">
        <v>116</v>
      </c>
      <c r="B118" s="102" t="s">
        <v>13908</v>
      </c>
      <c r="C118" s="102" t="s">
        <v>14122</v>
      </c>
      <c r="D118" s="102" t="s">
        <v>14123</v>
      </c>
      <c r="E118" s="102" t="s">
        <v>15</v>
      </c>
      <c r="F118" s="102" t="s">
        <v>15</v>
      </c>
      <c r="G118" s="132" t="s">
        <v>16</v>
      </c>
      <c r="H118" s="128">
        <v>200</v>
      </c>
      <c r="I118" s="128">
        <v>200</v>
      </c>
      <c r="J118" s="102"/>
      <c r="K118" s="104"/>
      <c r="L118" s="105">
        <v>20201118</v>
      </c>
      <c r="M118" s="133"/>
    </row>
    <row r="119" ht="16" customHeight="1" spans="1:13">
      <c r="A119" s="132">
        <v>117</v>
      </c>
      <c r="B119" s="102" t="s">
        <v>13908</v>
      </c>
      <c r="C119" s="102" t="s">
        <v>7112</v>
      </c>
      <c r="D119" s="102" t="s">
        <v>14124</v>
      </c>
      <c r="E119" s="102" t="s">
        <v>15</v>
      </c>
      <c r="F119" s="102" t="s">
        <v>15</v>
      </c>
      <c r="G119" s="132" t="s">
        <v>16</v>
      </c>
      <c r="H119" s="128">
        <v>200</v>
      </c>
      <c r="I119" s="128">
        <v>200</v>
      </c>
      <c r="J119" s="102"/>
      <c r="K119" s="104"/>
      <c r="L119" s="105">
        <v>20201118</v>
      </c>
      <c r="M119" s="133"/>
    </row>
    <row r="120" ht="16" customHeight="1" spans="1:13">
      <c r="A120" s="102">
        <v>118</v>
      </c>
      <c r="B120" s="102" t="s">
        <v>13908</v>
      </c>
      <c r="C120" s="102" t="s">
        <v>14125</v>
      </c>
      <c r="D120" s="102" t="s">
        <v>14126</v>
      </c>
      <c r="E120" s="102" t="s">
        <v>15</v>
      </c>
      <c r="F120" s="102" t="s">
        <v>15</v>
      </c>
      <c r="G120" s="132" t="s">
        <v>16</v>
      </c>
      <c r="H120" s="128">
        <v>200</v>
      </c>
      <c r="I120" s="128">
        <v>200</v>
      </c>
      <c r="J120" s="102"/>
      <c r="K120" s="104"/>
      <c r="L120" s="105">
        <v>20201118</v>
      </c>
      <c r="M120" s="133"/>
    </row>
    <row r="121" ht="16" customHeight="1" spans="1:13">
      <c r="A121" s="102">
        <v>119</v>
      </c>
      <c r="B121" s="102" t="s">
        <v>13908</v>
      </c>
      <c r="C121" s="102" t="s">
        <v>14127</v>
      </c>
      <c r="D121" s="102" t="s">
        <v>14128</v>
      </c>
      <c r="E121" s="102" t="s">
        <v>15</v>
      </c>
      <c r="F121" s="102" t="s">
        <v>15</v>
      </c>
      <c r="G121" s="132" t="s">
        <v>16</v>
      </c>
      <c r="H121" s="128">
        <v>200</v>
      </c>
      <c r="I121" s="128">
        <v>200</v>
      </c>
      <c r="J121" s="102"/>
      <c r="K121" s="104"/>
      <c r="L121" s="105">
        <v>20201118</v>
      </c>
      <c r="M121" s="133"/>
    </row>
    <row r="122" ht="16" customHeight="1" spans="1:13">
      <c r="A122" s="102">
        <v>120</v>
      </c>
      <c r="B122" s="102" t="s">
        <v>13908</v>
      </c>
      <c r="C122" s="102" t="s">
        <v>14129</v>
      </c>
      <c r="D122" s="102" t="s">
        <v>14130</v>
      </c>
      <c r="E122" s="102" t="s">
        <v>15</v>
      </c>
      <c r="F122" s="102" t="s">
        <v>15</v>
      </c>
      <c r="G122" s="132" t="s">
        <v>16</v>
      </c>
      <c r="H122" s="128">
        <v>200</v>
      </c>
      <c r="I122" s="128">
        <v>200</v>
      </c>
      <c r="J122" s="102"/>
      <c r="K122" s="104"/>
      <c r="L122" s="105">
        <v>20201118</v>
      </c>
      <c r="M122" s="133"/>
    </row>
    <row r="123" ht="16" customHeight="1" spans="1:13">
      <c r="A123" s="132">
        <v>121</v>
      </c>
      <c r="B123" s="102" t="s">
        <v>13908</v>
      </c>
      <c r="C123" s="102" t="s">
        <v>14131</v>
      </c>
      <c r="D123" s="102" t="s">
        <v>14132</v>
      </c>
      <c r="E123" s="102" t="s">
        <v>15</v>
      </c>
      <c r="F123" s="102" t="s">
        <v>15</v>
      </c>
      <c r="G123" s="132" t="s">
        <v>16</v>
      </c>
      <c r="H123" s="128">
        <v>200</v>
      </c>
      <c r="I123" s="128">
        <v>200</v>
      </c>
      <c r="J123" s="102"/>
      <c r="K123" s="104"/>
      <c r="L123" s="105">
        <v>20201118</v>
      </c>
      <c r="M123" s="133"/>
    </row>
    <row r="124" ht="16" customHeight="1" spans="1:13">
      <c r="A124" s="132">
        <v>122</v>
      </c>
      <c r="B124" s="102" t="s">
        <v>13908</v>
      </c>
      <c r="C124" s="102" t="s">
        <v>14133</v>
      </c>
      <c r="D124" s="102" t="s">
        <v>14134</v>
      </c>
      <c r="E124" s="102" t="s">
        <v>15</v>
      </c>
      <c r="F124" s="102" t="s">
        <v>15</v>
      </c>
      <c r="G124" s="132" t="s">
        <v>16</v>
      </c>
      <c r="H124" s="128">
        <v>200</v>
      </c>
      <c r="I124" s="128">
        <v>200</v>
      </c>
      <c r="J124" s="102"/>
      <c r="K124" s="104"/>
      <c r="L124" s="105">
        <v>20201118</v>
      </c>
      <c r="M124" s="133"/>
    </row>
    <row r="125" ht="16" customHeight="1" spans="1:13">
      <c r="A125" s="102">
        <v>123</v>
      </c>
      <c r="B125" s="102" t="s">
        <v>13908</v>
      </c>
      <c r="C125" s="102" t="s">
        <v>14135</v>
      </c>
      <c r="D125" s="102" t="s">
        <v>14136</v>
      </c>
      <c r="E125" s="102" t="s">
        <v>15</v>
      </c>
      <c r="F125" s="102" t="s">
        <v>15</v>
      </c>
      <c r="G125" s="132" t="s">
        <v>16</v>
      </c>
      <c r="H125" s="128">
        <v>200</v>
      </c>
      <c r="I125" s="128">
        <v>200</v>
      </c>
      <c r="J125" s="102"/>
      <c r="K125" s="104"/>
      <c r="L125" s="105">
        <v>20201118</v>
      </c>
      <c r="M125" s="133"/>
    </row>
    <row r="126" ht="16" customHeight="1" spans="1:13">
      <c r="A126" s="102">
        <v>124</v>
      </c>
      <c r="B126" s="102" t="s">
        <v>13908</v>
      </c>
      <c r="C126" s="102" t="s">
        <v>14137</v>
      </c>
      <c r="D126" s="102" t="s">
        <v>14138</v>
      </c>
      <c r="E126" s="102" t="s">
        <v>15</v>
      </c>
      <c r="F126" s="102" t="s">
        <v>15</v>
      </c>
      <c r="G126" s="132" t="s">
        <v>16</v>
      </c>
      <c r="H126" s="128">
        <v>400</v>
      </c>
      <c r="I126" s="128">
        <v>400</v>
      </c>
      <c r="J126" s="102"/>
      <c r="K126" s="104"/>
      <c r="L126" s="105">
        <v>20201118</v>
      </c>
      <c r="M126" s="133"/>
    </row>
    <row r="127" ht="16" customHeight="1" spans="1:13">
      <c r="A127" s="102">
        <v>125</v>
      </c>
      <c r="B127" s="102" t="s">
        <v>13908</v>
      </c>
      <c r="C127" s="102" t="s">
        <v>14139</v>
      </c>
      <c r="D127" s="102" t="s">
        <v>14140</v>
      </c>
      <c r="E127" s="102" t="s">
        <v>15</v>
      </c>
      <c r="F127" s="102" t="s">
        <v>15</v>
      </c>
      <c r="G127" s="132" t="s">
        <v>16</v>
      </c>
      <c r="H127" s="128">
        <v>500</v>
      </c>
      <c r="I127" s="128">
        <v>500</v>
      </c>
      <c r="J127" s="102"/>
      <c r="K127" s="104"/>
      <c r="L127" s="105">
        <v>20201118</v>
      </c>
      <c r="M127" s="133"/>
    </row>
    <row r="128" ht="16" customHeight="1" spans="1:13">
      <c r="A128" s="132">
        <v>126</v>
      </c>
      <c r="B128" s="102" t="s">
        <v>13908</v>
      </c>
      <c r="C128" s="102" t="s">
        <v>14141</v>
      </c>
      <c r="D128" s="102" t="s">
        <v>14142</v>
      </c>
      <c r="E128" s="102" t="s">
        <v>15</v>
      </c>
      <c r="F128" s="102" t="s">
        <v>15</v>
      </c>
      <c r="G128" s="132" t="s">
        <v>16</v>
      </c>
      <c r="H128" s="128">
        <v>200</v>
      </c>
      <c r="I128" s="128">
        <v>200</v>
      </c>
      <c r="J128" s="102"/>
      <c r="K128" s="104"/>
      <c r="L128" s="105">
        <v>20201118</v>
      </c>
      <c r="M128" s="133"/>
    </row>
    <row r="129" ht="16" customHeight="1" spans="1:13">
      <c r="A129" s="132">
        <v>127</v>
      </c>
      <c r="B129" s="102" t="s">
        <v>13908</v>
      </c>
      <c r="C129" s="102" t="s">
        <v>14143</v>
      </c>
      <c r="D129" s="102" t="s">
        <v>14144</v>
      </c>
      <c r="E129" s="102" t="s">
        <v>15</v>
      </c>
      <c r="F129" s="102" t="s">
        <v>15</v>
      </c>
      <c r="G129" s="132" t="s">
        <v>16</v>
      </c>
      <c r="H129" s="128">
        <v>200</v>
      </c>
      <c r="I129" s="128">
        <v>200</v>
      </c>
      <c r="J129" s="102"/>
      <c r="K129" s="104"/>
      <c r="L129" s="105">
        <v>20201118</v>
      </c>
      <c r="M129" s="133"/>
    </row>
    <row r="130" ht="16" customHeight="1" spans="1:13">
      <c r="A130" s="102">
        <v>128</v>
      </c>
      <c r="B130" s="102" t="s">
        <v>13908</v>
      </c>
      <c r="C130" s="102" t="s">
        <v>386</v>
      </c>
      <c r="D130" s="102" t="s">
        <v>14145</v>
      </c>
      <c r="E130" s="102" t="s">
        <v>15</v>
      </c>
      <c r="F130" s="102" t="s">
        <v>15</v>
      </c>
      <c r="G130" s="132" t="s">
        <v>16</v>
      </c>
      <c r="H130" s="128">
        <v>200</v>
      </c>
      <c r="I130" s="128">
        <v>200</v>
      </c>
      <c r="J130" s="102"/>
      <c r="K130" s="104"/>
      <c r="L130" s="105">
        <v>20201118</v>
      </c>
      <c r="M130" s="133"/>
    </row>
    <row r="131" ht="16" customHeight="1" spans="1:13">
      <c r="A131" s="102">
        <v>129</v>
      </c>
      <c r="B131" s="102" t="s">
        <v>13908</v>
      </c>
      <c r="C131" s="102" t="s">
        <v>14146</v>
      </c>
      <c r="D131" s="102" t="s">
        <v>14147</v>
      </c>
      <c r="E131" s="102" t="s">
        <v>15</v>
      </c>
      <c r="F131" s="102" t="s">
        <v>15</v>
      </c>
      <c r="G131" s="132" t="s">
        <v>16</v>
      </c>
      <c r="H131" s="128">
        <v>200</v>
      </c>
      <c r="I131" s="128">
        <v>200</v>
      </c>
      <c r="J131" s="102"/>
      <c r="K131" s="104"/>
      <c r="L131" s="105">
        <v>20201118</v>
      </c>
      <c r="M131" s="133"/>
    </row>
    <row r="132" ht="16" customHeight="1" spans="1:13">
      <c r="A132" s="102">
        <v>130</v>
      </c>
      <c r="B132" s="102" t="s">
        <v>13908</v>
      </c>
      <c r="C132" s="102" t="s">
        <v>14148</v>
      </c>
      <c r="D132" s="102" t="s">
        <v>14149</v>
      </c>
      <c r="E132" s="102" t="s">
        <v>15</v>
      </c>
      <c r="F132" s="102" t="s">
        <v>15</v>
      </c>
      <c r="G132" s="132" t="s">
        <v>16</v>
      </c>
      <c r="H132" s="128">
        <v>200</v>
      </c>
      <c r="I132" s="128">
        <v>200</v>
      </c>
      <c r="J132" s="102"/>
      <c r="K132" s="104"/>
      <c r="L132" s="105">
        <v>20201118</v>
      </c>
      <c r="M132" s="133"/>
    </row>
    <row r="133" ht="16" customHeight="1" spans="1:13">
      <c r="A133" s="132">
        <v>131</v>
      </c>
      <c r="B133" s="102" t="s">
        <v>13908</v>
      </c>
      <c r="C133" s="102" t="s">
        <v>14150</v>
      </c>
      <c r="D133" s="102" t="s">
        <v>14151</v>
      </c>
      <c r="E133" s="102" t="s">
        <v>15</v>
      </c>
      <c r="F133" s="102" t="s">
        <v>15</v>
      </c>
      <c r="G133" s="132" t="s">
        <v>16</v>
      </c>
      <c r="H133" s="128">
        <v>200</v>
      </c>
      <c r="I133" s="128">
        <v>200</v>
      </c>
      <c r="J133" s="102"/>
      <c r="K133" s="104"/>
      <c r="L133" s="105">
        <v>20201118</v>
      </c>
      <c r="M133" s="133"/>
    </row>
    <row r="134" ht="16" customHeight="1" spans="1:13">
      <c r="A134" s="132">
        <v>132</v>
      </c>
      <c r="B134" s="102" t="s">
        <v>13908</v>
      </c>
      <c r="C134" s="102" t="s">
        <v>14152</v>
      </c>
      <c r="D134" s="102" t="s">
        <v>14153</v>
      </c>
      <c r="E134" s="102" t="s">
        <v>15</v>
      </c>
      <c r="F134" s="102" t="s">
        <v>15</v>
      </c>
      <c r="G134" s="132" t="s">
        <v>16</v>
      </c>
      <c r="H134" s="128">
        <v>200</v>
      </c>
      <c r="I134" s="128">
        <v>200</v>
      </c>
      <c r="J134" s="102"/>
      <c r="K134" s="104"/>
      <c r="L134" s="105">
        <v>20201118</v>
      </c>
      <c r="M134" s="133"/>
    </row>
    <row r="135" ht="16" customHeight="1" spans="1:13">
      <c r="A135" s="102">
        <v>133</v>
      </c>
      <c r="B135" s="102" t="s">
        <v>13908</v>
      </c>
      <c r="C135" s="102" t="s">
        <v>14154</v>
      </c>
      <c r="D135" s="102" t="s">
        <v>14155</v>
      </c>
      <c r="E135" s="102" t="s">
        <v>15</v>
      </c>
      <c r="F135" s="102" t="s">
        <v>15</v>
      </c>
      <c r="G135" s="132" t="s">
        <v>16</v>
      </c>
      <c r="H135" s="128">
        <v>200</v>
      </c>
      <c r="I135" s="128">
        <v>200</v>
      </c>
      <c r="J135" s="102"/>
      <c r="K135" s="104"/>
      <c r="L135" s="105">
        <v>20201118</v>
      </c>
      <c r="M135" s="133"/>
    </row>
    <row r="136" ht="16" customHeight="1" spans="1:13">
      <c r="A136" s="102">
        <v>134</v>
      </c>
      <c r="B136" s="5" t="s">
        <v>13908</v>
      </c>
      <c r="C136" s="5" t="s">
        <v>14156</v>
      </c>
      <c r="D136" s="5" t="s">
        <v>14157</v>
      </c>
      <c r="E136" s="102" t="s">
        <v>15</v>
      </c>
      <c r="F136" s="102" t="s">
        <v>15</v>
      </c>
      <c r="G136" s="14" t="s">
        <v>16</v>
      </c>
      <c r="H136" s="17">
        <v>200</v>
      </c>
      <c r="I136" s="17">
        <v>200</v>
      </c>
      <c r="J136" s="5"/>
      <c r="K136" s="104"/>
      <c r="L136" s="105">
        <v>20201118</v>
      </c>
      <c r="M136" s="134"/>
    </row>
    <row r="137" ht="16" customHeight="1" spans="1:13">
      <c r="A137" s="102">
        <v>135</v>
      </c>
      <c r="B137" s="102" t="s">
        <v>13908</v>
      </c>
      <c r="C137" s="102" t="s">
        <v>14158</v>
      </c>
      <c r="D137" s="102" t="s">
        <v>14159</v>
      </c>
      <c r="E137" s="102" t="s">
        <v>15</v>
      </c>
      <c r="F137" s="102" t="s">
        <v>15</v>
      </c>
      <c r="G137" s="132" t="s">
        <v>16</v>
      </c>
      <c r="H137" s="128">
        <v>200</v>
      </c>
      <c r="I137" s="128">
        <v>200</v>
      </c>
      <c r="J137" s="102"/>
      <c r="K137" s="104"/>
      <c r="L137" s="105">
        <v>20201118</v>
      </c>
      <c r="M137" s="133"/>
    </row>
    <row r="138" ht="16" customHeight="1" spans="1:13">
      <c r="A138" s="132">
        <v>136</v>
      </c>
      <c r="B138" s="102" t="s">
        <v>13908</v>
      </c>
      <c r="C138" s="102" t="s">
        <v>14160</v>
      </c>
      <c r="D138" s="102" t="s">
        <v>14161</v>
      </c>
      <c r="E138" s="102" t="s">
        <v>15</v>
      </c>
      <c r="F138" s="102" t="s">
        <v>15</v>
      </c>
      <c r="G138" s="132" t="s">
        <v>16</v>
      </c>
      <c r="H138" s="128">
        <v>200</v>
      </c>
      <c r="I138" s="128">
        <v>200</v>
      </c>
      <c r="J138" s="102"/>
      <c r="K138" s="104"/>
      <c r="L138" s="105">
        <v>20201118</v>
      </c>
      <c r="M138" s="133"/>
    </row>
    <row r="139" ht="16" customHeight="1" spans="1:13">
      <c r="A139" s="132">
        <v>137</v>
      </c>
      <c r="B139" s="102" t="s">
        <v>13908</v>
      </c>
      <c r="C139" s="102" t="s">
        <v>14162</v>
      </c>
      <c r="D139" s="102" t="s">
        <v>14163</v>
      </c>
      <c r="E139" s="102" t="s">
        <v>15</v>
      </c>
      <c r="F139" s="102" t="s">
        <v>15</v>
      </c>
      <c r="G139" s="132" t="s">
        <v>16</v>
      </c>
      <c r="H139" s="128">
        <v>200</v>
      </c>
      <c r="I139" s="128">
        <v>200</v>
      </c>
      <c r="J139" s="102"/>
      <c r="K139" s="104"/>
      <c r="L139" s="105">
        <v>20201118</v>
      </c>
      <c r="M139" s="133"/>
    </row>
    <row r="140" ht="16" customHeight="1" spans="1:13">
      <c r="A140" s="102">
        <v>138</v>
      </c>
      <c r="B140" s="102" t="s">
        <v>13908</v>
      </c>
      <c r="C140" s="102" t="s">
        <v>14164</v>
      </c>
      <c r="D140" s="102" t="s">
        <v>14165</v>
      </c>
      <c r="E140" s="102" t="s">
        <v>15</v>
      </c>
      <c r="F140" s="102" t="s">
        <v>15</v>
      </c>
      <c r="G140" s="132" t="s">
        <v>16</v>
      </c>
      <c r="H140" s="128">
        <v>200</v>
      </c>
      <c r="I140" s="128">
        <v>200</v>
      </c>
      <c r="J140" s="102"/>
      <c r="K140" s="104"/>
      <c r="L140" s="105">
        <v>20201118</v>
      </c>
      <c r="M140" s="133"/>
    </row>
    <row r="141" ht="16" customHeight="1" spans="1:13">
      <c r="A141" s="102">
        <v>139</v>
      </c>
      <c r="B141" s="102" t="s">
        <v>13908</v>
      </c>
      <c r="C141" s="102" t="s">
        <v>14166</v>
      </c>
      <c r="D141" s="102" t="s">
        <v>14167</v>
      </c>
      <c r="E141" s="102" t="s">
        <v>15</v>
      </c>
      <c r="F141" s="102" t="s">
        <v>15</v>
      </c>
      <c r="G141" s="132" t="s">
        <v>16</v>
      </c>
      <c r="H141" s="128">
        <v>200</v>
      </c>
      <c r="I141" s="128">
        <v>200</v>
      </c>
      <c r="J141" s="102"/>
      <c r="K141" s="104"/>
      <c r="L141" s="105">
        <v>20201118</v>
      </c>
      <c r="M141" s="133"/>
    </row>
    <row r="142" ht="16" customHeight="1" spans="1:13">
      <c r="A142" s="102">
        <v>140</v>
      </c>
      <c r="B142" s="102" t="s">
        <v>13908</v>
      </c>
      <c r="C142" s="102" t="s">
        <v>14168</v>
      </c>
      <c r="D142" s="102" t="s">
        <v>14169</v>
      </c>
      <c r="E142" s="102" t="s">
        <v>15</v>
      </c>
      <c r="F142" s="102" t="s">
        <v>15</v>
      </c>
      <c r="G142" s="132" t="s">
        <v>16</v>
      </c>
      <c r="H142" s="128">
        <v>200</v>
      </c>
      <c r="I142" s="128">
        <v>200</v>
      </c>
      <c r="J142" s="102"/>
      <c r="K142" s="104"/>
      <c r="L142" s="105">
        <v>20201118</v>
      </c>
      <c r="M142" s="133"/>
    </row>
    <row r="143" ht="16" customHeight="1" spans="1:13">
      <c r="A143" s="132">
        <v>141</v>
      </c>
      <c r="B143" s="102" t="s">
        <v>13908</v>
      </c>
      <c r="C143" s="102" t="s">
        <v>14170</v>
      </c>
      <c r="D143" s="102" t="s">
        <v>14171</v>
      </c>
      <c r="E143" s="102" t="s">
        <v>15</v>
      </c>
      <c r="F143" s="102" t="s">
        <v>15</v>
      </c>
      <c r="G143" s="132" t="s">
        <v>16</v>
      </c>
      <c r="H143" s="128">
        <v>200</v>
      </c>
      <c r="I143" s="128">
        <v>200</v>
      </c>
      <c r="J143" s="102"/>
      <c r="K143" s="104"/>
      <c r="L143" s="105">
        <v>20201118</v>
      </c>
      <c r="M143" s="133"/>
    </row>
    <row r="144" ht="16" customHeight="1" spans="1:13">
      <c r="A144" s="132">
        <v>142</v>
      </c>
      <c r="B144" s="102" t="s">
        <v>13908</v>
      </c>
      <c r="C144" s="102" t="s">
        <v>14172</v>
      </c>
      <c r="D144" s="102" t="s">
        <v>14173</v>
      </c>
      <c r="E144" s="102" t="s">
        <v>15</v>
      </c>
      <c r="F144" s="102" t="s">
        <v>15</v>
      </c>
      <c r="G144" s="132" t="s">
        <v>16</v>
      </c>
      <c r="H144" s="128">
        <v>200</v>
      </c>
      <c r="I144" s="128">
        <v>200</v>
      </c>
      <c r="J144" s="102"/>
      <c r="K144" s="104"/>
      <c r="L144" s="105">
        <v>20201118</v>
      </c>
      <c r="M144" s="133"/>
    </row>
    <row r="145" ht="16" customHeight="1" spans="1:13">
      <c r="A145" s="102">
        <v>143</v>
      </c>
      <c r="B145" s="102" t="s">
        <v>13908</v>
      </c>
      <c r="C145" s="102" t="s">
        <v>14174</v>
      </c>
      <c r="D145" s="102" t="s">
        <v>14175</v>
      </c>
      <c r="E145" s="102" t="s">
        <v>15</v>
      </c>
      <c r="F145" s="102" t="s">
        <v>15</v>
      </c>
      <c r="G145" s="132" t="s">
        <v>16</v>
      </c>
      <c r="H145" s="128">
        <v>200</v>
      </c>
      <c r="I145" s="128">
        <v>200</v>
      </c>
      <c r="J145" s="102"/>
      <c r="K145" s="104"/>
      <c r="L145" s="105">
        <v>20201118</v>
      </c>
      <c r="M145" s="133"/>
    </row>
    <row r="146" ht="16" customHeight="1" spans="1:13">
      <c r="A146" s="102">
        <v>144</v>
      </c>
      <c r="B146" s="102" t="s">
        <v>13908</v>
      </c>
      <c r="C146" s="102" t="s">
        <v>14176</v>
      </c>
      <c r="D146" s="102" t="s">
        <v>14177</v>
      </c>
      <c r="E146" s="102" t="s">
        <v>15</v>
      </c>
      <c r="F146" s="102" t="s">
        <v>15</v>
      </c>
      <c r="G146" s="132" t="s">
        <v>16</v>
      </c>
      <c r="H146" s="128">
        <v>200</v>
      </c>
      <c r="I146" s="128">
        <v>200</v>
      </c>
      <c r="J146" s="102"/>
      <c r="K146" s="104"/>
      <c r="L146" s="105">
        <v>20201118</v>
      </c>
      <c r="M146" s="133"/>
    </row>
    <row r="147" ht="16" customHeight="1" spans="1:13">
      <c r="A147" s="102">
        <v>145</v>
      </c>
      <c r="B147" s="102" t="s">
        <v>13908</v>
      </c>
      <c r="C147" s="102" t="s">
        <v>14178</v>
      </c>
      <c r="D147" s="102" t="s">
        <v>14179</v>
      </c>
      <c r="E147" s="102" t="s">
        <v>15</v>
      </c>
      <c r="F147" s="102" t="s">
        <v>15</v>
      </c>
      <c r="G147" s="132" t="s">
        <v>16</v>
      </c>
      <c r="H147" s="128">
        <v>200</v>
      </c>
      <c r="I147" s="128">
        <v>200</v>
      </c>
      <c r="J147" s="102"/>
      <c r="K147" s="104"/>
      <c r="L147" s="105">
        <v>20201118</v>
      </c>
      <c r="M147" s="133"/>
    </row>
    <row r="148" ht="16" customHeight="1" spans="1:13">
      <c r="A148" s="132">
        <v>146</v>
      </c>
      <c r="B148" s="102" t="s">
        <v>13908</v>
      </c>
      <c r="C148" s="102" t="s">
        <v>14180</v>
      </c>
      <c r="D148" s="102" t="s">
        <v>14181</v>
      </c>
      <c r="E148" s="102" t="s">
        <v>15</v>
      </c>
      <c r="F148" s="102" t="s">
        <v>15</v>
      </c>
      <c r="G148" s="132" t="s">
        <v>16</v>
      </c>
      <c r="H148" s="128">
        <v>200</v>
      </c>
      <c r="I148" s="128">
        <v>200</v>
      </c>
      <c r="J148" s="102"/>
      <c r="K148" s="104"/>
      <c r="L148" s="105">
        <v>20201118</v>
      </c>
      <c r="M148" s="133"/>
    </row>
    <row r="149" ht="16" customHeight="1" spans="1:13">
      <c r="A149" s="132">
        <v>147</v>
      </c>
      <c r="B149" s="102" t="s">
        <v>13908</v>
      </c>
      <c r="C149" s="102" t="s">
        <v>14182</v>
      </c>
      <c r="D149" s="102" t="s">
        <v>14183</v>
      </c>
      <c r="E149" s="102" t="s">
        <v>15</v>
      </c>
      <c r="F149" s="102" t="s">
        <v>15</v>
      </c>
      <c r="G149" s="132" t="s">
        <v>16</v>
      </c>
      <c r="H149" s="128">
        <v>200</v>
      </c>
      <c r="I149" s="128">
        <v>200</v>
      </c>
      <c r="J149" s="102"/>
      <c r="K149" s="104"/>
      <c r="L149" s="105">
        <v>20201118</v>
      </c>
      <c r="M149" s="133"/>
    </row>
    <row r="150" ht="16" customHeight="1" spans="1:13">
      <c r="A150" s="102">
        <v>148</v>
      </c>
      <c r="B150" s="102" t="s">
        <v>13908</v>
      </c>
      <c r="C150" s="102" t="s">
        <v>14184</v>
      </c>
      <c r="D150" s="102" t="s">
        <v>14185</v>
      </c>
      <c r="E150" s="102" t="s">
        <v>15</v>
      </c>
      <c r="F150" s="102" t="s">
        <v>15</v>
      </c>
      <c r="G150" s="132" t="s">
        <v>16</v>
      </c>
      <c r="H150" s="128">
        <v>200</v>
      </c>
      <c r="I150" s="128">
        <v>200</v>
      </c>
      <c r="J150" s="102"/>
      <c r="K150" s="104"/>
      <c r="L150" s="105">
        <v>20201118</v>
      </c>
      <c r="M150" s="133"/>
    </row>
    <row r="151" ht="16" customHeight="1" spans="1:13">
      <c r="A151" s="102">
        <v>149</v>
      </c>
      <c r="B151" s="102" t="s">
        <v>13908</v>
      </c>
      <c r="C151" s="102" t="s">
        <v>14186</v>
      </c>
      <c r="D151" s="102" t="s">
        <v>14187</v>
      </c>
      <c r="E151" s="102" t="s">
        <v>15</v>
      </c>
      <c r="F151" s="102" t="s">
        <v>15</v>
      </c>
      <c r="G151" s="132" t="s">
        <v>16</v>
      </c>
      <c r="H151" s="128">
        <v>200</v>
      </c>
      <c r="I151" s="128">
        <v>200</v>
      </c>
      <c r="J151" s="102"/>
      <c r="K151" s="104"/>
      <c r="L151" s="105">
        <v>20201118</v>
      </c>
      <c r="M151" s="133"/>
    </row>
    <row r="152" ht="16" customHeight="1" spans="1:13">
      <c r="A152" s="102">
        <v>150</v>
      </c>
      <c r="B152" s="102" t="s">
        <v>13908</v>
      </c>
      <c r="C152" s="102" t="s">
        <v>14188</v>
      </c>
      <c r="D152" s="102" t="s">
        <v>14189</v>
      </c>
      <c r="E152" s="102" t="s">
        <v>15</v>
      </c>
      <c r="F152" s="102" t="s">
        <v>15</v>
      </c>
      <c r="G152" s="132" t="s">
        <v>16</v>
      </c>
      <c r="H152" s="128">
        <v>200</v>
      </c>
      <c r="I152" s="128">
        <v>200</v>
      </c>
      <c r="J152" s="102"/>
      <c r="K152" s="104"/>
      <c r="L152" s="105">
        <v>20201118</v>
      </c>
      <c r="M152" s="133"/>
    </row>
    <row r="153" ht="16" customHeight="1" spans="1:13">
      <c r="A153" s="132">
        <v>151</v>
      </c>
      <c r="B153" s="102" t="s">
        <v>13908</v>
      </c>
      <c r="C153" s="102" t="s">
        <v>14190</v>
      </c>
      <c r="D153" s="102" t="s">
        <v>14191</v>
      </c>
      <c r="E153" s="102" t="s">
        <v>15</v>
      </c>
      <c r="F153" s="102" t="s">
        <v>15</v>
      </c>
      <c r="G153" s="132" t="s">
        <v>16</v>
      </c>
      <c r="H153" s="128">
        <v>200</v>
      </c>
      <c r="I153" s="128">
        <v>200</v>
      </c>
      <c r="J153" s="102"/>
      <c r="K153" s="104"/>
      <c r="L153" s="105">
        <v>20201118</v>
      </c>
      <c r="M153" s="133"/>
    </row>
    <row r="154" ht="16" customHeight="1" spans="1:13">
      <c r="A154" s="132">
        <v>152</v>
      </c>
      <c r="B154" s="102" t="s">
        <v>13908</v>
      </c>
      <c r="C154" s="102" t="s">
        <v>7170</v>
      </c>
      <c r="D154" s="102" t="s">
        <v>14192</v>
      </c>
      <c r="E154" s="102" t="s">
        <v>15</v>
      </c>
      <c r="F154" s="102" t="s">
        <v>15</v>
      </c>
      <c r="G154" s="132" t="s">
        <v>16</v>
      </c>
      <c r="H154" s="128">
        <v>200</v>
      </c>
      <c r="I154" s="128">
        <v>200</v>
      </c>
      <c r="J154" s="102"/>
      <c r="K154" s="104"/>
      <c r="L154" s="105">
        <v>20201118</v>
      </c>
      <c r="M154" s="133"/>
    </row>
    <row r="155" ht="16" customHeight="1" spans="1:13">
      <c r="A155" s="102">
        <v>153</v>
      </c>
      <c r="B155" s="102" t="s">
        <v>13908</v>
      </c>
      <c r="C155" s="102" t="s">
        <v>14193</v>
      </c>
      <c r="D155" s="102" t="s">
        <v>14194</v>
      </c>
      <c r="E155" s="102" t="s">
        <v>15</v>
      </c>
      <c r="F155" s="102" t="s">
        <v>15</v>
      </c>
      <c r="G155" s="132" t="s">
        <v>16</v>
      </c>
      <c r="H155" s="128">
        <v>200</v>
      </c>
      <c r="I155" s="128">
        <v>200</v>
      </c>
      <c r="J155" s="102"/>
      <c r="K155" s="104"/>
      <c r="L155" s="105">
        <v>20201118</v>
      </c>
      <c r="M155" s="133"/>
    </row>
    <row r="156" ht="16" customHeight="1" spans="1:13">
      <c r="A156" s="102">
        <v>154</v>
      </c>
      <c r="B156" s="102" t="s">
        <v>13908</v>
      </c>
      <c r="C156" s="102" t="s">
        <v>14195</v>
      </c>
      <c r="D156" s="102" t="s">
        <v>14196</v>
      </c>
      <c r="E156" s="102" t="s">
        <v>15</v>
      </c>
      <c r="F156" s="102" t="s">
        <v>15</v>
      </c>
      <c r="G156" s="132" t="s">
        <v>16</v>
      </c>
      <c r="H156" s="128">
        <v>200</v>
      </c>
      <c r="I156" s="128">
        <v>200</v>
      </c>
      <c r="J156" s="102"/>
      <c r="K156" s="104"/>
      <c r="L156" s="105">
        <v>20201118</v>
      </c>
      <c r="M156" s="133"/>
    </row>
    <row r="157" ht="16" customHeight="1" spans="1:13">
      <c r="A157" s="102">
        <v>155</v>
      </c>
      <c r="B157" s="102" t="s">
        <v>13908</v>
      </c>
      <c r="C157" s="102" t="s">
        <v>11859</v>
      </c>
      <c r="D157" s="102" t="s">
        <v>14197</v>
      </c>
      <c r="E157" s="102" t="s">
        <v>15</v>
      </c>
      <c r="F157" s="102" t="s">
        <v>15</v>
      </c>
      <c r="G157" s="132" t="s">
        <v>16</v>
      </c>
      <c r="H157" s="128">
        <v>200</v>
      </c>
      <c r="I157" s="128">
        <v>200</v>
      </c>
      <c r="J157" s="102"/>
      <c r="K157" s="104"/>
      <c r="L157" s="105">
        <v>20201118</v>
      </c>
      <c r="M157" s="133"/>
    </row>
    <row r="158" ht="16" customHeight="1" spans="1:13">
      <c r="A158" s="132">
        <v>156</v>
      </c>
      <c r="B158" s="102" t="s">
        <v>13908</v>
      </c>
      <c r="C158" s="102" t="s">
        <v>14198</v>
      </c>
      <c r="D158" s="102" t="s">
        <v>14199</v>
      </c>
      <c r="E158" s="102" t="s">
        <v>15</v>
      </c>
      <c r="F158" s="102" t="s">
        <v>15</v>
      </c>
      <c r="G158" s="132" t="s">
        <v>16</v>
      </c>
      <c r="H158" s="128">
        <v>200</v>
      </c>
      <c r="I158" s="128">
        <v>200</v>
      </c>
      <c r="J158" s="102"/>
      <c r="K158" s="104"/>
      <c r="L158" s="105">
        <v>20201118</v>
      </c>
      <c r="M158" s="133"/>
    </row>
    <row r="159" ht="16" customHeight="1" spans="1:13">
      <c r="A159" s="132">
        <v>157</v>
      </c>
      <c r="B159" s="102" t="s">
        <v>13908</v>
      </c>
      <c r="C159" s="102" t="s">
        <v>3764</v>
      </c>
      <c r="D159" s="102" t="s">
        <v>14200</v>
      </c>
      <c r="E159" s="102" t="s">
        <v>15</v>
      </c>
      <c r="F159" s="102" t="s">
        <v>15</v>
      </c>
      <c r="G159" s="132" t="s">
        <v>16</v>
      </c>
      <c r="H159" s="128">
        <v>200</v>
      </c>
      <c r="I159" s="128">
        <v>200</v>
      </c>
      <c r="J159" s="102"/>
      <c r="K159" s="104"/>
      <c r="L159" s="105">
        <v>20201118</v>
      </c>
      <c r="M159" s="133"/>
    </row>
    <row r="160" ht="16" customHeight="1" spans="1:13">
      <c r="A160" s="102">
        <v>158</v>
      </c>
      <c r="B160" s="102" t="s">
        <v>13908</v>
      </c>
      <c r="C160" s="102" t="s">
        <v>14201</v>
      </c>
      <c r="D160" s="102" t="s">
        <v>14202</v>
      </c>
      <c r="E160" s="102" t="s">
        <v>15</v>
      </c>
      <c r="F160" s="102" t="s">
        <v>15</v>
      </c>
      <c r="G160" s="132" t="s">
        <v>16</v>
      </c>
      <c r="H160" s="128">
        <v>200</v>
      </c>
      <c r="I160" s="128">
        <v>200</v>
      </c>
      <c r="J160" s="102"/>
      <c r="K160" s="104"/>
      <c r="L160" s="105">
        <v>20201118</v>
      </c>
      <c r="M160" s="133"/>
    </row>
    <row r="161" ht="16" customHeight="1" spans="1:13">
      <c r="A161" s="102">
        <v>159</v>
      </c>
      <c r="B161" s="102" t="s">
        <v>13908</v>
      </c>
      <c r="C161" s="102" t="s">
        <v>14203</v>
      </c>
      <c r="D161" s="102" t="s">
        <v>14204</v>
      </c>
      <c r="E161" s="102" t="s">
        <v>15</v>
      </c>
      <c r="F161" s="102" t="s">
        <v>15</v>
      </c>
      <c r="G161" s="132" t="s">
        <v>16</v>
      </c>
      <c r="H161" s="128">
        <v>500</v>
      </c>
      <c r="I161" s="128">
        <v>500</v>
      </c>
      <c r="J161" s="102"/>
      <c r="K161" s="104"/>
      <c r="L161" s="105">
        <v>20201118</v>
      </c>
      <c r="M161" s="133"/>
    </row>
    <row r="162" ht="16" customHeight="1" spans="1:13">
      <c r="A162" s="102">
        <v>160</v>
      </c>
      <c r="B162" s="102" t="s">
        <v>13908</v>
      </c>
      <c r="C162" s="102" t="s">
        <v>14205</v>
      </c>
      <c r="D162" s="102" t="s">
        <v>14206</v>
      </c>
      <c r="E162" s="102" t="s">
        <v>15</v>
      </c>
      <c r="F162" s="102" t="s">
        <v>15</v>
      </c>
      <c r="G162" s="132" t="s">
        <v>16</v>
      </c>
      <c r="H162" s="128">
        <v>500</v>
      </c>
      <c r="I162" s="128">
        <v>500</v>
      </c>
      <c r="J162" s="102"/>
      <c r="K162" s="104"/>
      <c r="L162" s="105">
        <v>20201118</v>
      </c>
      <c r="M162" s="133"/>
    </row>
    <row r="163" ht="16" customHeight="1" spans="1:13">
      <c r="A163" s="132">
        <v>161</v>
      </c>
      <c r="B163" s="102" t="s">
        <v>13908</v>
      </c>
      <c r="C163" s="102" t="s">
        <v>14207</v>
      </c>
      <c r="D163" s="102" t="s">
        <v>14208</v>
      </c>
      <c r="E163" s="102" t="s">
        <v>15</v>
      </c>
      <c r="F163" s="102" t="s">
        <v>15</v>
      </c>
      <c r="G163" s="132" t="s">
        <v>16</v>
      </c>
      <c r="H163" s="128">
        <v>200</v>
      </c>
      <c r="I163" s="128">
        <v>200</v>
      </c>
      <c r="J163" s="102"/>
      <c r="K163" s="104"/>
      <c r="L163" s="105">
        <v>20201118</v>
      </c>
      <c r="M163" s="133"/>
    </row>
    <row r="164" ht="16" customHeight="1" spans="1:13">
      <c r="A164" s="132">
        <v>162</v>
      </c>
      <c r="B164" s="102" t="s">
        <v>13908</v>
      </c>
      <c r="C164" s="102" t="s">
        <v>14209</v>
      </c>
      <c r="D164" s="102" t="s">
        <v>14210</v>
      </c>
      <c r="E164" s="102" t="s">
        <v>15</v>
      </c>
      <c r="F164" s="102" t="s">
        <v>15</v>
      </c>
      <c r="G164" s="132" t="s">
        <v>16</v>
      </c>
      <c r="H164" s="128">
        <v>200</v>
      </c>
      <c r="I164" s="128">
        <v>200</v>
      </c>
      <c r="J164" s="102"/>
      <c r="K164" s="104"/>
      <c r="L164" s="105">
        <v>20201118</v>
      </c>
      <c r="M164" s="133"/>
    </row>
    <row r="165" ht="16" customHeight="1" spans="1:13">
      <c r="A165" s="102">
        <v>163</v>
      </c>
      <c r="B165" s="102" t="s">
        <v>13908</v>
      </c>
      <c r="C165" s="102" t="s">
        <v>14211</v>
      </c>
      <c r="D165" s="102" t="s">
        <v>14212</v>
      </c>
      <c r="E165" s="102" t="s">
        <v>15</v>
      </c>
      <c r="F165" s="102" t="s">
        <v>15</v>
      </c>
      <c r="G165" s="132" t="s">
        <v>16</v>
      </c>
      <c r="H165" s="128">
        <v>200</v>
      </c>
      <c r="I165" s="128">
        <v>200</v>
      </c>
      <c r="J165" s="102"/>
      <c r="K165" s="104"/>
      <c r="L165" s="105">
        <v>20201118</v>
      </c>
      <c r="M165" s="133"/>
    </row>
    <row r="166" ht="16" customHeight="1" spans="1:13">
      <c r="A166" s="102">
        <v>164</v>
      </c>
      <c r="B166" s="102" t="s">
        <v>13908</v>
      </c>
      <c r="C166" s="102" t="s">
        <v>14213</v>
      </c>
      <c r="D166" s="102" t="s">
        <v>14214</v>
      </c>
      <c r="E166" s="102" t="s">
        <v>15</v>
      </c>
      <c r="F166" s="102" t="s">
        <v>15</v>
      </c>
      <c r="G166" s="132" t="s">
        <v>16</v>
      </c>
      <c r="H166" s="128">
        <v>200</v>
      </c>
      <c r="I166" s="128">
        <v>200</v>
      </c>
      <c r="J166" s="102"/>
      <c r="K166" s="104"/>
      <c r="L166" s="105">
        <v>20201118</v>
      </c>
      <c r="M166" s="133"/>
    </row>
    <row r="167" ht="16" customHeight="1" spans="1:13">
      <c r="A167" s="102">
        <v>165</v>
      </c>
      <c r="B167" s="102" t="s">
        <v>13908</v>
      </c>
      <c r="C167" s="102" t="s">
        <v>14215</v>
      </c>
      <c r="D167" s="102" t="s">
        <v>14216</v>
      </c>
      <c r="E167" s="102" t="s">
        <v>15</v>
      </c>
      <c r="F167" s="102" t="s">
        <v>15</v>
      </c>
      <c r="G167" s="132" t="s">
        <v>16</v>
      </c>
      <c r="H167" s="128">
        <v>200</v>
      </c>
      <c r="I167" s="128">
        <v>200</v>
      </c>
      <c r="J167" s="102"/>
      <c r="K167" s="104"/>
      <c r="L167" s="105">
        <v>20201118</v>
      </c>
      <c r="M167" s="133"/>
    </row>
    <row r="168" ht="16" customHeight="1" spans="1:13">
      <c r="A168" s="132">
        <v>166</v>
      </c>
      <c r="B168" s="102" t="s">
        <v>13908</v>
      </c>
      <c r="C168" s="102" t="s">
        <v>14217</v>
      </c>
      <c r="D168" s="102" t="s">
        <v>14218</v>
      </c>
      <c r="E168" s="102" t="s">
        <v>15</v>
      </c>
      <c r="F168" s="102" t="s">
        <v>15</v>
      </c>
      <c r="G168" s="132" t="s">
        <v>16</v>
      </c>
      <c r="H168" s="128">
        <v>200</v>
      </c>
      <c r="I168" s="128">
        <v>200</v>
      </c>
      <c r="J168" s="102"/>
      <c r="K168" s="104"/>
      <c r="L168" s="105">
        <v>20201118</v>
      </c>
      <c r="M168" s="133"/>
    </row>
    <row r="169" ht="16" customHeight="1" spans="1:13">
      <c r="A169" s="132">
        <v>167</v>
      </c>
      <c r="B169" s="102" t="s">
        <v>13908</v>
      </c>
      <c r="C169" s="102" t="s">
        <v>9420</v>
      </c>
      <c r="D169" s="102" t="s">
        <v>14219</v>
      </c>
      <c r="E169" s="102" t="s">
        <v>15</v>
      </c>
      <c r="F169" s="102" t="s">
        <v>15</v>
      </c>
      <c r="G169" s="132" t="s">
        <v>16</v>
      </c>
      <c r="H169" s="128">
        <v>200</v>
      </c>
      <c r="I169" s="128">
        <v>200</v>
      </c>
      <c r="J169" s="102"/>
      <c r="K169" s="104"/>
      <c r="L169" s="105">
        <v>20201118</v>
      </c>
      <c r="M169" s="133"/>
    </row>
    <row r="170" ht="16" customHeight="1" spans="1:13">
      <c r="A170" s="102">
        <v>168</v>
      </c>
      <c r="B170" s="102" t="s">
        <v>13908</v>
      </c>
      <c r="C170" s="102" t="s">
        <v>14220</v>
      </c>
      <c r="D170" s="102" t="s">
        <v>14221</v>
      </c>
      <c r="E170" s="102" t="s">
        <v>15</v>
      </c>
      <c r="F170" s="102" t="s">
        <v>15</v>
      </c>
      <c r="G170" s="132" t="s">
        <v>16</v>
      </c>
      <c r="H170" s="128">
        <v>200</v>
      </c>
      <c r="I170" s="128">
        <v>200</v>
      </c>
      <c r="J170" s="102"/>
      <c r="K170" s="104"/>
      <c r="L170" s="105">
        <v>20201118</v>
      </c>
      <c r="M170" s="133"/>
    </row>
    <row r="171" ht="16" customHeight="1" spans="1:13">
      <c r="A171" s="102">
        <v>169</v>
      </c>
      <c r="B171" s="102" t="s">
        <v>13908</v>
      </c>
      <c r="C171" s="102" t="s">
        <v>14222</v>
      </c>
      <c r="D171" s="102" t="s">
        <v>14223</v>
      </c>
      <c r="E171" s="102" t="s">
        <v>15</v>
      </c>
      <c r="F171" s="102" t="s">
        <v>15</v>
      </c>
      <c r="G171" s="132" t="s">
        <v>16</v>
      </c>
      <c r="H171" s="128">
        <v>200</v>
      </c>
      <c r="I171" s="128">
        <v>200</v>
      </c>
      <c r="J171" s="102"/>
      <c r="K171" s="104"/>
      <c r="L171" s="105">
        <v>20201118</v>
      </c>
      <c r="M171" s="133"/>
    </row>
    <row r="172" ht="16" customHeight="1" spans="1:13">
      <c r="A172" s="102">
        <v>170</v>
      </c>
      <c r="B172" s="102" t="s">
        <v>13908</v>
      </c>
      <c r="C172" s="102" t="s">
        <v>14224</v>
      </c>
      <c r="D172" s="102" t="s">
        <v>14225</v>
      </c>
      <c r="E172" s="102" t="s">
        <v>15</v>
      </c>
      <c r="F172" s="102" t="s">
        <v>15</v>
      </c>
      <c r="G172" s="132" t="s">
        <v>16</v>
      </c>
      <c r="H172" s="128">
        <v>200</v>
      </c>
      <c r="I172" s="128">
        <v>200</v>
      </c>
      <c r="J172" s="102"/>
      <c r="K172" s="104"/>
      <c r="L172" s="105">
        <v>20201118</v>
      </c>
      <c r="M172" s="133"/>
    </row>
    <row r="173" ht="16" customHeight="1" spans="1:13">
      <c r="A173" s="132">
        <v>171</v>
      </c>
      <c r="B173" s="102" t="s">
        <v>13908</v>
      </c>
      <c r="C173" s="102" t="s">
        <v>14226</v>
      </c>
      <c r="D173" s="102" t="s">
        <v>14227</v>
      </c>
      <c r="E173" s="102" t="s">
        <v>15</v>
      </c>
      <c r="F173" s="102" t="s">
        <v>15</v>
      </c>
      <c r="G173" s="132" t="s">
        <v>16</v>
      </c>
      <c r="H173" s="128">
        <v>200</v>
      </c>
      <c r="I173" s="128">
        <v>200</v>
      </c>
      <c r="J173" s="102"/>
      <c r="K173" s="104"/>
      <c r="L173" s="105">
        <v>20201118</v>
      </c>
      <c r="M173" s="133"/>
    </row>
    <row r="174" ht="16" customHeight="1" spans="1:13">
      <c r="A174" s="132">
        <v>172</v>
      </c>
      <c r="B174" s="102" t="s">
        <v>13908</v>
      </c>
      <c r="C174" s="102" t="s">
        <v>14228</v>
      </c>
      <c r="D174" s="102" t="s">
        <v>14229</v>
      </c>
      <c r="E174" s="102" t="s">
        <v>15</v>
      </c>
      <c r="F174" s="102" t="s">
        <v>15</v>
      </c>
      <c r="G174" s="132" t="s">
        <v>16</v>
      </c>
      <c r="H174" s="128">
        <v>200</v>
      </c>
      <c r="I174" s="128">
        <v>200</v>
      </c>
      <c r="J174" s="102"/>
      <c r="K174" s="104"/>
      <c r="L174" s="105">
        <v>20201118</v>
      </c>
      <c r="M174" s="133"/>
    </row>
    <row r="175" ht="16" customHeight="1" spans="1:13">
      <c r="A175" s="102">
        <v>173</v>
      </c>
      <c r="B175" s="102" t="s">
        <v>13908</v>
      </c>
      <c r="C175" s="102" t="s">
        <v>14230</v>
      </c>
      <c r="D175" s="102" t="s">
        <v>14231</v>
      </c>
      <c r="E175" s="102" t="s">
        <v>15</v>
      </c>
      <c r="F175" s="102" t="s">
        <v>15</v>
      </c>
      <c r="G175" s="132" t="s">
        <v>16</v>
      </c>
      <c r="H175" s="128">
        <v>200</v>
      </c>
      <c r="I175" s="128">
        <v>200</v>
      </c>
      <c r="J175" s="102"/>
      <c r="K175" s="104"/>
      <c r="L175" s="105">
        <v>20201118</v>
      </c>
      <c r="M175" s="133"/>
    </row>
    <row r="176" ht="16" customHeight="1" spans="1:13">
      <c r="A176" s="102">
        <v>174</v>
      </c>
      <c r="B176" s="102" t="s">
        <v>13908</v>
      </c>
      <c r="C176" s="102" t="s">
        <v>14232</v>
      </c>
      <c r="D176" s="102" t="s">
        <v>14233</v>
      </c>
      <c r="E176" s="102" t="s">
        <v>15</v>
      </c>
      <c r="F176" s="102" t="s">
        <v>15</v>
      </c>
      <c r="G176" s="132" t="s">
        <v>16</v>
      </c>
      <c r="H176" s="128">
        <v>200</v>
      </c>
      <c r="I176" s="128">
        <v>200</v>
      </c>
      <c r="J176" s="102"/>
      <c r="K176" s="104"/>
      <c r="L176" s="105">
        <v>20201118</v>
      </c>
      <c r="M176" s="133"/>
    </row>
    <row r="177" ht="16" customHeight="1" spans="1:13">
      <c r="A177" s="102">
        <v>175</v>
      </c>
      <c r="B177" s="102" t="s">
        <v>13908</v>
      </c>
      <c r="C177" s="102" t="s">
        <v>14234</v>
      </c>
      <c r="D177" s="102" t="s">
        <v>14235</v>
      </c>
      <c r="E177" s="102" t="s">
        <v>15</v>
      </c>
      <c r="F177" s="102" t="s">
        <v>15</v>
      </c>
      <c r="G177" s="132" t="s">
        <v>16</v>
      </c>
      <c r="H177" s="128">
        <v>200</v>
      </c>
      <c r="I177" s="128">
        <v>200</v>
      </c>
      <c r="J177" s="102"/>
      <c r="K177" s="104"/>
      <c r="L177" s="105">
        <v>20201118</v>
      </c>
      <c r="M177" s="133"/>
    </row>
    <row r="178" ht="16" customHeight="1" spans="1:13">
      <c r="A178" s="132">
        <v>176</v>
      </c>
      <c r="B178" s="102" t="s">
        <v>13908</v>
      </c>
      <c r="C178" s="102" t="s">
        <v>14236</v>
      </c>
      <c r="D178" s="102" t="s">
        <v>14237</v>
      </c>
      <c r="E178" s="102" t="s">
        <v>15</v>
      </c>
      <c r="F178" s="102" t="s">
        <v>15</v>
      </c>
      <c r="G178" s="132" t="s">
        <v>16</v>
      </c>
      <c r="H178" s="128">
        <v>200</v>
      </c>
      <c r="I178" s="128">
        <v>200</v>
      </c>
      <c r="J178" s="102"/>
      <c r="K178" s="104"/>
      <c r="L178" s="105">
        <v>20201118</v>
      </c>
      <c r="M178" s="133"/>
    </row>
    <row r="179" ht="16" customHeight="1" spans="1:13">
      <c r="A179" s="132">
        <v>177</v>
      </c>
      <c r="B179" s="102" t="s">
        <v>13908</v>
      </c>
      <c r="C179" s="102" t="s">
        <v>14238</v>
      </c>
      <c r="D179" s="102" t="s">
        <v>14239</v>
      </c>
      <c r="E179" s="102" t="s">
        <v>15</v>
      </c>
      <c r="F179" s="102" t="s">
        <v>15</v>
      </c>
      <c r="G179" s="132" t="s">
        <v>16</v>
      </c>
      <c r="H179" s="128">
        <v>200</v>
      </c>
      <c r="I179" s="128">
        <v>200</v>
      </c>
      <c r="J179" s="102"/>
      <c r="K179" s="104"/>
      <c r="L179" s="105">
        <v>20201118</v>
      </c>
      <c r="M179" s="133"/>
    </row>
    <row r="180" ht="16" customHeight="1" spans="1:13">
      <c r="A180" s="102">
        <v>178</v>
      </c>
      <c r="B180" s="102" t="s">
        <v>13908</v>
      </c>
      <c r="C180" s="102" t="s">
        <v>14240</v>
      </c>
      <c r="D180" s="102" t="s">
        <v>14241</v>
      </c>
      <c r="E180" s="102" t="s">
        <v>15</v>
      </c>
      <c r="F180" s="102" t="s">
        <v>15</v>
      </c>
      <c r="G180" s="132" t="s">
        <v>16</v>
      </c>
      <c r="H180" s="128">
        <v>200</v>
      </c>
      <c r="I180" s="128">
        <v>200</v>
      </c>
      <c r="J180" s="102"/>
      <c r="K180" s="104"/>
      <c r="L180" s="105">
        <v>20201118</v>
      </c>
      <c r="M180" s="133"/>
    </row>
    <row r="181" ht="16" customHeight="1" spans="1:13">
      <c r="A181" s="102">
        <v>179</v>
      </c>
      <c r="B181" s="102" t="s">
        <v>13908</v>
      </c>
      <c r="C181" s="102" t="s">
        <v>14242</v>
      </c>
      <c r="D181" s="102" t="s">
        <v>14243</v>
      </c>
      <c r="E181" s="102" t="s">
        <v>15</v>
      </c>
      <c r="F181" s="102" t="s">
        <v>15</v>
      </c>
      <c r="G181" s="132" t="s">
        <v>16</v>
      </c>
      <c r="H181" s="128">
        <v>200</v>
      </c>
      <c r="I181" s="128">
        <v>200</v>
      </c>
      <c r="J181" s="102"/>
      <c r="K181" s="104"/>
      <c r="L181" s="105">
        <v>20201118</v>
      </c>
      <c r="M181" s="133"/>
    </row>
    <row r="182" ht="16" customHeight="1" spans="1:13">
      <c r="A182" s="102">
        <v>180</v>
      </c>
      <c r="B182" s="102" t="s">
        <v>13908</v>
      </c>
      <c r="C182" s="102" t="s">
        <v>14244</v>
      </c>
      <c r="D182" s="102" t="s">
        <v>14245</v>
      </c>
      <c r="E182" s="102" t="s">
        <v>15</v>
      </c>
      <c r="F182" s="102" t="s">
        <v>15</v>
      </c>
      <c r="G182" s="132" t="s">
        <v>16</v>
      </c>
      <c r="H182" s="128">
        <v>200</v>
      </c>
      <c r="I182" s="128">
        <v>200</v>
      </c>
      <c r="J182" s="102"/>
      <c r="K182" s="104"/>
      <c r="L182" s="105">
        <v>20201118</v>
      </c>
      <c r="M182" s="133"/>
    </row>
    <row r="183" ht="16" customHeight="1" spans="1:13">
      <c r="A183" s="132">
        <v>181</v>
      </c>
      <c r="B183" s="102" t="s">
        <v>13908</v>
      </c>
      <c r="C183" s="102" t="s">
        <v>14246</v>
      </c>
      <c r="D183" s="102" t="s">
        <v>14247</v>
      </c>
      <c r="E183" s="102" t="s">
        <v>15</v>
      </c>
      <c r="F183" s="102" t="s">
        <v>15</v>
      </c>
      <c r="G183" s="132" t="s">
        <v>16</v>
      </c>
      <c r="H183" s="128">
        <v>200</v>
      </c>
      <c r="I183" s="128">
        <v>200</v>
      </c>
      <c r="J183" s="102"/>
      <c r="K183" s="104"/>
      <c r="L183" s="105">
        <v>20201118</v>
      </c>
      <c r="M183" s="133"/>
    </row>
    <row r="184" ht="16" customHeight="1" spans="1:13">
      <c r="A184" s="132">
        <v>182</v>
      </c>
      <c r="B184" s="102" t="s">
        <v>13908</v>
      </c>
      <c r="C184" s="102" t="s">
        <v>14248</v>
      </c>
      <c r="D184" s="102" t="s">
        <v>14249</v>
      </c>
      <c r="E184" s="102" t="s">
        <v>15</v>
      </c>
      <c r="F184" s="102" t="s">
        <v>15</v>
      </c>
      <c r="G184" s="132" t="s">
        <v>16</v>
      </c>
      <c r="H184" s="128">
        <v>200</v>
      </c>
      <c r="I184" s="128">
        <v>200</v>
      </c>
      <c r="J184" s="102"/>
      <c r="K184" s="104"/>
      <c r="L184" s="105">
        <v>20201118</v>
      </c>
      <c r="M184" s="133"/>
    </row>
    <row r="185" ht="16" customHeight="1" spans="1:13">
      <c r="A185" s="102">
        <v>183</v>
      </c>
      <c r="B185" s="102" t="s">
        <v>13908</v>
      </c>
      <c r="C185" s="102" t="s">
        <v>14250</v>
      </c>
      <c r="D185" s="102" t="s">
        <v>14251</v>
      </c>
      <c r="E185" s="102" t="s">
        <v>15</v>
      </c>
      <c r="F185" s="102" t="s">
        <v>15</v>
      </c>
      <c r="G185" s="132" t="s">
        <v>16</v>
      </c>
      <c r="H185" s="128">
        <v>200</v>
      </c>
      <c r="I185" s="128">
        <v>200</v>
      </c>
      <c r="J185" s="102"/>
      <c r="K185" s="104"/>
      <c r="L185" s="105">
        <v>20201118</v>
      </c>
      <c r="M185" s="133"/>
    </row>
    <row r="186" ht="16" customHeight="1" spans="1:13">
      <c r="A186" s="102">
        <v>184</v>
      </c>
      <c r="B186" s="102" t="s">
        <v>13908</v>
      </c>
      <c r="C186" s="102" t="s">
        <v>14252</v>
      </c>
      <c r="D186" s="102" t="s">
        <v>14253</v>
      </c>
      <c r="E186" s="102" t="s">
        <v>15</v>
      </c>
      <c r="F186" s="102" t="s">
        <v>15</v>
      </c>
      <c r="G186" s="132" t="s">
        <v>16</v>
      </c>
      <c r="H186" s="128">
        <v>200</v>
      </c>
      <c r="I186" s="128">
        <v>200</v>
      </c>
      <c r="J186" s="102"/>
      <c r="K186" s="104"/>
      <c r="L186" s="105">
        <v>20201118</v>
      </c>
      <c r="M186" s="133"/>
    </row>
    <row r="187" ht="16" customHeight="1" spans="1:13">
      <c r="A187" s="102">
        <v>185</v>
      </c>
      <c r="B187" s="102" t="s">
        <v>13908</v>
      </c>
      <c r="C187" s="102" t="s">
        <v>14254</v>
      </c>
      <c r="D187" s="102" t="s">
        <v>14255</v>
      </c>
      <c r="E187" s="102" t="s">
        <v>15</v>
      </c>
      <c r="F187" s="102" t="s">
        <v>15</v>
      </c>
      <c r="G187" s="132" t="s">
        <v>16</v>
      </c>
      <c r="H187" s="128">
        <v>200</v>
      </c>
      <c r="I187" s="128">
        <v>200</v>
      </c>
      <c r="J187" s="102"/>
      <c r="K187" s="104"/>
      <c r="L187" s="105">
        <v>20201118</v>
      </c>
      <c r="M187" s="133"/>
    </row>
    <row r="188" ht="16" customHeight="1" spans="1:13">
      <c r="A188" s="132">
        <v>186</v>
      </c>
      <c r="B188" s="102" t="s">
        <v>13908</v>
      </c>
      <c r="C188" s="102" t="s">
        <v>14256</v>
      </c>
      <c r="D188" s="102" t="s">
        <v>14257</v>
      </c>
      <c r="E188" s="102" t="s">
        <v>15</v>
      </c>
      <c r="F188" s="102" t="s">
        <v>15</v>
      </c>
      <c r="G188" s="132" t="s">
        <v>16</v>
      </c>
      <c r="H188" s="128">
        <v>200</v>
      </c>
      <c r="I188" s="128">
        <v>200</v>
      </c>
      <c r="J188" s="102"/>
      <c r="K188" s="104"/>
      <c r="L188" s="105">
        <v>20201118</v>
      </c>
      <c r="M188" s="133"/>
    </row>
    <row r="189" ht="16" customHeight="1" spans="1:13">
      <c r="A189" s="132">
        <v>187</v>
      </c>
      <c r="B189" s="102" t="s">
        <v>13908</v>
      </c>
      <c r="C189" s="102" t="s">
        <v>14258</v>
      </c>
      <c r="D189" s="102" t="s">
        <v>14259</v>
      </c>
      <c r="E189" s="102" t="s">
        <v>15</v>
      </c>
      <c r="F189" s="102" t="s">
        <v>15</v>
      </c>
      <c r="G189" s="132" t="s">
        <v>16</v>
      </c>
      <c r="H189" s="128">
        <v>200</v>
      </c>
      <c r="I189" s="128">
        <v>200</v>
      </c>
      <c r="J189" s="102"/>
      <c r="K189" s="104"/>
      <c r="L189" s="105">
        <v>20201118</v>
      </c>
      <c r="M189" s="133"/>
    </row>
    <row r="190" ht="16" customHeight="1" spans="1:13">
      <c r="A190" s="102">
        <v>188</v>
      </c>
      <c r="B190" s="102" t="s">
        <v>13908</v>
      </c>
      <c r="C190" s="102" t="s">
        <v>14260</v>
      </c>
      <c r="D190" s="102" t="s">
        <v>14261</v>
      </c>
      <c r="E190" s="102" t="s">
        <v>15</v>
      </c>
      <c r="F190" s="102" t="s">
        <v>15</v>
      </c>
      <c r="G190" s="132" t="s">
        <v>16</v>
      </c>
      <c r="H190" s="128">
        <v>200</v>
      </c>
      <c r="I190" s="128">
        <v>200</v>
      </c>
      <c r="J190" s="102"/>
      <c r="K190" s="104"/>
      <c r="L190" s="105">
        <v>20201118</v>
      </c>
      <c r="M190" s="133"/>
    </row>
    <row r="191" ht="16" customHeight="1" spans="1:13">
      <c r="A191" s="102">
        <v>189</v>
      </c>
      <c r="B191" s="102" t="s">
        <v>13908</v>
      </c>
      <c r="C191" s="102" t="s">
        <v>14262</v>
      </c>
      <c r="D191" s="102" t="s">
        <v>14263</v>
      </c>
      <c r="E191" s="102" t="s">
        <v>15</v>
      </c>
      <c r="F191" s="102" t="s">
        <v>15</v>
      </c>
      <c r="G191" s="132" t="s">
        <v>16</v>
      </c>
      <c r="H191" s="128">
        <v>200</v>
      </c>
      <c r="I191" s="128">
        <v>200</v>
      </c>
      <c r="J191" s="102"/>
      <c r="K191" s="104"/>
      <c r="L191" s="105">
        <v>20201118</v>
      </c>
      <c r="M191" s="133"/>
    </row>
    <row r="192" ht="16" customHeight="1" spans="1:13">
      <c r="A192" s="102">
        <v>190</v>
      </c>
      <c r="B192" s="102" t="s">
        <v>13908</v>
      </c>
      <c r="C192" s="102" t="s">
        <v>2200</v>
      </c>
      <c r="D192" s="102" t="s">
        <v>14264</v>
      </c>
      <c r="E192" s="102" t="s">
        <v>15</v>
      </c>
      <c r="F192" s="102" t="s">
        <v>15</v>
      </c>
      <c r="G192" s="132" t="s">
        <v>16</v>
      </c>
      <c r="H192" s="128">
        <v>200</v>
      </c>
      <c r="I192" s="128">
        <v>200</v>
      </c>
      <c r="J192" s="102"/>
      <c r="K192" s="104"/>
      <c r="L192" s="105">
        <v>20201118</v>
      </c>
      <c r="M192" s="133"/>
    </row>
    <row r="193" ht="16" customHeight="1" spans="1:13">
      <c r="A193" s="132">
        <v>191</v>
      </c>
      <c r="B193" s="102" t="s">
        <v>13908</v>
      </c>
      <c r="C193" s="102" t="s">
        <v>14265</v>
      </c>
      <c r="D193" s="102" t="s">
        <v>14266</v>
      </c>
      <c r="E193" s="102" t="s">
        <v>15</v>
      </c>
      <c r="F193" s="102" t="s">
        <v>15</v>
      </c>
      <c r="G193" s="132" t="s">
        <v>16</v>
      </c>
      <c r="H193" s="128">
        <v>200</v>
      </c>
      <c r="I193" s="128">
        <v>200</v>
      </c>
      <c r="J193" s="102"/>
      <c r="K193" s="104"/>
      <c r="L193" s="105">
        <v>20201118</v>
      </c>
      <c r="M193" s="133"/>
    </row>
    <row r="194" ht="16" customHeight="1" spans="1:13">
      <c r="A194" s="132">
        <v>192</v>
      </c>
      <c r="B194" s="102" t="s">
        <v>13908</v>
      </c>
      <c r="C194" s="102" t="s">
        <v>8324</v>
      </c>
      <c r="D194" s="102" t="s">
        <v>14267</v>
      </c>
      <c r="E194" s="102" t="s">
        <v>15</v>
      </c>
      <c r="F194" s="102" t="s">
        <v>15</v>
      </c>
      <c r="G194" s="132" t="s">
        <v>16</v>
      </c>
      <c r="H194" s="128">
        <v>200</v>
      </c>
      <c r="I194" s="128">
        <v>200</v>
      </c>
      <c r="J194" s="102"/>
      <c r="K194" s="104"/>
      <c r="L194" s="105">
        <v>20201118</v>
      </c>
      <c r="M194" s="133"/>
    </row>
    <row r="195" ht="16" customHeight="1" spans="1:13">
      <c r="A195" s="102">
        <v>193</v>
      </c>
      <c r="B195" s="102" t="s">
        <v>13908</v>
      </c>
      <c r="C195" s="102" t="s">
        <v>14268</v>
      </c>
      <c r="D195" s="102" t="s">
        <v>14269</v>
      </c>
      <c r="E195" s="102" t="s">
        <v>15</v>
      </c>
      <c r="F195" s="102" t="s">
        <v>15</v>
      </c>
      <c r="G195" s="132" t="s">
        <v>16</v>
      </c>
      <c r="H195" s="128">
        <v>200</v>
      </c>
      <c r="I195" s="128">
        <v>200</v>
      </c>
      <c r="J195" s="102"/>
      <c r="K195" s="104"/>
      <c r="L195" s="105">
        <v>20201118</v>
      </c>
      <c r="M195" s="133"/>
    </row>
    <row r="196" ht="16" customHeight="1" spans="1:13">
      <c r="A196" s="102">
        <v>194</v>
      </c>
      <c r="B196" s="102" t="s">
        <v>13908</v>
      </c>
      <c r="C196" s="102" t="s">
        <v>14270</v>
      </c>
      <c r="D196" s="102" t="s">
        <v>14271</v>
      </c>
      <c r="E196" s="102" t="s">
        <v>15</v>
      </c>
      <c r="F196" s="102" t="s">
        <v>15</v>
      </c>
      <c r="G196" s="132" t="s">
        <v>16</v>
      </c>
      <c r="H196" s="128">
        <v>1000</v>
      </c>
      <c r="I196" s="128">
        <v>1000</v>
      </c>
      <c r="J196" s="102"/>
      <c r="K196" s="104"/>
      <c r="L196" s="105">
        <v>20201118</v>
      </c>
      <c r="M196" s="133"/>
    </row>
    <row r="197" ht="16" customHeight="1" spans="1:13">
      <c r="A197" s="102">
        <v>195</v>
      </c>
      <c r="B197" s="102" t="s">
        <v>13908</v>
      </c>
      <c r="C197" s="102" t="s">
        <v>14272</v>
      </c>
      <c r="D197" s="102" t="s">
        <v>14273</v>
      </c>
      <c r="E197" s="102" t="s">
        <v>15</v>
      </c>
      <c r="F197" s="102" t="s">
        <v>15</v>
      </c>
      <c r="G197" s="132" t="s">
        <v>16</v>
      </c>
      <c r="H197" s="128">
        <v>1000</v>
      </c>
      <c r="I197" s="128">
        <v>1000</v>
      </c>
      <c r="J197" s="102"/>
      <c r="K197" s="104"/>
      <c r="L197" s="105">
        <v>20201118</v>
      </c>
      <c r="M197" s="133"/>
    </row>
    <row r="198" ht="16" customHeight="1" spans="1:13">
      <c r="A198" s="132">
        <v>196</v>
      </c>
      <c r="B198" s="102" t="s">
        <v>13908</v>
      </c>
      <c r="C198" s="102" t="s">
        <v>14274</v>
      </c>
      <c r="D198" s="102" t="s">
        <v>14275</v>
      </c>
      <c r="E198" s="102" t="s">
        <v>15</v>
      </c>
      <c r="F198" s="102" t="s">
        <v>15</v>
      </c>
      <c r="G198" s="132" t="s">
        <v>16</v>
      </c>
      <c r="H198" s="128">
        <v>200</v>
      </c>
      <c r="I198" s="128">
        <v>200</v>
      </c>
      <c r="J198" s="102"/>
      <c r="K198" s="104"/>
      <c r="L198" s="105">
        <v>20201118</v>
      </c>
      <c r="M198" s="133"/>
    </row>
    <row r="199" ht="16" customHeight="1" spans="1:13">
      <c r="A199" s="132">
        <v>197</v>
      </c>
      <c r="B199" s="102" t="s">
        <v>13908</v>
      </c>
      <c r="C199" s="102" t="s">
        <v>14276</v>
      </c>
      <c r="D199" s="102" t="s">
        <v>14277</v>
      </c>
      <c r="E199" s="102" t="s">
        <v>15</v>
      </c>
      <c r="F199" s="102" t="s">
        <v>15</v>
      </c>
      <c r="G199" s="132" t="s">
        <v>16</v>
      </c>
      <c r="H199" s="128">
        <v>200</v>
      </c>
      <c r="I199" s="128">
        <v>200</v>
      </c>
      <c r="J199" s="102"/>
      <c r="K199" s="104"/>
      <c r="L199" s="105">
        <v>20201118</v>
      </c>
      <c r="M199" s="133"/>
    </row>
    <row r="200" ht="16" customHeight="1" spans="1:13">
      <c r="A200" s="102">
        <v>198</v>
      </c>
      <c r="B200" s="102" t="s">
        <v>13908</v>
      </c>
      <c r="C200" s="102" t="s">
        <v>14278</v>
      </c>
      <c r="D200" s="102" t="s">
        <v>14279</v>
      </c>
      <c r="E200" s="102" t="s">
        <v>15</v>
      </c>
      <c r="F200" s="102" t="s">
        <v>15</v>
      </c>
      <c r="G200" s="132" t="s">
        <v>16</v>
      </c>
      <c r="H200" s="128">
        <v>200</v>
      </c>
      <c r="I200" s="128">
        <v>200</v>
      </c>
      <c r="J200" s="102"/>
      <c r="K200" s="104"/>
      <c r="L200" s="105">
        <v>20201118</v>
      </c>
      <c r="M200" s="133"/>
    </row>
    <row r="201" ht="16" customHeight="1" spans="1:13">
      <c r="A201" s="102">
        <v>199</v>
      </c>
      <c r="B201" s="102" t="s">
        <v>13908</v>
      </c>
      <c r="C201" s="102" t="s">
        <v>14280</v>
      </c>
      <c r="D201" s="102" t="s">
        <v>14281</v>
      </c>
      <c r="E201" s="102" t="s">
        <v>15</v>
      </c>
      <c r="F201" s="102" t="s">
        <v>15</v>
      </c>
      <c r="G201" s="132" t="s">
        <v>16</v>
      </c>
      <c r="H201" s="128">
        <v>200</v>
      </c>
      <c r="I201" s="128">
        <v>200</v>
      </c>
      <c r="J201" s="102"/>
      <c r="K201" s="104"/>
      <c r="L201" s="105">
        <v>20201118</v>
      </c>
      <c r="M201" s="133"/>
    </row>
    <row r="202" ht="16" customHeight="1" spans="1:13">
      <c r="A202" s="102">
        <v>200</v>
      </c>
      <c r="B202" s="102" t="s">
        <v>13908</v>
      </c>
      <c r="C202" s="102" t="s">
        <v>2500</v>
      </c>
      <c r="D202" s="102" t="s">
        <v>14282</v>
      </c>
      <c r="E202" s="102" t="s">
        <v>15</v>
      </c>
      <c r="F202" s="102" t="s">
        <v>15</v>
      </c>
      <c r="G202" s="132" t="s">
        <v>16</v>
      </c>
      <c r="H202" s="128">
        <v>200</v>
      </c>
      <c r="I202" s="128">
        <v>200</v>
      </c>
      <c r="J202" s="102"/>
      <c r="K202" s="104"/>
      <c r="L202" s="105">
        <v>20201118</v>
      </c>
      <c r="M202" s="133"/>
    </row>
    <row r="203" ht="16" customHeight="1" spans="1:13">
      <c r="A203" s="132">
        <v>201</v>
      </c>
      <c r="B203" s="102" t="s">
        <v>13908</v>
      </c>
      <c r="C203" s="102" t="s">
        <v>14283</v>
      </c>
      <c r="D203" s="102" t="s">
        <v>14284</v>
      </c>
      <c r="E203" s="102" t="s">
        <v>15</v>
      </c>
      <c r="F203" s="102" t="s">
        <v>15</v>
      </c>
      <c r="G203" s="132" t="s">
        <v>16</v>
      </c>
      <c r="H203" s="128">
        <v>200</v>
      </c>
      <c r="I203" s="128">
        <v>200</v>
      </c>
      <c r="J203" s="102"/>
      <c r="K203" s="104"/>
      <c r="L203" s="105">
        <v>20201118</v>
      </c>
      <c r="M203" s="133"/>
    </row>
    <row r="204" ht="16" customHeight="1" spans="1:13">
      <c r="A204" s="132">
        <v>202</v>
      </c>
      <c r="B204" s="102" t="s">
        <v>13908</v>
      </c>
      <c r="C204" s="102" t="s">
        <v>14285</v>
      </c>
      <c r="D204" s="102" t="s">
        <v>14286</v>
      </c>
      <c r="E204" s="102" t="s">
        <v>15</v>
      </c>
      <c r="F204" s="102" t="s">
        <v>15</v>
      </c>
      <c r="G204" s="132" t="s">
        <v>16</v>
      </c>
      <c r="H204" s="128">
        <v>200</v>
      </c>
      <c r="I204" s="128">
        <v>200</v>
      </c>
      <c r="J204" s="102"/>
      <c r="K204" s="104"/>
      <c r="L204" s="105">
        <v>20201118</v>
      </c>
      <c r="M204" s="133"/>
    </row>
    <row r="205" ht="16" customHeight="1" spans="1:13">
      <c r="A205" s="102">
        <v>203</v>
      </c>
      <c r="B205" s="102" t="s">
        <v>13908</v>
      </c>
      <c r="C205" s="102" t="s">
        <v>14287</v>
      </c>
      <c r="D205" s="102" t="s">
        <v>14288</v>
      </c>
      <c r="E205" s="102" t="s">
        <v>15</v>
      </c>
      <c r="F205" s="102" t="s">
        <v>15</v>
      </c>
      <c r="G205" s="132" t="s">
        <v>16</v>
      </c>
      <c r="H205" s="128">
        <v>200</v>
      </c>
      <c r="I205" s="128">
        <v>200</v>
      </c>
      <c r="J205" s="102"/>
      <c r="K205" s="104"/>
      <c r="L205" s="105">
        <v>20201118</v>
      </c>
      <c r="M205" s="133"/>
    </row>
    <row r="206" ht="16" customHeight="1" spans="1:13">
      <c r="A206" s="102">
        <v>204</v>
      </c>
      <c r="B206" s="102" t="s">
        <v>13908</v>
      </c>
      <c r="C206" s="135" t="s">
        <v>11975</v>
      </c>
      <c r="D206" s="102" t="s">
        <v>14289</v>
      </c>
      <c r="E206" s="102" t="s">
        <v>15</v>
      </c>
      <c r="F206" s="102" t="s">
        <v>15</v>
      </c>
      <c r="G206" s="132" t="s">
        <v>16</v>
      </c>
      <c r="H206" s="128">
        <v>200</v>
      </c>
      <c r="I206" s="128">
        <v>200</v>
      </c>
      <c r="J206" s="102"/>
      <c r="K206" s="104"/>
      <c r="L206" s="105">
        <v>20201118</v>
      </c>
      <c r="M206" s="133"/>
    </row>
    <row r="207" ht="16" customHeight="1" spans="1:13">
      <c r="A207" s="102">
        <v>205</v>
      </c>
      <c r="B207" s="102" t="s">
        <v>13908</v>
      </c>
      <c r="C207" s="5" t="s">
        <v>14290</v>
      </c>
      <c r="D207" s="102" t="s">
        <v>14291</v>
      </c>
      <c r="E207" s="102" t="s">
        <v>15</v>
      </c>
      <c r="F207" s="102" t="s">
        <v>15</v>
      </c>
      <c r="G207" s="132" t="s">
        <v>16</v>
      </c>
      <c r="H207" s="128">
        <v>200</v>
      </c>
      <c r="I207" s="128">
        <v>200</v>
      </c>
      <c r="J207" s="102"/>
      <c r="K207" s="104"/>
      <c r="L207" s="105">
        <v>20201118</v>
      </c>
      <c r="M207" s="133"/>
    </row>
    <row r="208" ht="16" customHeight="1" spans="1:13">
      <c r="A208" s="132">
        <v>206</v>
      </c>
      <c r="B208" s="102" t="s">
        <v>13908</v>
      </c>
      <c r="C208" s="5" t="s">
        <v>2500</v>
      </c>
      <c r="D208" s="102" t="s">
        <v>14292</v>
      </c>
      <c r="E208" s="102" t="s">
        <v>15</v>
      </c>
      <c r="F208" s="102" t="s">
        <v>15</v>
      </c>
      <c r="G208" s="132" t="s">
        <v>16</v>
      </c>
      <c r="H208" s="128">
        <v>200</v>
      </c>
      <c r="I208" s="128">
        <v>200</v>
      </c>
      <c r="J208" s="102"/>
      <c r="K208" s="104"/>
      <c r="L208" s="105">
        <v>20201118</v>
      </c>
      <c r="M208" s="133"/>
    </row>
    <row r="209" ht="16" customHeight="1" spans="1:13">
      <c r="A209" s="132">
        <v>207</v>
      </c>
      <c r="B209" s="102" t="s">
        <v>13908</v>
      </c>
      <c r="C209" s="5" t="s">
        <v>14293</v>
      </c>
      <c r="D209" s="102" t="s">
        <v>14294</v>
      </c>
      <c r="E209" s="102" t="s">
        <v>15</v>
      </c>
      <c r="F209" s="102" t="s">
        <v>15</v>
      </c>
      <c r="G209" s="132" t="s">
        <v>16</v>
      </c>
      <c r="H209" s="128">
        <v>200</v>
      </c>
      <c r="I209" s="128">
        <v>200</v>
      </c>
      <c r="J209" s="102"/>
      <c r="K209" s="104"/>
      <c r="L209" s="105">
        <v>20201118</v>
      </c>
      <c r="M209" s="133"/>
    </row>
    <row r="210" ht="16" customHeight="1" spans="1:13">
      <c r="A210" s="102">
        <v>208</v>
      </c>
      <c r="B210" s="102" t="s">
        <v>13908</v>
      </c>
      <c r="C210" s="5" t="s">
        <v>14295</v>
      </c>
      <c r="D210" s="102" t="s">
        <v>14296</v>
      </c>
      <c r="E210" s="102" t="s">
        <v>15</v>
      </c>
      <c r="F210" s="102" t="s">
        <v>15</v>
      </c>
      <c r="G210" s="132" t="s">
        <v>16</v>
      </c>
      <c r="H210" s="128">
        <v>200</v>
      </c>
      <c r="I210" s="128">
        <v>200</v>
      </c>
      <c r="J210" s="102"/>
      <c r="K210" s="104"/>
      <c r="L210" s="105">
        <v>20201118</v>
      </c>
      <c r="M210" s="133"/>
    </row>
    <row r="211" ht="16" customHeight="1" spans="1:13">
      <c r="A211" s="102">
        <v>209</v>
      </c>
      <c r="B211" s="102" t="s">
        <v>13908</v>
      </c>
      <c r="C211" s="5" t="s">
        <v>14297</v>
      </c>
      <c r="D211" s="102" t="s">
        <v>14298</v>
      </c>
      <c r="E211" s="102" t="s">
        <v>15</v>
      </c>
      <c r="F211" s="102" t="s">
        <v>15</v>
      </c>
      <c r="G211" s="132" t="s">
        <v>16</v>
      </c>
      <c r="H211" s="128">
        <v>200</v>
      </c>
      <c r="I211" s="128">
        <v>200</v>
      </c>
      <c r="J211" s="102" t="s">
        <v>108</v>
      </c>
      <c r="K211" s="104"/>
      <c r="L211" s="105">
        <v>20201118</v>
      </c>
      <c r="M211" s="133"/>
    </row>
    <row r="212" ht="16" customHeight="1" spans="1:13">
      <c r="A212" s="102">
        <v>210</v>
      </c>
      <c r="B212" s="102" t="s">
        <v>13908</v>
      </c>
      <c r="C212" s="5" t="s">
        <v>14299</v>
      </c>
      <c r="D212" s="102" t="s">
        <v>14300</v>
      </c>
      <c r="E212" s="102" t="s">
        <v>15</v>
      </c>
      <c r="F212" s="102" t="s">
        <v>15</v>
      </c>
      <c r="G212" s="132" t="s">
        <v>16</v>
      </c>
      <c r="H212" s="128">
        <v>200</v>
      </c>
      <c r="I212" s="128">
        <v>200</v>
      </c>
      <c r="J212" s="102" t="s">
        <v>108</v>
      </c>
      <c r="K212" s="104"/>
      <c r="L212" s="105">
        <v>20201118</v>
      </c>
      <c r="M212" s="133"/>
    </row>
    <row r="213" ht="16" customHeight="1" spans="1:13">
      <c r="A213" s="132">
        <v>211</v>
      </c>
      <c r="B213" s="102" t="s">
        <v>13908</v>
      </c>
      <c r="C213" s="5" t="s">
        <v>14301</v>
      </c>
      <c r="D213" s="102" t="s">
        <v>14302</v>
      </c>
      <c r="E213" s="102" t="s">
        <v>15</v>
      </c>
      <c r="F213" s="102" t="s">
        <v>15</v>
      </c>
      <c r="G213" s="132" t="s">
        <v>16</v>
      </c>
      <c r="H213" s="128">
        <v>200</v>
      </c>
      <c r="I213" s="128">
        <v>200</v>
      </c>
      <c r="J213" s="102"/>
      <c r="K213" s="104"/>
      <c r="L213" s="105">
        <v>20201118</v>
      </c>
      <c r="M213" s="133"/>
    </row>
    <row r="214" ht="16" customHeight="1" spans="1:13">
      <c r="A214" s="132">
        <v>212</v>
      </c>
      <c r="B214" s="102" t="s">
        <v>13908</v>
      </c>
      <c r="C214" s="5" t="s">
        <v>14303</v>
      </c>
      <c r="D214" s="102" t="s">
        <v>14304</v>
      </c>
      <c r="E214" s="102" t="s">
        <v>15</v>
      </c>
      <c r="F214" s="102" t="s">
        <v>15</v>
      </c>
      <c r="G214" s="132" t="s">
        <v>16</v>
      </c>
      <c r="H214" s="128">
        <v>200</v>
      </c>
      <c r="I214" s="128">
        <v>200</v>
      </c>
      <c r="J214" s="102"/>
      <c r="K214" s="104"/>
      <c r="L214" s="105">
        <v>20201118</v>
      </c>
      <c r="M214" s="133"/>
    </row>
    <row r="215" ht="16" customHeight="1" spans="1:13">
      <c r="A215" s="102">
        <v>213</v>
      </c>
      <c r="B215" s="102" t="s">
        <v>13908</v>
      </c>
      <c r="C215" s="5" t="s">
        <v>5672</v>
      </c>
      <c r="D215" s="102" t="s">
        <v>14305</v>
      </c>
      <c r="E215" s="102" t="s">
        <v>15</v>
      </c>
      <c r="F215" s="102" t="s">
        <v>15</v>
      </c>
      <c r="G215" s="132" t="s">
        <v>16</v>
      </c>
      <c r="H215" s="128">
        <v>200</v>
      </c>
      <c r="I215" s="128">
        <v>200</v>
      </c>
      <c r="J215" s="102"/>
      <c r="K215" s="104"/>
      <c r="L215" s="105">
        <v>20201118</v>
      </c>
      <c r="M215" s="133"/>
    </row>
    <row r="216" ht="16" customHeight="1" spans="1:13">
      <c r="A216" s="102">
        <v>214</v>
      </c>
      <c r="B216" s="102" t="s">
        <v>13908</v>
      </c>
      <c r="C216" s="5" t="s">
        <v>14306</v>
      </c>
      <c r="D216" s="102" t="s">
        <v>14307</v>
      </c>
      <c r="E216" s="102" t="s">
        <v>15</v>
      </c>
      <c r="F216" s="102" t="s">
        <v>15</v>
      </c>
      <c r="G216" s="132" t="s">
        <v>16</v>
      </c>
      <c r="H216" s="128">
        <v>200</v>
      </c>
      <c r="I216" s="128">
        <v>200</v>
      </c>
      <c r="J216" s="102"/>
      <c r="K216" s="104"/>
      <c r="L216" s="105">
        <v>20201118</v>
      </c>
      <c r="M216" s="133"/>
    </row>
    <row r="217" ht="16" customHeight="1" spans="1:13">
      <c r="A217" s="102">
        <v>215</v>
      </c>
      <c r="B217" s="102" t="s">
        <v>13908</v>
      </c>
      <c r="C217" s="5" t="s">
        <v>14308</v>
      </c>
      <c r="D217" s="102" t="s">
        <v>14309</v>
      </c>
      <c r="E217" s="102" t="s">
        <v>15</v>
      </c>
      <c r="F217" s="102" t="s">
        <v>15</v>
      </c>
      <c r="G217" s="132" t="s">
        <v>16</v>
      </c>
      <c r="H217" s="128">
        <v>200</v>
      </c>
      <c r="I217" s="128">
        <v>200</v>
      </c>
      <c r="J217" s="102"/>
      <c r="K217" s="104"/>
      <c r="L217" s="105">
        <v>20201118</v>
      </c>
      <c r="M217" s="133"/>
    </row>
    <row r="218" ht="16" customHeight="1" spans="1:13">
      <c r="A218" s="132">
        <v>216</v>
      </c>
      <c r="B218" s="102" t="s">
        <v>13908</v>
      </c>
      <c r="C218" s="5" t="s">
        <v>14310</v>
      </c>
      <c r="D218" s="102" t="s">
        <v>14311</v>
      </c>
      <c r="E218" s="102" t="s">
        <v>15</v>
      </c>
      <c r="F218" s="102" t="s">
        <v>15</v>
      </c>
      <c r="G218" s="132" t="s">
        <v>16</v>
      </c>
      <c r="H218" s="128">
        <v>200</v>
      </c>
      <c r="I218" s="128">
        <v>200</v>
      </c>
      <c r="J218" s="102"/>
      <c r="K218" s="104"/>
      <c r="L218" s="105">
        <v>20201118</v>
      </c>
      <c r="M218" s="133"/>
    </row>
    <row r="219" ht="16" customHeight="1" spans="1:13">
      <c r="A219" s="132">
        <v>217</v>
      </c>
      <c r="B219" s="102" t="s">
        <v>13908</v>
      </c>
      <c r="C219" s="5" t="s">
        <v>14312</v>
      </c>
      <c r="D219" s="102" t="s">
        <v>14313</v>
      </c>
      <c r="E219" s="102" t="s">
        <v>15</v>
      </c>
      <c r="F219" s="102" t="s">
        <v>15</v>
      </c>
      <c r="G219" s="132" t="s">
        <v>16</v>
      </c>
      <c r="H219" s="128">
        <v>200</v>
      </c>
      <c r="I219" s="128">
        <v>200</v>
      </c>
      <c r="J219" s="102"/>
      <c r="K219" s="104"/>
      <c r="L219" s="105">
        <v>20201118</v>
      </c>
      <c r="M219" s="133"/>
    </row>
    <row r="220" ht="16" customHeight="1" spans="1:13">
      <c r="A220" s="102">
        <v>218</v>
      </c>
      <c r="B220" s="102" t="s">
        <v>13908</v>
      </c>
      <c r="C220" s="5" t="s">
        <v>14051</v>
      </c>
      <c r="D220" s="102" t="s">
        <v>14314</v>
      </c>
      <c r="E220" s="102" t="s">
        <v>15</v>
      </c>
      <c r="F220" s="102" t="s">
        <v>15</v>
      </c>
      <c r="G220" s="132" t="s">
        <v>16</v>
      </c>
      <c r="H220" s="128">
        <v>200</v>
      </c>
      <c r="I220" s="128">
        <v>200</v>
      </c>
      <c r="J220" s="102"/>
      <c r="K220" s="104"/>
      <c r="L220" s="105">
        <v>20201118</v>
      </c>
      <c r="M220" s="133"/>
    </row>
    <row r="221" ht="16" customHeight="1" spans="1:13">
      <c r="A221" s="102">
        <v>219</v>
      </c>
      <c r="B221" s="102" t="s">
        <v>13908</v>
      </c>
      <c r="C221" s="5" t="s">
        <v>14315</v>
      </c>
      <c r="D221" s="102" t="s">
        <v>14316</v>
      </c>
      <c r="E221" s="102" t="s">
        <v>15</v>
      </c>
      <c r="F221" s="102" t="s">
        <v>15</v>
      </c>
      <c r="G221" s="132" t="s">
        <v>16</v>
      </c>
      <c r="H221" s="128">
        <v>200</v>
      </c>
      <c r="I221" s="128">
        <v>200</v>
      </c>
      <c r="J221" s="102"/>
      <c r="K221" s="104"/>
      <c r="L221" s="105">
        <v>20201118</v>
      </c>
      <c r="M221" s="133"/>
    </row>
    <row r="222" ht="16" customHeight="1" spans="1:13">
      <c r="A222" s="102">
        <v>220</v>
      </c>
      <c r="B222" s="102" t="s">
        <v>13908</v>
      </c>
      <c r="C222" s="5" t="s">
        <v>14317</v>
      </c>
      <c r="D222" s="102" t="s">
        <v>14318</v>
      </c>
      <c r="E222" s="102" t="s">
        <v>15</v>
      </c>
      <c r="F222" s="102" t="s">
        <v>15</v>
      </c>
      <c r="G222" s="132" t="s">
        <v>16</v>
      </c>
      <c r="H222" s="128">
        <v>200</v>
      </c>
      <c r="I222" s="128">
        <v>200</v>
      </c>
      <c r="J222" s="102"/>
      <c r="K222" s="104"/>
      <c r="L222" s="105">
        <v>20201118</v>
      </c>
      <c r="M222" s="133"/>
    </row>
    <row r="223" ht="16" customHeight="1" spans="1:13">
      <c r="A223" s="132">
        <v>221</v>
      </c>
      <c r="B223" s="102" t="s">
        <v>13908</v>
      </c>
      <c r="C223" s="5" t="s">
        <v>7061</v>
      </c>
      <c r="D223" s="102" t="s">
        <v>14319</v>
      </c>
      <c r="E223" s="102" t="s">
        <v>15</v>
      </c>
      <c r="F223" s="102" t="s">
        <v>15</v>
      </c>
      <c r="G223" s="132" t="s">
        <v>16</v>
      </c>
      <c r="H223" s="128">
        <v>200</v>
      </c>
      <c r="I223" s="128">
        <v>200</v>
      </c>
      <c r="J223" s="102"/>
      <c r="K223" s="104"/>
      <c r="L223" s="105">
        <v>20201118</v>
      </c>
      <c r="M223" s="133"/>
    </row>
    <row r="224" ht="16" customHeight="1" spans="1:13">
      <c r="A224" s="132">
        <v>222</v>
      </c>
      <c r="B224" s="102" t="s">
        <v>13908</v>
      </c>
      <c r="C224" s="5" t="s">
        <v>14320</v>
      </c>
      <c r="D224" s="102" t="s">
        <v>14321</v>
      </c>
      <c r="E224" s="102" t="s">
        <v>15</v>
      </c>
      <c r="F224" s="102" t="s">
        <v>15</v>
      </c>
      <c r="G224" s="132" t="s">
        <v>16</v>
      </c>
      <c r="H224" s="128">
        <v>200</v>
      </c>
      <c r="I224" s="128">
        <v>200</v>
      </c>
      <c r="J224" s="102"/>
      <c r="K224" s="104"/>
      <c r="L224" s="105">
        <v>20201118</v>
      </c>
      <c r="M224" s="133"/>
    </row>
    <row r="225" ht="16" customHeight="1" spans="1:13">
      <c r="A225" s="102">
        <v>223</v>
      </c>
      <c r="B225" s="102" t="s">
        <v>13908</v>
      </c>
      <c r="C225" s="5" t="s">
        <v>14322</v>
      </c>
      <c r="D225" s="102" t="s">
        <v>14323</v>
      </c>
      <c r="E225" s="102" t="s">
        <v>15</v>
      </c>
      <c r="F225" s="102" t="s">
        <v>15</v>
      </c>
      <c r="G225" s="132" t="s">
        <v>16</v>
      </c>
      <c r="H225" s="128">
        <v>200</v>
      </c>
      <c r="I225" s="128">
        <v>200</v>
      </c>
      <c r="J225" s="102"/>
      <c r="K225" s="104"/>
      <c r="L225" s="105">
        <v>20201118</v>
      </c>
      <c r="M225" s="133"/>
    </row>
    <row r="226" ht="16" customHeight="1" spans="1:13">
      <c r="A226" s="102">
        <v>224</v>
      </c>
      <c r="B226" s="102" t="s">
        <v>13908</v>
      </c>
      <c r="C226" s="5" t="s">
        <v>14324</v>
      </c>
      <c r="D226" s="102" t="s">
        <v>14325</v>
      </c>
      <c r="E226" s="102" t="s">
        <v>15</v>
      </c>
      <c r="F226" s="102" t="s">
        <v>15</v>
      </c>
      <c r="G226" s="132" t="s">
        <v>16</v>
      </c>
      <c r="H226" s="128">
        <v>200</v>
      </c>
      <c r="I226" s="128">
        <v>200</v>
      </c>
      <c r="J226" s="102"/>
      <c r="K226" s="104"/>
      <c r="L226" s="105">
        <v>20201118</v>
      </c>
      <c r="M226" s="133"/>
    </row>
    <row r="227" ht="16" customHeight="1" spans="1:13">
      <c r="A227" s="102">
        <v>225</v>
      </c>
      <c r="B227" s="102" t="s">
        <v>13908</v>
      </c>
      <c r="C227" s="5" t="s">
        <v>14326</v>
      </c>
      <c r="D227" s="102" t="s">
        <v>14327</v>
      </c>
      <c r="E227" s="102" t="s">
        <v>15</v>
      </c>
      <c r="F227" s="102" t="s">
        <v>15</v>
      </c>
      <c r="G227" s="132" t="s">
        <v>16</v>
      </c>
      <c r="H227" s="128">
        <v>200</v>
      </c>
      <c r="I227" s="128">
        <v>200</v>
      </c>
      <c r="J227" s="102"/>
      <c r="K227" s="104"/>
      <c r="L227" s="105">
        <v>20201118</v>
      </c>
      <c r="M227" s="133"/>
    </row>
    <row r="228" ht="16" customHeight="1" spans="1:13">
      <c r="A228" s="132">
        <v>226</v>
      </c>
      <c r="B228" s="102" t="s">
        <v>13908</v>
      </c>
      <c r="C228" s="5" t="s">
        <v>14328</v>
      </c>
      <c r="D228" s="102" t="s">
        <v>14329</v>
      </c>
      <c r="E228" s="102" t="s">
        <v>15</v>
      </c>
      <c r="F228" s="102" t="s">
        <v>15</v>
      </c>
      <c r="G228" s="132" t="s">
        <v>16</v>
      </c>
      <c r="H228" s="128">
        <v>200</v>
      </c>
      <c r="I228" s="128">
        <v>200</v>
      </c>
      <c r="J228" s="102"/>
      <c r="K228" s="104"/>
      <c r="L228" s="105">
        <v>20201118</v>
      </c>
      <c r="M228" s="133"/>
    </row>
    <row r="229" ht="16" customHeight="1" spans="1:13">
      <c r="A229" s="132">
        <v>227</v>
      </c>
      <c r="B229" s="102" t="s">
        <v>13908</v>
      </c>
      <c r="C229" s="5" t="s">
        <v>14330</v>
      </c>
      <c r="D229" s="102" t="s">
        <v>14331</v>
      </c>
      <c r="E229" s="102" t="s">
        <v>15</v>
      </c>
      <c r="F229" s="102" t="s">
        <v>15</v>
      </c>
      <c r="G229" s="132" t="s">
        <v>16</v>
      </c>
      <c r="H229" s="128">
        <v>200</v>
      </c>
      <c r="I229" s="128">
        <v>200</v>
      </c>
      <c r="J229" s="102"/>
      <c r="K229" s="104"/>
      <c r="L229" s="105">
        <v>20201118</v>
      </c>
      <c r="M229" s="133"/>
    </row>
    <row r="230" ht="16" customHeight="1" spans="1:13">
      <c r="A230" s="102">
        <v>228</v>
      </c>
      <c r="B230" s="102" t="s">
        <v>13908</v>
      </c>
      <c r="C230" s="5" t="s">
        <v>14332</v>
      </c>
      <c r="D230" s="102" t="s">
        <v>14333</v>
      </c>
      <c r="E230" s="102" t="s">
        <v>15</v>
      </c>
      <c r="F230" s="102" t="s">
        <v>15</v>
      </c>
      <c r="G230" s="132" t="s">
        <v>16</v>
      </c>
      <c r="H230" s="128">
        <v>200</v>
      </c>
      <c r="I230" s="128">
        <v>200</v>
      </c>
      <c r="J230" s="102"/>
      <c r="K230" s="104"/>
      <c r="L230" s="105">
        <v>20201118</v>
      </c>
      <c r="M230" s="133"/>
    </row>
    <row r="231" ht="16" customHeight="1" spans="1:13">
      <c r="A231" s="102">
        <v>229</v>
      </c>
      <c r="B231" s="102" t="s">
        <v>13908</v>
      </c>
      <c r="C231" s="5" t="s">
        <v>14334</v>
      </c>
      <c r="D231" s="102" t="s">
        <v>14335</v>
      </c>
      <c r="E231" s="102" t="s">
        <v>15</v>
      </c>
      <c r="F231" s="102" t="s">
        <v>15</v>
      </c>
      <c r="G231" s="132" t="s">
        <v>16</v>
      </c>
      <c r="H231" s="128">
        <v>200</v>
      </c>
      <c r="I231" s="128">
        <v>200</v>
      </c>
      <c r="J231" s="102"/>
      <c r="K231" s="104"/>
      <c r="L231" s="105">
        <v>20201118</v>
      </c>
      <c r="M231" s="133"/>
    </row>
    <row r="232" ht="16" customHeight="1" spans="1:13">
      <c r="A232" s="102">
        <v>230</v>
      </c>
      <c r="B232" s="102" t="s">
        <v>13908</v>
      </c>
      <c r="C232" s="5" t="s">
        <v>14336</v>
      </c>
      <c r="D232" s="102" t="s">
        <v>14337</v>
      </c>
      <c r="E232" s="102" t="s">
        <v>15</v>
      </c>
      <c r="F232" s="102" t="s">
        <v>15</v>
      </c>
      <c r="G232" s="132" t="s">
        <v>16</v>
      </c>
      <c r="H232" s="128">
        <v>200</v>
      </c>
      <c r="I232" s="128">
        <v>200</v>
      </c>
      <c r="J232" s="102"/>
      <c r="K232" s="104"/>
      <c r="L232" s="105">
        <v>20201118</v>
      </c>
      <c r="M232" s="133"/>
    </row>
    <row r="233" ht="16" customHeight="1" spans="1:13">
      <c r="A233" s="132">
        <v>231</v>
      </c>
      <c r="B233" s="102" t="s">
        <v>13908</v>
      </c>
      <c r="C233" s="5" t="s">
        <v>14338</v>
      </c>
      <c r="D233" s="102" t="s">
        <v>14339</v>
      </c>
      <c r="E233" s="102" t="s">
        <v>15</v>
      </c>
      <c r="F233" s="102" t="s">
        <v>15</v>
      </c>
      <c r="G233" s="132" t="s">
        <v>16</v>
      </c>
      <c r="H233" s="128">
        <v>200</v>
      </c>
      <c r="I233" s="128">
        <v>200</v>
      </c>
      <c r="J233" s="102"/>
      <c r="K233" s="104"/>
      <c r="L233" s="105">
        <v>20201118</v>
      </c>
      <c r="M233" s="133"/>
    </row>
    <row r="234" ht="16" customHeight="1" spans="1:13">
      <c r="A234" s="132">
        <v>232</v>
      </c>
      <c r="B234" s="102" t="s">
        <v>13908</v>
      </c>
      <c r="C234" s="102" t="s">
        <v>14340</v>
      </c>
      <c r="D234" s="102" t="s">
        <v>14341</v>
      </c>
      <c r="E234" s="102" t="s">
        <v>15</v>
      </c>
      <c r="F234" s="102" t="s">
        <v>15</v>
      </c>
      <c r="G234" s="132" t="s">
        <v>16</v>
      </c>
      <c r="H234" s="128">
        <v>200</v>
      </c>
      <c r="I234" s="128">
        <v>200</v>
      </c>
      <c r="J234" s="102"/>
      <c r="K234" s="104"/>
      <c r="L234" s="105">
        <v>20201118</v>
      </c>
      <c r="M234" s="133"/>
    </row>
    <row r="235" ht="16" customHeight="1" spans="1:13">
      <c r="A235" s="102">
        <v>233</v>
      </c>
      <c r="B235" s="102" t="s">
        <v>13908</v>
      </c>
      <c r="C235" s="102" t="s">
        <v>14342</v>
      </c>
      <c r="D235" s="102" t="s">
        <v>14343</v>
      </c>
      <c r="E235" s="102" t="s">
        <v>15</v>
      </c>
      <c r="F235" s="102" t="s">
        <v>15</v>
      </c>
      <c r="G235" s="132" t="s">
        <v>16</v>
      </c>
      <c r="H235" s="128">
        <v>200</v>
      </c>
      <c r="I235" s="128">
        <v>200</v>
      </c>
      <c r="J235" s="102"/>
      <c r="K235" s="104"/>
      <c r="L235" s="105">
        <v>20201118</v>
      </c>
      <c r="M235" s="133"/>
    </row>
    <row r="236" ht="16" customHeight="1" spans="1:13">
      <c r="A236" s="102">
        <v>234</v>
      </c>
      <c r="B236" s="102" t="s">
        <v>13908</v>
      </c>
      <c r="C236" s="102" t="s">
        <v>14344</v>
      </c>
      <c r="D236" s="102" t="s">
        <v>14345</v>
      </c>
      <c r="E236" s="102" t="s">
        <v>15</v>
      </c>
      <c r="F236" s="102" t="s">
        <v>15</v>
      </c>
      <c r="G236" s="132" t="s">
        <v>16</v>
      </c>
      <c r="H236" s="128">
        <v>200</v>
      </c>
      <c r="I236" s="128">
        <v>200</v>
      </c>
      <c r="J236" s="102" t="s">
        <v>108</v>
      </c>
      <c r="K236" s="104"/>
      <c r="L236" s="105">
        <v>20201118</v>
      </c>
      <c r="M236" s="133"/>
    </row>
    <row r="237" ht="16" customHeight="1" spans="1:13">
      <c r="A237" s="102">
        <v>235</v>
      </c>
      <c r="B237" s="102" t="s">
        <v>13908</v>
      </c>
      <c r="C237" s="102" t="s">
        <v>6733</v>
      </c>
      <c r="D237" s="102" t="s">
        <v>14346</v>
      </c>
      <c r="E237" s="102" t="s">
        <v>15</v>
      </c>
      <c r="F237" s="102" t="s">
        <v>15</v>
      </c>
      <c r="G237" s="132" t="s">
        <v>16</v>
      </c>
      <c r="H237" s="128">
        <v>200</v>
      </c>
      <c r="I237" s="128">
        <v>200</v>
      </c>
      <c r="J237" s="102" t="s">
        <v>108</v>
      </c>
      <c r="K237" s="104"/>
      <c r="L237" s="105">
        <v>20201118</v>
      </c>
      <c r="M237" s="133"/>
    </row>
    <row r="238" ht="16" customHeight="1" spans="1:13">
      <c r="A238" s="132">
        <v>236</v>
      </c>
      <c r="B238" s="102" t="s">
        <v>13908</v>
      </c>
      <c r="C238" s="102" t="s">
        <v>14347</v>
      </c>
      <c r="D238" s="102" t="s">
        <v>14348</v>
      </c>
      <c r="E238" s="102" t="s">
        <v>15</v>
      </c>
      <c r="F238" s="102" t="s">
        <v>15</v>
      </c>
      <c r="G238" s="132" t="s">
        <v>16</v>
      </c>
      <c r="H238" s="128">
        <v>200</v>
      </c>
      <c r="I238" s="128">
        <v>200</v>
      </c>
      <c r="J238" s="102" t="s">
        <v>108</v>
      </c>
      <c r="K238" s="104"/>
      <c r="L238" s="105">
        <v>20201118</v>
      </c>
      <c r="M238" s="133"/>
    </row>
    <row r="239" ht="16" customHeight="1" spans="1:13">
      <c r="A239" s="132">
        <v>237</v>
      </c>
      <c r="B239" s="102" t="s">
        <v>13908</v>
      </c>
      <c r="C239" s="102" t="s">
        <v>14349</v>
      </c>
      <c r="D239" s="102" t="s">
        <v>14350</v>
      </c>
      <c r="E239" s="102" t="s">
        <v>15</v>
      </c>
      <c r="F239" s="102" t="s">
        <v>15</v>
      </c>
      <c r="G239" s="132" t="s">
        <v>16</v>
      </c>
      <c r="H239" s="128">
        <v>200</v>
      </c>
      <c r="I239" s="128">
        <v>200</v>
      </c>
      <c r="J239" s="102"/>
      <c r="K239" s="104"/>
      <c r="L239" s="105">
        <v>20201118</v>
      </c>
      <c r="M239" s="133"/>
    </row>
    <row r="240" ht="16" customHeight="1" spans="1:13">
      <c r="A240" s="102">
        <v>238</v>
      </c>
      <c r="B240" s="102" t="s">
        <v>13908</v>
      </c>
      <c r="C240" s="102" t="s">
        <v>14351</v>
      </c>
      <c r="D240" s="102" t="s">
        <v>14352</v>
      </c>
      <c r="E240" s="102" t="s">
        <v>15</v>
      </c>
      <c r="F240" s="102" t="s">
        <v>15</v>
      </c>
      <c r="G240" s="132" t="s">
        <v>16</v>
      </c>
      <c r="H240" s="128">
        <v>500</v>
      </c>
      <c r="I240" s="128">
        <v>500</v>
      </c>
      <c r="J240" s="102"/>
      <c r="K240" s="104"/>
      <c r="L240" s="105">
        <v>20201118</v>
      </c>
      <c r="M240" s="133"/>
    </row>
    <row r="241" ht="16" customHeight="1" spans="1:13">
      <c r="A241" s="102">
        <v>239</v>
      </c>
      <c r="B241" s="102" t="s">
        <v>13908</v>
      </c>
      <c r="C241" s="102" t="s">
        <v>10777</v>
      </c>
      <c r="D241" s="102" t="s">
        <v>14353</v>
      </c>
      <c r="E241" s="102" t="s">
        <v>15</v>
      </c>
      <c r="F241" s="102" t="s">
        <v>15</v>
      </c>
      <c r="G241" s="132" t="s">
        <v>16</v>
      </c>
      <c r="H241" s="128">
        <v>500</v>
      </c>
      <c r="I241" s="128">
        <v>500</v>
      </c>
      <c r="J241" s="102"/>
      <c r="K241" s="104"/>
      <c r="L241" s="105">
        <v>20201118</v>
      </c>
      <c r="M241" s="133"/>
    </row>
    <row r="242" ht="16" customHeight="1" spans="1:13">
      <c r="A242" s="102">
        <v>240</v>
      </c>
      <c r="B242" s="102" t="s">
        <v>13908</v>
      </c>
      <c r="C242" s="102" t="s">
        <v>13790</v>
      </c>
      <c r="D242" s="102" t="s">
        <v>14354</v>
      </c>
      <c r="E242" s="102" t="s">
        <v>15</v>
      </c>
      <c r="F242" s="102" t="s">
        <v>15</v>
      </c>
      <c r="G242" s="132" t="s">
        <v>16</v>
      </c>
      <c r="H242" s="128">
        <v>500</v>
      </c>
      <c r="I242" s="128">
        <v>500</v>
      </c>
      <c r="J242" s="102"/>
      <c r="K242" s="104"/>
      <c r="L242" s="105">
        <v>20201118</v>
      </c>
      <c r="M242" s="133"/>
    </row>
    <row r="243" ht="16" customHeight="1" spans="1:13">
      <c r="A243" s="132">
        <v>241</v>
      </c>
      <c r="B243" s="102" t="s">
        <v>13908</v>
      </c>
      <c r="C243" s="102" t="s">
        <v>14355</v>
      </c>
      <c r="D243" s="102" t="s">
        <v>14356</v>
      </c>
      <c r="E243" s="102" t="s">
        <v>15</v>
      </c>
      <c r="F243" s="102" t="s">
        <v>15</v>
      </c>
      <c r="G243" s="132" t="s">
        <v>16</v>
      </c>
      <c r="H243" s="128">
        <v>200</v>
      </c>
      <c r="I243" s="128">
        <v>200</v>
      </c>
      <c r="J243" s="102"/>
      <c r="K243" s="104"/>
      <c r="L243" s="105">
        <v>20201118</v>
      </c>
      <c r="M243" s="133"/>
    </row>
    <row r="244" ht="16" customHeight="1" spans="1:13">
      <c r="A244" s="132">
        <v>242</v>
      </c>
      <c r="B244" s="102" t="s">
        <v>13908</v>
      </c>
      <c r="C244" s="102" t="s">
        <v>14357</v>
      </c>
      <c r="D244" s="102" t="s">
        <v>14358</v>
      </c>
      <c r="E244" s="102" t="s">
        <v>15</v>
      </c>
      <c r="F244" s="102" t="s">
        <v>15</v>
      </c>
      <c r="G244" s="132" t="s">
        <v>16</v>
      </c>
      <c r="H244" s="128">
        <v>200</v>
      </c>
      <c r="I244" s="128">
        <v>200</v>
      </c>
      <c r="J244" s="102"/>
      <c r="K244" s="104"/>
      <c r="L244" s="105">
        <v>20201118</v>
      </c>
      <c r="M244" s="133"/>
    </row>
    <row r="245" ht="16" customHeight="1" spans="1:13">
      <c r="A245" s="102">
        <v>243</v>
      </c>
      <c r="B245" s="102" t="s">
        <v>13908</v>
      </c>
      <c r="C245" s="102" t="s">
        <v>14359</v>
      </c>
      <c r="D245" s="102" t="s">
        <v>14360</v>
      </c>
      <c r="E245" s="102" t="s">
        <v>15</v>
      </c>
      <c r="F245" s="102" t="s">
        <v>15</v>
      </c>
      <c r="G245" s="132" t="s">
        <v>16</v>
      </c>
      <c r="H245" s="128">
        <v>200</v>
      </c>
      <c r="I245" s="128">
        <v>200</v>
      </c>
      <c r="J245" s="102"/>
      <c r="K245" s="104"/>
      <c r="L245" s="105">
        <v>20201118</v>
      </c>
      <c r="M245" s="133"/>
    </row>
    <row r="246" ht="16" customHeight="1" spans="1:13">
      <c r="A246" s="102">
        <v>244</v>
      </c>
      <c r="B246" s="102" t="s">
        <v>13908</v>
      </c>
      <c r="C246" s="102" t="s">
        <v>5062</v>
      </c>
      <c r="D246" s="102" t="s">
        <v>14361</v>
      </c>
      <c r="E246" s="102" t="s">
        <v>15</v>
      </c>
      <c r="F246" s="102" t="s">
        <v>15</v>
      </c>
      <c r="G246" s="132" t="s">
        <v>16</v>
      </c>
      <c r="H246" s="128">
        <v>200</v>
      </c>
      <c r="I246" s="128">
        <v>200</v>
      </c>
      <c r="J246" s="102"/>
      <c r="K246" s="104"/>
      <c r="L246" s="105">
        <v>20201118</v>
      </c>
      <c r="M246" s="133"/>
    </row>
    <row r="247" ht="16" customHeight="1" spans="1:13">
      <c r="A247" s="102">
        <v>245</v>
      </c>
      <c r="B247" s="102" t="s">
        <v>13908</v>
      </c>
      <c r="C247" s="102" t="s">
        <v>14362</v>
      </c>
      <c r="D247" s="102" t="s">
        <v>14363</v>
      </c>
      <c r="E247" s="102" t="s">
        <v>15</v>
      </c>
      <c r="F247" s="102" t="s">
        <v>15</v>
      </c>
      <c r="G247" s="132" t="s">
        <v>16</v>
      </c>
      <c r="H247" s="128">
        <v>200</v>
      </c>
      <c r="I247" s="128">
        <v>200</v>
      </c>
      <c r="J247" s="102"/>
      <c r="K247" s="104"/>
      <c r="L247" s="105">
        <v>20201118</v>
      </c>
      <c r="M247" s="133"/>
    </row>
    <row r="248" ht="16" customHeight="1" spans="1:13">
      <c r="A248" s="132">
        <v>246</v>
      </c>
      <c r="B248" s="102" t="s">
        <v>13908</v>
      </c>
      <c r="C248" s="102" t="s">
        <v>14364</v>
      </c>
      <c r="D248" s="102" t="s">
        <v>14365</v>
      </c>
      <c r="E248" s="102" t="s">
        <v>15</v>
      </c>
      <c r="F248" s="102" t="s">
        <v>15</v>
      </c>
      <c r="G248" s="132" t="s">
        <v>16</v>
      </c>
      <c r="H248" s="128">
        <v>200</v>
      </c>
      <c r="I248" s="128">
        <v>200</v>
      </c>
      <c r="J248" s="102"/>
      <c r="K248" s="104"/>
      <c r="L248" s="105">
        <v>20201118</v>
      </c>
      <c r="M248" s="133"/>
    </row>
    <row r="249" ht="16" customHeight="1" spans="1:13">
      <c r="A249" s="132">
        <v>247</v>
      </c>
      <c r="B249" s="102" t="s">
        <v>13908</v>
      </c>
      <c r="C249" s="102" t="s">
        <v>14366</v>
      </c>
      <c r="D249" s="102" t="s">
        <v>14367</v>
      </c>
      <c r="E249" s="102" t="s">
        <v>15</v>
      </c>
      <c r="F249" s="102" t="s">
        <v>15</v>
      </c>
      <c r="G249" s="132" t="s">
        <v>16</v>
      </c>
      <c r="H249" s="128">
        <v>200</v>
      </c>
      <c r="I249" s="128">
        <v>200</v>
      </c>
      <c r="J249" s="102"/>
      <c r="K249" s="104"/>
      <c r="L249" s="105">
        <v>20201118</v>
      </c>
      <c r="M249" s="133"/>
    </row>
    <row r="250" ht="16" customHeight="1" spans="1:13">
      <c r="A250" s="102">
        <v>248</v>
      </c>
      <c r="B250" s="102" t="s">
        <v>13908</v>
      </c>
      <c r="C250" s="102" t="s">
        <v>14368</v>
      </c>
      <c r="D250" s="102" t="s">
        <v>14369</v>
      </c>
      <c r="E250" s="102" t="s">
        <v>15</v>
      </c>
      <c r="F250" s="102" t="s">
        <v>15</v>
      </c>
      <c r="G250" s="132" t="s">
        <v>16</v>
      </c>
      <c r="H250" s="128">
        <v>200</v>
      </c>
      <c r="I250" s="128">
        <v>200</v>
      </c>
      <c r="J250" s="102"/>
      <c r="K250" s="104"/>
      <c r="L250" s="105">
        <v>20201118</v>
      </c>
      <c r="M250" s="133"/>
    </row>
    <row r="251" ht="16" customHeight="1" spans="1:13">
      <c r="A251" s="102">
        <v>249</v>
      </c>
      <c r="B251" s="102" t="s">
        <v>13908</v>
      </c>
      <c r="C251" s="102" t="s">
        <v>14370</v>
      </c>
      <c r="D251" s="102" t="s">
        <v>14371</v>
      </c>
      <c r="E251" s="102" t="s">
        <v>15</v>
      </c>
      <c r="F251" s="102" t="s">
        <v>15</v>
      </c>
      <c r="G251" s="132" t="s">
        <v>16</v>
      </c>
      <c r="H251" s="128">
        <v>200</v>
      </c>
      <c r="I251" s="128">
        <v>200</v>
      </c>
      <c r="J251" s="102"/>
      <c r="K251" s="104"/>
      <c r="L251" s="105">
        <v>20201118</v>
      </c>
      <c r="M251" s="133"/>
    </row>
    <row r="252" ht="16" customHeight="1" spans="1:13">
      <c r="A252" s="102">
        <v>250</v>
      </c>
      <c r="B252" s="102" t="s">
        <v>13908</v>
      </c>
      <c r="C252" s="102" t="s">
        <v>14372</v>
      </c>
      <c r="D252" s="102" t="s">
        <v>14373</v>
      </c>
      <c r="E252" s="102" t="s">
        <v>15</v>
      </c>
      <c r="F252" s="102" t="s">
        <v>15</v>
      </c>
      <c r="G252" s="132" t="s">
        <v>16</v>
      </c>
      <c r="H252" s="128">
        <v>200</v>
      </c>
      <c r="I252" s="128">
        <v>200</v>
      </c>
      <c r="J252" s="102"/>
      <c r="K252" s="104"/>
      <c r="L252" s="105">
        <v>20201118</v>
      </c>
      <c r="M252" s="133"/>
    </row>
    <row r="253" ht="16" customHeight="1" spans="1:13">
      <c r="A253" s="132">
        <v>251</v>
      </c>
      <c r="B253" s="102" t="s">
        <v>13908</v>
      </c>
      <c r="C253" s="102" t="s">
        <v>14374</v>
      </c>
      <c r="D253" s="102" t="s">
        <v>14375</v>
      </c>
      <c r="E253" s="102" t="s">
        <v>15</v>
      </c>
      <c r="F253" s="102" t="s">
        <v>15</v>
      </c>
      <c r="G253" s="132" t="s">
        <v>16</v>
      </c>
      <c r="H253" s="128">
        <v>200</v>
      </c>
      <c r="I253" s="128">
        <v>200</v>
      </c>
      <c r="J253" s="102"/>
      <c r="K253" s="104"/>
      <c r="L253" s="105">
        <v>20201118</v>
      </c>
      <c r="M253" s="133"/>
    </row>
    <row r="254" ht="16" customHeight="1" spans="1:13">
      <c r="A254" s="132">
        <v>252</v>
      </c>
      <c r="B254" s="102" t="s">
        <v>13908</v>
      </c>
      <c r="C254" s="102" t="s">
        <v>14376</v>
      </c>
      <c r="D254" s="102" t="s">
        <v>14377</v>
      </c>
      <c r="E254" s="102" t="s">
        <v>15</v>
      </c>
      <c r="F254" s="102" t="s">
        <v>15</v>
      </c>
      <c r="G254" s="132" t="s">
        <v>16</v>
      </c>
      <c r="H254" s="128">
        <v>200</v>
      </c>
      <c r="I254" s="128">
        <v>200</v>
      </c>
      <c r="J254" s="102"/>
      <c r="K254" s="104"/>
      <c r="L254" s="105">
        <v>20201118</v>
      </c>
      <c r="M254" s="133"/>
    </row>
    <row r="255" ht="16" customHeight="1" spans="1:13">
      <c r="A255" s="102">
        <v>253</v>
      </c>
      <c r="B255" s="102" t="s">
        <v>13908</v>
      </c>
      <c r="C255" s="102" t="s">
        <v>4140</v>
      </c>
      <c r="D255" s="102" t="s">
        <v>14378</v>
      </c>
      <c r="E255" s="102" t="s">
        <v>15</v>
      </c>
      <c r="F255" s="102" t="s">
        <v>15</v>
      </c>
      <c r="G255" s="132" t="s">
        <v>16</v>
      </c>
      <c r="H255" s="128">
        <v>200</v>
      </c>
      <c r="I255" s="128">
        <v>200</v>
      </c>
      <c r="J255" s="102"/>
      <c r="K255" s="104"/>
      <c r="L255" s="105">
        <v>20201118</v>
      </c>
      <c r="M255" s="133"/>
    </row>
    <row r="256" ht="16" customHeight="1" spans="1:13">
      <c r="A256" s="102">
        <v>254</v>
      </c>
      <c r="B256" s="102" t="s">
        <v>13908</v>
      </c>
      <c r="C256" s="102" t="s">
        <v>14379</v>
      </c>
      <c r="D256" s="102" t="s">
        <v>14380</v>
      </c>
      <c r="E256" s="102" t="s">
        <v>15</v>
      </c>
      <c r="F256" s="102" t="s">
        <v>15</v>
      </c>
      <c r="G256" s="132" t="s">
        <v>16</v>
      </c>
      <c r="H256" s="128">
        <v>200</v>
      </c>
      <c r="I256" s="128">
        <v>200</v>
      </c>
      <c r="J256" s="102"/>
      <c r="K256" s="104"/>
      <c r="L256" s="105">
        <v>20201118</v>
      </c>
      <c r="M256" s="133"/>
    </row>
    <row r="257" ht="16" customHeight="1" spans="1:13">
      <c r="A257" s="102">
        <v>255</v>
      </c>
      <c r="B257" s="102" t="s">
        <v>13908</v>
      </c>
      <c r="C257" s="102" t="s">
        <v>14381</v>
      </c>
      <c r="D257" s="102" t="s">
        <v>14382</v>
      </c>
      <c r="E257" s="102" t="s">
        <v>15</v>
      </c>
      <c r="F257" s="102" t="s">
        <v>15</v>
      </c>
      <c r="G257" s="132" t="s">
        <v>16</v>
      </c>
      <c r="H257" s="128">
        <v>200</v>
      </c>
      <c r="I257" s="128">
        <v>200</v>
      </c>
      <c r="J257" s="102"/>
      <c r="K257" s="104"/>
      <c r="L257" s="105">
        <v>20201118</v>
      </c>
      <c r="M257" s="133"/>
    </row>
    <row r="258" ht="16" customHeight="1" spans="1:13">
      <c r="A258" s="132">
        <v>256</v>
      </c>
      <c r="B258" s="102" t="s">
        <v>13908</v>
      </c>
      <c r="C258" s="102" t="s">
        <v>14383</v>
      </c>
      <c r="D258" s="102" t="s">
        <v>14384</v>
      </c>
      <c r="E258" s="102" t="s">
        <v>15</v>
      </c>
      <c r="F258" s="102" t="s">
        <v>15</v>
      </c>
      <c r="G258" s="132" t="s">
        <v>16</v>
      </c>
      <c r="H258" s="128">
        <v>200</v>
      </c>
      <c r="I258" s="128">
        <v>200</v>
      </c>
      <c r="J258" s="102"/>
      <c r="K258" s="104"/>
      <c r="L258" s="105">
        <v>20201118</v>
      </c>
      <c r="M258" s="133"/>
    </row>
    <row r="259" s="98" customFormat="1" ht="16" customHeight="1" spans="1:13">
      <c r="A259" s="14">
        <v>257</v>
      </c>
      <c r="B259" s="5" t="s">
        <v>13908</v>
      </c>
      <c r="C259" s="5" t="s">
        <v>7475</v>
      </c>
      <c r="D259" s="5" t="s">
        <v>14385</v>
      </c>
      <c r="E259" s="5" t="s">
        <v>15</v>
      </c>
      <c r="F259" s="5" t="s">
        <v>15</v>
      </c>
      <c r="G259" s="106" t="s">
        <v>295</v>
      </c>
      <c r="H259" s="17">
        <v>200</v>
      </c>
      <c r="I259" s="17">
        <v>200</v>
      </c>
      <c r="J259" s="5"/>
      <c r="K259" s="10"/>
      <c r="L259" s="105">
        <v>20201118</v>
      </c>
      <c r="M259" s="136"/>
    </row>
    <row r="260" s="98" customFormat="1" ht="16" customHeight="1" spans="1:13">
      <c r="A260" s="5">
        <v>258</v>
      </c>
      <c r="B260" s="5" t="s">
        <v>13908</v>
      </c>
      <c r="C260" s="5" t="s">
        <v>3054</v>
      </c>
      <c r="D260" s="5" t="s">
        <v>14386</v>
      </c>
      <c r="E260" s="5" t="s">
        <v>15</v>
      </c>
      <c r="F260" s="5" t="s">
        <v>15</v>
      </c>
      <c r="G260" s="106" t="s">
        <v>295</v>
      </c>
      <c r="H260" s="17">
        <v>200</v>
      </c>
      <c r="I260" s="17">
        <v>200</v>
      </c>
      <c r="J260" s="5"/>
      <c r="K260" s="10"/>
      <c r="L260" s="105">
        <v>20201118</v>
      </c>
      <c r="M260" s="136"/>
    </row>
    <row r="261" s="98" customFormat="1" ht="16" customHeight="1" spans="1:13">
      <c r="A261" s="5">
        <v>259</v>
      </c>
      <c r="B261" s="5" t="s">
        <v>13908</v>
      </c>
      <c r="C261" s="5" t="s">
        <v>14387</v>
      </c>
      <c r="D261" s="5" t="s">
        <v>14388</v>
      </c>
      <c r="E261" s="5" t="s">
        <v>15</v>
      </c>
      <c r="F261" s="5" t="s">
        <v>15</v>
      </c>
      <c r="G261" s="106" t="s">
        <v>295</v>
      </c>
      <c r="H261" s="17">
        <v>500</v>
      </c>
      <c r="I261" s="17">
        <v>500</v>
      </c>
      <c r="J261" s="5"/>
      <c r="K261" s="10"/>
      <c r="L261" s="105">
        <v>20201118</v>
      </c>
      <c r="M261" s="136"/>
    </row>
    <row r="262" s="98" customFormat="1" ht="16" customHeight="1" spans="1:13">
      <c r="A262" s="5">
        <v>260</v>
      </c>
      <c r="B262" s="5" t="s">
        <v>13908</v>
      </c>
      <c r="C262" s="5" t="s">
        <v>14389</v>
      </c>
      <c r="D262" s="5" t="s">
        <v>14390</v>
      </c>
      <c r="E262" s="5" t="s">
        <v>15</v>
      </c>
      <c r="F262" s="5" t="s">
        <v>15</v>
      </c>
      <c r="G262" s="106" t="s">
        <v>295</v>
      </c>
      <c r="H262" s="17">
        <v>500</v>
      </c>
      <c r="I262" s="17">
        <v>500</v>
      </c>
      <c r="J262" s="5"/>
      <c r="K262" s="10"/>
      <c r="L262" s="105">
        <v>20201118</v>
      </c>
      <c r="M262" s="136"/>
    </row>
    <row r="263" s="98" customFormat="1" ht="16" customHeight="1" spans="1:13">
      <c r="A263" s="14">
        <v>261</v>
      </c>
      <c r="B263" s="5" t="s">
        <v>13908</v>
      </c>
      <c r="C263" s="5" t="s">
        <v>14391</v>
      </c>
      <c r="D263" s="5" t="s">
        <v>14392</v>
      </c>
      <c r="E263" s="5" t="s">
        <v>15</v>
      </c>
      <c r="F263" s="5" t="s">
        <v>15</v>
      </c>
      <c r="G263" s="106" t="s">
        <v>295</v>
      </c>
      <c r="H263" s="17">
        <v>200</v>
      </c>
      <c r="I263" s="17">
        <v>200</v>
      </c>
      <c r="J263" s="5"/>
      <c r="K263" s="10"/>
      <c r="L263" s="105">
        <v>20201118</v>
      </c>
      <c r="M263" s="136"/>
    </row>
    <row r="264" s="98" customFormat="1" ht="16" customHeight="1" spans="1:13">
      <c r="A264" s="14">
        <v>262</v>
      </c>
      <c r="B264" s="5" t="s">
        <v>13908</v>
      </c>
      <c r="C264" s="5" t="s">
        <v>14393</v>
      </c>
      <c r="D264" s="5" t="s">
        <v>14394</v>
      </c>
      <c r="E264" s="5" t="s">
        <v>15</v>
      </c>
      <c r="F264" s="5" t="s">
        <v>15</v>
      </c>
      <c r="G264" s="106" t="s">
        <v>295</v>
      </c>
      <c r="H264" s="17">
        <v>200</v>
      </c>
      <c r="I264" s="17">
        <v>200</v>
      </c>
      <c r="J264" s="5"/>
      <c r="K264" s="10"/>
      <c r="L264" s="105">
        <v>20201118</v>
      </c>
      <c r="M264" s="136"/>
    </row>
    <row r="265" s="98" customFormat="1" ht="16" customHeight="1" spans="1:13">
      <c r="A265" s="5">
        <v>263</v>
      </c>
      <c r="B265" s="5" t="s">
        <v>13908</v>
      </c>
      <c r="C265" s="5" t="s">
        <v>5437</v>
      </c>
      <c r="D265" s="5" t="s">
        <v>14395</v>
      </c>
      <c r="E265" s="5" t="s">
        <v>15</v>
      </c>
      <c r="F265" s="5" t="s">
        <v>15</v>
      </c>
      <c r="G265" s="106" t="s">
        <v>295</v>
      </c>
      <c r="H265" s="17">
        <v>200</v>
      </c>
      <c r="I265" s="17">
        <v>200</v>
      </c>
      <c r="J265" s="5"/>
      <c r="K265" s="10"/>
      <c r="L265" s="105">
        <v>20201118</v>
      </c>
      <c r="M265" s="136"/>
    </row>
    <row r="266" s="98" customFormat="1" ht="16" customHeight="1" spans="1:13">
      <c r="A266" s="5">
        <v>264</v>
      </c>
      <c r="B266" s="5" t="s">
        <v>13908</v>
      </c>
      <c r="C266" s="5" t="s">
        <v>14396</v>
      </c>
      <c r="D266" s="5" t="s">
        <v>14397</v>
      </c>
      <c r="E266" s="5" t="s">
        <v>310</v>
      </c>
      <c r="F266" s="5" t="s">
        <v>15</v>
      </c>
      <c r="G266" s="106" t="s">
        <v>2460</v>
      </c>
      <c r="H266" s="17">
        <v>200</v>
      </c>
      <c r="I266" s="17">
        <v>2000</v>
      </c>
      <c r="J266" s="5"/>
      <c r="K266" s="10"/>
      <c r="L266" s="105">
        <v>20201118</v>
      </c>
      <c r="M266" s="136"/>
    </row>
    <row r="267" s="98" customFormat="1" ht="16" customHeight="1" spans="1:13">
      <c r="A267" s="5">
        <v>265</v>
      </c>
      <c r="B267" s="5" t="s">
        <v>13908</v>
      </c>
      <c r="C267" s="5" t="s">
        <v>14398</v>
      </c>
      <c r="D267" s="5" t="s">
        <v>14399</v>
      </c>
      <c r="E267" s="5" t="s">
        <v>14400</v>
      </c>
      <c r="F267" s="5" t="s">
        <v>15</v>
      </c>
      <c r="G267" s="106" t="s">
        <v>2460</v>
      </c>
      <c r="H267" s="17">
        <v>200</v>
      </c>
      <c r="I267" s="17">
        <v>2200</v>
      </c>
      <c r="J267" s="5"/>
      <c r="K267" s="10"/>
      <c r="L267" s="105">
        <v>20201118</v>
      </c>
      <c r="M267" s="136"/>
    </row>
    <row r="268" ht="16" customHeight="1" spans="1:12">
      <c r="A268" s="108"/>
      <c r="B268" s="108"/>
      <c r="C268" s="108"/>
      <c r="D268" s="108"/>
      <c r="E268" s="108"/>
      <c r="F268" s="108"/>
      <c r="G268" s="108"/>
      <c r="H268" s="108"/>
      <c r="I268" s="105">
        <v>66500</v>
      </c>
      <c r="J268" s="108"/>
      <c r="K268" s="108"/>
      <c r="L268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3"/>
  <sheetViews>
    <sheetView topLeftCell="A214" workbookViewId="0">
      <selection activeCell="A3" sqref="A3:L252"/>
    </sheetView>
  </sheetViews>
  <sheetFormatPr defaultColWidth="9" defaultRowHeight="13.5"/>
  <cols>
    <col min="1" max="1" width="6" customWidth="1"/>
    <col min="4" max="4" width="22" customWidth="1"/>
    <col min="5" max="5" width="8.125" customWidth="1"/>
    <col min="6" max="6" width="8" customWidth="1"/>
    <col min="7" max="7" width="10.5" customWidth="1"/>
    <col min="10" max="10" width="13.25" customWidth="1"/>
    <col min="12" max="12" width="11.75" customWidth="1"/>
  </cols>
  <sheetData>
    <row r="1" s="95" customFormat="1" ht="25" customHeight="1" spans="1:11">
      <c r="A1" s="99" t="s">
        <v>14401</v>
      </c>
      <c r="B1" s="100"/>
      <c r="C1" s="100"/>
      <c r="D1" s="100"/>
      <c r="E1" s="100"/>
      <c r="F1" s="100"/>
      <c r="G1" s="101"/>
      <c r="H1" s="100"/>
      <c r="I1" s="100"/>
      <c r="J1" s="100"/>
      <c r="K1" s="100"/>
    </row>
    <row r="2" s="96" customFormat="1" ht="15.2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03" t="s">
        <v>10</v>
      </c>
      <c r="L2" s="104" t="s">
        <v>11</v>
      </c>
    </row>
    <row r="3" ht="15.2" customHeight="1" spans="1:12">
      <c r="A3" s="102">
        <v>1</v>
      </c>
      <c r="B3" s="102" t="s">
        <v>14402</v>
      </c>
      <c r="C3" s="17" t="s">
        <v>14403</v>
      </c>
      <c r="D3" s="128" t="s">
        <v>14404</v>
      </c>
      <c r="E3" s="102">
        <v>2020</v>
      </c>
      <c r="F3" s="102">
        <v>2020</v>
      </c>
      <c r="G3" s="128" t="s">
        <v>16</v>
      </c>
      <c r="H3" s="102">
        <v>200</v>
      </c>
      <c r="I3" s="128">
        <v>200</v>
      </c>
      <c r="J3" s="128"/>
      <c r="K3" s="104"/>
      <c r="L3" s="105">
        <v>20201118</v>
      </c>
    </row>
    <row r="4" ht="15.2" customHeight="1" spans="1:12">
      <c r="A4" s="102">
        <v>2</v>
      </c>
      <c r="B4" s="102" t="s">
        <v>14402</v>
      </c>
      <c r="C4" s="17" t="s">
        <v>14405</v>
      </c>
      <c r="D4" s="281" t="s">
        <v>14406</v>
      </c>
      <c r="E4" s="102">
        <v>2020</v>
      </c>
      <c r="F4" s="102">
        <v>2020</v>
      </c>
      <c r="G4" s="128" t="s">
        <v>16</v>
      </c>
      <c r="H4" s="102">
        <v>200</v>
      </c>
      <c r="I4" s="128">
        <v>200</v>
      </c>
      <c r="J4" s="128"/>
      <c r="K4" s="104"/>
      <c r="L4" s="105">
        <v>20201118</v>
      </c>
    </row>
    <row r="5" ht="15.2" customHeight="1" spans="1:12">
      <c r="A5" s="102">
        <v>3</v>
      </c>
      <c r="B5" s="102" t="s">
        <v>14402</v>
      </c>
      <c r="C5" s="5" t="s">
        <v>14407</v>
      </c>
      <c r="D5" s="102" t="s">
        <v>14408</v>
      </c>
      <c r="E5" s="102">
        <v>2020</v>
      </c>
      <c r="F5" s="102">
        <v>2020</v>
      </c>
      <c r="G5" s="128" t="s">
        <v>16</v>
      </c>
      <c r="H5" s="102">
        <v>200</v>
      </c>
      <c r="I5" s="128">
        <v>200</v>
      </c>
      <c r="J5" s="102"/>
      <c r="K5" s="104"/>
      <c r="L5" s="105">
        <v>20201118</v>
      </c>
    </row>
    <row r="6" ht="15.2" customHeight="1" spans="1:12">
      <c r="A6" s="102">
        <v>4</v>
      </c>
      <c r="B6" s="102" t="s">
        <v>14402</v>
      </c>
      <c r="C6" s="5" t="s">
        <v>13817</v>
      </c>
      <c r="D6" s="102" t="s">
        <v>14409</v>
      </c>
      <c r="E6" s="102">
        <v>2020</v>
      </c>
      <c r="F6" s="102">
        <v>2020</v>
      </c>
      <c r="G6" s="128" t="s">
        <v>16</v>
      </c>
      <c r="H6" s="102">
        <v>200</v>
      </c>
      <c r="I6" s="128">
        <v>200</v>
      </c>
      <c r="J6" s="102" t="s">
        <v>749</v>
      </c>
      <c r="K6" s="104"/>
      <c r="L6" s="105">
        <v>20201118</v>
      </c>
    </row>
    <row r="7" ht="15.2" customHeight="1" spans="1:12">
      <c r="A7" s="102">
        <v>5</v>
      </c>
      <c r="B7" s="102" t="s">
        <v>14402</v>
      </c>
      <c r="C7" s="5" t="s">
        <v>14410</v>
      </c>
      <c r="D7" s="102" t="s">
        <v>14411</v>
      </c>
      <c r="E7" s="102">
        <v>2020</v>
      </c>
      <c r="F7" s="102">
        <v>2020</v>
      </c>
      <c r="G7" s="128" t="s">
        <v>16</v>
      </c>
      <c r="H7" s="102">
        <v>200</v>
      </c>
      <c r="I7" s="128">
        <v>200</v>
      </c>
      <c r="J7" s="102"/>
      <c r="K7" s="104"/>
      <c r="L7" s="105">
        <v>20201118</v>
      </c>
    </row>
    <row r="8" ht="15.2" customHeight="1" spans="1:12">
      <c r="A8" s="102">
        <v>6</v>
      </c>
      <c r="B8" s="102" t="s">
        <v>14402</v>
      </c>
      <c r="C8" s="5" t="s">
        <v>14412</v>
      </c>
      <c r="D8" s="102" t="s">
        <v>14413</v>
      </c>
      <c r="E8" s="102">
        <v>2020</v>
      </c>
      <c r="F8" s="102">
        <v>2020</v>
      </c>
      <c r="G8" s="128" t="s">
        <v>16</v>
      </c>
      <c r="H8" s="102">
        <v>200</v>
      </c>
      <c r="I8" s="128">
        <v>200</v>
      </c>
      <c r="J8" s="102"/>
      <c r="K8" s="104"/>
      <c r="L8" s="105">
        <v>20201118</v>
      </c>
    </row>
    <row r="9" ht="15.2" customHeight="1" spans="1:12">
      <c r="A9" s="102">
        <v>7</v>
      </c>
      <c r="B9" s="102" t="s">
        <v>14402</v>
      </c>
      <c r="C9" s="5" t="s">
        <v>14414</v>
      </c>
      <c r="D9" s="102" t="s">
        <v>14415</v>
      </c>
      <c r="E9" s="102">
        <v>2020</v>
      </c>
      <c r="F9" s="102">
        <v>2020</v>
      </c>
      <c r="G9" s="128" t="s">
        <v>16</v>
      </c>
      <c r="H9" s="102">
        <v>200</v>
      </c>
      <c r="I9" s="128">
        <v>200</v>
      </c>
      <c r="J9" s="102"/>
      <c r="K9" s="104"/>
      <c r="L9" s="105">
        <v>20201118</v>
      </c>
    </row>
    <row r="10" ht="15.2" customHeight="1" spans="1:12">
      <c r="A10" s="102">
        <v>8</v>
      </c>
      <c r="B10" s="102" t="s">
        <v>14402</v>
      </c>
      <c r="C10" s="5" t="s">
        <v>14416</v>
      </c>
      <c r="D10" s="102" t="s">
        <v>14417</v>
      </c>
      <c r="E10" s="102">
        <v>2020</v>
      </c>
      <c r="F10" s="102">
        <v>2020</v>
      </c>
      <c r="G10" s="128" t="s">
        <v>16</v>
      </c>
      <c r="H10" s="102">
        <v>200</v>
      </c>
      <c r="I10" s="128">
        <v>200</v>
      </c>
      <c r="J10" s="102"/>
      <c r="K10" s="104"/>
      <c r="L10" s="105">
        <v>20201118</v>
      </c>
    </row>
    <row r="11" ht="15.2" customHeight="1" spans="1:12">
      <c r="A11" s="102">
        <v>9</v>
      </c>
      <c r="B11" s="102" t="s">
        <v>14402</v>
      </c>
      <c r="C11" s="5" t="s">
        <v>14418</v>
      </c>
      <c r="D11" s="102" t="s">
        <v>14419</v>
      </c>
      <c r="E11" s="102">
        <v>2020</v>
      </c>
      <c r="F11" s="102">
        <v>2020</v>
      </c>
      <c r="G11" s="128" t="s">
        <v>16</v>
      </c>
      <c r="H11" s="102">
        <v>200</v>
      </c>
      <c r="I11" s="128">
        <v>200</v>
      </c>
      <c r="J11" s="102"/>
      <c r="K11" s="104"/>
      <c r="L11" s="105">
        <v>20201118</v>
      </c>
    </row>
    <row r="12" ht="15.2" customHeight="1" spans="1:12">
      <c r="A12" s="102">
        <v>10</v>
      </c>
      <c r="B12" s="102" t="s">
        <v>14402</v>
      </c>
      <c r="C12" s="5" t="s">
        <v>12979</v>
      </c>
      <c r="D12" s="102" t="s">
        <v>14420</v>
      </c>
      <c r="E12" s="102">
        <v>2020</v>
      </c>
      <c r="F12" s="102">
        <v>2020</v>
      </c>
      <c r="G12" s="128" t="s">
        <v>16</v>
      </c>
      <c r="H12" s="102">
        <v>200</v>
      </c>
      <c r="I12" s="128">
        <v>200</v>
      </c>
      <c r="J12" s="102"/>
      <c r="K12" s="104"/>
      <c r="L12" s="105">
        <v>20201118</v>
      </c>
    </row>
    <row r="13" ht="15.2" customHeight="1" spans="1:12">
      <c r="A13" s="102">
        <v>11</v>
      </c>
      <c r="B13" s="102" t="s">
        <v>14402</v>
      </c>
      <c r="C13" s="5" t="s">
        <v>14421</v>
      </c>
      <c r="D13" s="102" t="s">
        <v>14422</v>
      </c>
      <c r="E13" s="102">
        <v>2020</v>
      </c>
      <c r="F13" s="102">
        <v>2020</v>
      </c>
      <c r="G13" s="128" t="s">
        <v>16</v>
      </c>
      <c r="H13" s="102">
        <v>200</v>
      </c>
      <c r="I13" s="128">
        <v>200</v>
      </c>
      <c r="J13" s="102"/>
      <c r="K13" s="104"/>
      <c r="L13" s="105">
        <v>20201118</v>
      </c>
    </row>
    <row r="14" ht="15.2" customHeight="1" spans="1:12">
      <c r="A14" s="102">
        <v>12</v>
      </c>
      <c r="B14" s="102" t="s">
        <v>14402</v>
      </c>
      <c r="C14" s="5" t="s">
        <v>14423</v>
      </c>
      <c r="D14" s="102" t="s">
        <v>14424</v>
      </c>
      <c r="E14" s="102">
        <v>2020</v>
      </c>
      <c r="F14" s="102">
        <v>2020</v>
      </c>
      <c r="G14" s="128" t="s">
        <v>16</v>
      </c>
      <c r="H14" s="102">
        <v>200</v>
      </c>
      <c r="I14" s="128">
        <v>200</v>
      </c>
      <c r="J14" s="102" t="s">
        <v>749</v>
      </c>
      <c r="K14" s="104"/>
      <c r="L14" s="105">
        <v>20201118</v>
      </c>
    </row>
    <row r="15" ht="15.2" customHeight="1" spans="1:12">
      <c r="A15" s="102">
        <v>13</v>
      </c>
      <c r="B15" s="102" t="s">
        <v>14402</v>
      </c>
      <c r="C15" s="5" t="s">
        <v>14425</v>
      </c>
      <c r="D15" s="102" t="s">
        <v>14426</v>
      </c>
      <c r="E15" s="102">
        <v>2020</v>
      </c>
      <c r="F15" s="102">
        <v>2020</v>
      </c>
      <c r="G15" s="128" t="s">
        <v>16</v>
      </c>
      <c r="H15" s="102">
        <v>200</v>
      </c>
      <c r="I15" s="128">
        <v>200</v>
      </c>
      <c r="J15" s="102"/>
      <c r="K15" s="104"/>
      <c r="L15" s="105">
        <v>20201118</v>
      </c>
    </row>
    <row r="16" ht="15.2" customHeight="1" spans="1:12">
      <c r="A16" s="102">
        <v>14</v>
      </c>
      <c r="B16" s="102" t="s">
        <v>14402</v>
      </c>
      <c r="C16" s="5" t="s">
        <v>14427</v>
      </c>
      <c r="D16" s="102" t="s">
        <v>14428</v>
      </c>
      <c r="E16" s="102">
        <v>2020</v>
      </c>
      <c r="F16" s="102">
        <v>2020</v>
      </c>
      <c r="G16" s="128" t="s">
        <v>16</v>
      </c>
      <c r="H16" s="102">
        <v>200</v>
      </c>
      <c r="I16" s="128">
        <v>200</v>
      </c>
      <c r="J16" s="102" t="s">
        <v>749</v>
      </c>
      <c r="K16" s="104"/>
      <c r="L16" s="105">
        <v>20201118</v>
      </c>
    </row>
    <row r="17" ht="15.2" customHeight="1" spans="1:12">
      <c r="A17" s="102">
        <v>15</v>
      </c>
      <c r="B17" s="102" t="s">
        <v>14402</v>
      </c>
      <c r="C17" s="5" t="s">
        <v>14429</v>
      </c>
      <c r="D17" s="102" t="s">
        <v>14430</v>
      </c>
      <c r="E17" s="102">
        <v>2020</v>
      </c>
      <c r="F17" s="102">
        <v>2020</v>
      </c>
      <c r="G17" s="128" t="s">
        <v>16</v>
      </c>
      <c r="H17" s="102">
        <v>200</v>
      </c>
      <c r="I17" s="128">
        <v>200</v>
      </c>
      <c r="J17" s="102"/>
      <c r="K17" s="104"/>
      <c r="L17" s="105">
        <v>20201118</v>
      </c>
    </row>
    <row r="18" ht="15.2" customHeight="1" spans="1:12">
      <c r="A18" s="102">
        <v>16</v>
      </c>
      <c r="B18" s="102" t="s">
        <v>14402</v>
      </c>
      <c r="C18" s="5" t="s">
        <v>14431</v>
      </c>
      <c r="D18" s="102" t="s">
        <v>14432</v>
      </c>
      <c r="E18" s="102">
        <v>2020</v>
      </c>
      <c r="F18" s="102">
        <v>2020</v>
      </c>
      <c r="G18" s="128" t="s">
        <v>16</v>
      </c>
      <c r="H18" s="102">
        <v>200</v>
      </c>
      <c r="I18" s="128">
        <v>200</v>
      </c>
      <c r="J18" s="102"/>
      <c r="K18" s="104"/>
      <c r="L18" s="105">
        <v>20201118</v>
      </c>
    </row>
    <row r="19" ht="15.2" customHeight="1" spans="1:12">
      <c r="A19" s="102">
        <v>17</v>
      </c>
      <c r="B19" s="102" t="s">
        <v>14402</v>
      </c>
      <c r="C19" s="5" t="s">
        <v>14433</v>
      </c>
      <c r="D19" s="102" t="s">
        <v>14434</v>
      </c>
      <c r="E19" s="102">
        <v>2020</v>
      </c>
      <c r="F19" s="102">
        <v>2020</v>
      </c>
      <c r="G19" s="128" t="s">
        <v>16</v>
      </c>
      <c r="H19" s="102">
        <v>200</v>
      </c>
      <c r="I19" s="128">
        <v>200</v>
      </c>
      <c r="J19" s="102"/>
      <c r="K19" s="104"/>
      <c r="L19" s="105">
        <v>20201118</v>
      </c>
    </row>
    <row r="20" ht="15.2" customHeight="1" spans="1:12">
      <c r="A20" s="102">
        <v>18</v>
      </c>
      <c r="B20" s="121" t="s">
        <v>14402</v>
      </c>
      <c r="C20" s="62" t="s">
        <v>14435</v>
      </c>
      <c r="D20" s="121" t="s">
        <v>14436</v>
      </c>
      <c r="E20" s="121">
        <v>2020</v>
      </c>
      <c r="F20" s="121">
        <v>2020</v>
      </c>
      <c r="G20" s="130" t="s">
        <v>16</v>
      </c>
      <c r="H20" s="121">
        <v>200</v>
      </c>
      <c r="I20" s="121">
        <v>200</v>
      </c>
      <c r="J20" s="121"/>
      <c r="K20" s="104"/>
      <c r="L20" s="105">
        <v>20201118</v>
      </c>
    </row>
    <row r="21" ht="15.2" customHeight="1" spans="1:12">
      <c r="A21" s="102">
        <v>19</v>
      </c>
      <c r="B21" s="102" t="s">
        <v>14402</v>
      </c>
      <c r="C21" s="5" t="s">
        <v>14437</v>
      </c>
      <c r="D21" s="102" t="s">
        <v>14438</v>
      </c>
      <c r="E21" s="102">
        <v>2020</v>
      </c>
      <c r="F21" s="102">
        <v>2020</v>
      </c>
      <c r="G21" s="128" t="s">
        <v>16</v>
      </c>
      <c r="H21" s="102">
        <v>200</v>
      </c>
      <c r="I21" s="102">
        <v>200</v>
      </c>
      <c r="J21" s="102"/>
      <c r="K21" s="104"/>
      <c r="L21" s="105">
        <v>20201118</v>
      </c>
    </row>
    <row r="22" ht="15.2" customHeight="1" spans="1:12">
      <c r="A22" s="102">
        <v>20</v>
      </c>
      <c r="B22" s="102" t="s">
        <v>14402</v>
      </c>
      <c r="C22" s="5" t="s">
        <v>14439</v>
      </c>
      <c r="D22" s="102" t="s">
        <v>14440</v>
      </c>
      <c r="E22" s="102">
        <v>2020</v>
      </c>
      <c r="F22" s="102">
        <v>2020</v>
      </c>
      <c r="G22" s="128" t="s">
        <v>16</v>
      </c>
      <c r="H22" s="102">
        <v>200</v>
      </c>
      <c r="I22" s="102">
        <v>200</v>
      </c>
      <c r="J22" s="102" t="s">
        <v>768</v>
      </c>
      <c r="K22" s="104"/>
      <c r="L22" s="105">
        <v>20201118</v>
      </c>
    </row>
    <row r="23" ht="15.2" customHeight="1" spans="1:12">
      <c r="A23" s="102">
        <v>21</v>
      </c>
      <c r="B23" s="121" t="s">
        <v>14402</v>
      </c>
      <c r="C23" s="62" t="s">
        <v>14441</v>
      </c>
      <c r="D23" s="121" t="s">
        <v>14442</v>
      </c>
      <c r="E23" s="121">
        <v>2020</v>
      </c>
      <c r="F23" s="121">
        <v>2020</v>
      </c>
      <c r="G23" s="130" t="s">
        <v>16</v>
      </c>
      <c r="H23" s="121">
        <v>200</v>
      </c>
      <c r="I23" s="121">
        <v>200</v>
      </c>
      <c r="J23" s="121"/>
      <c r="K23" s="104"/>
      <c r="L23" s="105">
        <v>20201118</v>
      </c>
    </row>
    <row r="24" ht="15.2" customHeight="1" spans="1:12">
      <c r="A24" s="102">
        <v>22</v>
      </c>
      <c r="B24" s="102" t="s">
        <v>14402</v>
      </c>
      <c r="C24" s="5" t="s">
        <v>14443</v>
      </c>
      <c r="D24" s="102" t="s">
        <v>14444</v>
      </c>
      <c r="E24" s="102">
        <v>2020</v>
      </c>
      <c r="F24" s="102">
        <v>2020</v>
      </c>
      <c r="G24" s="128" t="s">
        <v>16</v>
      </c>
      <c r="H24" s="102">
        <v>200</v>
      </c>
      <c r="I24" s="102">
        <v>200</v>
      </c>
      <c r="J24" s="102"/>
      <c r="K24" s="104"/>
      <c r="L24" s="105">
        <v>20201118</v>
      </c>
    </row>
    <row r="25" ht="15.2" customHeight="1" spans="1:12">
      <c r="A25" s="102">
        <v>23</v>
      </c>
      <c r="B25" s="102" t="s">
        <v>14402</v>
      </c>
      <c r="C25" s="5" t="s">
        <v>14445</v>
      </c>
      <c r="D25" s="102" t="s">
        <v>14446</v>
      </c>
      <c r="E25" s="102">
        <v>2020</v>
      </c>
      <c r="F25" s="102">
        <v>2020</v>
      </c>
      <c r="G25" s="128" t="s">
        <v>16</v>
      </c>
      <c r="H25" s="102">
        <v>200</v>
      </c>
      <c r="I25" s="102">
        <v>200</v>
      </c>
      <c r="J25" s="102"/>
      <c r="K25" s="104"/>
      <c r="L25" s="105">
        <v>20201118</v>
      </c>
    </row>
    <row r="26" ht="15.2" customHeight="1" spans="1:12">
      <c r="A26" s="102">
        <v>24</v>
      </c>
      <c r="B26" s="102" t="s">
        <v>14402</v>
      </c>
      <c r="C26" s="5" t="s">
        <v>8003</v>
      </c>
      <c r="D26" s="102" t="s">
        <v>14447</v>
      </c>
      <c r="E26" s="102">
        <v>2020</v>
      </c>
      <c r="F26" s="102">
        <v>2020</v>
      </c>
      <c r="G26" s="128" t="s">
        <v>16</v>
      </c>
      <c r="H26" s="102">
        <v>200</v>
      </c>
      <c r="I26" s="102">
        <v>200</v>
      </c>
      <c r="J26" s="102"/>
      <c r="K26" s="104"/>
      <c r="L26" s="105">
        <v>20201118</v>
      </c>
    </row>
    <row r="27" ht="15.2" customHeight="1" spans="1:12">
      <c r="A27" s="102">
        <v>25</v>
      </c>
      <c r="B27" s="102" t="s">
        <v>14402</v>
      </c>
      <c r="C27" s="5" t="s">
        <v>14448</v>
      </c>
      <c r="D27" s="102" t="s">
        <v>14449</v>
      </c>
      <c r="E27" s="102">
        <v>2020</v>
      </c>
      <c r="F27" s="102">
        <v>2020</v>
      </c>
      <c r="G27" s="128" t="s">
        <v>16</v>
      </c>
      <c r="H27" s="102">
        <v>200</v>
      </c>
      <c r="I27" s="102">
        <v>200</v>
      </c>
      <c r="J27" s="102"/>
      <c r="K27" s="104"/>
      <c r="L27" s="105">
        <v>20201118</v>
      </c>
    </row>
    <row r="28" ht="15.2" customHeight="1" spans="1:12">
      <c r="A28" s="102">
        <v>26</v>
      </c>
      <c r="B28" s="102" t="s">
        <v>14402</v>
      </c>
      <c r="C28" s="5" t="s">
        <v>14450</v>
      </c>
      <c r="D28" s="102" t="s">
        <v>14451</v>
      </c>
      <c r="E28" s="102">
        <v>2020</v>
      </c>
      <c r="F28" s="102">
        <v>2020</v>
      </c>
      <c r="G28" s="128" t="s">
        <v>16</v>
      </c>
      <c r="H28" s="102">
        <v>200</v>
      </c>
      <c r="I28" s="102">
        <v>200</v>
      </c>
      <c r="J28" s="102"/>
      <c r="K28" s="104"/>
      <c r="L28" s="105">
        <v>20201118</v>
      </c>
    </row>
    <row r="29" ht="15.2" customHeight="1" spans="1:12">
      <c r="A29" s="102">
        <v>27</v>
      </c>
      <c r="B29" s="102" t="s">
        <v>14402</v>
      </c>
      <c r="C29" s="5" t="s">
        <v>14452</v>
      </c>
      <c r="D29" s="102" t="s">
        <v>14453</v>
      </c>
      <c r="E29" s="102">
        <v>2020</v>
      </c>
      <c r="F29" s="102">
        <v>2020</v>
      </c>
      <c r="G29" s="128" t="s">
        <v>16</v>
      </c>
      <c r="H29" s="102">
        <v>200</v>
      </c>
      <c r="I29" s="102">
        <v>200</v>
      </c>
      <c r="J29" s="102"/>
      <c r="K29" s="104"/>
      <c r="L29" s="105">
        <v>20201118</v>
      </c>
    </row>
    <row r="30" ht="15.2" customHeight="1" spans="1:12">
      <c r="A30" s="102">
        <v>28</v>
      </c>
      <c r="B30" s="102" t="s">
        <v>14402</v>
      </c>
      <c r="C30" s="5" t="s">
        <v>14454</v>
      </c>
      <c r="D30" s="102" t="s">
        <v>14455</v>
      </c>
      <c r="E30" s="102">
        <v>2020</v>
      </c>
      <c r="F30" s="102">
        <v>2020</v>
      </c>
      <c r="G30" s="128" t="s">
        <v>16</v>
      </c>
      <c r="H30" s="102">
        <v>200</v>
      </c>
      <c r="I30" s="102">
        <v>200</v>
      </c>
      <c r="J30" s="102"/>
      <c r="K30" s="104"/>
      <c r="L30" s="105">
        <v>20201118</v>
      </c>
    </row>
    <row r="31" ht="15.2" customHeight="1" spans="1:12">
      <c r="A31" s="102">
        <v>29</v>
      </c>
      <c r="B31" s="102" t="s">
        <v>14402</v>
      </c>
      <c r="C31" s="5" t="s">
        <v>14456</v>
      </c>
      <c r="D31" s="102" t="s">
        <v>14457</v>
      </c>
      <c r="E31" s="102">
        <v>2020</v>
      </c>
      <c r="F31" s="102">
        <v>2020</v>
      </c>
      <c r="G31" s="128" t="s">
        <v>16</v>
      </c>
      <c r="H31" s="102">
        <v>200</v>
      </c>
      <c r="I31" s="102">
        <v>200</v>
      </c>
      <c r="J31" s="102" t="s">
        <v>749</v>
      </c>
      <c r="K31" s="104"/>
      <c r="L31" s="105">
        <v>20201118</v>
      </c>
    </row>
    <row r="32" ht="15.2" customHeight="1" spans="1:12">
      <c r="A32" s="102">
        <v>30</v>
      </c>
      <c r="B32" s="102" t="s">
        <v>14402</v>
      </c>
      <c r="C32" s="5" t="s">
        <v>14458</v>
      </c>
      <c r="D32" s="102" t="s">
        <v>14459</v>
      </c>
      <c r="E32" s="102">
        <v>2020</v>
      </c>
      <c r="F32" s="102">
        <v>2020</v>
      </c>
      <c r="G32" s="128" t="s">
        <v>16</v>
      </c>
      <c r="H32" s="102">
        <v>1000</v>
      </c>
      <c r="I32" s="102">
        <v>1000</v>
      </c>
      <c r="J32" s="102"/>
      <c r="K32" s="104"/>
      <c r="L32" s="105">
        <v>20201118</v>
      </c>
    </row>
    <row r="33" ht="15.2" customHeight="1" spans="1:12">
      <c r="A33" s="102">
        <v>31</v>
      </c>
      <c r="B33" s="102" t="s">
        <v>14402</v>
      </c>
      <c r="C33" s="5" t="s">
        <v>14460</v>
      </c>
      <c r="D33" s="102" t="s">
        <v>14461</v>
      </c>
      <c r="E33" s="102">
        <v>2020</v>
      </c>
      <c r="F33" s="102">
        <v>2020</v>
      </c>
      <c r="G33" s="128" t="s">
        <v>16</v>
      </c>
      <c r="H33" s="102">
        <v>200</v>
      </c>
      <c r="I33" s="102">
        <v>200</v>
      </c>
      <c r="J33" s="102"/>
      <c r="K33" s="104"/>
      <c r="L33" s="105">
        <v>20201118</v>
      </c>
    </row>
    <row r="34" ht="15.2" customHeight="1" spans="1:12">
      <c r="A34" s="102">
        <v>32</v>
      </c>
      <c r="B34" s="102" t="s">
        <v>14402</v>
      </c>
      <c r="C34" s="5" t="s">
        <v>14462</v>
      </c>
      <c r="D34" s="102" t="s">
        <v>14463</v>
      </c>
      <c r="E34" s="102">
        <v>2020</v>
      </c>
      <c r="F34" s="102">
        <v>2020</v>
      </c>
      <c r="G34" s="128" t="s">
        <v>16</v>
      </c>
      <c r="H34" s="102">
        <v>200</v>
      </c>
      <c r="I34" s="102">
        <v>200</v>
      </c>
      <c r="J34" s="102"/>
      <c r="K34" s="104"/>
      <c r="L34" s="105">
        <v>20201118</v>
      </c>
    </row>
    <row r="35" ht="15.2" customHeight="1" spans="1:12">
      <c r="A35" s="102">
        <v>33</v>
      </c>
      <c r="B35" s="102" t="s">
        <v>14402</v>
      </c>
      <c r="C35" s="5" t="s">
        <v>14464</v>
      </c>
      <c r="D35" s="102" t="s">
        <v>14465</v>
      </c>
      <c r="E35" s="102">
        <v>2020</v>
      </c>
      <c r="F35" s="102">
        <v>2020</v>
      </c>
      <c r="G35" s="128" t="s">
        <v>16</v>
      </c>
      <c r="H35" s="102">
        <v>200</v>
      </c>
      <c r="I35" s="102">
        <v>200</v>
      </c>
      <c r="J35" s="102"/>
      <c r="K35" s="104"/>
      <c r="L35" s="105">
        <v>20201118</v>
      </c>
    </row>
    <row r="36" ht="15.2" customHeight="1" spans="1:12">
      <c r="A36" s="102">
        <v>34</v>
      </c>
      <c r="B36" s="102" t="s">
        <v>14402</v>
      </c>
      <c r="C36" s="5" t="s">
        <v>14466</v>
      </c>
      <c r="D36" s="102" t="s">
        <v>14467</v>
      </c>
      <c r="E36" s="102">
        <v>2020</v>
      </c>
      <c r="F36" s="102">
        <v>2020</v>
      </c>
      <c r="G36" s="128" t="s">
        <v>16</v>
      </c>
      <c r="H36" s="102">
        <v>200</v>
      </c>
      <c r="I36" s="102">
        <v>200</v>
      </c>
      <c r="J36" s="102"/>
      <c r="K36" s="104"/>
      <c r="L36" s="105">
        <v>20201118</v>
      </c>
    </row>
    <row r="37" ht="15.2" customHeight="1" spans="1:12">
      <c r="A37" s="102">
        <v>35</v>
      </c>
      <c r="B37" s="102" t="s">
        <v>14402</v>
      </c>
      <c r="C37" s="5" t="s">
        <v>14468</v>
      </c>
      <c r="D37" s="102" t="s">
        <v>14469</v>
      </c>
      <c r="E37" s="102">
        <v>2020</v>
      </c>
      <c r="F37" s="102">
        <v>2020</v>
      </c>
      <c r="G37" s="128" t="s">
        <v>16</v>
      </c>
      <c r="H37" s="102">
        <v>200</v>
      </c>
      <c r="I37" s="102">
        <v>200</v>
      </c>
      <c r="J37" s="102"/>
      <c r="K37" s="104"/>
      <c r="L37" s="105">
        <v>20201118</v>
      </c>
    </row>
    <row r="38" ht="15.2" customHeight="1" spans="1:12">
      <c r="A38" s="102">
        <v>36</v>
      </c>
      <c r="B38" s="102" t="s">
        <v>14402</v>
      </c>
      <c r="C38" s="5" t="s">
        <v>14470</v>
      </c>
      <c r="D38" s="102" t="s">
        <v>14471</v>
      </c>
      <c r="E38" s="102">
        <v>2020</v>
      </c>
      <c r="F38" s="102">
        <v>2020</v>
      </c>
      <c r="G38" s="128" t="s">
        <v>16</v>
      </c>
      <c r="H38" s="102">
        <v>200</v>
      </c>
      <c r="I38" s="102">
        <v>200</v>
      </c>
      <c r="J38" s="102"/>
      <c r="K38" s="104"/>
      <c r="L38" s="105">
        <v>20201118</v>
      </c>
    </row>
    <row r="39" ht="15.2" customHeight="1" spans="1:12">
      <c r="A39" s="102">
        <v>37</v>
      </c>
      <c r="B39" s="102" t="s">
        <v>14402</v>
      </c>
      <c r="C39" s="5" t="s">
        <v>14472</v>
      </c>
      <c r="D39" s="102" t="s">
        <v>14473</v>
      </c>
      <c r="E39" s="102">
        <v>2020</v>
      </c>
      <c r="F39" s="102">
        <v>2020</v>
      </c>
      <c r="G39" s="128" t="s">
        <v>16</v>
      </c>
      <c r="H39" s="102">
        <v>200</v>
      </c>
      <c r="I39" s="102">
        <v>200</v>
      </c>
      <c r="J39" s="102"/>
      <c r="K39" s="104"/>
      <c r="L39" s="105">
        <v>20201118</v>
      </c>
    </row>
    <row r="40" ht="15.2" customHeight="1" spans="1:12">
      <c r="A40" s="102">
        <v>38</v>
      </c>
      <c r="B40" s="102" t="s">
        <v>14402</v>
      </c>
      <c r="C40" s="5" t="s">
        <v>14474</v>
      </c>
      <c r="D40" s="102" t="s">
        <v>14475</v>
      </c>
      <c r="E40" s="102">
        <v>2020</v>
      </c>
      <c r="F40" s="102">
        <v>2020</v>
      </c>
      <c r="G40" s="128" t="s">
        <v>16</v>
      </c>
      <c r="H40" s="102">
        <v>300</v>
      </c>
      <c r="I40" s="102">
        <v>300</v>
      </c>
      <c r="J40" s="102"/>
      <c r="K40" s="104"/>
      <c r="L40" s="105">
        <v>20201118</v>
      </c>
    </row>
    <row r="41" ht="15.2" customHeight="1" spans="1:12">
      <c r="A41" s="102">
        <v>39</v>
      </c>
      <c r="B41" s="102" t="s">
        <v>14402</v>
      </c>
      <c r="C41" s="5" t="s">
        <v>14476</v>
      </c>
      <c r="D41" s="102" t="s">
        <v>14477</v>
      </c>
      <c r="E41" s="102">
        <v>2020</v>
      </c>
      <c r="F41" s="102">
        <v>2020</v>
      </c>
      <c r="G41" s="128" t="s">
        <v>16</v>
      </c>
      <c r="H41" s="102">
        <v>200</v>
      </c>
      <c r="I41" s="102">
        <v>200</v>
      </c>
      <c r="J41" s="102"/>
      <c r="K41" s="104"/>
      <c r="L41" s="105">
        <v>20201118</v>
      </c>
    </row>
    <row r="42" ht="15.2" customHeight="1" spans="1:12">
      <c r="A42" s="102">
        <v>40</v>
      </c>
      <c r="B42" s="102" t="s">
        <v>14402</v>
      </c>
      <c r="C42" s="5" t="s">
        <v>14478</v>
      </c>
      <c r="D42" s="102" t="s">
        <v>14479</v>
      </c>
      <c r="E42" s="102">
        <v>2020</v>
      </c>
      <c r="F42" s="102">
        <v>2020</v>
      </c>
      <c r="G42" s="128" t="s">
        <v>16</v>
      </c>
      <c r="H42" s="102">
        <v>200</v>
      </c>
      <c r="I42" s="102">
        <v>200</v>
      </c>
      <c r="J42" s="102" t="s">
        <v>749</v>
      </c>
      <c r="K42" s="104"/>
      <c r="L42" s="105">
        <v>20201118</v>
      </c>
    </row>
    <row r="43" ht="15.2" customHeight="1" spans="1:12">
      <c r="A43" s="102">
        <v>41</v>
      </c>
      <c r="B43" s="102" t="s">
        <v>14402</v>
      </c>
      <c r="C43" s="5" t="s">
        <v>14480</v>
      </c>
      <c r="D43" s="102" t="s">
        <v>14481</v>
      </c>
      <c r="E43" s="102">
        <v>2020</v>
      </c>
      <c r="F43" s="102">
        <v>2020</v>
      </c>
      <c r="G43" s="128" t="s">
        <v>16</v>
      </c>
      <c r="H43" s="102">
        <v>200</v>
      </c>
      <c r="I43" s="102">
        <v>200</v>
      </c>
      <c r="J43" s="102"/>
      <c r="K43" s="104"/>
      <c r="L43" s="105">
        <v>20201118</v>
      </c>
    </row>
    <row r="44" ht="15.2" customHeight="1" spans="1:12">
      <c r="A44" s="102">
        <v>42</v>
      </c>
      <c r="B44" s="121" t="s">
        <v>14402</v>
      </c>
      <c r="C44" s="62" t="s">
        <v>5345</v>
      </c>
      <c r="D44" s="121" t="s">
        <v>14482</v>
      </c>
      <c r="E44" s="121">
        <v>2020</v>
      </c>
      <c r="F44" s="121">
        <v>2020</v>
      </c>
      <c r="G44" s="130" t="s">
        <v>16</v>
      </c>
      <c r="H44" s="121">
        <v>200</v>
      </c>
      <c r="I44" s="121">
        <v>200</v>
      </c>
      <c r="J44" s="121"/>
      <c r="K44" s="104"/>
      <c r="L44" s="105">
        <v>20201118</v>
      </c>
    </row>
    <row r="45" ht="15.2" customHeight="1" spans="1:12">
      <c r="A45" s="102">
        <v>43</v>
      </c>
      <c r="B45" s="102" t="s">
        <v>14402</v>
      </c>
      <c r="C45" s="5" t="s">
        <v>14483</v>
      </c>
      <c r="D45" s="102" t="s">
        <v>14484</v>
      </c>
      <c r="E45" s="102">
        <v>2020</v>
      </c>
      <c r="F45" s="102">
        <v>2020</v>
      </c>
      <c r="G45" s="128" t="s">
        <v>16</v>
      </c>
      <c r="H45" s="102">
        <v>200</v>
      </c>
      <c r="I45" s="102">
        <v>200</v>
      </c>
      <c r="J45" s="102"/>
      <c r="K45" s="104"/>
      <c r="L45" s="105">
        <v>20201118</v>
      </c>
    </row>
    <row r="46" ht="15.2" customHeight="1" spans="1:12">
      <c r="A46" s="102">
        <v>44</v>
      </c>
      <c r="B46" s="102" t="s">
        <v>14402</v>
      </c>
      <c r="C46" s="5" t="s">
        <v>14485</v>
      </c>
      <c r="D46" s="102" t="s">
        <v>14486</v>
      </c>
      <c r="E46" s="102">
        <v>2020</v>
      </c>
      <c r="F46" s="102">
        <v>2020</v>
      </c>
      <c r="G46" s="128" t="s">
        <v>16</v>
      </c>
      <c r="H46" s="102">
        <v>200</v>
      </c>
      <c r="I46" s="102">
        <v>200</v>
      </c>
      <c r="J46" s="102"/>
      <c r="K46" s="104"/>
      <c r="L46" s="105">
        <v>20201118</v>
      </c>
    </row>
    <row r="47" ht="15.2" customHeight="1" spans="1:12">
      <c r="A47" s="102">
        <v>45</v>
      </c>
      <c r="B47" s="102" t="s">
        <v>14402</v>
      </c>
      <c r="C47" s="5" t="s">
        <v>14487</v>
      </c>
      <c r="D47" s="102" t="s">
        <v>14488</v>
      </c>
      <c r="E47" s="102">
        <v>2020</v>
      </c>
      <c r="F47" s="102">
        <v>2020</v>
      </c>
      <c r="G47" s="128" t="s">
        <v>16</v>
      </c>
      <c r="H47" s="102">
        <v>200</v>
      </c>
      <c r="I47" s="102">
        <v>200</v>
      </c>
      <c r="J47" s="102"/>
      <c r="K47" s="104"/>
      <c r="L47" s="105">
        <v>20201118</v>
      </c>
    </row>
    <row r="48" ht="15.2" customHeight="1" spans="1:12">
      <c r="A48" s="102">
        <v>46</v>
      </c>
      <c r="B48" s="102" t="s">
        <v>14402</v>
      </c>
      <c r="C48" s="5" t="s">
        <v>14489</v>
      </c>
      <c r="D48" s="102" t="s">
        <v>14490</v>
      </c>
      <c r="E48" s="102">
        <v>2020</v>
      </c>
      <c r="F48" s="102">
        <v>2020</v>
      </c>
      <c r="G48" s="128" t="s">
        <v>16</v>
      </c>
      <c r="H48" s="102">
        <v>200</v>
      </c>
      <c r="I48" s="102">
        <v>200</v>
      </c>
      <c r="J48" s="102" t="s">
        <v>108</v>
      </c>
      <c r="K48" s="104"/>
      <c r="L48" s="105">
        <v>20201118</v>
      </c>
    </row>
    <row r="49" ht="15.2" customHeight="1" spans="1:12">
      <c r="A49" s="102">
        <v>47</v>
      </c>
      <c r="B49" s="102" t="s">
        <v>14402</v>
      </c>
      <c r="C49" s="5" t="s">
        <v>14491</v>
      </c>
      <c r="D49" s="102" t="s">
        <v>14492</v>
      </c>
      <c r="E49" s="102">
        <v>2020</v>
      </c>
      <c r="F49" s="102">
        <v>2020</v>
      </c>
      <c r="G49" s="128" t="s">
        <v>16</v>
      </c>
      <c r="H49" s="102">
        <v>200</v>
      </c>
      <c r="I49" s="102">
        <v>200</v>
      </c>
      <c r="J49" s="102"/>
      <c r="K49" s="104"/>
      <c r="L49" s="105">
        <v>20201118</v>
      </c>
    </row>
    <row r="50" ht="15.2" customHeight="1" spans="1:12">
      <c r="A50" s="102">
        <v>48</v>
      </c>
      <c r="B50" s="102" t="s">
        <v>14402</v>
      </c>
      <c r="C50" s="5" t="s">
        <v>14493</v>
      </c>
      <c r="D50" s="102" t="s">
        <v>14494</v>
      </c>
      <c r="E50" s="102">
        <v>2020</v>
      </c>
      <c r="F50" s="102">
        <v>2020</v>
      </c>
      <c r="G50" s="128" t="s">
        <v>16</v>
      </c>
      <c r="H50" s="102">
        <v>200</v>
      </c>
      <c r="I50" s="102">
        <v>200</v>
      </c>
      <c r="J50" s="102"/>
      <c r="K50" s="104"/>
      <c r="L50" s="105">
        <v>20201118</v>
      </c>
    </row>
    <row r="51" ht="15.2" customHeight="1" spans="1:12">
      <c r="A51" s="102">
        <v>49</v>
      </c>
      <c r="B51" s="102" t="s">
        <v>14402</v>
      </c>
      <c r="C51" s="5" t="s">
        <v>14495</v>
      </c>
      <c r="D51" s="102" t="s">
        <v>14496</v>
      </c>
      <c r="E51" s="102">
        <v>2020</v>
      </c>
      <c r="F51" s="102">
        <v>2020</v>
      </c>
      <c r="G51" s="128" t="s">
        <v>16</v>
      </c>
      <c r="H51" s="102">
        <v>200</v>
      </c>
      <c r="I51" s="102">
        <v>200</v>
      </c>
      <c r="J51" s="102"/>
      <c r="K51" s="104"/>
      <c r="L51" s="105">
        <v>20201118</v>
      </c>
    </row>
    <row r="52" ht="15.2" customHeight="1" spans="1:12">
      <c r="A52" s="102">
        <v>50</v>
      </c>
      <c r="B52" s="102" t="s">
        <v>14402</v>
      </c>
      <c r="C52" s="5" t="s">
        <v>14497</v>
      </c>
      <c r="D52" s="102" t="s">
        <v>14498</v>
      </c>
      <c r="E52" s="102">
        <v>2020</v>
      </c>
      <c r="F52" s="102">
        <v>2020</v>
      </c>
      <c r="G52" s="128" t="s">
        <v>16</v>
      </c>
      <c r="H52" s="102">
        <v>500</v>
      </c>
      <c r="I52" s="102">
        <v>500</v>
      </c>
      <c r="J52" s="102"/>
      <c r="K52" s="104"/>
      <c r="L52" s="105">
        <v>20201118</v>
      </c>
    </row>
    <row r="53" ht="15.2" customHeight="1" spans="1:12">
      <c r="A53" s="102">
        <v>51</v>
      </c>
      <c r="B53" s="102" t="s">
        <v>14402</v>
      </c>
      <c r="C53" s="5" t="s">
        <v>14499</v>
      </c>
      <c r="D53" s="102" t="s">
        <v>14500</v>
      </c>
      <c r="E53" s="102">
        <v>2020</v>
      </c>
      <c r="F53" s="102">
        <v>2020</v>
      </c>
      <c r="G53" s="128" t="s">
        <v>16</v>
      </c>
      <c r="H53" s="102">
        <v>200</v>
      </c>
      <c r="I53" s="102">
        <v>200</v>
      </c>
      <c r="J53" s="102"/>
      <c r="K53" s="104"/>
      <c r="L53" s="105">
        <v>20201118</v>
      </c>
    </row>
    <row r="54" ht="15.2" customHeight="1" spans="1:12">
      <c r="A54" s="102">
        <v>52</v>
      </c>
      <c r="B54" s="102" t="s">
        <v>14402</v>
      </c>
      <c r="C54" s="5" t="s">
        <v>14501</v>
      </c>
      <c r="D54" s="102" t="s">
        <v>14502</v>
      </c>
      <c r="E54" s="102">
        <v>2020</v>
      </c>
      <c r="F54" s="102">
        <v>2020</v>
      </c>
      <c r="G54" s="128" t="s">
        <v>16</v>
      </c>
      <c r="H54" s="102">
        <v>200</v>
      </c>
      <c r="I54" s="102">
        <v>200</v>
      </c>
      <c r="J54" s="102"/>
      <c r="K54" s="104"/>
      <c r="L54" s="105">
        <v>20201118</v>
      </c>
    </row>
    <row r="55" ht="15.2" customHeight="1" spans="1:12">
      <c r="A55" s="102">
        <v>53</v>
      </c>
      <c r="B55" s="102" t="s">
        <v>14402</v>
      </c>
      <c r="C55" s="5" t="s">
        <v>14503</v>
      </c>
      <c r="D55" s="102" t="s">
        <v>14504</v>
      </c>
      <c r="E55" s="102">
        <v>2020</v>
      </c>
      <c r="F55" s="102">
        <v>2020</v>
      </c>
      <c r="G55" s="128" t="s">
        <v>16</v>
      </c>
      <c r="H55" s="102">
        <v>200</v>
      </c>
      <c r="I55" s="102">
        <v>200</v>
      </c>
      <c r="J55" s="102"/>
      <c r="K55" s="104"/>
      <c r="L55" s="105">
        <v>20201118</v>
      </c>
    </row>
    <row r="56" ht="15.2" customHeight="1" spans="1:12">
      <c r="A56" s="102">
        <v>54</v>
      </c>
      <c r="B56" s="102" t="s">
        <v>14402</v>
      </c>
      <c r="C56" s="5" t="s">
        <v>14505</v>
      </c>
      <c r="D56" s="102" t="s">
        <v>14506</v>
      </c>
      <c r="E56" s="102">
        <v>2020</v>
      </c>
      <c r="F56" s="102">
        <v>2020</v>
      </c>
      <c r="G56" s="128" t="s">
        <v>16</v>
      </c>
      <c r="H56" s="102">
        <v>200</v>
      </c>
      <c r="I56" s="102">
        <v>200</v>
      </c>
      <c r="J56" s="102"/>
      <c r="K56" s="104"/>
      <c r="L56" s="105">
        <v>20201118</v>
      </c>
    </row>
    <row r="57" ht="15.2" customHeight="1" spans="1:12">
      <c r="A57" s="102">
        <v>55</v>
      </c>
      <c r="B57" s="102" t="s">
        <v>14402</v>
      </c>
      <c r="C57" s="5" t="s">
        <v>14507</v>
      </c>
      <c r="D57" s="102" t="s">
        <v>14508</v>
      </c>
      <c r="E57" s="102">
        <v>2020</v>
      </c>
      <c r="F57" s="102">
        <v>2020</v>
      </c>
      <c r="G57" s="128" t="s">
        <v>16</v>
      </c>
      <c r="H57" s="102">
        <v>200</v>
      </c>
      <c r="I57" s="102">
        <v>200</v>
      </c>
      <c r="J57" s="102"/>
      <c r="K57" s="104"/>
      <c r="L57" s="105">
        <v>20201118</v>
      </c>
    </row>
    <row r="58" ht="15.2" customHeight="1" spans="1:12">
      <c r="A58" s="102">
        <v>56</v>
      </c>
      <c r="B58" s="102" t="s">
        <v>14402</v>
      </c>
      <c r="C58" s="5" t="s">
        <v>14509</v>
      </c>
      <c r="D58" s="102" t="s">
        <v>14510</v>
      </c>
      <c r="E58" s="102">
        <v>2020</v>
      </c>
      <c r="F58" s="102">
        <v>2020</v>
      </c>
      <c r="G58" s="128" t="s">
        <v>16</v>
      </c>
      <c r="H58" s="102">
        <v>200</v>
      </c>
      <c r="I58" s="102">
        <v>200</v>
      </c>
      <c r="J58" s="102"/>
      <c r="K58" s="104"/>
      <c r="L58" s="105">
        <v>20201118</v>
      </c>
    </row>
    <row r="59" ht="15.2" customHeight="1" spans="1:12">
      <c r="A59" s="102">
        <v>57</v>
      </c>
      <c r="B59" s="102" t="s">
        <v>14402</v>
      </c>
      <c r="C59" s="5" t="s">
        <v>14511</v>
      </c>
      <c r="D59" s="102" t="s">
        <v>14512</v>
      </c>
      <c r="E59" s="102">
        <v>2020</v>
      </c>
      <c r="F59" s="102">
        <v>2020</v>
      </c>
      <c r="G59" s="128" t="s">
        <v>16</v>
      </c>
      <c r="H59" s="102">
        <v>200</v>
      </c>
      <c r="I59" s="102">
        <v>200</v>
      </c>
      <c r="J59" s="102"/>
      <c r="K59" s="104"/>
      <c r="L59" s="105">
        <v>20201118</v>
      </c>
    </row>
    <row r="60" ht="15.2" customHeight="1" spans="1:12">
      <c r="A60" s="102">
        <v>58</v>
      </c>
      <c r="B60" s="102" t="s">
        <v>14402</v>
      </c>
      <c r="C60" s="5" t="s">
        <v>14513</v>
      </c>
      <c r="D60" s="102" t="s">
        <v>14514</v>
      </c>
      <c r="E60" s="102">
        <v>2020</v>
      </c>
      <c r="F60" s="102">
        <v>2020</v>
      </c>
      <c r="G60" s="128" t="s">
        <v>16</v>
      </c>
      <c r="H60" s="102">
        <v>300</v>
      </c>
      <c r="I60" s="102">
        <v>300</v>
      </c>
      <c r="J60" s="102"/>
      <c r="K60" s="104"/>
      <c r="L60" s="105">
        <v>20201118</v>
      </c>
    </row>
    <row r="61" ht="15.2" customHeight="1" spans="1:12">
      <c r="A61" s="102">
        <v>59</v>
      </c>
      <c r="B61" s="102" t="s">
        <v>14402</v>
      </c>
      <c r="C61" s="5" t="s">
        <v>14515</v>
      </c>
      <c r="D61" s="102" t="s">
        <v>14516</v>
      </c>
      <c r="E61" s="102">
        <v>2020</v>
      </c>
      <c r="F61" s="102">
        <v>2020</v>
      </c>
      <c r="G61" s="128" t="s">
        <v>16</v>
      </c>
      <c r="H61" s="102">
        <v>200</v>
      </c>
      <c r="I61" s="102">
        <v>200</v>
      </c>
      <c r="J61" s="102"/>
      <c r="K61" s="104"/>
      <c r="L61" s="105">
        <v>20201118</v>
      </c>
    </row>
    <row r="62" ht="15.2" customHeight="1" spans="1:12">
      <c r="A62" s="102">
        <v>60</v>
      </c>
      <c r="B62" s="102" t="s">
        <v>14402</v>
      </c>
      <c r="C62" s="5" t="s">
        <v>14517</v>
      </c>
      <c r="D62" s="102" t="s">
        <v>14518</v>
      </c>
      <c r="E62" s="102">
        <v>2020</v>
      </c>
      <c r="F62" s="102">
        <v>2020</v>
      </c>
      <c r="G62" s="128" t="s">
        <v>16</v>
      </c>
      <c r="H62" s="102">
        <v>200</v>
      </c>
      <c r="I62" s="102">
        <v>200</v>
      </c>
      <c r="J62" s="102"/>
      <c r="K62" s="104"/>
      <c r="L62" s="105">
        <v>20201118</v>
      </c>
    </row>
    <row r="63" ht="15.2" customHeight="1" spans="1:12">
      <c r="A63" s="102">
        <v>61</v>
      </c>
      <c r="B63" s="102" t="s">
        <v>14402</v>
      </c>
      <c r="C63" s="5" t="s">
        <v>14519</v>
      </c>
      <c r="D63" s="102" t="s">
        <v>14520</v>
      </c>
      <c r="E63" s="102">
        <v>2020</v>
      </c>
      <c r="F63" s="102">
        <v>2020</v>
      </c>
      <c r="G63" s="128" t="s">
        <v>16</v>
      </c>
      <c r="H63" s="102">
        <v>200</v>
      </c>
      <c r="I63" s="102">
        <v>200</v>
      </c>
      <c r="J63" s="102"/>
      <c r="K63" s="104"/>
      <c r="L63" s="105">
        <v>20201118</v>
      </c>
    </row>
    <row r="64" ht="15.2" customHeight="1" spans="1:12">
      <c r="A64" s="102">
        <v>62</v>
      </c>
      <c r="B64" s="102" t="s">
        <v>14402</v>
      </c>
      <c r="C64" s="5" t="s">
        <v>14521</v>
      </c>
      <c r="D64" s="102" t="s">
        <v>14522</v>
      </c>
      <c r="E64" s="102">
        <v>2020</v>
      </c>
      <c r="F64" s="102">
        <v>2020</v>
      </c>
      <c r="G64" s="128" t="s">
        <v>16</v>
      </c>
      <c r="H64" s="102">
        <v>500</v>
      </c>
      <c r="I64" s="102">
        <v>500</v>
      </c>
      <c r="J64" s="102"/>
      <c r="K64" s="104"/>
      <c r="L64" s="105">
        <v>20201118</v>
      </c>
    </row>
    <row r="65" ht="15.2" customHeight="1" spans="1:12">
      <c r="A65" s="102">
        <v>63</v>
      </c>
      <c r="B65" s="102" t="s">
        <v>14402</v>
      </c>
      <c r="C65" s="5" t="s">
        <v>14523</v>
      </c>
      <c r="D65" s="102" t="s">
        <v>14524</v>
      </c>
      <c r="E65" s="102">
        <v>2020</v>
      </c>
      <c r="F65" s="102">
        <v>2020</v>
      </c>
      <c r="G65" s="128" t="s">
        <v>16</v>
      </c>
      <c r="H65" s="102">
        <v>200</v>
      </c>
      <c r="I65" s="102">
        <v>200</v>
      </c>
      <c r="J65" s="102"/>
      <c r="K65" s="104"/>
      <c r="L65" s="105">
        <v>20201118</v>
      </c>
    </row>
    <row r="66" ht="15.2" customHeight="1" spans="1:12">
      <c r="A66" s="102">
        <v>64</v>
      </c>
      <c r="B66" s="102" t="s">
        <v>14402</v>
      </c>
      <c r="C66" s="5" t="s">
        <v>14525</v>
      </c>
      <c r="D66" s="102" t="s">
        <v>14526</v>
      </c>
      <c r="E66" s="102">
        <v>2020</v>
      </c>
      <c r="F66" s="102">
        <v>2020</v>
      </c>
      <c r="G66" s="128" t="s">
        <v>16</v>
      </c>
      <c r="H66" s="102">
        <v>200</v>
      </c>
      <c r="I66" s="102">
        <v>200</v>
      </c>
      <c r="J66" s="102"/>
      <c r="K66" s="104"/>
      <c r="L66" s="105">
        <v>20201118</v>
      </c>
    </row>
    <row r="67" ht="15.2" customHeight="1" spans="1:12">
      <c r="A67" s="102">
        <v>65</v>
      </c>
      <c r="B67" s="102" t="s">
        <v>14402</v>
      </c>
      <c r="C67" s="5" t="s">
        <v>14527</v>
      </c>
      <c r="D67" s="102" t="s">
        <v>14528</v>
      </c>
      <c r="E67" s="102">
        <v>2020</v>
      </c>
      <c r="F67" s="102">
        <v>2020</v>
      </c>
      <c r="G67" s="128" t="s">
        <v>16</v>
      </c>
      <c r="H67" s="102">
        <v>200</v>
      </c>
      <c r="I67" s="102">
        <v>200</v>
      </c>
      <c r="J67" s="102" t="s">
        <v>749</v>
      </c>
      <c r="K67" s="104"/>
      <c r="L67" s="105">
        <v>20201118</v>
      </c>
    </row>
    <row r="68" ht="15.2" customHeight="1" spans="1:12">
      <c r="A68" s="102">
        <v>66</v>
      </c>
      <c r="B68" s="102" t="s">
        <v>14402</v>
      </c>
      <c r="C68" s="5" t="s">
        <v>14529</v>
      </c>
      <c r="D68" s="102" t="s">
        <v>14530</v>
      </c>
      <c r="E68" s="102">
        <v>2020</v>
      </c>
      <c r="F68" s="102">
        <v>2020</v>
      </c>
      <c r="G68" s="128" t="s">
        <v>16</v>
      </c>
      <c r="H68" s="102">
        <v>200</v>
      </c>
      <c r="I68" s="102">
        <v>200</v>
      </c>
      <c r="J68" s="102"/>
      <c r="K68" s="104"/>
      <c r="L68" s="105">
        <v>20201118</v>
      </c>
    </row>
    <row r="69" ht="15.2" customHeight="1" spans="1:12">
      <c r="A69" s="102">
        <v>67</v>
      </c>
      <c r="B69" s="102" t="s">
        <v>14402</v>
      </c>
      <c r="C69" s="5" t="s">
        <v>14531</v>
      </c>
      <c r="D69" s="102" t="s">
        <v>14532</v>
      </c>
      <c r="E69" s="102">
        <v>2020</v>
      </c>
      <c r="F69" s="102">
        <v>2020</v>
      </c>
      <c r="G69" s="128" t="s">
        <v>16</v>
      </c>
      <c r="H69" s="102">
        <v>200</v>
      </c>
      <c r="I69" s="102">
        <v>200</v>
      </c>
      <c r="J69" s="102" t="s">
        <v>749</v>
      </c>
      <c r="K69" s="104"/>
      <c r="L69" s="105">
        <v>20201118</v>
      </c>
    </row>
    <row r="70" ht="15.2" customHeight="1" spans="1:12">
      <c r="A70" s="102">
        <v>68</v>
      </c>
      <c r="B70" s="102" t="s">
        <v>14402</v>
      </c>
      <c r="C70" s="5" t="s">
        <v>11838</v>
      </c>
      <c r="D70" s="102" t="s">
        <v>14533</v>
      </c>
      <c r="E70" s="102">
        <v>2020</v>
      </c>
      <c r="F70" s="102">
        <v>2020</v>
      </c>
      <c r="G70" s="128" t="s">
        <v>16</v>
      </c>
      <c r="H70" s="102">
        <v>200</v>
      </c>
      <c r="I70" s="102">
        <v>200</v>
      </c>
      <c r="J70" s="102"/>
      <c r="K70" s="104"/>
      <c r="L70" s="105">
        <v>20201118</v>
      </c>
    </row>
    <row r="71" ht="15.2" customHeight="1" spans="1:12">
      <c r="A71" s="102">
        <v>69</v>
      </c>
      <c r="B71" s="102" t="s">
        <v>14402</v>
      </c>
      <c r="C71" s="5" t="s">
        <v>14534</v>
      </c>
      <c r="D71" s="102" t="s">
        <v>14535</v>
      </c>
      <c r="E71" s="102">
        <v>2020</v>
      </c>
      <c r="F71" s="102">
        <v>2020</v>
      </c>
      <c r="G71" s="128" t="s">
        <v>16</v>
      </c>
      <c r="H71" s="102">
        <v>200</v>
      </c>
      <c r="I71" s="102">
        <v>200</v>
      </c>
      <c r="J71" s="102"/>
      <c r="K71" s="104"/>
      <c r="L71" s="105">
        <v>20201118</v>
      </c>
    </row>
    <row r="72" ht="15.2" customHeight="1" spans="1:12">
      <c r="A72" s="102">
        <v>70</v>
      </c>
      <c r="B72" s="102" t="s">
        <v>14402</v>
      </c>
      <c r="C72" s="5" t="s">
        <v>14536</v>
      </c>
      <c r="D72" s="102" t="s">
        <v>14537</v>
      </c>
      <c r="E72" s="102">
        <v>2020</v>
      </c>
      <c r="F72" s="102">
        <v>2020</v>
      </c>
      <c r="G72" s="128" t="s">
        <v>16</v>
      </c>
      <c r="H72" s="102">
        <v>200</v>
      </c>
      <c r="I72" s="102">
        <v>200</v>
      </c>
      <c r="J72" s="102"/>
      <c r="K72" s="104"/>
      <c r="L72" s="105">
        <v>20201118</v>
      </c>
    </row>
    <row r="73" ht="15.2" customHeight="1" spans="1:12">
      <c r="A73" s="102">
        <v>71</v>
      </c>
      <c r="B73" s="102" t="s">
        <v>14402</v>
      </c>
      <c r="C73" s="5" t="s">
        <v>6925</v>
      </c>
      <c r="D73" s="102" t="s">
        <v>14538</v>
      </c>
      <c r="E73" s="102">
        <v>2020</v>
      </c>
      <c r="F73" s="102">
        <v>2020</v>
      </c>
      <c r="G73" s="128" t="s">
        <v>16</v>
      </c>
      <c r="H73" s="102">
        <v>200</v>
      </c>
      <c r="I73" s="102">
        <v>200</v>
      </c>
      <c r="J73" s="102"/>
      <c r="K73" s="104"/>
      <c r="L73" s="105">
        <v>20201118</v>
      </c>
    </row>
    <row r="74" ht="15.2" customHeight="1" spans="1:12">
      <c r="A74" s="102">
        <v>72</v>
      </c>
      <c r="B74" s="102" t="s">
        <v>14402</v>
      </c>
      <c r="C74" s="5" t="s">
        <v>14539</v>
      </c>
      <c r="D74" s="102" t="s">
        <v>14540</v>
      </c>
      <c r="E74" s="102">
        <v>2020</v>
      </c>
      <c r="F74" s="102">
        <v>2020</v>
      </c>
      <c r="G74" s="128" t="s">
        <v>16</v>
      </c>
      <c r="H74" s="102">
        <v>200</v>
      </c>
      <c r="I74" s="102">
        <v>200</v>
      </c>
      <c r="J74" s="102"/>
      <c r="K74" s="104"/>
      <c r="L74" s="105">
        <v>20201118</v>
      </c>
    </row>
    <row r="75" ht="15.2" customHeight="1" spans="1:12">
      <c r="A75" s="102">
        <v>73</v>
      </c>
      <c r="B75" s="102" t="s">
        <v>14402</v>
      </c>
      <c r="C75" s="5" t="s">
        <v>14541</v>
      </c>
      <c r="D75" s="102" t="s">
        <v>14542</v>
      </c>
      <c r="E75" s="102">
        <v>2020</v>
      </c>
      <c r="F75" s="102">
        <v>2020</v>
      </c>
      <c r="G75" s="128" t="s">
        <v>16</v>
      </c>
      <c r="H75" s="102">
        <v>200</v>
      </c>
      <c r="I75" s="102">
        <v>200</v>
      </c>
      <c r="J75" s="102" t="s">
        <v>749</v>
      </c>
      <c r="K75" s="104"/>
      <c r="L75" s="105">
        <v>20201118</v>
      </c>
    </row>
    <row r="76" ht="15.2" customHeight="1" spans="1:12">
      <c r="A76" s="102">
        <v>74</v>
      </c>
      <c r="B76" s="102" t="s">
        <v>14402</v>
      </c>
      <c r="C76" s="5" t="s">
        <v>14543</v>
      </c>
      <c r="D76" s="102" t="s">
        <v>14544</v>
      </c>
      <c r="E76" s="102">
        <v>2020</v>
      </c>
      <c r="F76" s="102">
        <v>2020</v>
      </c>
      <c r="G76" s="128" t="s">
        <v>16</v>
      </c>
      <c r="H76" s="102">
        <v>200</v>
      </c>
      <c r="I76" s="102">
        <v>200</v>
      </c>
      <c r="J76" s="102"/>
      <c r="K76" s="104"/>
      <c r="L76" s="105">
        <v>20201118</v>
      </c>
    </row>
    <row r="77" ht="15.2" customHeight="1" spans="1:12">
      <c r="A77" s="102">
        <v>75</v>
      </c>
      <c r="B77" s="102" t="s">
        <v>14402</v>
      </c>
      <c r="C77" s="5" t="s">
        <v>14545</v>
      </c>
      <c r="D77" s="102" t="s">
        <v>14546</v>
      </c>
      <c r="E77" s="102">
        <v>2020</v>
      </c>
      <c r="F77" s="102">
        <v>2020</v>
      </c>
      <c r="G77" s="128" t="s">
        <v>16</v>
      </c>
      <c r="H77" s="102">
        <v>200</v>
      </c>
      <c r="I77" s="102">
        <v>200</v>
      </c>
      <c r="J77" s="102"/>
      <c r="K77" s="104"/>
      <c r="L77" s="105">
        <v>20201118</v>
      </c>
    </row>
    <row r="78" ht="15.2" customHeight="1" spans="1:12">
      <c r="A78" s="102">
        <v>76</v>
      </c>
      <c r="B78" s="102" t="s">
        <v>14402</v>
      </c>
      <c r="C78" s="5" t="s">
        <v>14547</v>
      </c>
      <c r="D78" s="102" t="s">
        <v>14548</v>
      </c>
      <c r="E78" s="102">
        <v>2020</v>
      </c>
      <c r="F78" s="102">
        <v>2020</v>
      </c>
      <c r="G78" s="128" t="s">
        <v>16</v>
      </c>
      <c r="H78" s="102">
        <v>200</v>
      </c>
      <c r="I78" s="102">
        <v>200</v>
      </c>
      <c r="J78" s="102"/>
      <c r="K78" s="104"/>
      <c r="L78" s="105">
        <v>20201118</v>
      </c>
    </row>
    <row r="79" ht="15.2" customHeight="1" spans="1:12">
      <c r="A79" s="102">
        <v>77</v>
      </c>
      <c r="B79" s="102" t="s">
        <v>14402</v>
      </c>
      <c r="C79" s="5" t="s">
        <v>11905</v>
      </c>
      <c r="D79" s="102" t="s">
        <v>14549</v>
      </c>
      <c r="E79" s="102">
        <v>2020</v>
      </c>
      <c r="F79" s="102">
        <v>2020</v>
      </c>
      <c r="G79" s="128" t="s">
        <v>16</v>
      </c>
      <c r="H79" s="102">
        <v>200</v>
      </c>
      <c r="I79" s="102">
        <v>200</v>
      </c>
      <c r="J79" s="102"/>
      <c r="K79" s="104"/>
      <c r="L79" s="105">
        <v>20201118</v>
      </c>
    </row>
    <row r="80" ht="15.2" customHeight="1" spans="1:12">
      <c r="A80" s="102">
        <v>78</v>
      </c>
      <c r="B80" s="102" t="s">
        <v>14402</v>
      </c>
      <c r="C80" s="5" t="s">
        <v>1543</v>
      </c>
      <c r="D80" s="102" t="s">
        <v>14550</v>
      </c>
      <c r="E80" s="102">
        <v>2020</v>
      </c>
      <c r="F80" s="102">
        <v>2020</v>
      </c>
      <c r="G80" s="128" t="s">
        <v>16</v>
      </c>
      <c r="H80" s="102">
        <v>200</v>
      </c>
      <c r="I80" s="102">
        <v>200</v>
      </c>
      <c r="J80" s="102"/>
      <c r="K80" s="104"/>
      <c r="L80" s="105">
        <v>20201118</v>
      </c>
    </row>
    <row r="81" ht="15.2" customHeight="1" spans="1:12">
      <c r="A81" s="102">
        <v>79</v>
      </c>
      <c r="B81" s="102" t="s">
        <v>14402</v>
      </c>
      <c r="C81" s="5" t="s">
        <v>14551</v>
      </c>
      <c r="D81" s="102" t="s">
        <v>14552</v>
      </c>
      <c r="E81" s="102">
        <v>2020</v>
      </c>
      <c r="F81" s="102">
        <v>2020</v>
      </c>
      <c r="G81" s="128" t="s">
        <v>16</v>
      </c>
      <c r="H81" s="102">
        <v>200</v>
      </c>
      <c r="I81" s="102">
        <v>200</v>
      </c>
      <c r="J81" s="102"/>
      <c r="K81" s="104"/>
      <c r="L81" s="105">
        <v>20201118</v>
      </c>
    </row>
    <row r="82" ht="15.2" customHeight="1" spans="1:12">
      <c r="A82" s="102">
        <v>80</v>
      </c>
      <c r="B82" s="102" t="s">
        <v>14402</v>
      </c>
      <c r="C82" s="5" t="s">
        <v>14553</v>
      </c>
      <c r="D82" s="102" t="s">
        <v>14554</v>
      </c>
      <c r="E82" s="102">
        <v>2020</v>
      </c>
      <c r="F82" s="102">
        <v>2020</v>
      </c>
      <c r="G82" s="128" t="s">
        <v>16</v>
      </c>
      <c r="H82" s="102">
        <v>500</v>
      </c>
      <c r="I82" s="102">
        <v>500</v>
      </c>
      <c r="J82" s="102"/>
      <c r="K82" s="104"/>
      <c r="L82" s="105">
        <v>20201118</v>
      </c>
    </row>
    <row r="83" ht="15.2" customHeight="1" spans="1:12">
      <c r="A83" s="102">
        <v>81</v>
      </c>
      <c r="B83" s="102" t="s">
        <v>14402</v>
      </c>
      <c r="C83" s="5" t="s">
        <v>14555</v>
      </c>
      <c r="D83" s="102" t="s">
        <v>14556</v>
      </c>
      <c r="E83" s="102">
        <v>2020</v>
      </c>
      <c r="F83" s="102">
        <v>2020</v>
      </c>
      <c r="G83" s="128" t="s">
        <v>16</v>
      </c>
      <c r="H83" s="102">
        <v>200</v>
      </c>
      <c r="I83" s="102">
        <v>200</v>
      </c>
      <c r="J83" s="102"/>
      <c r="K83" s="104"/>
      <c r="L83" s="105">
        <v>20201118</v>
      </c>
    </row>
    <row r="84" ht="15.2" customHeight="1" spans="1:12">
      <c r="A84" s="102">
        <v>82</v>
      </c>
      <c r="B84" s="102" t="s">
        <v>14402</v>
      </c>
      <c r="C84" s="5" t="s">
        <v>14557</v>
      </c>
      <c r="D84" s="102" t="s">
        <v>14558</v>
      </c>
      <c r="E84" s="102">
        <v>2020</v>
      </c>
      <c r="F84" s="102">
        <v>2020</v>
      </c>
      <c r="G84" s="128" t="s">
        <v>16</v>
      </c>
      <c r="H84" s="102">
        <v>200</v>
      </c>
      <c r="I84" s="102">
        <v>200</v>
      </c>
      <c r="J84" s="102"/>
      <c r="K84" s="104"/>
      <c r="L84" s="105">
        <v>20201118</v>
      </c>
    </row>
    <row r="85" ht="15.2" customHeight="1" spans="1:12">
      <c r="A85" s="102">
        <v>83</v>
      </c>
      <c r="B85" s="102" t="s">
        <v>14402</v>
      </c>
      <c r="C85" s="5" t="s">
        <v>14559</v>
      </c>
      <c r="D85" s="102" t="s">
        <v>14560</v>
      </c>
      <c r="E85" s="102">
        <v>2020</v>
      </c>
      <c r="F85" s="102">
        <v>2020</v>
      </c>
      <c r="G85" s="128" t="s">
        <v>16</v>
      </c>
      <c r="H85" s="102">
        <v>500</v>
      </c>
      <c r="I85" s="102">
        <v>500</v>
      </c>
      <c r="J85" s="102"/>
      <c r="K85" s="104"/>
      <c r="L85" s="105">
        <v>20201118</v>
      </c>
    </row>
    <row r="86" ht="15.2" customHeight="1" spans="1:12">
      <c r="A86" s="102">
        <v>84</v>
      </c>
      <c r="B86" s="102" t="s">
        <v>14402</v>
      </c>
      <c r="C86" s="5" t="s">
        <v>14561</v>
      </c>
      <c r="D86" s="102" t="s">
        <v>14562</v>
      </c>
      <c r="E86" s="102">
        <v>2020</v>
      </c>
      <c r="F86" s="102">
        <v>2020</v>
      </c>
      <c r="G86" s="128" t="s">
        <v>16</v>
      </c>
      <c r="H86" s="102">
        <v>500</v>
      </c>
      <c r="I86" s="102">
        <v>500</v>
      </c>
      <c r="J86" s="102"/>
      <c r="K86" s="104"/>
      <c r="L86" s="105">
        <v>20201118</v>
      </c>
    </row>
    <row r="87" ht="15.2" customHeight="1" spans="1:12">
      <c r="A87" s="102">
        <v>85</v>
      </c>
      <c r="B87" s="102" t="s">
        <v>14402</v>
      </c>
      <c r="C87" s="5" t="s">
        <v>8128</v>
      </c>
      <c r="D87" s="102" t="s">
        <v>14563</v>
      </c>
      <c r="E87" s="102">
        <v>2020</v>
      </c>
      <c r="F87" s="102">
        <v>2020</v>
      </c>
      <c r="G87" s="128" t="s">
        <v>16</v>
      </c>
      <c r="H87" s="102">
        <v>200</v>
      </c>
      <c r="I87" s="102">
        <v>200</v>
      </c>
      <c r="J87" s="102"/>
      <c r="K87" s="104"/>
      <c r="L87" s="105">
        <v>20201118</v>
      </c>
    </row>
    <row r="88" ht="15.2" customHeight="1" spans="1:12">
      <c r="A88" s="102">
        <v>86</v>
      </c>
      <c r="B88" s="102" t="s">
        <v>14402</v>
      </c>
      <c r="C88" s="5" t="s">
        <v>14564</v>
      </c>
      <c r="D88" s="102" t="s">
        <v>14565</v>
      </c>
      <c r="E88" s="102">
        <v>2020</v>
      </c>
      <c r="F88" s="102">
        <v>2020</v>
      </c>
      <c r="G88" s="128" t="s">
        <v>16</v>
      </c>
      <c r="H88" s="102">
        <v>200</v>
      </c>
      <c r="I88" s="102">
        <v>200</v>
      </c>
      <c r="J88" s="102"/>
      <c r="K88" s="104"/>
      <c r="L88" s="105">
        <v>20201118</v>
      </c>
    </row>
    <row r="89" ht="15.2" customHeight="1" spans="1:12">
      <c r="A89" s="102">
        <v>87</v>
      </c>
      <c r="B89" s="102" t="s">
        <v>14402</v>
      </c>
      <c r="C89" s="5" t="s">
        <v>14566</v>
      </c>
      <c r="D89" s="102" t="s">
        <v>14567</v>
      </c>
      <c r="E89" s="102">
        <v>2020</v>
      </c>
      <c r="F89" s="102">
        <v>2020</v>
      </c>
      <c r="G89" s="128" t="s">
        <v>16</v>
      </c>
      <c r="H89" s="102">
        <v>500</v>
      </c>
      <c r="I89" s="102">
        <v>500</v>
      </c>
      <c r="J89" s="102"/>
      <c r="K89" s="104"/>
      <c r="L89" s="105">
        <v>20201118</v>
      </c>
    </row>
    <row r="90" ht="15.2" customHeight="1" spans="1:12">
      <c r="A90" s="102">
        <v>88</v>
      </c>
      <c r="B90" s="102" t="s">
        <v>14402</v>
      </c>
      <c r="C90" s="5" t="s">
        <v>14568</v>
      </c>
      <c r="D90" s="102" t="s">
        <v>14569</v>
      </c>
      <c r="E90" s="102">
        <v>2020</v>
      </c>
      <c r="F90" s="102">
        <v>2020</v>
      </c>
      <c r="G90" s="128" t="s">
        <v>16</v>
      </c>
      <c r="H90" s="102">
        <v>200</v>
      </c>
      <c r="I90" s="102">
        <v>200</v>
      </c>
      <c r="J90" s="102"/>
      <c r="K90" s="104"/>
      <c r="L90" s="105">
        <v>20201118</v>
      </c>
    </row>
    <row r="91" ht="15.2" customHeight="1" spans="1:12">
      <c r="A91" s="102">
        <v>89</v>
      </c>
      <c r="B91" s="102" t="s">
        <v>14402</v>
      </c>
      <c r="C91" s="5" t="s">
        <v>14570</v>
      </c>
      <c r="D91" s="102" t="s">
        <v>14571</v>
      </c>
      <c r="E91" s="102">
        <v>2020</v>
      </c>
      <c r="F91" s="102">
        <v>2020</v>
      </c>
      <c r="G91" s="128" t="s">
        <v>16</v>
      </c>
      <c r="H91" s="102">
        <v>200</v>
      </c>
      <c r="I91" s="102">
        <v>200</v>
      </c>
      <c r="J91" s="102"/>
      <c r="K91" s="104"/>
      <c r="L91" s="105">
        <v>20201118</v>
      </c>
    </row>
    <row r="92" ht="15.2" customHeight="1" spans="1:12">
      <c r="A92" s="102">
        <v>90</v>
      </c>
      <c r="B92" s="102" t="s">
        <v>14402</v>
      </c>
      <c r="C92" s="5" t="s">
        <v>14572</v>
      </c>
      <c r="D92" s="102" t="s">
        <v>14573</v>
      </c>
      <c r="E92" s="102">
        <v>2020</v>
      </c>
      <c r="F92" s="102">
        <v>2020</v>
      </c>
      <c r="G92" s="128" t="s">
        <v>16</v>
      </c>
      <c r="H92" s="102">
        <v>200</v>
      </c>
      <c r="I92" s="102">
        <v>200</v>
      </c>
      <c r="J92" s="102"/>
      <c r="K92" s="104"/>
      <c r="L92" s="105">
        <v>20201118</v>
      </c>
    </row>
    <row r="93" ht="15.2" customHeight="1" spans="1:12">
      <c r="A93" s="102">
        <v>91</v>
      </c>
      <c r="B93" s="102" t="s">
        <v>14402</v>
      </c>
      <c r="C93" s="5" t="s">
        <v>14574</v>
      </c>
      <c r="D93" s="102" t="s">
        <v>14575</v>
      </c>
      <c r="E93" s="102">
        <v>2020</v>
      </c>
      <c r="F93" s="102">
        <v>2020</v>
      </c>
      <c r="G93" s="128" t="s">
        <v>16</v>
      </c>
      <c r="H93" s="102">
        <v>200</v>
      </c>
      <c r="I93" s="102">
        <v>200</v>
      </c>
      <c r="J93" s="102"/>
      <c r="K93" s="104"/>
      <c r="L93" s="105">
        <v>20201118</v>
      </c>
    </row>
    <row r="94" ht="15.2" customHeight="1" spans="1:12">
      <c r="A94" s="102">
        <v>92</v>
      </c>
      <c r="B94" s="102" t="s">
        <v>14402</v>
      </c>
      <c r="C94" s="5" t="s">
        <v>14576</v>
      </c>
      <c r="D94" s="102" t="s">
        <v>14577</v>
      </c>
      <c r="E94" s="102">
        <v>2020</v>
      </c>
      <c r="F94" s="102">
        <v>2020</v>
      </c>
      <c r="G94" s="128" t="s">
        <v>16</v>
      </c>
      <c r="H94" s="102">
        <v>200</v>
      </c>
      <c r="I94" s="102">
        <v>200</v>
      </c>
      <c r="J94" s="102"/>
      <c r="K94" s="104"/>
      <c r="L94" s="105">
        <v>20201118</v>
      </c>
    </row>
    <row r="95" ht="15.2" customHeight="1" spans="1:12">
      <c r="A95" s="102">
        <v>93</v>
      </c>
      <c r="B95" s="102" t="s">
        <v>14402</v>
      </c>
      <c r="C95" s="5" t="s">
        <v>14578</v>
      </c>
      <c r="D95" s="102" t="s">
        <v>14579</v>
      </c>
      <c r="E95" s="102">
        <v>2020</v>
      </c>
      <c r="F95" s="102">
        <v>2020</v>
      </c>
      <c r="G95" s="128" t="s">
        <v>16</v>
      </c>
      <c r="H95" s="102">
        <v>200</v>
      </c>
      <c r="I95" s="102">
        <v>200</v>
      </c>
      <c r="J95" s="102"/>
      <c r="K95" s="104"/>
      <c r="L95" s="105">
        <v>20201118</v>
      </c>
    </row>
    <row r="96" ht="15.2" customHeight="1" spans="1:12">
      <c r="A96" s="102">
        <v>94</v>
      </c>
      <c r="B96" s="102" t="s">
        <v>14402</v>
      </c>
      <c r="C96" s="5" t="s">
        <v>7319</v>
      </c>
      <c r="D96" s="102" t="s">
        <v>14580</v>
      </c>
      <c r="E96" s="102">
        <v>2020</v>
      </c>
      <c r="F96" s="102">
        <v>2020</v>
      </c>
      <c r="G96" s="128" t="s">
        <v>16</v>
      </c>
      <c r="H96" s="102">
        <v>200</v>
      </c>
      <c r="I96" s="102">
        <v>200</v>
      </c>
      <c r="J96" s="102" t="s">
        <v>749</v>
      </c>
      <c r="K96" s="104"/>
      <c r="L96" s="105">
        <v>20201118</v>
      </c>
    </row>
    <row r="97" ht="15.2" customHeight="1" spans="1:12">
      <c r="A97" s="102">
        <v>95</v>
      </c>
      <c r="B97" s="102" t="s">
        <v>14402</v>
      </c>
      <c r="C97" s="5" t="s">
        <v>14581</v>
      </c>
      <c r="D97" s="102" t="s">
        <v>14582</v>
      </c>
      <c r="E97" s="102">
        <v>2020</v>
      </c>
      <c r="F97" s="102">
        <v>2020</v>
      </c>
      <c r="G97" s="128" t="s">
        <v>16</v>
      </c>
      <c r="H97" s="102">
        <v>200</v>
      </c>
      <c r="I97" s="102">
        <v>200</v>
      </c>
      <c r="J97" s="102"/>
      <c r="K97" s="104"/>
      <c r="L97" s="105">
        <v>20201118</v>
      </c>
    </row>
    <row r="98" ht="15.2" customHeight="1" spans="1:12">
      <c r="A98" s="102">
        <v>96</v>
      </c>
      <c r="B98" s="102" t="s">
        <v>14402</v>
      </c>
      <c r="C98" s="5" t="s">
        <v>14583</v>
      </c>
      <c r="D98" s="102" t="s">
        <v>14584</v>
      </c>
      <c r="E98" s="102">
        <v>2020</v>
      </c>
      <c r="F98" s="102">
        <v>2020</v>
      </c>
      <c r="G98" s="128" t="s">
        <v>16</v>
      </c>
      <c r="H98" s="102">
        <v>200</v>
      </c>
      <c r="I98" s="102">
        <v>200</v>
      </c>
      <c r="J98" s="102"/>
      <c r="K98" s="104"/>
      <c r="L98" s="105">
        <v>20201118</v>
      </c>
    </row>
    <row r="99" ht="15.2" customHeight="1" spans="1:12">
      <c r="A99" s="102">
        <v>97</v>
      </c>
      <c r="B99" s="102" t="s">
        <v>14402</v>
      </c>
      <c r="C99" s="5" t="s">
        <v>14585</v>
      </c>
      <c r="D99" s="102" t="s">
        <v>14586</v>
      </c>
      <c r="E99" s="102">
        <v>2020</v>
      </c>
      <c r="F99" s="102">
        <v>2020</v>
      </c>
      <c r="G99" s="128" t="s">
        <v>16</v>
      </c>
      <c r="H99" s="102">
        <v>200</v>
      </c>
      <c r="I99" s="102">
        <v>200</v>
      </c>
      <c r="J99" s="102"/>
      <c r="K99" s="104"/>
      <c r="L99" s="105">
        <v>20201118</v>
      </c>
    </row>
    <row r="100" ht="15.2" customHeight="1" spans="1:12">
      <c r="A100" s="102">
        <v>98</v>
      </c>
      <c r="B100" s="102" t="s">
        <v>14402</v>
      </c>
      <c r="C100" s="5" t="s">
        <v>14587</v>
      </c>
      <c r="D100" s="102" t="s">
        <v>14588</v>
      </c>
      <c r="E100" s="102">
        <v>2020</v>
      </c>
      <c r="F100" s="102">
        <v>2020</v>
      </c>
      <c r="G100" s="128" t="s">
        <v>16</v>
      </c>
      <c r="H100" s="102">
        <v>200</v>
      </c>
      <c r="I100" s="102">
        <v>200</v>
      </c>
      <c r="J100" s="102"/>
      <c r="K100" s="104"/>
      <c r="L100" s="105">
        <v>20201118</v>
      </c>
    </row>
    <row r="101" ht="15.2" customHeight="1" spans="1:12">
      <c r="A101" s="102">
        <v>99</v>
      </c>
      <c r="B101" s="102" t="s">
        <v>14402</v>
      </c>
      <c r="C101" s="5" t="s">
        <v>12369</v>
      </c>
      <c r="D101" s="102" t="s">
        <v>14589</v>
      </c>
      <c r="E101" s="102">
        <v>2020</v>
      </c>
      <c r="F101" s="102">
        <v>2020</v>
      </c>
      <c r="G101" s="128" t="s">
        <v>16</v>
      </c>
      <c r="H101" s="102">
        <v>200</v>
      </c>
      <c r="I101" s="102">
        <v>200</v>
      </c>
      <c r="J101" s="102"/>
      <c r="K101" s="104"/>
      <c r="L101" s="105">
        <v>20201118</v>
      </c>
    </row>
    <row r="102" ht="15.2" customHeight="1" spans="1:12">
      <c r="A102" s="102">
        <v>100</v>
      </c>
      <c r="B102" s="102" t="s">
        <v>14402</v>
      </c>
      <c r="C102" s="5" t="s">
        <v>14590</v>
      </c>
      <c r="D102" s="102" t="s">
        <v>14591</v>
      </c>
      <c r="E102" s="102">
        <v>2020</v>
      </c>
      <c r="F102" s="102">
        <v>2020</v>
      </c>
      <c r="G102" s="128" t="s">
        <v>16</v>
      </c>
      <c r="H102" s="102">
        <v>500</v>
      </c>
      <c r="I102" s="102">
        <v>500</v>
      </c>
      <c r="J102" s="102"/>
      <c r="K102" s="104"/>
      <c r="L102" s="105">
        <v>20201118</v>
      </c>
    </row>
    <row r="103" ht="15.2" customHeight="1" spans="1:12">
      <c r="A103" s="102">
        <v>101</v>
      </c>
      <c r="B103" s="102" t="s">
        <v>14402</v>
      </c>
      <c r="C103" s="5" t="s">
        <v>14592</v>
      </c>
      <c r="D103" s="102" t="s">
        <v>14593</v>
      </c>
      <c r="E103" s="102">
        <v>2020</v>
      </c>
      <c r="F103" s="102">
        <v>2020</v>
      </c>
      <c r="G103" s="128" t="s">
        <v>16</v>
      </c>
      <c r="H103" s="102">
        <v>200</v>
      </c>
      <c r="I103" s="102">
        <v>200</v>
      </c>
      <c r="J103" s="102"/>
      <c r="K103" s="104"/>
      <c r="L103" s="105">
        <v>20201118</v>
      </c>
    </row>
    <row r="104" ht="15.2" customHeight="1" spans="1:12">
      <c r="A104" s="102">
        <v>102</v>
      </c>
      <c r="B104" s="102" t="s">
        <v>14402</v>
      </c>
      <c r="C104" s="5" t="s">
        <v>14594</v>
      </c>
      <c r="D104" s="102" t="s">
        <v>14595</v>
      </c>
      <c r="E104" s="102">
        <v>2020</v>
      </c>
      <c r="F104" s="102">
        <v>2020</v>
      </c>
      <c r="G104" s="128" t="s">
        <v>16</v>
      </c>
      <c r="H104" s="102">
        <v>200</v>
      </c>
      <c r="I104" s="102">
        <v>200</v>
      </c>
      <c r="J104" s="102"/>
      <c r="K104" s="104"/>
      <c r="L104" s="105">
        <v>20201118</v>
      </c>
    </row>
    <row r="105" ht="15.2" customHeight="1" spans="1:12">
      <c r="A105" s="102">
        <v>103</v>
      </c>
      <c r="B105" s="102" t="s">
        <v>14402</v>
      </c>
      <c r="C105" s="5" t="s">
        <v>14596</v>
      </c>
      <c r="D105" s="102" t="s">
        <v>14597</v>
      </c>
      <c r="E105" s="102">
        <v>2020</v>
      </c>
      <c r="F105" s="102">
        <v>2020</v>
      </c>
      <c r="G105" s="128" t="s">
        <v>16</v>
      </c>
      <c r="H105" s="102">
        <v>500</v>
      </c>
      <c r="I105" s="102">
        <v>500</v>
      </c>
      <c r="J105" s="102"/>
      <c r="K105" s="104"/>
      <c r="L105" s="105">
        <v>20201118</v>
      </c>
    </row>
    <row r="106" ht="15.2" customHeight="1" spans="1:12">
      <c r="A106" s="102">
        <v>104</v>
      </c>
      <c r="B106" s="121" t="s">
        <v>14402</v>
      </c>
      <c r="C106" s="62" t="s">
        <v>14598</v>
      </c>
      <c r="D106" s="121" t="s">
        <v>14599</v>
      </c>
      <c r="E106" s="121">
        <v>2020</v>
      </c>
      <c r="F106" s="121">
        <v>2020</v>
      </c>
      <c r="G106" s="130" t="s">
        <v>16</v>
      </c>
      <c r="H106" s="121">
        <v>200</v>
      </c>
      <c r="I106" s="121">
        <v>200</v>
      </c>
      <c r="J106" s="121"/>
      <c r="K106" s="104"/>
      <c r="L106" s="105">
        <v>20201118</v>
      </c>
    </row>
    <row r="107" ht="15.2" customHeight="1" spans="1:12">
      <c r="A107" s="102">
        <v>105</v>
      </c>
      <c r="B107" s="121" t="s">
        <v>14402</v>
      </c>
      <c r="C107" s="62" t="s">
        <v>14600</v>
      </c>
      <c r="D107" s="121" t="s">
        <v>14601</v>
      </c>
      <c r="E107" s="121">
        <v>2020</v>
      </c>
      <c r="F107" s="121">
        <v>2020</v>
      </c>
      <c r="G107" s="130" t="s">
        <v>16</v>
      </c>
      <c r="H107" s="121">
        <v>200</v>
      </c>
      <c r="I107" s="121">
        <v>200</v>
      </c>
      <c r="J107" s="121"/>
      <c r="K107" s="104"/>
      <c r="L107" s="105">
        <v>20201118</v>
      </c>
    </row>
    <row r="108" ht="15.2" customHeight="1" spans="1:12">
      <c r="A108" s="102">
        <v>106</v>
      </c>
      <c r="B108" s="102" t="s">
        <v>14402</v>
      </c>
      <c r="C108" s="5" t="s">
        <v>14602</v>
      </c>
      <c r="D108" s="102" t="s">
        <v>14603</v>
      </c>
      <c r="E108" s="102">
        <v>2020</v>
      </c>
      <c r="F108" s="102">
        <v>2020</v>
      </c>
      <c r="G108" s="128" t="s">
        <v>16</v>
      </c>
      <c r="H108" s="102">
        <v>200</v>
      </c>
      <c r="I108" s="102">
        <v>200</v>
      </c>
      <c r="J108" s="102"/>
      <c r="K108" s="104"/>
      <c r="L108" s="105">
        <v>20201118</v>
      </c>
    </row>
    <row r="109" ht="15.2" customHeight="1" spans="1:12">
      <c r="A109" s="102">
        <v>107</v>
      </c>
      <c r="B109" s="102" t="s">
        <v>14402</v>
      </c>
      <c r="C109" s="5" t="s">
        <v>14604</v>
      </c>
      <c r="D109" s="102" t="s">
        <v>14605</v>
      </c>
      <c r="E109" s="102">
        <v>2020</v>
      </c>
      <c r="F109" s="102">
        <v>2020</v>
      </c>
      <c r="G109" s="128" t="s">
        <v>16</v>
      </c>
      <c r="H109" s="102">
        <v>200</v>
      </c>
      <c r="I109" s="102">
        <v>200</v>
      </c>
      <c r="J109" s="102"/>
      <c r="K109" s="104"/>
      <c r="L109" s="105">
        <v>20201118</v>
      </c>
    </row>
    <row r="110" ht="15.2" customHeight="1" spans="1:12">
      <c r="A110" s="102">
        <v>108</v>
      </c>
      <c r="B110" s="102" t="s">
        <v>14402</v>
      </c>
      <c r="C110" s="5" t="s">
        <v>14606</v>
      </c>
      <c r="D110" s="102" t="s">
        <v>14607</v>
      </c>
      <c r="E110" s="102">
        <v>2020</v>
      </c>
      <c r="F110" s="102">
        <v>2020</v>
      </c>
      <c r="G110" s="128" t="s">
        <v>16</v>
      </c>
      <c r="H110" s="102">
        <v>200</v>
      </c>
      <c r="I110" s="102">
        <v>200</v>
      </c>
      <c r="J110" s="102"/>
      <c r="K110" s="104"/>
      <c r="L110" s="105">
        <v>20201118</v>
      </c>
    </row>
    <row r="111" ht="15.2" customHeight="1" spans="1:12">
      <c r="A111" s="102">
        <v>109</v>
      </c>
      <c r="B111" s="102" t="s">
        <v>14402</v>
      </c>
      <c r="C111" s="5" t="s">
        <v>14608</v>
      </c>
      <c r="D111" s="102" t="s">
        <v>14609</v>
      </c>
      <c r="E111" s="102">
        <v>2020</v>
      </c>
      <c r="F111" s="102">
        <v>2020</v>
      </c>
      <c r="G111" s="128" t="s">
        <v>16</v>
      </c>
      <c r="H111" s="102">
        <v>200</v>
      </c>
      <c r="I111" s="102">
        <v>200</v>
      </c>
      <c r="J111" s="102"/>
      <c r="K111" s="104"/>
      <c r="L111" s="105">
        <v>20201118</v>
      </c>
    </row>
    <row r="112" ht="15.2" customHeight="1" spans="1:12">
      <c r="A112" s="102">
        <v>110</v>
      </c>
      <c r="B112" s="102" t="s">
        <v>14402</v>
      </c>
      <c r="C112" s="5" t="s">
        <v>14610</v>
      </c>
      <c r="D112" s="102" t="s">
        <v>14611</v>
      </c>
      <c r="E112" s="102">
        <v>2020</v>
      </c>
      <c r="F112" s="102">
        <v>2020</v>
      </c>
      <c r="G112" s="128" t="s">
        <v>16</v>
      </c>
      <c r="H112" s="102">
        <v>200</v>
      </c>
      <c r="I112" s="102">
        <v>200</v>
      </c>
      <c r="J112" s="102"/>
      <c r="K112" s="104"/>
      <c r="L112" s="105">
        <v>20201118</v>
      </c>
    </row>
    <row r="113" ht="15.2" customHeight="1" spans="1:12">
      <c r="A113" s="102">
        <v>111</v>
      </c>
      <c r="B113" s="102" t="s">
        <v>14402</v>
      </c>
      <c r="C113" s="5" t="s">
        <v>9289</v>
      </c>
      <c r="D113" s="102" t="s">
        <v>14612</v>
      </c>
      <c r="E113" s="102">
        <v>2020</v>
      </c>
      <c r="F113" s="102">
        <v>2020</v>
      </c>
      <c r="G113" s="128" t="s">
        <v>16</v>
      </c>
      <c r="H113" s="102">
        <v>200</v>
      </c>
      <c r="I113" s="102">
        <v>200</v>
      </c>
      <c r="J113" s="102"/>
      <c r="K113" s="104"/>
      <c r="L113" s="105">
        <v>20201118</v>
      </c>
    </row>
    <row r="114" ht="15.2" customHeight="1" spans="1:12">
      <c r="A114" s="102">
        <v>112</v>
      </c>
      <c r="B114" s="102" t="s">
        <v>14402</v>
      </c>
      <c r="C114" s="5" t="s">
        <v>14613</v>
      </c>
      <c r="D114" s="102" t="s">
        <v>14614</v>
      </c>
      <c r="E114" s="102">
        <v>2020</v>
      </c>
      <c r="F114" s="102">
        <v>2020</v>
      </c>
      <c r="G114" s="128" t="s">
        <v>16</v>
      </c>
      <c r="H114" s="102">
        <v>200</v>
      </c>
      <c r="I114" s="102">
        <v>200</v>
      </c>
      <c r="J114" s="102"/>
      <c r="K114" s="104"/>
      <c r="L114" s="105">
        <v>20201118</v>
      </c>
    </row>
    <row r="115" ht="15.2" customHeight="1" spans="1:12">
      <c r="A115" s="102">
        <v>113</v>
      </c>
      <c r="B115" s="121" t="s">
        <v>14402</v>
      </c>
      <c r="C115" s="62" t="s">
        <v>14615</v>
      </c>
      <c r="D115" s="121" t="s">
        <v>14616</v>
      </c>
      <c r="E115" s="121">
        <v>2020</v>
      </c>
      <c r="F115" s="121">
        <v>2020</v>
      </c>
      <c r="G115" s="130" t="s">
        <v>16</v>
      </c>
      <c r="H115" s="121">
        <v>200</v>
      </c>
      <c r="I115" s="121">
        <v>200</v>
      </c>
      <c r="J115" s="121" t="s">
        <v>749</v>
      </c>
      <c r="K115" s="104"/>
      <c r="L115" s="105">
        <v>20201118</v>
      </c>
    </row>
    <row r="116" ht="15.2" customHeight="1" spans="1:12">
      <c r="A116" s="102">
        <v>114</v>
      </c>
      <c r="B116" s="102" t="s">
        <v>14402</v>
      </c>
      <c r="C116" s="5" t="s">
        <v>14617</v>
      </c>
      <c r="D116" s="102" t="s">
        <v>14618</v>
      </c>
      <c r="E116" s="102">
        <v>2020</v>
      </c>
      <c r="F116" s="102">
        <v>2020</v>
      </c>
      <c r="G116" s="128" t="s">
        <v>16</v>
      </c>
      <c r="H116" s="102">
        <v>200</v>
      </c>
      <c r="I116" s="102">
        <v>200</v>
      </c>
      <c r="J116" s="102"/>
      <c r="K116" s="104"/>
      <c r="L116" s="105">
        <v>20201118</v>
      </c>
    </row>
    <row r="117" ht="15.2" customHeight="1" spans="1:12">
      <c r="A117" s="102">
        <v>115</v>
      </c>
      <c r="B117" s="102" t="s">
        <v>14402</v>
      </c>
      <c r="C117" s="5" t="s">
        <v>14619</v>
      </c>
      <c r="D117" s="102" t="s">
        <v>14620</v>
      </c>
      <c r="E117" s="102">
        <v>2020</v>
      </c>
      <c r="F117" s="102">
        <v>2020</v>
      </c>
      <c r="G117" s="128" t="s">
        <v>16</v>
      </c>
      <c r="H117" s="102">
        <v>200</v>
      </c>
      <c r="I117" s="102">
        <v>200</v>
      </c>
      <c r="J117" s="102"/>
      <c r="K117" s="104"/>
      <c r="L117" s="105">
        <v>20201118</v>
      </c>
    </row>
    <row r="118" ht="15.2" customHeight="1" spans="1:12">
      <c r="A118" s="102">
        <v>116</v>
      </c>
      <c r="B118" s="102" t="s">
        <v>14402</v>
      </c>
      <c r="C118" s="5" t="s">
        <v>14621</v>
      </c>
      <c r="D118" s="102" t="s">
        <v>14622</v>
      </c>
      <c r="E118" s="102">
        <v>2020</v>
      </c>
      <c r="F118" s="102">
        <v>2020</v>
      </c>
      <c r="G118" s="128" t="s">
        <v>16</v>
      </c>
      <c r="H118" s="102">
        <v>200</v>
      </c>
      <c r="I118" s="102">
        <v>200</v>
      </c>
      <c r="J118" s="102"/>
      <c r="K118" s="104"/>
      <c r="L118" s="105">
        <v>20201118</v>
      </c>
    </row>
    <row r="119" ht="15.2" customHeight="1" spans="1:12">
      <c r="A119" s="102">
        <v>117</v>
      </c>
      <c r="B119" s="121" t="s">
        <v>14402</v>
      </c>
      <c r="C119" s="62" t="s">
        <v>14623</v>
      </c>
      <c r="D119" s="121" t="s">
        <v>14624</v>
      </c>
      <c r="E119" s="121">
        <v>2020</v>
      </c>
      <c r="F119" s="121">
        <v>2020</v>
      </c>
      <c r="G119" s="130" t="s">
        <v>16</v>
      </c>
      <c r="H119" s="121">
        <v>200</v>
      </c>
      <c r="I119" s="121">
        <v>200</v>
      </c>
      <c r="J119" s="121"/>
      <c r="K119" s="104"/>
      <c r="L119" s="105">
        <v>20201118</v>
      </c>
    </row>
    <row r="120" ht="15.2" customHeight="1" spans="1:12">
      <c r="A120" s="102">
        <v>118</v>
      </c>
      <c r="B120" s="102" t="s">
        <v>14402</v>
      </c>
      <c r="C120" s="5" t="s">
        <v>14625</v>
      </c>
      <c r="D120" s="102" t="s">
        <v>14626</v>
      </c>
      <c r="E120" s="102">
        <v>2020</v>
      </c>
      <c r="F120" s="102">
        <v>2020</v>
      </c>
      <c r="G120" s="128" t="s">
        <v>16</v>
      </c>
      <c r="H120" s="102">
        <v>200</v>
      </c>
      <c r="I120" s="102">
        <v>200</v>
      </c>
      <c r="J120" s="102"/>
      <c r="K120" s="104"/>
      <c r="L120" s="105">
        <v>20201118</v>
      </c>
    </row>
    <row r="121" ht="15.2" customHeight="1" spans="1:12">
      <c r="A121" s="102">
        <v>119</v>
      </c>
      <c r="B121" s="102" t="s">
        <v>14402</v>
      </c>
      <c r="C121" s="5" t="s">
        <v>14627</v>
      </c>
      <c r="D121" s="102" t="s">
        <v>14628</v>
      </c>
      <c r="E121" s="102">
        <v>2020</v>
      </c>
      <c r="F121" s="102">
        <v>2020</v>
      </c>
      <c r="G121" s="128" t="s">
        <v>16</v>
      </c>
      <c r="H121" s="102">
        <v>200</v>
      </c>
      <c r="I121" s="102">
        <v>200</v>
      </c>
      <c r="J121" s="102"/>
      <c r="K121" s="104"/>
      <c r="L121" s="105">
        <v>20201118</v>
      </c>
    </row>
    <row r="122" ht="15.2" customHeight="1" spans="1:12">
      <c r="A122" s="102">
        <v>120</v>
      </c>
      <c r="B122" s="121" t="s">
        <v>14402</v>
      </c>
      <c r="C122" s="62" t="s">
        <v>14629</v>
      </c>
      <c r="D122" s="121" t="s">
        <v>14630</v>
      </c>
      <c r="E122" s="121">
        <v>2020</v>
      </c>
      <c r="F122" s="121">
        <v>2020</v>
      </c>
      <c r="G122" s="130" t="s">
        <v>16</v>
      </c>
      <c r="H122" s="121">
        <v>200</v>
      </c>
      <c r="I122" s="121">
        <v>200</v>
      </c>
      <c r="J122" s="121"/>
      <c r="K122" s="104"/>
      <c r="L122" s="105">
        <v>20201118</v>
      </c>
    </row>
    <row r="123" ht="15.2" customHeight="1" spans="1:12">
      <c r="A123" s="102">
        <v>121</v>
      </c>
      <c r="B123" s="102" t="s">
        <v>14402</v>
      </c>
      <c r="C123" s="5" t="s">
        <v>14631</v>
      </c>
      <c r="D123" s="102" t="s">
        <v>14632</v>
      </c>
      <c r="E123" s="102">
        <v>2020</v>
      </c>
      <c r="F123" s="102">
        <v>2020</v>
      </c>
      <c r="G123" s="128" t="s">
        <v>16</v>
      </c>
      <c r="H123" s="102">
        <v>200</v>
      </c>
      <c r="I123" s="102">
        <v>200</v>
      </c>
      <c r="J123" s="102"/>
      <c r="K123" s="104"/>
      <c r="L123" s="105">
        <v>20201118</v>
      </c>
    </row>
    <row r="124" ht="15.2" customHeight="1" spans="1:12">
      <c r="A124" s="102">
        <v>122</v>
      </c>
      <c r="B124" s="102" t="s">
        <v>14402</v>
      </c>
      <c r="C124" s="5" t="s">
        <v>14633</v>
      </c>
      <c r="D124" s="102" t="s">
        <v>14634</v>
      </c>
      <c r="E124" s="102">
        <v>2020</v>
      </c>
      <c r="F124" s="102">
        <v>2020</v>
      </c>
      <c r="G124" s="128" t="s">
        <v>16</v>
      </c>
      <c r="H124" s="102">
        <v>200</v>
      </c>
      <c r="I124" s="102">
        <v>200</v>
      </c>
      <c r="J124" s="102"/>
      <c r="K124" s="104"/>
      <c r="L124" s="105">
        <v>20201118</v>
      </c>
    </row>
    <row r="125" ht="15.2" customHeight="1" spans="1:12">
      <c r="A125" s="102">
        <v>123</v>
      </c>
      <c r="B125" s="121" t="s">
        <v>14402</v>
      </c>
      <c r="C125" s="62" t="s">
        <v>14635</v>
      </c>
      <c r="D125" s="121" t="s">
        <v>14636</v>
      </c>
      <c r="E125" s="121">
        <v>2020</v>
      </c>
      <c r="F125" s="121">
        <v>2020</v>
      </c>
      <c r="G125" s="130" t="s">
        <v>16</v>
      </c>
      <c r="H125" s="121">
        <v>200</v>
      </c>
      <c r="I125" s="121">
        <v>200</v>
      </c>
      <c r="J125" s="121" t="s">
        <v>749</v>
      </c>
      <c r="K125" s="104"/>
      <c r="L125" s="105">
        <v>20201118</v>
      </c>
    </row>
    <row r="126" ht="15.2" customHeight="1" spans="1:12">
      <c r="A126" s="102">
        <v>124</v>
      </c>
      <c r="B126" s="102" t="s">
        <v>14402</v>
      </c>
      <c r="C126" s="5" t="s">
        <v>14637</v>
      </c>
      <c r="D126" s="102" t="s">
        <v>14638</v>
      </c>
      <c r="E126" s="102">
        <v>2020</v>
      </c>
      <c r="F126" s="102">
        <v>2020</v>
      </c>
      <c r="G126" s="128" t="s">
        <v>16</v>
      </c>
      <c r="H126" s="102">
        <v>200</v>
      </c>
      <c r="I126" s="102">
        <v>200</v>
      </c>
      <c r="J126" s="121" t="s">
        <v>749</v>
      </c>
      <c r="K126" s="104"/>
      <c r="L126" s="105">
        <v>20201118</v>
      </c>
    </row>
    <row r="127" ht="15.2" customHeight="1" spans="1:12">
      <c r="A127" s="102">
        <v>125</v>
      </c>
      <c r="B127" s="102" t="s">
        <v>14402</v>
      </c>
      <c r="C127" s="5" t="s">
        <v>14639</v>
      </c>
      <c r="D127" s="102" t="s">
        <v>14640</v>
      </c>
      <c r="E127" s="102">
        <v>2020</v>
      </c>
      <c r="F127" s="102">
        <v>2020</v>
      </c>
      <c r="G127" s="128" t="s">
        <v>16</v>
      </c>
      <c r="H127" s="102">
        <v>200</v>
      </c>
      <c r="I127" s="102">
        <v>200</v>
      </c>
      <c r="J127" s="121" t="s">
        <v>749</v>
      </c>
      <c r="K127" s="104"/>
      <c r="L127" s="105">
        <v>20201118</v>
      </c>
    </row>
    <row r="128" ht="15.2" customHeight="1" spans="1:12">
      <c r="A128" s="102">
        <v>126</v>
      </c>
      <c r="B128" s="102" t="s">
        <v>14402</v>
      </c>
      <c r="C128" s="5" t="s">
        <v>14641</v>
      </c>
      <c r="D128" s="102" t="s">
        <v>14642</v>
      </c>
      <c r="E128" s="102">
        <v>2020</v>
      </c>
      <c r="F128" s="102">
        <v>2020</v>
      </c>
      <c r="G128" s="128" t="s">
        <v>16</v>
      </c>
      <c r="H128" s="102">
        <v>200</v>
      </c>
      <c r="I128" s="102">
        <v>200</v>
      </c>
      <c r="J128" s="102"/>
      <c r="K128" s="104"/>
      <c r="L128" s="105">
        <v>20201118</v>
      </c>
    </row>
    <row r="129" ht="15.2" customHeight="1" spans="1:12">
      <c r="A129" s="102">
        <v>127</v>
      </c>
      <c r="B129" s="102" t="s">
        <v>14402</v>
      </c>
      <c r="C129" s="5" t="s">
        <v>14643</v>
      </c>
      <c r="D129" s="102" t="s">
        <v>14644</v>
      </c>
      <c r="E129" s="102">
        <v>2020</v>
      </c>
      <c r="F129" s="102">
        <v>2020</v>
      </c>
      <c r="G129" s="128" t="s">
        <v>16</v>
      </c>
      <c r="H129" s="102">
        <v>200</v>
      </c>
      <c r="I129" s="102">
        <v>200</v>
      </c>
      <c r="J129" s="102"/>
      <c r="K129" s="104"/>
      <c r="L129" s="105">
        <v>20201118</v>
      </c>
    </row>
    <row r="130" ht="15.2" customHeight="1" spans="1:12">
      <c r="A130" s="102">
        <v>128</v>
      </c>
      <c r="B130" s="102" t="s">
        <v>14402</v>
      </c>
      <c r="C130" s="5" t="s">
        <v>3590</v>
      </c>
      <c r="D130" s="102" t="s">
        <v>14645</v>
      </c>
      <c r="E130" s="102">
        <v>2020</v>
      </c>
      <c r="F130" s="102">
        <v>2020</v>
      </c>
      <c r="G130" s="128" t="s">
        <v>16</v>
      </c>
      <c r="H130" s="102">
        <v>200</v>
      </c>
      <c r="I130" s="102">
        <v>200</v>
      </c>
      <c r="J130" s="102"/>
      <c r="K130" s="104"/>
      <c r="L130" s="105">
        <v>20201118</v>
      </c>
    </row>
    <row r="131" ht="15.2" customHeight="1" spans="1:12">
      <c r="A131" s="102">
        <v>129</v>
      </c>
      <c r="B131" s="102" t="s">
        <v>14402</v>
      </c>
      <c r="C131" s="5" t="s">
        <v>14646</v>
      </c>
      <c r="D131" s="102" t="s">
        <v>14647</v>
      </c>
      <c r="E131" s="102">
        <v>2020</v>
      </c>
      <c r="F131" s="102">
        <v>2020</v>
      </c>
      <c r="G131" s="128" t="s">
        <v>16</v>
      </c>
      <c r="H131" s="102">
        <v>200</v>
      </c>
      <c r="I131" s="102">
        <v>200</v>
      </c>
      <c r="J131" s="102"/>
      <c r="K131" s="104"/>
      <c r="L131" s="105">
        <v>20201118</v>
      </c>
    </row>
    <row r="132" ht="15.2" customHeight="1" spans="1:12">
      <c r="A132" s="102">
        <v>130</v>
      </c>
      <c r="B132" s="102" t="s">
        <v>14402</v>
      </c>
      <c r="C132" s="5" t="s">
        <v>7519</v>
      </c>
      <c r="D132" s="102" t="s">
        <v>14648</v>
      </c>
      <c r="E132" s="102">
        <v>2020</v>
      </c>
      <c r="F132" s="102">
        <v>2020</v>
      </c>
      <c r="G132" s="128" t="s">
        <v>16</v>
      </c>
      <c r="H132" s="102">
        <v>200</v>
      </c>
      <c r="I132" s="102">
        <v>200</v>
      </c>
      <c r="J132" s="102"/>
      <c r="K132" s="104"/>
      <c r="L132" s="105">
        <v>20201118</v>
      </c>
    </row>
    <row r="133" ht="15.2" customHeight="1" spans="1:12">
      <c r="A133" s="102">
        <v>131</v>
      </c>
      <c r="B133" s="102" t="s">
        <v>14402</v>
      </c>
      <c r="C133" s="5" t="s">
        <v>14649</v>
      </c>
      <c r="D133" s="102" t="s">
        <v>14650</v>
      </c>
      <c r="E133" s="102">
        <v>2020</v>
      </c>
      <c r="F133" s="102">
        <v>2020</v>
      </c>
      <c r="G133" s="128" t="s">
        <v>16</v>
      </c>
      <c r="H133" s="102">
        <v>200</v>
      </c>
      <c r="I133" s="102">
        <v>200</v>
      </c>
      <c r="J133" s="102"/>
      <c r="K133" s="104"/>
      <c r="L133" s="105">
        <v>20201118</v>
      </c>
    </row>
    <row r="134" ht="15.2" customHeight="1" spans="1:12">
      <c r="A134" s="102">
        <v>132</v>
      </c>
      <c r="B134" s="102" t="s">
        <v>14402</v>
      </c>
      <c r="C134" s="5" t="s">
        <v>14651</v>
      </c>
      <c r="D134" s="102" t="s">
        <v>14652</v>
      </c>
      <c r="E134" s="102">
        <v>2020</v>
      </c>
      <c r="F134" s="102">
        <v>2020</v>
      </c>
      <c r="G134" s="128" t="s">
        <v>16</v>
      </c>
      <c r="H134" s="102">
        <v>200</v>
      </c>
      <c r="I134" s="102">
        <v>200</v>
      </c>
      <c r="J134" s="102"/>
      <c r="K134" s="104"/>
      <c r="L134" s="105">
        <v>20201118</v>
      </c>
    </row>
    <row r="135" ht="15.2" customHeight="1" spans="1:12">
      <c r="A135" s="102">
        <v>133</v>
      </c>
      <c r="B135" s="102" t="s">
        <v>14402</v>
      </c>
      <c r="C135" s="5" t="s">
        <v>14653</v>
      </c>
      <c r="D135" s="102" t="s">
        <v>14654</v>
      </c>
      <c r="E135" s="102">
        <v>2020</v>
      </c>
      <c r="F135" s="102">
        <v>2020</v>
      </c>
      <c r="G135" s="128" t="s">
        <v>16</v>
      </c>
      <c r="H135" s="102">
        <v>200</v>
      </c>
      <c r="I135" s="102">
        <v>200</v>
      </c>
      <c r="J135" s="102"/>
      <c r="K135" s="104"/>
      <c r="L135" s="105">
        <v>20201118</v>
      </c>
    </row>
    <row r="136" ht="15.2" customHeight="1" spans="1:12">
      <c r="A136" s="102">
        <v>134</v>
      </c>
      <c r="B136" s="102" t="s">
        <v>14402</v>
      </c>
      <c r="C136" s="5" t="s">
        <v>14655</v>
      </c>
      <c r="D136" s="102" t="s">
        <v>14656</v>
      </c>
      <c r="E136" s="102">
        <v>2020</v>
      </c>
      <c r="F136" s="102">
        <v>2020</v>
      </c>
      <c r="G136" s="128" t="s">
        <v>16</v>
      </c>
      <c r="H136" s="102">
        <v>200</v>
      </c>
      <c r="I136" s="102">
        <v>200</v>
      </c>
      <c r="J136" s="102"/>
      <c r="K136" s="104"/>
      <c r="L136" s="105">
        <v>20201118</v>
      </c>
    </row>
    <row r="137" ht="15.2" customHeight="1" spans="1:12">
      <c r="A137" s="102">
        <v>135</v>
      </c>
      <c r="B137" s="102" t="s">
        <v>14402</v>
      </c>
      <c r="C137" s="5" t="s">
        <v>14657</v>
      </c>
      <c r="D137" s="102" t="s">
        <v>14658</v>
      </c>
      <c r="E137" s="102">
        <v>2020</v>
      </c>
      <c r="F137" s="102">
        <v>2020</v>
      </c>
      <c r="G137" s="128" t="s">
        <v>16</v>
      </c>
      <c r="H137" s="102">
        <v>200</v>
      </c>
      <c r="I137" s="102">
        <v>200</v>
      </c>
      <c r="J137" s="102" t="s">
        <v>749</v>
      </c>
      <c r="K137" s="104"/>
      <c r="L137" s="105">
        <v>20201118</v>
      </c>
    </row>
    <row r="138" ht="15.2" customHeight="1" spans="1:12">
      <c r="A138" s="102">
        <v>136</v>
      </c>
      <c r="B138" s="102" t="s">
        <v>14402</v>
      </c>
      <c r="C138" s="5" t="s">
        <v>14659</v>
      </c>
      <c r="D138" s="102" t="s">
        <v>14660</v>
      </c>
      <c r="E138" s="102">
        <v>2020</v>
      </c>
      <c r="F138" s="102">
        <v>2020</v>
      </c>
      <c r="G138" s="128" t="s">
        <v>16</v>
      </c>
      <c r="H138" s="102">
        <v>200</v>
      </c>
      <c r="I138" s="102">
        <v>200</v>
      </c>
      <c r="J138" s="102"/>
      <c r="K138" s="104"/>
      <c r="L138" s="105">
        <v>20201118</v>
      </c>
    </row>
    <row r="139" ht="15.2" customHeight="1" spans="1:12">
      <c r="A139" s="102">
        <v>137</v>
      </c>
      <c r="B139" s="102" t="s">
        <v>14402</v>
      </c>
      <c r="C139" s="5" t="s">
        <v>14661</v>
      </c>
      <c r="D139" s="102" t="s">
        <v>14662</v>
      </c>
      <c r="E139" s="102">
        <v>2020</v>
      </c>
      <c r="F139" s="102">
        <v>2020</v>
      </c>
      <c r="G139" s="128" t="s">
        <v>16</v>
      </c>
      <c r="H139" s="102">
        <v>200</v>
      </c>
      <c r="I139" s="102">
        <v>200</v>
      </c>
      <c r="J139" s="102"/>
      <c r="K139" s="104"/>
      <c r="L139" s="105">
        <v>20201118</v>
      </c>
    </row>
    <row r="140" ht="15.2" customHeight="1" spans="1:12">
      <c r="A140" s="102">
        <v>138</v>
      </c>
      <c r="B140" s="102" t="s">
        <v>14402</v>
      </c>
      <c r="C140" s="5" t="s">
        <v>14663</v>
      </c>
      <c r="D140" s="102" t="s">
        <v>14664</v>
      </c>
      <c r="E140" s="102">
        <v>2020</v>
      </c>
      <c r="F140" s="102">
        <v>2020</v>
      </c>
      <c r="G140" s="128" t="s">
        <v>16</v>
      </c>
      <c r="H140" s="102">
        <v>200</v>
      </c>
      <c r="I140" s="102">
        <v>200</v>
      </c>
      <c r="J140" s="102"/>
      <c r="K140" s="104"/>
      <c r="L140" s="105">
        <v>20201118</v>
      </c>
    </row>
    <row r="141" ht="15.2" customHeight="1" spans="1:12">
      <c r="A141" s="102">
        <v>139</v>
      </c>
      <c r="B141" s="102" t="s">
        <v>14402</v>
      </c>
      <c r="C141" s="5" t="s">
        <v>14665</v>
      </c>
      <c r="D141" s="102" t="s">
        <v>14666</v>
      </c>
      <c r="E141" s="102">
        <v>2020</v>
      </c>
      <c r="F141" s="102">
        <v>2020</v>
      </c>
      <c r="G141" s="128" t="s">
        <v>16</v>
      </c>
      <c r="H141" s="102">
        <v>200</v>
      </c>
      <c r="I141" s="102">
        <v>200</v>
      </c>
      <c r="J141" s="102"/>
      <c r="K141" s="104"/>
      <c r="L141" s="105">
        <v>20201118</v>
      </c>
    </row>
    <row r="142" ht="15.2" customHeight="1" spans="1:12">
      <c r="A142" s="102">
        <v>140</v>
      </c>
      <c r="B142" s="102" t="s">
        <v>14402</v>
      </c>
      <c r="C142" s="5" t="s">
        <v>14667</v>
      </c>
      <c r="D142" s="102" t="s">
        <v>14668</v>
      </c>
      <c r="E142" s="102">
        <v>2020</v>
      </c>
      <c r="F142" s="102">
        <v>2020</v>
      </c>
      <c r="G142" s="128" t="s">
        <v>16</v>
      </c>
      <c r="H142" s="102">
        <v>200</v>
      </c>
      <c r="I142" s="102">
        <v>200</v>
      </c>
      <c r="J142" s="102"/>
      <c r="K142" s="104"/>
      <c r="L142" s="105">
        <v>20201118</v>
      </c>
    </row>
    <row r="143" ht="15.2" customHeight="1" spans="1:12">
      <c r="A143" s="102">
        <v>141</v>
      </c>
      <c r="B143" s="102" t="s">
        <v>14402</v>
      </c>
      <c r="C143" s="5" t="s">
        <v>14669</v>
      </c>
      <c r="D143" s="102" t="s">
        <v>14670</v>
      </c>
      <c r="E143" s="102">
        <v>2020</v>
      </c>
      <c r="F143" s="102">
        <v>2020</v>
      </c>
      <c r="G143" s="128" t="s">
        <v>16</v>
      </c>
      <c r="H143" s="102">
        <v>200</v>
      </c>
      <c r="I143" s="102">
        <v>200</v>
      </c>
      <c r="J143" s="102"/>
      <c r="K143" s="104"/>
      <c r="L143" s="105">
        <v>20201118</v>
      </c>
    </row>
    <row r="144" ht="15.2" customHeight="1" spans="1:12">
      <c r="A144" s="102">
        <v>142</v>
      </c>
      <c r="B144" s="102" t="s">
        <v>14402</v>
      </c>
      <c r="C144" s="5" t="s">
        <v>6813</v>
      </c>
      <c r="D144" s="102" t="s">
        <v>14671</v>
      </c>
      <c r="E144" s="102">
        <v>2020</v>
      </c>
      <c r="F144" s="102">
        <v>2020</v>
      </c>
      <c r="G144" s="128" t="s">
        <v>16</v>
      </c>
      <c r="H144" s="102">
        <v>200</v>
      </c>
      <c r="I144" s="102">
        <v>200</v>
      </c>
      <c r="J144" s="102"/>
      <c r="K144" s="104"/>
      <c r="L144" s="105">
        <v>20201118</v>
      </c>
    </row>
    <row r="145" ht="15.2" customHeight="1" spans="1:12">
      <c r="A145" s="102">
        <v>143</v>
      </c>
      <c r="B145" s="102" t="s">
        <v>14402</v>
      </c>
      <c r="C145" s="5" t="s">
        <v>6417</v>
      </c>
      <c r="D145" s="102" t="s">
        <v>14672</v>
      </c>
      <c r="E145" s="102">
        <v>2020</v>
      </c>
      <c r="F145" s="102">
        <v>2020</v>
      </c>
      <c r="G145" s="128" t="s">
        <v>16</v>
      </c>
      <c r="H145" s="102">
        <v>200</v>
      </c>
      <c r="I145" s="102">
        <v>200</v>
      </c>
      <c r="J145" s="102"/>
      <c r="K145" s="104"/>
      <c r="L145" s="105">
        <v>20201118</v>
      </c>
    </row>
    <row r="146" ht="15.2" customHeight="1" spans="1:12">
      <c r="A146" s="102">
        <v>144</v>
      </c>
      <c r="B146" s="102" t="s">
        <v>14402</v>
      </c>
      <c r="C146" s="5" t="s">
        <v>14673</v>
      </c>
      <c r="D146" s="102" t="s">
        <v>14674</v>
      </c>
      <c r="E146" s="102">
        <v>2020</v>
      </c>
      <c r="F146" s="102">
        <v>2020</v>
      </c>
      <c r="G146" s="128" t="s">
        <v>16</v>
      </c>
      <c r="H146" s="102">
        <v>200</v>
      </c>
      <c r="I146" s="102">
        <v>200</v>
      </c>
      <c r="J146" s="102"/>
      <c r="K146" s="104"/>
      <c r="L146" s="105">
        <v>20201118</v>
      </c>
    </row>
    <row r="147" ht="15.2" customHeight="1" spans="1:12">
      <c r="A147" s="102">
        <v>145</v>
      </c>
      <c r="B147" s="102" t="s">
        <v>14402</v>
      </c>
      <c r="C147" s="5" t="s">
        <v>14675</v>
      </c>
      <c r="D147" s="102" t="s">
        <v>14676</v>
      </c>
      <c r="E147" s="102">
        <v>2020</v>
      </c>
      <c r="F147" s="102">
        <v>2020</v>
      </c>
      <c r="G147" s="128" t="s">
        <v>16</v>
      </c>
      <c r="H147" s="102">
        <v>200</v>
      </c>
      <c r="I147" s="102">
        <v>200</v>
      </c>
      <c r="J147" s="102" t="s">
        <v>749</v>
      </c>
      <c r="K147" s="104"/>
      <c r="L147" s="105">
        <v>20201118</v>
      </c>
    </row>
    <row r="148" ht="15.2" customHeight="1" spans="1:12">
      <c r="A148" s="102">
        <v>146</v>
      </c>
      <c r="B148" s="102" t="s">
        <v>14402</v>
      </c>
      <c r="C148" s="5" t="s">
        <v>14677</v>
      </c>
      <c r="D148" s="102" t="s">
        <v>14678</v>
      </c>
      <c r="E148" s="102">
        <v>2020</v>
      </c>
      <c r="F148" s="102">
        <v>2020</v>
      </c>
      <c r="G148" s="128" t="s">
        <v>16</v>
      </c>
      <c r="H148" s="102">
        <v>200</v>
      </c>
      <c r="I148" s="102">
        <v>200</v>
      </c>
      <c r="J148" s="102"/>
      <c r="K148" s="104"/>
      <c r="L148" s="105">
        <v>20201118</v>
      </c>
    </row>
    <row r="149" ht="15.2" customHeight="1" spans="1:12">
      <c r="A149" s="102">
        <v>147</v>
      </c>
      <c r="B149" s="102" t="s">
        <v>14402</v>
      </c>
      <c r="C149" s="5" t="s">
        <v>14679</v>
      </c>
      <c r="D149" s="102" t="s">
        <v>14680</v>
      </c>
      <c r="E149" s="102">
        <v>2020</v>
      </c>
      <c r="F149" s="102">
        <v>2020</v>
      </c>
      <c r="G149" s="128" t="s">
        <v>16</v>
      </c>
      <c r="H149" s="102">
        <v>200</v>
      </c>
      <c r="I149" s="102">
        <v>200</v>
      </c>
      <c r="J149" s="102"/>
      <c r="K149" s="104"/>
      <c r="L149" s="105">
        <v>20201118</v>
      </c>
    </row>
    <row r="150" ht="15.2" customHeight="1" spans="1:12">
      <c r="A150" s="102">
        <v>148</v>
      </c>
      <c r="B150" s="102" t="s">
        <v>14402</v>
      </c>
      <c r="C150" s="5" t="s">
        <v>14681</v>
      </c>
      <c r="D150" s="102" t="s">
        <v>14682</v>
      </c>
      <c r="E150" s="102">
        <v>2020</v>
      </c>
      <c r="F150" s="102">
        <v>2020</v>
      </c>
      <c r="G150" s="128" t="s">
        <v>16</v>
      </c>
      <c r="H150" s="102">
        <v>1000</v>
      </c>
      <c r="I150" s="102">
        <v>1000</v>
      </c>
      <c r="J150" s="102"/>
      <c r="K150" s="104"/>
      <c r="L150" s="105">
        <v>20201118</v>
      </c>
    </row>
    <row r="151" ht="15.2" customHeight="1" spans="1:12">
      <c r="A151" s="102">
        <v>149</v>
      </c>
      <c r="B151" s="102" t="s">
        <v>14402</v>
      </c>
      <c r="C151" s="5" t="s">
        <v>14683</v>
      </c>
      <c r="D151" s="102" t="s">
        <v>14684</v>
      </c>
      <c r="E151" s="102">
        <v>2020</v>
      </c>
      <c r="F151" s="102">
        <v>2020</v>
      </c>
      <c r="G151" s="128" t="s">
        <v>16</v>
      </c>
      <c r="H151" s="102">
        <v>200</v>
      </c>
      <c r="I151" s="102">
        <v>200</v>
      </c>
      <c r="J151" s="102"/>
      <c r="K151" s="104"/>
      <c r="L151" s="105">
        <v>20201118</v>
      </c>
    </row>
    <row r="152" ht="15.2" customHeight="1" spans="1:12">
      <c r="A152" s="102">
        <v>150</v>
      </c>
      <c r="B152" s="102" t="s">
        <v>14402</v>
      </c>
      <c r="C152" s="5" t="s">
        <v>14685</v>
      </c>
      <c r="D152" s="102" t="s">
        <v>14686</v>
      </c>
      <c r="E152" s="102">
        <v>2020</v>
      </c>
      <c r="F152" s="102">
        <v>2020</v>
      </c>
      <c r="G152" s="128" t="s">
        <v>16</v>
      </c>
      <c r="H152" s="102">
        <v>200</v>
      </c>
      <c r="I152" s="102">
        <v>200</v>
      </c>
      <c r="J152" s="102"/>
      <c r="K152" s="104"/>
      <c r="L152" s="105">
        <v>20201118</v>
      </c>
    </row>
    <row r="153" ht="15.2" customHeight="1" spans="1:12">
      <c r="A153" s="102">
        <v>151</v>
      </c>
      <c r="B153" s="102" t="s">
        <v>14402</v>
      </c>
      <c r="C153" s="5" t="s">
        <v>14687</v>
      </c>
      <c r="D153" s="102" t="s">
        <v>14688</v>
      </c>
      <c r="E153" s="102">
        <v>2020</v>
      </c>
      <c r="F153" s="102">
        <v>2020</v>
      </c>
      <c r="G153" s="128" t="s">
        <v>16</v>
      </c>
      <c r="H153" s="102">
        <v>1000</v>
      </c>
      <c r="I153" s="102">
        <v>1000</v>
      </c>
      <c r="J153" s="102"/>
      <c r="K153" s="104"/>
      <c r="L153" s="105">
        <v>20201118</v>
      </c>
    </row>
    <row r="154" ht="15.2" customHeight="1" spans="1:12">
      <c r="A154" s="102">
        <v>152</v>
      </c>
      <c r="B154" s="102" t="s">
        <v>14402</v>
      </c>
      <c r="C154" s="5" t="s">
        <v>14689</v>
      </c>
      <c r="D154" s="102" t="s">
        <v>14690</v>
      </c>
      <c r="E154" s="102">
        <v>2020</v>
      </c>
      <c r="F154" s="102">
        <v>2020</v>
      </c>
      <c r="G154" s="128" t="s">
        <v>16</v>
      </c>
      <c r="H154" s="102">
        <v>1000</v>
      </c>
      <c r="I154" s="102">
        <v>1000</v>
      </c>
      <c r="J154" s="102"/>
      <c r="K154" s="104"/>
      <c r="L154" s="105">
        <v>20201118</v>
      </c>
    </row>
    <row r="155" ht="15.2" customHeight="1" spans="1:12">
      <c r="A155" s="102">
        <v>153</v>
      </c>
      <c r="B155" s="102" t="s">
        <v>14402</v>
      </c>
      <c r="C155" s="5" t="s">
        <v>14691</v>
      </c>
      <c r="D155" s="102" t="s">
        <v>14692</v>
      </c>
      <c r="E155" s="102">
        <v>2020</v>
      </c>
      <c r="F155" s="102">
        <v>2020</v>
      </c>
      <c r="G155" s="128" t="s">
        <v>16</v>
      </c>
      <c r="H155" s="102">
        <v>200</v>
      </c>
      <c r="I155" s="102">
        <v>200</v>
      </c>
      <c r="J155" s="102"/>
      <c r="K155" s="104"/>
      <c r="L155" s="105">
        <v>20201118</v>
      </c>
    </row>
    <row r="156" ht="15.2" customHeight="1" spans="1:12">
      <c r="A156" s="102">
        <v>154</v>
      </c>
      <c r="B156" s="102" t="s">
        <v>14402</v>
      </c>
      <c r="C156" s="5" t="s">
        <v>14693</v>
      </c>
      <c r="D156" s="102" t="s">
        <v>14694</v>
      </c>
      <c r="E156" s="102">
        <v>2020</v>
      </c>
      <c r="F156" s="102">
        <v>2020</v>
      </c>
      <c r="G156" s="128" t="s">
        <v>16</v>
      </c>
      <c r="H156" s="102">
        <v>200</v>
      </c>
      <c r="I156" s="102">
        <v>200</v>
      </c>
      <c r="J156" s="102"/>
      <c r="K156" s="104"/>
      <c r="L156" s="105">
        <v>20201118</v>
      </c>
    </row>
    <row r="157" ht="15.2" customHeight="1" spans="1:12">
      <c r="A157" s="102">
        <v>155</v>
      </c>
      <c r="B157" s="102" t="s">
        <v>14402</v>
      </c>
      <c r="C157" s="5" t="s">
        <v>14695</v>
      </c>
      <c r="D157" s="102" t="s">
        <v>14696</v>
      </c>
      <c r="E157" s="102">
        <v>2020</v>
      </c>
      <c r="F157" s="102">
        <v>2020</v>
      </c>
      <c r="G157" s="128" t="s">
        <v>16</v>
      </c>
      <c r="H157" s="102">
        <v>200</v>
      </c>
      <c r="I157" s="102">
        <v>200</v>
      </c>
      <c r="J157" s="102"/>
      <c r="K157" s="104"/>
      <c r="L157" s="105">
        <v>20201118</v>
      </c>
    </row>
    <row r="158" ht="15.2" customHeight="1" spans="1:12">
      <c r="A158" s="102">
        <v>156</v>
      </c>
      <c r="B158" s="102" t="s">
        <v>14402</v>
      </c>
      <c r="C158" s="5" t="s">
        <v>14697</v>
      </c>
      <c r="D158" s="102" t="s">
        <v>14698</v>
      </c>
      <c r="E158" s="102">
        <v>2020</v>
      </c>
      <c r="F158" s="102">
        <v>2020</v>
      </c>
      <c r="G158" s="128" t="s">
        <v>16</v>
      </c>
      <c r="H158" s="102">
        <v>200</v>
      </c>
      <c r="I158" s="102">
        <v>200</v>
      </c>
      <c r="J158" s="102"/>
      <c r="K158" s="104"/>
      <c r="L158" s="105">
        <v>20201118</v>
      </c>
    </row>
    <row r="159" ht="15.2" customHeight="1" spans="1:12">
      <c r="A159" s="102">
        <v>157</v>
      </c>
      <c r="B159" s="102" t="s">
        <v>14402</v>
      </c>
      <c r="C159" s="5" t="s">
        <v>14699</v>
      </c>
      <c r="D159" s="102" t="s">
        <v>14700</v>
      </c>
      <c r="E159" s="102">
        <v>2020</v>
      </c>
      <c r="F159" s="102">
        <v>2020</v>
      </c>
      <c r="G159" s="128" t="s">
        <v>16</v>
      </c>
      <c r="H159" s="102">
        <v>200</v>
      </c>
      <c r="I159" s="102">
        <v>200</v>
      </c>
      <c r="J159" s="102" t="s">
        <v>749</v>
      </c>
      <c r="K159" s="104"/>
      <c r="L159" s="105">
        <v>20201118</v>
      </c>
    </row>
    <row r="160" ht="15.2" customHeight="1" spans="1:12">
      <c r="A160" s="102">
        <v>158</v>
      </c>
      <c r="B160" s="102" t="s">
        <v>14402</v>
      </c>
      <c r="C160" s="5" t="s">
        <v>1855</v>
      </c>
      <c r="D160" s="102" t="s">
        <v>14701</v>
      </c>
      <c r="E160" s="102">
        <v>2020</v>
      </c>
      <c r="F160" s="102">
        <v>2020</v>
      </c>
      <c r="G160" s="128" t="s">
        <v>16</v>
      </c>
      <c r="H160" s="102">
        <v>200</v>
      </c>
      <c r="I160" s="102">
        <v>200</v>
      </c>
      <c r="J160" s="102"/>
      <c r="K160" s="104"/>
      <c r="L160" s="105">
        <v>20201118</v>
      </c>
    </row>
    <row r="161" ht="15.2" customHeight="1" spans="1:12">
      <c r="A161" s="102">
        <v>159</v>
      </c>
      <c r="B161" s="102" t="s">
        <v>14402</v>
      </c>
      <c r="C161" s="5" t="s">
        <v>14702</v>
      </c>
      <c r="D161" s="102" t="s">
        <v>14703</v>
      </c>
      <c r="E161" s="102">
        <v>2020</v>
      </c>
      <c r="F161" s="102">
        <v>2020</v>
      </c>
      <c r="G161" s="128" t="s">
        <v>16</v>
      </c>
      <c r="H161" s="102">
        <v>1000</v>
      </c>
      <c r="I161" s="102">
        <v>1000</v>
      </c>
      <c r="J161" s="102"/>
      <c r="K161" s="104"/>
      <c r="L161" s="105">
        <v>20201118</v>
      </c>
    </row>
    <row r="162" ht="15.2" customHeight="1" spans="1:12">
      <c r="A162" s="102">
        <v>160</v>
      </c>
      <c r="B162" s="102" t="s">
        <v>14402</v>
      </c>
      <c r="C162" s="5" t="s">
        <v>14704</v>
      </c>
      <c r="D162" s="102" t="s">
        <v>14705</v>
      </c>
      <c r="E162" s="102">
        <v>2020</v>
      </c>
      <c r="F162" s="102">
        <v>2020</v>
      </c>
      <c r="G162" s="128" t="s">
        <v>16</v>
      </c>
      <c r="H162" s="102">
        <v>200</v>
      </c>
      <c r="I162" s="102">
        <v>200</v>
      </c>
      <c r="J162" s="102"/>
      <c r="K162" s="104"/>
      <c r="L162" s="105">
        <v>20201118</v>
      </c>
    </row>
    <row r="163" ht="15.2" customHeight="1" spans="1:12">
      <c r="A163" s="102">
        <v>161</v>
      </c>
      <c r="B163" s="102" t="s">
        <v>14402</v>
      </c>
      <c r="C163" s="5" t="s">
        <v>10207</v>
      </c>
      <c r="D163" s="102" t="s">
        <v>14706</v>
      </c>
      <c r="E163" s="102">
        <v>2020</v>
      </c>
      <c r="F163" s="102">
        <v>2020</v>
      </c>
      <c r="G163" s="128" t="s">
        <v>16</v>
      </c>
      <c r="H163" s="102">
        <v>1000</v>
      </c>
      <c r="I163" s="102">
        <v>1000</v>
      </c>
      <c r="J163" s="102"/>
      <c r="K163" s="104"/>
      <c r="L163" s="105">
        <v>20201118</v>
      </c>
    </row>
    <row r="164" ht="15.2" customHeight="1" spans="1:12">
      <c r="A164" s="102">
        <v>162</v>
      </c>
      <c r="B164" s="102" t="s">
        <v>14402</v>
      </c>
      <c r="C164" s="5" t="s">
        <v>2920</v>
      </c>
      <c r="D164" s="102" t="s">
        <v>14707</v>
      </c>
      <c r="E164" s="102">
        <v>2020</v>
      </c>
      <c r="F164" s="102">
        <v>2020</v>
      </c>
      <c r="G164" s="128" t="s">
        <v>16</v>
      </c>
      <c r="H164" s="102">
        <v>200</v>
      </c>
      <c r="I164" s="102">
        <v>200</v>
      </c>
      <c r="J164" s="102"/>
      <c r="K164" s="104"/>
      <c r="L164" s="105">
        <v>20201118</v>
      </c>
    </row>
    <row r="165" ht="15.2" customHeight="1" spans="1:12">
      <c r="A165" s="102">
        <v>163</v>
      </c>
      <c r="B165" s="121" t="s">
        <v>14402</v>
      </c>
      <c r="C165" s="62" t="s">
        <v>14708</v>
      </c>
      <c r="D165" s="121" t="s">
        <v>14709</v>
      </c>
      <c r="E165" s="121">
        <v>2020</v>
      </c>
      <c r="F165" s="121">
        <v>2020</v>
      </c>
      <c r="G165" s="130" t="s">
        <v>16</v>
      </c>
      <c r="H165" s="121">
        <v>200</v>
      </c>
      <c r="I165" s="121">
        <v>200</v>
      </c>
      <c r="J165" s="121"/>
      <c r="K165" s="104"/>
      <c r="L165" s="105">
        <v>20201118</v>
      </c>
    </row>
    <row r="166" ht="15.2" customHeight="1" spans="1:12">
      <c r="A166" s="102">
        <v>164</v>
      </c>
      <c r="B166" s="102" t="s">
        <v>14402</v>
      </c>
      <c r="C166" s="5" t="s">
        <v>14710</v>
      </c>
      <c r="D166" s="102" t="s">
        <v>14711</v>
      </c>
      <c r="E166" s="102">
        <v>2020</v>
      </c>
      <c r="F166" s="102">
        <v>2020</v>
      </c>
      <c r="G166" s="128" t="s">
        <v>16</v>
      </c>
      <c r="H166" s="102">
        <v>200</v>
      </c>
      <c r="I166" s="102">
        <v>200</v>
      </c>
      <c r="J166" s="102" t="s">
        <v>749</v>
      </c>
      <c r="K166" s="104"/>
      <c r="L166" s="105">
        <v>20201118</v>
      </c>
    </row>
    <row r="167" ht="15.2" customHeight="1" spans="1:12">
      <c r="A167" s="102">
        <v>165</v>
      </c>
      <c r="B167" s="102" t="s">
        <v>14402</v>
      </c>
      <c r="C167" s="5" t="s">
        <v>5379</v>
      </c>
      <c r="D167" s="102" t="s">
        <v>14712</v>
      </c>
      <c r="E167" s="102">
        <v>2020</v>
      </c>
      <c r="F167" s="102">
        <v>2020</v>
      </c>
      <c r="G167" s="128" t="s">
        <v>16</v>
      </c>
      <c r="H167" s="102">
        <v>200</v>
      </c>
      <c r="I167" s="102">
        <v>200</v>
      </c>
      <c r="J167" s="102"/>
      <c r="K167" s="104"/>
      <c r="L167" s="105">
        <v>20201118</v>
      </c>
    </row>
    <row r="168" ht="15.2" customHeight="1" spans="1:12">
      <c r="A168" s="102">
        <v>166</v>
      </c>
      <c r="B168" s="102" t="s">
        <v>14402</v>
      </c>
      <c r="C168" s="5" t="s">
        <v>8324</v>
      </c>
      <c r="D168" s="102" t="s">
        <v>14713</v>
      </c>
      <c r="E168" s="102">
        <v>2020</v>
      </c>
      <c r="F168" s="102">
        <v>2020</v>
      </c>
      <c r="G168" s="128" t="s">
        <v>16</v>
      </c>
      <c r="H168" s="102">
        <v>200</v>
      </c>
      <c r="I168" s="102">
        <v>200</v>
      </c>
      <c r="J168" s="102"/>
      <c r="K168" s="104"/>
      <c r="L168" s="105">
        <v>20201118</v>
      </c>
    </row>
    <row r="169" ht="15.2" customHeight="1" spans="1:12">
      <c r="A169" s="102">
        <v>167</v>
      </c>
      <c r="B169" s="102" t="s">
        <v>14402</v>
      </c>
      <c r="C169" s="5" t="s">
        <v>14714</v>
      </c>
      <c r="D169" s="102" t="s">
        <v>14715</v>
      </c>
      <c r="E169" s="102">
        <v>2020</v>
      </c>
      <c r="F169" s="102">
        <v>2020</v>
      </c>
      <c r="G169" s="128" t="s">
        <v>16</v>
      </c>
      <c r="H169" s="102">
        <v>200</v>
      </c>
      <c r="I169" s="102">
        <v>200</v>
      </c>
      <c r="J169" s="102"/>
      <c r="K169" s="104"/>
      <c r="L169" s="105">
        <v>20201118</v>
      </c>
    </row>
    <row r="170" ht="15.2" customHeight="1" spans="1:12">
      <c r="A170" s="102">
        <v>168</v>
      </c>
      <c r="B170" s="102" t="s">
        <v>14402</v>
      </c>
      <c r="C170" s="5" t="s">
        <v>7620</v>
      </c>
      <c r="D170" s="102" t="s">
        <v>14716</v>
      </c>
      <c r="E170" s="102">
        <v>2020</v>
      </c>
      <c r="F170" s="102">
        <v>2020</v>
      </c>
      <c r="G170" s="128" t="s">
        <v>16</v>
      </c>
      <c r="H170" s="102">
        <v>500</v>
      </c>
      <c r="I170" s="102">
        <v>500</v>
      </c>
      <c r="J170" s="102"/>
      <c r="K170" s="104"/>
      <c r="L170" s="105">
        <v>20201118</v>
      </c>
    </row>
    <row r="171" ht="15.2" customHeight="1" spans="1:12">
      <c r="A171" s="102">
        <v>169</v>
      </c>
      <c r="B171" s="102" t="s">
        <v>14402</v>
      </c>
      <c r="C171" s="5" t="s">
        <v>14717</v>
      </c>
      <c r="D171" s="102" t="s">
        <v>14718</v>
      </c>
      <c r="E171" s="102">
        <v>2020</v>
      </c>
      <c r="F171" s="102">
        <v>2020</v>
      </c>
      <c r="G171" s="128" t="s">
        <v>16</v>
      </c>
      <c r="H171" s="102">
        <v>200</v>
      </c>
      <c r="I171" s="102">
        <v>200</v>
      </c>
      <c r="J171" s="102"/>
      <c r="K171" s="104"/>
      <c r="L171" s="105">
        <v>20201118</v>
      </c>
    </row>
    <row r="172" ht="15.2" customHeight="1" spans="1:12">
      <c r="A172" s="102">
        <v>170</v>
      </c>
      <c r="B172" s="102" t="s">
        <v>14402</v>
      </c>
      <c r="C172" s="5" t="s">
        <v>230</v>
      </c>
      <c r="D172" s="102" t="s">
        <v>14719</v>
      </c>
      <c r="E172" s="102">
        <v>2020</v>
      </c>
      <c r="F172" s="102">
        <v>2020</v>
      </c>
      <c r="G172" s="128" t="s">
        <v>16</v>
      </c>
      <c r="H172" s="102">
        <v>200</v>
      </c>
      <c r="I172" s="102">
        <v>200</v>
      </c>
      <c r="J172" s="102"/>
      <c r="K172" s="104"/>
      <c r="L172" s="105">
        <v>20201118</v>
      </c>
    </row>
    <row r="173" ht="15.2" customHeight="1" spans="1:12">
      <c r="A173" s="102">
        <v>171</v>
      </c>
      <c r="B173" s="102" t="s">
        <v>14402</v>
      </c>
      <c r="C173" s="5" t="s">
        <v>1182</v>
      </c>
      <c r="D173" s="102" t="s">
        <v>14720</v>
      </c>
      <c r="E173" s="102">
        <v>2020</v>
      </c>
      <c r="F173" s="102">
        <v>2020</v>
      </c>
      <c r="G173" s="128" t="s">
        <v>16</v>
      </c>
      <c r="H173" s="102">
        <v>200</v>
      </c>
      <c r="I173" s="102">
        <v>200</v>
      </c>
      <c r="J173" s="102"/>
      <c r="K173" s="104"/>
      <c r="L173" s="105">
        <v>20201118</v>
      </c>
    </row>
    <row r="174" ht="15.2" customHeight="1" spans="1:12">
      <c r="A174" s="102">
        <v>172</v>
      </c>
      <c r="B174" s="102" t="s">
        <v>14402</v>
      </c>
      <c r="C174" s="5" t="s">
        <v>14721</v>
      </c>
      <c r="D174" s="102" t="s">
        <v>14722</v>
      </c>
      <c r="E174" s="102">
        <v>2020</v>
      </c>
      <c r="F174" s="102">
        <v>2020</v>
      </c>
      <c r="G174" s="128" t="s">
        <v>16</v>
      </c>
      <c r="H174" s="102">
        <v>200</v>
      </c>
      <c r="I174" s="102">
        <v>200</v>
      </c>
      <c r="J174" s="102"/>
      <c r="K174" s="104"/>
      <c r="L174" s="105">
        <v>20201118</v>
      </c>
    </row>
    <row r="175" ht="15.2" customHeight="1" spans="1:12">
      <c r="A175" s="102">
        <v>173</v>
      </c>
      <c r="B175" s="102" t="s">
        <v>14402</v>
      </c>
      <c r="C175" s="5" t="s">
        <v>14723</v>
      </c>
      <c r="D175" s="102" t="s">
        <v>14724</v>
      </c>
      <c r="E175" s="102">
        <v>2020</v>
      </c>
      <c r="F175" s="102">
        <v>2020</v>
      </c>
      <c r="G175" s="128" t="s">
        <v>16</v>
      </c>
      <c r="H175" s="102">
        <v>200</v>
      </c>
      <c r="I175" s="102">
        <v>200</v>
      </c>
      <c r="J175" s="102"/>
      <c r="K175" s="104"/>
      <c r="L175" s="105">
        <v>20201118</v>
      </c>
    </row>
    <row r="176" ht="15.2" customHeight="1" spans="1:12">
      <c r="A176" s="102">
        <v>174</v>
      </c>
      <c r="B176" s="102" t="s">
        <v>14402</v>
      </c>
      <c r="C176" s="5" t="s">
        <v>14725</v>
      </c>
      <c r="D176" s="102" t="s">
        <v>14726</v>
      </c>
      <c r="E176" s="102">
        <v>2020</v>
      </c>
      <c r="F176" s="102">
        <v>2020</v>
      </c>
      <c r="G176" s="128" t="s">
        <v>16</v>
      </c>
      <c r="H176" s="102">
        <v>200</v>
      </c>
      <c r="I176" s="102">
        <v>200</v>
      </c>
      <c r="J176" s="102"/>
      <c r="K176" s="104"/>
      <c r="L176" s="105">
        <v>20201118</v>
      </c>
    </row>
    <row r="177" ht="15.2" customHeight="1" spans="1:12">
      <c r="A177" s="102">
        <v>175</v>
      </c>
      <c r="B177" s="102" t="s">
        <v>14402</v>
      </c>
      <c r="C177" s="5" t="s">
        <v>14727</v>
      </c>
      <c r="D177" s="102" t="s">
        <v>14728</v>
      </c>
      <c r="E177" s="102">
        <v>2020</v>
      </c>
      <c r="F177" s="102">
        <v>2020</v>
      </c>
      <c r="G177" s="128" t="s">
        <v>16</v>
      </c>
      <c r="H177" s="102">
        <v>200</v>
      </c>
      <c r="I177" s="102">
        <v>200</v>
      </c>
      <c r="J177" s="102"/>
      <c r="K177" s="104"/>
      <c r="L177" s="105">
        <v>20201118</v>
      </c>
    </row>
    <row r="178" ht="15.2" customHeight="1" spans="1:12">
      <c r="A178" s="102">
        <v>176</v>
      </c>
      <c r="B178" s="102" t="s">
        <v>14402</v>
      </c>
      <c r="C178" s="5" t="s">
        <v>14729</v>
      </c>
      <c r="D178" s="102" t="s">
        <v>14730</v>
      </c>
      <c r="E178" s="102">
        <v>2020</v>
      </c>
      <c r="F178" s="102">
        <v>2020</v>
      </c>
      <c r="G178" s="128" t="s">
        <v>16</v>
      </c>
      <c r="H178" s="102">
        <v>200</v>
      </c>
      <c r="I178" s="102">
        <v>200</v>
      </c>
      <c r="J178" s="102"/>
      <c r="K178" s="104"/>
      <c r="L178" s="105">
        <v>20201118</v>
      </c>
    </row>
    <row r="179" ht="15.2" customHeight="1" spans="1:12">
      <c r="A179" s="102">
        <v>177</v>
      </c>
      <c r="B179" s="102" t="s">
        <v>14402</v>
      </c>
      <c r="C179" s="5" t="s">
        <v>14731</v>
      </c>
      <c r="D179" s="102" t="s">
        <v>14732</v>
      </c>
      <c r="E179" s="102">
        <v>2020</v>
      </c>
      <c r="F179" s="102">
        <v>2020</v>
      </c>
      <c r="G179" s="128" t="s">
        <v>16</v>
      </c>
      <c r="H179" s="102">
        <v>200</v>
      </c>
      <c r="I179" s="102">
        <v>200</v>
      </c>
      <c r="J179" s="102"/>
      <c r="K179" s="104"/>
      <c r="L179" s="105">
        <v>20201118</v>
      </c>
    </row>
    <row r="180" ht="15.2" customHeight="1" spans="1:12">
      <c r="A180" s="102">
        <v>178</v>
      </c>
      <c r="B180" s="102" t="s">
        <v>14402</v>
      </c>
      <c r="C180" s="5" t="s">
        <v>14733</v>
      </c>
      <c r="D180" s="102" t="s">
        <v>14734</v>
      </c>
      <c r="E180" s="102">
        <v>2020</v>
      </c>
      <c r="F180" s="102">
        <v>2020</v>
      </c>
      <c r="G180" s="128" t="s">
        <v>16</v>
      </c>
      <c r="H180" s="102">
        <v>200</v>
      </c>
      <c r="I180" s="102">
        <v>200</v>
      </c>
      <c r="J180" s="102"/>
      <c r="K180" s="104"/>
      <c r="L180" s="105">
        <v>20201118</v>
      </c>
    </row>
    <row r="181" ht="15.2" customHeight="1" spans="1:12">
      <c r="A181" s="102">
        <v>179</v>
      </c>
      <c r="B181" s="102" t="s">
        <v>14402</v>
      </c>
      <c r="C181" s="5" t="s">
        <v>14735</v>
      </c>
      <c r="D181" s="102" t="s">
        <v>14736</v>
      </c>
      <c r="E181" s="102">
        <v>2020</v>
      </c>
      <c r="F181" s="102">
        <v>2020</v>
      </c>
      <c r="G181" s="128" t="s">
        <v>16</v>
      </c>
      <c r="H181" s="102">
        <v>200</v>
      </c>
      <c r="I181" s="102">
        <v>200</v>
      </c>
      <c r="J181" s="102" t="s">
        <v>3647</v>
      </c>
      <c r="K181" s="104"/>
      <c r="L181" s="105">
        <v>20201118</v>
      </c>
    </row>
    <row r="182" ht="15.2" customHeight="1" spans="1:12">
      <c r="A182" s="102">
        <v>180</v>
      </c>
      <c r="B182" s="102" t="s">
        <v>14402</v>
      </c>
      <c r="C182" s="5" t="s">
        <v>14737</v>
      </c>
      <c r="D182" s="102" t="s">
        <v>14738</v>
      </c>
      <c r="E182" s="102">
        <v>2020</v>
      </c>
      <c r="F182" s="102">
        <v>2020</v>
      </c>
      <c r="G182" s="128" t="s">
        <v>16</v>
      </c>
      <c r="H182" s="102">
        <v>500</v>
      </c>
      <c r="I182" s="102">
        <v>500</v>
      </c>
      <c r="J182" s="102"/>
      <c r="K182" s="104"/>
      <c r="L182" s="105">
        <v>20201118</v>
      </c>
    </row>
    <row r="183" ht="15.2" customHeight="1" spans="1:12">
      <c r="A183" s="102">
        <v>181</v>
      </c>
      <c r="B183" s="102" t="s">
        <v>14402</v>
      </c>
      <c r="C183" s="5" t="s">
        <v>14739</v>
      </c>
      <c r="D183" s="102" t="s">
        <v>14740</v>
      </c>
      <c r="E183" s="102">
        <v>2020</v>
      </c>
      <c r="F183" s="102">
        <v>2020</v>
      </c>
      <c r="G183" s="128" t="s">
        <v>16</v>
      </c>
      <c r="H183" s="102">
        <v>500</v>
      </c>
      <c r="I183" s="102">
        <v>500</v>
      </c>
      <c r="J183" s="102"/>
      <c r="K183" s="104"/>
      <c r="L183" s="105">
        <v>20201118</v>
      </c>
    </row>
    <row r="184" ht="15.2" customHeight="1" spans="1:12">
      <c r="A184" s="102">
        <v>182</v>
      </c>
      <c r="B184" s="102" t="s">
        <v>14402</v>
      </c>
      <c r="C184" s="5" t="s">
        <v>14741</v>
      </c>
      <c r="D184" s="102" t="s">
        <v>14742</v>
      </c>
      <c r="E184" s="102">
        <v>2020</v>
      </c>
      <c r="F184" s="102">
        <v>2020</v>
      </c>
      <c r="G184" s="128" t="s">
        <v>16</v>
      </c>
      <c r="H184" s="102">
        <v>200</v>
      </c>
      <c r="I184" s="102">
        <v>200</v>
      </c>
      <c r="J184" s="102"/>
      <c r="K184" s="104"/>
      <c r="L184" s="105">
        <v>20201118</v>
      </c>
    </row>
    <row r="185" ht="15.2" customHeight="1" spans="1:12">
      <c r="A185" s="102">
        <v>183</v>
      </c>
      <c r="B185" s="102" t="s">
        <v>14402</v>
      </c>
      <c r="C185" s="5" t="s">
        <v>14743</v>
      </c>
      <c r="D185" s="102" t="s">
        <v>14744</v>
      </c>
      <c r="E185" s="102">
        <v>2020</v>
      </c>
      <c r="F185" s="102">
        <v>2020</v>
      </c>
      <c r="G185" s="128" t="s">
        <v>16</v>
      </c>
      <c r="H185" s="102">
        <v>200</v>
      </c>
      <c r="I185" s="102">
        <v>200</v>
      </c>
      <c r="J185" s="102"/>
      <c r="K185" s="104"/>
      <c r="L185" s="105">
        <v>20201118</v>
      </c>
    </row>
    <row r="186" ht="15.2" customHeight="1" spans="1:12">
      <c r="A186" s="102">
        <v>184</v>
      </c>
      <c r="B186" s="102" t="s">
        <v>14402</v>
      </c>
      <c r="C186" s="5" t="s">
        <v>14745</v>
      </c>
      <c r="D186" s="102" t="s">
        <v>14746</v>
      </c>
      <c r="E186" s="102">
        <v>2020</v>
      </c>
      <c r="F186" s="102">
        <v>2020</v>
      </c>
      <c r="G186" s="128" t="s">
        <v>16</v>
      </c>
      <c r="H186" s="102">
        <v>200</v>
      </c>
      <c r="I186" s="102">
        <v>200</v>
      </c>
      <c r="J186" s="102"/>
      <c r="K186" s="104"/>
      <c r="L186" s="105">
        <v>20201118</v>
      </c>
    </row>
    <row r="187" ht="15.2" customHeight="1" spans="1:12">
      <c r="A187" s="102">
        <v>185</v>
      </c>
      <c r="B187" s="102" t="s">
        <v>14402</v>
      </c>
      <c r="C187" s="5" t="s">
        <v>14747</v>
      </c>
      <c r="D187" s="102" t="s">
        <v>14748</v>
      </c>
      <c r="E187" s="102">
        <v>2020</v>
      </c>
      <c r="F187" s="102">
        <v>2020</v>
      </c>
      <c r="G187" s="128" t="s">
        <v>16</v>
      </c>
      <c r="H187" s="102">
        <v>200</v>
      </c>
      <c r="I187" s="102">
        <v>200</v>
      </c>
      <c r="J187" s="102"/>
      <c r="K187" s="104"/>
      <c r="L187" s="105">
        <v>20201118</v>
      </c>
    </row>
    <row r="188" ht="15.2" customHeight="1" spans="1:12">
      <c r="A188" s="102">
        <v>186</v>
      </c>
      <c r="B188" s="102" t="s">
        <v>14402</v>
      </c>
      <c r="C188" s="5" t="s">
        <v>14749</v>
      </c>
      <c r="D188" s="102" t="s">
        <v>14750</v>
      </c>
      <c r="E188" s="102">
        <v>2020</v>
      </c>
      <c r="F188" s="102">
        <v>2020</v>
      </c>
      <c r="G188" s="128" t="s">
        <v>16</v>
      </c>
      <c r="H188" s="102">
        <v>200</v>
      </c>
      <c r="I188" s="102">
        <v>200</v>
      </c>
      <c r="J188" s="102"/>
      <c r="K188" s="104"/>
      <c r="L188" s="105">
        <v>20201118</v>
      </c>
    </row>
    <row r="189" ht="15.2" customHeight="1" spans="1:12">
      <c r="A189" s="102">
        <v>187</v>
      </c>
      <c r="B189" s="102" t="s">
        <v>14402</v>
      </c>
      <c r="C189" s="5" t="s">
        <v>14751</v>
      </c>
      <c r="D189" s="102" t="s">
        <v>14752</v>
      </c>
      <c r="E189" s="102">
        <v>2020</v>
      </c>
      <c r="F189" s="102">
        <v>2020</v>
      </c>
      <c r="G189" s="128" t="s">
        <v>16</v>
      </c>
      <c r="H189" s="102">
        <v>200</v>
      </c>
      <c r="I189" s="102">
        <v>200</v>
      </c>
      <c r="J189" s="102"/>
      <c r="K189" s="104"/>
      <c r="L189" s="105">
        <v>20201118</v>
      </c>
    </row>
    <row r="190" ht="15.2" customHeight="1" spans="1:12">
      <c r="A190" s="102">
        <v>188</v>
      </c>
      <c r="B190" s="102" t="s">
        <v>14402</v>
      </c>
      <c r="C190" s="5" t="s">
        <v>14753</v>
      </c>
      <c r="D190" s="102" t="s">
        <v>14754</v>
      </c>
      <c r="E190" s="102">
        <v>2020</v>
      </c>
      <c r="F190" s="102">
        <v>2020</v>
      </c>
      <c r="G190" s="128" t="s">
        <v>16</v>
      </c>
      <c r="H190" s="102">
        <v>200</v>
      </c>
      <c r="I190" s="102">
        <v>200</v>
      </c>
      <c r="J190" s="102"/>
      <c r="K190" s="104"/>
      <c r="L190" s="105">
        <v>20201118</v>
      </c>
    </row>
    <row r="191" ht="15.2" customHeight="1" spans="1:12">
      <c r="A191" s="102">
        <v>189</v>
      </c>
      <c r="B191" s="102" t="s">
        <v>14402</v>
      </c>
      <c r="C191" s="5" t="s">
        <v>14755</v>
      </c>
      <c r="D191" s="102" t="s">
        <v>14756</v>
      </c>
      <c r="E191" s="102">
        <v>2020</v>
      </c>
      <c r="F191" s="102">
        <v>2020</v>
      </c>
      <c r="G191" s="128" t="s">
        <v>16</v>
      </c>
      <c r="H191" s="102">
        <v>200</v>
      </c>
      <c r="I191" s="102">
        <v>200</v>
      </c>
      <c r="J191" s="102" t="s">
        <v>749</v>
      </c>
      <c r="K191" s="104"/>
      <c r="L191" s="105">
        <v>20201118</v>
      </c>
    </row>
    <row r="192" ht="15.2" customHeight="1" spans="1:12">
      <c r="A192" s="102">
        <v>190</v>
      </c>
      <c r="B192" s="102" t="s">
        <v>14402</v>
      </c>
      <c r="C192" s="5" t="s">
        <v>14757</v>
      </c>
      <c r="D192" s="102" t="s">
        <v>14758</v>
      </c>
      <c r="E192" s="102">
        <v>2020</v>
      </c>
      <c r="F192" s="102">
        <v>2020</v>
      </c>
      <c r="G192" s="128" t="s">
        <v>16</v>
      </c>
      <c r="H192" s="102">
        <v>200</v>
      </c>
      <c r="I192" s="102">
        <v>200</v>
      </c>
      <c r="J192" s="102"/>
      <c r="K192" s="104"/>
      <c r="L192" s="105">
        <v>20201118</v>
      </c>
    </row>
    <row r="193" ht="15.2" customHeight="1" spans="1:12">
      <c r="A193" s="102">
        <v>191</v>
      </c>
      <c r="B193" s="121" t="s">
        <v>14402</v>
      </c>
      <c r="C193" s="62" t="s">
        <v>11097</v>
      </c>
      <c r="D193" s="121" t="s">
        <v>14759</v>
      </c>
      <c r="E193" s="121">
        <v>2020</v>
      </c>
      <c r="F193" s="121">
        <v>2020</v>
      </c>
      <c r="G193" s="130" t="s">
        <v>16</v>
      </c>
      <c r="H193" s="121">
        <v>200</v>
      </c>
      <c r="I193" s="121">
        <v>200</v>
      </c>
      <c r="J193" s="121"/>
      <c r="K193" s="104"/>
      <c r="L193" s="105">
        <v>20201118</v>
      </c>
    </row>
    <row r="194" ht="15.2" customHeight="1" spans="1:12">
      <c r="A194" s="102">
        <v>192</v>
      </c>
      <c r="B194" s="102" t="s">
        <v>14402</v>
      </c>
      <c r="C194" s="5" t="s">
        <v>6686</v>
      </c>
      <c r="D194" s="102" t="s">
        <v>14760</v>
      </c>
      <c r="E194" s="102">
        <v>2020</v>
      </c>
      <c r="F194" s="102">
        <v>2020</v>
      </c>
      <c r="G194" s="128" t="s">
        <v>16</v>
      </c>
      <c r="H194" s="102">
        <v>200</v>
      </c>
      <c r="I194" s="102">
        <v>200</v>
      </c>
      <c r="J194" s="102"/>
      <c r="K194" s="104"/>
      <c r="L194" s="105">
        <v>20201118</v>
      </c>
    </row>
    <row r="195" ht="15.2" customHeight="1" spans="1:12">
      <c r="A195" s="102">
        <v>193</v>
      </c>
      <c r="B195" s="102" t="s">
        <v>14402</v>
      </c>
      <c r="C195" s="5" t="s">
        <v>14761</v>
      </c>
      <c r="D195" s="102" t="s">
        <v>14762</v>
      </c>
      <c r="E195" s="102">
        <v>2020</v>
      </c>
      <c r="F195" s="102">
        <v>2020</v>
      </c>
      <c r="G195" s="128" t="s">
        <v>16</v>
      </c>
      <c r="H195" s="102">
        <v>200</v>
      </c>
      <c r="I195" s="102">
        <v>200</v>
      </c>
      <c r="J195" s="102"/>
      <c r="K195" s="104"/>
      <c r="L195" s="105">
        <v>20201118</v>
      </c>
    </row>
    <row r="196" ht="15.2" customHeight="1" spans="1:12">
      <c r="A196" s="102">
        <v>194</v>
      </c>
      <c r="B196" s="102" t="s">
        <v>14402</v>
      </c>
      <c r="C196" s="5" t="s">
        <v>14763</v>
      </c>
      <c r="D196" s="102" t="s">
        <v>14764</v>
      </c>
      <c r="E196" s="102">
        <v>2020</v>
      </c>
      <c r="F196" s="102">
        <v>2020</v>
      </c>
      <c r="G196" s="128" t="s">
        <v>16</v>
      </c>
      <c r="H196" s="102">
        <v>200</v>
      </c>
      <c r="I196" s="102">
        <v>200</v>
      </c>
      <c r="J196" s="102"/>
      <c r="K196" s="104"/>
      <c r="L196" s="105">
        <v>20201118</v>
      </c>
    </row>
    <row r="197" ht="15.2" customHeight="1" spans="1:12">
      <c r="A197" s="102">
        <v>195</v>
      </c>
      <c r="B197" s="102" t="s">
        <v>14402</v>
      </c>
      <c r="C197" s="5" t="s">
        <v>14765</v>
      </c>
      <c r="D197" s="102" t="s">
        <v>14766</v>
      </c>
      <c r="E197" s="102">
        <v>2020</v>
      </c>
      <c r="F197" s="102">
        <v>2020</v>
      </c>
      <c r="G197" s="128" t="s">
        <v>16</v>
      </c>
      <c r="H197" s="102">
        <v>200</v>
      </c>
      <c r="I197" s="102">
        <v>200</v>
      </c>
      <c r="J197" s="102"/>
      <c r="K197" s="104"/>
      <c r="L197" s="105">
        <v>20201118</v>
      </c>
    </row>
    <row r="198" ht="15.2" customHeight="1" spans="1:12">
      <c r="A198" s="102">
        <v>196</v>
      </c>
      <c r="B198" s="121" t="s">
        <v>14402</v>
      </c>
      <c r="C198" s="62" t="s">
        <v>14767</v>
      </c>
      <c r="D198" s="121" t="s">
        <v>14768</v>
      </c>
      <c r="E198" s="121">
        <v>2020</v>
      </c>
      <c r="F198" s="121">
        <v>2020</v>
      </c>
      <c r="G198" s="130" t="s">
        <v>16</v>
      </c>
      <c r="H198" s="121">
        <v>200</v>
      </c>
      <c r="I198" s="121">
        <v>200</v>
      </c>
      <c r="J198" s="121"/>
      <c r="K198" s="104"/>
      <c r="L198" s="105">
        <v>20201118</v>
      </c>
    </row>
    <row r="199" ht="15.2" customHeight="1" spans="1:12">
      <c r="A199" s="102">
        <v>197</v>
      </c>
      <c r="B199" s="102" t="s">
        <v>14402</v>
      </c>
      <c r="C199" s="5" t="s">
        <v>14769</v>
      </c>
      <c r="D199" s="102" t="s">
        <v>14770</v>
      </c>
      <c r="E199" s="102">
        <v>2020</v>
      </c>
      <c r="F199" s="102">
        <v>2020</v>
      </c>
      <c r="G199" s="128" t="s">
        <v>16</v>
      </c>
      <c r="H199" s="102">
        <v>500</v>
      </c>
      <c r="I199" s="102">
        <v>500</v>
      </c>
      <c r="J199" s="102"/>
      <c r="K199" s="104"/>
      <c r="L199" s="105">
        <v>20201118</v>
      </c>
    </row>
    <row r="200" ht="15.2" customHeight="1" spans="1:12">
      <c r="A200" s="102">
        <v>198</v>
      </c>
      <c r="B200" s="102" t="s">
        <v>14402</v>
      </c>
      <c r="C200" s="5" t="s">
        <v>14771</v>
      </c>
      <c r="D200" s="102" t="s">
        <v>14772</v>
      </c>
      <c r="E200" s="102">
        <v>2020</v>
      </c>
      <c r="F200" s="102">
        <v>2020</v>
      </c>
      <c r="G200" s="128" t="s">
        <v>16</v>
      </c>
      <c r="H200" s="102">
        <v>200</v>
      </c>
      <c r="I200" s="102">
        <v>200</v>
      </c>
      <c r="J200" s="102"/>
      <c r="K200" s="104"/>
      <c r="L200" s="105">
        <v>20201118</v>
      </c>
    </row>
    <row r="201" ht="15.2" customHeight="1" spans="1:12">
      <c r="A201" s="102">
        <v>199</v>
      </c>
      <c r="B201" s="102" t="s">
        <v>14402</v>
      </c>
      <c r="C201" s="5" t="s">
        <v>14773</v>
      </c>
      <c r="D201" s="102" t="s">
        <v>14774</v>
      </c>
      <c r="E201" s="102">
        <v>2020</v>
      </c>
      <c r="F201" s="102">
        <v>2020</v>
      </c>
      <c r="G201" s="128" t="s">
        <v>16</v>
      </c>
      <c r="H201" s="102">
        <v>200</v>
      </c>
      <c r="I201" s="102">
        <v>200</v>
      </c>
      <c r="J201" s="102"/>
      <c r="K201" s="104"/>
      <c r="L201" s="105">
        <v>20201118</v>
      </c>
    </row>
    <row r="202" ht="15.2" customHeight="1" spans="1:12">
      <c r="A202" s="102">
        <v>200</v>
      </c>
      <c r="B202" s="102" t="s">
        <v>14402</v>
      </c>
      <c r="C202" s="5" t="s">
        <v>14775</v>
      </c>
      <c r="D202" s="102" t="s">
        <v>14776</v>
      </c>
      <c r="E202" s="102">
        <v>2020</v>
      </c>
      <c r="F202" s="102">
        <v>2020</v>
      </c>
      <c r="G202" s="128" t="s">
        <v>16</v>
      </c>
      <c r="H202" s="102">
        <v>200</v>
      </c>
      <c r="I202" s="102">
        <v>200</v>
      </c>
      <c r="J202" s="102"/>
      <c r="K202" s="104"/>
      <c r="L202" s="105">
        <v>20201118</v>
      </c>
    </row>
    <row r="203" ht="15.2" customHeight="1" spans="1:12">
      <c r="A203" s="102">
        <v>201</v>
      </c>
      <c r="B203" s="102" t="s">
        <v>14402</v>
      </c>
      <c r="C203" s="5" t="s">
        <v>14777</v>
      </c>
      <c r="D203" s="102" t="s">
        <v>14778</v>
      </c>
      <c r="E203" s="102">
        <v>2020</v>
      </c>
      <c r="F203" s="102">
        <v>2020</v>
      </c>
      <c r="G203" s="128" t="s">
        <v>16</v>
      </c>
      <c r="H203" s="102">
        <v>200</v>
      </c>
      <c r="I203" s="102">
        <v>200</v>
      </c>
      <c r="J203" s="102"/>
      <c r="K203" s="104"/>
      <c r="L203" s="105">
        <v>20201118</v>
      </c>
    </row>
    <row r="204" ht="15.2" customHeight="1" spans="1:12">
      <c r="A204" s="102">
        <v>202</v>
      </c>
      <c r="B204" s="121" t="s">
        <v>14402</v>
      </c>
      <c r="C204" s="62" t="s">
        <v>14779</v>
      </c>
      <c r="D204" s="121" t="s">
        <v>14780</v>
      </c>
      <c r="E204" s="121">
        <v>2020</v>
      </c>
      <c r="F204" s="121">
        <v>2020</v>
      </c>
      <c r="G204" s="130" t="s">
        <v>16</v>
      </c>
      <c r="H204" s="121">
        <v>200</v>
      </c>
      <c r="I204" s="121">
        <v>200</v>
      </c>
      <c r="J204" s="121"/>
      <c r="K204" s="104"/>
      <c r="L204" s="105">
        <v>20201118</v>
      </c>
    </row>
    <row r="205" ht="15.2" customHeight="1" spans="1:12">
      <c r="A205" s="102">
        <v>203</v>
      </c>
      <c r="B205" s="102" t="s">
        <v>14402</v>
      </c>
      <c r="C205" s="5" t="s">
        <v>14781</v>
      </c>
      <c r="D205" s="102" t="s">
        <v>14782</v>
      </c>
      <c r="E205" s="102">
        <v>2020</v>
      </c>
      <c r="F205" s="102">
        <v>2020</v>
      </c>
      <c r="G205" s="128" t="s">
        <v>16</v>
      </c>
      <c r="H205" s="102">
        <v>200</v>
      </c>
      <c r="I205" s="102">
        <v>200</v>
      </c>
      <c r="J205" s="102"/>
      <c r="K205" s="104"/>
      <c r="L205" s="105">
        <v>20201118</v>
      </c>
    </row>
    <row r="206" ht="15.2" customHeight="1" spans="1:12">
      <c r="A206" s="102">
        <v>204</v>
      </c>
      <c r="B206" s="102" t="s">
        <v>14402</v>
      </c>
      <c r="C206" s="5" t="s">
        <v>14783</v>
      </c>
      <c r="D206" s="102" t="s">
        <v>14784</v>
      </c>
      <c r="E206" s="102">
        <v>2020</v>
      </c>
      <c r="F206" s="102">
        <v>2020</v>
      </c>
      <c r="G206" s="128" t="s">
        <v>16</v>
      </c>
      <c r="H206" s="102">
        <v>200</v>
      </c>
      <c r="I206" s="102">
        <v>200</v>
      </c>
      <c r="J206" s="102" t="s">
        <v>749</v>
      </c>
      <c r="K206" s="104"/>
      <c r="L206" s="105">
        <v>20201118</v>
      </c>
    </row>
    <row r="207" ht="15.2" customHeight="1" spans="1:12">
      <c r="A207" s="102">
        <v>205</v>
      </c>
      <c r="B207" s="102" t="s">
        <v>14402</v>
      </c>
      <c r="C207" s="5" t="s">
        <v>14785</v>
      </c>
      <c r="D207" s="102" t="s">
        <v>14786</v>
      </c>
      <c r="E207" s="102">
        <v>2020</v>
      </c>
      <c r="F207" s="102">
        <v>2020</v>
      </c>
      <c r="G207" s="128" t="s">
        <v>16</v>
      </c>
      <c r="H207" s="102">
        <v>200</v>
      </c>
      <c r="I207" s="102">
        <v>200</v>
      </c>
      <c r="J207" s="102"/>
      <c r="K207" s="104"/>
      <c r="L207" s="105">
        <v>20201118</v>
      </c>
    </row>
    <row r="208" ht="15.2" customHeight="1" spans="1:12">
      <c r="A208" s="102">
        <v>206</v>
      </c>
      <c r="B208" s="121" t="s">
        <v>14402</v>
      </c>
      <c r="C208" s="62" t="s">
        <v>14787</v>
      </c>
      <c r="D208" s="121" t="s">
        <v>14788</v>
      </c>
      <c r="E208" s="121">
        <v>2020</v>
      </c>
      <c r="F208" s="121">
        <v>2020</v>
      </c>
      <c r="G208" s="130" t="s">
        <v>16</v>
      </c>
      <c r="H208" s="121">
        <v>200</v>
      </c>
      <c r="I208" s="121">
        <v>200</v>
      </c>
      <c r="J208" s="121"/>
      <c r="K208" s="104"/>
      <c r="L208" s="105">
        <v>20201118</v>
      </c>
    </row>
    <row r="209" ht="15.2" customHeight="1" spans="1:12">
      <c r="A209" s="102">
        <v>207</v>
      </c>
      <c r="B209" s="102" t="s">
        <v>14402</v>
      </c>
      <c r="C209" s="5" t="s">
        <v>14789</v>
      </c>
      <c r="D209" s="102" t="s">
        <v>14790</v>
      </c>
      <c r="E209" s="102">
        <v>2020</v>
      </c>
      <c r="F209" s="102">
        <v>2020</v>
      </c>
      <c r="G209" s="128" t="s">
        <v>16</v>
      </c>
      <c r="H209" s="102">
        <v>500</v>
      </c>
      <c r="I209" s="102">
        <v>500</v>
      </c>
      <c r="J209" s="102"/>
      <c r="K209" s="104"/>
      <c r="L209" s="105">
        <v>20201118</v>
      </c>
    </row>
    <row r="210" ht="15.2" customHeight="1" spans="1:12">
      <c r="A210" s="102">
        <v>208</v>
      </c>
      <c r="B210" s="102" t="s">
        <v>14402</v>
      </c>
      <c r="C210" s="5" t="s">
        <v>14791</v>
      </c>
      <c r="D210" s="102" t="s">
        <v>14792</v>
      </c>
      <c r="E210" s="102">
        <v>2020</v>
      </c>
      <c r="F210" s="102">
        <v>2020</v>
      </c>
      <c r="G210" s="128" t="s">
        <v>16</v>
      </c>
      <c r="H210" s="102">
        <v>200</v>
      </c>
      <c r="I210" s="102">
        <v>200</v>
      </c>
      <c r="J210" s="102"/>
      <c r="K210" s="104"/>
      <c r="L210" s="105">
        <v>20201118</v>
      </c>
    </row>
    <row r="211" ht="15.2" customHeight="1" spans="1:12">
      <c r="A211" s="102">
        <v>209</v>
      </c>
      <c r="B211" s="102" t="s">
        <v>14402</v>
      </c>
      <c r="C211" s="5" t="s">
        <v>14793</v>
      </c>
      <c r="D211" s="102" t="s">
        <v>14794</v>
      </c>
      <c r="E211" s="102">
        <v>2020</v>
      </c>
      <c r="F211" s="102">
        <v>2020</v>
      </c>
      <c r="G211" s="128" t="s">
        <v>16</v>
      </c>
      <c r="H211" s="102">
        <v>1000</v>
      </c>
      <c r="I211" s="102">
        <v>1000</v>
      </c>
      <c r="J211" s="102" t="s">
        <v>749</v>
      </c>
      <c r="K211" s="104"/>
      <c r="L211" s="105">
        <v>20201118</v>
      </c>
    </row>
    <row r="212" ht="15.2" customHeight="1" spans="1:12">
      <c r="A212" s="102">
        <v>210</v>
      </c>
      <c r="B212" s="102" t="s">
        <v>14402</v>
      </c>
      <c r="C212" s="5" t="s">
        <v>14795</v>
      </c>
      <c r="D212" s="102" t="s">
        <v>14796</v>
      </c>
      <c r="E212" s="102">
        <v>2020</v>
      </c>
      <c r="F212" s="102">
        <v>2020</v>
      </c>
      <c r="G212" s="128" t="s">
        <v>16</v>
      </c>
      <c r="H212" s="102">
        <v>200</v>
      </c>
      <c r="I212" s="102">
        <v>200</v>
      </c>
      <c r="J212" s="102"/>
      <c r="K212" s="104"/>
      <c r="L212" s="105">
        <v>20201118</v>
      </c>
    </row>
    <row r="213" ht="15.2" customHeight="1" spans="1:12">
      <c r="A213" s="102">
        <v>211</v>
      </c>
      <c r="B213" s="102" t="s">
        <v>14402</v>
      </c>
      <c r="C213" s="5" t="s">
        <v>14797</v>
      </c>
      <c r="D213" s="102" t="s">
        <v>14798</v>
      </c>
      <c r="E213" s="102">
        <v>2020</v>
      </c>
      <c r="F213" s="102">
        <v>2020</v>
      </c>
      <c r="G213" s="128" t="s">
        <v>16</v>
      </c>
      <c r="H213" s="102">
        <v>200</v>
      </c>
      <c r="I213" s="102">
        <v>200</v>
      </c>
      <c r="J213" s="102"/>
      <c r="K213" s="104"/>
      <c r="L213" s="105">
        <v>20201118</v>
      </c>
    </row>
    <row r="214" ht="15.2" customHeight="1" spans="1:12">
      <c r="A214" s="102">
        <v>212</v>
      </c>
      <c r="B214" s="102" t="s">
        <v>14402</v>
      </c>
      <c r="C214" s="5" t="s">
        <v>14799</v>
      </c>
      <c r="D214" s="102" t="s">
        <v>14800</v>
      </c>
      <c r="E214" s="102">
        <v>2020</v>
      </c>
      <c r="F214" s="102">
        <v>2020</v>
      </c>
      <c r="G214" s="128" t="s">
        <v>16</v>
      </c>
      <c r="H214" s="102">
        <v>200</v>
      </c>
      <c r="I214" s="102">
        <v>200</v>
      </c>
      <c r="J214" s="102" t="s">
        <v>749</v>
      </c>
      <c r="K214" s="104"/>
      <c r="L214" s="105">
        <v>20201118</v>
      </c>
    </row>
    <row r="215" ht="15.2" customHeight="1" spans="1:12">
      <c r="A215" s="102">
        <v>213</v>
      </c>
      <c r="B215" s="102" t="s">
        <v>14402</v>
      </c>
      <c r="C215" s="5" t="s">
        <v>14801</v>
      </c>
      <c r="D215" s="102" t="s">
        <v>14802</v>
      </c>
      <c r="E215" s="102">
        <v>2020</v>
      </c>
      <c r="F215" s="102">
        <v>2020</v>
      </c>
      <c r="G215" s="128" t="s">
        <v>16</v>
      </c>
      <c r="H215" s="102">
        <v>200</v>
      </c>
      <c r="I215" s="102">
        <v>200</v>
      </c>
      <c r="J215" s="102"/>
      <c r="K215" s="104"/>
      <c r="L215" s="105">
        <v>20201118</v>
      </c>
    </row>
    <row r="216" ht="15.2" customHeight="1" spans="1:12">
      <c r="A216" s="102">
        <v>214</v>
      </c>
      <c r="B216" s="102" t="s">
        <v>14402</v>
      </c>
      <c r="C216" s="5" t="s">
        <v>14803</v>
      </c>
      <c r="D216" s="102" t="s">
        <v>14804</v>
      </c>
      <c r="E216" s="102">
        <v>2020</v>
      </c>
      <c r="F216" s="102">
        <v>2020</v>
      </c>
      <c r="G216" s="128" t="s">
        <v>16</v>
      </c>
      <c r="H216" s="102">
        <v>200</v>
      </c>
      <c r="I216" s="102">
        <v>200</v>
      </c>
      <c r="J216" s="102"/>
      <c r="K216" s="104"/>
      <c r="L216" s="105">
        <v>20201118</v>
      </c>
    </row>
    <row r="217" ht="15.2" customHeight="1" spans="1:12">
      <c r="A217" s="102">
        <v>215</v>
      </c>
      <c r="B217" s="102" t="s">
        <v>14402</v>
      </c>
      <c r="C217" s="5" t="s">
        <v>14805</v>
      </c>
      <c r="D217" s="102" t="s">
        <v>14806</v>
      </c>
      <c r="E217" s="102">
        <v>2020</v>
      </c>
      <c r="F217" s="102">
        <v>2020</v>
      </c>
      <c r="G217" s="128" t="s">
        <v>16</v>
      </c>
      <c r="H217" s="102">
        <v>200</v>
      </c>
      <c r="I217" s="102">
        <v>200</v>
      </c>
      <c r="J217" s="102"/>
      <c r="K217" s="104"/>
      <c r="L217" s="105">
        <v>20201118</v>
      </c>
    </row>
    <row r="218" ht="15.2" customHeight="1" spans="1:12">
      <c r="A218" s="102">
        <v>216</v>
      </c>
      <c r="B218" s="102" t="s">
        <v>14402</v>
      </c>
      <c r="C218" s="5" t="s">
        <v>14807</v>
      </c>
      <c r="D218" s="102" t="s">
        <v>14808</v>
      </c>
      <c r="E218" s="102">
        <v>2020</v>
      </c>
      <c r="F218" s="102">
        <v>2020</v>
      </c>
      <c r="G218" s="128" t="s">
        <v>16</v>
      </c>
      <c r="H218" s="102">
        <v>200</v>
      </c>
      <c r="I218" s="102">
        <v>200</v>
      </c>
      <c r="J218" s="102"/>
      <c r="K218" s="104"/>
      <c r="L218" s="105">
        <v>20201118</v>
      </c>
    </row>
    <row r="219" ht="15.2" customHeight="1" spans="1:12">
      <c r="A219" s="102">
        <v>217</v>
      </c>
      <c r="B219" s="102" t="s">
        <v>14402</v>
      </c>
      <c r="C219" s="5" t="s">
        <v>3348</v>
      </c>
      <c r="D219" s="102" t="s">
        <v>14809</v>
      </c>
      <c r="E219" s="102">
        <v>2020</v>
      </c>
      <c r="F219" s="102">
        <v>2020</v>
      </c>
      <c r="G219" s="128" t="s">
        <v>16</v>
      </c>
      <c r="H219" s="102">
        <v>200</v>
      </c>
      <c r="I219" s="102">
        <v>200</v>
      </c>
      <c r="J219" s="102"/>
      <c r="K219" s="104"/>
      <c r="L219" s="105">
        <v>20201118</v>
      </c>
    </row>
    <row r="220" ht="15.2" customHeight="1" spans="1:12">
      <c r="A220" s="102">
        <v>218</v>
      </c>
      <c r="B220" s="102" t="s">
        <v>14402</v>
      </c>
      <c r="C220" s="5" t="s">
        <v>14810</v>
      </c>
      <c r="D220" s="102" t="s">
        <v>14811</v>
      </c>
      <c r="E220" s="102">
        <v>2020</v>
      </c>
      <c r="F220" s="102">
        <v>2020</v>
      </c>
      <c r="G220" s="128" t="s">
        <v>16</v>
      </c>
      <c r="H220" s="102">
        <v>200</v>
      </c>
      <c r="I220" s="102">
        <v>200</v>
      </c>
      <c r="J220" s="102"/>
      <c r="K220" s="104"/>
      <c r="L220" s="105">
        <v>20201118</v>
      </c>
    </row>
    <row r="221" ht="15.2" customHeight="1" spans="1:12">
      <c r="A221" s="102">
        <v>219</v>
      </c>
      <c r="B221" s="102" t="s">
        <v>14402</v>
      </c>
      <c r="C221" s="5" t="s">
        <v>14812</v>
      </c>
      <c r="D221" s="102" t="s">
        <v>14813</v>
      </c>
      <c r="E221" s="102">
        <v>2020</v>
      </c>
      <c r="F221" s="102">
        <v>2020</v>
      </c>
      <c r="G221" s="128" t="s">
        <v>16</v>
      </c>
      <c r="H221" s="102">
        <v>500</v>
      </c>
      <c r="I221" s="102">
        <v>500</v>
      </c>
      <c r="J221" s="102"/>
      <c r="K221" s="104"/>
      <c r="L221" s="105">
        <v>20201118</v>
      </c>
    </row>
    <row r="222" ht="15.2" customHeight="1" spans="1:12">
      <c r="A222" s="102">
        <v>220</v>
      </c>
      <c r="B222" s="102" t="s">
        <v>14402</v>
      </c>
      <c r="C222" s="5" t="s">
        <v>14814</v>
      </c>
      <c r="D222" s="102" t="s">
        <v>14815</v>
      </c>
      <c r="E222" s="102">
        <v>2020</v>
      </c>
      <c r="F222" s="102">
        <v>2020</v>
      </c>
      <c r="G222" s="128" t="s">
        <v>16</v>
      </c>
      <c r="H222" s="102">
        <v>200</v>
      </c>
      <c r="I222" s="102">
        <v>200</v>
      </c>
      <c r="J222" s="102"/>
      <c r="K222" s="104"/>
      <c r="L222" s="105">
        <v>20201118</v>
      </c>
    </row>
    <row r="223" ht="15.2" customHeight="1" spans="1:12">
      <c r="A223" s="102">
        <v>221</v>
      </c>
      <c r="B223" s="102" t="s">
        <v>14402</v>
      </c>
      <c r="C223" s="5" t="s">
        <v>14816</v>
      </c>
      <c r="D223" s="102" t="s">
        <v>14817</v>
      </c>
      <c r="E223" s="102">
        <v>2020</v>
      </c>
      <c r="F223" s="102">
        <v>2020</v>
      </c>
      <c r="G223" s="128" t="s">
        <v>16</v>
      </c>
      <c r="H223" s="102">
        <v>200</v>
      </c>
      <c r="I223" s="102">
        <v>200</v>
      </c>
      <c r="J223" s="102"/>
      <c r="K223" s="104"/>
      <c r="L223" s="105">
        <v>20201118</v>
      </c>
    </row>
    <row r="224" ht="15.2" customHeight="1" spans="1:12">
      <c r="A224" s="102">
        <v>222</v>
      </c>
      <c r="B224" s="5" t="s">
        <v>14402</v>
      </c>
      <c r="C224" s="5" t="s">
        <v>14818</v>
      </c>
      <c r="D224" s="5" t="s">
        <v>14819</v>
      </c>
      <c r="E224" s="5">
        <v>2020</v>
      </c>
      <c r="F224" s="5">
        <v>2020</v>
      </c>
      <c r="G224" s="131" t="s">
        <v>189</v>
      </c>
      <c r="H224" s="5">
        <v>200</v>
      </c>
      <c r="I224" s="5">
        <v>200</v>
      </c>
      <c r="J224" s="5"/>
      <c r="K224" s="104"/>
      <c r="L224" s="105">
        <v>20201118</v>
      </c>
    </row>
    <row r="225" ht="15.2" customHeight="1" spans="1:12">
      <c r="A225" s="102">
        <v>223</v>
      </c>
      <c r="B225" s="5" t="s">
        <v>14402</v>
      </c>
      <c r="C225" s="5" t="s">
        <v>14820</v>
      </c>
      <c r="D225" s="5" t="s">
        <v>14821</v>
      </c>
      <c r="E225" s="5">
        <v>2020</v>
      </c>
      <c r="F225" s="5">
        <v>2020</v>
      </c>
      <c r="G225" s="131" t="s">
        <v>189</v>
      </c>
      <c r="H225" s="5">
        <v>200</v>
      </c>
      <c r="I225" s="5">
        <v>200</v>
      </c>
      <c r="J225" s="5"/>
      <c r="K225" s="104"/>
      <c r="L225" s="105">
        <v>20201118</v>
      </c>
    </row>
    <row r="226" ht="15.2" customHeight="1" spans="1:12">
      <c r="A226" s="102">
        <v>224</v>
      </c>
      <c r="B226" s="102" t="s">
        <v>14402</v>
      </c>
      <c r="C226" s="5" t="s">
        <v>14822</v>
      </c>
      <c r="D226" s="102" t="s">
        <v>14823</v>
      </c>
      <c r="E226" s="102">
        <v>2020</v>
      </c>
      <c r="F226" s="102">
        <v>2020</v>
      </c>
      <c r="G226" s="128" t="s">
        <v>16</v>
      </c>
      <c r="H226" s="102">
        <v>200</v>
      </c>
      <c r="I226" s="102">
        <v>200</v>
      </c>
      <c r="J226" s="102"/>
      <c r="K226" s="104"/>
      <c r="L226" s="105">
        <v>20201118</v>
      </c>
    </row>
    <row r="227" ht="15.2" customHeight="1" spans="1:12">
      <c r="A227" s="102">
        <v>225</v>
      </c>
      <c r="B227" s="102" t="s">
        <v>14402</v>
      </c>
      <c r="C227" s="5" t="s">
        <v>14824</v>
      </c>
      <c r="D227" s="102" t="s">
        <v>14825</v>
      </c>
      <c r="E227" s="102">
        <v>2020</v>
      </c>
      <c r="F227" s="102">
        <v>2020</v>
      </c>
      <c r="G227" s="128" t="s">
        <v>16</v>
      </c>
      <c r="H227" s="102">
        <v>200</v>
      </c>
      <c r="I227" s="102">
        <v>200</v>
      </c>
      <c r="J227" s="102"/>
      <c r="K227" s="104"/>
      <c r="L227" s="105">
        <v>20201118</v>
      </c>
    </row>
    <row r="228" ht="15.2" customHeight="1" spans="1:12">
      <c r="A228" s="102">
        <v>226</v>
      </c>
      <c r="B228" s="102" t="s">
        <v>14402</v>
      </c>
      <c r="C228" s="5" t="s">
        <v>14826</v>
      </c>
      <c r="D228" s="102" t="s">
        <v>14827</v>
      </c>
      <c r="E228" s="102">
        <v>2020</v>
      </c>
      <c r="F228" s="102">
        <v>2020</v>
      </c>
      <c r="G228" s="128" t="s">
        <v>16</v>
      </c>
      <c r="H228" s="102">
        <v>200</v>
      </c>
      <c r="I228" s="102">
        <v>200</v>
      </c>
      <c r="J228" s="102"/>
      <c r="K228" s="104"/>
      <c r="L228" s="105">
        <v>20201118</v>
      </c>
    </row>
    <row r="229" ht="15.2" customHeight="1" spans="1:12">
      <c r="A229" s="102">
        <v>227</v>
      </c>
      <c r="B229" s="102" t="s">
        <v>14402</v>
      </c>
      <c r="C229" s="5" t="s">
        <v>14828</v>
      </c>
      <c r="D229" s="102" t="s">
        <v>14829</v>
      </c>
      <c r="E229" s="102">
        <v>2020</v>
      </c>
      <c r="F229" s="102">
        <v>2020</v>
      </c>
      <c r="G229" s="128" t="s">
        <v>16</v>
      </c>
      <c r="H229" s="102">
        <v>200</v>
      </c>
      <c r="I229" s="102">
        <v>200</v>
      </c>
      <c r="J229" s="102"/>
      <c r="K229" s="104"/>
      <c r="L229" s="105">
        <v>20201118</v>
      </c>
    </row>
    <row r="230" ht="15.2" customHeight="1" spans="1:12">
      <c r="A230" s="102">
        <v>228</v>
      </c>
      <c r="B230" s="102" t="s">
        <v>14402</v>
      </c>
      <c r="C230" s="5" t="s">
        <v>14830</v>
      </c>
      <c r="D230" s="102" t="s">
        <v>14831</v>
      </c>
      <c r="E230" s="102">
        <v>2020</v>
      </c>
      <c r="F230" s="102">
        <v>2020</v>
      </c>
      <c r="G230" s="128" t="s">
        <v>16</v>
      </c>
      <c r="H230" s="102">
        <v>200</v>
      </c>
      <c r="I230" s="102">
        <v>200</v>
      </c>
      <c r="J230" s="102"/>
      <c r="K230" s="104"/>
      <c r="L230" s="105">
        <v>20201118</v>
      </c>
    </row>
    <row r="231" ht="15.2" customHeight="1" spans="1:12">
      <c r="A231" s="102">
        <v>229</v>
      </c>
      <c r="B231" s="102" t="s">
        <v>14402</v>
      </c>
      <c r="C231" s="5" t="s">
        <v>14832</v>
      </c>
      <c r="D231" s="102" t="s">
        <v>14833</v>
      </c>
      <c r="E231" s="102">
        <v>2020</v>
      </c>
      <c r="F231" s="102">
        <v>2020</v>
      </c>
      <c r="G231" s="128" t="s">
        <v>16</v>
      </c>
      <c r="H231" s="102">
        <v>200</v>
      </c>
      <c r="I231" s="102">
        <v>200</v>
      </c>
      <c r="J231" s="102"/>
      <c r="K231" s="104"/>
      <c r="L231" s="105">
        <v>20201118</v>
      </c>
    </row>
    <row r="232" ht="15.2" customHeight="1" spans="1:12">
      <c r="A232" s="102">
        <v>230</v>
      </c>
      <c r="B232" s="102" t="s">
        <v>14402</v>
      </c>
      <c r="C232" s="5" t="s">
        <v>14834</v>
      </c>
      <c r="D232" s="102" t="s">
        <v>14835</v>
      </c>
      <c r="E232" s="102">
        <v>2020</v>
      </c>
      <c r="F232" s="102">
        <v>2020</v>
      </c>
      <c r="G232" s="128" t="s">
        <v>16</v>
      </c>
      <c r="H232" s="102">
        <v>200</v>
      </c>
      <c r="I232" s="102">
        <v>200</v>
      </c>
      <c r="J232" s="102"/>
      <c r="K232" s="104"/>
      <c r="L232" s="105">
        <v>20201118</v>
      </c>
    </row>
    <row r="233" ht="15.2" customHeight="1" spans="1:12">
      <c r="A233" s="102">
        <v>231</v>
      </c>
      <c r="B233" s="102" t="s">
        <v>14402</v>
      </c>
      <c r="C233" s="5" t="s">
        <v>14836</v>
      </c>
      <c r="D233" s="102" t="s">
        <v>14837</v>
      </c>
      <c r="E233" s="102">
        <v>2020</v>
      </c>
      <c r="F233" s="102">
        <v>2020</v>
      </c>
      <c r="G233" s="128" t="s">
        <v>16</v>
      </c>
      <c r="H233" s="102">
        <v>200</v>
      </c>
      <c r="I233" s="102">
        <v>200</v>
      </c>
      <c r="J233" s="102"/>
      <c r="K233" s="104"/>
      <c r="L233" s="105">
        <v>20201118</v>
      </c>
    </row>
    <row r="234" ht="15.2" customHeight="1" spans="1:12">
      <c r="A234" s="102">
        <v>232</v>
      </c>
      <c r="B234" s="102" t="s">
        <v>14402</v>
      </c>
      <c r="C234" s="5" t="s">
        <v>8302</v>
      </c>
      <c r="D234" s="102" t="s">
        <v>14838</v>
      </c>
      <c r="E234" s="102">
        <v>2020</v>
      </c>
      <c r="F234" s="102">
        <v>2020</v>
      </c>
      <c r="G234" s="128" t="s">
        <v>16</v>
      </c>
      <c r="H234" s="102">
        <v>200</v>
      </c>
      <c r="I234" s="102">
        <v>200</v>
      </c>
      <c r="J234" s="102"/>
      <c r="K234" s="104"/>
      <c r="L234" s="105">
        <v>20201118</v>
      </c>
    </row>
    <row r="235" ht="15.2" customHeight="1" spans="1:12">
      <c r="A235" s="102">
        <v>233</v>
      </c>
      <c r="B235" s="102" t="s">
        <v>14402</v>
      </c>
      <c r="C235" s="5" t="s">
        <v>14839</v>
      </c>
      <c r="D235" s="102" t="s">
        <v>14840</v>
      </c>
      <c r="E235" s="102">
        <v>2020</v>
      </c>
      <c r="F235" s="102">
        <v>2020</v>
      </c>
      <c r="G235" s="128" t="s">
        <v>16</v>
      </c>
      <c r="H235" s="102">
        <v>200</v>
      </c>
      <c r="I235" s="102">
        <v>200</v>
      </c>
      <c r="J235" s="102"/>
      <c r="K235" s="104"/>
      <c r="L235" s="105">
        <v>20201118</v>
      </c>
    </row>
    <row r="236" ht="15.2" customHeight="1" spans="1:12">
      <c r="A236" s="102">
        <v>234</v>
      </c>
      <c r="B236" s="121" t="s">
        <v>14402</v>
      </c>
      <c r="C236" s="62" t="s">
        <v>14841</v>
      </c>
      <c r="D236" s="121" t="s">
        <v>14842</v>
      </c>
      <c r="E236" s="121">
        <v>2020</v>
      </c>
      <c r="F236" s="121">
        <v>2020</v>
      </c>
      <c r="G236" s="130" t="s">
        <v>16</v>
      </c>
      <c r="H236" s="121">
        <v>200</v>
      </c>
      <c r="I236" s="121">
        <v>200</v>
      </c>
      <c r="J236" s="121"/>
      <c r="K236" s="104"/>
      <c r="L236" s="105">
        <v>20201118</v>
      </c>
    </row>
    <row r="237" ht="15.2" customHeight="1" spans="1:12">
      <c r="A237" s="102">
        <v>235</v>
      </c>
      <c r="B237" s="102" t="s">
        <v>14402</v>
      </c>
      <c r="C237" s="5" t="s">
        <v>14843</v>
      </c>
      <c r="D237" s="102" t="s">
        <v>14844</v>
      </c>
      <c r="E237" s="102">
        <v>2020</v>
      </c>
      <c r="F237" s="102">
        <v>2020</v>
      </c>
      <c r="G237" s="128" t="s">
        <v>16</v>
      </c>
      <c r="H237" s="102">
        <v>200</v>
      </c>
      <c r="I237" s="102">
        <v>200</v>
      </c>
      <c r="J237" s="102"/>
      <c r="K237" s="104"/>
      <c r="L237" s="105">
        <v>20201118</v>
      </c>
    </row>
    <row r="238" ht="15.2" customHeight="1" spans="1:12">
      <c r="A238" s="102">
        <v>236</v>
      </c>
      <c r="B238" s="102" t="s">
        <v>14402</v>
      </c>
      <c r="C238" s="5" t="s">
        <v>14845</v>
      </c>
      <c r="D238" s="102" t="s">
        <v>14846</v>
      </c>
      <c r="E238" s="102">
        <v>2020</v>
      </c>
      <c r="F238" s="102">
        <v>2020</v>
      </c>
      <c r="G238" s="128" t="s">
        <v>16</v>
      </c>
      <c r="H238" s="102">
        <v>500</v>
      </c>
      <c r="I238" s="102">
        <v>500</v>
      </c>
      <c r="J238" s="102"/>
      <c r="K238" s="104"/>
      <c r="L238" s="105">
        <v>20201118</v>
      </c>
    </row>
    <row r="239" ht="15.2" customHeight="1" spans="1:12">
      <c r="A239" s="102">
        <v>237</v>
      </c>
      <c r="B239" s="102" t="s">
        <v>14402</v>
      </c>
      <c r="C239" s="5" t="s">
        <v>14847</v>
      </c>
      <c r="D239" s="102" t="s">
        <v>14848</v>
      </c>
      <c r="E239" s="102">
        <v>2020</v>
      </c>
      <c r="F239" s="102">
        <v>2020</v>
      </c>
      <c r="G239" s="128" t="s">
        <v>16</v>
      </c>
      <c r="H239" s="102">
        <v>200</v>
      </c>
      <c r="I239" s="102">
        <v>200</v>
      </c>
      <c r="J239" s="102"/>
      <c r="K239" s="104"/>
      <c r="L239" s="105">
        <v>20201118</v>
      </c>
    </row>
    <row r="240" ht="15.2" customHeight="1" spans="1:12">
      <c r="A240" s="102">
        <v>238</v>
      </c>
      <c r="B240" s="102" t="s">
        <v>14402</v>
      </c>
      <c r="C240" s="5" t="s">
        <v>14849</v>
      </c>
      <c r="D240" s="102" t="s">
        <v>14850</v>
      </c>
      <c r="E240" s="102">
        <v>2020</v>
      </c>
      <c r="F240" s="102">
        <v>2020</v>
      </c>
      <c r="G240" s="131" t="s">
        <v>189</v>
      </c>
      <c r="H240" s="102">
        <v>200</v>
      </c>
      <c r="I240" s="102">
        <v>200</v>
      </c>
      <c r="J240" s="102"/>
      <c r="K240" s="104"/>
      <c r="L240" s="105">
        <v>20201118</v>
      </c>
    </row>
    <row r="241" ht="15.2" customHeight="1" spans="1:12">
      <c r="A241" s="102">
        <v>239</v>
      </c>
      <c r="B241" s="102" t="s">
        <v>14402</v>
      </c>
      <c r="C241" s="5" t="s">
        <v>14851</v>
      </c>
      <c r="D241" s="102" t="s">
        <v>14852</v>
      </c>
      <c r="E241" s="102">
        <v>2020</v>
      </c>
      <c r="F241" s="102">
        <v>2020</v>
      </c>
      <c r="G241" s="128" t="s">
        <v>16</v>
      </c>
      <c r="H241" s="102">
        <v>200</v>
      </c>
      <c r="I241" s="102">
        <v>200</v>
      </c>
      <c r="J241" s="102"/>
      <c r="K241" s="104"/>
      <c r="L241" s="105">
        <v>20201118</v>
      </c>
    </row>
    <row r="242" ht="15.2" customHeight="1" spans="1:12">
      <c r="A242" s="102">
        <v>240</v>
      </c>
      <c r="B242" s="102" t="s">
        <v>14402</v>
      </c>
      <c r="C242" s="5" t="s">
        <v>14853</v>
      </c>
      <c r="D242" s="102" t="s">
        <v>14854</v>
      </c>
      <c r="E242" s="102">
        <v>2020</v>
      </c>
      <c r="F242" s="102">
        <v>2020</v>
      </c>
      <c r="G242" s="128" t="s">
        <v>16</v>
      </c>
      <c r="H242" s="102">
        <v>200</v>
      </c>
      <c r="I242" s="102">
        <v>200</v>
      </c>
      <c r="J242" s="102"/>
      <c r="K242" s="104"/>
      <c r="L242" s="105">
        <v>20201118</v>
      </c>
    </row>
    <row r="243" ht="15.2" customHeight="1" spans="1:12">
      <c r="A243" s="102">
        <v>241</v>
      </c>
      <c r="B243" s="102" t="s">
        <v>14402</v>
      </c>
      <c r="C243" s="5" t="s">
        <v>14855</v>
      </c>
      <c r="D243" s="102" t="s">
        <v>14856</v>
      </c>
      <c r="E243" s="102">
        <v>2020</v>
      </c>
      <c r="F243" s="102">
        <v>2020</v>
      </c>
      <c r="G243" s="128" t="s">
        <v>16</v>
      </c>
      <c r="H243" s="102">
        <v>200</v>
      </c>
      <c r="I243" s="102">
        <v>200</v>
      </c>
      <c r="J243" s="102"/>
      <c r="K243" s="104"/>
      <c r="L243" s="105">
        <v>20201118</v>
      </c>
    </row>
    <row r="244" ht="15.2" customHeight="1" spans="1:12">
      <c r="A244" s="102">
        <v>242</v>
      </c>
      <c r="B244" s="102" t="s">
        <v>14402</v>
      </c>
      <c r="C244" s="5" t="s">
        <v>14857</v>
      </c>
      <c r="D244" s="102" t="s">
        <v>14858</v>
      </c>
      <c r="E244" s="102">
        <v>2020</v>
      </c>
      <c r="F244" s="102">
        <v>2020</v>
      </c>
      <c r="G244" s="128" t="s">
        <v>16</v>
      </c>
      <c r="H244" s="102">
        <v>200</v>
      </c>
      <c r="I244" s="102">
        <v>200</v>
      </c>
      <c r="J244" s="102" t="s">
        <v>749</v>
      </c>
      <c r="K244" s="104"/>
      <c r="L244" s="105">
        <v>20201118</v>
      </c>
    </row>
    <row r="245" ht="15.2" customHeight="1" spans="1:12">
      <c r="A245" s="102">
        <v>243</v>
      </c>
      <c r="B245" s="102" t="s">
        <v>14402</v>
      </c>
      <c r="C245" s="5" t="s">
        <v>14859</v>
      </c>
      <c r="D245" s="102" t="s">
        <v>14860</v>
      </c>
      <c r="E245" s="102">
        <v>2020</v>
      </c>
      <c r="F245" s="102">
        <v>2020</v>
      </c>
      <c r="G245" s="128" t="s">
        <v>16</v>
      </c>
      <c r="H245" s="102">
        <v>200</v>
      </c>
      <c r="I245" s="102">
        <v>200</v>
      </c>
      <c r="J245" s="102"/>
      <c r="K245" s="104"/>
      <c r="L245" s="105">
        <v>20201118</v>
      </c>
    </row>
    <row r="246" ht="15.2" customHeight="1" spans="1:12">
      <c r="A246" s="102">
        <v>244</v>
      </c>
      <c r="B246" s="102" t="s">
        <v>14402</v>
      </c>
      <c r="C246" s="5" t="s">
        <v>8003</v>
      </c>
      <c r="D246" s="102" t="s">
        <v>14861</v>
      </c>
      <c r="E246" s="102">
        <v>2020</v>
      </c>
      <c r="F246" s="102">
        <v>2020</v>
      </c>
      <c r="G246" s="128" t="s">
        <v>16</v>
      </c>
      <c r="H246" s="102">
        <v>200</v>
      </c>
      <c r="I246" s="102">
        <v>200</v>
      </c>
      <c r="J246" s="102"/>
      <c r="K246" s="104"/>
      <c r="L246" s="105">
        <v>20201118</v>
      </c>
    </row>
    <row r="247" ht="15.2" customHeight="1" spans="1:12">
      <c r="A247" s="102">
        <v>245</v>
      </c>
      <c r="B247" s="102" t="s">
        <v>14402</v>
      </c>
      <c r="C247" s="5" t="s">
        <v>14862</v>
      </c>
      <c r="D247" s="102" t="s">
        <v>14863</v>
      </c>
      <c r="E247" s="102">
        <v>2020</v>
      </c>
      <c r="F247" s="102">
        <v>2020</v>
      </c>
      <c r="G247" s="128" t="s">
        <v>16</v>
      </c>
      <c r="H247" s="102">
        <v>200</v>
      </c>
      <c r="I247" s="102">
        <v>200</v>
      </c>
      <c r="J247" s="102"/>
      <c r="K247" s="104"/>
      <c r="L247" s="105">
        <v>20201118</v>
      </c>
    </row>
    <row r="248" ht="15.2" customHeight="1" spans="1:12">
      <c r="A248" s="102">
        <v>246</v>
      </c>
      <c r="B248" s="102" t="s">
        <v>14402</v>
      </c>
      <c r="C248" s="5" t="s">
        <v>14864</v>
      </c>
      <c r="D248" s="102" t="s">
        <v>14865</v>
      </c>
      <c r="E248" s="102">
        <v>2020</v>
      </c>
      <c r="F248" s="102">
        <v>2020</v>
      </c>
      <c r="G248" s="128" t="s">
        <v>16</v>
      </c>
      <c r="H248" s="102">
        <v>200</v>
      </c>
      <c r="I248" s="102">
        <v>200</v>
      </c>
      <c r="J248" s="102" t="s">
        <v>749</v>
      </c>
      <c r="K248" s="104"/>
      <c r="L248" s="105">
        <v>20201118</v>
      </c>
    </row>
    <row r="249" ht="15.2" customHeight="1" spans="1:12">
      <c r="A249" s="102">
        <v>247</v>
      </c>
      <c r="B249" s="102" t="s">
        <v>14402</v>
      </c>
      <c r="C249" s="5" t="s">
        <v>14866</v>
      </c>
      <c r="D249" s="102" t="s">
        <v>14867</v>
      </c>
      <c r="E249" s="102">
        <v>2020</v>
      </c>
      <c r="F249" s="102">
        <v>2020</v>
      </c>
      <c r="G249" s="128" t="s">
        <v>16</v>
      </c>
      <c r="H249" s="102">
        <v>200</v>
      </c>
      <c r="I249" s="102">
        <v>200</v>
      </c>
      <c r="J249" s="102"/>
      <c r="K249" s="104"/>
      <c r="L249" s="105">
        <v>20201118</v>
      </c>
    </row>
    <row r="250" ht="15.2" customHeight="1" spans="1:12">
      <c r="A250" s="102">
        <v>248</v>
      </c>
      <c r="B250" s="102" t="s">
        <v>14402</v>
      </c>
      <c r="C250" s="5" t="s">
        <v>14868</v>
      </c>
      <c r="D250" s="102" t="s">
        <v>14869</v>
      </c>
      <c r="E250" s="102">
        <v>2020</v>
      </c>
      <c r="F250" s="102">
        <v>2020</v>
      </c>
      <c r="G250" s="128" t="s">
        <v>16</v>
      </c>
      <c r="H250" s="102">
        <v>200</v>
      </c>
      <c r="I250" s="102">
        <v>200</v>
      </c>
      <c r="J250" s="102"/>
      <c r="K250" s="104"/>
      <c r="L250" s="105">
        <v>20201118</v>
      </c>
    </row>
    <row r="251" ht="15.2" customHeight="1" spans="1:12">
      <c r="A251" s="102">
        <v>249</v>
      </c>
      <c r="B251" s="102" t="s">
        <v>14402</v>
      </c>
      <c r="C251" s="5" t="s">
        <v>14870</v>
      </c>
      <c r="D251" s="102" t="s">
        <v>14871</v>
      </c>
      <c r="E251" s="102">
        <v>2020</v>
      </c>
      <c r="F251" s="102">
        <v>2020</v>
      </c>
      <c r="G251" s="128" t="s">
        <v>16</v>
      </c>
      <c r="H251" s="102">
        <v>200</v>
      </c>
      <c r="I251" s="102">
        <v>200</v>
      </c>
      <c r="J251" s="102"/>
      <c r="K251" s="104"/>
      <c r="L251" s="105">
        <v>20201118</v>
      </c>
    </row>
    <row r="252" ht="15.2" customHeight="1" spans="1:12">
      <c r="A252" s="102">
        <v>250</v>
      </c>
      <c r="B252" s="102" t="s">
        <v>14402</v>
      </c>
      <c r="C252" s="5" t="s">
        <v>14872</v>
      </c>
      <c r="D252" s="102" t="s">
        <v>14873</v>
      </c>
      <c r="E252" s="102">
        <v>2020</v>
      </c>
      <c r="F252" s="102">
        <v>2020</v>
      </c>
      <c r="G252" s="128" t="s">
        <v>16</v>
      </c>
      <c r="H252" s="102">
        <v>200</v>
      </c>
      <c r="I252" s="102">
        <v>200</v>
      </c>
      <c r="J252" s="102"/>
      <c r="K252" s="104"/>
      <c r="L252" s="105">
        <v>20201118</v>
      </c>
    </row>
    <row r="253" ht="16" customHeight="1" spans="1:12">
      <c r="A253" s="104"/>
      <c r="B253" s="104"/>
      <c r="C253" s="104"/>
      <c r="D253" s="104"/>
      <c r="E253" s="104"/>
      <c r="F253" s="104"/>
      <c r="G253" s="104"/>
      <c r="H253" s="104"/>
      <c r="I253" s="104">
        <v>60300</v>
      </c>
      <c r="J253" s="104"/>
      <c r="K253" s="104"/>
      <c r="L253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5"/>
  <sheetViews>
    <sheetView topLeftCell="A148" workbookViewId="0">
      <selection activeCell="A3" sqref="A3:L184"/>
    </sheetView>
  </sheetViews>
  <sheetFormatPr defaultColWidth="9" defaultRowHeight="13.5"/>
  <cols>
    <col min="1" max="1" width="7.25" style="114" customWidth="1"/>
    <col min="2" max="2" width="15.625" style="114" customWidth="1"/>
    <col min="3" max="3" width="12.625" style="115" customWidth="1"/>
    <col min="4" max="4" width="23.625" style="116" customWidth="1"/>
    <col min="5" max="5" width="14.5" style="116" customWidth="1"/>
    <col min="6" max="7" width="9" style="116"/>
    <col min="8" max="8" width="9" style="114"/>
    <col min="9" max="9" width="9" style="117"/>
    <col min="10" max="11" width="9" style="114"/>
    <col min="12" max="12" width="11.75" customWidth="1"/>
    <col min="13" max="13" width="9" style="114"/>
    <col min="14" max="14" width="11.75" style="114" customWidth="1"/>
    <col min="15" max="16" width="9" style="114"/>
    <col min="17" max="16384" width="9" style="113"/>
  </cols>
  <sheetData>
    <row r="1" customFormat="1" ht="18.75" spans="1:12">
      <c r="A1" s="99" t="s">
        <v>14874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s="113" customFormat="1" ht="16" customHeight="1" spans="1:16">
      <c r="A3" s="109">
        <v>1</v>
      </c>
      <c r="B3" s="5" t="s">
        <v>14875</v>
      </c>
      <c r="C3" s="51" t="s">
        <v>14876</v>
      </c>
      <c r="D3" s="118" t="str">
        <f>"152326199902117132"</f>
        <v>152326199902117132</v>
      </c>
      <c r="E3" s="109" t="s">
        <v>15</v>
      </c>
      <c r="F3" s="109">
        <v>2020</v>
      </c>
      <c r="G3" s="118" t="s">
        <v>14877</v>
      </c>
      <c r="H3" s="109">
        <v>200</v>
      </c>
      <c r="I3" s="6">
        <v>200</v>
      </c>
      <c r="J3" s="109"/>
      <c r="K3" s="94"/>
      <c r="L3" s="105">
        <v>20201118</v>
      </c>
      <c r="M3" s="114"/>
      <c r="N3" s="114"/>
      <c r="O3" s="114"/>
      <c r="P3" s="114"/>
    </row>
    <row r="4" s="113" customFormat="1" ht="16" customHeight="1" spans="1:16">
      <c r="A4" s="109">
        <v>2</v>
      </c>
      <c r="B4" s="5" t="s">
        <v>14875</v>
      </c>
      <c r="C4" s="51" t="s">
        <v>14878</v>
      </c>
      <c r="D4" s="118" t="s">
        <v>14879</v>
      </c>
      <c r="E4" s="109" t="s">
        <v>15</v>
      </c>
      <c r="F4" s="109">
        <v>2020</v>
      </c>
      <c r="G4" s="118" t="s">
        <v>14877</v>
      </c>
      <c r="H4" s="109">
        <v>200</v>
      </c>
      <c r="I4" s="6">
        <v>200</v>
      </c>
      <c r="J4" s="109" t="s">
        <v>5331</v>
      </c>
      <c r="K4" s="94"/>
      <c r="L4" s="105">
        <v>20201118</v>
      </c>
      <c r="M4" s="114"/>
      <c r="N4" s="114"/>
      <c r="O4" s="114"/>
      <c r="P4" s="114"/>
    </row>
    <row r="5" s="113" customFormat="1" ht="16" customHeight="1" spans="1:16">
      <c r="A5" s="109">
        <v>3</v>
      </c>
      <c r="B5" s="5" t="s">
        <v>14875</v>
      </c>
      <c r="C5" s="51" t="s">
        <v>14880</v>
      </c>
      <c r="D5" s="118" t="s">
        <v>14881</v>
      </c>
      <c r="E5" s="109" t="s">
        <v>15</v>
      </c>
      <c r="F5" s="109">
        <v>2020</v>
      </c>
      <c r="G5" s="118" t="s">
        <v>14877</v>
      </c>
      <c r="H5" s="109">
        <v>200</v>
      </c>
      <c r="I5" s="6">
        <v>200</v>
      </c>
      <c r="J5" s="109"/>
      <c r="K5" s="94"/>
      <c r="L5" s="105">
        <v>20201118</v>
      </c>
      <c r="M5" s="114"/>
      <c r="N5" s="114"/>
      <c r="O5" s="114"/>
      <c r="P5" s="114"/>
    </row>
    <row r="6" s="113" customFormat="1" ht="16" customHeight="1" spans="1:16">
      <c r="A6" s="109">
        <v>4</v>
      </c>
      <c r="B6" s="5" t="s">
        <v>14875</v>
      </c>
      <c r="C6" s="51" t="s">
        <v>14882</v>
      </c>
      <c r="D6" s="118" t="str">
        <f>"152326199110307122"</f>
        <v>152326199110307122</v>
      </c>
      <c r="E6" s="109" t="s">
        <v>15</v>
      </c>
      <c r="F6" s="109">
        <v>2020</v>
      </c>
      <c r="G6" s="118" t="s">
        <v>14877</v>
      </c>
      <c r="H6" s="109">
        <v>200</v>
      </c>
      <c r="I6" s="6">
        <v>200</v>
      </c>
      <c r="J6" s="109"/>
      <c r="K6" s="94"/>
      <c r="L6" s="105">
        <v>20201118</v>
      </c>
      <c r="M6" s="114"/>
      <c r="N6" s="114"/>
      <c r="O6" s="114"/>
      <c r="P6" s="114"/>
    </row>
    <row r="7" s="113" customFormat="1" ht="16" customHeight="1" spans="1:16">
      <c r="A7" s="109">
        <v>5</v>
      </c>
      <c r="B7" s="5" t="s">
        <v>14875</v>
      </c>
      <c r="C7" s="51" t="s">
        <v>14883</v>
      </c>
      <c r="D7" s="118" t="str">
        <f>"152326198901037136"</f>
        <v>152326198901037136</v>
      </c>
      <c r="E7" s="109" t="s">
        <v>15</v>
      </c>
      <c r="F7" s="109">
        <v>2020</v>
      </c>
      <c r="G7" s="118" t="s">
        <v>14877</v>
      </c>
      <c r="H7" s="109">
        <v>200</v>
      </c>
      <c r="I7" s="6">
        <v>200</v>
      </c>
      <c r="J7" s="109"/>
      <c r="K7" s="94"/>
      <c r="L7" s="105">
        <v>20201118</v>
      </c>
      <c r="M7" s="114"/>
      <c r="N7" s="114"/>
      <c r="O7" s="114"/>
      <c r="P7" s="114"/>
    </row>
    <row r="8" s="113" customFormat="1" ht="16" customHeight="1" spans="1:16">
      <c r="A8" s="109">
        <v>6</v>
      </c>
      <c r="B8" s="5" t="s">
        <v>14875</v>
      </c>
      <c r="C8" s="51" t="s">
        <v>14884</v>
      </c>
      <c r="D8" s="118" t="str">
        <f>"150525198707286879"</f>
        <v>150525198707286879</v>
      </c>
      <c r="E8" s="109" t="s">
        <v>15</v>
      </c>
      <c r="F8" s="109">
        <v>2020</v>
      </c>
      <c r="G8" s="118" t="s">
        <v>14877</v>
      </c>
      <c r="H8" s="109">
        <v>200</v>
      </c>
      <c r="I8" s="6">
        <v>200</v>
      </c>
      <c r="J8" s="109"/>
      <c r="K8" s="94"/>
      <c r="L8" s="105">
        <v>20201118</v>
      </c>
      <c r="M8" s="114"/>
      <c r="N8" s="114"/>
      <c r="O8" s="114"/>
      <c r="P8" s="114"/>
    </row>
    <row r="9" s="113" customFormat="1" ht="16" customHeight="1" spans="1:16">
      <c r="A9" s="109">
        <v>7</v>
      </c>
      <c r="B9" s="5" t="s">
        <v>14875</v>
      </c>
      <c r="C9" s="51" t="s">
        <v>14885</v>
      </c>
      <c r="D9" s="118" t="s">
        <v>14886</v>
      </c>
      <c r="E9" s="109" t="s">
        <v>15</v>
      </c>
      <c r="F9" s="109">
        <v>2020</v>
      </c>
      <c r="G9" s="118" t="s">
        <v>14877</v>
      </c>
      <c r="H9" s="109">
        <v>200</v>
      </c>
      <c r="I9" s="6">
        <v>200</v>
      </c>
      <c r="J9" s="109" t="s">
        <v>5331</v>
      </c>
      <c r="K9" s="94"/>
      <c r="L9" s="105">
        <v>20201118</v>
      </c>
      <c r="M9" s="114"/>
      <c r="N9" s="114"/>
      <c r="O9" s="114"/>
      <c r="P9" s="114"/>
    </row>
    <row r="10" s="113" customFormat="1" ht="16" customHeight="1" spans="1:16">
      <c r="A10" s="109">
        <v>8</v>
      </c>
      <c r="B10" s="5" t="s">
        <v>14875</v>
      </c>
      <c r="C10" s="51" t="s">
        <v>14887</v>
      </c>
      <c r="D10" s="118" t="str">
        <f>"152326198503097125"</f>
        <v>152326198503097125</v>
      </c>
      <c r="E10" s="109" t="s">
        <v>15</v>
      </c>
      <c r="F10" s="109">
        <v>2020</v>
      </c>
      <c r="G10" s="118" t="s">
        <v>14877</v>
      </c>
      <c r="H10" s="109">
        <v>200</v>
      </c>
      <c r="I10" s="6">
        <v>200</v>
      </c>
      <c r="J10" s="109"/>
      <c r="K10" s="94"/>
      <c r="L10" s="105">
        <v>20201118</v>
      </c>
      <c r="M10" s="114"/>
      <c r="N10" s="114"/>
      <c r="O10" s="114"/>
      <c r="P10" s="114"/>
    </row>
    <row r="11" s="113" customFormat="1" ht="16" customHeight="1" spans="1:16">
      <c r="A11" s="109">
        <v>9</v>
      </c>
      <c r="B11" s="5" t="s">
        <v>14875</v>
      </c>
      <c r="C11" s="51" t="s">
        <v>4579</v>
      </c>
      <c r="D11" s="118" t="str">
        <f>"152325198404272024"</f>
        <v>152325198404272024</v>
      </c>
      <c r="E11" s="109" t="s">
        <v>15</v>
      </c>
      <c r="F11" s="109">
        <v>2020</v>
      </c>
      <c r="G11" s="118" t="s">
        <v>14877</v>
      </c>
      <c r="H11" s="109">
        <v>200</v>
      </c>
      <c r="I11" s="6">
        <v>200</v>
      </c>
      <c r="J11" s="109"/>
      <c r="K11" s="94"/>
      <c r="L11" s="105">
        <v>20201118</v>
      </c>
      <c r="M11" s="114"/>
      <c r="N11" s="114"/>
      <c r="O11" s="114"/>
      <c r="P11" s="114"/>
    </row>
    <row r="12" s="113" customFormat="1" ht="16" customHeight="1" spans="1:16">
      <c r="A12" s="109">
        <v>10</v>
      </c>
      <c r="B12" s="5" t="s">
        <v>14875</v>
      </c>
      <c r="C12" s="51" t="s">
        <v>14888</v>
      </c>
      <c r="D12" s="118" t="str">
        <f>"152326198406277116"</f>
        <v>152326198406277116</v>
      </c>
      <c r="E12" s="109" t="s">
        <v>15</v>
      </c>
      <c r="F12" s="109">
        <v>2020</v>
      </c>
      <c r="G12" s="118" t="s">
        <v>14877</v>
      </c>
      <c r="H12" s="109">
        <v>200</v>
      </c>
      <c r="I12" s="6">
        <v>200</v>
      </c>
      <c r="J12" s="109"/>
      <c r="K12" s="94"/>
      <c r="L12" s="105">
        <v>20201118</v>
      </c>
      <c r="M12" s="114"/>
      <c r="N12" s="114"/>
      <c r="O12" s="114"/>
      <c r="P12" s="114"/>
    </row>
    <row r="13" s="113" customFormat="1" ht="16" customHeight="1" spans="1:16">
      <c r="A13" s="109">
        <v>11</v>
      </c>
      <c r="B13" s="5" t="s">
        <v>14875</v>
      </c>
      <c r="C13" s="51" t="s">
        <v>14889</v>
      </c>
      <c r="D13" s="118" t="str">
        <f>"152326198402036884"</f>
        <v>152326198402036884</v>
      </c>
      <c r="E13" s="109" t="s">
        <v>15</v>
      </c>
      <c r="F13" s="109">
        <v>2020</v>
      </c>
      <c r="G13" s="118" t="s">
        <v>14877</v>
      </c>
      <c r="H13" s="109">
        <v>200</v>
      </c>
      <c r="I13" s="6">
        <v>200</v>
      </c>
      <c r="J13" s="109"/>
      <c r="K13" s="94"/>
      <c r="L13" s="105">
        <v>20201118</v>
      </c>
      <c r="M13" s="114"/>
      <c r="N13" s="114"/>
      <c r="O13" s="114"/>
      <c r="P13" s="114"/>
    </row>
    <row r="14" s="113" customFormat="1" ht="16" customHeight="1" spans="1:16">
      <c r="A14" s="109">
        <v>12</v>
      </c>
      <c r="B14" s="5" t="s">
        <v>14875</v>
      </c>
      <c r="C14" s="51" t="s">
        <v>14890</v>
      </c>
      <c r="D14" s="118" t="str">
        <f>"152326198301167172"</f>
        <v>152326198301167172</v>
      </c>
      <c r="E14" s="109" t="s">
        <v>15</v>
      </c>
      <c r="F14" s="109">
        <v>2020</v>
      </c>
      <c r="G14" s="118" t="s">
        <v>14877</v>
      </c>
      <c r="H14" s="109">
        <v>200</v>
      </c>
      <c r="I14" s="6">
        <v>200</v>
      </c>
      <c r="J14" s="109"/>
      <c r="K14" s="94"/>
      <c r="L14" s="105">
        <v>20201118</v>
      </c>
      <c r="M14" s="114"/>
      <c r="N14" s="114"/>
      <c r="O14" s="114"/>
      <c r="P14" s="114"/>
    </row>
    <row r="15" s="113" customFormat="1" ht="16" customHeight="1" spans="1:16">
      <c r="A15" s="109">
        <v>13</v>
      </c>
      <c r="B15" s="5" t="s">
        <v>14875</v>
      </c>
      <c r="C15" s="51" t="s">
        <v>14891</v>
      </c>
      <c r="D15" s="118" t="str">
        <f>"152326198310227122"</f>
        <v>152326198310227122</v>
      </c>
      <c r="E15" s="109" t="s">
        <v>15</v>
      </c>
      <c r="F15" s="109">
        <v>2020</v>
      </c>
      <c r="G15" s="118" t="s">
        <v>14877</v>
      </c>
      <c r="H15" s="109">
        <v>200</v>
      </c>
      <c r="I15" s="6">
        <v>200</v>
      </c>
      <c r="J15" s="109"/>
      <c r="K15" s="94"/>
      <c r="L15" s="105">
        <v>20201118</v>
      </c>
      <c r="M15" s="114"/>
      <c r="N15" s="114"/>
      <c r="O15" s="114"/>
      <c r="P15" s="114"/>
    </row>
    <row r="16" s="113" customFormat="1" ht="16" customHeight="1" spans="1:16">
      <c r="A16" s="109">
        <v>14</v>
      </c>
      <c r="B16" s="5" t="s">
        <v>14875</v>
      </c>
      <c r="C16" s="51" t="s">
        <v>14892</v>
      </c>
      <c r="D16" s="118" t="str">
        <f>"152326198301157118"</f>
        <v>152326198301157118</v>
      </c>
      <c r="E16" s="109" t="s">
        <v>15</v>
      </c>
      <c r="F16" s="109">
        <v>2020</v>
      </c>
      <c r="G16" s="118" t="s">
        <v>14877</v>
      </c>
      <c r="H16" s="109">
        <v>200</v>
      </c>
      <c r="I16" s="6">
        <v>200</v>
      </c>
      <c r="J16" s="109"/>
      <c r="K16" s="94"/>
      <c r="L16" s="105">
        <v>20201118</v>
      </c>
      <c r="M16" s="114"/>
      <c r="N16" s="114"/>
      <c r="O16" s="114"/>
      <c r="P16" s="114"/>
    </row>
    <row r="17" s="113" customFormat="1" ht="16" customHeight="1" spans="1:16">
      <c r="A17" s="109">
        <v>15</v>
      </c>
      <c r="B17" s="5" t="s">
        <v>14875</v>
      </c>
      <c r="C17" s="51" t="s">
        <v>14893</v>
      </c>
      <c r="D17" s="118" t="str">
        <f>"152326198301267114"</f>
        <v>152326198301267114</v>
      </c>
      <c r="E17" s="109" t="s">
        <v>15</v>
      </c>
      <c r="F17" s="109">
        <v>2020</v>
      </c>
      <c r="G17" s="118" t="s">
        <v>14877</v>
      </c>
      <c r="H17" s="109">
        <v>200</v>
      </c>
      <c r="I17" s="6">
        <v>200</v>
      </c>
      <c r="J17" s="109"/>
      <c r="K17" s="94"/>
      <c r="L17" s="105">
        <v>20201118</v>
      </c>
      <c r="M17" s="114"/>
      <c r="N17" s="114"/>
      <c r="O17" s="114"/>
      <c r="P17" s="114"/>
    </row>
    <row r="18" s="113" customFormat="1" ht="16" customHeight="1" spans="1:16">
      <c r="A18" s="109">
        <v>16</v>
      </c>
      <c r="B18" s="5" t="s">
        <v>14875</v>
      </c>
      <c r="C18" s="51" t="s">
        <v>14894</v>
      </c>
      <c r="D18" s="118" t="s">
        <v>14895</v>
      </c>
      <c r="E18" s="109" t="s">
        <v>15</v>
      </c>
      <c r="F18" s="109">
        <v>2020</v>
      </c>
      <c r="G18" s="118" t="s">
        <v>14877</v>
      </c>
      <c r="H18" s="109">
        <v>200</v>
      </c>
      <c r="I18" s="6">
        <v>200</v>
      </c>
      <c r="J18" s="109"/>
      <c r="K18" s="94"/>
      <c r="L18" s="105">
        <v>20201118</v>
      </c>
      <c r="M18" s="114"/>
      <c r="N18" s="114"/>
      <c r="O18" s="114"/>
      <c r="P18" s="114"/>
    </row>
    <row r="19" s="113" customFormat="1" ht="16" customHeight="1" spans="1:16">
      <c r="A19" s="109">
        <v>17</v>
      </c>
      <c r="B19" s="5" t="s">
        <v>14875</v>
      </c>
      <c r="C19" s="51" t="s">
        <v>14896</v>
      </c>
      <c r="D19" s="118" t="str">
        <f>"152326198207157111"</f>
        <v>152326198207157111</v>
      </c>
      <c r="E19" s="109" t="s">
        <v>15</v>
      </c>
      <c r="F19" s="109">
        <v>2020</v>
      </c>
      <c r="G19" s="118" t="s">
        <v>14877</v>
      </c>
      <c r="H19" s="109">
        <v>200</v>
      </c>
      <c r="I19" s="6">
        <v>200</v>
      </c>
      <c r="J19" s="109"/>
      <c r="K19" s="94"/>
      <c r="L19" s="105">
        <v>20201118</v>
      </c>
      <c r="M19" s="114"/>
      <c r="N19" s="114"/>
      <c r="O19" s="114"/>
      <c r="P19" s="114"/>
    </row>
    <row r="20" s="113" customFormat="1" ht="16" customHeight="1" spans="1:16">
      <c r="A20" s="109">
        <v>18</v>
      </c>
      <c r="B20" s="5" t="s">
        <v>14875</v>
      </c>
      <c r="C20" s="51" t="s">
        <v>14897</v>
      </c>
      <c r="D20" s="118" t="str">
        <f>"152326198207047115"</f>
        <v>152326198207047115</v>
      </c>
      <c r="E20" s="109" t="s">
        <v>15</v>
      </c>
      <c r="F20" s="109">
        <v>2020</v>
      </c>
      <c r="G20" s="118" t="s">
        <v>14877</v>
      </c>
      <c r="H20" s="109">
        <v>200</v>
      </c>
      <c r="I20" s="6">
        <v>200</v>
      </c>
      <c r="J20" s="109"/>
      <c r="K20" s="94"/>
      <c r="L20" s="105">
        <v>20201118</v>
      </c>
      <c r="M20" s="114"/>
      <c r="N20" s="114"/>
      <c r="O20" s="114"/>
      <c r="P20" s="114"/>
    </row>
    <row r="21" s="113" customFormat="1" ht="16" customHeight="1" spans="1:16">
      <c r="A21" s="109">
        <v>19</v>
      </c>
      <c r="B21" s="5" t="s">
        <v>14875</v>
      </c>
      <c r="C21" s="51" t="s">
        <v>14898</v>
      </c>
      <c r="D21" s="118" t="str">
        <f>"152326198201147123"</f>
        <v>152326198201147123</v>
      </c>
      <c r="E21" s="109" t="s">
        <v>15</v>
      </c>
      <c r="F21" s="109">
        <v>2020</v>
      </c>
      <c r="G21" s="118" t="s">
        <v>14877</v>
      </c>
      <c r="H21" s="109">
        <v>200</v>
      </c>
      <c r="I21" s="6">
        <v>200</v>
      </c>
      <c r="J21" s="109"/>
      <c r="K21" s="94"/>
      <c r="L21" s="105">
        <v>20201118</v>
      </c>
      <c r="M21" s="114"/>
      <c r="N21" s="114"/>
      <c r="O21" s="114"/>
      <c r="P21" s="114"/>
    </row>
    <row r="22" s="113" customFormat="1" ht="16" customHeight="1" spans="1:16">
      <c r="A22" s="109">
        <v>20</v>
      </c>
      <c r="B22" s="5" t="s">
        <v>14875</v>
      </c>
      <c r="C22" s="51" t="s">
        <v>6766</v>
      </c>
      <c r="D22" s="118" t="s">
        <v>14899</v>
      </c>
      <c r="E22" s="109" t="s">
        <v>15</v>
      </c>
      <c r="F22" s="109">
        <v>2020</v>
      </c>
      <c r="G22" s="118" t="s">
        <v>14877</v>
      </c>
      <c r="H22" s="109">
        <v>200</v>
      </c>
      <c r="I22" s="6">
        <v>200</v>
      </c>
      <c r="J22" s="109"/>
      <c r="K22" s="94"/>
      <c r="L22" s="105">
        <v>20201118</v>
      </c>
      <c r="M22" s="114"/>
      <c r="N22" s="114"/>
      <c r="O22" s="114"/>
      <c r="P22" s="114"/>
    </row>
    <row r="23" s="113" customFormat="1" ht="16" customHeight="1" spans="1:16">
      <c r="A23" s="109">
        <v>21</v>
      </c>
      <c r="B23" s="5" t="s">
        <v>14875</v>
      </c>
      <c r="C23" s="51" t="s">
        <v>14900</v>
      </c>
      <c r="D23" s="118" t="str">
        <f>"152326198206117142"</f>
        <v>152326198206117142</v>
      </c>
      <c r="E23" s="109" t="s">
        <v>15</v>
      </c>
      <c r="F23" s="109">
        <v>2020</v>
      </c>
      <c r="G23" s="118" t="s">
        <v>14877</v>
      </c>
      <c r="H23" s="109">
        <v>200</v>
      </c>
      <c r="I23" s="6">
        <v>200</v>
      </c>
      <c r="J23" s="109"/>
      <c r="K23" s="94"/>
      <c r="L23" s="105">
        <v>20201118</v>
      </c>
      <c r="M23" s="114"/>
      <c r="N23" s="114"/>
      <c r="O23" s="114"/>
      <c r="P23" s="114"/>
    </row>
    <row r="24" s="113" customFormat="1" ht="16" customHeight="1" spans="1:16">
      <c r="A24" s="109">
        <v>22</v>
      </c>
      <c r="B24" s="5" t="s">
        <v>14875</v>
      </c>
      <c r="C24" s="51" t="s">
        <v>14901</v>
      </c>
      <c r="D24" s="118" t="str">
        <f>"152326198212232286"</f>
        <v>152326198212232286</v>
      </c>
      <c r="E24" s="109" t="s">
        <v>15</v>
      </c>
      <c r="F24" s="109">
        <v>2020</v>
      </c>
      <c r="G24" s="118" t="s">
        <v>14877</v>
      </c>
      <c r="H24" s="109">
        <v>200</v>
      </c>
      <c r="I24" s="6">
        <v>200</v>
      </c>
      <c r="J24" s="109"/>
      <c r="K24" s="94"/>
      <c r="L24" s="105">
        <v>20201118</v>
      </c>
      <c r="M24" s="114"/>
      <c r="N24" s="114"/>
      <c r="O24" s="114"/>
      <c r="P24" s="114"/>
    </row>
    <row r="25" s="113" customFormat="1" ht="16" customHeight="1" spans="1:16">
      <c r="A25" s="109">
        <v>23</v>
      </c>
      <c r="B25" s="5" t="s">
        <v>14875</v>
      </c>
      <c r="C25" s="51" t="s">
        <v>14902</v>
      </c>
      <c r="D25" s="118" t="str">
        <f>"152326198101027124"</f>
        <v>152326198101027124</v>
      </c>
      <c r="E25" s="109" t="s">
        <v>15</v>
      </c>
      <c r="F25" s="109">
        <v>2020</v>
      </c>
      <c r="G25" s="118" t="s">
        <v>14877</v>
      </c>
      <c r="H25" s="109">
        <v>200</v>
      </c>
      <c r="I25" s="6">
        <v>200</v>
      </c>
      <c r="J25" s="109"/>
      <c r="K25" s="94"/>
      <c r="L25" s="105">
        <v>20201118</v>
      </c>
      <c r="M25" s="114"/>
      <c r="N25" s="114"/>
      <c r="O25" s="114"/>
      <c r="P25" s="114"/>
    </row>
    <row r="26" s="113" customFormat="1" ht="16" customHeight="1" spans="1:16">
      <c r="A26" s="109">
        <v>24</v>
      </c>
      <c r="B26" s="5" t="s">
        <v>14875</v>
      </c>
      <c r="C26" s="51" t="s">
        <v>14903</v>
      </c>
      <c r="D26" s="118" t="str">
        <f>"152326198102286646"</f>
        <v>152326198102286646</v>
      </c>
      <c r="E26" s="109" t="s">
        <v>15</v>
      </c>
      <c r="F26" s="109">
        <v>2020</v>
      </c>
      <c r="G26" s="118" t="s">
        <v>14877</v>
      </c>
      <c r="H26" s="109">
        <v>200</v>
      </c>
      <c r="I26" s="6">
        <v>200</v>
      </c>
      <c r="J26" s="109"/>
      <c r="K26" s="94"/>
      <c r="L26" s="105">
        <v>20201118</v>
      </c>
      <c r="M26" s="114"/>
      <c r="N26" s="114"/>
      <c r="O26" s="114"/>
      <c r="P26" s="114"/>
    </row>
    <row r="27" s="113" customFormat="1" ht="16" customHeight="1" spans="1:16">
      <c r="A27" s="109">
        <v>25</v>
      </c>
      <c r="B27" s="5" t="s">
        <v>14875</v>
      </c>
      <c r="C27" s="51" t="s">
        <v>14904</v>
      </c>
      <c r="D27" s="118" t="str">
        <f>"152326198006147128"</f>
        <v>152326198006147128</v>
      </c>
      <c r="E27" s="109" t="s">
        <v>15</v>
      </c>
      <c r="F27" s="109">
        <v>2020</v>
      </c>
      <c r="G27" s="118" t="s">
        <v>14877</v>
      </c>
      <c r="H27" s="109">
        <v>200</v>
      </c>
      <c r="I27" s="6">
        <v>200</v>
      </c>
      <c r="J27" s="109"/>
      <c r="K27" s="94"/>
      <c r="L27" s="105">
        <v>20201118</v>
      </c>
      <c r="M27" s="114"/>
      <c r="N27" s="114"/>
      <c r="O27" s="114"/>
      <c r="P27" s="114"/>
    </row>
    <row r="28" s="113" customFormat="1" ht="16" customHeight="1" spans="1:16">
      <c r="A28" s="109">
        <v>26</v>
      </c>
      <c r="B28" s="5" t="s">
        <v>14875</v>
      </c>
      <c r="C28" s="51" t="s">
        <v>14905</v>
      </c>
      <c r="D28" s="118" t="s">
        <v>14906</v>
      </c>
      <c r="E28" s="109" t="s">
        <v>15</v>
      </c>
      <c r="F28" s="109">
        <v>2020</v>
      </c>
      <c r="G28" s="118" t="s">
        <v>14877</v>
      </c>
      <c r="H28" s="109">
        <v>200</v>
      </c>
      <c r="I28" s="6">
        <v>200</v>
      </c>
      <c r="J28" s="109"/>
      <c r="K28" s="94"/>
      <c r="L28" s="105">
        <v>20201118</v>
      </c>
      <c r="M28" s="114"/>
      <c r="N28" s="114"/>
      <c r="O28" s="114"/>
      <c r="P28" s="114"/>
    </row>
    <row r="29" s="113" customFormat="1" ht="16" customHeight="1" spans="1:16">
      <c r="A29" s="109">
        <v>27</v>
      </c>
      <c r="B29" s="5" t="s">
        <v>14875</v>
      </c>
      <c r="C29" s="51" t="s">
        <v>14907</v>
      </c>
      <c r="D29" s="118" t="str">
        <f>"152326198003107112"</f>
        <v>152326198003107112</v>
      </c>
      <c r="E29" s="109" t="s">
        <v>15</v>
      </c>
      <c r="F29" s="109">
        <v>2020</v>
      </c>
      <c r="G29" s="118" t="s">
        <v>14877</v>
      </c>
      <c r="H29" s="109">
        <v>200</v>
      </c>
      <c r="I29" s="6">
        <v>200</v>
      </c>
      <c r="J29" s="109"/>
      <c r="K29" s="94"/>
      <c r="L29" s="105">
        <v>20201118</v>
      </c>
      <c r="M29" s="114"/>
      <c r="N29" s="114"/>
      <c r="O29" s="114"/>
      <c r="P29" s="114"/>
    </row>
    <row r="30" s="113" customFormat="1" ht="16" customHeight="1" spans="1:16">
      <c r="A30" s="109">
        <v>28</v>
      </c>
      <c r="B30" s="5" t="s">
        <v>14875</v>
      </c>
      <c r="C30" s="51" t="s">
        <v>14908</v>
      </c>
      <c r="D30" s="118" t="str">
        <f>"152326198009017118"</f>
        <v>152326198009017118</v>
      </c>
      <c r="E30" s="109" t="s">
        <v>15</v>
      </c>
      <c r="F30" s="109">
        <v>2020</v>
      </c>
      <c r="G30" s="118" t="s">
        <v>14877</v>
      </c>
      <c r="H30" s="109">
        <v>200</v>
      </c>
      <c r="I30" s="6">
        <v>200</v>
      </c>
      <c r="J30" s="109"/>
      <c r="K30" s="94"/>
      <c r="L30" s="105">
        <v>20201118</v>
      </c>
      <c r="M30" s="114"/>
      <c r="N30" s="114"/>
      <c r="O30" s="114"/>
      <c r="P30" s="114"/>
    </row>
    <row r="31" s="113" customFormat="1" ht="16" customHeight="1" spans="1:16">
      <c r="A31" s="109">
        <v>29</v>
      </c>
      <c r="B31" s="5" t="s">
        <v>14875</v>
      </c>
      <c r="C31" s="51" t="s">
        <v>14909</v>
      </c>
      <c r="D31" s="118" t="str">
        <f>"152326197908094104"</f>
        <v>152326197908094104</v>
      </c>
      <c r="E31" s="109" t="s">
        <v>15</v>
      </c>
      <c r="F31" s="109">
        <v>2020</v>
      </c>
      <c r="G31" s="118" t="s">
        <v>14877</v>
      </c>
      <c r="H31" s="109">
        <v>200</v>
      </c>
      <c r="I31" s="6">
        <v>200</v>
      </c>
      <c r="J31" s="109"/>
      <c r="K31" s="94"/>
      <c r="L31" s="105">
        <v>20201118</v>
      </c>
      <c r="M31" s="114"/>
      <c r="N31" s="114"/>
      <c r="O31" s="114"/>
      <c r="P31" s="114"/>
    </row>
    <row r="32" s="113" customFormat="1" ht="16" customHeight="1" spans="1:16">
      <c r="A32" s="109">
        <v>30</v>
      </c>
      <c r="B32" s="5" t="s">
        <v>14875</v>
      </c>
      <c r="C32" s="51" t="s">
        <v>14910</v>
      </c>
      <c r="D32" s="118" t="s">
        <v>14911</v>
      </c>
      <c r="E32" s="109" t="s">
        <v>15</v>
      </c>
      <c r="F32" s="109">
        <v>2020</v>
      </c>
      <c r="G32" s="118" t="s">
        <v>14877</v>
      </c>
      <c r="H32" s="109">
        <v>200</v>
      </c>
      <c r="I32" s="6">
        <v>200</v>
      </c>
      <c r="J32" s="109"/>
      <c r="K32" s="94"/>
      <c r="L32" s="105">
        <v>20201118</v>
      </c>
      <c r="M32" s="114"/>
      <c r="N32" s="114"/>
      <c r="O32" s="114"/>
      <c r="P32" s="114"/>
    </row>
    <row r="33" s="113" customFormat="1" ht="16" customHeight="1" spans="1:16">
      <c r="A33" s="109">
        <v>31</v>
      </c>
      <c r="B33" s="5" t="s">
        <v>14875</v>
      </c>
      <c r="C33" s="51" t="s">
        <v>14912</v>
      </c>
      <c r="D33" s="118" t="str">
        <f>"152326197911067123"</f>
        <v>152326197911067123</v>
      </c>
      <c r="E33" s="109" t="s">
        <v>15</v>
      </c>
      <c r="F33" s="109">
        <v>2020</v>
      </c>
      <c r="G33" s="118" t="s">
        <v>14877</v>
      </c>
      <c r="H33" s="109">
        <v>500</v>
      </c>
      <c r="I33" s="6">
        <v>500</v>
      </c>
      <c r="J33" s="109"/>
      <c r="K33" s="94"/>
      <c r="L33" s="105">
        <v>20201118</v>
      </c>
      <c r="M33" s="114"/>
      <c r="N33" s="114"/>
      <c r="O33" s="114"/>
      <c r="P33" s="114"/>
    </row>
    <row r="34" s="113" customFormat="1" ht="16" customHeight="1" spans="1:16">
      <c r="A34" s="109">
        <v>32</v>
      </c>
      <c r="B34" s="5" t="s">
        <v>14875</v>
      </c>
      <c r="C34" s="51" t="s">
        <v>14913</v>
      </c>
      <c r="D34" s="118" t="str">
        <f>"152326197905107117"</f>
        <v>152326197905107117</v>
      </c>
      <c r="E34" s="109" t="s">
        <v>15</v>
      </c>
      <c r="F34" s="109">
        <v>2020</v>
      </c>
      <c r="G34" s="118" t="s">
        <v>14877</v>
      </c>
      <c r="H34" s="109">
        <v>200</v>
      </c>
      <c r="I34" s="6">
        <v>200</v>
      </c>
      <c r="J34" s="109"/>
      <c r="K34" s="94"/>
      <c r="L34" s="105">
        <v>20201118</v>
      </c>
      <c r="M34" s="114"/>
      <c r="N34" s="114"/>
      <c r="O34" s="114"/>
      <c r="P34" s="114"/>
    </row>
    <row r="35" s="113" customFormat="1" ht="16" customHeight="1" spans="1:16">
      <c r="A35" s="109">
        <v>33</v>
      </c>
      <c r="B35" s="5" t="s">
        <v>14875</v>
      </c>
      <c r="C35" s="51" t="s">
        <v>3060</v>
      </c>
      <c r="D35" s="118" t="str">
        <f>"152326197809097123"</f>
        <v>152326197809097123</v>
      </c>
      <c r="E35" s="109" t="s">
        <v>15</v>
      </c>
      <c r="F35" s="109">
        <v>2020</v>
      </c>
      <c r="G35" s="118" t="s">
        <v>14877</v>
      </c>
      <c r="H35" s="109">
        <v>200</v>
      </c>
      <c r="I35" s="6">
        <v>200</v>
      </c>
      <c r="J35" s="109"/>
      <c r="K35" s="94"/>
      <c r="L35" s="105">
        <v>20201118</v>
      </c>
      <c r="M35" s="114"/>
      <c r="N35" s="114"/>
      <c r="O35" s="114"/>
      <c r="P35" s="114"/>
    </row>
    <row r="36" s="113" customFormat="1" ht="16" customHeight="1" spans="1:16">
      <c r="A36" s="109">
        <v>34</v>
      </c>
      <c r="B36" s="5" t="s">
        <v>14875</v>
      </c>
      <c r="C36" s="51" t="s">
        <v>14914</v>
      </c>
      <c r="D36" s="118" t="str">
        <f>"152326197807227158"</f>
        <v>152326197807227158</v>
      </c>
      <c r="E36" s="109" t="s">
        <v>15</v>
      </c>
      <c r="F36" s="109">
        <v>2020</v>
      </c>
      <c r="G36" s="118" t="s">
        <v>14877</v>
      </c>
      <c r="H36" s="109">
        <v>200</v>
      </c>
      <c r="I36" s="6">
        <v>200</v>
      </c>
      <c r="J36" s="109"/>
      <c r="K36" s="94"/>
      <c r="L36" s="105">
        <v>20201118</v>
      </c>
      <c r="M36" s="114"/>
      <c r="N36" s="114"/>
      <c r="O36" s="114"/>
      <c r="P36" s="114"/>
    </row>
    <row r="37" s="113" customFormat="1" ht="16" customHeight="1" spans="1:16">
      <c r="A37" s="109">
        <v>35</v>
      </c>
      <c r="B37" s="5" t="s">
        <v>14875</v>
      </c>
      <c r="C37" s="51" t="s">
        <v>14915</v>
      </c>
      <c r="D37" s="118" t="str">
        <f>"152326197812307128"</f>
        <v>152326197812307128</v>
      </c>
      <c r="E37" s="109" t="s">
        <v>15</v>
      </c>
      <c r="F37" s="109">
        <v>2020</v>
      </c>
      <c r="G37" s="118" t="s">
        <v>14877</v>
      </c>
      <c r="H37" s="109">
        <v>200</v>
      </c>
      <c r="I37" s="6">
        <v>200</v>
      </c>
      <c r="J37" s="109"/>
      <c r="K37" s="94"/>
      <c r="L37" s="105">
        <v>20201118</v>
      </c>
      <c r="M37" s="114"/>
      <c r="N37" s="114"/>
      <c r="O37" s="114"/>
      <c r="P37" s="114"/>
    </row>
    <row r="38" s="113" customFormat="1" ht="16" customHeight="1" spans="1:16">
      <c r="A38" s="109">
        <v>36</v>
      </c>
      <c r="B38" s="5" t="s">
        <v>14875</v>
      </c>
      <c r="C38" s="51" t="s">
        <v>14916</v>
      </c>
      <c r="D38" s="118" t="str">
        <f>"152326197707264306"</f>
        <v>152326197707264306</v>
      </c>
      <c r="E38" s="109" t="s">
        <v>15</v>
      </c>
      <c r="F38" s="109">
        <v>2020</v>
      </c>
      <c r="G38" s="118" t="s">
        <v>14877</v>
      </c>
      <c r="H38" s="109">
        <v>200</v>
      </c>
      <c r="I38" s="6">
        <v>200</v>
      </c>
      <c r="J38" s="109"/>
      <c r="K38" s="94"/>
      <c r="L38" s="105">
        <v>20201118</v>
      </c>
      <c r="M38" s="114"/>
      <c r="N38" s="114"/>
      <c r="O38" s="114"/>
      <c r="P38" s="114"/>
    </row>
    <row r="39" s="113" customFormat="1" ht="16" customHeight="1" spans="1:16">
      <c r="A39" s="109">
        <v>37</v>
      </c>
      <c r="B39" s="5" t="s">
        <v>14875</v>
      </c>
      <c r="C39" s="51" t="s">
        <v>14917</v>
      </c>
      <c r="D39" s="118" t="str">
        <f>"152326197709297128"</f>
        <v>152326197709297128</v>
      </c>
      <c r="E39" s="109" t="s">
        <v>15</v>
      </c>
      <c r="F39" s="109">
        <v>2020</v>
      </c>
      <c r="G39" s="118" t="s">
        <v>14877</v>
      </c>
      <c r="H39" s="109">
        <v>200</v>
      </c>
      <c r="I39" s="6">
        <v>200</v>
      </c>
      <c r="J39" s="109"/>
      <c r="K39" s="94"/>
      <c r="L39" s="105">
        <v>20201118</v>
      </c>
      <c r="M39" s="114"/>
      <c r="N39" s="114"/>
      <c r="O39" s="114"/>
      <c r="P39" s="114"/>
    </row>
    <row r="40" s="113" customFormat="1" ht="16" customHeight="1" spans="1:16">
      <c r="A40" s="109">
        <v>38</v>
      </c>
      <c r="B40" s="5" t="s">
        <v>14875</v>
      </c>
      <c r="C40" s="51" t="s">
        <v>14918</v>
      </c>
      <c r="D40" s="118" t="str">
        <f>"152326197612297121"</f>
        <v>152326197612297121</v>
      </c>
      <c r="E40" s="109" t="s">
        <v>15</v>
      </c>
      <c r="F40" s="109">
        <v>2020</v>
      </c>
      <c r="G40" s="118" t="s">
        <v>14877</v>
      </c>
      <c r="H40" s="109">
        <v>200</v>
      </c>
      <c r="I40" s="6">
        <v>200</v>
      </c>
      <c r="J40" s="109"/>
      <c r="K40" s="94"/>
      <c r="L40" s="105">
        <v>20201118</v>
      </c>
      <c r="M40" s="114"/>
      <c r="N40" s="114"/>
      <c r="O40" s="114"/>
      <c r="P40" s="114"/>
    </row>
    <row r="41" s="113" customFormat="1" ht="16" customHeight="1" spans="1:16">
      <c r="A41" s="109">
        <v>39</v>
      </c>
      <c r="B41" s="5" t="s">
        <v>14875</v>
      </c>
      <c r="C41" s="51" t="s">
        <v>14919</v>
      </c>
      <c r="D41" s="118" t="s">
        <v>14920</v>
      </c>
      <c r="E41" s="109" t="s">
        <v>15</v>
      </c>
      <c r="F41" s="109">
        <v>2020</v>
      </c>
      <c r="G41" s="118" t="s">
        <v>14877</v>
      </c>
      <c r="H41" s="109">
        <v>200</v>
      </c>
      <c r="I41" s="6">
        <v>200</v>
      </c>
      <c r="J41" s="109"/>
      <c r="K41" s="94"/>
      <c r="L41" s="105">
        <v>20201118</v>
      </c>
      <c r="M41" s="114"/>
      <c r="N41" s="114"/>
      <c r="O41" s="114"/>
      <c r="P41" s="114"/>
    </row>
    <row r="42" s="113" customFormat="1" ht="16" customHeight="1" spans="1:16">
      <c r="A42" s="109">
        <v>40</v>
      </c>
      <c r="B42" s="5" t="s">
        <v>14875</v>
      </c>
      <c r="C42" s="51" t="s">
        <v>14921</v>
      </c>
      <c r="D42" s="118" t="str">
        <f>"152326197605237120"</f>
        <v>152326197605237120</v>
      </c>
      <c r="E42" s="109" t="s">
        <v>15</v>
      </c>
      <c r="F42" s="109">
        <v>2020</v>
      </c>
      <c r="G42" s="118" t="s">
        <v>14877</v>
      </c>
      <c r="H42" s="109">
        <v>200</v>
      </c>
      <c r="I42" s="6">
        <v>200</v>
      </c>
      <c r="J42" s="109"/>
      <c r="K42" s="94"/>
      <c r="L42" s="105">
        <v>20201118</v>
      </c>
      <c r="M42" s="114"/>
      <c r="N42" s="114"/>
      <c r="O42" s="114"/>
      <c r="P42" s="114"/>
    </row>
    <row r="43" s="113" customFormat="1" ht="16" customHeight="1" spans="1:16">
      <c r="A43" s="109">
        <v>41</v>
      </c>
      <c r="B43" s="5" t="s">
        <v>14875</v>
      </c>
      <c r="C43" s="51" t="s">
        <v>14922</v>
      </c>
      <c r="D43" s="118" t="str">
        <f>"152326197605117110"</f>
        <v>152326197605117110</v>
      </c>
      <c r="E43" s="109" t="s">
        <v>15</v>
      </c>
      <c r="F43" s="109">
        <v>2020</v>
      </c>
      <c r="G43" s="118" t="s">
        <v>14877</v>
      </c>
      <c r="H43" s="109">
        <v>200</v>
      </c>
      <c r="I43" s="6">
        <v>200</v>
      </c>
      <c r="J43" s="109"/>
      <c r="K43" s="94"/>
      <c r="L43" s="105">
        <v>20201118</v>
      </c>
      <c r="M43" s="114"/>
      <c r="N43" s="114"/>
      <c r="O43" s="114"/>
      <c r="P43" s="114"/>
    </row>
    <row r="44" s="113" customFormat="1" ht="16" customHeight="1" spans="1:16">
      <c r="A44" s="109">
        <v>42</v>
      </c>
      <c r="B44" s="5" t="s">
        <v>14875</v>
      </c>
      <c r="C44" s="51" t="s">
        <v>14923</v>
      </c>
      <c r="D44" s="118" t="str">
        <f>"152326197609017133"</f>
        <v>152326197609017133</v>
      </c>
      <c r="E44" s="109" t="s">
        <v>15</v>
      </c>
      <c r="F44" s="109">
        <v>2020</v>
      </c>
      <c r="G44" s="118" t="s">
        <v>14877</v>
      </c>
      <c r="H44" s="109">
        <v>200</v>
      </c>
      <c r="I44" s="6">
        <v>200</v>
      </c>
      <c r="J44" s="109"/>
      <c r="K44" s="94"/>
      <c r="L44" s="105">
        <v>20201118</v>
      </c>
      <c r="M44" s="114"/>
      <c r="N44" s="114"/>
      <c r="O44" s="114"/>
      <c r="P44" s="114"/>
    </row>
    <row r="45" s="113" customFormat="1" ht="16" customHeight="1" spans="1:16">
      <c r="A45" s="109">
        <v>43</v>
      </c>
      <c r="B45" s="5" t="s">
        <v>14875</v>
      </c>
      <c r="C45" s="51" t="s">
        <v>14924</v>
      </c>
      <c r="D45" s="118" t="str">
        <f>"152326197606117120"</f>
        <v>152326197606117120</v>
      </c>
      <c r="E45" s="109" t="s">
        <v>15</v>
      </c>
      <c r="F45" s="109">
        <v>2020</v>
      </c>
      <c r="G45" s="118" t="s">
        <v>14877</v>
      </c>
      <c r="H45" s="109">
        <v>200</v>
      </c>
      <c r="I45" s="6">
        <v>200</v>
      </c>
      <c r="J45" s="109"/>
      <c r="K45" s="94"/>
      <c r="L45" s="105">
        <v>20201118</v>
      </c>
      <c r="M45" s="114"/>
      <c r="N45" s="114"/>
      <c r="O45" s="114"/>
      <c r="P45" s="114"/>
    </row>
    <row r="46" s="113" customFormat="1" ht="16" customHeight="1" spans="1:16">
      <c r="A46" s="109">
        <v>44</v>
      </c>
      <c r="B46" s="5" t="s">
        <v>14875</v>
      </c>
      <c r="C46" s="51" t="s">
        <v>14925</v>
      </c>
      <c r="D46" s="118" t="str">
        <f>"152326197512087135"</f>
        <v>152326197512087135</v>
      </c>
      <c r="E46" s="109" t="s">
        <v>15</v>
      </c>
      <c r="F46" s="109">
        <v>2020</v>
      </c>
      <c r="G46" s="118" t="s">
        <v>14877</v>
      </c>
      <c r="H46" s="109">
        <v>200</v>
      </c>
      <c r="I46" s="6">
        <v>200</v>
      </c>
      <c r="J46" s="109"/>
      <c r="K46" s="94"/>
      <c r="L46" s="105">
        <v>20201118</v>
      </c>
      <c r="M46" s="114"/>
      <c r="N46" s="114"/>
      <c r="O46" s="114"/>
      <c r="P46" s="114"/>
    </row>
    <row r="47" s="113" customFormat="1" ht="16" customHeight="1" spans="1:16">
      <c r="A47" s="109">
        <v>45</v>
      </c>
      <c r="B47" s="5" t="s">
        <v>14875</v>
      </c>
      <c r="C47" s="51" t="s">
        <v>11097</v>
      </c>
      <c r="D47" s="118" t="str">
        <f>"152326197505107126"</f>
        <v>152326197505107126</v>
      </c>
      <c r="E47" s="109" t="s">
        <v>15</v>
      </c>
      <c r="F47" s="109">
        <v>2020</v>
      </c>
      <c r="G47" s="118" t="s">
        <v>14877</v>
      </c>
      <c r="H47" s="109">
        <v>200</v>
      </c>
      <c r="I47" s="6">
        <v>200</v>
      </c>
      <c r="J47" s="109"/>
      <c r="K47" s="94"/>
      <c r="L47" s="105">
        <v>20201118</v>
      </c>
      <c r="M47" s="114"/>
      <c r="N47" s="114"/>
      <c r="O47" s="114"/>
      <c r="P47" s="114"/>
    </row>
    <row r="48" s="113" customFormat="1" ht="16" customHeight="1" spans="1:16">
      <c r="A48" s="109">
        <v>46</v>
      </c>
      <c r="B48" s="5" t="s">
        <v>14875</v>
      </c>
      <c r="C48" s="51" t="s">
        <v>14926</v>
      </c>
      <c r="D48" s="118" t="str">
        <f>"152326197501017166"</f>
        <v>152326197501017166</v>
      </c>
      <c r="E48" s="109" t="s">
        <v>15</v>
      </c>
      <c r="F48" s="109">
        <v>2020</v>
      </c>
      <c r="G48" s="118" t="s">
        <v>14877</v>
      </c>
      <c r="H48" s="109">
        <v>200</v>
      </c>
      <c r="I48" s="6">
        <v>200</v>
      </c>
      <c r="J48" s="109"/>
      <c r="K48" s="94"/>
      <c r="L48" s="105">
        <v>20201118</v>
      </c>
      <c r="M48" s="114"/>
      <c r="N48" s="114"/>
      <c r="O48" s="114"/>
      <c r="P48" s="114"/>
    </row>
    <row r="49" s="113" customFormat="1" ht="16" customHeight="1" spans="1:16">
      <c r="A49" s="109">
        <v>47</v>
      </c>
      <c r="B49" s="5" t="s">
        <v>14875</v>
      </c>
      <c r="C49" s="51" t="s">
        <v>14927</v>
      </c>
      <c r="D49" s="118" t="str">
        <f>"152326197510137119"</f>
        <v>152326197510137119</v>
      </c>
      <c r="E49" s="109" t="s">
        <v>15</v>
      </c>
      <c r="F49" s="109">
        <v>2020</v>
      </c>
      <c r="G49" s="118" t="s">
        <v>14877</v>
      </c>
      <c r="H49" s="109">
        <v>200</v>
      </c>
      <c r="I49" s="6">
        <v>200</v>
      </c>
      <c r="J49" s="109"/>
      <c r="K49" s="94"/>
      <c r="L49" s="105">
        <v>20201118</v>
      </c>
      <c r="M49" s="114"/>
      <c r="N49" s="114"/>
      <c r="O49" s="114"/>
      <c r="P49" s="114"/>
    </row>
    <row r="50" s="113" customFormat="1" ht="16" customHeight="1" spans="1:16">
      <c r="A50" s="109">
        <v>48</v>
      </c>
      <c r="B50" s="5" t="s">
        <v>14875</v>
      </c>
      <c r="C50" s="51" t="s">
        <v>14928</v>
      </c>
      <c r="D50" s="118" t="str">
        <f>"152326197407227116"</f>
        <v>152326197407227116</v>
      </c>
      <c r="E50" s="109" t="s">
        <v>15</v>
      </c>
      <c r="F50" s="109">
        <v>2020</v>
      </c>
      <c r="G50" s="118" t="s">
        <v>14877</v>
      </c>
      <c r="H50" s="109">
        <v>200</v>
      </c>
      <c r="I50" s="6">
        <v>200</v>
      </c>
      <c r="J50" s="109"/>
      <c r="K50" s="94"/>
      <c r="L50" s="105">
        <v>20201118</v>
      </c>
      <c r="M50" s="114"/>
      <c r="N50" s="114"/>
      <c r="O50" s="114"/>
      <c r="P50" s="114"/>
    </row>
    <row r="51" s="113" customFormat="1" ht="16" customHeight="1" spans="1:16">
      <c r="A51" s="109">
        <v>49</v>
      </c>
      <c r="B51" s="5" t="s">
        <v>14875</v>
      </c>
      <c r="C51" s="51" t="s">
        <v>14929</v>
      </c>
      <c r="D51" s="118" t="str">
        <f>"152326197409287139"</f>
        <v>152326197409287139</v>
      </c>
      <c r="E51" s="109" t="s">
        <v>15</v>
      </c>
      <c r="F51" s="109">
        <v>2020</v>
      </c>
      <c r="G51" s="118" t="s">
        <v>14877</v>
      </c>
      <c r="H51" s="109">
        <v>200</v>
      </c>
      <c r="I51" s="6">
        <v>200</v>
      </c>
      <c r="J51" s="109"/>
      <c r="K51" s="94"/>
      <c r="L51" s="105">
        <v>20201118</v>
      </c>
      <c r="M51" s="114"/>
      <c r="N51" s="114"/>
      <c r="O51" s="114"/>
      <c r="P51" s="114"/>
    </row>
    <row r="52" s="113" customFormat="1" ht="16" customHeight="1" spans="1:16">
      <c r="A52" s="109">
        <v>50</v>
      </c>
      <c r="B52" s="5" t="s">
        <v>14875</v>
      </c>
      <c r="C52" s="51" t="s">
        <v>14930</v>
      </c>
      <c r="D52" s="118" t="str">
        <f>"152326197403127118"</f>
        <v>152326197403127118</v>
      </c>
      <c r="E52" s="109" t="s">
        <v>15</v>
      </c>
      <c r="F52" s="109">
        <v>2020</v>
      </c>
      <c r="G52" s="118" t="s">
        <v>14877</v>
      </c>
      <c r="H52" s="109">
        <v>200</v>
      </c>
      <c r="I52" s="6">
        <v>200</v>
      </c>
      <c r="J52" s="109"/>
      <c r="K52" s="94"/>
      <c r="L52" s="105">
        <v>20201118</v>
      </c>
      <c r="M52" s="114"/>
      <c r="N52" s="114"/>
      <c r="O52" s="114"/>
      <c r="P52" s="114"/>
    </row>
    <row r="53" s="113" customFormat="1" ht="16" customHeight="1" spans="1:16">
      <c r="A53" s="109">
        <v>51</v>
      </c>
      <c r="B53" s="5" t="s">
        <v>14875</v>
      </c>
      <c r="C53" s="51" t="s">
        <v>14931</v>
      </c>
      <c r="D53" s="118" t="str">
        <f>"152326197405297129"</f>
        <v>152326197405297129</v>
      </c>
      <c r="E53" s="109" t="s">
        <v>15</v>
      </c>
      <c r="F53" s="109">
        <v>2020</v>
      </c>
      <c r="G53" s="118" t="s">
        <v>14877</v>
      </c>
      <c r="H53" s="109">
        <v>500</v>
      </c>
      <c r="I53" s="6">
        <v>500</v>
      </c>
      <c r="J53" s="109"/>
      <c r="K53" s="94"/>
      <c r="L53" s="105">
        <v>20201118</v>
      </c>
      <c r="M53" s="114"/>
      <c r="N53" s="114"/>
      <c r="O53" s="114"/>
      <c r="P53" s="114"/>
    </row>
    <row r="54" s="113" customFormat="1" ht="16" customHeight="1" spans="1:16">
      <c r="A54" s="109">
        <v>52</v>
      </c>
      <c r="B54" s="5" t="s">
        <v>14875</v>
      </c>
      <c r="C54" s="51" t="s">
        <v>14932</v>
      </c>
      <c r="D54" s="118" t="s">
        <v>14933</v>
      </c>
      <c r="E54" s="109" t="s">
        <v>15</v>
      </c>
      <c r="F54" s="109">
        <v>2020</v>
      </c>
      <c r="G54" s="118" t="s">
        <v>14877</v>
      </c>
      <c r="H54" s="109">
        <v>200</v>
      </c>
      <c r="I54" s="6">
        <v>200</v>
      </c>
      <c r="J54" s="109" t="s">
        <v>5331</v>
      </c>
      <c r="K54" s="94"/>
      <c r="L54" s="105">
        <v>20201118</v>
      </c>
      <c r="M54" s="114"/>
      <c r="N54" s="114"/>
      <c r="O54" s="114"/>
      <c r="P54" s="114"/>
    </row>
    <row r="55" s="113" customFormat="1" ht="16" customHeight="1" spans="1:16">
      <c r="A55" s="109">
        <v>53</v>
      </c>
      <c r="B55" s="5" t="s">
        <v>14875</v>
      </c>
      <c r="C55" s="51" t="s">
        <v>14934</v>
      </c>
      <c r="D55" s="118" t="str">
        <f>"152326197408257130"</f>
        <v>152326197408257130</v>
      </c>
      <c r="E55" s="109" t="s">
        <v>15</v>
      </c>
      <c r="F55" s="109">
        <v>2020</v>
      </c>
      <c r="G55" s="118" t="s">
        <v>14877</v>
      </c>
      <c r="H55" s="109">
        <v>200</v>
      </c>
      <c r="I55" s="6">
        <v>200</v>
      </c>
      <c r="J55" s="109"/>
      <c r="K55" s="94"/>
      <c r="L55" s="105">
        <v>20201118</v>
      </c>
      <c r="M55" s="114"/>
      <c r="N55" s="114"/>
      <c r="O55" s="114"/>
      <c r="P55" s="114"/>
    </row>
    <row r="56" s="113" customFormat="1" ht="16" customHeight="1" spans="1:16">
      <c r="A56" s="109">
        <v>54</v>
      </c>
      <c r="B56" s="5" t="s">
        <v>14875</v>
      </c>
      <c r="C56" s="51" t="s">
        <v>14935</v>
      </c>
      <c r="D56" s="118" t="str">
        <f>"152326197404047136"</f>
        <v>152326197404047136</v>
      </c>
      <c r="E56" s="109" t="s">
        <v>15</v>
      </c>
      <c r="F56" s="109">
        <v>2020</v>
      </c>
      <c r="G56" s="118" t="s">
        <v>14877</v>
      </c>
      <c r="H56" s="109">
        <v>200</v>
      </c>
      <c r="I56" s="6">
        <v>200</v>
      </c>
      <c r="J56" s="109"/>
      <c r="K56" s="94"/>
      <c r="L56" s="105">
        <v>20201118</v>
      </c>
      <c r="M56" s="114"/>
      <c r="N56" s="114"/>
      <c r="O56" s="114"/>
      <c r="P56" s="114"/>
    </row>
    <row r="57" s="113" customFormat="1" ht="16" customHeight="1" spans="1:16">
      <c r="A57" s="109">
        <v>55</v>
      </c>
      <c r="B57" s="5" t="s">
        <v>14875</v>
      </c>
      <c r="C57" s="51" t="s">
        <v>14936</v>
      </c>
      <c r="D57" s="118" t="str">
        <f>"152326197404187120"</f>
        <v>152326197404187120</v>
      </c>
      <c r="E57" s="109" t="s">
        <v>15</v>
      </c>
      <c r="F57" s="109">
        <v>2020</v>
      </c>
      <c r="G57" s="118" t="s">
        <v>14877</v>
      </c>
      <c r="H57" s="109">
        <v>200</v>
      </c>
      <c r="I57" s="6">
        <v>200</v>
      </c>
      <c r="J57" s="109"/>
      <c r="K57" s="94"/>
      <c r="L57" s="105">
        <v>20201118</v>
      </c>
      <c r="M57" s="114"/>
      <c r="N57" s="114"/>
      <c r="O57" s="114"/>
      <c r="P57" s="114"/>
    </row>
    <row r="58" s="113" customFormat="1" ht="16" customHeight="1" spans="1:16">
      <c r="A58" s="109">
        <v>56</v>
      </c>
      <c r="B58" s="5" t="s">
        <v>14875</v>
      </c>
      <c r="C58" s="51" t="s">
        <v>14937</v>
      </c>
      <c r="D58" s="118" t="str">
        <f>"152326197308287121"</f>
        <v>152326197308287121</v>
      </c>
      <c r="E58" s="109" t="s">
        <v>15</v>
      </c>
      <c r="F58" s="109">
        <v>2020</v>
      </c>
      <c r="G58" s="118" t="s">
        <v>14877</v>
      </c>
      <c r="H58" s="109">
        <v>200</v>
      </c>
      <c r="I58" s="6">
        <v>200</v>
      </c>
      <c r="J58" s="109"/>
      <c r="K58" s="94"/>
      <c r="L58" s="105">
        <v>20201118</v>
      </c>
      <c r="M58" s="114"/>
      <c r="N58" s="114"/>
      <c r="O58" s="114"/>
      <c r="P58" s="114"/>
    </row>
    <row r="59" s="113" customFormat="1" ht="16" customHeight="1" spans="1:16">
      <c r="A59" s="109">
        <v>57</v>
      </c>
      <c r="B59" s="5" t="s">
        <v>14875</v>
      </c>
      <c r="C59" s="51" t="s">
        <v>14938</v>
      </c>
      <c r="D59" s="118" t="str">
        <f>"152326197309057117"</f>
        <v>152326197309057117</v>
      </c>
      <c r="E59" s="109" t="s">
        <v>15</v>
      </c>
      <c r="F59" s="109">
        <v>2020</v>
      </c>
      <c r="G59" s="118" t="s">
        <v>14877</v>
      </c>
      <c r="H59" s="109">
        <v>200</v>
      </c>
      <c r="I59" s="6">
        <v>200</v>
      </c>
      <c r="J59" s="109"/>
      <c r="K59" s="94"/>
      <c r="L59" s="105">
        <v>20201118</v>
      </c>
      <c r="M59" s="114"/>
      <c r="N59" s="114"/>
      <c r="O59" s="114"/>
      <c r="P59" s="114"/>
    </row>
    <row r="60" s="113" customFormat="1" ht="16" customHeight="1" spans="1:16">
      <c r="A60" s="109">
        <v>58</v>
      </c>
      <c r="B60" s="5" t="s">
        <v>14875</v>
      </c>
      <c r="C60" s="51" t="s">
        <v>14939</v>
      </c>
      <c r="D60" s="118" t="str">
        <f>"152326197309267122"</f>
        <v>152326197309267122</v>
      </c>
      <c r="E60" s="109" t="s">
        <v>15</v>
      </c>
      <c r="F60" s="109">
        <v>2020</v>
      </c>
      <c r="G60" s="118" t="s">
        <v>14877</v>
      </c>
      <c r="H60" s="109">
        <v>500</v>
      </c>
      <c r="I60" s="6">
        <v>500</v>
      </c>
      <c r="J60" s="109"/>
      <c r="K60" s="94"/>
      <c r="L60" s="105">
        <v>20201118</v>
      </c>
      <c r="M60" s="114"/>
      <c r="N60" s="114"/>
      <c r="O60" s="114"/>
      <c r="P60" s="114"/>
    </row>
    <row r="61" s="113" customFormat="1" ht="16" customHeight="1" spans="1:16">
      <c r="A61" s="109">
        <v>59</v>
      </c>
      <c r="B61" s="5" t="s">
        <v>14875</v>
      </c>
      <c r="C61" s="51" t="s">
        <v>14940</v>
      </c>
      <c r="D61" s="118" t="str">
        <f>"152326197311257142"</f>
        <v>152326197311257142</v>
      </c>
      <c r="E61" s="109" t="s">
        <v>15</v>
      </c>
      <c r="F61" s="109">
        <v>2020</v>
      </c>
      <c r="G61" s="118" t="s">
        <v>14877</v>
      </c>
      <c r="H61" s="109">
        <v>200</v>
      </c>
      <c r="I61" s="6">
        <v>200</v>
      </c>
      <c r="J61" s="109"/>
      <c r="K61" s="94"/>
      <c r="L61" s="105">
        <v>20201118</v>
      </c>
      <c r="M61" s="114"/>
      <c r="N61" s="114"/>
      <c r="O61" s="114"/>
      <c r="P61" s="114"/>
    </row>
    <row r="62" s="113" customFormat="1" ht="16" customHeight="1" spans="1:16">
      <c r="A62" s="109">
        <v>60</v>
      </c>
      <c r="B62" s="5" t="s">
        <v>14875</v>
      </c>
      <c r="C62" s="51" t="s">
        <v>8531</v>
      </c>
      <c r="D62" s="118" t="str">
        <f>"152326197303017149"</f>
        <v>152326197303017149</v>
      </c>
      <c r="E62" s="109" t="s">
        <v>15</v>
      </c>
      <c r="F62" s="109">
        <v>2020</v>
      </c>
      <c r="G62" s="118" t="s">
        <v>14877</v>
      </c>
      <c r="H62" s="109">
        <v>200</v>
      </c>
      <c r="I62" s="6">
        <v>200</v>
      </c>
      <c r="J62" s="109"/>
      <c r="K62" s="94"/>
      <c r="L62" s="105">
        <v>20201118</v>
      </c>
      <c r="M62" s="114"/>
      <c r="N62" s="114"/>
      <c r="O62" s="114"/>
      <c r="P62" s="114"/>
    </row>
    <row r="63" s="113" customFormat="1" ht="16" customHeight="1" spans="1:16">
      <c r="A63" s="109">
        <v>61</v>
      </c>
      <c r="B63" s="5" t="s">
        <v>14875</v>
      </c>
      <c r="C63" s="51" t="s">
        <v>14941</v>
      </c>
      <c r="D63" s="118" t="s">
        <v>14942</v>
      </c>
      <c r="E63" s="109" t="s">
        <v>15</v>
      </c>
      <c r="F63" s="109">
        <v>2020</v>
      </c>
      <c r="G63" s="118" t="s">
        <v>14877</v>
      </c>
      <c r="H63" s="109">
        <v>200</v>
      </c>
      <c r="I63" s="6">
        <v>200</v>
      </c>
      <c r="J63" s="109"/>
      <c r="K63" s="94"/>
      <c r="L63" s="105">
        <v>20201118</v>
      </c>
      <c r="M63" s="114"/>
      <c r="N63" s="114"/>
      <c r="O63" s="114"/>
      <c r="P63" s="114"/>
    </row>
    <row r="64" s="113" customFormat="1" ht="16" customHeight="1" spans="1:16">
      <c r="A64" s="109">
        <v>62</v>
      </c>
      <c r="B64" s="5" t="s">
        <v>14875</v>
      </c>
      <c r="C64" s="51" t="s">
        <v>14943</v>
      </c>
      <c r="D64" s="118" t="str">
        <f>"152326197311247884"</f>
        <v>152326197311247884</v>
      </c>
      <c r="E64" s="109" t="s">
        <v>15</v>
      </c>
      <c r="F64" s="109">
        <v>2020</v>
      </c>
      <c r="G64" s="118" t="s">
        <v>14877</v>
      </c>
      <c r="H64" s="109">
        <v>200</v>
      </c>
      <c r="I64" s="6">
        <v>200</v>
      </c>
      <c r="J64" s="109"/>
      <c r="K64" s="94"/>
      <c r="L64" s="105">
        <v>20201118</v>
      </c>
      <c r="M64" s="114"/>
      <c r="N64" s="114"/>
      <c r="O64" s="114"/>
      <c r="P64" s="114"/>
    </row>
    <row r="65" s="113" customFormat="1" ht="16" customHeight="1" spans="1:16">
      <c r="A65" s="109">
        <v>63</v>
      </c>
      <c r="B65" s="5" t="s">
        <v>14875</v>
      </c>
      <c r="C65" s="51" t="s">
        <v>14944</v>
      </c>
      <c r="D65" s="118" t="s">
        <v>14945</v>
      </c>
      <c r="E65" s="109" t="s">
        <v>15</v>
      </c>
      <c r="F65" s="109">
        <v>2020</v>
      </c>
      <c r="G65" s="118" t="s">
        <v>14877</v>
      </c>
      <c r="H65" s="109">
        <v>200</v>
      </c>
      <c r="I65" s="6">
        <v>200</v>
      </c>
      <c r="J65" s="109" t="s">
        <v>768</v>
      </c>
      <c r="K65" s="94"/>
      <c r="L65" s="105">
        <v>20201118</v>
      </c>
      <c r="M65" s="114"/>
      <c r="N65" s="114"/>
      <c r="O65" s="114"/>
      <c r="P65" s="114"/>
    </row>
    <row r="66" s="113" customFormat="1" ht="16" customHeight="1" spans="1:16">
      <c r="A66" s="109">
        <v>64</v>
      </c>
      <c r="B66" s="5" t="s">
        <v>14875</v>
      </c>
      <c r="C66" s="51" t="s">
        <v>14946</v>
      </c>
      <c r="D66" s="118" t="str">
        <f>"152326197311027128"</f>
        <v>152326197311027128</v>
      </c>
      <c r="E66" s="109" t="s">
        <v>15</v>
      </c>
      <c r="F66" s="109">
        <v>2020</v>
      </c>
      <c r="G66" s="118" t="s">
        <v>14877</v>
      </c>
      <c r="H66" s="109">
        <v>200</v>
      </c>
      <c r="I66" s="6">
        <v>200</v>
      </c>
      <c r="J66" s="109"/>
      <c r="K66" s="94"/>
      <c r="L66" s="105">
        <v>20201118</v>
      </c>
      <c r="M66" s="114"/>
      <c r="N66" s="114"/>
      <c r="O66" s="114"/>
      <c r="P66" s="114"/>
    </row>
    <row r="67" s="113" customFormat="1" ht="16" customHeight="1" spans="1:16">
      <c r="A67" s="109">
        <v>65</v>
      </c>
      <c r="B67" s="5" t="s">
        <v>14875</v>
      </c>
      <c r="C67" s="51" t="s">
        <v>14947</v>
      </c>
      <c r="D67" s="118" t="str">
        <f>"152326197312297111"</f>
        <v>152326197312297111</v>
      </c>
      <c r="E67" s="109" t="s">
        <v>15</v>
      </c>
      <c r="F67" s="109">
        <v>2020</v>
      </c>
      <c r="G67" s="118" t="s">
        <v>14877</v>
      </c>
      <c r="H67" s="109">
        <v>200</v>
      </c>
      <c r="I67" s="6">
        <v>200</v>
      </c>
      <c r="J67" s="109"/>
      <c r="K67" s="94"/>
      <c r="L67" s="105">
        <v>20201118</v>
      </c>
      <c r="M67" s="114"/>
      <c r="N67" s="114"/>
      <c r="O67" s="114"/>
      <c r="P67" s="114"/>
    </row>
    <row r="68" s="113" customFormat="1" ht="16" customHeight="1" spans="1:16">
      <c r="A68" s="109">
        <v>66</v>
      </c>
      <c r="B68" s="5" t="s">
        <v>14875</v>
      </c>
      <c r="C68" s="51" t="s">
        <v>8292</v>
      </c>
      <c r="D68" s="118" t="str">
        <f>"152326197201187120"</f>
        <v>152326197201187120</v>
      </c>
      <c r="E68" s="109" t="s">
        <v>15</v>
      </c>
      <c r="F68" s="109">
        <v>2020</v>
      </c>
      <c r="G68" s="118" t="s">
        <v>14877</v>
      </c>
      <c r="H68" s="109">
        <v>200</v>
      </c>
      <c r="I68" s="6">
        <v>200</v>
      </c>
      <c r="J68" s="109"/>
      <c r="K68" s="94"/>
      <c r="L68" s="105">
        <v>20201118</v>
      </c>
      <c r="M68" s="114"/>
      <c r="N68" s="114"/>
      <c r="O68" s="114"/>
      <c r="P68" s="114"/>
    </row>
    <row r="69" s="113" customFormat="1" ht="16" customHeight="1" spans="1:16">
      <c r="A69" s="109">
        <v>67</v>
      </c>
      <c r="B69" s="5" t="s">
        <v>14875</v>
      </c>
      <c r="C69" s="51" t="s">
        <v>14948</v>
      </c>
      <c r="D69" s="118" t="str">
        <f>"152326197202237126"</f>
        <v>152326197202237126</v>
      </c>
      <c r="E69" s="109" t="s">
        <v>15</v>
      </c>
      <c r="F69" s="109">
        <v>2020</v>
      </c>
      <c r="G69" s="118" t="s">
        <v>14877</v>
      </c>
      <c r="H69" s="109">
        <v>200</v>
      </c>
      <c r="I69" s="6">
        <v>200</v>
      </c>
      <c r="J69" s="109"/>
      <c r="K69" s="94"/>
      <c r="L69" s="105">
        <v>20201118</v>
      </c>
      <c r="M69" s="114"/>
      <c r="N69" s="114"/>
      <c r="O69" s="114"/>
      <c r="P69" s="114"/>
    </row>
    <row r="70" s="113" customFormat="1" ht="16" customHeight="1" spans="1:16">
      <c r="A70" s="109">
        <v>68</v>
      </c>
      <c r="B70" s="5" t="s">
        <v>14875</v>
      </c>
      <c r="C70" s="51" t="s">
        <v>14949</v>
      </c>
      <c r="D70" s="118" t="str">
        <f>"152326197203067149"</f>
        <v>152326197203067149</v>
      </c>
      <c r="E70" s="109" t="s">
        <v>15</v>
      </c>
      <c r="F70" s="109">
        <v>2020</v>
      </c>
      <c r="G70" s="118" t="s">
        <v>14877</v>
      </c>
      <c r="H70" s="109">
        <v>200</v>
      </c>
      <c r="I70" s="6">
        <v>200</v>
      </c>
      <c r="J70" s="109"/>
      <c r="K70" s="94"/>
      <c r="L70" s="105">
        <v>20201118</v>
      </c>
      <c r="M70" s="114"/>
      <c r="N70" s="114"/>
      <c r="O70" s="114"/>
      <c r="P70" s="114"/>
    </row>
    <row r="71" s="113" customFormat="1" ht="16" customHeight="1" spans="1:16">
      <c r="A71" s="109">
        <v>69</v>
      </c>
      <c r="B71" s="5" t="s">
        <v>14875</v>
      </c>
      <c r="C71" s="51" t="s">
        <v>14950</v>
      </c>
      <c r="D71" s="118" t="str">
        <f>"152326197210047111"</f>
        <v>152326197210047111</v>
      </c>
      <c r="E71" s="109" t="s">
        <v>15</v>
      </c>
      <c r="F71" s="109">
        <v>2020</v>
      </c>
      <c r="G71" s="118" t="s">
        <v>14877</v>
      </c>
      <c r="H71" s="109">
        <v>200</v>
      </c>
      <c r="I71" s="6">
        <v>200</v>
      </c>
      <c r="J71" s="109"/>
      <c r="K71" s="94"/>
      <c r="L71" s="105">
        <v>20201118</v>
      </c>
      <c r="M71" s="114"/>
      <c r="N71" s="114"/>
      <c r="O71" s="114"/>
      <c r="P71" s="114"/>
    </row>
    <row r="72" s="113" customFormat="1" ht="16" customHeight="1" spans="1:16">
      <c r="A72" s="109">
        <v>70</v>
      </c>
      <c r="B72" s="5" t="s">
        <v>14875</v>
      </c>
      <c r="C72" s="51" t="s">
        <v>14951</v>
      </c>
      <c r="D72" s="118" t="s">
        <v>14952</v>
      </c>
      <c r="E72" s="109" t="s">
        <v>15</v>
      </c>
      <c r="F72" s="109">
        <v>2020</v>
      </c>
      <c r="G72" s="118" t="s">
        <v>14877</v>
      </c>
      <c r="H72" s="109">
        <v>200</v>
      </c>
      <c r="I72" s="6">
        <v>200</v>
      </c>
      <c r="J72" s="109"/>
      <c r="K72" s="94"/>
      <c r="L72" s="105">
        <v>20201118</v>
      </c>
      <c r="M72" s="114"/>
      <c r="N72" s="114"/>
      <c r="O72" s="114"/>
      <c r="P72" s="114"/>
    </row>
    <row r="73" s="113" customFormat="1" ht="16" customHeight="1" spans="1:16">
      <c r="A73" s="109">
        <v>71</v>
      </c>
      <c r="B73" s="5" t="s">
        <v>14875</v>
      </c>
      <c r="C73" s="51" t="s">
        <v>11840</v>
      </c>
      <c r="D73" s="118" t="str">
        <f>"152326197102027164"</f>
        <v>152326197102027164</v>
      </c>
      <c r="E73" s="109" t="s">
        <v>15</v>
      </c>
      <c r="F73" s="109">
        <v>2020</v>
      </c>
      <c r="G73" s="118" t="s">
        <v>14877</v>
      </c>
      <c r="H73" s="109">
        <v>200</v>
      </c>
      <c r="I73" s="6">
        <v>200</v>
      </c>
      <c r="J73" s="109"/>
      <c r="K73" s="94"/>
      <c r="L73" s="105">
        <v>20201118</v>
      </c>
      <c r="M73" s="114"/>
      <c r="N73" s="114"/>
      <c r="O73" s="114"/>
      <c r="P73" s="114"/>
    </row>
    <row r="74" s="113" customFormat="1" ht="16" customHeight="1" spans="1:16">
      <c r="A74" s="109">
        <v>72</v>
      </c>
      <c r="B74" s="5" t="s">
        <v>14875</v>
      </c>
      <c r="C74" s="51" t="s">
        <v>14953</v>
      </c>
      <c r="D74" s="118" t="str">
        <f>"152326197109097114"</f>
        <v>152326197109097114</v>
      </c>
      <c r="E74" s="109" t="s">
        <v>15</v>
      </c>
      <c r="F74" s="109">
        <v>2020</v>
      </c>
      <c r="G74" s="118" t="s">
        <v>14877</v>
      </c>
      <c r="H74" s="109">
        <v>200</v>
      </c>
      <c r="I74" s="6">
        <v>200</v>
      </c>
      <c r="J74" s="109"/>
      <c r="K74" s="94"/>
      <c r="L74" s="105">
        <v>20201118</v>
      </c>
      <c r="M74" s="114"/>
      <c r="N74" s="114"/>
      <c r="O74" s="114"/>
      <c r="P74" s="114"/>
    </row>
    <row r="75" s="113" customFormat="1" ht="16" customHeight="1" spans="1:16">
      <c r="A75" s="109">
        <v>73</v>
      </c>
      <c r="B75" s="5" t="s">
        <v>14875</v>
      </c>
      <c r="C75" s="51" t="s">
        <v>14954</v>
      </c>
      <c r="D75" s="118" t="str">
        <f>"152326197105027119"</f>
        <v>152326197105027119</v>
      </c>
      <c r="E75" s="109" t="s">
        <v>15</v>
      </c>
      <c r="F75" s="109">
        <v>2020</v>
      </c>
      <c r="G75" s="118" t="s">
        <v>14877</v>
      </c>
      <c r="H75" s="109">
        <v>200</v>
      </c>
      <c r="I75" s="6">
        <v>200</v>
      </c>
      <c r="J75" s="109"/>
      <c r="K75" s="94"/>
      <c r="L75" s="105">
        <v>20201118</v>
      </c>
      <c r="M75" s="114"/>
      <c r="N75" s="114"/>
      <c r="O75" s="114"/>
      <c r="P75" s="114"/>
    </row>
    <row r="76" s="113" customFormat="1" ht="16" customHeight="1" spans="1:16">
      <c r="A76" s="109">
        <v>74</v>
      </c>
      <c r="B76" s="5" t="s">
        <v>14875</v>
      </c>
      <c r="C76" s="51" t="s">
        <v>14955</v>
      </c>
      <c r="D76" s="118" t="s">
        <v>14956</v>
      </c>
      <c r="E76" s="109" t="s">
        <v>15</v>
      </c>
      <c r="F76" s="109">
        <v>2020</v>
      </c>
      <c r="G76" s="118" t="s">
        <v>14877</v>
      </c>
      <c r="H76" s="109">
        <v>500</v>
      </c>
      <c r="I76" s="6">
        <v>500</v>
      </c>
      <c r="J76" s="109" t="s">
        <v>768</v>
      </c>
      <c r="K76" s="94"/>
      <c r="L76" s="105">
        <v>20201118</v>
      </c>
      <c r="M76" s="114"/>
      <c r="N76" s="114"/>
      <c r="O76" s="114"/>
      <c r="P76" s="114"/>
    </row>
    <row r="77" s="113" customFormat="1" ht="16" customHeight="1" spans="1:16">
      <c r="A77" s="109">
        <v>75</v>
      </c>
      <c r="B77" s="5" t="s">
        <v>14875</v>
      </c>
      <c r="C77" s="51" t="s">
        <v>14957</v>
      </c>
      <c r="D77" s="118" t="str">
        <f>"152326197105027127"</f>
        <v>152326197105027127</v>
      </c>
      <c r="E77" s="109" t="s">
        <v>15</v>
      </c>
      <c r="F77" s="109">
        <v>2020</v>
      </c>
      <c r="G77" s="118" t="s">
        <v>14877</v>
      </c>
      <c r="H77" s="109">
        <v>200</v>
      </c>
      <c r="I77" s="6">
        <v>200</v>
      </c>
      <c r="J77" s="109"/>
      <c r="K77" s="94"/>
      <c r="L77" s="105">
        <v>20201118</v>
      </c>
      <c r="M77" s="114"/>
      <c r="N77" s="114"/>
      <c r="O77" s="114"/>
      <c r="P77" s="114"/>
    </row>
    <row r="78" s="113" customFormat="1" ht="16" customHeight="1" spans="1:16">
      <c r="A78" s="109">
        <v>76</v>
      </c>
      <c r="B78" s="5" t="s">
        <v>14875</v>
      </c>
      <c r="C78" s="51" t="s">
        <v>14958</v>
      </c>
      <c r="D78" s="118" t="str">
        <f>"152326197112267110"</f>
        <v>152326197112267110</v>
      </c>
      <c r="E78" s="109" t="s">
        <v>15</v>
      </c>
      <c r="F78" s="109">
        <v>2020</v>
      </c>
      <c r="G78" s="118" t="s">
        <v>14877</v>
      </c>
      <c r="H78" s="109">
        <v>200</v>
      </c>
      <c r="I78" s="6">
        <v>200</v>
      </c>
      <c r="J78" s="109"/>
      <c r="K78" s="94"/>
      <c r="L78" s="105">
        <v>20201118</v>
      </c>
      <c r="M78" s="114"/>
      <c r="N78" s="114"/>
      <c r="O78" s="114"/>
      <c r="P78" s="114"/>
    </row>
    <row r="79" s="113" customFormat="1" ht="16" customHeight="1" spans="1:16">
      <c r="A79" s="109">
        <v>77</v>
      </c>
      <c r="B79" s="5" t="s">
        <v>14875</v>
      </c>
      <c r="C79" s="51" t="s">
        <v>14959</v>
      </c>
      <c r="D79" s="118" t="str">
        <f>"152326197107247123"</f>
        <v>152326197107247123</v>
      </c>
      <c r="E79" s="109" t="s">
        <v>15</v>
      </c>
      <c r="F79" s="109">
        <v>2020</v>
      </c>
      <c r="G79" s="118" t="s">
        <v>14877</v>
      </c>
      <c r="H79" s="109">
        <v>200</v>
      </c>
      <c r="I79" s="6">
        <v>200</v>
      </c>
      <c r="J79" s="109"/>
      <c r="K79" s="94"/>
      <c r="L79" s="105">
        <v>20201118</v>
      </c>
      <c r="M79" s="114"/>
      <c r="N79" s="114"/>
      <c r="O79" s="114"/>
      <c r="P79" s="114"/>
    </row>
    <row r="80" s="113" customFormat="1" ht="16" customHeight="1" spans="1:16">
      <c r="A80" s="109">
        <v>78</v>
      </c>
      <c r="B80" s="5" t="s">
        <v>14875</v>
      </c>
      <c r="C80" s="51" t="s">
        <v>14960</v>
      </c>
      <c r="D80" s="118" t="str">
        <f>"152326197110127122"</f>
        <v>152326197110127122</v>
      </c>
      <c r="E80" s="109" t="s">
        <v>15</v>
      </c>
      <c r="F80" s="109">
        <v>2020</v>
      </c>
      <c r="G80" s="118" t="s">
        <v>14877</v>
      </c>
      <c r="H80" s="109">
        <v>200</v>
      </c>
      <c r="I80" s="6">
        <v>200</v>
      </c>
      <c r="J80" s="109"/>
      <c r="K80" s="94"/>
      <c r="L80" s="105">
        <v>20201118</v>
      </c>
      <c r="M80" s="114"/>
      <c r="N80" s="114"/>
      <c r="O80" s="114"/>
      <c r="P80" s="114"/>
    </row>
    <row r="81" s="113" customFormat="1" ht="16" customHeight="1" spans="1:16">
      <c r="A81" s="109">
        <v>79</v>
      </c>
      <c r="B81" s="5" t="s">
        <v>14875</v>
      </c>
      <c r="C81" s="51" t="s">
        <v>14961</v>
      </c>
      <c r="D81" s="118" t="str">
        <f>"152326197112177115"</f>
        <v>152326197112177115</v>
      </c>
      <c r="E81" s="109" t="s">
        <v>15</v>
      </c>
      <c r="F81" s="109">
        <v>2020</v>
      </c>
      <c r="G81" s="118" t="s">
        <v>14877</v>
      </c>
      <c r="H81" s="109">
        <v>200</v>
      </c>
      <c r="I81" s="6">
        <v>200</v>
      </c>
      <c r="J81" s="109"/>
      <c r="K81" s="94"/>
      <c r="L81" s="105">
        <v>20201118</v>
      </c>
      <c r="M81" s="114"/>
      <c r="N81" s="114"/>
      <c r="O81" s="114"/>
      <c r="P81" s="114"/>
    </row>
    <row r="82" s="113" customFormat="1" ht="16" customHeight="1" spans="1:16">
      <c r="A82" s="109">
        <v>80</v>
      </c>
      <c r="B82" s="5" t="s">
        <v>14875</v>
      </c>
      <c r="C82" s="51" t="s">
        <v>14962</v>
      </c>
      <c r="D82" s="118" t="str">
        <f>"152326197109077113"</f>
        <v>152326197109077113</v>
      </c>
      <c r="E82" s="109" t="s">
        <v>15</v>
      </c>
      <c r="F82" s="109">
        <v>2020</v>
      </c>
      <c r="G82" s="118" t="s">
        <v>14877</v>
      </c>
      <c r="H82" s="109">
        <v>200</v>
      </c>
      <c r="I82" s="6">
        <v>200</v>
      </c>
      <c r="J82" s="109"/>
      <c r="K82" s="94"/>
      <c r="L82" s="105">
        <v>20201118</v>
      </c>
      <c r="M82" s="114"/>
      <c r="N82" s="114"/>
      <c r="O82" s="114"/>
      <c r="P82" s="114"/>
    </row>
    <row r="83" s="113" customFormat="1" ht="16" customHeight="1" spans="1:16">
      <c r="A83" s="109">
        <v>81</v>
      </c>
      <c r="B83" s="5" t="s">
        <v>14875</v>
      </c>
      <c r="C83" s="51" t="s">
        <v>14963</v>
      </c>
      <c r="D83" s="118" t="str">
        <f>"152326197106067112"</f>
        <v>152326197106067112</v>
      </c>
      <c r="E83" s="109" t="s">
        <v>15</v>
      </c>
      <c r="F83" s="109">
        <v>2020</v>
      </c>
      <c r="G83" s="118" t="s">
        <v>14877</v>
      </c>
      <c r="H83" s="109">
        <v>200</v>
      </c>
      <c r="I83" s="6">
        <v>200</v>
      </c>
      <c r="J83" s="109"/>
      <c r="K83" s="94"/>
      <c r="L83" s="105">
        <v>20201118</v>
      </c>
      <c r="M83" s="114"/>
      <c r="N83" s="114"/>
      <c r="O83" s="114"/>
      <c r="P83" s="114"/>
    </row>
    <row r="84" s="113" customFormat="1" ht="16" customHeight="1" spans="1:16">
      <c r="A84" s="109">
        <v>82</v>
      </c>
      <c r="B84" s="5" t="s">
        <v>14875</v>
      </c>
      <c r="C84" s="51" t="s">
        <v>6766</v>
      </c>
      <c r="D84" s="118" t="str">
        <f>"152326197112217113"</f>
        <v>152326197112217113</v>
      </c>
      <c r="E84" s="109" t="s">
        <v>15</v>
      </c>
      <c r="F84" s="109">
        <v>2020</v>
      </c>
      <c r="G84" s="118" t="s">
        <v>14877</v>
      </c>
      <c r="H84" s="109">
        <v>200</v>
      </c>
      <c r="I84" s="6">
        <v>200</v>
      </c>
      <c r="J84" s="109"/>
      <c r="K84" s="94"/>
      <c r="L84" s="105">
        <v>20201118</v>
      </c>
      <c r="M84" s="114"/>
      <c r="N84" s="114"/>
      <c r="O84" s="114"/>
      <c r="P84" s="114"/>
    </row>
    <row r="85" s="113" customFormat="1" ht="16" customHeight="1" spans="1:16">
      <c r="A85" s="109">
        <v>83</v>
      </c>
      <c r="B85" s="5" t="s">
        <v>14875</v>
      </c>
      <c r="C85" s="51" t="s">
        <v>14964</v>
      </c>
      <c r="D85" s="118" t="str">
        <f>"152326197010077113"</f>
        <v>152326197010077113</v>
      </c>
      <c r="E85" s="109" t="s">
        <v>15</v>
      </c>
      <c r="F85" s="109">
        <v>2020</v>
      </c>
      <c r="G85" s="118" t="s">
        <v>14877</v>
      </c>
      <c r="H85" s="109">
        <v>200</v>
      </c>
      <c r="I85" s="6">
        <v>200</v>
      </c>
      <c r="J85" s="109"/>
      <c r="K85" s="94"/>
      <c r="L85" s="105">
        <v>20201118</v>
      </c>
      <c r="M85" s="114"/>
      <c r="N85" s="114"/>
      <c r="O85" s="114"/>
      <c r="P85" s="114"/>
    </row>
    <row r="86" s="113" customFormat="1" ht="16" customHeight="1" spans="1:16">
      <c r="A86" s="109">
        <v>84</v>
      </c>
      <c r="B86" s="5" t="s">
        <v>14875</v>
      </c>
      <c r="C86" s="51" t="s">
        <v>14965</v>
      </c>
      <c r="D86" s="118" t="str">
        <f>"152326197001257147"</f>
        <v>152326197001257147</v>
      </c>
      <c r="E86" s="109" t="s">
        <v>15</v>
      </c>
      <c r="F86" s="109">
        <v>2020</v>
      </c>
      <c r="G86" s="118" t="s">
        <v>14877</v>
      </c>
      <c r="H86" s="109">
        <v>200</v>
      </c>
      <c r="I86" s="6">
        <v>200</v>
      </c>
      <c r="J86" s="109"/>
      <c r="K86" s="94"/>
      <c r="L86" s="105">
        <v>20201118</v>
      </c>
      <c r="M86" s="114"/>
      <c r="N86" s="114"/>
      <c r="O86" s="114"/>
      <c r="P86" s="114"/>
    </row>
    <row r="87" s="113" customFormat="1" ht="16" customHeight="1" spans="1:16">
      <c r="A87" s="109">
        <v>85</v>
      </c>
      <c r="B87" s="5" t="s">
        <v>14875</v>
      </c>
      <c r="C87" s="51" t="s">
        <v>14966</v>
      </c>
      <c r="D87" s="118" t="str">
        <f>"152326197009027127"</f>
        <v>152326197009027127</v>
      </c>
      <c r="E87" s="109" t="s">
        <v>15</v>
      </c>
      <c r="F87" s="109">
        <v>2020</v>
      </c>
      <c r="G87" s="118" t="s">
        <v>14877</v>
      </c>
      <c r="H87" s="109">
        <v>200</v>
      </c>
      <c r="I87" s="6">
        <v>200</v>
      </c>
      <c r="J87" s="109"/>
      <c r="K87" s="94"/>
      <c r="L87" s="105">
        <v>20201118</v>
      </c>
      <c r="M87" s="114"/>
      <c r="N87" s="114"/>
      <c r="O87" s="114"/>
      <c r="P87" s="114"/>
    </row>
    <row r="88" s="113" customFormat="1" ht="16" customHeight="1" spans="1:16">
      <c r="A88" s="109">
        <v>86</v>
      </c>
      <c r="B88" s="5" t="s">
        <v>14875</v>
      </c>
      <c r="C88" s="51" t="s">
        <v>14967</v>
      </c>
      <c r="D88" s="118" t="str">
        <f>"152326197001167117"</f>
        <v>152326197001167117</v>
      </c>
      <c r="E88" s="109" t="s">
        <v>15</v>
      </c>
      <c r="F88" s="109">
        <v>2020</v>
      </c>
      <c r="G88" s="118" t="s">
        <v>14877</v>
      </c>
      <c r="H88" s="109">
        <v>200</v>
      </c>
      <c r="I88" s="6">
        <v>200</v>
      </c>
      <c r="J88" s="109"/>
      <c r="K88" s="94"/>
      <c r="L88" s="105">
        <v>20201118</v>
      </c>
      <c r="M88" s="114"/>
      <c r="N88" s="114"/>
      <c r="O88" s="114"/>
      <c r="P88" s="114"/>
    </row>
    <row r="89" s="113" customFormat="1" ht="16" customHeight="1" spans="1:16">
      <c r="A89" s="109">
        <v>87</v>
      </c>
      <c r="B89" s="5" t="s">
        <v>14875</v>
      </c>
      <c r="C89" s="51" t="s">
        <v>10897</v>
      </c>
      <c r="D89" s="118" t="str">
        <f>"152326197008047126"</f>
        <v>152326197008047126</v>
      </c>
      <c r="E89" s="109" t="s">
        <v>15</v>
      </c>
      <c r="F89" s="109">
        <v>2020</v>
      </c>
      <c r="G89" s="118" t="s">
        <v>14877</v>
      </c>
      <c r="H89" s="109">
        <v>200</v>
      </c>
      <c r="I89" s="6">
        <v>200</v>
      </c>
      <c r="J89" s="109"/>
      <c r="K89" s="94"/>
      <c r="L89" s="105">
        <v>20201118</v>
      </c>
      <c r="M89" s="114"/>
      <c r="N89" s="114"/>
      <c r="O89" s="114"/>
      <c r="P89" s="114"/>
    </row>
    <row r="90" s="113" customFormat="1" ht="16" customHeight="1" spans="1:16">
      <c r="A90" s="109">
        <v>88</v>
      </c>
      <c r="B90" s="5" t="s">
        <v>14875</v>
      </c>
      <c r="C90" s="51" t="s">
        <v>14968</v>
      </c>
      <c r="D90" s="118" t="str">
        <f>"152326197004057116"</f>
        <v>152326197004057116</v>
      </c>
      <c r="E90" s="109" t="s">
        <v>15</v>
      </c>
      <c r="F90" s="109">
        <v>2020</v>
      </c>
      <c r="G90" s="118" t="s">
        <v>14877</v>
      </c>
      <c r="H90" s="109">
        <v>200</v>
      </c>
      <c r="I90" s="6">
        <v>200</v>
      </c>
      <c r="J90" s="109"/>
      <c r="K90" s="94"/>
      <c r="L90" s="105">
        <v>20201118</v>
      </c>
      <c r="M90" s="114"/>
      <c r="N90" s="114"/>
      <c r="O90" s="114"/>
      <c r="P90" s="114"/>
    </row>
    <row r="91" s="113" customFormat="1" ht="16" customHeight="1" spans="1:16">
      <c r="A91" s="109">
        <v>89</v>
      </c>
      <c r="B91" s="5" t="s">
        <v>14875</v>
      </c>
      <c r="C91" s="51" t="s">
        <v>5133</v>
      </c>
      <c r="D91" s="118" t="str">
        <f>"152326197011217122"</f>
        <v>152326197011217122</v>
      </c>
      <c r="E91" s="109" t="s">
        <v>15</v>
      </c>
      <c r="F91" s="109">
        <v>2020</v>
      </c>
      <c r="G91" s="118" t="s">
        <v>14877</v>
      </c>
      <c r="H91" s="109">
        <v>200</v>
      </c>
      <c r="I91" s="6">
        <v>200</v>
      </c>
      <c r="J91" s="109"/>
      <c r="K91" s="94"/>
      <c r="L91" s="105">
        <v>20201118</v>
      </c>
      <c r="M91" s="114"/>
      <c r="N91" s="114"/>
      <c r="O91" s="114"/>
      <c r="P91" s="114"/>
    </row>
    <row r="92" s="113" customFormat="1" ht="16" customHeight="1" spans="1:16">
      <c r="A92" s="109">
        <v>90</v>
      </c>
      <c r="B92" s="5" t="s">
        <v>14875</v>
      </c>
      <c r="C92" s="51" t="s">
        <v>14969</v>
      </c>
      <c r="D92" s="118" t="str">
        <f>"152326197006227131"</f>
        <v>152326197006227131</v>
      </c>
      <c r="E92" s="109" t="s">
        <v>15</v>
      </c>
      <c r="F92" s="109">
        <v>2020</v>
      </c>
      <c r="G92" s="118" t="s">
        <v>14877</v>
      </c>
      <c r="H92" s="109">
        <v>200</v>
      </c>
      <c r="I92" s="6">
        <v>200</v>
      </c>
      <c r="J92" s="109"/>
      <c r="K92" s="94"/>
      <c r="L92" s="105">
        <v>20201118</v>
      </c>
      <c r="M92" s="114"/>
      <c r="N92" s="114"/>
      <c r="O92" s="114"/>
      <c r="P92" s="114"/>
    </row>
    <row r="93" s="113" customFormat="1" ht="16" customHeight="1" spans="1:16">
      <c r="A93" s="109">
        <v>91</v>
      </c>
      <c r="B93" s="5" t="s">
        <v>14875</v>
      </c>
      <c r="C93" s="51" t="s">
        <v>14970</v>
      </c>
      <c r="D93" s="118" t="s">
        <v>14971</v>
      </c>
      <c r="E93" s="109" t="s">
        <v>15</v>
      </c>
      <c r="F93" s="109">
        <v>2020</v>
      </c>
      <c r="G93" s="118" t="s">
        <v>14877</v>
      </c>
      <c r="H93" s="109">
        <v>200</v>
      </c>
      <c r="I93" s="6">
        <v>200</v>
      </c>
      <c r="J93" s="109"/>
      <c r="K93" s="94"/>
      <c r="L93" s="105">
        <v>20201118</v>
      </c>
      <c r="M93" s="114"/>
      <c r="N93" s="114"/>
      <c r="O93" s="114"/>
      <c r="P93" s="114"/>
    </row>
    <row r="94" s="113" customFormat="1" ht="16" customHeight="1" spans="1:16">
      <c r="A94" s="109">
        <v>92</v>
      </c>
      <c r="B94" s="5" t="s">
        <v>14875</v>
      </c>
      <c r="C94" s="51" t="s">
        <v>14972</v>
      </c>
      <c r="D94" s="118" t="str">
        <f>"152326197010297116"</f>
        <v>152326197010297116</v>
      </c>
      <c r="E94" s="109" t="s">
        <v>15</v>
      </c>
      <c r="F94" s="109">
        <v>2020</v>
      </c>
      <c r="G94" s="118" t="s">
        <v>14877</v>
      </c>
      <c r="H94" s="109">
        <v>200</v>
      </c>
      <c r="I94" s="6">
        <v>200</v>
      </c>
      <c r="J94" s="109"/>
      <c r="K94" s="94"/>
      <c r="L94" s="105">
        <v>20201118</v>
      </c>
      <c r="M94" s="114"/>
      <c r="N94" s="114"/>
      <c r="O94" s="114"/>
      <c r="P94" s="114"/>
    </row>
    <row r="95" s="113" customFormat="1" ht="16" customHeight="1" spans="1:16">
      <c r="A95" s="109">
        <v>93</v>
      </c>
      <c r="B95" s="5" t="s">
        <v>14875</v>
      </c>
      <c r="C95" s="51" t="s">
        <v>14973</v>
      </c>
      <c r="D95" s="118" t="str">
        <f>"152326197004027128"</f>
        <v>152326197004027128</v>
      </c>
      <c r="E95" s="109" t="s">
        <v>15</v>
      </c>
      <c r="F95" s="109">
        <v>2020</v>
      </c>
      <c r="G95" s="118" t="s">
        <v>14877</v>
      </c>
      <c r="H95" s="109">
        <v>200</v>
      </c>
      <c r="I95" s="6">
        <v>200</v>
      </c>
      <c r="J95" s="109"/>
      <c r="K95" s="94"/>
      <c r="L95" s="105">
        <v>20201118</v>
      </c>
      <c r="M95" s="114"/>
      <c r="N95" s="114"/>
      <c r="O95" s="114"/>
      <c r="P95" s="114"/>
    </row>
    <row r="96" s="113" customFormat="1" ht="16" customHeight="1" spans="1:16">
      <c r="A96" s="109">
        <v>94</v>
      </c>
      <c r="B96" s="5" t="s">
        <v>14875</v>
      </c>
      <c r="C96" s="51" t="s">
        <v>14974</v>
      </c>
      <c r="D96" s="118" t="str">
        <f>"150421197010165123"</f>
        <v>150421197010165123</v>
      </c>
      <c r="E96" s="109" t="s">
        <v>15</v>
      </c>
      <c r="F96" s="109">
        <v>2020</v>
      </c>
      <c r="G96" s="118" t="s">
        <v>14877</v>
      </c>
      <c r="H96" s="109">
        <v>200</v>
      </c>
      <c r="I96" s="6">
        <v>200</v>
      </c>
      <c r="J96" s="109"/>
      <c r="K96" s="94"/>
      <c r="L96" s="105">
        <v>20201118</v>
      </c>
      <c r="M96" s="114"/>
      <c r="N96" s="114"/>
      <c r="O96" s="114"/>
      <c r="P96" s="114"/>
    </row>
    <row r="97" s="113" customFormat="1" ht="16" customHeight="1" spans="1:16">
      <c r="A97" s="109">
        <v>95</v>
      </c>
      <c r="B97" s="5" t="s">
        <v>14875</v>
      </c>
      <c r="C97" s="51" t="s">
        <v>14975</v>
      </c>
      <c r="D97" s="118" t="str">
        <f>"152326197007017128"</f>
        <v>152326197007017128</v>
      </c>
      <c r="E97" s="109" t="s">
        <v>15</v>
      </c>
      <c r="F97" s="109">
        <v>2020</v>
      </c>
      <c r="G97" s="118" t="s">
        <v>14877</v>
      </c>
      <c r="H97" s="109">
        <v>200</v>
      </c>
      <c r="I97" s="6">
        <v>200</v>
      </c>
      <c r="J97" s="109"/>
      <c r="K97" s="94"/>
      <c r="L97" s="105">
        <v>20201118</v>
      </c>
      <c r="M97" s="114"/>
      <c r="N97" s="114"/>
      <c r="O97" s="114"/>
      <c r="P97" s="114"/>
    </row>
    <row r="98" s="113" customFormat="1" ht="16" customHeight="1" spans="1:16">
      <c r="A98" s="109">
        <v>96</v>
      </c>
      <c r="B98" s="5" t="s">
        <v>14875</v>
      </c>
      <c r="C98" s="51" t="s">
        <v>14976</v>
      </c>
      <c r="D98" s="118" t="str">
        <f>"152326197003027126"</f>
        <v>152326197003027126</v>
      </c>
      <c r="E98" s="109" t="s">
        <v>15</v>
      </c>
      <c r="F98" s="109">
        <v>2020</v>
      </c>
      <c r="G98" s="118" t="s">
        <v>14877</v>
      </c>
      <c r="H98" s="109">
        <v>200</v>
      </c>
      <c r="I98" s="6">
        <v>200</v>
      </c>
      <c r="J98" s="109"/>
      <c r="K98" s="94"/>
      <c r="L98" s="105">
        <v>20201118</v>
      </c>
      <c r="M98" s="114"/>
      <c r="N98" s="114"/>
      <c r="O98" s="114"/>
      <c r="P98" s="114"/>
    </row>
    <row r="99" s="113" customFormat="1" ht="16" customHeight="1" spans="1:16">
      <c r="A99" s="109">
        <v>97</v>
      </c>
      <c r="B99" s="5" t="s">
        <v>14875</v>
      </c>
      <c r="C99" s="51" t="s">
        <v>14977</v>
      </c>
      <c r="D99" s="118" t="str">
        <f>"152326197010117111"</f>
        <v>152326197010117111</v>
      </c>
      <c r="E99" s="109" t="s">
        <v>15</v>
      </c>
      <c r="F99" s="109">
        <v>2020</v>
      </c>
      <c r="G99" s="118" t="s">
        <v>14877</v>
      </c>
      <c r="H99" s="109">
        <v>200</v>
      </c>
      <c r="I99" s="6">
        <v>200</v>
      </c>
      <c r="J99" s="109"/>
      <c r="K99" s="94"/>
      <c r="L99" s="105">
        <v>20201118</v>
      </c>
      <c r="M99" s="114"/>
      <c r="N99" s="114"/>
      <c r="O99" s="114"/>
      <c r="P99" s="114"/>
    </row>
    <row r="100" s="113" customFormat="1" ht="16" customHeight="1" spans="1:16">
      <c r="A100" s="109">
        <v>98</v>
      </c>
      <c r="B100" s="5" t="s">
        <v>14875</v>
      </c>
      <c r="C100" s="51" t="s">
        <v>14978</v>
      </c>
      <c r="D100" s="118" t="str">
        <f>"152326197002227118"</f>
        <v>152326197002227118</v>
      </c>
      <c r="E100" s="109" t="s">
        <v>15</v>
      </c>
      <c r="F100" s="109">
        <v>2020</v>
      </c>
      <c r="G100" s="118" t="s">
        <v>14877</v>
      </c>
      <c r="H100" s="109">
        <v>200</v>
      </c>
      <c r="I100" s="6">
        <v>200</v>
      </c>
      <c r="J100" s="109"/>
      <c r="K100" s="94"/>
      <c r="L100" s="105">
        <v>20201118</v>
      </c>
      <c r="M100" s="114"/>
      <c r="N100" s="114"/>
      <c r="O100" s="114"/>
      <c r="P100" s="114"/>
    </row>
    <row r="101" s="113" customFormat="1" ht="16" customHeight="1" spans="1:16">
      <c r="A101" s="109">
        <v>99</v>
      </c>
      <c r="B101" s="5" t="s">
        <v>14875</v>
      </c>
      <c r="C101" s="51" t="s">
        <v>14979</v>
      </c>
      <c r="D101" s="118" t="s">
        <v>14980</v>
      </c>
      <c r="E101" s="109" t="s">
        <v>15</v>
      </c>
      <c r="F101" s="109">
        <v>2020</v>
      </c>
      <c r="G101" s="118" t="s">
        <v>14877</v>
      </c>
      <c r="H101" s="109">
        <v>200</v>
      </c>
      <c r="I101" s="6">
        <v>200</v>
      </c>
      <c r="J101" s="109"/>
      <c r="K101" s="94"/>
      <c r="L101" s="105">
        <v>20201118</v>
      </c>
      <c r="M101" s="114"/>
      <c r="N101" s="114"/>
      <c r="O101" s="114"/>
      <c r="P101" s="114"/>
    </row>
    <row r="102" s="113" customFormat="1" ht="16" customHeight="1" spans="1:16">
      <c r="A102" s="109">
        <v>100</v>
      </c>
      <c r="B102" s="5" t="s">
        <v>14875</v>
      </c>
      <c r="C102" s="51" t="s">
        <v>14981</v>
      </c>
      <c r="D102" s="118" t="str">
        <f>"152326196910027133"</f>
        <v>152326196910027133</v>
      </c>
      <c r="E102" s="109" t="s">
        <v>15</v>
      </c>
      <c r="F102" s="109">
        <v>2020</v>
      </c>
      <c r="G102" s="118" t="s">
        <v>14877</v>
      </c>
      <c r="H102" s="109">
        <v>200</v>
      </c>
      <c r="I102" s="6">
        <v>200</v>
      </c>
      <c r="J102" s="109"/>
      <c r="K102" s="94"/>
      <c r="L102" s="105">
        <v>20201118</v>
      </c>
      <c r="M102" s="114"/>
      <c r="N102" s="114"/>
      <c r="O102" s="114"/>
      <c r="P102" s="114"/>
    </row>
    <row r="103" s="113" customFormat="1" ht="16" customHeight="1" spans="1:16">
      <c r="A103" s="109">
        <v>101</v>
      </c>
      <c r="B103" s="5" t="s">
        <v>14875</v>
      </c>
      <c r="C103" s="51" t="s">
        <v>14982</v>
      </c>
      <c r="D103" s="118" t="str">
        <f>"152326196911127136"</f>
        <v>152326196911127136</v>
      </c>
      <c r="E103" s="109" t="s">
        <v>15</v>
      </c>
      <c r="F103" s="109">
        <v>2020</v>
      </c>
      <c r="G103" s="118" t="s">
        <v>14877</v>
      </c>
      <c r="H103" s="109">
        <v>200</v>
      </c>
      <c r="I103" s="6">
        <v>200</v>
      </c>
      <c r="J103" s="109"/>
      <c r="K103" s="94"/>
      <c r="L103" s="105">
        <v>20201118</v>
      </c>
      <c r="M103" s="114"/>
      <c r="N103" s="114"/>
      <c r="O103" s="114"/>
      <c r="P103" s="114"/>
    </row>
    <row r="104" s="113" customFormat="1" ht="16" customHeight="1" spans="1:16">
      <c r="A104" s="109">
        <v>102</v>
      </c>
      <c r="B104" s="5" t="s">
        <v>14875</v>
      </c>
      <c r="C104" s="51" t="s">
        <v>147</v>
      </c>
      <c r="D104" s="118" t="str">
        <f>"152326196906297149"</f>
        <v>152326196906297149</v>
      </c>
      <c r="E104" s="109" t="s">
        <v>15</v>
      </c>
      <c r="F104" s="109">
        <v>2020</v>
      </c>
      <c r="G104" s="118" t="s">
        <v>14877</v>
      </c>
      <c r="H104" s="109">
        <v>200</v>
      </c>
      <c r="I104" s="6">
        <v>200</v>
      </c>
      <c r="J104" s="109"/>
      <c r="K104" s="94"/>
      <c r="L104" s="105">
        <v>20201118</v>
      </c>
      <c r="M104" s="114"/>
      <c r="N104" s="114"/>
      <c r="O104" s="114"/>
      <c r="P104" s="114"/>
    </row>
    <row r="105" s="113" customFormat="1" ht="16" customHeight="1" spans="1:16">
      <c r="A105" s="109">
        <v>103</v>
      </c>
      <c r="B105" s="5" t="s">
        <v>14875</v>
      </c>
      <c r="C105" s="51" t="s">
        <v>14983</v>
      </c>
      <c r="D105" s="118" t="str">
        <f>"152326196901037145"</f>
        <v>152326196901037145</v>
      </c>
      <c r="E105" s="109" t="s">
        <v>15</v>
      </c>
      <c r="F105" s="109">
        <v>2020</v>
      </c>
      <c r="G105" s="118" t="s">
        <v>14877</v>
      </c>
      <c r="H105" s="109">
        <v>200</v>
      </c>
      <c r="I105" s="6">
        <v>200</v>
      </c>
      <c r="J105" s="109"/>
      <c r="K105" s="94"/>
      <c r="L105" s="105">
        <v>20201118</v>
      </c>
      <c r="M105" s="114"/>
      <c r="N105" s="114"/>
      <c r="O105" s="114"/>
      <c r="P105" s="114"/>
    </row>
    <row r="106" s="113" customFormat="1" ht="16" customHeight="1" spans="1:16">
      <c r="A106" s="109">
        <v>104</v>
      </c>
      <c r="B106" s="5" t="s">
        <v>14875</v>
      </c>
      <c r="C106" s="51" t="s">
        <v>14984</v>
      </c>
      <c r="D106" s="118" t="s">
        <v>14985</v>
      </c>
      <c r="E106" s="109" t="s">
        <v>15</v>
      </c>
      <c r="F106" s="109">
        <v>2020</v>
      </c>
      <c r="G106" s="118" t="s">
        <v>14877</v>
      </c>
      <c r="H106" s="109">
        <v>200</v>
      </c>
      <c r="I106" s="6">
        <v>200</v>
      </c>
      <c r="J106" s="109"/>
      <c r="K106" s="94"/>
      <c r="L106" s="105">
        <v>20201118</v>
      </c>
      <c r="M106" s="114"/>
      <c r="N106" s="114"/>
      <c r="O106" s="114"/>
      <c r="P106" s="114"/>
    </row>
    <row r="107" s="113" customFormat="1" ht="16" customHeight="1" spans="1:16">
      <c r="A107" s="109">
        <v>105</v>
      </c>
      <c r="B107" s="5" t="s">
        <v>14875</v>
      </c>
      <c r="C107" s="51" t="s">
        <v>14986</v>
      </c>
      <c r="D107" s="118" t="str">
        <f>"152326196801257116"</f>
        <v>152326196801257116</v>
      </c>
      <c r="E107" s="109" t="s">
        <v>15</v>
      </c>
      <c r="F107" s="109">
        <v>2020</v>
      </c>
      <c r="G107" s="118" t="s">
        <v>14877</v>
      </c>
      <c r="H107" s="109">
        <v>200</v>
      </c>
      <c r="I107" s="6">
        <v>200</v>
      </c>
      <c r="J107" s="109"/>
      <c r="K107" s="94"/>
      <c r="L107" s="105">
        <v>20201118</v>
      </c>
      <c r="M107" s="114"/>
      <c r="N107" s="114"/>
      <c r="O107" s="114"/>
      <c r="P107" s="114"/>
    </row>
    <row r="108" s="113" customFormat="1" ht="16" customHeight="1" spans="1:16">
      <c r="A108" s="109">
        <v>106</v>
      </c>
      <c r="B108" s="5" t="s">
        <v>14875</v>
      </c>
      <c r="C108" s="51" t="s">
        <v>14987</v>
      </c>
      <c r="D108" s="118" t="str">
        <f>"152326196807077116"</f>
        <v>152326196807077116</v>
      </c>
      <c r="E108" s="109" t="s">
        <v>15</v>
      </c>
      <c r="F108" s="109">
        <v>2020</v>
      </c>
      <c r="G108" s="118" t="s">
        <v>14877</v>
      </c>
      <c r="H108" s="109">
        <v>200</v>
      </c>
      <c r="I108" s="6">
        <v>200</v>
      </c>
      <c r="J108" s="109"/>
      <c r="K108" s="94"/>
      <c r="L108" s="105">
        <v>20201118</v>
      </c>
      <c r="M108" s="114"/>
      <c r="N108" s="114"/>
      <c r="O108" s="114"/>
      <c r="P108" s="114"/>
    </row>
    <row r="109" s="113" customFormat="1" ht="16" customHeight="1" spans="1:16">
      <c r="A109" s="109">
        <v>107</v>
      </c>
      <c r="B109" s="5" t="s">
        <v>14875</v>
      </c>
      <c r="C109" s="51" t="s">
        <v>14988</v>
      </c>
      <c r="D109" s="118" t="str">
        <f>"152326196807107119"</f>
        <v>152326196807107119</v>
      </c>
      <c r="E109" s="109" t="s">
        <v>15</v>
      </c>
      <c r="F109" s="109">
        <v>2020</v>
      </c>
      <c r="G109" s="118" t="s">
        <v>14877</v>
      </c>
      <c r="H109" s="109">
        <v>200</v>
      </c>
      <c r="I109" s="6">
        <v>200</v>
      </c>
      <c r="J109" s="109"/>
      <c r="K109" s="94"/>
      <c r="L109" s="105">
        <v>20201118</v>
      </c>
      <c r="M109" s="114"/>
      <c r="N109" s="114"/>
      <c r="O109" s="114"/>
      <c r="P109" s="114"/>
    </row>
    <row r="110" s="113" customFormat="1" ht="16" customHeight="1" spans="1:16">
      <c r="A110" s="109">
        <v>108</v>
      </c>
      <c r="B110" s="5" t="s">
        <v>14875</v>
      </c>
      <c r="C110" s="51" t="s">
        <v>8531</v>
      </c>
      <c r="D110" s="118" t="str">
        <f>"152326196810037123"</f>
        <v>152326196810037123</v>
      </c>
      <c r="E110" s="109" t="s">
        <v>15</v>
      </c>
      <c r="F110" s="109">
        <v>2020</v>
      </c>
      <c r="G110" s="118" t="s">
        <v>14877</v>
      </c>
      <c r="H110" s="109">
        <v>200</v>
      </c>
      <c r="I110" s="6">
        <v>200</v>
      </c>
      <c r="J110" s="109"/>
      <c r="K110" s="94"/>
      <c r="L110" s="105">
        <v>20201118</v>
      </c>
      <c r="M110" s="114"/>
      <c r="N110" s="114"/>
      <c r="O110" s="114"/>
      <c r="P110" s="114"/>
    </row>
    <row r="111" s="113" customFormat="1" ht="16" customHeight="1" spans="1:16">
      <c r="A111" s="109">
        <v>109</v>
      </c>
      <c r="B111" s="5" t="s">
        <v>14875</v>
      </c>
      <c r="C111" s="51" t="s">
        <v>14989</v>
      </c>
      <c r="D111" s="118" t="str">
        <f>"152326196806057121"</f>
        <v>152326196806057121</v>
      </c>
      <c r="E111" s="109" t="s">
        <v>15</v>
      </c>
      <c r="F111" s="109">
        <v>2020</v>
      </c>
      <c r="G111" s="118" t="s">
        <v>14877</v>
      </c>
      <c r="H111" s="109">
        <v>200</v>
      </c>
      <c r="I111" s="6">
        <v>200</v>
      </c>
      <c r="J111" s="109"/>
      <c r="K111" s="94"/>
      <c r="L111" s="105">
        <v>20201118</v>
      </c>
      <c r="M111" s="114"/>
      <c r="N111" s="114"/>
      <c r="O111" s="114"/>
      <c r="P111" s="114"/>
    </row>
    <row r="112" s="113" customFormat="1" ht="16" customHeight="1" spans="1:16">
      <c r="A112" s="109">
        <v>110</v>
      </c>
      <c r="B112" s="5" t="s">
        <v>14875</v>
      </c>
      <c r="C112" s="51" t="s">
        <v>14990</v>
      </c>
      <c r="D112" s="118" t="str">
        <f>"152326196806067143"</f>
        <v>152326196806067143</v>
      </c>
      <c r="E112" s="109" t="s">
        <v>15</v>
      </c>
      <c r="F112" s="109">
        <v>2020</v>
      </c>
      <c r="G112" s="118" t="s">
        <v>14877</v>
      </c>
      <c r="H112" s="109">
        <v>200</v>
      </c>
      <c r="I112" s="6">
        <v>200</v>
      </c>
      <c r="J112" s="109"/>
      <c r="K112" s="94"/>
      <c r="L112" s="105">
        <v>20201118</v>
      </c>
      <c r="M112" s="114"/>
      <c r="N112" s="114"/>
      <c r="O112" s="114"/>
      <c r="P112" s="114"/>
    </row>
    <row r="113" s="113" customFormat="1" ht="16" customHeight="1" spans="1:16">
      <c r="A113" s="109">
        <v>111</v>
      </c>
      <c r="B113" s="5" t="s">
        <v>14875</v>
      </c>
      <c r="C113" s="51" t="s">
        <v>14991</v>
      </c>
      <c r="D113" s="118" t="str">
        <f>"152326196802077117"</f>
        <v>152326196802077117</v>
      </c>
      <c r="E113" s="109" t="s">
        <v>15</v>
      </c>
      <c r="F113" s="109">
        <v>2020</v>
      </c>
      <c r="G113" s="118" t="s">
        <v>14877</v>
      </c>
      <c r="H113" s="109">
        <v>200</v>
      </c>
      <c r="I113" s="6">
        <v>200</v>
      </c>
      <c r="J113" s="109"/>
      <c r="K113" s="94"/>
      <c r="L113" s="105">
        <v>20201118</v>
      </c>
      <c r="M113" s="114"/>
      <c r="N113" s="114"/>
      <c r="O113" s="114"/>
      <c r="P113" s="114"/>
    </row>
    <row r="114" s="113" customFormat="1" ht="16" customHeight="1" spans="1:16">
      <c r="A114" s="109">
        <v>112</v>
      </c>
      <c r="B114" s="5" t="s">
        <v>14875</v>
      </c>
      <c r="C114" s="51" t="s">
        <v>14992</v>
      </c>
      <c r="D114" s="118" t="s">
        <v>14993</v>
      </c>
      <c r="E114" s="109" t="s">
        <v>15</v>
      </c>
      <c r="F114" s="109">
        <v>2020</v>
      </c>
      <c r="G114" s="118" t="s">
        <v>14877</v>
      </c>
      <c r="H114" s="109">
        <v>200</v>
      </c>
      <c r="I114" s="6">
        <v>200</v>
      </c>
      <c r="J114" s="109"/>
      <c r="K114" s="94"/>
      <c r="L114" s="105">
        <v>20201118</v>
      </c>
      <c r="M114" s="114"/>
      <c r="N114" s="114"/>
      <c r="O114" s="114"/>
      <c r="P114" s="114"/>
    </row>
    <row r="115" s="113" customFormat="1" ht="16" customHeight="1" spans="1:16">
      <c r="A115" s="109">
        <v>113</v>
      </c>
      <c r="B115" s="5" t="s">
        <v>14875</v>
      </c>
      <c r="C115" s="51" t="s">
        <v>14994</v>
      </c>
      <c r="D115" s="118" t="str">
        <f>"152326196809197111"</f>
        <v>152326196809197111</v>
      </c>
      <c r="E115" s="109" t="s">
        <v>15</v>
      </c>
      <c r="F115" s="109">
        <v>2020</v>
      </c>
      <c r="G115" s="118" t="s">
        <v>14877</v>
      </c>
      <c r="H115" s="109">
        <v>200</v>
      </c>
      <c r="I115" s="6">
        <v>200</v>
      </c>
      <c r="J115" s="109"/>
      <c r="K115" s="94"/>
      <c r="L115" s="105">
        <v>20201118</v>
      </c>
      <c r="M115" s="114"/>
      <c r="N115" s="114"/>
      <c r="O115" s="114"/>
      <c r="P115" s="114"/>
    </row>
    <row r="116" s="113" customFormat="1" ht="16" customHeight="1" spans="1:16">
      <c r="A116" s="109">
        <v>114</v>
      </c>
      <c r="B116" s="5" t="s">
        <v>14875</v>
      </c>
      <c r="C116" s="51" t="s">
        <v>14995</v>
      </c>
      <c r="D116" s="118" t="str">
        <f>"152326196808077134"</f>
        <v>152326196808077134</v>
      </c>
      <c r="E116" s="109" t="s">
        <v>15</v>
      </c>
      <c r="F116" s="109">
        <v>2020</v>
      </c>
      <c r="G116" s="118" t="s">
        <v>14877</v>
      </c>
      <c r="H116" s="109">
        <v>200</v>
      </c>
      <c r="I116" s="6">
        <v>200</v>
      </c>
      <c r="J116" s="109"/>
      <c r="K116" s="94"/>
      <c r="L116" s="105">
        <v>20201118</v>
      </c>
      <c r="M116" s="114"/>
      <c r="N116" s="114"/>
      <c r="O116" s="114"/>
      <c r="P116" s="114"/>
    </row>
    <row r="117" s="113" customFormat="1" ht="16" customHeight="1" spans="1:16">
      <c r="A117" s="109">
        <v>115</v>
      </c>
      <c r="B117" s="5" t="s">
        <v>14875</v>
      </c>
      <c r="C117" s="51" t="s">
        <v>14996</v>
      </c>
      <c r="D117" s="118" t="str">
        <f>"152326196807067129"</f>
        <v>152326196807067129</v>
      </c>
      <c r="E117" s="109" t="s">
        <v>15</v>
      </c>
      <c r="F117" s="109">
        <v>2020</v>
      </c>
      <c r="G117" s="118" t="s">
        <v>14877</v>
      </c>
      <c r="H117" s="109">
        <v>500</v>
      </c>
      <c r="I117" s="6">
        <v>500</v>
      </c>
      <c r="J117" s="109"/>
      <c r="K117" s="94"/>
      <c r="L117" s="105">
        <v>20201118</v>
      </c>
      <c r="M117" s="114"/>
      <c r="N117" s="114"/>
      <c r="O117" s="114"/>
      <c r="P117" s="114"/>
    </row>
    <row r="118" s="113" customFormat="1" ht="16" customHeight="1" spans="1:16">
      <c r="A118" s="109">
        <v>116</v>
      </c>
      <c r="B118" s="5" t="s">
        <v>14875</v>
      </c>
      <c r="C118" s="51" t="s">
        <v>14997</v>
      </c>
      <c r="D118" s="118" t="str">
        <f>"152326196805097121"</f>
        <v>152326196805097121</v>
      </c>
      <c r="E118" s="109" t="s">
        <v>15</v>
      </c>
      <c r="F118" s="109">
        <v>2020</v>
      </c>
      <c r="G118" s="118" t="s">
        <v>14877</v>
      </c>
      <c r="H118" s="109">
        <v>200</v>
      </c>
      <c r="I118" s="6">
        <v>200</v>
      </c>
      <c r="J118" s="109"/>
      <c r="K118" s="94"/>
      <c r="L118" s="105">
        <v>20201118</v>
      </c>
      <c r="M118" s="114"/>
      <c r="N118" s="114"/>
      <c r="O118" s="114"/>
      <c r="P118" s="114"/>
    </row>
    <row r="119" s="113" customFormat="1" ht="16" customHeight="1" spans="1:16">
      <c r="A119" s="109">
        <v>117</v>
      </c>
      <c r="B119" s="5" t="s">
        <v>14875</v>
      </c>
      <c r="C119" s="51" t="s">
        <v>14998</v>
      </c>
      <c r="D119" s="118" t="str">
        <f>"152326196803147113"</f>
        <v>152326196803147113</v>
      </c>
      <c r="E119" s="109" t="s">
        <v>15</v>
      </c>
      <c r="F119" s="109">
        <v>2020</v>
      </c>
      <c r="G119" s="118" t="s">
        <v>14877</v>
      </c>
      <c r="H119" s="109">
        <v>200</v>
      </c>
      <c r="I119" s="6">
        <v>200</v>
      </c>
      <c r="J119" s="109"/>
      <c r="K119" s="94"/>
      <c r="L119" s="105">
        <v>20201118</v>
      </c>
      <c r="M119" s="114"/>
      <c r="N119" s="114"/>
      <c r="O119" s="114"/>
      <c r="P119" s="114"/>
    </row>
    <row r="120" s="113" customFormat="1" ht="16" customHeight="1" spans="1:16">
      <c r="A120" s="109">
        <v>118</v>
      </c>
      <c r="B120" s="5" t="s">
        <v>14875</v>
      </c>
      <c r="C120" s="51" t="s">
        <v>14999</v>
      </c>
      <c r="D120" s="118" t="str">
        <f>"152326196812127114"</f>
        <v>152326196812127114</v>
      </c>
      <c r="E120" s="109" t="s">
        <v>15</v>
      </c>
      <c r="F120" s="109">
        <v>2020</v>
      </c>
      <c r="G120" s="118" t="s">
        <v>14877</v>
      </c>
      <c r="H120" s="109">
        <v>200</v>
      </c>
      <c r="I120" s="6">
        <v>200</v>
      </c>
      <c r="J120" s="109"/>
      <c r="K120" s="94"/>
      <c r="L120" s="105">
        <v>20201118</v>
      </c>
      <c r="M120" s="114"/>
      <c r="N120" s="114"/>
      <c r="O120" s="114"/>
      <c r="P120" s="114"/>
    </row>
    <row r="121" s="113" customFormat="1" ht="16" customHeight="1" spans="1:16">
      <c r="A121" s="109">
        <v>119</v>
      </c>
      <c r="B121" s="5" t="s">
        <v>14875</v>
      </c>
      <c r="C121" s="51" t="s">
        <v>15000</v>
      </c>
      <c r="D121" s="118" t="s">
        <v>15001</v>
      </c>
      <c r="E121" s="109" t="s">
        <v>15</v>
      </c>
      <c r="F121" s="109">
        <v>2020</v>
      </c>
      <c r="G121" s="118" t="s">
        <v>14877</v>
      </c>
      <c r="H121" s="109">
        <v>200</v>
      </c>
      <c r="I121" s="6">
        <v>200</v>
      </c>
      <c r="J121" s="109" t="s">
        <v>5331</v>
      </c>
      <c r="K121" s="94"/>
      <c r="L121" s="105">
        <v>20201118</v>
      </c>
      <c r="M121" s="114"/>
      <c r="N121" s="114"/>
      <c r="O121" s="114"/>
      <c r="P121" s="114"/>
    </row>
    <row r="122" s="113" customFormat="1" ht="16" customHeight="1" spans="1:16">
      <c r="A122" s="109">
        <v>120</v>
      </c>
      <c r="B122" s="5" t="s">
        <v>14875</v>
      </c>
      <c r="C122" s="51" t="s">
        <v>15002</v>
      </c>
      <c r="D122" s="118" t="str">
        <f>"152326196710107147"</f>
        <v>152326196710107147</v>
      </c>
      <c r="E122" s="109" t="s">
        <v>15</v>
      </c>
      <c r="F122" s="109">
        <v>2020</v>
      </c>
      <c r="G122" s="118" t="s">
        <v>14877</v>
      </c>
      <c r="H122" s="109">
        <v>200</v>
      </c>
      <c r="I122" s="6">
        <v>200</v>
      </c>
      <c r="J122" s="109"/>
      <c r="K122" s="94"/>
      <c r="L122" s="105">
        <v>20201118</v>
      </c>
      <c r="M122" s="114"/>
      <c r="N122" s="114"/>
      <c r="O122" s="114"/>
      <c r="P122" s="114"/>
    </row>
    <row r="123" s="113" customFormat="1" ht="16" customHeight="1" spans="1:16">
      <c r="A123" s="109">
        <v>121</v>
      </c>
      <c r="B123" s="5" t="s">
        <v>14875</v>
      </c>
      <c r="C123" s="51" t="s">
        <v>15003</v>
      </c>
      <c r="D123" s="118" t="s">
        <v>15004</v>
      </c>
      <c r="E123" s="109" t="s">
        <v>15</v>
      </c>
      <c r="F123" s="109">
        <v>2020</v>
      </c>
      <c r="G123" s="118" t="s">
        <v>14877</v>
      </c>
      <c r="H123" s="109">
        <v>200</v>
      </c>
      <c r="I123" s="6">
        <v>200</v>
      </c>
      <c r="J123" s="109"/>
      <c r="K123" s="94"/>
      <c r="L123" s="105">
        <v>20201118</v>
      </c>
      <c r="M123" s="114"/>
      <c r="N123" s="114"/>
      <c r="O123" s="114"/>
      <c r="P123" s="114"/>
    </row>
    <row r="124" s="113" customFormat="1" ht="16" customHeight="1" spans="1:16">
      <c r="A124" s="109">
        <v>122</v>
      </c>
      <c r="B124" s="5" t="s">
        <v>14875</v>
      </c>
      <c r="C124" s="51" t="s">
        <v>15005</v>
      </c>
      <c r="D124" s="118" t="str">
        <f>"152326196603287111"</f>
        <v>152326196603287111</v>
      </c>
      <c r="E124" s="109" t="s">
        <v>15</v>
      </c>
      <c r="F124" s="109">
        <v>2020</v>
      </c>
      <c r="G124" s="118" t="s">
        <v>14877</v>
      </c>
      <c r="H124" s="109">
        <v>200</v>
      </c>
      <c r="I124" s="6">
        <v>200</v>
      </c>
      <c r="J124" s="109"/>
      <c r="K124" s="94"/>
      <c r="L124" s="105">
        <v>20201118</v>
      </c>
      <c r="M124" s="114"/>
      <c r="N124" s="114"/>
      <c r="O124" s="114"/>
      <c r="P124" s="114"/>
    </row>
    <row r="125" s="113" customFormat="1" ht="16" customHeight="1" spans="1:16">
      <c r="A125" s="109">
        <v>123</v>
      </c>
      <c r="B125" s="5" t="s">
        <v>14875</v>
      </c>
      <c r="C125" s="51" t="s">
        <v>15006</v>
      </c>
      <c r="D125" s="118" t="str">
        <f>"152326196605217125"</f>
        <v>152326196605217125</v>
      </c>
      <c r="E125" s="109" t="s">
        <v>15</v>
      </c>
      <c r="F125" s="109">
        <v>2020</v>
      </c>
      <c r="G125" s="118" t="s">
        <v>14877</v>
      </c>
      <c r="H125" s="109">
        <v>200</v>
      </c>
      <c r="I125" s="6">
        <v>200</v>
      </c>
      <c r="J125" s="109"/>
      <c r="K125" s="94"/>
      <c r="L125" s="105">
        <v>20201118</v>
      </c>
      <c r="M125" s="114"/>
      <c r="N125" s="114"/>
      <c r="O125" s="114"/>
      <c r="P125" s="114"/>
    </row>
    <row r="126" s="113" customFormat="1" ht="16" customHeight="1" spans="1:16">
      <c r="A126" s="109">
        <v>124</v>
      </c>
      <c r="B126" s="5" t="s">
        <v>14875</v>
      </c>
      <c r="C126" s="51" t="s">
        <v>15007</v>
      </c>
      <c r="D126" s="118" t="s">
        <v>15008</v>
      </c>
      <c r="E126" s="109" t="s">
        <v>15</v>
      </c>
      <c r="F126" s="109">
        <v>2020</v>
      </c>
      <c r="G126" s="118" t="s">
        <v>14877</v>
      </c>
      <c r="H126" s="109">
        <v>200</v>
      </c>
      <c r="I126" s="6">
        <v>200</v>
      </c>
      <c r="J126" s="109"/>
      <c r="K126" s="94"/>
      <c r="L126" s="105">
        <v>20201118</v>
      </c>
      <c r="M126" s="114"/>
      <c r="N126" s="114"/>
      <c r="O126" s="114"/>
      <c r="P126" s="114"/>
    </row>
    <row r="127" s="113" customFormat="1" ht="16" customHeight="1" spans="1:16">
      <c r="A127" s="109">
        <v>125</v>
      </c>
      <c r="B127" s="5" t="s">
        <v>14875</v>
      </c>
      <c r="C127" s="51" t="s">
        <v>15009</v>
      </c>
      <c r="D127" s="118" t="str">
        <f>"152326196608107140"</f>
        <v>152326196608107140</v>
      </c>
      <c r="E127" s="109" t="s">
        <v>15</v>
      </c>
      <c r="F127" s="109">
        <v>2020</v>
      </c>
      <c r="G127" s="118" t="s">
        <v>14877</v>
      </c>
      <c r="H127" s="109">
        <v>200</v>
      </c>
      <c r="I127" s="6">
        <v>200</v>
      </c>
      <c r="J127" s="109"/>
      <c r="K127" s="94"/>
      <c r="L127" s="105">
        <v>20201118</v>
      </c>
      <c r="M127" s="114"/>
      <c r="N127" s="114"/>
      <c r="O127" s="114"/>
      <c r="P127" s="114"/>
    </row>
    <row r="128" s="113" customFormat="1" ht="16" customHeight="1" spans="1:16">
      <c r="A128" s="109">
        <v>126</v>
      </c>
      <c r="B128" s="5" t="s">
        <v>14875</v>
      </c>
      <c r="C128" s="51" t="s">
        <v>15010</v>
      </c>
      <c r="D128" s="118" t="str">
        <f>"152326196609147128"</f>
        <v>152326196609147128</v>
      </c>
      <c r="E128" s="109" t="s">
        <v>15</v>
      </c>
      <c r="F128" s="109">
        <v>2020</v>
      </c>
      <c r="G128" s="118" t="s">
        <v>14877</v>
      </c>
      <c r="H128" s="109">
        <v>200</v>
      </c>
      <c r="I128" s="6">
        <v>200</v>
      </c>
      <c r="J128" s="109"/>
      <c r="K128" s="94"/>
      <c r="L128" s="105">
        <v>20201118</v>
      </c>
      <c r="M128" s="114"/>
      <c r="N128" s="114"/>
      <c r="O128" s="114"/>
      <c r="P128" s="114"/>
    </row>
    <row r="129" s="113" customFormat="1" ht="16" customHeight="1" spans="1:16">
      <c r="A129" s="109">
        <v>127</v>
      </c>
      <c r="B129" s="5" t="s">
        <v>14875</v>
      </c>
      <c r="C129" s="51" t="s">
        <v>15011</v>
      </c>
      <c r="D129" s="118" t="s">
        <v>15012</v>
      </c>
      <c r="E129" s="109" t="s">
        <v>15</v>
      </c>
      <c r="F129" s="109">
        <v>2020</v>
      </c>
      <c r="G129" s="118" t="s">
        <v>14877</v>
      </c>
      <c r="H129" s="109">
        <v>200</v>
      </c>
      <c r="I129" s="6">
        <v>200</v>
      </c>
      <c r="J129" s="109" t="s">
        <v>768</v>
      </c>
      <c r="K129" s="94"/>
      <c r="L129" s="105">
        <v>20201118</v>
      </c>
      <c r="M129" s="114"/>
      <c r="N129" s="114"/>
      <c r="O129" s="114"/>
      <c r="P129" s="114"/>
    </row>
    <row r="130" s="113" customFormat="1" ht="16" customHeight="1" spans="1:16">
      <c r="A130" s="109">
        <v>128</v>
      </c>
      <c r="B130" s="5" t="s">
        <v>14875</v>
      </c>
      <c r="C130" s="51" t="s">
        <v>15013</v>
      </c>
      <c r="D130" s="118" t="str">
        <f>"152326196611277140"</f>
        <v>152326196611277140</v>
      </c>
      <c r="E130" s="109" t="s">
        <v>15</v>
      </c>
      <c r="F130" s="109">
        <v>2020</v>
      </c>
      <c r="G130" s="118" t="s">
        <v>14877</v>
      </c>
      <c r="H130" s="109">
        <v>200</v>
      </c>
      <c r="I130" s="6">
        <v>200</v>
      </c>
      <c r="J130" s="109"/>
      <c r="K130" s="94"/>
      <c r="L130" s="105">
        <v>20201118</v>
      </c>
      <c r="M130" s="114"/>
      <c r="N130" s="114"/>
      <c r="O130" s="114"/>
      <c r="P130" s="114"/>
    </row>
    <row r="131" s="113" customFormat="1" ht="16" customHeight="1" spans="1:16">
      <c r="A131" s="109">
        <v>129</v>
      </c>
      <c r="B131" s="5" t="s">
        <v>14875</v>
      </c>
      <c r="C131" s="51" t="s">
        <v>15014</v>
      </c>
      <c r="D131" s="118" t="str">
        <f>"152326196611237114"</f>
        <v>152326196611237114</v>
      </c>
      <c r="E131" s="109" t="s">
        <v>15</v>
      </c>
      <c r="F131" s="109">
        <v>2020</v>
      </c>
      <c r="G131" s="118" t="s">
        <v>14877</v>
      </c>
      <c r="H131" s="109">
        <v>200</v>
      </c>
      <c r="I131" s="6">
        <v>200</v>
      </c>
      <c r="J131" s="109"/>
      <c r="K131" s="94"/>
      <c r="L131" s="105">
        <v>20201118</v>
      </c>
      <c r="M131" s="114"/>
      <c r="N131" s="114"/>
      <c r="O131" s="114"/>
      <c r="P131" s="114"/>
    </row>
    <row r="132" s="113" customFormat="1" ht="16" customHeight="1" spans="1:16">
      <c r="A132" s="109">
        <v>130</v>
      </c>
      <c r="B132" s="5" t="s">
        <v>14875</v>
      </c>
      <c r="C132" s="51" t="s">
        <v>5062</v>
      </c>
      <c r="D132" s="118" t="str">
        <f>"152326196610257113"</f>
        <v>152326196610257113</v>
      </c>
      <c r="E132" s="109" t="s">
        <v>15</v>
      </c>
      <c r="F132" s="109">
        <v>2020</v>
      </c>
      <c r="G132" s="118" t="s">
        <v>14877</v>
      </c>
      <c r="H132" s="109">
        <v>200</v>
      </c>
      <c r="I132" s="6">
        <v>200</v>
      </c>
      <c r="J132" s="109"/>
      <c r="K132" s="94"/>
      <c r="L132" s="105">
        <v>20201118</v>
      </c>
      <c r="M132" s="114"/>
      <c r="N132" s="114"/>
      <c r="O132" s="114"/>
      <c r="P132" s="114"/>
    </row>
    <row r="133" s="113" customFormat="1" ht="16" customHeight="1" spans="1:16">
      <c r="A133" s="109">
        <v>131</v>
      </c>
      <c r="B133" s="5" t="s">
        <v>14875</v>
      </c>
      <c r="C133" s="51" t="s">
        <v>15015</v>
      </c>
      <c r="D133" s="118" t="str">
        <f>"152326196611277124"</f>
        <v>152326196611277124</v>
      </c>
      <c r="E133" s="109" t="s">
        <v>15</v>
      </c>
      <c r="F133" s="109">
        <v>2020</v>
      </c>
      <c r="G133" s="118" t="s">
        <v>14877</v>
      </c>
      <c r="H133" s="109">
        <v>200</v>
      </c>
      <c r="I133" s="6">
        <v>200</v>
      </c>
      <c r="J133" s="109"/>
      <c r="K133" s="94"/>
      <c r="L133" s="105">
        <v>20201118</v>
      </c>
      <c r="M133" s="114"/>
      <c r="N133" s="114"/>
      <c r="O133" s="114"/>
      <c r="P133" s="114"/>
    </row>
    <row r="134" s="113" customFormat="1" ht="16" customHeight="1" spans="1:16">
      <c r="A134" s="109">
        <v>132</v>
      </c>
      <c r="B134" s="5" t="s">
        <v>14875</v>
      </c>
      <c r="C134" s="51" t="s">
        <v>15016</v>
      </c>
      <c r="D134" s="118" t="str">
        <f>"152326196503137124"</f>
        <v>152326196503137124</v>
      </c>
      <c r="E134" s="109" t="s">
        <v>15</v>
      </c>
      <c r="F134" s="109">
        <v>2020</v>
      </c>
      <c r="G134" s="118" t="s">
        <v>14877</v>
      </c>
      <c r="H134" s="109">
        <v>200</v>
      </c>
      <c r="I134" s="6">
        <v>200</v>
      </c>
      <c r="J134" s="109"/>
      <c r="K134" s="94"/>
      <c r="L134" s="105">
        <v>20201118</v>
      </c>
      <c r="M134" s="114"/>
      <c r="N134" s="114"/>
      <c r="O134" s="114"/>
      <c r="P134" s="114"/>
    </row>
    <row r="135" s="113" customFormat="1" ht="16" customHeight="1" spans="1:16">
      <c r="A135" s="109">
        <v>133</v>
      </c>
      <c r="B135" s="5" t="s">
        <v>14875</v>
      </c>
      <c r="C135" s="51" t="s">
        <v>15017</v>
      </c>
      <c r="D135" s="118" t="str">
        <f>"152326196509107129"</f>
        <v>152326196509107129</v>
      </c>
      <c r="E135" s="109" t="s">
        <v>15</v>
      </c>
      <c r="F135" s="109">
        <v>2020</v>
      </c>
      <c r="G135" s="118" t="s">
        <v>14877</v>
      </c>
      <c r="H135" s="109">
        <v>200</v>
      </c>
      <c r="I135" s="6">
        <v>200</v>
      </c>
      <c r="J135" s="109"/>
      <c r="K135" s="94"/>
      <c r="L135" s="105">
        <v>20201118</v>
      </c>
      <c r="M135" s="114"/>
      <c r="N135" s="114"/>
      <c r="O135" s="114"/>
      <c r="P135" s="114"/>
    </row>
    <row r="136" s="113" customFormat="1" ht="16" customHeight="1" spans="1:16">
      <c r="A136" s="109">
        <v>134</v>
      </c>
      <c r="B136" s="5" t="s">
        <v>14875</v>
      </c>
      <c r="C136" s="51" t="s">
        <v>15018</v>
      </c>
      <c r="D136" s="118" t="str">
        <f>"152326196507057121"</f>
        <v>152326196507057121</v>
      </c>
      <c r="E136" s="109" t="s">
        <v>15</v>
      </c>
      <c r="F136" s="109">
        <v>2020</v>
      </c>
      <c r="G136" s="118" t="s">
        <v>14877</v>
      </c>
      <c r="H136" s="109">
        <v>200</v>
      </c>
      <c r="I136" s="6">
        <v>200</v>
      </c>
      <c r="J136" s="109"/>
      <c r="K136" s="94"/>
      <c r="L136" s="105">
        <v>20201118</v>
      </c>
      <c r="M136" s="114"/>
      <c r="N136" s="114"/>
      <c r="O136" s="114"/>
      <c r="P136" s="114"/>
    </row>
    <row r="137" s="113" customFormat="1" ht="16" customHeight="1" spans="1:16">
      <c r="A137" s="109">
        <v>135</v>
      </c>
      <c r="B137" s="5" t="s">
        <v>14875</v>
      </c>
      <c r="C137" s="51" t="s">
        <v>15019</v>
      </c>
      <c r="D137" s="118" t="str">
        <f>"152326196508267112"</f>
        <v>152326196508267112</v>
      </c>
      <c r="E137" s="109" t="s">
        <v>15</v>
      </c>
      <c r="F137" s="109">
        <v>2020</v>
      </c>
      <c r="G137" s="118" t="s">
        <v>14877</v>
      </c>
      <c r="H137" s="109">
        <v>500</v>
      </c>
      <c r="I137" s="6">
        <v>500</v>
      </c>
      <c r="J137" s="109"/>
      <c r="K137" s="94"/>
      <c r="L137" s="105">
        <v>20201118</v>
      </c>
      <c r="M137" s="114"/>
      <c r="N137" s="114"/>
      <c r="O137" s="114"/>
      <c r="P137" s="114"/>
    </row>
    <row r="138" s="113" customFormat="1" ht="16" customHeight="1" spans="1:16">
      <c r="A138" s="109">
        <v>136</v>
      </c>
      <c r="B138" s="5" t="s">
        <v>14875</v>
      </c>
      <c r="C138" s="51" t="s">
        <v>15020</v>
      </c>
      <c r="D138" s="118" t="str">
        <f>"152326196501197115"</f>
        <v>152326196501197115</v>
      </c>
      <c r="E138" s="109" t="s">
        <v>15</v>
      </c>
      <c r="F138" s="109">
        <v>2020</v>
      </c>
      <c r="G138" s="118" t="s">
        <v>14877</v>
      </c>
      <c r="H138" s="109">
        <v>200</v>
      </c>
      <c r="I138" s="6">
        <v>200</v>
      </c>
      <c r="J138" s="109"/>
      <c r="K138" s="94"/>
      <c r="L138" s="105">
        <v>20201118</v>
      </c>
      <c r="M138" s="114"/>
      <c r="N138" s="114"/>
      <c r="O138" s="114"/>
      <c r="P138" s="114"/>
    </row>
    <row r="139" s="113" customFormat="1" ht="16" customHeight="1" spans="1:16">
      <c r="A139" s="109">
        <v>137</v>
      </c>
      <c r="B139" s="5" t="s">
        <v>14875</v>
      </c>
      <c r="C139" s="51" t="s">
        <v>15021</v>
      </c>
      <c r="D139" s="118" t="str">
        <f>"152326196507177115"</f>
        <v>152326196507177115</v>
      </c>
      <c r="E139" s="109" t="s">
        <v>15</v>
      </c>
      <c r="F139" s="109">
        <v>2020</v>
      </c>
      <c r="G139" s="118" t="s">
        <v>14877</v>
      </c>
      <c r="H139" s="109">
        <v>200</v>
      </c>
      <c r="I139" s="6">
        <v>200</v>
      </c>
      <c r="J139" s="109"/>
      <c r="K139" s="94"/>
      <c r="L139" s="105">
        <v>20201118</v>
      </c>
      <c r="M139" s="114"/>
      <c r="N139" s="114"/>
      <c r="O139" s="114"/>
      <c r="P139" s="114"/>
    </row>
    <row r="140" s="113" customFormat="1" ht="16" customHeight="1" spans="1:16">
      <c r="A140" s="109">
        <v>138</v>
      </c>
      <c r="B140" s="5" t="s">
        <v>14875</v>
      </c>
      <c r="C140" s="51" t="s">
        <v>15022</v>
      </c>
      <c r="D140" s="118" t="str">
        <f>"152326196512037125"</f>
        <v>152326196512037125</v>
      </c>
      <c r="E140" s="109" t="s">
        <v>15</v>
      </c>
      <c r="F140" s="109">
        <v>2020</v>
      </c>
      <c r="G140" s="118" t="s">
        <v>14877</v>
      </c>
      <c r="H140" s="109">
        <v>200</v>
      </c>
      <c r="I140" s="6">
        <v>200</v>
      </c>
      <c r="J140" s="109"/>
      <c r="K140" s="94"/>
      <c r="L140" s="105">
        <v>20201118</v>
      </c>
      <c r="M140" s="114"/>
      <c r="N140" s="114"/>
      <c r="O140" s="114"/>
      <c r="P140" s="114"/>
    </row>
    <row r="141" s="113" customFormat="1" ht="16" customHeight="1" spans="1:16">
      <c r="A141" s="109">
        <v>139</v>
      </c>
      <c r="B141" s="5" t="s">
        <v>14875</v>
      </c>
      <c r="C141" s="51" t="s">
        <v>15023</v>
      </c>
      <c r="D141" s="118" t="str">
        <f>"152326196410257119"</f>
        <v>152326196410257119</v>
      </c>
      <c r="E141" s="109" t="s">
        <v>15</v>
      </c>
      <c r="F141" s="109">
        <v>2020</v>
      </c>
      <c r="G141" s="118" t="s">
        <v>14877</v>
      </c>
      <c r="H141" s="109">
        <v>200</v>
      </c>
      <c r="I141" s="6">
        <v>200</v>
      </c>
      <c r="J141" s="109"/>
      <c r="K141" s="94"/>
      <c r="L141" s="105">
        <v>20201118</v>
      </c>
      <c r="M141" s="114"/>
      <c r="N141" s="114"/>
      <c r="O141" s="114"/>
      <c r="P141" s="114"/>
    </row>
    <row r="142" s="113" customFormat="1" ht="16" customHeight="1" spans="1:16">
      <c r="A142" s="109">
        <v>140</v>
      </c>
      <c r="B142" s="5" t="s">
        <v>14875</v>
      </c>
      <c r="C142" s="51" t="s">
        <v>15024</v>
      </c>
      <c r="D142" s="118" t="str">
        <f>"152326196411277111"</f>
        <v>152326196411277111</v>
      </c>
      <c r="E142" s="109" t="s">
        <v>15</v>
      </c>
      <c r="F142" s="109">
        <v>2020</v>
      </c>
      <c r="G142" s="118" t="s">
        <v>14877</v>
      </c>
      <c r="H142" s="109">
        <v>200</v>
      </c>
      <c r="I142" s="6">
        <v>200</v>
      </c>
      <c r="J142" s="109"/>
      <c r="K142" s="94"/>
      <c r="L142" s="105">
        <v>20201118</v>
      </c>
      <c r="M142" s="114"/>
      <c r="N142" s="114"/>
      <c r="O142" s="114"/>
      <c r="P142" s="114"/>
    </row>
    <row r="143" s="113" customFormat="1" ht="16" customHeight="1" spans="1:16">
      <c r="A143" s="109">
        <v>141</v>
      </c>
      <c r="B143" s="5" t="s">
        <v>14875</v>
      </c>
      <c r="C143" s="51" t="s">
        <v>15025</v>
      </c>
      <c r="D143" s="118" t="str">
        <f>"152326196409157110"</f>
        <v>152326196409157110</v>
      </c>
      <c r="E143" s="109" t="s">
        <v>15</v>
      </c>
      <c r="F143" s="109">
        <v>2020</v>
      </c>
      <c r="G143" s="118" t="s">
        <v>14877</v>
      </c>
      <c r="H143" s="109">
        <v>200</v>
      </c>
      <c r="I143" s="6">
        <v>200</v>
      </c>
      <c r="J143" s="109"/>
      <c r="K143" s="94"/>
      <c r="L143" s="105">
        <v>20201118</v>
      </c>
      <c r="M143" s="114"/>
      <c r="N143" s="114"/>
      <c r="O143" s="114"/>
      <c r="P143" s="114"/>
    </row>
    <row r="144" s="113" customFormat="1" ht="16" customHeight="1" spans="1:16">
      <c r="A144" s="109">
        <v>142</v>
      </c>
      <c r="B144" s="5" t="s">
        <v>14875</v>
      </c>
      <c r="C144" s="51" t="s">
        <v>15026</v>
      </c>
      <c r="D144" s="118" t="str">
        <f>"152326196403037142"</f>
        <v>152326196403037142</v>
      </c>
      <c r="E144" s="109" t="s">
        <v>15</v>
      </c>
      <c r="F144" s="109">
        <v>2020</v>
      </c>
      <c r="G144" s="118" t="s">
        <v>14877</v>
      </c>
      <c r="H144" s="109">
        <v>200</v>
      </c>
      <c r="I144" s="6">
        <v>200</v>
      </c>
      <c r="J144" s="109"/>
      <c r="K144" s="94"/>
      <c r="L144" s="105">
        <v>20201118</v>
      </c>
      <c r="M144" s="114"/>
      <c r="N144" s="114"/>
      <c r="O144" s="114"/>
      <c r="P144" s="114"/>
    </row>
    <row r="145" s="113" customFormat="1" ht="16" customHeight="1" spans="1:16">
      <c r="A145" s="109">
        <v>143</v>
      </c>
      <c r="B145" s="5" t="s">
        <v>14875</v>
      </c>
      <c r="C145" s="51" t="s">
        <v>15027</v>
      </c>
      <c r="D145" s="118" t="str">
        <f>"152326196401037130"</f>
        <v>152326196401037130</v>
      </c>
      <c r="E145" s="109" t="s">
        <v>15</v>
      </c>
      <c r="F145" s="109">
        <v>2020</v>
      </c>
      <c r="G145" s="118" t="s">
        <v>14877</v>
      </c>
      <c r="H145" s="109">
        <v>200</v>
      </c>
      <c r="I145" s="6">
        <v>200</v>
      </c>
      <c r="J145" s="109"/>
      <c r="K145" s="94"/>
      <c r="L145" s="105">
        <v>20201118</v>
      </c>
      <c r="M145" s="114"/>
      <c r="N145" s="114"/>
      <c r="O145" s="114"/>
      <c r="P145" s="114"/>
    </row>
    <row r="146" s="113" customFormat="1" ht="16" customHeight="1" spans="1:16">
      <c r="A146" s="109">
        <v>144</v>
      </c>
      <c r="B146" s="5" t="s">
        <v>14875</v>
      </c>
      <c r="C146" s="51" t="s">
        <v>15028</v>
      </c>
      <c r="D146" s="118" t="str">
        <f>"152326196410027110"</f>
        <v>152326196410027110</v>
      </c>
      <c r="E146" s="109" t="s">
        <v>15</v>
      </c>
      <c r="F146" s="109">
        <v>2020</v>
      </c>
      <c r="G146" s="118" t="s">
        <v>14877</v>
      </c>
      <c r="H146" s="109">
        <v>200</v>
      </c>
      <c r="I146" s="6">
        <v>200</v>
      </c>
      <c r="J146" s="109"/>
      <c r="K146" s="94"/>
      <c r="L146" s="105">
        <v>20201118</v>
      </c>
      <c r="M146" s="114"/>
      <c r="N146" s="114"/>
      <c r="O146" s="114"/>
      <c r="P146" s="114"/>
    </row>
    <row r="147" s="113" customFormat="1" ht="16" customHeight="1" spans="1:16">
      <c r="A147" s="109">
        <v>145</v>
      </c>
      <c r="B147" s="5" t="s">
        <v>14875</v>
      </c>
      <c r="C147" s="51" t="s">
        <v>15029</v>
      </c>
      <c r="D147" s="118" t="s">
        <v>15030</v>
      </c>
      <c r="E147" s="109" t="s">
        <v>15</v>
      </c>
      <c r="F147" s="109">
        <v>2020</v>
      </c>
      <c r="G147" s="118" t="s">
        <v>14877</v>
      </c>
      <c r="H147" s="109">
        <v>200</v>
      </c>
      <c r="I147" s="6">
        <v>200</v>
      </c>
      <c r="J147" s="109" t="s">
        <v>768</v>
      </c>
      <c r="K147" s="94"/>
      <c r="L147" s="105">
        <v>20201118</v>
      </c>
      <c r="M147" s="114"/>
      <c r="N147" s="114"/>
      <c r="O147" s="114"/>
      <c r="P147" s="114"/>
    </row>
    <row r="148" s="113" customFormat="1" ht="16" customHeight="1" spans="1:16">
      <c r="A148" s="109">
        <v>146</v>
      </c>
      <c r="B148" s="5" t="s">
        <v>14875</v>
      </c>
      <c r="C148" s="51" t="s">
        <v>15031</v>
      </c>
      <c r="D148" s="118" t="str">
        <f>"152326196304147135"</f>
        <v>152326196304147135</v>
      </c>
      <c r="E148" s="109" t="s">
        <v>15</v>
      </c>
      <c r="F148" s="109">
        <v>2020</v>
      </c>
      <c r="G148" s="118" t="s">
        <v>14877</v>
      </c>
      <c r="H148" s="109">
        <v>200</v>
      </c>
      <c r="I148" s="6">
        <v>200</v>
      </c>
      <c r="J148" s="109"/>
      <c r="K148" s="94"/>
      <c r="L148" s="105">
        <v>20201118</v>
      </c>
      <c r="M148" s="114"/>
      <c r="N148" s="114"/>
      <c r="O148" s="114"/>
      <c r="P148" s="114"/>
    </row>
    <row r="149" s="113" customFormat="1" ht="16" customHeight="1" spans="1:16">
      <c r="A149" s="109">
        <v>147</v>
      </c>
      <c r="B149" s="5" t="s">
        <v>14875</v>
      </c>
      <c r="C149" s="51" t="s">
        <v>15032</v>
      </c>
      <c r="D149" s="118" t="str">
        <f>"152326196309207125"</f>
        <v>152326196309207125</v>
      </c>
      <c r="E149" s="109" t="s">
        <v>15</v>
      </c>
      <c r="F149" s="109">
        <v>2020</v>
      </c>
      <c r="G149" s="118" t="s">
        <v>14877</v>
      </c>
      <c r="H149" s="109">
        <v>200</v>
      </c>
      <c r="I149" s="6">
        <v>200</v>
      </c>
      <c r="J149" s="109"/>
      <c r="K149" s="94"/>
      <c r="L149" s="105">
        <v>20201118</v>
      </c>
      <c r="M149" s="114"/>
      <c r="N149" s="114"/>
      <c r="O149" s="114"/>
      <c r="P149" s="114"/>
    </row>
    <row r="150" s="113" customFormat="1" ht="16" customHeight="1" spans="1:16">
      <c r="A150" s="109">
        <v>148</v>
      </c>
      <c r="B150" s="5" t="s">
        <v>14875</v>
      </c>
      <c r="C150" s="51" t="s">
        <v>15033</v>
      </c>
      <c r="D150" s="118" t="str">
        <f>"152326196301247114"</f>
        <v>152326196301247114</v>
      </c>
      <c r="E150" s="109" t="s">
        <v>15</v>
      </c>
      <c r="F150" s="109">
        <v>2020</v>
      </c>
      <c r="G150" s="118" t="s">
        <v>14877</v>
      </c>
      <c r="H150" s="109">
        <v>200</v>
      </c>
      <c r="I150" s="6">
        <v>200</v>
      </c>
      <c r="J150" s="109"/>
      <c r="K150" s="94"/>
      <c r="L150" s="105">
        <v>20201118</v>
      </c>
      <c r="M150" s="114"/>
      <c r="N150" s="114"/>
      <c r="O150" s="114"/>
      <c r="P150" s="114"/>
    </row>
    <row r="151" s="113" customFormat="1" ht="16" customHeight="1" spans="1:16">
      <c r="A151" s="109">
        <v>149</v>
      </c>
      <c r="B151" s="5" t="s">
        <v>14875</v>
      </c>
      <c r="C151" s="51" t="s">
        <v>15034</v>
      </c>
      <c r="D151" s="118" t="s">
        <v>15035</v>
      </c>
      <c r="E151" s="109" t="s">
        <v>15</v>
      </c>
      <c r="F151" s="109">
        <v>2020</v>
      </c>
      <c r="G151" s="118" t="s">
        <v>14877</v>
      </c>
      <c r="H151" s="109">
        <v>200</v>
      </c>
      <c r="I151" s="6">
        <v>200</v>
      </c>
      <c r="J151" s="109" t="s">
        <v>5331</v>
      </c>
      <c r="K151" s="94"/>
      <c r="L151" s="105">
        <v>20201118</v>
      </c>
      <c r="M151" s="114"/>
      <c r="N151" s="114"/>
      <c r="O151" s="114"/>
      <c r="P151" s="114"/>
    </row>
    <row r="152" s="113" customFormat="1" ht="16" customHeight="1" spans="1:16">
      <c r="A152" s="109">
        <v>150</v>
      </c>
      <c r="B152" s="5" t="s">
        <v>14875</v>
      </c>
      <c r="C152" s="51" t="s">
        <v>803</v>
      </c>
      <c r="D152" s="118" t="str">
        <f>"152326196207177113"</f>
        <v>152326196207177113</v>
      </c>
      <c r="E152" s="109" t="s">
        <v>15</v>
      </c>
      <c r="F152" s="109">
        <v>2020</v>
      </c>
      <c r="G152" s="118" t="s">
        <v>14877</v>
      </c>
      <c r="H152" s="109">
        <v>200</v>
      </c>
      <c r="I152" s="6">
        <v>200</v>
      </c>
      <c r="J152" s="109"/>
      <c r="K152" s="94"/>
      <c r="L152" s="105">
        <v>20201118</v>
      </c>
      <c r="M152" s="114"/>
      <c r="N152" s="114"/>
      <c r="O152" s="114"/>
      <c r="P152" s="114"/>
    </row>
    <row r="153" s="113" customFormat="1" ht="16" customHeight="1" spans="1:16">
      <c r="A153" s="109">
        <v>151</v>
      </c>
      <c r="B153" s="5" t="s">
        <v>14875</v>
      </c>
      <c r="C153" s="51" t="s">
        <v>15036</v>
      </c>
      <c r="D153" s="118" t="str">
        <f>"152326196202277131"</f>
        <v>152326196202277131</v>
      </c>
      <c r="E153" s="109" t="s">
        <v>15</v>
      </c>
      <c r="F153" s="109">
        <v>2020</v>
      </c>
      <c r="G153" s="118" t="s">
        <v>14877</v>
      </c>
      <c r="H153" s="109">
        <v>200</v>
      </c>
      <c r="I153" s="6">
        <v>200</v>
      </c>
      <c r="J153" s="109"/>
      <c r="K153" s="94"/>
      <c r="L153" s="105">
        <v>20201118</v>
      </c>
      <c r="M153" s="114"/>
      <c r="N153" s="114"/>
      <c r="O153" s="114"/>
      <c r="P153" s="114"/>
    </row>
    <row r="154" s="113" customFormat="1" ht="16" customHeight="1" spans="1:16">
      <c r="A154" s="109">
        <v>152</v>
      </c>
      <c r="B154" s="5" t="s">
        <v>14875</v>
      </c>
      <c r="C154" s="51" t="s">
        <v>15037</v>
      </c>
      <c r="D154" s="118" t="s">
        <v>15038</v>
      </c>
      <c r="E154" s="109" t="s">
        <v>15</v>
      </c>
      <c r="F154" s="109">
        <v>2020</v>
      </c>
      <c r="G154" s="118" t="s">
        <v>14877</v>
      </c>
      <c r="H154" s="109">
        <v>200</v>
      </c>
      <c r="I154" s="6">
        <v>200</v>
      </c>
      <c r="J154" s="109" t="s">
        <v>108</v>
      </c>
      <c r="K154" s="94"/>
      <c r="L154" s="105">
        <v>20201118</v>
      </c>
      <c r="M154" s="114"/>
      <c r="N154" s="114"/>
      <c r="O154" s="114"/>
      <c r="P154" s="114"/>
    </row>
    <row r="155" s="113" customFormat="1" ht="16" customHeight="1" spans="1:16">
      <c r="A155" s="109">
        <v>153</v>
      </c>
      <c r="B155" s="5" t="s">
        <v>14875</v>
      </c>
      <c r="C155" s="51" t="s">
        <v>15039</v>
      </c>
      <c r="D155" s="118" t="str">
        <f>"152326196206197120"</f>
        <v>152326196206197120</v>
      </c>
      <c r="E155" s="109" t="s">
        <v>15</v>
      </c>
      <c r="F155" s="109">
        <v>2020</v>
      </c>
      <c r="G155" s="118" t="s">
        <v>14877</v>
      </c>
      <c r="H155" s="109">
        <v>200</v>
      </c>
      <c r="I155" s="6">
        <v>200</v>
      </c>
      <c r="J155" s="109"/>
      <c r="K155" s="94"/>
      <c r="L155" s="105">
        <v>20201118</v>
      </c>
      <c r="M155" s="114"/>
      <c r="N155" s="114"/>
      <c r="O155" s="114"/>
      <c r="P155" s="114"/>
    </row>
    <row r="156" s="113" customFormat="1" ht="16" customHeight="1" spans="1:16">
      <c r="A156" s="109">
        <v>154</v>
      </c>
      <c r="B156" s="5" t="s">
        <v>14875</v>
      </c>
      <c r="C156" s="51" t="s">
        <v>9792</v>
      </c>
      <c r="D156" s="118" t="str">
        <f>"152326196112177129"</f>
        <v>152326196112177129</v>
      </c>
      <c r="E156" s="109" t="s">
        <v>15</v>
      </c>
      <c r="F156" s="109">
        <v>2020</v>
      </c>
      <c r="G156" s="118" t="s">
        <v>14877</v>
      </c>
      <c r="H156" s="109">
        <v>200</v>
      </c>
      <c r="I156" s="6">
        <v>200</v>
      </c>
      <c r="J156" s="109"/>
      <c r="K156" s="94"/>
      <c r="L156" s="105">
        <v>20201118</v>
      </c>
      <c r="M156" s="114"/>
      <c r="N156" s="114"/>
      <c r="O156" s="114"/>
      <c r="P156" s="114"/>
    </row>
    <row r="157" s="113" customFormat="1" ht="16" customHeight="1" spans="1:16">
      <c r="A157" s="109">
        <v>155</v>
      </c>
      <c r="B157" s="5" t="s">
        <v>14875</v>
      </c>
      <c r="C157" s="51" t="s">
        <v>15040</v>
      </c>
      <c r="D157" s="118" t="str">
        <f>"152326196105127123"</f>
        <v>152326196105127123</v>
      </c>
      <c r="E157" s="109" t="s">
        <v>15</v>
      </c>
      <c r="F157" s="109">
        <v>2020</v>
      </c>
      <c r="G157" s="118" t="s">
        <v>14877</v>
      </c>
      <c r="H157" s="109">
        <v>200</v>
      </c>
      <c r="I157" s="6">
        <v>200</v>
      </c>
      <c r="J157" s="109"/>
      <c r="K157" s="94"/>
      <c r="L157" s="105">
        <v>20201118</v>
      </c>
      <c r="M157" s="114"/>
      <c r="N157" s="114"/>
      <c r="O157" s="114"/>
      <c r="P157" s="114"/>
    </row>
    <row r="158" s="113" customFormat="1" ht="16" customHeight="1" spans="1:16">
      <c r="A158" s="109">
        <v>156</v>
      </c>
      <c r="B158" s="5" t="s">
        <v>14875</v>
      </c>
      <c r="C158" s="51" t="s">
        <v>15041</v>
      </c>
      <c r="D158" s="118" t="str">
        <f>"152326196111277128"</f>
        <v>152326196111277128</v>
      </c>
      <c r="E158" s="109" t="s">
        <v>15</v>
      </c>
      <c r="F158" s="109">
        <v>2020</v>
      </c>
      <c r="G158" s="118" t="s">
        <v>14877</v>
      </c>
      <c r="H158" s="109">
        <v>200</v>
      </c>
      <c r="I158" s="6">
        <v>200</v>
      </c>
      <c r="J158" s="109"/>
      <c r="K158" s="94"/>
      <c r="L158" s="105">
        <v>20201118</v>
      </c>
      <c r="M158" s="114"/>
      <c r="N158" s="114"/>
      <c r="O158" s="114"/>
      <c r="P158" s="114"/>
    </row>
    <row r="159" s="113" customFormat="1" ht="16" customHeight="1" spans="1:16">
      <c r="A159" s="109">
        <v>157</v>
      </c>
      <c r="B159" s="5" t="s">
        <v>14875</v>
      </c>
      <c r="C159" s="51" t="s">
        <v>15042</v>
      </c>
      <c r="D159" s="118" t="str">
        <f>"152326196104187124"</f>
        <v>152326196104187124</v>
      </c>
      <c r="E159" s="109" t="s">
        <v>15</v>
      </c>
      <c r="F159" s="109">
        <v>2020</v>
      </c>
      <c r="G159" s="118" t="s">
        <v>14877</v>
      </c>
      <c r="H159" s="109">
        <v>200</v>
      </c>
      <c r="I159" s="6">
        <v>200</v>
      </c>
      <c r="J159" s="109"/>
      <c r="K159" s="94"/>
      <c r="L159" s="105">
        <v>20201118</v>
      </c>
      <c r="M159" s="114"/>
      <c r="N159" s="114"/>
      <c r="O159" s="114"/>
      <c r="P159" s="114"/>
    </row>
    <row r="160" s="113" customFormat="1" ht="16" customHeight="1" spans="1:16">
      <c r="A160" s="109">
        <v>158</v>
      </c>
      <c r="B160" s="5" t="s">
        <v>14875</v>
      </c>
      <c r="C160" s="6" t="s">
        <v>15043</v>
      </c>
      <c r="D160" s="109" t="s">
        <v>15044</v>
      </c>
      <c r="E160" s="109" t="s">
        <v>15</v>
      </c>
      <c r="F160" s="109">
        <v>2020</v>
      </c>
      <c r="G160" s="118" t="s">
        <v>14877</v>
      </c>
      <c r="H160" s="109">
        <v>200</v>
      </c>
      <c r="I160" s="6">
        <v>200</v>
      </c>
      <c r="J160" s="109"/>
      <c r="K160" s="94"/>
      <c r="L160" s="105">
        <v>20201118</v>
      </c>
      <c r="M160" s="114"/>
      <c r="N160" s="114"/>
      <c r="O160" s="114"/>
      <c r="P160" s="114"/>
    </row>
    <row r="161" s="113" customFormat="1" ht="16" customHeight="1" spans="1:16">
      <c r="A161" s="109">
        <v>159</v>
      </c>
      <c r="B161" s="5" t="s">
        <v>14875</v>
      </c>
      <c r="C161" s="119" t="s">
        <v>15045</v>
      </c>
      <c r="D161" s="120" t="s">
        <v>15046</v>
      </c>
      <c r="E161" s="109" t="s">
        <v>15</v>
      </c>
      <c r="F161" s="109">
        <v>2020</v>
      </c>
      <c r="G161" s="118" t="s">
        <v>14877</v>
      </c>
      <c r="H161" s="109">
        <v>200</v>
      </c>
      <c r="I161" s="6">
        <v>200</v>
      </c>
      <c r="J161" s="109"/>
      <c r="K161" s="94"/>
      <c r="L161" s="105">
        <v>20201118</v>
      </c>
      <c r="M161" s="126" t="s">
        <v>15047</v>
      </c>
      <c r="N161"/>
      <c r="O161"/>
      <c r="P161"/>
    </row>
    <row r="162" s="113" customFormat="1" ht="16" customHeight="1" spans="1:16">
      <c r="A162" s="109">
        <v>160</v>
      </c>
      <c r="B162" s="5" t="s">
        <v>14875</v>
      </c>
      <c r="C162" s="5" t="s">
        <v>15048</v>
      </c>
      <c r="D162" s="121" t="s">
        <v>15049</v>
      </c>
      <c r="E162" s="109" t="s">
        <v>15</v>
      </c>
      <c r="F162" s="109">
        <v>2020</v>
      </c>
      <c r="G162" s="118" t="s">
        <v>14877</v>
      </c>
      <c r="H162" s="109">
        <v>200</v>
      </c>
      <c r="I162" s="6">
        <v>200</v>
      </c>
      <c r="J162" s="109"/>
      <c r="K162" s="94"/>
      <c r="L162" s="105">
        <v>20201118</v>
      </c>
      <c r="M162" s="114"/>
      <c r="N162" s="114"/>
      <c r="O162" s="114"/>
      <c r="P162" s="114"/>
    </row>
    <row r="163" s="113" customFormat="1" ht="16" customHeight="1" spans="1:16">
      <c r="A163" s="109">
        <v>161</v>
      </c>
      <c r="B163" s="5" t="s">
        <v>14875</v>
      </c>
      <c r="C163" s="5" t="s">
        <v>15050</v>
      </c>
      <c r="D163" s="121" t="s">
        <v>15051</v>
      </c>
      <c r="E163" s="109" t="s">
        <v>15</v>
      </c>
      <c r="F163" s="109">
        <v>2020</v>
      </c>
      <c r="G163" s="118" t="s">
        <v>14877</v>
      </c>
      <c r="H163" s="109">
        <v>200</v>
      </c>
      <c r="I163" s="6">
        <v>200</v>
      </c>
      <c r="J163" s="109"/>
      <c r="K163" s="94"/>
      <c r="L163" s="105">
        <v>20201118</v>
      </c>
      <c r="M163" s="114"/>
      <c r="N163" s="114"/>
      <c r="O163" s="114"/>
      <c r="P163" s="114"/>
    </row>
    <row r="164" s="113" customFormat="1" ht="16" customHeight="1" spans="1:16">
      <c r="A164" s="109">
        <v>162</v>
      </c>
      <c r="B164" s="5" t="s">
        <v>14875</v>
      </c>
      <c r="C164" s="6" t="s">
        <v>15052</v>
      </c>
      <c r="D164" s="109" t="str">
        <f>"152326198108277118"</f>
        <v>152326198108277118</v>
      </c>
      <c r="E164" s="109" t="s">
        <v>15</v>
      </c>
      <c r="F164" s="109">
        <v>2020</v>
      </c>
      <c r="G164" s="118" t="s">
        <v>14877</v>
      </c>
      <c r="H164" s="109">
        <v>200</v>
      </c>
      <c r="I164" s="6">
        <v>200</v>
      </c>
      <c r="J164" s="109"/>
      <c r="K164" s="94"/>
      <c r="L164" s="105">
        <v>20201118</v>
      </c>
      <c r="M164" s="114"/>
      <c r="N164" s="114"/>
      <c r="O164" s="114"/>
      <c r="P164" s="114"/>
    </row>
    <row r="165" s="113" customFormat="1" ht="16" customHeight="1" spans="1:16">
      <c r="A165" s="109">
        <v>163</v>
      </c>
      <c r="B165" s="5" t="s">
        <v>14875</v>
      </c>
      <c r="C165" s="6" t="s">
        <v>15053</v>
      </c>
      <c r="D165" s="109" t="str">
        <f>"152326198103086865"</f>
        <v>152326198103086865</v>
      </c>
      <c r="E165" s="109" t="s">
        <v>15</v>
      </c>
      <c r="F165" s="109">
        <v>2020</v>
      </c>
      <c r="G165" s="118" t="s">
        <v>14877</v>
      </c>
      <c r="H165" s="109">
        <v>200</v>
      </c>
      <c r="I165" s="6">
        <v>200</v>
      </c>
      <c r="J165" s="109"/>
      <c r="K165" s="94"/>
      <c r="L165" s="105">
        <v>20201118</v>
      </c>
      <c r="M165" s="114"/>
      <c r="N165" s="114"/>
      <c r="O165" s="114"/>
      <c r="P165" s="114"/>
    </row>
    <row r="166" s="113" customFormat="1" ht="16" customHeight="1" spans="1:16">
      <c r="A166" s="109">
        <v>164</v>
      </c>
      <c r="B166" s="5" t="s">
        <v>14875</v>
      </c>
      <c r="C166" s="6" t="s">
        <v>15054</v>
      </c>
      <c r="D166" s="109" t="str">
        <f>"152326197407287119"</f>
        <v>152326197407287119</v>
      </c>
      <c r="E166" s="109" t="s">
        <v>15</v>
      </c>
      <c r="F166" s="109">
        <v>2020</v>
      </c>
      <c r="G166" s="118" t="s">
        <v>14877</v>
      </c>
      <c r="H166" s="109">
        <v>200</v>
      </c>
      <c r="I166" s="6">
        <v>200</v>
      </c>
      <c r="J166" s="109"/>
      <c r="K166" s="94"/>
      <c r="L166" s="105">
        <v>20201118</v>
      </c>
      <c r="M166" s="114"/>
      <c r="N166" s="114"/>
      <c r="O166" s="114"/>
      <c r="P166" s="114"/>
    </row>
    <row r="167" s="113" customFormat="1" ht="16" customHeight="1" spans="1:16">
      <c r="A167" s="109">
        <v>165</v>
      </c>
      <c r="B167" s="5" t="s">
        <v>14875</v>
      </c>
      <c r="C167" s="70" t="s">
        <v>4786</v>
      </c>
      <c r="D167" s="120" t="s">
        <v>15055</v>
      </c>
      <c r="E167" s="109" t="s">
        <v>15</v>
      </c>
      <c r="F167" s="109">
        <v>2020</v>
      </c>
      <c r="G167" s="118" t="s">
        <v>14877</v>
      </c>
      <c r="H167" s="109">
        <v>200</v>
      </c>
      <c r="I167" s="6">
        <v>200</v>
      </c>
      <c r="J167" s="109"/>
      <c r="K167" s="94"/>
      <c r="L167" s="105">
        <v>20201118</v>
      </c>
      <c r="M167" s="114"/>
      <c r="N167" s="114"/>
      <c r="O167" s="114"/>
      <c r="P167" s="114"/>
    </row>
    <row r="168" s="113" customFormat="1" ht="16" customHeight="1" spans="1:16">
      <c r="A168" s="109">
        <v>166</v>
      </c>
      <c r="B168" s="5" t="s">
        <v>14875</v>
      </c>
      <c r="C168" s="70" t="s">
        <v>15056</v>
      </c>
      <c r="D168" s="120" t="s">
        <v>15057</v>
      </c>
      <c r="E168" s="109" t="s">
        <v>15</v>
      </c>
      <c r="F168" s="109">
        <v>2020</v>
      </c>
      <c r="G168" s="118" t="s">
        <v>14877</v>
      </c>
      <c r="H168" s="109">
        <v>200</v>
      </c>
      <c r="I168" s="6">
        <v>200</v>
      </c>
      <c r="J168" s="109"/>
      <c r="K168" s="94"/>
      <c r="L168" s="105">
        <v>20201118</v>
      </c>
      <c r="M168" s="114"/>
      <c r="N168" s="114"/>
      <c r="O168" s="114"/>
      <c r="P168" s="114"/>
    </row>
    <row r="169" s="113" customFormat="1" ht="16" customHeight="1" spans="1:16">
      <c r="A169" s="109">
        <v>167</v>
      </c>
      <c r="B169" s="5" t="s">
        <v>14875</v>
      </c>
      <c r="C169" s="6" t="s">
        <v>15058</v>
      </c>
      <c r="D169" s="109" t="str">
        <f>"152326197707287110"</f>
        <v>152326197707287110</v>
      </c>
      <c r="E169" s="109" t="s">
        <v>15</v>
      </c>
      <c r="F169" s="109">
        <v>2020</v>
      </c>
      <c r="G169" s="118" t="s">
        <v>14877</v>
      </c>
      <c r="H169" s="109">
        <v>200</v>
      </c>
      <c r="I169" s="6">
        <v>200</v>
      </c>
      <c r="J169" s="109"/>
      <c r="K169" s="94"/>
      <c r="L169" s="105">
        <v>20201118</v>
      </c>
      <c r="M169" s="114"/>
      <c r="N169" s="114"/>
      <c r="O169" s="114"/>
      <c r="P169" s="114"/>
    </row>
    <row r="170" s="113" customFormat="1" ht="16" customHeight="1" spans="1:16">
      <c r="A170" s="109">
        <v>168</v>
      </c>
      <c r="B170" s="5" t="s">
        <v>14875</v>
      </c>
      <c r="C170" s="6" t="s">
        <v>15059</v>
      </c>
      <c r="D170" s="109" t="str">
        <f>"152326197512077121"</f>
        <v>152326197512077121</v>
      </c>
      <c r="E170" s="109" t="s">
        <v>15</v>
      </c>
      <c r="F170" s="109">
        <v>2020</v>
      </c>
      <c r="G170" s="118" t="s">
        <v>14877</v>
      </c>
      <c r="H170" s="109">
        <v>200</v>
      </c>
      <c r="I170" s="6">
        <v>200</v>
      </c>
      <c r="J170" s="109"/>
      <c r="K170" s="94"/>
      <c r="L170" s="105">
        <v>20201118</v>
      </c>
      <c r="M170" s="114"/>
      <c r="N170" s="114"/>
      <c r="O170" s="114"/>
      <c r="P170" s="114"/>
    </row>
    <row r="171" s="113" customFormat="1" ht="16" customHeight="1" spans="1:16">
      <c r="A171" s="109">
        <v>169</v>
      </c>
      <c r="B171" s="5" t="s">
        <v>14875</v>
      </c>
      <c r="C171" s="6" t="s">
        <v>15060</v>
      </c>
      <c r="D171" s="109" t="str">
        <f>"152326197503237138"</f>
        <v>152326197503237138</v>
      </c>
      <c r="E171" s="109" t="s">
        <v>15</v>
      </c>
      <c r="F171" s="109">
        <v>2020</v>
      </c>
      <c r="G171" s="118" t="s">
        <v>14877</v>
      </c>
      <c r="H171" s="109">
        <v>500</v>
      </c>
      <c r="I171" s="6">
        <v>500</v>
      </c>
      <c r="J171" s="109"/>
      <c r="K171" s="94"/>
      <c r="L171" s="105">
        <v>20201118</v>
      </c>
      <c r="M171" s="114"/>
      <c r="N171" s="114"/>
      <c r="O171" s="114"/>
      <c r="P171" s="114"/>
    </row>
    <row r="172" s="113" customFormat="1" ht="16" customHeight="1" spans="1:16">
      <c r="A172" s="109">
        <v>170</v>
      </c>
      <c r="B172" s="5" t="s">
        <v>14875</v>
      </c>
      <c r="C172" s="6" t="s">
        <v>6417</v>
      </c>
      <c r="D172" s="109" t="str">
        <f>"152326197409044081"</f>
        <v>152326197409044081</v>
      </c>
      <c r="E172" s="109" t="s">
        <v>15</v>
      </c>
      <c r="F172" s="109">
        <v>2020</v>
      </c>
      <c r="G172" s="118" t="s">
        <v>14877</v>
      </c>
      <c r="H172" s="109">
        <v>500</v>
      </c>
      <c r="I172" s="6">
        <v>500</v>
      </c>
      <c r="J172" s="109"/>
      <c r="K172" s="94"/>
      <c r="L172" s="105">
        <v>20201118</v>
      </c>
      <c r="M172" s="114"/>
      <c r="N172" s="114"/>
      <c r="O172" s="114"/>
      <c r="P172" s="114"/>
    </row>
    <row r="173" s="113" customFormat="1" ht="16" customHeight="1" spans="1:16">
      <c r="A173" s="109">
        <v>171</v>
      </c>
      <c r="B173" s="5" t="s">
        <v>14875</v>
      </c>
      <c r="C173" s="6" t="s">
        <v>15061</v>
      </c>
      <c r="D173" s="109" t="s">
        <v>15062</v>
      </c>
      <c r="E173" s="109" t="s">
        <v>15</v>
      </c>
      <c r="F173" s="109">
        <v>2020</v>
      </c>
      <c r="G173" s="118" t="s">
        <v>14877</v>
      </c>
      <c r="H173" s="109">
        <v>200</v>
      </c>
      <c r="I173" s="6">
        <v>200</v>
      </c>
      <c r="J173" s="109" t="s">
        <v>108</v>
      </c>
      <c r="K173" s="94"/>
      <c r="L173" s="105">
        <v>20201118</v>
      </c>
      <c r="M173" s="114"/>
      <c r="N173" s="114"/>
      <c r="O173" s="114"/>
      <c r="P173" s="114"/>
    </row>
    <row r="174" s="113" customFormat="1" ht="16" customHeight="1" spans="1:16">
      <c r="A174" s="109">
        <v>172</v>
      </c>
      <c r="B174" s="5" t="s">
        <v>14875</v>
      </c>
      <c r="C174" s="6" t="s">
        <v>15063</v>
      </c>
      <c r="D174" s="109" t="str">
        <f>"152326196901087126"</f>
        <v>152326196901087126</v>
      </c>
      <c r="E174" s="109" t="s">
        <v>15</v>
      </c>
      <c r="F174" s="109">
        <v>2020</v>
      </c>
      <c r="G174" s="118" t="s">
        <v>14877</v>
      </c>
      <c r="H174" s="109">
        <v>200</v>
      </c>
      <c r="I174" s="6">
        <v>200</v>
      </c>
      <c r="J174" s="109"/>
      <c r="K174" s="94"/>
      <c r="L174" s="105">
        <v>20201118</v>
      </c>
      <c r="M174" s="114"/>
      <c r="N174" s="114"/>
      <c r="O174" s="114"/>
      <c r="P174" s="114"/>
    </row>
    <row r="175" s="113" customFormat="1" ht="16" customHeight="1" spans="1:16">
      <c r="A175" s="109">
        <v>173</v>
      </c>
      <c r="B175" s="5" t="s">
        <v>14875</v>
      </c>
      <c r="C175" s="6" t="s">
        <v>15064</v>
      </c>
      <c r="D175" s="122" t="s">
        <v>15065</v>
      </c>
      <c r="E175" s="109" t="s">
        <v>15</v>
      </c>
      <c r="F175" s="109">
        <v>2020</v>
      </c>
      <c r="G175" s="118" t="s">
        <v>14877</v>
      </c>
      <c r="H175" s="109">
        <v>200</v>
      </c>
      <c r="I175" s="6">
        <v>200</v>
      </c>
      <c r="J175" s="109" t="s">
        <v>5331</v>
      </c>
      <c r="K175" s="94"/>
      <c r="L175" s="105">
        <v>20201118</v>
      </c>
      <c r="M175" s="114"/>
      <c r="N175" s="114"/>
      <c r="O175" s="114"/>
      <c r="P175" s="114"/>
    </row>
    <row r="176" s="113" customFormat="1" ht="16" customHeight="1" spans="1:16">
      <c r="A176" s="109">
        <v>174</v>
      </c>
      <c r="B176" s="5" t="s">
        <v>14875</v>
      </c>
      <c r="C176" s="6" t="s">
        <v>15066</v>
      </c>
      <c r="D176" s="122" t="s">
        <v>15067</v>
      </c>
      <c r="E176" s="109" t="s">
        <v>15</v>
      </c>
      <c r="F176" s="109">
        <v>2020</v>
      </c>
      <c r="G176" s="118" t="s">
        <v>14877</v>
      </c>
      <c r="H176" s="109">
        <v>200</v>
      </c>
      <c r="I176" s="6">
        <v>200</v>
      </c>
      <c r="J176" s="109" t="s">
        <v>108</v>
      </c>
      <c r="K176" s="94"/>
      <c r="L176" s="105">
        <v>20201118</v>
      </c>
      <c r="M176" s="114"/>
      <c r="N176" s="114"/>
      <c r="O176" s="114"/>
      <c r="P176" s="114"/>
    </row>
    <row r="177" s="113" customFormat="1" ht="16" customHeight="1" spans="1:16">
      <c r="A177" s="109">
        <v>175</v>
      </c>
      <c r="B177" s="5" t="s">
        <v>14875</v>
      </c>
      <c r="C177" s="23" t="s">
        <v>15068</v>
      </c>
      <c r="D177" s="122" t="s">
        <v>15069</v>
      </c>
      <c r="E177" s="109" t="s">
        <v>15</v>
      </c>
      <c r="F177" s="109">
        <v>2020</v>
      </c>
      <c r="G177" s="118" t="s">
        <v>14877</v>
      </c>
      <c r="H177" s="109">
        <v>200</v>
      </c>
      <c r="I177" s="6">
        <v>200</v>
      </c>
      <c r="J177" s="109"/>
      <c r="K177" s="94"/>
      <c r="L177" s="105">
        <v>20201118</v>
      </c>
      <c r="M177" s="114"/>
      <c r="N177" s="114"/>
      <c r="O177" s="114"/>
      <c r="P177" s="114"/>
    </row>
    <row r="178" s="113" customFormat="1" ht="16" customHeight="1" spans="1:16">
      <c r="A178" s="109">
        <v>176</v>
      </c>
      <c r="B178" s="5" t="s">
        <v>14875</v>
      </c>
      <c r="C178" s="23" t="s">
        <v>15070</v>
      </c>
      <c r="D178" s="122" t="s">
        <v>15071</v>
      </c>
      <c r="E178" s="109" t="s">
        <v>15</v>
      </c>
      <c r="F178" s="109">
        <v>2020</v>
      </c>
      <c r="G178" s="118" t="s">
        <v>14877</v>
      </c>
      <c r="H178" s="109">
        <v>200</v>
      </c>
      <c r="I178" s="6">
        <v>200</v>
      </c>
      <c r="J178" s="109"/>
      <c r="K178" s="94"/>
      <c r="L178" s="105">
        <v>20201118</v>
      </c>
      <c r="M178" s="114"/>
      <c r="N178" s="114"/>
      <c r="O178" s="114"/>
      <c r="P178" s="114"/>
    </row>
    <row r="179" s="113" customFormat="1" ht="16" customHeight="1" spans="1:16">
      <c r="A179" s="109">
        <v>177</v>
      </c>
      <c r="B179" s="5" t="s">
        <v>14875</v>
      </c>
      <c r="C179" s="23" t="s">
        <v>15072</v>
      </c>
      <c r="D179" s="122" t="s">
        <v>15073</v>
      </c>
      <c r="E179" s="6" t="s">
        <v>15</v>
      </c>
      <c r="F179" s="6">
        <v>2020</v>
      </c>
      <c r="G179" s="118" t="s">
        <v>14877</v>
      </c>
      <c r="H179" s="109">
        <v>200</v>
      </c>
      <c r="I179" s="6">
        <v>200</v>
      </c>
      <c r="J179" s="109"/>
      <c r="K179" s="94"/>
      <c r="L179" s="105">
        <v>20201118</v>
      </c>
      <c r="M179" s="114"/>
      <c r="N179" s="114"/>
      <c r="O179" s="114"/>
      <c r="P179" s="114"/>
    </row>
    <row r="180" s="113" customFormat="1" ht="16" customHeight="1" spans="1:16">
      <c r="A180" s="109">
        <v>178</v>
      </c>
      <c r="B180" s="5" t="s">
        <v>14875</v>
      </c>
      <c r="C180" s="23" t="s">
        <v>15074</v>
      </c>
      <c r="D180" s="122" t="s">
        <v>15075</v>
      </c>
      <c r="E180" s="123" t="s">
        <v>310</v>
      </c>
      <c r="F180" s="123" t="s">
        <v>1047</v>
      </c>
      <c r="G180" s="124" t="s">
        <v>2460</v>
      </c>
      <c r="H180" s="109">
        <v>700</v>
      </c>
      <c r="I180" s="6">
        <v>6300</v>
      </c>
      <c r="J180" s="109"/>
      <c r="K180" s="94"/>
      <c r="L180" s="105">
        <v>20201118</v>
      </c>
      <c r="M180" s="114"/>
      <c r="N180" s="127"/>
      <c r="O180" s="114"/>
      <c r="P180" s="114"/>
    </row>
    <row r="181" s="113" customFormat="1" ht="16" customHeight="1" spans="1:16">
      <c r="A181" s="109">
        <v>179</v>
      </c>
      <c r="B181" s="5" t="s">
        <v>14875</v>
      </c>
      <c r="C181" s="23" t="s">
        <v>15076</v>
      </c>
      <c r="D181" s="122" t="s">
        <v>15077</v>
      </c>
      <c r="E181" s="123" t="s">
        <v>310</v>
      </c>
      <c r="F181" s="123">
        <v>2020</v>
      </c>
      <c r="G181" s="124" t="s">
        <v>2460</v>
      </c>
      <c r="H181" s="109">
        <v>700</v>
      </c>
      <c r="I181" s="6">
        <v>7000</v>
      </c>
      <c r="J181" s="109"/>
      <c r="K181" s="94"/>
      <c r="L181" s="105">
        <v>20201118</v>
      </c>
      <c r="M181" s="114"/>
      <c r="N181" s="127"/>
      <c r="O181" s="114"/>
      <c r="P181" s="114"/>
    </row>
    <row r="182" s="113" customFormat="1" ht="16" customHeight="1" spans="1:16">
      <c r="A182" s="109">
        <v>180</v>
      </c>
      <c r="B182" s="5" t="s">
        <v>14875</v>
      </c>
      <c r="C182" s="6" t="s">
        <v>15078</v>
      </c>
      <c r="D182" s="122" t="s">
        <v>15079</v>
      </c>
      <c r="E182" s="123" t="s">
        <v>292</v>
      </c>
      <c r="F182" s="123">
        <v>2020</v>
      </c>
      <c r="G182" s="124" t="s">
        <v>2460</v>
      </c>
      <c r="H182" s="109">
        <v>200</v>
      </c>
      <c r="I182" s="6">
        <v>1000</v>
      </c>
      <c r="J182" s="109"/>
      <c r="K182" s="94"/>
      <c r="L182" s="105">
        <v>20201118</v>
      </c>
      <c r="M182" s="114"/>
      <c r="N182" s="127"/>
      <c r="O182" s="114"/>
      <c r="P182" s="114"/>
    </row>
    <row r="183" s="113" customFormat="1" ht="16" customHeight="1" spans="1:16">
      <c r="A183" s="109">
        <v>181</v>
      </c>
      <c r="B183" s="5" t="s">
        <v>14875</v>
      </c>
      <c r="C183" s="111" t="s">
        <v>15080</v>
      </c>
      <c r="D183" s="313" t="s">
        <v>15081</v>
      </c>
      <c r="E183" s="125">
        <v>2011</v>
      </c>
      <c r="F183" s="123" t="s">
        <v>15</v>
      </c>
      <c r="G183" s="124" t="s">
        <v>2460</v>
      </c>
      <c r="H183" s="111">
        <v>200</v>
      </c>
      <c r="I183" s="111">
        <v>2000</v>
      </c>
      <c r="J183" s="109"/>
      <c r="K183" s="109"/>
      <c r="L183" s="105">
        <v>20201224</v>
      </c>
      <c r="M183" s="114"/>
      <c r="N183" s="114"/>
      <c r="O183" s="114"/>
      <c r="P183" s="114"/>
    </row>
    <row r="184" s="113" customFormat="1" ht="16" customHeight="1" spans="1:16">
      <c r="A184" s="109">
        <v>182</v>
      </c>
      <c r="B184" s="5" t="s">
        <v>14875</v>
      </c>
      <c r="C184" s="111" t="s">
        <v>15082</v>
      </c>
      <c r="D184" s="313" t="s">
        <v>15083</v>
      </c>
      <c r="E184" s="125">
        <v>2011</v>
      </c>
      <c r="F184" s="123" t="s">
        <v>15</v>
      </c>
      <c r="G184" s="124" t="s">
        <v>2460</v>
      </c>
      <c r="H184" s="111">
        <v>200</v>
      </c>
      <c r="I184" s="111">
        <v>2000</v>
      </c>
      <c r="J184" s="109"/>
      <c r="K184" s="109"/>
      <c r="L184" s="105">
        <v>20201224</v>
      </c>
      <c r="M184" s="114"/>
      <c r="N184" s="114"/>
      <c r="O184" s="114"/>
      <c r="P184" s="114"/>
    </row>
    <row r="185" ht="16" customHeight="1" spans="1:12">
      <c r="A185" s="109"/>
      <c r="B185" s="109"/>
      <c r="C185" s="6"/>
      <c r="D185" s="109"/>
      <c r="E185" s="109"/>
      <c r="F185" s="109"/>
      <c r="G185" s="109"/>
      <c r="H185" s="109"/>
      <c r="I185" s="6" t="s">
        <v>15084</v>
      </c>
      <c r="J185" s="109"/>
      <c r="K185" s="109"/>
      <c r="L185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88"/>
  <sheetViews>
    <sheetView workbookViewId="0">
      <selection activeCell="A1" sqref="A1:K1"/>
    </sheetView>
  </sheetViews>
  <sheetFormatPr defaultColWidth="9" defaultRowHeight="13.5"/>
  <cols>
    <col min="4" max="4" width="22.25" customWidth="1"/>
    <col min="5" max="5" width="12.25" customWidth="1"/>
    <col min="12" max="12" width="11.75" customWidth="1"/>
  </cols>
  <sheetData>
    <row r="1" customFormat="1" ht="18.75" spans="1:12">
      <c r="A1" s="99" t="s">
        <v>15085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ht="16" customHeight="1" spans="1:12">
      <c r="A3" s="102" t="s">
        <v>316</v>
      </c>
      <c r="B3" s="102" t="s">
        <v>15086</v>
      </c>
      <c r="C3" s="109" t="s">
        <v>15087</v>
      </c>
      <c r="D3" s="109" t="str">
        <f>"152326199611076879"</f>
        <v>152326199611076879</v>
      </c>
      <c r="E3" s="102" t="s">
        <v>15</v>
      </c>
      <c r="F3" s="102">
        <v>2020</v>
      </c>
      <c r="G3" s="102" t="s">
        <v>16</v>
      </c>
      <c r="H3" s="102">
        <v>200</v>
      </c>
      <c r="I3" s="102">
        <v>200</v>
      </c>
      <c r="J3" s="102"/>
      <c r="K3" s="102"/>
      <c r="L3" s="105">
        <v>20201118</v>
      </c>
    </row>
    <row r="4" ht="16" customHeight="1" spans="1:12">
      <c r="A4" s="102" t="s">
        <v>322</v>
      </c>
      <c r="B4" s="102" t="s">
        <v>15086</v>
      </c>
      <c r="C4" s="109" t="s">
        <v>15088</v>
      </c>
      <c r="D4" s="109" t="str">
        <f>"152326199411286871"</f>
        <v>152326199411286871</v>
      </c>
      <c r="E4" s="102" t="s">
        <v>15</v>
      </c>
      <c r="F4" s="102">
        <v>2020</v>
      </c>
      <c r="G4" s="102" t="s">
        <v>16</v>
      </c>
      <c r="H4" s="102">
        <v>200</v>
      </c>
      <c r="I4" s="102">
        <v>200</v>
      </c>
      <c r="J4" s="102"/>
      <c r="K4" s="102"/>
      <c r="L4" s="105">
        <v>20201118</v>
      </c>
    </row>
    <row r="5" ht="16" customHeight="1" spans="1:12">
      <c r="A5" s="102" t="s">
        <v>326</v>
      </c>
      <c r="B5" s="102" t="s">
        <v>15086</v>
      </c>
      <c r="C5" s="109" t="s">
        <v>7066</v>
      </c>
      <c r="D5" s="109" t="s">
        <v>15089</v>
      </c>
      <c r="E5" s="102" t="s">
        <v>15</v>
      </c>
      <c r="F5" s="102">
        <v>2020</v>
      </c>
      <c r="G5" s="102" t="s">
        <v>16</v>
      </c>
      <c r="H5" s="102">
        <v>200</v>
      </c>
      <c r="I5" s="102">
        <v>200</v>
      </c>
      <c r="J5" s="102" t="s">
        <v>5625</v>
      </c>
      <c r="K5" s="102"/>
      <c r="L5" s="105">
        <v>20201118</v>
      </c>
    </row>
    <row r="6" ht="16" customHeight="1" spans="1:12">
      <c r="A6" s="102" t="s">
        <v>331</v>
      </c>
      <c r="B6" s="102" t="s">
        <v>15086</v>
      </c>
      <c r="C6" s="109" t="s">
        <v>15090</v>
      </c>
      <c r="D6" s="109" t="str">
        <f>"152326199208026871"</f>
        <v>152326199208026871</v>
      </c>
      <c r="E6" s="102" t="s">
        <v>15</v>
      </c>
      <c r="F6" s="102">
        <v>2020</v>
      </c>
      <c r="G6" s="102" t="s">
        <v>16</v>
      </c>
      <c r="H6" s="102">
        <v>200</v>
      </c>
      <c r="I6" s="102">
        <v>200</v>
      </c>
      <c r="J6" s="102"/>
      <c r="K6" s="102"/>
      <c r="L6" s="105">
        <v>20201118</v>
      </c>
    </row>
    <row r="7" ht="16" customHeight="1" spans="1:12">
      <c r="A7" s="102" t="s">
        <v>334</v>
      </c>
      <c r="B7" s="102" t="s">
        <v>15086</v>
      </c>
      <c r="C7" s="109" t="s">
        <v>15091</v>
      </c>
      <c r="D7" s="109" t="s">
        <v>15092</v>
      </c>
      <c r="E7" s="102" t="s">
        <v>15</v>
      </c>
      <c r="F7" s="102">
        <v>2020</v>
      </c>
      <c r="G7" s="102" t="s">
        <v>16</v>
      </c>
      <c r="H7" s="102">
        <v>200</v>
      </c>
      <c r="I7" s="102">
        <v>200</v>
      </c>
      <c r="J7" s="102" t="s">
        <v>5625</v>
      </c>
      <c r="K7" s="102"/>
      <c r="L7" s="105">
        <v>20201118</v>
      </c>
    </row>
    <row r="8" ht="16" customHeight="1" spans="1:12">
      <c r="A8" s="102" t="s">
        <v>337</v>
      </c>
      <c r="B8" s="102" t="s">
        <v>15086</v>
      </c>
      <c r="C8" s="109" t="s">
        <v>15093</v>
      </c>
      <c r="D8" s="109" t="s">
        <v>15094</v>
      </c>
      <c r="E8" s="102" t="s">
        <v>15</v>
      </c>
      <c r="F8" s="102">
        <v>2020</v>
      </c>
      <c r="G8" s="102" t="s">
        <v>16</v>
      </c>
      <c r="H8" s="102">
        <v>200</v>
      </c>
      <c r="I8" s="102">
        <v>200</v>
      </c>
      <c r="J8" s="102" t="s">
        <v>768</v>
      </c>
      <c r="K8" s="102"/>
      <c r="L8" s="105">
        <v>20201118</v>
      </c>
    </row>
    <row r="9" ht="16" customHeight="1" spans="1:12">
      <c r="A9" s="102" t="s">
        <v>340</v>
      </c>
      <c r="B9" s="102" t="s">
        <v>15086</v>
      </c>
      <c r="C9" s="109" t="s">
        <v>15095</v>
      </c>
      <c r="D9" s="109" t="str">
        <f>"152326199103176881"</f>
        <v>152326199103176881</v>
      </c>
      <c r="E9" s="102" t="s">
        <v>15</v>
      </c>
      <c r="F9" s="102">
        <v>2020</v>
      </c>
      <c r="G9" s="102" t="s">
        <v>16</v>
      </c>
      <c r="H9" s="102">
        <v>200</v>
      </c>
      <c r="I9" s="102">
        <v>200</v>
      </c>
      <c r="J9" s="102"/>
      <c r="K9" s="102"/>
      <c r="L9" s="105">
        <v>20201118</v>
      </c>
    </row>
    <row r="10" ht="16" customHeight="1" spans="1:12">
      <c r="A10" s="102" t="s">
        <v>343</v>
      </c>
      <c r="B10" s="102" t="s">
        <v>15086</v>
      </c>
      <c r="C10" s="109" t="s">
        <v>15096</v>
      </c>
      <c r="D10" s="109" t="s">
        <v>15097</v>
      </c>
      <c r="E10" s="102" t="s">
        <v>15</v>
      </c>
      <c r="F10" s="102">
        <v>2020</v>
      </c>
      <c r="G10" s="102" t="s">
        <v>16</v>
      </c>
      <c r="H10" s="102">
        <v>200</v>
      </c>
      <c r="I10" s="102">
        <v>200</v>
      </c>
      <c r="J10" s="102"/>
      <c r="K10" s="102"/>
      <c r="L10" s="105">
        <v>20201118</v>
      </c>
    </row>
    <row r="11" ht="16" customHeight="1" spans="1:12">
      <c r="A11" s="102" t="s">
        <v>346</v>
      </c>
      <c r="B11" s="102" t="s">
        <v>15086</v>
      </c>
      <c r="C11" s="109" t="s">
        <v>15098</v>
      </c>
      <c r="D11" s="109" t="str">
        <f>"152326199010016870"</f>
        <v>152326199010016870</v>
      </c>
      <c r="E11" s="102" t="s">
        <v>15</v>
      </c>
      <c r="F11" s="102">
        <v>2020</v>
      </c>
      <c r="G11" s="102" t="s">
        <v>16</v>
      </c>
      <c r="H11" s="102">
        <v>200</v>
      </c>
      <c r="I11" s="102">
        <v>200</v>
      </c>
      <c r="J11" s="102"/>
      <c r="K11" s="102"/>
      <c r="L11" s="105">
        <v>20201118</v>
      </c>
    </row>
    <row r="12" ht="16" customHeight="1" spans="1:12">
      <c r="A12" s="102" t="s">
        <v>349</v>
      </c>
      <c r="B12" s="102" t="s">
        <v>15086</v>
      </c>
      <c r="C12" s="109" t="s">
        <v>15099</v>
      </c>
      <c r="D12" s="109" t="str">
        <f>"152326199001196881"</f>
        <v>152326199001196881</v>
      </c>
      <c r="E12" s="102" t="s">
        <v>15</v>
      </c>
      <c r="F12" s="102">
        <v>2020</v>
      </c>
      <c r="G12" s="102" t="s">
        <v>16</v>
      </c>
      <c r="H12" s="102">
        <v>200</v>
      </c>
      <c r="I12" s="102">
        <v>200</v>
      </c>
      <c r="J12" s="102"/>
      <c r="K12" s="102"/>
      <c r="L12" s="105">
        <v>20201118</v>
      </c>
    </row>
    <row r="13" ht="16" customHeight="1" spans="1:12">
      <c r="A13" s="102" t="s">
        <v>352</v>
      </c>
      <c r="B13" s="102" t="s">
        <v>15086</v>
      </c>
      <c r="C13" s="109" t="s">
        <v>15100</v>
      </c>
      <c r="D13" s="109" t="str">
        <f>"220882199001072023"</f>
        <v>220882199001072023</v>
      </c>
      <c r="E13" s="102" t="s">
        <v>15</v>
      </c>
      <c r="F13" s="102">
        <v>2020</v>
      </c>
      <c r="G13" s="102" t="s">
        <v>16</v>
      </c>
      <c r="H13" s="102">
        <v>500</v>
      </c>
      <c r="I13" s="102">
        <v>500</v>
      </c>
      <c r="J13" s="102"/>
      <c r="K13" s="102"/>
      <c r="L13" s="105">
        <v>20201118</v>
      </c>
    </row>
    <row r="14" ht="16" customHeight="1" spans="1:12">
      <c r="A14" s="102" t="s">
        <v>355</v>
      </c>
      <c r="B14" s="102" t="s">
        <v>15086</v>
      </c>
      <c r="C14" s="109" t="s">
        <v>15101</v>
      </c>
      <c r="D14" s="109" t="str">
        <f>"152326198905056887"</f>
        <v>152326198905056887</v>
      </c>
      <c r="E14" s="102" t="s">
        <v>15</v>
      </c>
      <c r="F14" s="102">
        <v>2020</v>
      </c>
      <c r="G14" s="102" t="s">
        <v>16</v>
      </c>
      <c r="H14" s="102">
        <v>200</v>
      </c>
      <c r="I14" s="102">
        <v>200</v>
      </c>
      <c r="J14" s="102"/>
      <c r="K14" s="102"/>
      <c r="L14" s="105">
        <v>20201118</v>
      </c>
    </row>
    <row r="15" ht="16" customHeight="1" spans="1:12">
      <c r="A15" s="102" t="s">
        <v>358</v>
      </c>
      <c r="B15" s="102" t="s">
        <v>15086</v>
      </c>
      <c r="C15" s="109" t="s">
        <v>15102</v>
      </c>
      <c r="D15" s="109" t="str">
        <f>"152326198912066872"</f>
        <v>152326198912066872</v>
      </c>
      <c r="E15" s="102" t="s">
        <v>15</v>
      </c>
      <c r="F15" s="102">
        <v>2020</v>
      </c>
      <c r="G15" s="102" t="s">
        <v>16</v>
      </c>
      <c r="H15" s="102">
        <v>200</v>
      </c>
      <c r="I15" s="102">
        <v>200</v>
      </c>
      <c r="J15" s="102"/>
      <c r="K15" s="102"/>
      <c r="L15" s="105">
        <v>20201118</v>
      </c>
    </row>
    <row r="16" ht="16" customHeight="1" spans="1:12">
      <c r="A16" s="102" t="s">
        <v>361</v>
      </c>
      <c r="B16" s="102" t="s">
        <v>15086</v>
      </c>
      <c r="C16" s="109" t="s">
        <v>15103</v>
      </c>
      <c r="D16" s="109" t="str">
        <f>"152326198912116913"</f>
        <v>152326198912116913</v>
      </c>
      <c r="E16" s="102" t="s">
        <v>15</v>
      </c>
      <c r="F16" s="102">
        <v>2020</v>
      </c>
      <c r="G16" s="102" t="s">
        <v>16</v>
      </c>
      <c r="H16" s="102">
        <v>200</v>
      </c>
      <c r="I16" s="102">
        <v>200</v>
      </c>
      <c r="J16" s="102"/>
      <c r="K16" s="102"/>
      <c r="L16" s="105">
        <v>20201118</v>
      </c>
    </row>
    <row r="17" ht="16" customHeight="1" spans="1:12">
      <c r="A17" s="102" t="s">
        <v>364</v>
      </c>
      <c r="B17" s="102" t="s">
        <v>15086</v>
      </c>
      <c r="C17" s="109" t="s">
        <v>15104</v>
      </c>
      <c r="D17" s="109" t="str">
        <f>"152326198910017129"</f>
        <v>152326198910017129</v>
      </c>
      <c r="E17" s="102" t="s">
        <v>15</v>
      </c>
      <c r="F17" s="102">
        <v>2020</v>
      </c>
      <c r="G17" s="102" t="s">
        <v>16</v>
      </c>
      <c r="H17" s="102">
        <v>200</v>
      </c>
      <c r="I17" s="102">
        <v>200</v>
      </c>
      <c r="J17" s="102"/>
      <c r="K17" s="102"/>
      <c r="L17" s="105">
        <v>20201118</v>
      </c>
    </row>
    <row r="18" ht="16" customHeight="1" spans="1:12">
      <c r="A18" s="102" t="s">
        <v>367</v>
      </c>
      <c r="B18" s="102" t="s">
        <v>15086</v>
      </c>
      <c r="C18" s="109" t="s">
        <v>15105</v>
      </c>
      <c r="D18" s="109" t="str">
        <f>"152326198903216875"</f>
        <v>152326198903216875</v>
      </c>
      <c r="E18" s="102" t="s">
        <v>15</v>
      </c>
      <c r="F18" s="102">
        <v>2020</v>
      </c>
      <c r="G18" s="102" t="s">
        <v>16</v>
      </c>
      <c r="H18" s="102">
        <v>200</v>
      </c>
      <c r="I18" s="102">
        <v>200</v>
      </c>
      <c r="J18" s="102"/>
      <c r="K18" s="102"/>
      <c r="L18" s="105">
        <v>20201118</v>
      </c>
    </row>
    <row r="19" ht="16" customHeight="1" spans="1:12">
      <c r="A19" s="102" t="s">
        <v>370</v>
      </c>
      <c r="B19" s="102" t="s">
        <v>15086</v>
      </c>
      <c r="C19" s="6" t="s">
        <v>15106</v>
      </c>
      <c r="D19" s="288" t="s">
        <v>15107</v>
      </c>
      <c r="E19" s="102" t="s">
        <v>15</v>
      </c>
      <c r="F19" s="102">
        <v>2020</v>
      </c>
      <c r="G19" s="102" t="s">
        <v>16</v>
      </c>
      <c r="H19" s="109">
        <v>200</v>
      </c>
      <c r="I19" s="102">
        <v>200</v>
      </c>
      <c r="J19" s="102"/>
      <c r="K19" s="102"/>
      <c r="L19" s="105">
        <v>20201118</v>
      </c>
    </row>
    <row r="20" ht="16" customHeight="1" spans="1:12">
      <c r="A20" s="102" t="s">
        <v>373</v>
      </c>
      <c r="B20" s="102" t="s">
        <v>15086</v>
      </c>
      <c r="C20" s="109" t="s">
        <v>15108</v>
      </c>
      <c r="D20" s="109" t="s">
        <v>15109</v>
      </c>
      <c r="E20" s="102" t="s">
        <v>15</v>
      </c>
      <c r="F20" s="102">
        <v>2020</v>
      </c>
      <c r="G20" s="102" t="s">
        <v>16</v>
      </c>
      <c r="H20" s="102">
        <v>500</v>
      </c>
      <c r="I20" s="102">
        <v>500</v>
      </c>
      <c r="J20" s="102"/>
      <c r="K20" s="102"/>
      <c r="L20" s="105">
        <v>20201118</v>
      </c>
    </row>
    <row r="21" ht="16" customHeight="1" spans="1:12">
      <c r="A21" s="102" t="s">
        <v>376</v>
      </c>
      <c r="B21" s="102" t="s">
        <v>15086</v>
      </c>
      <c r="C21" s="109" t="s">
        <v>15110</v>
      </c>
      <c r="D21" s="109" t="str">
        <f>"152326198709126876"</f>
        <v>152326198709126876</v>
      </c>
      <c r="E21" s="102" t="s">
        <v>15</v>
      </c>
      <c r="F21" s="102">
        <v>2020</v>
      </c>
      <c r="G21" s="102" t="s">
        <v>16</v>
      </c>
      <c r="H21" s="102">
        <v>500</v>
      </c>
      <c r="I21" s="102">
        <v>500</v>
      </c>
      <c r="J21" s="102"/>
      <c r="K21" s="102"/>
      <c r="L21" s="105">
        <v>20201118</v>
      </c>
    </row>
    <row r="22" ht="16" customHeight="1" spans="1:12">
      <c r="A22" s="102" t="s">
        <v>379</v>
      </c>
      <c r="B22" s="102" t="s">
        <v>15086</v>
      </c>
      <c r="C22" s="109" t="s">
        <v>15111</v>
      </c>
      <c r="D22" s="109" t="str">
        <f>"152326198702016885"</f>
        <v>152326198702016885</v>
      </c>
      <c r="E22" s="102" t="s">
        <v>15</v>
      </c>
      <c r="F22" s="102">
        <v>2020</v>
      </c>
      <c r="G22" s="102" t="s">
        <v>16</v>
      </c>
      <c r="H22" s="102">
        <v>200</v>
      </c>
      <c r="I22" s="102">
        <v>200</v>
      </c>
      <c r="J22" s="102"/>
      <c r="K22" s="102"/>
      <c r="L22" s="105">
        <v>20201118</v>
      </c>
    </row>
    <row r="23" ht="16" customHeight="1" spans="1:12">
      <c r="A23" s="102" t="s">
        <v>382</v>
      </c>
      <c r="B23" s="102" t="s">
        <v>15086</v>
      </c>
      <c r="C23" s="109" t="s">
        <v>15112</v>
      </c>
      <c r="D23" s="109" t="str">
        <f>"152326198708046874"</f>
        <v>152326198708046874</v>
      </c>
      <c r="E23" s="102" t="s">
        <v>15</v>
      </c>
      <c r="F23" s="102">
        <v>2020</v>
      </c>
      <c r="G23" s="102" t="s">
        <v>16</v>
      </c>
      <c r="H23" s="102">
        <v>200</v>
      </c>
      <c r="I23" s="102">
        <v>200</v>
      </c>
      <c r="J23" s="102"/>
      <c r="K23" s="102"/>
      <c r="L23" s="105">
        <v>20201118</v>
      </c>
    </row>
    <row r="24" ht="16" customHeight="1" spans="1:12">
      <c r="A24" s="102" t="s">
        <v>385</v>
      </c>
      <c r="B24" s="102" t="s">
        <v>15086</v>
      </c>
      <c r="C24" s="109" t="s">
        <v>15113</v>
      </c>
      <c r="D24" s="109" t="str">
        <f>"152326198712166887"</f>
        <v>152326198712166887</v>
      </c>
      <c r="E24" s="102" t="s">
        <v>15</v>
      </c>
      <c r="F24" s="102">
        <v>2020</v>
      </c>
      <c r="G24" s="102" t="s">
        <v>16</v>
      </c>
      <c r="H24" s="102">
        <v>500</v>
      </c>
      <c r="I24" s="102">
        <v>500</v>
      </c>
      <c r="J24" s="102"/>
      <c r="K24" s="102"/>
      <c r="L24" s="105">
        <v>20201118</v>
      </c>
    </row>
    <row r="25" ht="16" customHeight="1" spans="1:12">
      <c r="A25" s="102" t="s">
        <v>388</v>
      </c>
      <c r="B25" s="102" t="s">
        <v>15086</v>
      </c>
      <c r="C25" s="109" t="s">
        <v>15114</v>
      </c>
      <c r="D25" s="109" t="str">
        <f>"152324198711118012"</f>
        <v>152324198711118012</v>
      </c>
      <c r="E25" s="102" t="s">
        <v>15</v>
      </c>
      <c r="F25" s="102">
        <v>2020</v>
      </c>
      <c r="G25" s="102" t="s">
        <v>16</v>
      </c>
      <c r="H25" s="102">
        <v>200</v>
      </c>
      <c r="I25" s="102">
        <v>200</v>
      </c>
      <c r="J25" s="102"/>
      <c r="K25" s="102"/>
      <c r="L25" s="105">
        <v>20201118</v>
      </c>
    </row>
    <row r="26" ht="16" customHeight="1" spans="1:12">
      <c r="A26" s="102" t="s">
        <v>391</v>
      </c>
      <c r="B26" s="102" t="s">
        <v>15086</v>
      </c>
      <c r="C26" s="109" t="s">
        <v>15115</v>
      </c>
      <c r="D26" s="109" t="str">
        <f>"152326198707156879"</f>
        <v>152326198707156879</v>
      </c>
      <c r="E26" s="102" t="s">
        <v>15</v>
      </c>
      <c r="F26" s="102">
        <v>2020</v>
      </c>
      <c r="G26" s="102" t="s">
        <v>16</v>
      </c>
      <c r="H26" s="102">
        <v>200</v>
      </c>
      <c r="I26" s="102">
        <v>200</v>
      </c>
      <c r="J26" s="102"/>
      <c r="K26" s="102"/>
      <c r="L26" s="105">
        <v>20201118</v>
      </c>
    </row>
    <row r="27" ht="16" customHeight="1" spans="1:12">
      <c r="A27" s="102" t="s">
        <v>394</v>
      </c>
      <c r="B27" s="102" t="s">
        <v>15086</v>
      </c>
      <c r="C27" s="109" t="s">
        <v>15116</v>
      </c>
      <c r="D27" s="109" t="str">
        <f>"152326198608086879"</f>
        <v>152326198608086879</v>
      </c>
      <c r="E27" s="102" t="s">
        <v>15</v>
      </c>
      <c r="F27" s="102">
        <v>2020</v>
      </c>
      <c r="G27" s="102" t="s">
        <v>16</v>
      </c>
      <c r="H27" s="102">
        <v>200</v>
      </c>
      <c r="I27" s="102">
        <v>200</v>
      </c>
      <c r="J27" s="102"/>
      <c r="K27" s="102"/>
      <c r="L27" s="105">
        <v>20201118</v>
      </c>
    </row>
    <row r="28" ht="16" customHeight="1" spans="1:12">
      <c r="A28" s="102" t="s">
        <v>397</v>
      </c>
      <c r="B28" s="102" t="s">
        <v>15086</v>
      </c>
      <c r="C28" s="109" t="s">
        <v>15117</v>
      </c>
      <c r="D28" s="109" t="str">
        <f>"152326198603166888"</f>
        <v>152326198603166888</v>
      </c>
      <c r="E28" s="102" t="s">
        <v>15</v>
      </c>
      <c r="F28" s="102">
        <v>2020</v>
      </c>
      <c r="G28" s="102" t="s">
        <v>16</v>
      </c>
      <c r="H28" s="102">
        <v>200</v>
      </c>
      <c r="I28" s="102">
        <v>200</v>
      </c>
      <c r="J28" s="102"/>
      <c r="K28" s="102"/>
      <c r="L28" s="105">
        <v>20201118</v>
      </c>
    </row>
    <row r="29" ht="16" customHeight="1" spans="1:12">
      <c r="A29" s="102" t="s">
        <v>400</v>
      </c>
      <c r="B29" s="102" t="s">
        <v>15086</v>
      </c>
      <c r="C29" s="109" t="s">
        <v>15118</v>
      </c>
      <c r="D29" s="109" t="str">
        <f>"152326198505076870"</f>
        <v>152326198505076870</v>
      </c>
      <c r="E29" s="102" t="s">
        <v>15</v>
      </c>
      <c r="F29" s="102">
        <v>2020</v>
      </c>
      <c r="G29" s="102" t="s">
        <v>16</v>
      </c>
      <c r="H29" s="102">
        <v>200</v>
      </c>
      <c r="I29" s="102">
        <v>200</v>
      </c>
      <c r="J29" s="102"/>
      <c r="K29" s="102"/>
      <c r="L29" s="105">
        <v>20201118</v>
      </c>
    </row>
    <row r="30" ht="16" customHeight="1" spans="1:12">
      <c r="A30" s="102" t="s">
        <v>403</v>
      </c>
      <c r="B30" s="102" t="s">
        <v>15086</v>
      </c>
      <c r="C30" s="109" t="s">
        <v>15119</v>
      </c>
      <c r="D30" s="109" t="str">
        <f>"152326198509166902"</f>
        <v>152326198509166902</v>
      </c>
      <c r="E30" s="102" t="s">
        <v>15</v>
      </c>
      <c r="F30" s="102">
        <v>2020</v>
      </c>
      <c r="G30" s="102" t="s">
        <v>16</v>
      </c>
      <c r="H30" s="102">
        <v>200</v>
      </c>
      <c r="I30" s="102">
        <v>200</v>
      </c>
      <c r="J30" s="102"/>
      <c r="K30" s="102"/>
      <c r="L30" s="105">
        <v>20201118</v>
      </c>
    </row>
    <row r="31" ht="16" customHeight="1" spans="1:12">
      <c r="A31" s="102" t="s">
        <v>406</v>
      </c>
      <c r="B31" s="102" t="s">
        <v>15086</v>
      </c>
      <c r="C31" s="109" t="s">
        <v>15120</v>
      </c>
      <c r="D31" s="109" t="str">
        <f>"152326198509156886"</f>
        <v>152326198509156886</v>
      </c>
      <c r="E31" s="102" t="s">
        <v>15</v>
      </c>
      <c r="F31" s="102">
        <v>2020</v>
      </c>
      <c r="G31" s="102" t="s">
        <v>16</v>
      </c>
      <c r="H31" s="102">
        <v>200</v>
      </c>
      <c r="I31" s="102">
        <v>200</v>
      </c>
      <c r="J31" s="102"/>
      <c r="K31" s="102"/>
      <c r="L31" s="105">
        <v>20201118</v>
      </c>
    </row>
    <row r="32" ht="16" customHeight="1" spans="1:12">
      <c r="A32" s="102" t="s">
        <v>409</v>
      </c>
      <c r="B32" s="102" t="s">
        <v>15086</v>
      </c>
      <c r="C32" s="109" t="s">
        <v>15121</v>
      </c>
      <c r="D32" s="109" t="str">
        <f>"152326198505206874"</f>
        <v>152326198505206874</v>
      </c>
      <c r="E32" s="102" t="s">
        <v>15</v>
      </c>
      <c r="F32" s="102">
        <v>2020</v>
      </c>
      <c r="G32" s="102" t="s">
        <v>16</v>
      </c>
      <c r="H32" s="102">
        <v>500</v>
      </c>
      <c r="I32" s="102">
        <v>500</v>
      </c>
      <c r="J32" s="102"/>
      <c r="K32" s="102"/>
      <c r="L32" s="105">
        <v>20201118</v>
      </c>
    </row>
    <row r="33" ht="16" customHeight="1" spans="1:12">
      <c r="A33" s="102" t="s">
        <v>412</v>
      </c>
      <c r="B33" s="102" t="s">
        <v>15086</v>
      </c>
      <c r="C33" s="109" t="s">
        <v>15122</v>
      </c>
      <c r="D33" s="109" t="str">
        <f>"152326198508116874"</f>
        <v>152326198508116874</v>
      </c>
      <c r="E33" s="102" t="s">
        <v>15</v>
      </c>
      <c r="F33" s="102">
        <v>2020</v>
      </c>
      <c r="G33" s="102" t="s">
        <v>16</v>
      </c>
      <c r="H33" s="102">
        <v>200</v>
      </c>
      <c r="I33" s="102">
        <v>200</v>
      </c>
      <c r="J33" s="102"/>
      <c r="K33" s="102"/>
      <c r="L33" s="105">
        <v>20201118</v>
      </c>
    </row>
    <row r="34" ht="16" customHeight="1" spans="1:12">
      <c r="A34" s="102" t="s">
        <v>415</v>
      </c>
      <c r="B34" s="102" t="s">
        <v>15086</v>
      </c>
      <c r="C34" s="109" t="s">
        <v>15123</v>
      </c>
      <c r="D34" s="109" t="str">
        <f>"152326198503206870"</f>
        <v>152326198503206870</v>
      </c>
      <c r="E34" s="102" t="s">
        <v>15</v>
      </c>
      <c r="F34" s="102">
        <v>2020</v>
      </c>
      <c r="G34" s="102" t="s">
        <v>16</v>
      </c>
      <c r="H34" s="102">
        <v>200</v>
      </c>
      <c r="I34" s="102">
        <v>200</v>
      </c>
      <c r="J34" s="102"/>
      <c r="K34" s="102"/>
      <c r="L34" s="105">
        <v>20201118</v>
      </c>
    </row>
    <row r="35" ht="16" customHeight="1" spans="1:12">
      <c r="A35" s="102" t="s">
        <v>418</v>
      </c>
      <c r="B35" s="102" t="s">
        <v>15086</v>
      </c>
      <c r="C35" s="109" t="s">
        <v>15124</v>
      </c>
      <c r="D35" s="109" t="str">
        <f>"152326198506066877"</f>
        <v>152326198506066877</v>
      </c>
      <c r="E35" s="102" t="s">
        <v>15</v>
      </c>
      <c r="F35" s="102">
        <v>2020</v>
      </c>
      <c r="G35" s="102" t="s">
        <v>16</v>
      </c>
      <c r="H35" s="102">
        <v>200</v>
      </c>
      <c r="I35" s="102">
        <v>200</v>
      </c>
      <c r="J35" s="102"/>
      <c r="K35" s="102"/>
      <c r="L35" s="105">
        <v>20201118</v>
      </c>
    </row>
    <row r="36" ht="16" customHeight="1" spans="1:12">
      <c r="A36" s="102" t="s">
        <v>421</v>
      </c>
      <c r="B36" s="102" t="s">
        <v>15086</v>
      </c>
      <c r="C36" s="109" t="s">
        <v>15125</v>
      </c>
      <c r="D36" s="109" t="str">
        <f>"152326198402146960"</f>
        <v>152326198402146960</v>
      </c>
      <c r="E36" s="102" t="s">
        <v>15</v>
      </c>
      <c r="F36" s="102">
        <v>2020</v>
      </c>
      <c r="G36" s="102" t="s">
        <v>16</v>
      </c>
      <c r="H36" s="102">
        <v>200</v>
      </c>
      <c r="I36" s="102">
        <v>200</v>
      </c>
      <c r="J36" s="102"/>
      <c r="K36" s="102"/>
      <c r="L36" s="105">
        <v>20201118</v>
      </c>
    </row>
    <row r="37" ht="16" customHeight="1" spans="1:12">
      <c r="A37" s="102" t="s">
        <v>424</v>
      </c>
      <c r="B37" s="102" t="s">
        <v>15086</v>
      </c>
      <c r="C37" s="109" t="s">
        <v>15126</v>
      </c>
      <c r="D37" s="109" t="str">
        <f>"152326198405196883"</f>
        <v>152326198405196883</v>
      </c>
      <c r="E37" s="102" t="s">
        <v>15</v>
      </c>
      <c r="F37" s="102">
        <v>2020</v>
      </c>
      <c r="G37" s="102" t="s">
        <v>16</v>
      </c>
      <c r="H37" s="102">
        <v>500</v>
      </c>
      <c r="I37" s="102">
        <v>500</v>
      </c>
      <c r="J37" s="102"/>
      <c r="K37" s="107"/>
      <c r="L37" s="105">
        <v>20201118</v>
      </c>
    </row>
    <row r="38" ht="16" customHeight="1" spans="1:12">
      <c r="A38" s="102" t="s">
        <v>427</v>
      </c>
      <c r="B38" s="102" t="s">
        <v>15086</v>
      </c>
      <c r="C38" s="109" t="s">
        <v>15127</v>
      </c>
      <c r="D38" s="109" t="s">
        <v>15128</v>
      </c>
      <c r="E38" s="102" t="s">
        <v>15</v>
      </c>
      <c r="F38" s="102">
        <v>2020</v>
      </c>
      <c r="G38" s="102" t="s">
        <v>16</v>
      </c>
      <c r="H38" s="102">
        <v>200</v>
      </c>
      <c r="I38" s="102">
        <v>200</v>
      </c>
      <c r="J38" s="102"/>
      <c r="K38" s="102"/>
      <c r="L38" s="105">
        <v>20201118</v>
      </c>
    </row>
    <row r="39" ht="16" customHeight="1" spans="1:12">
      <c r="A39" s="102" t="s">
        <v>430</v>
      </c>
      <c r="B39" s="102" t="s">
        <v>15086</v>
      </c>
      <c r="C39" s="109" t="s">
        <v>15129</v>
      </c>
      <c r="D39" s="109" t="str">
        <f>"152326198408016884"</f>
        <v>152326198408016884</v>
      </c>
      <c r="E39" s="102" t="s">
        <v>15</v>
      </c>
      <c r="F39" s="102">
        <v>2020</v>
      </c>
      <c r="G39" s="102" t="s">
        <v>16</v>
      </c>
      <c r="H39" s="102">
        <v>200</v>
      </c>
      <c r="I39" s="102">
        <v>200</v>
      </c>
      <c r="J39" s="102"/>
      <c r="K39" s="102"/>
      <c r="L39" s="105">
        <v>20201118</v>
      </c>
    </row>
    <row r="40" ht="16" customHeight="1" spans="1:12">
      <c r="A40" s="102" t="s">
        <v>433</v>
      </c>
      <c r="B40" s="5" t="s">
        <v>15086</v>
      </c>
      <c r="C40" s="6" t="s">
        <v>8720</v>
      </c>
      <c r="D40" s="6" t="str">
        <f>"152326198411256889"</f>
        <v>152326198411256889</v>
      </c>
      <c r="E40" s="102" t="s">
        <v>15</v>
      </c>
      <c r="F40" s="102">
        <v>2020</v>
      </c>
      <c r="G40" s="5" t="s">
        <v>16</v>
      </c>
      <c r="H40" s="5">
        <v>200</v>
      </c>
      <c r="I40" s="5">
        <v>200</v>
      </c>
      <c r="J40" s="5"/>
      <c r="K40" s="5"/>
      <c r="L40" s="105">
        <v>20201118</v>
      </c>
    </row>
    <row r="41" ht="16" customHeight="1" spans="1:12">
      <c r="A41" s="102" t="s">
        <v>436</v>
      </c>
      <c r="B41" s="102" t="s">
        <v>15086</v>
      </c>
      <c r="C41" s="109" t="s">
        <v>15130</v>
      </c>
      <c r="D41" s="109" t="str">
        <f>"152326198410136885"</f>
        <v>152326198410136885</v>
      </c>
      <c r="E41" s="102" t="s">
        <v>15</v>
      </c>
      <c r="F41" s="102">
        <v>2020</v>
      </c>
      <c r="G41" s="102" t="s">
        <v>16</v>
      </c>
      <c r="H41" s="102">
        <v>500</v>
      </c>
      <c r="I41" s="102">
        <v>500</v>
      </c>
      <c r="J41" s="102"/>
      <c r="K41" s="107"/>
      <c r="L41" s="105">
        <v>20201118</v>
      </c>
    </row>
    <row r="42" ht="16" customHeight="1" spans="1:12">
      <c r="A42" s="102" t="s">
        <v>439</v>
      </c>
      <c r="B42" s="102" t="s">
        <v>15086</v>
      </c>
      <c r="C42" s="109" t="s">
        <v>15131</v>
      </c>
      <c r="D42" s="109" t="str">
        <f>"152326198403166883"</f>
        <v>152326198403166883</v>
      </c>
      <c r="E42" s="102" t="s">
        <v>15</v>
      </c>
      <c r="F42" s="102">
        <v>2020</v>
      </c>
      <c r="G42" s="102" t="s">
        <v>16</v>
      </c>
      <c r="H42" s="102">
        <v>200</v>
      </c>
      <c r="I42" s="102">
        <v>200</v>
      </c>
      <c r="J42" s="102"/>
      <c r="K42" s="102"/>
      <c r="L42" s="105">
        <v>20201118</v>
      </c>
    </row>
    <row r="43" ht="16" customHeight="1" spans="1:12">
      <c r="A43" s="102" t="s">
        <v>442</v>
      </c>
      <c r="B43" s="102" t="s">
        <v>15086</v>
      </c>
      <c r="C43" s="109" t="s">
        <v>15132</v>
      </c>
      <c r="D43" s="109" t="str">
        <f>"152326198411176918"</f>
        <v>152326198411176918</v>
      </c>
      <c r="E43" s="102" t="s">
        <v>15</v>
      </c>
      <c r="F43" s="102">
        <v>2020</v>
      </c>
      <c r="G43" s="102" t="s">
        <v>16</v>
      </c>
      <c r="H43" s="102">
        <v>200</v>
      </c>
      <c r="I43" s="102">
        <v>200</v>
      </c>
      <c r="J43" s="102"/>
      <c r="K43" s="102"/>
      <c r="L43" s="105">
        <v>20201118</v>
      </c>
    </row>
    <row r="44" ht="16" customHeight="1" spans="1:12">
      <c r="A44" s="102" t="s">
        <v>445</v>
      </c>
      <c r="B44" s="102" t="s">
        <v>15086</v>
      </c>
      <c r="C44" s="109" t="s">
        <v>15133</v>
      </c>
      <c r="D44" s="109" t="str">
        <f>"152301198303166029"</f>
        <v>152301198303166029</v>
      </c>
      <c r="E44" s="102" t="s">
        <v>15</v>
      </c>
      <c r="F44" s="102">
        <v>2020</v>
      </c>
      <c r="G44" s="102" t="s">
        <v>16</v>
      </c>
      <c r="H44" s="102">
        <v>500</v>
      </c>
      <c r="I44" s="102">
        <v>500</v>
      </c>
      <c r="J44" s="102"/>
      <c r="K44" s="107"/>
      <c r="L44" s="105">
        <v>20201118</v>
      </c>
    </row>
    <row r="45" ht="16" customHeight="1" spans="1:12">
      <c r="A45" s="102" t="s">
        <v>448</v>
      </c>
      <c r="B45" s="102" t="s">
        <v>15086</v>
      </c>
      <c r="C45" s="109" t="s">
        <v>15134</v>
      </c>
      <c r="D45" s="109" t="str">
        <f>"152326198301176888"</f>
        <v>152326198301176888</v>
      </c>
      <c r="E45" s="102" t="s">
        <v>15</v>
      </c>
      <c r="F45" s="102">
        <v>2020</v>
      </c>
      <c r="G45" s="102" t="s">
        <v>16</v>
      </c>
      <c r="H45" s="102">
        <v>500</v>
      </c>
      <c r="I45" s="102">
        <v>500</v>
      </c>
      <c r="J45" s="102"/>
      <c r="K45" s="107"/>
      <c r="L45" s="105">
        <v>20201118</v>
      </c>
    </row>
    <row r="46" ht="16" customHeight="1" spans="1:12">
      <c r="A46" s="102" t="s">
        <v>451</v>
      </c>
      <c r="B46" s="102" t="s">
        <v>15086</v>
      </c>
      <c r="C46" s="109" t="s">
        <v>15135</v>
      </c>
      <c r="D46" s="109" t="str">
        <f>"152326198306076878"</f>
        <v>152326198306076878</v>
      </c>
      <c r="E46" s="102" t="s">
        <v>15</v>
      </c>
      <c r="F46" s="102">
        <v>2020</v>
      </c>
      <c r="G46" s="102" t="s">
        <v>16</v>
      </c>
      <c r="H46" s="102">
        <v>200</v>
      </c>
      <c r="I46" s="102">
        <v>200</v>
      </c>
      <c r="J46" s="102"/>
      <c r="K46" s="102"/>
      <c r="L46" s="105">
        <v>20201118</v>
      </c>
    </row>
    <row r="47" ht="16" customHeight="1" spans="1:12">
      <c r="A47" s="102" t="s">
        <v>454</v>
      </c>
      <c r="B47" s="102" t="s">
        <v>15086</v>
      </c>
      <c r="C47" s="109" t="s">
        <v>13577</v>
      </c>
      <c r="D47" s="109" t="str">
        <f>"152326198309306907"</f>
        <v>152326198309306907</v>
      </c>
      <c r="E47" s="102" t="s">
        <v>15</v>
      </c>
      <c r="F47" s="102">
        <v>2020</v>
      </c>
      <c r="G47" s="102" t="s">
        <v>16</v>
      </c>
      <c r="H47" s="102">
        <v>200</v>
      </c>
      <c r="I47" s="102">
        <v>200</v>
      </c>
      <c r="J47" s="102"/>
      <c r="K47" s="102"/>
      <c r="L47" s="105">
        <v>20201118</v>
      </c>
    </row>
    <row r="48" ht="16" customHeight="1" spans="1:12">
      <c r="A48" s="102" t="s">
        <v>457</v>
      </c>
      <c r="B48" s="102" t="s">
        <v>15086</v>
      </c>
      <c r="C48" s="109" t="s">
        <v>15136</v>
      </c>
      <c r="D48" s="109" t="s">
        <v>15137</v>
      </c>
      <c r="E48" s="102" t="s">
        <v>15</v>
      </c>
      <c r="F48" s="102">
        <v>2020</v>
      </c>
      <c r="G48" s="102" t="s">
        <v>16</v>
      </c>
      <c r="H48" s="102">
        <v>200</v>
      </c>
      <c r="I48" s="102">
        <v>200</v>
      </c>
      <c r="J48" s="102" t="s">
        <v>5625</v>
      </c>
      <c r="K48" s="102"/>
      <c r="L48" s="105">
        <v>20201118</v>
      </c>
    </row>
    <row r="49" ht="16" customHeight="1" spans="1:12">
      <c r="A49" s="102" t="s">
        <v>460</v>
      </c>
      <c r="B49" s="102" t="s">
        <v>15086</v>
      </c>
      <c r="C49" s="109" t="s">
        <v>15138</v>
      </c>
      <c r="D49" s="109" t="str">
        <f>"152326198306166873"</f>
        <v>152326198306166873</v>
      </c>
      <c r="E49" s="102" t="s">
        <v>15</v>
      </c>
      <c r="F49" s="102">
        <v>2020</v>
      </c>
      <c r="G49" s="102" t="s">
        <v>16</v>
      </c>
      <c r="H49" s="102">
        <v>200</v>
      </c>
      <c r="I49" s="102">
        <v>200</v>
      </c>
      <c r="J49" s="102"/>
      <c r="K49" s="102"/>
      <c r="L49" s="105">
        <v>20201118</v>
      </c>
    </row>
    <row r="50" ht="16" customHeight="1" spans="1:12">
      <c r="A50" s="102" t="s">
        <v>463</v>
      </c>
      <c r="B50" s="102" t="s">
        <v>15086</v>
      </c>
      <c r="C50" s="109" t="s">
        <v>15139</v>
      </c>
      <c r="D50" s="109" t="str">
        <f>"152326198312026869"</f>
        <v>152326198312026869</v>
      </c>
      <c r="E50" s="102" t="s">
        <v>15</v>
      </c>
      <c r="F50" s="102">
        <v>2020</v>
      </c>
      <c r="G50" s="102" t="s">
        <v>16</v>
      </c>
      <c r="H50" s="102">
        <v>200</v>
      </c>
      <c r="I50" s="102">
        <v>200</v>
      </c>
      <c r="J50" s="102"/>
      <c r="K50" s="102"/>
      <c r="L50" s="105">
        <v>20201118</v>
      </c>
    </row>
    <row r="51" ht="16" customHeight="1" spans="1:12">
      <c r="A51" s="102" t="s">
        <v>466</v>
      </c>
      <c r="B51" s="102" t="s">
        <v>15086</v>
      </c>
      <c r="C51" s="109" t="s">
        <v>15140</v>
      </c>
      <c r="D51" s="109" t="str">
        <f>"152326198312026877"</f>
        <v>152326198312026877</v>
      </c>
      <c r="E51" s="102" t="s">
        <v>15</v>
      </c>
      <c r="F51" s="102">
        <v>2020</v>
      </c>
      <c r="G51" s="102" t="s">
        <v>16</v>
      </c>
      <c r="H51" s="102">
        <v>500</v>
      </c>
      <c r="I51" s="102">
        <v>500</v>
      </c>
      <c r="J51" s="102"/>
      <c r="K51" s="107"/>
      <c r="L51" s="105">
        <v>20201118</v>
      </c>
    </row>
    <row r="52" ht="16" customHeight="1" spans="1:12">
      <c r="A52" s="102" t="s">
        <v>469</v>
      </c>
      <c r="B52" s="102" t="s">
        <v>15086</v>
      </c>
      <c r="C52" s="109" t="s">
        <v>15141</v>
      </c>
      <c r="D52" s="109" t="str">
        <f>"152326198302186869"</f>
        <v>152326198302186869</v>
      </c>
      <c r="E52" s="102" t="s">
        <v>15</v>
      </c>
      <c r="F52" s="102">
        <v>2020</v>
      </c>
      <c r="G52" s="102" t="s">
        <v>16</v>
      </c>
      <c r="H52" s="102">
        <v>500</v>
      </c>
      <c r="I52" s="102">
        <v>500</v>
      </c>
      <c r="J52" s="102"/>
      <c r="K52" s="102"/>
      <c r="L52" s="105">
        <v>20201118</v>
      </c>
    </row>
    <row r="53" ht="16" customHeight="1" spans="1:12">
      <c r="A53" s="102" t="s">
        <v>472</v>
      </c>
      <c r="B53" s="102" t="s">
        <v>15086</v>
      </c>
      <c r="C53" s="109" t="s">
        <v>15142</v>
      </c>
      <c r="D53" s="109" t="str">
        <f>"152326198207026883"</f>
        <v>152326198207026883</v>
      </c>
      <c r="E53" s="102" t="s">
        <v>15</v>
      </c>
      <c r="F53" s="102">
        <v>2020</v>
      </c>
      <c r="G53" s="102" t="s">
        <v>16</v>
      </c>
      <c r="H53" s="102">
        <v>200</v>
      </c>
      <c r="I53" s="102">
        <v>200</v>
      </c>
      <c r="J53" s="102"/>
      <c r="K53" s="102"/>
      <c r="L53" s="105">
        <v>20201118</v>
      </c>
    </row>
    <row r="54" ht="16" customHeight="1" spans="1:12">
      <c r="A54" s="102" t="s">
        <v>475</v>
      </c>
      <c r="B54" s="102" t="s">
        <v>15086</v>
      </c>
      <c r="C54" s="109" t="s">
        <v>15143</v>
      </c>
      <c r="D54" s="109" t="s">
        <v>15144</v>
      </c>
      <c r="E54" s="102" t="s">
        <v>15</v>
      </c>
      <c r="F54" s="102">
        <v>2020</v>
      </c>
      <c r="G54" s="102" t="s">
        <v>16</v>
      </c>
      <c r="H54" s="102">
        <v>500</v>
      </c>
      <c r="I54" s="102">
        <v>500</v>
      </c>
      <c r="J54" s="102"/>
      <c r="K54" s="107"/>
      <c r="L54" s="105">
        <v>20201118</v>
      </c>
    </row>
    <row r="55" ht="16" customHeight="1" spans="1:12">
      <c r="A55" s="102" t="s">
        <v>478</v>
      </c>
      <c r="B55" s="102" t="s">
        <v>15086</v>
      </c>
      <c r="C55" s="109" t="s">
        <v>15145</v>
      </c>
      <c r="D55" s="109" t="str">
        <f>"152326198203096913"</f>
        <v>152326198203096913</v>
      </c>
      <c r="E55" s="102" t="s">
        <v>15</v>
      </c>
      <c r="F55" s="102">
        <v>2020</v>
      </c>
      <c r="G55" s="102" t="s">
        <v>16</v>
      </c>
      <c r="H55" s="102">
        <v>200</v>
      </c>
      <c r="I55" s="102">
        <v>200</v>
      </c>
      <c r="J55" s="102"/>
      <c r="K55" s="102"/>
      <c r="L55" s="105">
        <v>20201118</v>
      </c>
    </row>
    <row r="56" ht="16" customHeight="1" spans="1:12">
      <c r="A56" s="102" t="s">
        <v>481</v>
      </c>
      <c r="B56" s="102" t="s">
        <v>15086</v>
      </c>
      <c r="C56" s="109" t="s">
        <v>15146</v>
      </c>
      <c r="D56" s="109" t="str">
        <f>"152326198211161228"</f>
        <v>152326198211161228</v>
      </c>
      <c r="E56" s="102" t="s">
        <v>15</v>
      </c>
      <c r="F56" s="102">
        <v>2020</v>
      </c>
      <c r="G56" s="102" t="s">
        <v>16</v>
      </c>
      <c r="H56" s="102">
        <v>500</v>
      </c>
      <c r="I56" s="102">
        <v>500</v>
      </c>
      <c r="J56" s="102"/>
      <c r="K56" s="102"/>
      <c r="L56" s="105">
        <v>20201118</v>
      </c>
    </row>
    <row r="57" ht="16" customHeight="1" spans="1:12">
      <c r="A57" s="102" t="s">
        <v>484</v>
      </c>
      <c r="B57" s="102" t="s">
        <v>15086</v>
      </c>
      <c r="C57" s="109" t="s">
        <v>15147</v>
      </c>
      <c r="D57" s="109" t="str">
        <f>"152326198202116871"</f>
        <v>152326198202116871</v>
      </c>
      <c r="E57" s="102" t="s">
        <v>15</v>
      </c>
      <c r="F57" s="102">
        <v>2020</v>
      </c>
      <c r="G57" s="102" t="s">
        <v>16</v>
      </c>
      <c r="H57" s="102">
        <v>200</v>
      </c>
      <c r="I57" s="102">
        <v>200</v>
      </c>
      <c r="J57" s="102"/>
      <c r="K57" s="102"/>
      <c r="L57" s="105">
        <v>20201118</v>
      </c>
    </row>
    <row r="58" ht="16" customHeight="1" spans="1:12">
      <c r="A58" s="102" t="s">
        <v>487</v>
      </c>
      <c r="B58" s="102" t="s">
        <v>15086</v>
      </c>
      <c r="C58" s="109" t="s">
        <v>15148</v>
      </c>
      <c r="D58" s="109" t="str">
        <f>"152326198202106892"</f>
        <v>152326198202106892</v>
      </c>
      <c r="E58" s="102" t="s">
        <v>15</v>
      </c>
      <c r="F58" s="102">
        <v>2020</v>
      </c>
      <c r="G58" s="102" t="s">
        <v>16</v>
      </c>
      <c r="H58" s="102">
        <v>200</v>
      </c>
      <c r="I58" s="102">
        <v>200</v>
      </c>
      <c r="J58" s="102"/>
      <c r="K58" s="102"/>
      <c r="L58" s="105">
        <v>20201118</v>
      </c>
    </row>
    <row r="59" ht="16" customHeight="1" spans="1:12">
      <c r="A59" s="102" t="s">
        <v>490</v>
      </c>
      <c r="B59" s="102" t="s">
        <v>15086</v>
      </c>
      <c r="C59" s="109" t="s">
        <v>15149</v>
      </c>
      <c r="D59" s="109" t="s">
        <v>15150</v>
      </c>
      <c r="E59" s="102" t="s">
        <v>15</v>
      </c>
      <c r="F59" s="102">
        <v>2020</v>
      </c>
      <c r="G59" s="102" t="s">
        <v>16</v>
      </c>
      <c r="H59" s="102">
        <v>200</v>
      </c>
      <c r="I59" s="102">
        <v>200</v>
      </c>
      <c r="J59" s="102" t="s">
        <v>5625</v>
      </c>
      <c r="K59" s="102"/>
      <c r="L59" s="105">
        <v>20201118</v>
      </c>
    </row>
    <row r="60" ht="16" customHeight="1" spans="1:12">
      <c r="A60" s="102" t="s">
        <v>493</v>
      </c>
      <c r="B60" s="102" t="s">
        <v>15086</v>
      </c>
      <c r="C60" s="109" t="s">
        <v>15151</v>
      </c>
      <c r="D60" s="109" t="str">
        <f>"152326198204156893"</f>
        <v>152326198204156893</v>
      </c>
      <c r="E60" s="102" t="s">
        <v>15</v>
      </c>
      <c r="F60" s="102">
        <v>2020</v>
      </c>
      <c r="G60" s="102" t="s">
        <v>16</v>
      </c>
      <c r="H60" s="102">
        <v>200</v>
      </c>
      <c r="I60" s="102">
        <v>200</v>
      </c>
      <c r="J60" s="102"/>
      <c r="K60" s="102"/>
      <c r="L60" s="105">
        <v>20201118</v>
      </c>
    </row>
    <row r="61" ht="16" customHeight="1" spans="1:12">
      <c r="A61" s="102" t="s">
        <v>496</v>
      </c>
      <c r="B61" s="102" t="s">
        <v>15086</v>
      </c>
      <c r="C61" s="109" t="s">
        <v>15152</v>
      </c>
      <c r="D61" s="109" t="str">
        <f>"152326198207106891"</f>
        <v>152326198207106891</v>
      </c>
      <c r="E61" s="102" t="s">
        <v>15</v>
      </c>
      <c r="F61" s="102">
        <v>2020</v>
      </c>
      <c r="G61" s="102" t="s">
        <v>16</v>
      </c>
      <c r="H61" s="102">
        <v>500</v>
      </c>
      <c r="I61" s="102">
        <v>500</v>
      </c>
      <c r="J61" s="102"/>
      <c r="K61" s="102"/>
      <c r="L61" s="105">
        <v>20201118</v>
      </c>
    </row>
    <row r="62" ht="16" customHeight="1" spans="1:12">
      <c r="A62" s="102" t="s">
        <v>499</v>
      </c>
      <c r="B62" s="102" t="s">
        <v>15086</v>
      </c>
      <c r="C62" s="109" t="s">
        <v>15153</v>
      </c>
      <c r="D62" s="109" t="str">
        <f>"152326198201296882"</f>
        <v>152326198201296882</v>
      </c>
      <c r="E62" s="102" t="s">
        <v>15</v>
      </c>
      <c r="F62" s="102">
        <v>2020</v>
      </c>
      <c r="G62" s="102" t="s">
        <v>16</v>
      </c>
      <c r="H62" s="102">
        <v>500</v>
      </c>
      <c r="I62" s="102">
        <v>500</v>
      </c>
      <c r="J62" s="102"/>
      <c r="K62" s="102"/>
      <c r="L62" s="105">
        <v>20201118</v>
      </c>
    </row>
    <row r="63" ht="16" customHeight="1" spans="1:12">
      <c r="A63" s="102" t="s">
        <v>502</v>
      </c>
      <c r="B63" s="102" t="s">
        <v>15086</v>
      </c>
      <c r="C63" s="109" t="s">
        <v>15154</v>
      </c>
      <c r="D63" s="109" t="str">
        <f>"152326198102106895"</f>
        <v>152326198102106895</v>
      </c>
      <c r="E63" s="102" t="s">
        <v>15</v>
      </c>
      <c r="F63" s="102">
        <v>2020</v>
      </c>
      <c r="G63" s="102" t="s">
        <v>16</v>
      </c>
      <c r="H63" s="102">
        <v>200</v>
      </c>
      <c r="I63" s="102">
        <v>200</v>
      </c>
      <c r="J63" s="102"/>
      <c r="K63" s="102"/>
      <c r="L63" s="105">
        <v>20201118</v>
      </c>
    </row>
    <row r="64" ht="16" customHeight="1" spans="1:12">
      <c r="A64" s="102" t="s">
        <v>505</v>
      </c>
      <c r="B64" s="102" t="s">
        <v>15086</v>
      </c>
      <c r="C64" s="109" t="s">
        <v>4928</v>
      </c>
      <c r="D64" s="109" t="str">
        <f>"152326198108036875"</f>
        <v>152326198108036875</v>
      </c>
      <c r="E64" s="102" t="s">
        <v>15</v>
      </c>
      <c r="F64" s="102">
        <v>2020</v>
      </c>
      <c r="G64" s="102" t="s">
        <v>16</v>
      </c>
      <c r="H64" s="102">
        <v>500</v>
      </c>
      <c r="I64" s="102">
        <v>500</v>
      </c>
      <c r="J64" s="102"/>
      <c r="K64" s="107"/>
      <c r="L64" s="105">
        <v>20201118</v>
      </c>
    </row>
    <row r="65" ht="16" customHeight="1" spans="1:12">
      <c r="A65" s="102" t="s">
        <v>508</v>
      </c>
      <c r="B65" s="102" t="s">
        <v>15086</v>
      </c>
      <c r="C65" s="109" t="s">
        <v>15155</v>
      </c>
      <c r="D65" s="109" t="s">
        <v>15156</v>
      </c>
      <c r="E65" s="102" t="s">
        <v>15</v>
      </c>
      <c r="F65" s="102">
        <v>2020</v>
      </c>
      <c r="G65" s="102" t="s">
        <v>16</v>
      </c>
      <c r="H65" s="102">
        <v>200</v>
      </c>
      <c r="I65" s="102">
        <v>200</v>
      </c>
      <c r="J65" s="102" t="s">
        <v>768</v>
      </c>
      <c r="K65" s="102"/>
      <c r="L65" s="105">
        <v>20201118</v>
      </c>
    </row>
    <row r="66" ht="16" customHeight="1" spans="1:12">
      <c r="A66" s="102" t="s">
        <v>511</v>
      </c>
      <c r="B66" s="102" t="s">
        <v>15086</v>
      </c>
      <c r="C66" s="109" t="s">
        <v>15157</v>
      </c>
      <c r="D66" s="109" t="str">
        <f>"152326198112027146"</f>
        <v>152326198112027146</v>
      </c>
      <c r="E66" s="102" t="s">
        <v>15</v>
      </c>
      <c r="F66" s="102">
        <v>2020</v>
      </c>
      <c r="G66" s="102" t="s">
        <v>16</v>
      </c>
      <c r="H66" s="102">
        <v>200</v>
      </c>
      <c r="I66" s="102">
        <v>200</v>
      </c>
      <c r="J66" s="102"/>
      <c r="K66" s="102"/>
      <c r="L66" s="105">
        <v>20201118</v>
      </c>
    </row>
    <row r="67" ht="16" customHeight="1" spans="1:12">
      <c r="A67" s="102" t="s">
        <v>514</v>
      </c>
      <c r="B67" s="102" t="s">
        <v>15086</v>
      </c>
      <c r="C67" s="109" t="s">
        <v>15158</v>
      </c>
      <c r="D67" s="109" t="str">
        <f>"152326198109156895"</f>
        <v>152326198109156895</v>
      </c>
      <c r="E67" s="102" t="s">
        <v>15</v>
      </c>
      <c r="F67" s="102">
        <v>2020</v>
      </c>
      <c r="G67" s="102" t="s">
        <v>16</v>
      </c>
      <c r="H67" s="102">
        <v>500</v>
      </c>
      <c r="I67" s="102">
        <v>500</v>
      </c>
      <c r="J67" s="102"/>
      <c r="K67" s="107"/>
      <c r="L67" s="105">
        <v>20201118</v>
      </c>
    </row>
    <row r="68" ht="16" customHeight="1" spans="1:12">
      <c r="A68" s="102" t="s">
        <v>517</v>
      </c>
      <c r="B68" s="102" t="s">
        <v>15086</v>
      </c>
      <c r="C68" s="109" t="s">
        <v>15159</v>
      </c>
      <c r="D68" s="109" t="s">
        <v>15160</v>
      </c>
      <c r="E68" s="102" t="s">
        <v>15</v>
      </c>
      <c r="F68" s="102">
        <v>2020</v>
      </c>
      <c r="G68" s="102" t="s">
        <v>16</v>
      </c>
      <c r="H68" s="102">
        <v>200</v>
      </c>
      <c r="I68" s="102">
        <v>200</v>
      </c>
      <c r="J68" s="102" t="s">
        <v>108</v>
      </c>
      <c r="K68" s="102"/>
      <c r="L68" s="105">
        <v>20201118</v>
      </c>
    </row>
    <row r="69" ht="16" customHeight="1" spans="1:12">
      <c r="A69" s="102" t="s">
        <v>518</v>
      </c>
      <c r="B69" s="102" t="s">
        <v>15086</v>
      </c>
      <c r="C69" s="109" t="s">
        <v>15161</v>
      </c>
      <c r="D69" s="109" t="str">
        <f>"152326198103086873"</f>
        <v>152326198103086873</v>
      </c>
      <c r="E69" s="102" t="s">
        <v>15</v>
      </c>
      <c r="F69" s="102">
        <v>2020</v>
      </c>
      <c r="G69" s="102" t="s">
        <v>16</v>
      </c>
      <c r="H69" s="102">
        <v>200</v>
      </c>
      <c r="I69" s="102">
        <v>200</v>
      </c>
      <c r="J69" s="102"/>
      <c r="K69" s="102"/>
      <c r="L69" s="105">
        <v>20201118</v>
      </c>
    </row>
    <row r="70" ht="16" customHeight="1" spans="1:12">
      <c r="A70" s="102" t="s">
        <v>521</v>
      </c>
      <c r="B70" s="102" t="s">
        <v>15086</v>
      </c>
      <c r="C70" s="109" t="s">
        <v>15162</v>
      </c>
      <c r="D70" s="109" t="str">
        <f>"152326198111216885"</f>
        <v>152326198111216885</v>
      </c>
      <c r="E70" s="102" t="s">
        <v>15</v>
      </c>
      <c r="F70" s="102">
        <v>2020</v>
      </c>
      <c r="G70" s="102" t="s">
        <v>16</v>
      </c>
      <c r="H70" s="102">
        <v>200</v>
      </c>
      <c r="I70" s="102">
        <v>200</v>
      </c>
      <c r="J70" s="102"/>
      <c r="K70" s="102"/>
      <c r="L70" s="105">
        <v>20201118</v>
      </c>
    </row>
    <row r="71" ht="16" customHeight="1" spans="1:12">
      <c r="A71" s="102" t="s">
        <v>524</v>
      </c>
      <c r="B71" s="102" t="s">
        <v>15086</v>
      </c>
      <c r="C71" s="109" t="s">
        <v>11779</v>
      </c>
      <c r="D71" s="109" t="str">
        <f>"152326198105036896"</f>
        <v>152326198105036896</v>
      </c>
      <c r="E71" s="102" t="s">
        <v>15</v>
      </c>
      <c r="F71" s="102">
        <v>2020</v>
      </c>
      <c r="G71" s="102" t="s">
        <v>16</v>
      </c>
      <c r="H71" s="102">
        <v>200</v>
      </c>
      <c r="I71" s="102">
        <v>200</v>
      </c>
      <c r="J71" s="102"/>
      <c r="K71" s="102"/>
      <c r="L71" s="105">
        <v>20201118</v>
      </c>
    </row>
    <row r="72" ht="16" customHeight="1" spans="1:12">
      <c r="A72" s="102" t="s">
        <v>527</v>
      </c>
      <c r="B72" s="102" t="s">
        <v>15086</v>
      </c>
      <c r="C72" s="109" t="s">
        <v>15163</v>
      </c>
      <c r="D72" s="109" t="s">
        <v>15164</v>
      </c>
      <c r="E72" s="102" t="s">
        <v>15</v>
      </c>
      <c r="F72" s="102">
        <v>2020</v>
      </c>
      <c r="G72" s="102" t="s">
        <v>16</v>
      </c>
      <c r="H72" s="102">
        <v>200</v>
      </c>
      <c r="I72" s="102">
        <v>200</v>
      </c>
      <c r="J72" s="102"/>
      <c r="K72" s="102"/>
      <c r="L72" s="105">
        <v>20201118</v>
      </c>
    </row>
    <row r="73" ht="16" customHeight="1" spans="1:12">
      <c r="A73" s="102" t="s">
        <v>530</v>
      </c>
      <c r="B73" s="102" t="s">
        <v>15086</v>
      </c>
      <c r="C73" s="109" t="s">
        <v>15165</v>
      </c>
      <c r="D73" s="109" t="str">
        <f>"152326198005227126"</f>
        <v>152326198005227126</v>
      </c>
      <c r="E73" s="102" t="s">
        <v>15</v>
      </c>
      <c r="F73" s="102">
        <v>2020</v>
      </c>
      <c r="G73" s="102" t="s">
        <v>16</v>
      </c>
      <c r="H73" s="102">
        <v>200</v>
      </c>
      <c r="I73" s="102">
        <v>200</v>
      </c>
      <c r="J73" s="102"/>
      <c r="K73" s="102"/>
      <c r="L73" s="105">
        <v>20201118</v>
      </c>
    </row>
    <row r="74" ht="16" customHeight="1" spans="1:12">
      <c r="A74" s="102" t="s">
        <v>533</v>
      </c>
      <c r="B74" s="102" t="s">
        <v>15086</v>
      </c>
      <c r="C74" s="109" t="s">
        <v>15166</v>
      </c>
      <c r="D74" s="109" t="str">
        <f>"152326198005096867"</f>
        <v>152326198005096867</v>
      </c>
      <c r="E74" s="102" t="s">
        <v>15</v>
      </c>
      <c r="F74" s="102">
        <v>2020</v>
      </c>
      <c r="G74" s="102" t="s">
        <v>16</v>
      </c>
      <c r="H74" s="102">
        <v>200</v>
      </c>
      <c r="I74" s="102">
        <v>200</v>
      </c>
      <c r="J74" s="102"/>
      <c r="K74" s="102"/>
      <c r="L74" s="105">
        <v>20201118</v>
      </c>
    </row>
    <row r="75" ht="16" customHeight="1" spans="1:12">
      <c r="A75" s="102" t="s">
        <v>536</v>
      </c>
      <c r="B75" s="102" t="s">
        <v>15086</v>
      </c>
      <c r="C75" s="109" t="s">
        <v>15167</v>
      </c>
      <c r="D75" s="109" t="str">
        <f>"152326198007086910"</f>
        <v>152326198007086910</v>
      </c>
      <c r="E75" s="102" t="s">
        <v>15</v>
      </c>
      <c r="F75" s="102">
        <v>2020</v>
      </c>
      <c r="G75" s="102" t="s">
        <v>16</v>
      </c>
      <c r="H75" s="102">
        <v>200</v>
      </c>
      <c r="I75" s="102">
        <v>200</v>
      </c>
      <c r="J75" s="102"/>
      <c r="K75" s="102"/>
      <c r="L75" s="105">
        <v>20201118</v>
      </c>
    </row>
    <row r="76" ht="16" customHeight="1" spans="1:12">
      <c r="A76" s="102" t="s">
        <v>539</v>
      </c>
      <c r="B76" s="102" t="s">
        <v>15086</v>
      </c>
      <c r="C76" s="109" t="s">
        <v>15168</v>
      </c>
      <c r="D76" s="109" t="str">
        <f>"152326198012106883"</f>
        <v>152326198012106883</v>
      </c>
      <c r="E76" s="102" t="s">
        <v>15</v>
      </c>
      <c r="F76" s="102">
        <v>2020</v>
      </c>
      <c r="G76" s="102" t="s">
        <v>16</v>
      </c>
      <c r="H76" s="102">
        <v>200</v>
      </c>
      <c r="I76" s="102">
        <v>200</v>
      </c>
      <c r="J76" s="102"/>
      <c r="K76" s="102"/>
      <c r="L76" s="105">
        <v>20201118</v>
      </c>
    </row>
    <row r="77" ht="16" customHeight="1" spans="1:12">
      <c r="A77" s="102" t="s">
        <v>542</v>
      </c>
      <c r="B77" s="102" t="s">
        <v>15086</v>
      </c>
      <c r="C77" s="109" t="s">
        <v>7919</v>
      </c>
      <c r="D77" s="109" t="s">
        <v>15169</v>
      </c>
      <c r="E77" s="102" t="s">
        <v>15</v>
      </c>
      <c r="F77" s="102">
        <v>2020</v>
      </c>
      <c r="G77" s="102" t="s">
        <v>16</v>
      </c>
      <c r="H77" s="102">
        <v>200</v>
      </c>
      <c r="I77" s="102">
        <v>200</v>
      </c>
      <c r="J77" s="102"/>
      <c r="K77" s="102"/>
      <c r="L77" s="105">
        <v>20201118</v>
      </c>
    </row>
    <row r="78" ht="16" customHeight="1" spans="1:12">
      <c r="A78" s="102" t="s">
        <v>545</v>
      </c>
      <c r="B78" s="102" t="s">
        <v>15086</v>
      </c>
      <c r="C78" s="109" t="s">
        <v>15170</v>
      </c>
      <c r="D78" s="109" t="s">
        <v>15171</v>
      </c>
      <c r="E78" s="102" t="s">
        <v>15</v>
      </c>
      <c r="F78" s="102">
        <v>2020</v>
      </c>
      <c r="G78" s="102" t="s">
        <v>16</v>
      </c>
      <c r="H78" s="102">
        <v>200</v>
      </c>
      <c r="I78" s="102">
        <v>200</v>
      </c>
      <c r="J78" s="102"/>
      <c r="K78" s="102"/>
      <c r="L78" s="105">
        <v>20201118</v>
      </c>
    </row>
    <row r="79" ht="16" customHeight="1" spans="1:12">
      <c r="A79" s="102" t="s">
        <v>548</v>
      </c>
      <c r="B79" s="102" t="s">
        <v>15086</v>
      </c>
      <c r="C79" s="109" t="s">
        <v>15172</v>
      </c>
      <c r="D79" s="109" t="str">
        <f>"152326198010296871"</f>
        <v>152326198010296871</v>
      </c>
      <c r="E79" s="102" t="s">
        <v>15</v>
      </c>
      <c r="F79" s="102">
        <v>2020</v>
      </c>
      <c r="G79" s="102" t="s">
        <v>16</v>
      </c>
      <c r="H79" s="102">
        <v>200</v>
      </c>
      <c r="I79" s="102">
        <v>200</v>
      </c>
      <c r="J79" s="102"/>
      <c r="K79" s="102"/>
      <c r="L79" s="105">
        <v>20201118</v>
      </c>
    </row>
    <row r="80" ht="16" customHeight="1" spans="1:12">
      <c r="A80" s="102" t="s">
        <v>551</v>
      </c>
      <c r="B80" s="102" t="s">
        <v>15086</v>
      </c>
      <c r="C80" s="109" t="s">
        <v>15173</v>
      </c>
      <c r="D80" s="109" t="str">
        <f>"152324198003101463"</f>
        <v>152324198003101463</v>
      </c>
      <c r="E80" s="102" t="s">
        <v>15</v>
      </c>
      <c r="F80" s="102">
        <v>2020</v>
      </c>
      <c r="G80" s="102" t="s">
        <v>16</v>
      </c>
      <c r="H80" s="102">
        <v>200</v>
      </c>
      <c r="I80" s="102">
        <v>200</v>
      </c>
      <c r="J80" s="102"/>
      <c r="K80" s="102"/>
      <c r="L80" s="105">
        <v>20201118</v>
      </c>
    </row>
    <row r="81" ht="16" customHeight="1" spans="1:12">
      <c r="A81" s="102" t="s">
        <v>554</v>
      </c>
      <c r="B81" s="102" t="s">
        <v>15086</v>
      </c>
      <c r="C81" s="109" t="s">
        <v>15174</v>
      </c>
      <c r="D81" s="109" t="str">
        <f>"152326198002246903"</f>
        <v>152326198002246903</v>
      </c>
      <c r="E81" s="102" t="s">
        <v>15</v>
      </c>
      <c r="F81" s="102">
        <v>2020</v>
      </c>
      <c r="G81" s="102" t="s">
        <v>16</v>
      </c>
      <c r="H81" s="102">
        <v>200</v>
      </c>
      <c r="I81" s="102">
        <v>200</v>
      </c>
      <c r="J81" s="102"/>
      <c r="K81" s="102"/>
      <c r="L81" s="105">
        <v>20201118</v>
      </c>
    </row>
    <row r="82" ht="16" customHeight="1" spans="1:12">
      <c r="A82" s="102" t="s">
        <v>557</v>
      </c>
      <c r="B82" s="102" t="s">
        <v>15086</v>
      </c>
      <c r="C82" s="109" t="s">
        <v>15175</v>
      </c>
      <c r="D82" s="109" t="s">
        <v>15176</v>
      </c>
      <c r="E82" s="102" t="s">
        <v>15</v>
      </c>
      <c r="F82" s="102">
        <v>2020</v>
      </c>
      <c r="G82" s="102" t="s">
        <v>16</v>
      </c>
      <c r="H82" s="102">
        <v>200</v>
      </c>
      <c r="I82" s="102">
        <v>200</v>
      </c>
      <c r="J82" s="102"/>
      <c r="K82" s="102"/>
      <c r="L82" s="105">
        <v>20201118</v>
      </c>
    </row>
    <row r="83" ht="16" customHeight="1" spans="1:12">
      <c r="A83" s="102" t="s">
        <v>560</v>
      </c>
      <c r="B83" s="102" t="s">
        <v>15086</v>
      </c>
      <c r="C83" s="109" t="s">
        <v>15177</v>
      </c>
      <c r="D83" s="109" t="str">
        <f>"152326197901046871"</f>
        <v>152326197901046871</v>
      </c>
      <c r="E83" s="102" t="s">
        <v>15</v>
      </c>
      <c r="F83" s="102">
        <v>2020</v>
      </c>
      <c r="G83" s="102" t="s">
        <v>16</v>
      </c>
      <c r="H83" s="102">
        <v>500</v>
      </c>
      <c r="I83" s="102">
        <v>500</v>
      </c>
      <c r="J83" s="102"/>
      <c r="K83" s="102"/>
      <c r="L83" s="105">
        <v>20201118</v>
      </c>
    </row>
    <row r="84" ht="16" customHeight="1" spans="1:12">
      <c r="A84" s="102" t="s">
        <v>563</v>
      </c>
      <c r="B84" s="102" t="s">
        <v>15086</v>
      </c>
      <c r="C84" s="109" t="s">
        <v>15178</v>
      </c>
      <c r="D84" s="109" t="s">
        <v>15179</v>
      </c>
      <c r="E84" s="102" t="s">
        <v>15</v>
      </c>
      <c r="F84" s="102">
        <v>2020</v>
      </c>
      <c r="G84" s="102" t="s">
        <v>16</v>
      </c>
      <c r="H84" s="102">
        <v>200</v>
      </c>
      <c r="I84" s="102">
        <v>200</v>
      </c>
      <c r="J84" s="102" t="s">
        <v>5625</v>
      </c>
      <c r="K84" s="102"/>
      <c r="L84" s="105">
        <v>20201118</v>
      </c>
    </row>
    <row r="85" ht="16" customHeight="1" spans="1:12">
      <c r="A85" s="102" t="s">
        <v>566</v>
      </c>
      <c r="B85" s="102" t="s">
        <v>15086</v>
      </c>
      <c r="C85" s="109" t="s">
        <v>15180</v>
      </c>
      <c r="D85" s="109" t="str">
        <f>"152326197912026892"</f>
        <v>152326197912026892</v>
      </c>
      <c r="E85" s="102" t="s">
        <v>15</v>
      </c>
      <c r="F85" s="102">
        <v>2020</v>
      </c>
      <c r="G85" s="102" t="s">
        <v>16</v>
      </c>
      <c r="H85" s="102">
        <v>200</v>
      </c>
      <c r="I85" s="102">
        <v>200</v>
      </c>
      <c r="J85" s="102"/>
      <c r="K85" s="102"/>
      <c r="L85" s="105">
        <v>20201118</v>
      </c>
    </row>
    <row r="86" ht="16" customHeight="1" spans="1:12">
      <c r="A86" s="102" t="s">
        <v>569</v>
      </c>
      <c r="B86" s="102" t="s">
        <v>15086</v>
      </c>
      <c r="C86" s="109" t="s">
        <v>15098</v>
      </c>
      <c r="D86" s="109" t="str">
        <f>"152326197912186896"</f>
        <v>152326197912186896</v>
      </c>
      <c r="E86" s="102" t="s">
        <v>15</v>
      </c>
      <c r="F86" s="102">
        <v>2020</v>
      </c>
      <c r="G86" s="102" t="s">
        <v>16</v>
      </c>
      <c r="H86" s="102">
        <v>500</v>
      </c>
      <c r="I86" s="102">
        <v>500</v>
      </c>
      <c r="J86" s="102"/>
      <c r="K86" s="102"/>
      <c r="L86" s="105">
        <v>20201118</v>
      </c>
    </row>
    <row r="87" ht="16" customHeight="1" spans="1:12">
      <c r="A87" s="102" t="s">
        <v>572</v>
      </c>
      <c r="B87" s="102" t="s">
        <v>15086</v>
      </c>
      <c r="C87" s="109" t="s">
        <v>15181</v>
      </c>
      <c r="D87" s="109" t="str">
        <f>"152326197907016868"</f>
        <v>152326197907016868</v>
      </c>
      <c r="E87" s="102" t="s">
        <v>15</v>
      </c>
      <c r="F87" s="102">
        <v>2020</v>
      </c>
      <c r="G87" s="102" t="s">
        <v>16</v>
      </c>
      <c r="H87" s="102">
        <v>200</v>
      </c>
      <c r="I87" s="102">
        <v>200</v>
      </c>
      <c r="J87" s="102"/>
      <c r="K87" s="102"/>
      <c r="L87" s="105">
        <v>20201118</v>
      </c>
    </row>
    <row r="88" ht="16" customHeight="1" spans="1:12">
      <c r="A88" s="102" t="s">
        <v>575</v>
      </c>
      <c r="B88" s="102" t="s">
        <v>15086</v>
      </c>
      <c r="C88" s="109" t="s">
        <v>15182</v>
      </c>
      <c r="D88" s="109" t="s">
        <v>15183</v>
      </c>
      <c r="E88" s="102" t="s">
        <v>15</v>
      </c>
      <c r="F88" s="102">
        <v>2020</v>
      </c>
      <c r="G88" s="102" t="s">
        <v>16</v>
      </c>
      <c r="H88" s="102">
        <v>200</v>
      </c>
      <c r="I88" s="102">
        <v>200</v>
      </c>
      <c r="J88" s="102"/>
      <c r="K88" s="102"/>
      <c r="L88" s="105">
        <v>20201118</v>
      </c>
    </row>
    <row r="89" ht="16" customHeight="1" spans="1:12">
      <c r="A89" s="102" t="s">
        <v>578</v>
      </c>
      <c r="B89" s="102" t="s">
        <v>15086</v>
      </c>
      <c r="C89" s="109" t="s">
        <v>15184</v>
      </c>
      <c r="D89" s="109" t="str">
        <f>"152326197910136879"</f>
        <v>152326197910136879</v>
      </c>
      <c r="E89" s="102" t="s">
        <v>15</v>
      </c>
      <c r="F89" s="102">
        <v>2020</v>
      </c>
      <c r="G89" s="102" t="s">
        <v>16</v>
      </c>
      <c r="H89" s="102">
        <v>200</v>
      </c>
      <c r="I89" s="102">
        <v>200</v>
      </c>
      <c r="J89" s="102"/>
      <c r="K89" s="102"/>
      <c r="L89" s="105">
        <v>20201118</v>
      </c>
    </row>
    <row r="90" ht="16" customHeight="1" spans="1:12">
      <c r="A90" s="102" t="s">
        <v>581</v>
      </c>
      <c r="B90" s="102" t="s">
        <v>15086</v>
      </c>
      <c r="C90" s="109" t="s">
        <v>15185</v>
      </c>
      <c r="D90" s="109" t="s">
        <v>15186</v>
      </c>
      <c r="E90" s="102" t="s">
        <v>15</v>
      </c>
      <c r="F90" s="102">
        <v>2020</v>
      </c>
      <c r="G90" s="102" t="s">
        <v>16</v>
      </c>
      <c r="H90" s="102">
        <v>300</v>
      </c>
      <c r="I90" s="102">
        <v>300</v>
      </c>
      <c r="J90" s="102"/>
      <c r="K90" s="102"/>
      <c r="L90" s="105">
        <v>20201118</v>
      </c>
    </row>
    <row r="91" ht="16" customHeight="1" spans="1:12">
      <c r="A91" s="102" t="s">
        <v>584</v>
      </c>
      <c r="B91" s="102" t="s">
        <v>15086</v>
      </c>
      <c r="C91" s="109" t="s">
        <v>15187</v>
      </c>
      <c r="D91" s="109" t="str">
        <f>"152326197806106872"</f>
        <v>152326197806106872</v>
      </c>
      <c r="E91" s="102" t="s">
        <v>15</v>
      </c>
      <c r="F91" s="102">
        <v>2020</v>
      </c>
      <c r="G91" s="102" t="s">
        <v>16</v>
      </c>
      <c r="H91" s="102">
        <v>200</v>
      </c>
      <c r="I91" s="102">
        <v>200</v>
      </c>
      <c r="J91" s="102"/>
      <c r="K91" s="102"/>
      <c r="L91" s="105">
        <v>20201118</v>
      </c>
    </row>
    <row r="92" ht="16" customHeight="1" spans="1:12">
      <c r="A92" s="102" t="s">
        <v>587</v>
      </c>
      <c r="B92" s="102" t="s">
        <v>15086</v>
      </c>
      <c r="C92" s="109" t="s">
        <v>15188</v>
      </c>
      <c r="D92" s="109" t="str">
        <f>"152326197808056872"</f>
        <v>152326197808056872</v>
      </c>
      <c r="E92" s="102" t="s">
        <v>15</v>
      </c>
      <c r="F92" s="102">
        <v>2020</v>
      </c>
      <c r="G92" s="102" t="s">
        <v>16</v>
      </c>
      <c r="H92" s="102">
        <v>200</v>
      </c>
      <c r="I92" s="102">
        <v>200</v>
      </c>
      <c r="J92" s="102"/>
      <c r="K92" s="102"/>
      <c r="L92" s="105">
        <v>20201118</v>
      </c>
    </row>
    <row r="93" ht="16" customHeight="1" spans="1:12">
      <c r="A93" s="102" t="s">
        <v>590</v>
      </c>
      <c r="B93" s="102" t="s">
        <v>15086</v>
      </c>
      <c r="C93" s="109" t="s">
        <v>15119</v>
      </c>
      <c r="D93" s="109" t="s">
        <v>15189</v>
      </c>
      <c r="E93" s="102" t="s">
        <v>15</v>
      </c>
      <c r="F93" s="102">
        <v>2020</v>
      </c>
      <c r="G93" s="102" t="s">
        <v>16</v>
      </c>
      <c r="H93" s="102">
        <v>200</v>
      </c>
      <c r="I93" s="102">
        <v>200</v>
      </c>
      <c r="J93" s="102"/>
      <c r="K93" s="102"/>
      <c r="L93" s="105">
        <v>20201118</v>
      </c>
    </row>
    <row r="94" ht="16" customHeight="1" spans="1:12">
      <c r="A94" s="102" t="s">
        <v>593</v>
      </c>
      <c r="B94" s="102" t="s">
        <v>15086</v>
      </c>
      <c r="C94" s="109" t="s">
        <v>15190</v>
      </c>
      <c r="D94" s="109" t="str">
        <f>"152326197804136867"</f>
        <v>152326197804136867</v>
      </c>
      <c r="E94" s="102" t="s">
        <v>15</v>
      </c>
      <c r="F94" s="102">
        <v>2020</v>
      </c>
      <c r="G94" s="102" t="s">
        <v>16</v>
      </c>
      <c r="H94" s="102">
        <v>200</v>
      </c>
      <c r="I94" s="102">
        <v>200</v>
      </c>
      <c r="J94" s="102"/>
      <c r="K94" s="102"/>
      <c r="L94" s="105">
        <v>20201118</v>
      </c>
    </row>
    <row r="95" ht="16" customHeight="1" spans="1:12">
      <c r="A95" s="102" t="s">
        <v>596</v>
      </c>
      <c r="B95" s="102" t="s">
        <v>15086</v>
      </c>
      <c r="C95" s="109" t="s">
        <v>15191</v>
      </c>
      <c r="D95" s="109" t="str">
        <f>"152326197808196883"</f>
        <v>152326197808196883</v>
      </c>
      <c r="E95" s="102" t="s">
        <v>15</v>
      </c>
      <c r="F95" s="102">
        <v>2020</v>
      </c>
      <c r="G95" s="102" t="s">
        <v>16</v>
      </c>
      <c r="H95" s="102">
        <v>200</v>
      </c>
      <c r="I95" s="102">
        <v>200</v>
      </c>
      <c r="J95" s="102"/>
      <c r="K95" s="102"/>
      <c r="L95" s="105">
        <v>20201118</v>
      </c>
    </row>
    <row r="96" ht="16" customHeight="1" spans="1:12">
      <c r="A96" s="102" t="s">
        <v>599</v>
      </c>
      <c r="B96" s="102" t="s">
        <v>15086</v>
      </c>
      <c r="C96" s="109" t="s">
        <v>15192</v>
      </c>
      <c r="D96" s="109" t="str">
        <f>"152326197808226878"</f>
        <v>152326197808226878</v>
      </c>
      <c r="E96" s="102" t="s">
        <v>15</v>
      </c>
      <c r="F96" s="102">
        <v>2020</v>
      </c>
      <c r="G96" s="102" t="s">
        <v>16</v>
      </c>
      <c r="H96" s="102">
        <v>200</v>
      </c>
      <c r="I96" s="102">
        <v>200</v>
      </c>
      <c r="J96" s="102"/>
      <c r="K96" s="102"/>
      <c r="L96" s="105">
        <v>20201118</v>
      </c>
    </row>
    <row r="97" ht="16" customHeight="1" spans="1:12">
      <c r="A97" s="102" t="s">
        <v>602</v>
      </c>
      <c r="B97" s="102" t="s">
        <v>15086</v>
      </c>
      <c r="C97" s="109" t="s">
        <v>1255</v>
      </c>
      <c r="D97" s="109" t="str">
        <f>"152326197802116897"</f>
        <v>152326197802116897</v>
      </c>
      <c r="E97" s="102" t="s">
        <v>15</v>
      </c>
      <c r="F97" s="102">
        <v>2020</v>
      </c>
      <c r="G97" s="102" t="s">
        <v>16</v>
      </c>
      <c r="H97" s="102">
        <v>200</v>
      </c>
      <c r="I97" s="102">
        <v>200</v>
      </c>
      <c r="J97" s="102"/>
      <c r="K97" s="102"/>
      <c r="L97" s="105">
        <v>20201118</v>
      </c>
    </row>
    <row r="98" ht="16" customHeight="1" spans="1:12">
      <c r="A98" s="102" t="s">
        <v>605</v>
      </c>
      <c r="B98" s="102" t="s">
        <v>15086</v>
      </c>
      <c r="C98" s="109" t="s">
        <v>15193</v>
      </c>
      <c r="D98" s="109" t="str">
        <f>"152326197710166862"</f>
        <v>152326197710166862</v>
      </c>
      <c r="E98" s="102" t="s">
        <v>15</v>
      </c>
      <c r="F98" s="102">
        <v>2020</v>
      </c>
      <c r="G98" s="102" t="s">
        <v>16</v>
      </c>
      <c r="H98" s="102">
        <v>200</v>
      </c>
      <c r="I98" s="102">
        <v>200</v>
      </c>
      <c r="J98" s="102"/>
      <c r="K98" s="102"/>
      <c r="L98" s="105">
        <v>20201118</v>
      </c>
    </row>
    <row r="99" ht="16" customHeight="1" spans="1:12">
      <c r="A99" s="102" t="s">
        <v>608</v>
      </c>
      <c r="B99" s="102" t="s">
        <v>15086</v>
      </c>
      <c r="C99" s="109" t="s">
        <v>15194</v>
      </c>
      <c r="D99" s="109" t="str">
        <f>"152326197707106885"</f>
        <v>152326197707106885</v>
      </c>
      <c r="E99" s="102" t="s">
        <v>15</v>
      </c>
      <c r="F99" s="102">
        <v>2020</v>
      </c>
      <c r="G99" s="102" t="s">
        <v>16</v>
      </c>
      <c r="H99" s="102">
        <v>500</v>
      </c>
      <c r="I99" s="102">
        <v>500</v>
      </c>
      <c r="J99" s="102"/>
      <c r="K99" s="102"/>
      <c r="L99" s="105">
        <v>20201118</v>
      </c>
    </row>
    <row r="100" ht="16" customHeight="1" spans="1:12">
      <c r="A100" s="102" t="s">
        <v>611</v>
      </c>
      <c r="B100" s="102" t="s">
        <v>15086</v>
      </c>
      <c r="C100" s="109" t="s">
        <v>15195</v>
      </c>
      <c r="D100" s="109" t="str">
        <f>"152326197710236867"</f>
        <v>152326197710236867</v>
      </c>
      <c r="E100" s="102" t="s">
        <v>15</v>
      </c>
      <c r="F100" s="102">
        <v>2020</v>
      </c>
      <c r="G100" s="102" t="s">
        <v>16</v>
      </c>
      <c r="H100" s="102">
        <v>300</v>
      </c>
      <c r="I100" s="102">
        <v>300</v>
      </c>
      <c r="J100" s="102"/>
      <c r="K100" s="102"/>
      <c r="L100" s="105">
        <v>20201118</v>
      </c>
    </row>
    <row r="101" ht="16" customHeight="1" spans="1:12">
      <c r="A101" s="102" t="s">
        <v>614</v>
      </c>
      <c r="B101" s="102" t="s">
        <v>15086</v>
      </c>
      <c r="C101" s="109" t="s">
        <v>15196</v>
      </c>
      <c r="D101" s="109" t="str">
        <f>"152326197610176879"</f>
        <v>152326197610176879</v>
      </c>
      <c r="E101" s="102" t="s">
        <v>15</v>
      </c>
      <c r="F101" s="102">
        <v>2020</v>
      </c>
      <c r="G101" s="102" t="s">
        <v>16</v>
      </c>
      <c r="H101" s="102">
        <v>200</v>
      </c>
      <c r="I101" s="102">
        <v>200</v>
      </c>
      <c r="J101" s="102"/>
      <c r="K101" s="102"/>
      <c r="L101" s="105">
        <v>20201118</v>
      </c>
    </row>
    <row r="102" ht="16" customHeight="1" spans="1:12">
      <c r="A102" s="102" t="s">
        <v>617</v>
      </c>
      <c r="B102" s="102" t="s">
        <v>15086</v>
      </c>
      <c r="C102" s="109" t="s">
        <v>15197</v>
      </c>
      <c r="D102" s="109" t="str">
        <f>"152326197609106873"</f>
        <v>152326197609106873</v>
      </c>
      <c r="E102" s="102" t="s">
        <v>15</v>
      </c>
      <c r="F102" s="102">
        <v>2020</v>
      </c>
      <c r="G102" s="102" t="s">
        <v>16</v>
      </c>
      <c r="H102" s="102">
        <v>200</v>
      </c>
      <c r="I102" s="102">
        <v>200</v>
      </c>
      <c r="J102" s="102"/>
      <c r="K102" s="102"/>
      <c r="L102" s="105">
        <v>20201118</v>
      </c>
    </row>
    <row r="103" ht="16" customHeight="1" spans="1:12">
      <c r="A103" s="102" t="s">
        <v>620</v>
      </c>
      <c r="B103" s="102" t="s">
        <v>15086</v>
      </c>
      <c r="C103" s="109" t="s">
        <v>2708</v>
      </c>
      <c r="D103" s="109" t="str">
        <f>"152326197612176880"</f>
        <v>152326197612176880</v>
      </c>
      <c r="E103" s="102" t="s">
        <v>15</v>
      </c>
      <c r="F103" s="102">
        <v>2020</v>
      </c>
      <c r="G103" s="102" t="s">
        <v>16</v>
      </c>
      <c r="H103" s="102">
        <v>200</v>
      </c>
      <c r="I103" s="102">
        <v>200</v>
      </c>
      <c r="J103" s="102"/>
      <c r="K103" s="102"/>
      <c r="L103" s="105">
        <v>20201118</v>
      </c>
    </row>
    <row r="104" ht="16" customHeight="1" spans="1:12">
      <c r="A104" s="102" t="s">
        <v>623</v>
      </c>
      <c r="B104" s="102" t="s">
        <v>15086</v>
      </c>
      <c r="C104" s="109" t="s">
        <v>15198</v>
      </c>
      <c r="D104" s="109" t="str">
        <f>"152326197608176888"</f>
        <v>152326197608176888</v>
      </c>
      <c r="E104" s="102" t="s">
        <v>15</v>
      </c>
      <c r="F104" s="102">
        <v>2020</v>
      </c>
      <c r="G104" s="102" t="s">
        <v>16</v>
      </c>
      <c r="H104" s="102">
        <v>200</v>
      </c>
      <c r="I104" s="102">
        <v>200</v>
      </c>
      <c r="J104" s="102"/>
      <c r="K104" s="102"/>
      <c r="L104" s="105">
        <v>20201118</v>
      </c>
    </row>
    <row r="105" ht="16" customHeight="1" spans="1:12">
      <c r="A105" s="102" t="s">
        <v>626</v>
      </c>
      <c r="B105" s="102" t="s">
        <v>15086</v>
      </c>
      <c r="C105" s="109" t="s">
        <v>15199</v>
      </c>
      <c r="D105" s="109" t="str">
        <f>"152326197602226864"</f>
        <v>152326197602226864</v>
      </c>
      <c r="E105" s="102" t="s">
        <v>15</v>
      </c>
      <c r="F105" s="102">
        <v>2020</v>
      </c>
      <c r="G105" s="102" t="s">
        <v>16</v>
      </c>
      <c r="H105" s="102">
        <v>200</v>
      </c>
      <c r="I105" s="102">
        <v>200</v>
      </c>
      <c r="J105" s="102"/>
      <c r="K105" s="102"/>
      <c r="L105" s="105">
        <v>20201118</v>
      </c>
    </row>
    <row r="106" ht="16" customHeight="1" spans="1:12">
      <c r="A106" s="102" t="s">
        <v>629</v>
      </c>
      <c r="B106" s="102" t="s">
        <v>15086</v>
      </c>
      <c r="C106" s="109" t="s">
        <v>15200</v>
      </c>
      <c r="D106" s="109" t="str">
        <f>"152326197606056874"</f>
        <v>152326197606056874</v>
      </c>
      <c r="E106" s="102" t="s">
        <v>15</v>
      </c>
      <c r="F106" s="102">
        <v>2020</v>
      </c>
      <c r="G106" s="102" t="s">
        <v>16</v>
      </c>
      <c r="H106" s="102">
        <v>200</v>
      </c>
      <c r="I106" s="102">
        <v>200</v>
      </c>
      <c r="J106" s="102"/>
      <c r="K106" s="102"/>
      <c r="L106" s="105">
        <v>20201118</v>
      </c>
    </row>
    <row r="107" ht="16" customHeight="1" spans="1:12">
      <c r="A107" s="102" t="s">
        <v>632</v>
      </c>
      <c r="B107" s="102" t="s">
        <v>15086</v>
      </c>
      <c r="C107" s="109" t="s">
        <v>15201</v>
      </c>
      <c r="D107" s="109" t="str">
        <f>"152326197507026864"</f>
        <v>152326197507026864</v>
      </c>
      <c r="E107" s="102" t="s">
        <v>15</v>
      </c>
      <c r="F107" s="102">
        <v>2020</v>
      </c>
      <c r="G107" s="102" t="s">
        <v>16</v>
      </c>
      <c r="H107" s="102">
        <v>200</v>
      </c>
      <c r="I107" s="102">
        <v>200</v>
      </c>
      <c r="J107" s="102"/>
      <c r="K107" s="102"/>
      <c r="L107" s="105">
        <v>20201118</v>
      </c>
    </row>
    <row r="108" ht="16" customHeight="1" spans="1:12">
      <c r="A108" s="102" t="s">
        <v>635</v>
      </c>
      <c r="B108" s="102" t="s">
        <v>15086</v>
      </c>
      <c r="C108" s="109" t="s">
        <v>15202</v>
      </c>
      <c r="D108" s="109" t="str">
        <f>"152326197506176895"</f>
        <v>152326197506176895</v>
      </c>
      <c r="E108" s="102" t="s">
        <v>15</v>
      </c>
      <c r="F108" s="102">
        <v>2020</v>
      </c>
      <c r="G108" s="102" t="s">
        <v>16</v>
      </c>
      <c r="H108" s="102">
        <v>500</v>
      </c>
      <c r="I108" s="102">
        <v>500</v>
      </c>
      <c r="J108" s="102"/>
      <c r="K108" s="102"/>
      <c r="L108" s="105">
        <v>20201118</v>
      </c>
    </row>
    <row r="109" ht="16" customHeight="1" spans="1:12">
      <c r="A109" s="102" t="s">
        <v>638</v>
      </c>
      <c r="B109" s="102" t="s">
        <v>15086</v>
      </c>
      <c r="C109" s="109" t="s">
        <v>15203</v>
      </c>
      <c r="D109" s="109" t="str">
        <f>"152326197506146872"</f>
        <v>152326197506146872</v>
      </c>
      <c r="E109" s="102" t="s">
        <v>15</v>
      </c>
      <c r="F109" s="102">
        <v>2020</v>
      </c>
      <c r="G109" s="102" t="s">
        <v>16</v>
      </c>
      <c r="H109" s="102">
        <v>200</v>
      </c>
      <c r="I109" s="102">
        <v>200</v>
      </c>
      <c r="J109" s="102"/>
      <c r="K109" s="102"/>
      <c r="L109" s="105">
        <v>20201118</v>
      </c>
    </row>
    <row r="110" ht="16" customHeight="1" spans="1:12">
      <c r="A110" s="102" t="s">
        <v>641</v>
      </c>
      <c r="B110" s="102" t="s">
        <v>15086</v>
      </c>
      <c r="C110" s="109" t="s">
        <v>12371</v>
      </c>
      <c r="D110" s="109" t="str">
        <f>"152326197504026877"</f>
        <v>152326197504026877</v>
      </c>
      <c r="E110" s="102" t="s">
        <v>15</v>
      </c>
      <c r="F110" s="102">
        <v>2020</v>
      </c>
      <c r="G110" s="102" t="s">
        <v>16</v>
      </c>
      <c r="H110" s="102">
        <v>200</v>
      </c>
      <c r="I110" s="102">
        <v>200</v>
      </c>
      <c r="J110" s="102"/>
      <c r="K110" s="102"/>
      <c r="L110" s="105">
        <v>20201118</v>
      </c>
    </row>
    <row r="111" ht="16" customHeight="1" spans="1:12">
      <c r="A111" s="102" t="s">
        <v>644</v>
      </c>
      <c r="B111" s="102" t="s">
        <v>15086</v>
      </c>
      <c r="C111" s="109" t="s">
        <v>1369</v>
      </c>
      <c r="D111" s="109" t="str">
        <f>"152326197512216865"</f>
        <v>152326197512216865</v>
      </c>
      <c r="E111" s="102" t="s">
        <v>15</v>
      </c>
      <c r="F111" s="102">
        <v>2020</v>
      </c>
      <c r="G111" s="102" t="s">
        <v>16</v>
      </c>
      <c r="H111" s="102">
        <v>200</v>
      </c>
      <c r="I111" s="102">
        <v>200</v>
      </c>
      <c r="J111" s="102"/>
      <c r="K111" s="102"/>
      <c r="L111" s="105">
        <v>20201118</v>
      </c>
    </row>
    <row r="112" ht="16" customHeight="1" spans="1:12">
      <c r="A112" s="102" t="s">
        <v>647</v>
      </c>
      <c r="B112" s="102" t="s">
        <v>15086</v>
      </c>
      <c r="C112" s="109" t="s">
        <v>15204</v>
      </c>
      <c r="D112" s="109" t="str">
        <f>"152326197501236895"</f>
        <v>152326197501236895</v>
      </c>
      <c r="E112" s="102" t="s">
        <v>15</v>
      </c>
      <c r="F112" s="102">
        <v>2020</v>
      </c>
      <c r="G112" s="102" t="s">
        <v>16</v>
      </c>
      <c r="H112" s="102">
        <v>500</v>
      </c>
      <c r="I112" s="102">
        <v>500</v>
      </c>
      <c r="J112" s="102"/>
      <c r="K112" s="102"/>
      <c r="L112" s="105">
        <v>20201118</v>
      </c>
    </row>
    <row r="113" ht="16" customHeight="1" spans="1:12">
      <c r="A113" s="102" t="s">
        <v>650</v>
      </c>
      <c r="B113" s="102" t="s">
        <v>15086</v>
      </c>
      <c r="C113" s="109" t="s">
        <v>15205</v>
      </c>
      <c r="D113" s="109" t="str">
        <f>"152326197501106898"</f>
        <v>152326197501106898</v>
      </c>
      <c r="E113" s="102" t="s">
        <v>15</v>
      </c>
      <c r="F113" s="102">
        <v>2020</v>
      </c>
      <c r="G113" s="102" t="s">
        <v>16</v>
      </c>
      <c r="H113" s="102">
        <v>200</v>
      </c>
      <c r="I113" s="102">
        <v>200</v>
      </c>
      <c r="J113" s="102"/>
      <c r="K113" s="102"/>
      <c r="L113" s="105">
        <v>20201118</v>
      </c>
    </row>
    <row r="114" ht="16" customHeight="1" spans="1:12">
      <c r="A114" s="102" t="s">
        <v>653</v>
      </c>
      <c r="B114" s="102" t="s">
        <v>15086</v>
      </c>
      <c r="C114" s="109" t="s">
        <v>2808</v>
      </c>
      <c r="D114" s="109" t="str">
        <f>"152326197501066873"</f>
        <v>152326197501066873</v>
      </c>
      <c r="E114" s="102" t="s">
        <v>15</v>
      </c>
      <c r="F114" s="102">
        <v>2020</v>
      </c>
      <c r="G114" s="102" t="s">
        <v>16</v>
      </c>
      <c r="H114" s="102">
        <v>200</v>
      </c>
      <c r="I114" s="102">
        <v>200</v>
      </c>
      <c r="J114" s="102"/>
      <c r="K114" s="102"/>
      <c r="L114" s="105">
        <v>20201118</v>
      </c>
    </row>
    <row r="115" ht="16" customHeight="1" spans="1:12">
      <c r="A115" s="102" t="s">
        <v>656</v>
      </c>
      <c r="B115" s="102" t="s">
        <v>15086</v>
      </c>
      <c r="C115" s="109" t="s">
        <v>15206</v>
      </c>
      <c r="D115" s="109" t="str">
        <f>"152326197510136888"</f>
        <v>152326197510136888</v>
      </c>
      <c r="E115" s="102" t="s">
        <v>15</v>
      </c>
      <c r="F115" s="102">
        <v>2020</v>
      </c>
      <c r="G115" s="102" t="s">
        <v>16</v>
      </c>
      <c r="H115" s="102">
        <v>200</v>
      </c>
      <c r="I115" s="102">
        <v>200</v>
      </c>
      <c r="J115" s="102"/>
      <c r="K115" s="102"/>
      <c r="L115" s="105">
        <v>20201118</v>
      </c>
    </row>
    <row r="116" ht="16" customHeight="1" spans="1:12">
      <c r="A116" s="102" t="s">
        <v>659</v>
      </c>
      <c r="B116" s="102" t="s">
        <v>15086</v>
      </c>
      <c r="C116" s="109" t="s">
        <v>15207</v>
      </c>
      <c r="D116" s="109" t="str">
        <f>"152326197502076862"</f>
        <v>152326197502076862</v>
      </c>
      <c r="E116" s="102" t="s">
        <v>15</v>
      </c>
      <c r="F116" s="102">
        <v>2020</v>
      </c>
      <c r="G116" s="102" t="s">
        <v>16</v>
      </c>
      <c r="H116" s="102">
        <v>200</v>
      </c>
      <c r="I116" s="102">
        <v>200</v>
      </c>
      <c r="J116" s="102"/>
      <c r="K116" s="102"/>
      <c r="L116" s="105">
        <v>20201118</v>
      </c>
    </row>
    <row r="117" ht="16" customHeight="1" spans="1:12">
      <c r="A117" s="102" t="s">
        <v>662</v>
      </c>
      <c r="B117" s="102" t="s">
        <v>15086</v>
      </c>
      <c r="C117" s="109" t="s">
        <v>15208</v>
      </c>
      <c r="D117" s="109" t="str">
        <f>"152326197501216886"</f>
        <v>152326197501216886</v>
      </c>
      <c r="E117" s="102" t="s">
        <v>15</v>
      </c>
      <c r="F117" s="102">
        <v>2020</v>
      </c>
      <c r="G117" s="102" t="s">
        <v>16</v>
      </c>
      <c r="H117" s="102">
        <v>500</v>
      </c>
      <c r="I117" s="102">
        <v>500</v>
      </c>
      <c r="J117" s="102"/>
      <c r="K117" s="102"/>
      <c r="L117" s="105">
        <v>20201118</v>
      </c>
    </row>
    <row r="118" ht="16" customHeight="1" spans="1:12">
      <c r="A118" s="102" t="s">
        <v>665</v>
      </c>
      <c r="B118" s="102" t="s">
        <v>15086</v>
      </c>
      <c r="C118" s="109" t="s">
        <v>15209</v>
      </c>
      <c r="D118" s="109" t="str">
        <f>"152326197509226878"</f>
        <v>152326197509226878</v>
      </c>
      <c r="E118" s="102" t="s">
        <v>15</v>
      </c>
      <c r="F118" s="102">
        <v>2020</v>
      </c>
      <c r="G118" s="102" t="s">
        <v>16</v>
      </c>
      <c r="H118" s="102">
        <v>200</v>
      </c>
      <c r="I118" s="102">
        <v>200</v>
      </c>
      <c r="J118" s="102"/>
      <c r="K118" s="102"/>
      <c r="L118" s="105">
        <v>20201118</v>
      </c>
    </row>
    <row r="119" ht="16" customHeight="1" spans="1:12">
      <c r="A119" s="102" t="s">
        <v>668</v>
      </c>
      <c r="B119" s="102" t="s">
        <v>15086</v>
      </c>
      <c r="C119" s="109" t="s">
        <v>15210</v>
      </c>
      <c r="D119" s="109" t="str">
        <f>"152326197512126886"</f>
        <v>152326197512126886</v>
      </c>
      <c r="E119" s="102" t="s">
        <v>15</v>
      </c>
      <c r="F119" s="102">
        <v>2020</v>
      </c>
      <c r="G119" s="102" t="s">
        <v>16</v>
      </c>
      <c r="H119" s="102">
        <v>200</v>
      </c>
      <c r="I119" s="102">
        <v>200</v>
      </c>
      <c r="J119" s="102"/>
      <c r="K119" s="102"/>
      <c r="L119" s="105">
        <v>20201118</v>
      </c>
    </row>
    <row r="120" ht="16" customHeight="1" spans="1:12">
      <c r="A120" s="102" t="s">
        <v>671</v>
      </c>
      <c r="B120" s="102" t="s">
        <v>15086</v>
      </c>
      <c r="C120" s="109" t="s">
        <v>15211</v>
      </c>
      <c r="D120" s="109" t="str">
        <f>"152326197510146963"</f>
        <v>152326197510146963</v>
      </c>
      <c r="E120" s="102" t="s">
        <v>15</v>
      </c>
      <c r="F120" s="102">
        <v>2020</v>
      </c>
      <c r="G120" s="102" t="s">
        <v>16</v>
      </c>
      <c r="H120" s="102">
        <v>200</v>
      </c>
      <c r="I120" s="102">
        <v>200</v>
      </c>
      <c r="J120" s="102"/>
      <c r="K120" s="102"/>
      <c r="L120" s="105">
        <v>20201118</v>
      </c>
    </row>
    <row r="121" ht="16" customHeight="1" spans="1:12">
      <c r="A121" s="102" t="s">
        <v>674</v>
      </c>
      <c r="B121" s="102" t="s">
        <v>15086</v>
      </c>
      <c r="C121" s="109" t="s">
        <v>15212</v>
      </c>
      <c r="D121" s="109" t="str">
        <f>"152326197511046884"</f>
        <v>152326197511046884</v>
      </c>
      <c r="E121" s="102" t="s">
        <v>15</v>
      </c>
      <c r="F121" s="102">
        <v>2020</v>
      </c>
      <c r="G121" s="102" t="s">
        <v>16</v>
      </c>
      <c r="H121" s="102">
        <v>200</v>
      </c>
      <c r="I121" s="102">
        <v>200</v>
      </c>
      <c r="J121" s="102"/>
      <c r="K121" s="102"/>
      <c r="L121" s="105">
        <v>20201118</v>
      </c>
    </row>
    <row r="122" ht="16" customHeight="1" spans="1:12">
      <c r="A122" s="102" t="s">
        <v>677</v>
      </c>
      <c r="B122" s="102" t="s">
        <v>15086</v>
      </c>
      <c r="C122" s="109" t="s">
        <v>15213</v>
      </c>
      <c r="D122" s="109" t="str">
        <f>"152326197501096896"</f>
        <v>152326197501096896</v>
      </c>
      <c r="E122" s="102" t="s">
        <v>15</v>
      </c>
      <c r="F122" s="102">
        <v>2020</v>
      </c>
      <c r="G122" s="102" t="s">
        <v>16</v>
      </c>
      <c r="H122" s="102">
        <v>200</v>
      </c>
      <c r="I122" s="102">
        <v>200</v>
      </c>
      <c r="J122" s="102"/>
      <c r="K122" s="102"/>
      <c r="L122" s="105">
        <v>20201118</v>
      </c>
    </row>
    <row r="123" ht="16" customHeight="1" spans="1:12">
      <c r="A123" s="102" t="s">
        <v>680</v>
      </c>
      <c r="B123" s="102" t="s">
        <v>15086</v>
      </c>
      <c r="C123" s="109" t="s">
        <v>15214</v>
      </c>
      <c r="D123" s="109" t="str">
        <f>"152326197504026893"</f>
        <v>152326197504026893</v>
      </c>
      <c r="E123" s="102" t="s">
        <v>15</v>
      </c>
      <c r="F123" s="102">
        <v>2020</v>
      </c>
      <c r="G123" s="102" t="s">
        <v>16</v>
      </c>
      <c r="H123" s="102">
        <v>200</v>
      </c>
      <c r="I123" s="102">
        <v>200</v>
      </c>
      <c r="J123" s="102"/>
      <c r="K123" s="102"/>
      <c r="L123" s="105">
        <v>20201118</v>
      </c>
    </row>
    <row r="124" ht="16" customHeight="1" spans="1:12">
      <c r="A124" s="102" t="s">
        <v>683</v>
      </c>
      <c r="B124" s="102" t="s">
        <v>15086</v>
      </c>
      <c r="C124" s="109" t="s">
        <v>8086</v>
      </c>
      <c r="D124" s="109" t="str">
        <f>"152326197403086862"</f>
        <v>152326197403086862</v>
      </c>
      <c r="E124" s="102" t="s">
        <v>15</v>
      </c>
      <c r="F124" s="102">
        <v>2020</v>
      </c>
      <c r="G124" s="102" t="s">
        <v>16</v>
      </c>
      <c r="H124" s="102">
        <v>500</v>
      </c>
      <c r="I124" s="102">
        <v>500</v>
      </c>
      <c r="J124" s="102"/>
      <c r="K124" s="102"/>
      <c r="L124" s="105">
        <v>20201118</v>
      </c>
    </row>
    <row r="125" ht="16" customHeight="1" spans="1:12">
      <c r="A125" s="102" t="s">
        <v>686</v>
      </c>
      <c r="B125" s="102" t="s">
        <v>15086</v>
      </c>
      <c r="C125" s="109" t="s">
        <v>15215</v>
      </c>
      <c r="D125" s="109" t="s">
        <v>15216</v>
      </c>
      <c r="E125" s="102" t="s">
        <v>15</v>
      </c>
      <c r="F125" s="102">
        <v>2020</v>
      </c>
      <c r="G125" s="102" t="s">
        <v>16</v>
      </c>
      <c r="H125" s="102">
        <v>200</v>
      </c>
      <c r="I125" s="102">
        <v>200</v>
      </c>
      <c r="J125" s="102"/>
      <c r="K125" s="102"/>
      <c r="L125" s="105">
        <v>20201118</v>
      </c>
    </row>
    <row r="126" ht="16" customHeight="1" spans="1:12">
      <c r="A126" s="102" t="s">
        <v>689</v>
      </c>
      <c r="B126" s="102" t="s">
        <v>15086</v>
      </c>
      <c r="C126" s="109" t="s">
        <v>15217</v>
      </c>
      <c r="D126" s="109" t="str">
        <f>"152326197404106896"</f>
        <v>152326197404106896</v>
      </c>
      <c r="E126" s="102" t="s">
        <v>15</v>
      </c>
      <c r="F126" s="102">
        <v>2020</v>
      </c>
      <c r="G126" s="102" t="s">
        <v>16</v>
      </c>
      <c r="H126" s="102">
        <v>200</v>
      </c>
      <c r="I126" s="102">
        <v>200</v>
      </c>
      <c r="J126" s="102"/>
      <c r="K126" s="102"/>
      <c r="L126" s="105">
        <v>20201118</v>
      </c>
    </row>
    <row r="127" ht="16" customHeight="1" spans="1:12">
      <c r="A127" s="102" t="s">
        <v>692</v>
      </c>
      <c r="B127" s="102" t="s">
        <v>15086</v>
      </c>
      <c r="C127" s="109" t="s">
        <v>15218</v>
      </c>
      <c r="D127" s="109" t="s">
        <v>15219</v>
      </c>
      <c r="E127" s="102" t="s">
        <v>15</v>
      </c>
      <c r="F127" s="102">
        <v>2020</v>
      </c>
      <c r="G127" s="102" t="s">
        <v>16</v>
      </c>
      <c r="H127" s="102">
        <v>200</v>
      </c>
      <c r="I127" s="102">
        <v>200</v>
      </c>
      <c r="J127" s="102"/>
      <c r="K127" s="102"/>
      <c r="L127" s="105">
        <v>20201118</v>
      </c>
    </row>
    <row r="128" ht="16" customHeight="1" spans="1:12">
      <c r="A128" s="102" t="s">
        <v>695</v>
      </c>
      <c r="B128" s="102" t="s">
        <v>15086</v>
      </c>
      <c r="C128" s="109" t="s">
        <v>15220</v>
      </c>
      <c r="D128" s="109" t="str">
        <f>"152326197403026878"</f>
        <v>152326197403026878</v>
      </c>
      <c r="E128" s="102" t="s">
        <v>15</v>
      </c>
      <c r="F128" s="102">
        <v>2020</v>
      </c>
      <c r="G128" s="102" t="s">
        <v>16</v>
      </c>
      <c r="H128" s="102">
        <v>200</v>
      </c>
      <c r="I128" s="102">
        <v>200</v>
      </c>
      <c r="J128" s="102"/>
      <c r="K128" s="102"/>
      <c r="L128" s="105">
        <v>20201118</v>
      </c>
    </row>
    <row r="129" ht="16" customHeight="1" spans="1:12">
      <c r="A129" s="102" t="s">
        <v>698</v>
      </c>
      <c r="B129" s="102" t="s">
        <v>15086</v>
      </c>
      <c r="C129" s="109" t="s">
        <v>15221</v>
      </c>
      <c r="D129" s="109" t="str">
        <f>"152326197407296867"</f>
        <v>152326197407296867</v>
      </c>
      <c r="E129" s="102" t="s">
        <v>15</v>
      </c>
      <c r="F129" s="102">
        <v>2020</v>
      </c>
      <c r="G129" s="102" t="s">
        <v>16</v>
      </c>
      <c r="H129" s="102">
        <v>200</v>
      </c>
      <c r="I129" s="102">
        <v>200</v>
      </c>
      <c r="J129" s="102"/>
      <c r="K129" s="102"/>
      <c r="L129" s="105">
        <v>20201118</v>
      </c>
    </row>
    <row r="130" ht="16" customHeight="1" spans="1:12">
      <c r="A130" s="102" t="s">
        <v>701</v>
      </c>
      <c r="B130" s="102" t="s">
        <v>15086</v>
      </c>
      <c r="C130" s="109" t="s">
        <v>15222</v>
      </c>
      <c r="D130" s="109" t="str">
        <f>"152326197408156874"</f>
        <v>152326197408156874</v>
      </c>
      <c r="E130" s="102" t="s">
        <v>15</v>
      </c>
      <c r="F130" s="102">
        <v>2020</v>
      </c>
      <c r="G130" s="102" t="s">
        <v>16</v>
      </c>
      <c r="H130" s="102">
        <v>500</v>
      </c>
      <c r="I130" s="102">
        <v>500</v>
      </c>
      <c r="J130" s="102"/>
      <c r="K130" s="102"/>
      <c r="L130" s="105">
        <v>20201118</v>
      </c>
    </row>
    <row r="131" ht="16" customHeight="1" spans="1:12">
      <c r="A131" s="102" t="s">
        <v>704</v>
      </c>
      <c r="B131" s="102" t="s">
        <v>15086</v>
      </c>
      <c r="C131" s="109" t="s">
        <v>15223</v>
      </c>
      <c r="D131" s="109" t="str">
        <f>"152326197401256864"</f>
        <v>152326197401256864</v>
      </c>
      <c r="E131" s="102" t="s">
        <v>15</v>
      </c>
      <c r="F131" s="102">
        <v>2020</v>
      </c>
      <c r="G131" s="102" t="s">
        <v>16</v>
      </c>
      <c r="H131" s="102">
        <v>200</v>
      </c>
      <c r="I131" s="102">
        <v>200</v>
      </c>
      <c r="J131" s="102"/>
      <c r="K131" s="102"/>
      <c r="L131" s="105">
        <v>20201118</v>
      </c>
    </row>
    <row r="132" ht="16" customHeight="1" spans="1:12">
      <c r="A132" s="102" t="s">
        <v>707</v>
      </c>
      <c r="B132" s="102" t="s">
        <v>15086</v>
      </c>
      <c r="C132" s="109" t="s">
        <v>4197</v>
      </c>
      <c r="D132" s="109" t="str">
        <f>"152326197306296884"</f>
        <v>152326197306296884</v>
      </c>
      <c r="E132" s="102" t="s">
        <v>15</v>
      </c>
      <c r="F132" s="102">
        <v>2020</v>
      </c>
      <c r="G132" s="102" t="s">
        <v>16</v>
      </c>
      <c r="H132" s="102">
        <v>200</v>
      </c>
      <c r="I132" s="102">
        <v>200</v>
      </c>
      <c r="J132" s="102"/>
      <c r="K132" s="102"/>
      <c r="L132" s="105">
        <v>20201118</v>
      </c>
    </row>
    <row r="133" ht="16" customHeight="1" spans="1:12">
      <c r="A133" s="102" t="s">
        <v>710</v>
      </c>
      <c r="B133" s="102" t="s">
        <v>15086</v>
      </c>
      <c r="C133" s="109" t="s">
        <v>15224</v>
      </c>
      <c r="D133" s="109" t="str">
        <f>"152326197308246872"</f>
        <v>152326197308246872</v>
      </c>
      <c r="E133" s="102" t="s">
        <v>15</v>
      </c>
      <c r="F133" s="102">
        <v>2020</v>
      </c>
      <c r="G133" s="102" t="s">
        <v>16</v>
      </c>
      <c r="H133" s="102">
        <v>200</v>
      </c>
      <c r="I133" s="102">
        <v>200</v>
      </c>
      <c r="J133" s="102"/>
      <c r="K133" s="102"/>
      <c r="L133" s="105">
        <v>20201118</v>
      </c>
    </row>
    <row r="134" ht="16" customHeight="1" spans="1:12">
      <c r="A134" s="102" t="s">
        <v>713</v>
      </c>
      <c r="B134" s="102" t="s">
        <v>15086</v>
      </c>
      <c r="C134" s="109" t="s">
        <v>15225</v>
      </c>
      <c r="D134" s="109" t="str">
        <f>"152326197310116866"</f>
        <v>152326197310116866</v>
      </c>
      <c r="E134" s="102" t="s">
        <v>15</v>
      </c>
      <c r="F134" s="102">
        <v>2020</v>
      </c>
      <c r="G134" s="102" t="s">
        <v>16</v>
      </c>
      <c r="H134" s="102">
        <v>1000</v>
      </c>
      <c r="I134" s="102">
        <v>1000</v>
      </c>
      <c r="J134" s="102"/>
      <c r="K134" s="102"/>
      <c r="L134" s="105">
        <v>20201118</v>
      </c>
    </row>
    <row r="135" ht="16" customHeight="1" spans="1:12">
      <c r="A135" s="102" t="s">
        <v>716</v>
      </c>
      <c r="B135" s="102" t="s">
        <v>15086</v>
      </c>
      <c r="C135" s="109" t="s">
        <v>15226</v>
      </c>
      <c r="D135" s="109" t="str">
        <f>"152326197302096877"</f>
        <v>152326197302096877</v>
      </c>
      <c r="E135" s="102" t="s">
        <v>15</v>
      </c>
      <c r="F135" s="102">
        <v>2020</v>
      </c>
      <c r="G135" s="102" t="s">
        <v>16</v>
      </c>
      <c r="H135" s="102">
        <v>200</v>
      </c>
      <c r="I135" s="102">
        <v>200</v>
      </c>
      <c r="J135" s="102"/>
      <c r="K135" s="102"/>
      <c r="L135" s="105">
        <v>20201118</v>
      </c>
    </row>
    <row r="136" ht="16" customHeight="1" spans="1:12">
      <c r="A136" s="102" t="s">
        <v>719</v>
      </c>
      <c r="B136" s="102" t="s">
        <v>15086</v>
      </c>
      <c r="C136" s="109" t="s">
        <v>15227</v>
      </c>
      <c r="D136" s="109" t="str">
        <f>"152326197311196861"</f>
        <v>152326197311196861</v>
      </c>
      <c r="E136" s="102" t="s">
        <v>15</v>
      </c>
      <c r="F136" s="102">
        <v>2020</v>
      </c>
      <c r="G136" s="102" t="s">
        <v>16</v>
      </c>
      <c r="H136" s="102">
        <v>200</v>
      </c>
      <c r="I136" s="102">
        <v>200</v>
      </c>
      <c r="J136" s="102"/>
      <c r="K136" s="102"/>
      <c r="L136" s="105">
        <v>20201118</v>
      </c>
    </row>
    <row r="137" ht="16" customHeight="1" spans="1:12">
      <c r="A137" s="102" t="s">
        <v>722</v>
      </c>
      <c r="B137" s="102" t="s">
        <v>15086</v>
      </c>
      <c r="C137" s="109" t="s">
        <v>15228</v>
      </c>
      <c r="D137" s="109" t="str">
        <f>"152326197310156913"</f>
        <v>152326197310156913</v>
      </c>
      <c r="E137" s="102" t="s">
        <v>15</v>
      </c>
      <c r="F137" s="102">
        <v>2020</v>
      </c>
      <c r="G137" s="102" t="s">
        <v>16</v>
      </c>
      <c r="H137" s="102">
        <v>200</v>
      </c>
      <c r="I137" s="102">
        <v>200</v>
      </c>
      <c r="J137" s="102"/>
      <c r="K137" s="102"/>
      <c r="L137" s="105">
        <v>20201118</v>
      </c>
    </row>
    <row r="138" ht="16" customHeight="1" spans="1:12">
      <c r="A138" s="102" t="s">
        <v>725</v>
      </c>
      <c r="B138" s="102" t="s">
        <v>15086</v>
      </c>
      <c r="C138" s="109" t="s">
        <v>15229</v>
      </c>
      <c r="D138" s="109" t="str">
        <f>"152326197309046864"</f>
        <v>152326197309046864</v>
      </c>
      <c r="E138" s="102" t="s">
        <v>15</v>
      </c>
      <c r="F138" s="102">
        <v>2020</v>
      </c>
      <c r="G138" s="102" t="s">
        <v>16</v>
      </c>
      <c r="H138" s="102">
        <v>3000</v>
      </c>
      <c r="I138" s="102">
        <v>3000</v>
      </c>
      <c r="J138" s="102"/>
      <c r="K138" s="102"/>
      <c r="L138" s="105">
        <v>20201118</v>
      </c>
    </row>
    <row r="139" ht="16" customHeight="1" spans="1:12">
      <c r="A139" s="102" t="s">
        <v>728</v>
      </c>
      <c r="B139" s="102" t="s">
        <v>15086</v>
      </c>
      <c r="C139" s="109" t="s">
        <v>15230</v>
      </c>
      <c r="D139" s="109" t="str">
        <f>"152326197302206861"</f>
        <v>152326197302206861</v>
      </c>
      <c r="E139" s="102" t="s">
        <v>15</v>
      </c>
      <c r="F139" s="102">
        <v>2020</v>
      </c>
      <c r="G139" s="102" t="s">
        <v>16</v>
      </c>
      <c r="H139" s="102">
        <v>200</v>
      </c>
      <c r="I139" s="102">
        <v>200</v>
      </c>
      <c r="J139" s="102"/>
      <c r="K139" s="102"/>
      <c r="L139" s="105">
        <v>20201118</v>
      </c>
    </row>
    <row r="140" ht="16" customHeight="1" spans="1:12">
      <c r="A140" s="102" t="s">
        <v>731</v>
      </c>
      <c r="B140" s="102" t="s">
        <v>15086</v>
      </c>
      <c r="C140" s="109" t="s">
        <v>15231</v>
      </c>
      <c r="D140" s="109" t="str">
        <f>"152326197312106872"</f>
        <v>152326197312106872</v>
      </c>
      <c r="E140" s="102" t="s">
        <v>15</v>
      </c>
      <c r="F140" s="102">
        <v>2020</v>
      </c>
      <c r="G140" s="102" t="s">
        <v>16</v>
      </c>
      <c r="H140" s="102">
        <v>200</v>
      </c>
      <c r="I140" s="102">
        <v>200</v>
      </c>
      <c r="J140" s="102"/>
      <c r="K140" s="102"/>
      <c r="L140" s="105">
        <v>20201118</v>
      </c>
    </row>
    <row r="141" ht="16" customHeight="1" spans="1:12">
      <c r="A141" s="102" t="s">
        <v>734</v>
      </c>
      <c r="B141" s="102" t="s">
        <v>15086</v>
      </c>
      <c r="C141" s="109" t="s">
        <v>15232</v>
      </c>
      <c r="D141" s="109" t="str">
        <f>"152326197305126875"</f>
        <v>152326197305126875</v>
      </c>
      <c r="E141" s="102" t="s">
        <v>15</v>
      </c>
      <c r="F141" s="102">
        <v>2020</v>
      </c>
      <c r="G141" s="102" t="s">
        <v>16</v>
      </c>
      <c r="H141" s="102">
        <v>3000</v>
      </c>
      <c r="I141" s="102">
        <v>3000</v>
      </c>
      <c r="J141" s="102"/>
      <c r="K141" s="102"/>
      <c r="L141" s="105">
        <v>20201118</v>
      </c>
    </row>
    <row r="142" ht="16" customHeight="1" spans="1:12">
      <c r="A142" s="102" t="s">
        <v>737</v>
      </c>
      <c r="B142" s="102" t="s">
        <v>15086</v>
      </c>
      <c r="C142" s="109" t="s">
        <v>15233</v>
      </c>
      <c r="D142" s="109" t="str">
        <f>"152326197304166883"</f>
        <v>152326197304166883</v>
      </c>
      <c r="E142" s="102" t="s">
        <v>15</v>
      </c>
      <c r="F142" s="102">
        <v>2020</v>
      </c>
      <c r="G142" s="102" t="s">
        <v>16</v>
      </c>
      <c r="H142" s="102">
        <v>300</v>
      </c>
      <c r="I142" s="102">
        <v>300</v>
      </c>
      <c r="J142" s="102"/>
      <c r="K142" s="102"/>
      <c r="L142" s="105">
        <v>20201118</v>
      </c>
    </row>
    <row r="143" ht="16" customHeight="1" spans="1:12">
      <c r="A143" s="102" t="s">
        <v>740</v>
      </c>
      <c r="B143" s="102" t="s">
        <v>15086</v>
      </c>
      <c r="C143" s="109" t="s">
        <v>15234</v>
      </c>
      <c r="D143" s="109" t="str">
        <f>"152326197312106899"</f>
        <v>152326197312106899</v>
      </c>
      <c r="E143" s="102" t="s">
        <v>15</v>
      </c>
      <c r="F143" s="102">
        <v>2020</v>
      </c>
      <c r="G143" s="102" t="s">
        <v>16</v>
      </c>
      <c r="H143" s="102">
        <v>200</v>
      </c>
      <c r="I143" s="102">
        <v>200</v>
      </c>
      <c r="J143" s="102"/>
      <c r="K143" s="102"/>
      <c r="L143" s="105">
        <v>20201118</v>
      </c>
    </row>
    <row r="144" ht="16" customHeight="1" spans="1:12">
      <c r="A144" s="102" t="s">
        <v>743</v>
      </c>
      <c r="B144" s="102" t="s">
        <v>15086</v>
      </c>
      <c r="C144" s="109" t="s">
        <v>15235</v>
      </c>
      <c r="D144" s="109" t="str">
        <f>"152326197312106936"</f>
        <v>152326197312106936</v>
      </c>
      <c r="E144" s="102" t="s">
        <v>15</v>
      </c>
      <c r="F144" s="102">
        <v>2020</v>
      </c>
      <c r="G144" s="102" t="s">
        <v>16</v>
      </c>
      <c r="H144" s="102">
        <v>200</v>
      </c>
      <c r="I144" s="102">
        <v>200</v>
      </c>
      <c r="J144" s="102"/>
      <c r="K144" s="102"/>
      <c r="L144" s="105">
        <v>20201118</v>
      </c>
    </row>
    <row r="145" ht="16" customHeight="1" spans="1:12">
      <c r="A145" s="102" t="s">
        <v>746</v>
      </c>
      <c r="B145" s="102" t="s">
        <v>15086</v>
      </c>
      <c r="C145" s="109" t="s">
        <v>15236</v>
      </c>
      <c r="D145" s="109" t="str">
        <f>"152326197310136867"</f>
        <v>152326197310136867</v>
      </c>
      <c r="E145" s="102" t="s">
        <v>15</v>
      </c>
      <c r="F145" s="102">
        <v>2020</v>
      </c>
      <c r="G145" s="102" t="s">
        <v>16</v>
      </c>
      <c r="H145" s="102">
        <v>200</v>
      </c>
      <c r="I145" s="102">
        <v>200</v>
      </c>
      <c r="J145" s="102"/>
      <c r="K145" s="102"/>
      <c r="L145" s="105">
        <v>20201118</v>
      </c>
    </row>
    <row r="146" ht="16" customHeight="1" spans="1:12">
      <c r="A146" s="102" t="s">
        <v>750</v>
      </c>
      <c r="B146" s="102" t="s">
        <v>15086</v>
      </c>
      <c r="C146" s="109" t="s">
        <v>15237</v>
      </c>
      <c r="D146" s="109" t="str">
        <f>"152326197311026889"</f>
        <v>152326197311026889</v>
      </c>
      <c r="E146" s="102" t="s">
        <v>15</v>
      </c>
      <c r="F146" s="102">
        <v>2020</v>
      </c>
      <c r="G146" s="102" t="s">
        <v>16</v>
      </c>
      <c r="H146" s="102">
        <v>200</v>
      </c>
      <c r="I146" s="102">
        <v>200</v>
      </c>
      <c r="J146" s="102"/>
      <c r="K146" s="102"/>
      <c r="L146" s="105">
        <v>20201118</v>
      </c>
    </row>
    <row r="147" ht="16" customHeight="1" spans="1:12">
      <c r="A147" s="102" t="s">
        <v>753</v>
      </c>
      <c r="B147" s="102" t="s">
        <v>15086</v>
      </c>
      <c r="C147" s="109" t="s">
        <v>15238</v>
      </c>
      <c r="D147" s="109" t="str">
        <f>"152326197203066867"</f>
        <v>152326197203066867</v>
      </c>
      <c r="E147" s="102" t="s">
        <v>15</v>
      </c>
      <c r="F147" s="102">
        <v>2020</v>
      </c>
      <c r="G147" s="102" t="s">
        <v>16</v>
      </c>
      <c r="H147" s="102">
        <v>200</v>
      </c>
      <c r="I147" s="102">
        <v>200</v>
      </c>
      <c r="J147" s="102"/>
      <c r="K147" s="102"/>
      <c r="L147" s="105">
        <v>20201118</v>
      </c>
    </row>
    <row r="148" ht="16" customHeight="1" spans="1:12">
      <c r="A148" s="102" t="s">
        <v>756</v>
      </c>
      <c r="B148" s="102" t="s">
        <v>15086</v>
      </c>
      <c r="C148" s="109" t="s">
        <v>7519</v>
      </c>
      <c r="D148" s="109" t="str">
        <f>"152326197207156886"</f>
        <v>152326197207156886</v>
      </c>
      <c r="E148" s="102" t="s">
        <v>15</v>
      </c>
      <c r="F148" s="102">
        <v>2020</v>
      </c>
      <c r="G148" s="102" t="s">
        <v>16</v>
      </c>
      <c r="H148" s="102">
        <v>500</v>
      </c>
      <c r="I148" s="102">
        <v>500</v>
      </c>
      <c r="J148" s="102"/>
      <c r="K148" s="102"/>
      <c r="L148" s="105">
        <v>20201118</v>
      </c>
    </row>
    <row r="149" ht="16" customHeight="1" spans="1:12">
      <c r="A149" s="102" t="s">
        <v>759</v>
      </c>
      <c r="B149" s="102" t="s">
        <v>15086</v>
      </c>
      <c r="C149" s="109" t="s">
        <v>15239</v>
      </c>
      <c r="D149" s="109" t="str">
        <f>"152326197203026873"</f>
        <v>152326197203026873</v>
      </c>
      <c r="E149" s="102" t="s">
        <v>15</v>
      </c>
      <c r="F149" s="102">
        <v>2020</v>
      </c>
      <c r="G149" s="102" t="s">
        <v>16</v>
      </c>
      <c r="H149" s="102">
        <v>200</v>
      </c>
      <c r="I149" s="102">
        <v>200</v>
      </c>
      <c r="J149" s="102"/>
      <c r="K149" s="102"/>
      <c r="L149" s="105">
        <v>20201118</v>
      </c>
    </row>
    <row r="150" ht="16" customHeight="1" spans="1:12">
      <c r="A150" s="102" t="s">
        <v>762</v>
      </c>
      <c r="B150" s="102" t="s">
        <v>15086</v>
      </c>
      <c r="C150" s="109" t="s">
        <v>15240</v>
      </c>
      <c r="D150" s="109" t="str">
        <f>"152326197201016874"</f>
        <v>152326197201016874</v>
      </c>
      <c r="E150" s="102" t="s">
        <v>15</v>
      </c>
      <c r="F150" s="102">
        <v>2020</v>
      </c>
      <c r="G150" s="102" t="s">
        <v>16</v>
      </c>
      <c r="H150" s="102">
        <v>500</v>
      </c>
      <c r="I150" s="102">
        <v>500</v>
      </c>
      <c r="J150" s="102"/>
      <c r="K150" s="102"/>
      <c r="L150" s="105">
        <v>20201118</v>
      </c>
    </row>
    <row r="151" ht="16" customHeight="1" spans="1:12">
      <c r="A151" s="102" t="s">
        <v>765</v>
      </c>
      <c r="B151" s="102" t="s">
        <v>15086</v>
      </c>
      <c r="C151" s="109" t="s">
        <v>15241</v>
      </c>
      <c r="D151" s="109" t="str">
        <f>"152326197205156882"</f>
        <v>152326197205156882</v>
      </c>
      <c r="E151" s="102" t="s">
        <v>15</v>
      </c>
      <c r="F151" s="102">
        <v>2020</v>
      </c>
      <c r="G151" s="102" t="s">
        <v>16</v>
      </c>
      <c r="H151" s="102">
        <v>200</v>
      </c>
      <c r="I151" s="102">
        <v>200</v>
      </c>
      <c r="J151" s="102"/>
      <c r="K151" s="102"/>
      <c r="L151" s="105">
        <v>20201118</v>
      </c>
    </row>
    <row r="152" ht="16" customHeight="1" spans="1:12">
      <c r="A152" s="102" t="s">
        <v>769</v>
      </c>
      <c r="B152" s="102" t="s">
        <v>15086</v>
      </c>
      <c r="C152" s="109" t="s">
        <v>15242</v>
      </c>
      <c r="D152" s="109" t="str">
        <f>"152326197210186883"</f>
        <v>152326197210186883</v>
      </c>
      <c r="E152" s="102" t="s">
        <v>15</v>
      </c>
      <c r="F152" s="102">
        <v>2020</v>
      </c>
      <c r="G152" s="102" t="s">
        <v>16</v>
      </c>
      <c r="H152" s="102">
        <v>200</v>
      </c>
      <c r="I152" s="102">
        <v>200</v>
      </c>
      <c r="J152" s="102"/>
      <c r="K152" s="102"/>
      <c r="L152" s="105">
        <v>20201118</v>
      </c>
    </row>
    <row r="153" ht="16" customHeight="1" spans="1:12">
      <c r="A153" s="102" t="s">
        <v>772</v>
      </c>
      <c r="B153" s="102" t="s">
        <v>15086</v>
      </c>
      <c r="C153" s="109" t="s">
        <v>15243</v>
      </c>
      <c r="D153" s="109" t="str">
        <f>"152326197207066872"</f>
        <v>152326197207066872</v>
      </c>
      <c r="E153" s="102" t="s">
        <v>15</v>
      </c>
      <c r="F153" s="102">
        <v>2020</v>
      </c>
      <c r="G153" s="102" t="s">
        <v>16</v>
      </c>
      <c r="H153" s="102">
        <v>200</v>
      </c>
      <c r="I153" s="102">
        <v>200</v>
      </c>
      <c r="J153" s="102"/>
      <c r="K153" s="102"/>
      <c r="L153" s="105">
        <v>20201118</v>
      </c>
    </row>
    <row r="154" ht="16" customHeight="1" spans="1:12">
      <c r="A154" s="102" t="s">
        <v>775</v>
      </c>
      <c r="B154" s="102" t="s">
        <v>15086</v>
      </c>
      <c r="C154" s="109" t="s">
        <v>15244</v>
      </c>
      <c r="D154" s="109" t="str">
        <f>"152326197203126874"</f>
        <v>152326197203126874</v>
      </c>
      <c r="E154" s="102" t="s">
        <v>15</v>
      </c>
      <c r="F154" s="102">
        <v>2020</v>
      </c>
      <c r="G154" s="102" t="s">
        <v>16</v>
      </c>
      <c r="H154" s="102">
        <v>200</v>
      </c>
      <c r="I154" s="102">
        <v>200</v>
      </c>
      <c r="J154" s="102"/>
      <c r="K154" s="102"/>
      <c r="L154" s="105">
        <v>20201118</v>
      </c>
    </row>
    <row r="155" ht="16" customHeight="1" spans="1:12">
      <c r="A155" s="102" t="s">
        <v>778</v>
      </c>
      <c r="B155" s="102" t="s">
        <v>15086</v>
      </c>
      <c r="C155" s="109" t="s">
        <v>15245</v>
      </c>
      <c r="D155" s="109" t="str">
        <f>"152326197210046901"</f>
        <v>152326197210046901</v>
      </c>
      <c r="E155" s="102" t="s">
        <v>15</v>
      </c>
      <c r="F155" s="102">
        <v>2020</v>
      </c>
      <c r="G155" s="102" t="s">
        <v>16</v>
      </c>
      <c r="H155" s="102">
        <v>200</v>
      </c>
      <c r="I155" s="102">
        <v>200</v>
      </c>
      <c r="J155" s="102"/>
      <c r="K155" s="102"/>
      <c r="L155" s="105">
        <v>20201118</v>
      </c>
    </row>
    <row r="156" ht="16" customHeight="1" spans="1:12">
      <c r="A156" s="102" t="s">
        <v>781</v>
      </c>
      <c r="B156" s="102" t="s">
        <v>15086</v>
      </c>
      <c r="C156" s="109" t="s">
        <v>15246</v>
      </c>
      <c r="D156" s="109" t="str">
        <f>"152326197211266877"</f>
        <v>152326197211266877</v>
      </c>
      <c r="E156" s="102" t="s">
        <v>15</v>
      </c>
      <c r="F156" s="102">
        <v>2020</v>
      </c>
      <c r="G156" s="102" t="s">
        <v>16</v>
      </c>
      <c r="H156" s="102">
        <v>200</v>
      </c>
      <c r="I156" s="102">
        <v>200</v>
      </c>
      <c r="J156" s="102"/>
      <c r="K156" s="102"/>
      <c r="L156" s="105">
        <v>20201118</v>
      </c>
    </row>
    <row r="157" ht="16" customHeight="1" spans="1:12">
      <c r="A157" s="102" t="s">
        <v>784</v>
      </c>
      <c r="B157" s="102" t="s">
        <v>15086</v>
      </c>
      <c r="C157" s="109" t="s">
        <v>15247</v>
      </c>
      <c r="D157" s="109" t="str">
        <f>"152326197203296873"</f>
        <v>152326197203296873</v>
      </c>
      <c r="E157" s="102" t="s">
        <v>15</v>
      </c>
      <c r="F157" s="102">
        <v>2020</v>
      </c>
      <c r="G157" s="102" t="s">
        <v>16</v>
      </c>
      <c r="H157" s="102">
        <v>200</v>
      </c>
      <c r="I157" s="102">
        <v>200</v>
      </c>
      <c r="J157" s="102"/>
      <c r="K157" s="102"/>
      <c r="L157" s="105">
        <v>20201118</v>
      </c>
    </row>
    <row r="158" ht="16" customHeight="1" spans="1:12">
      <c r="A158" s="102" t="s">
        <v>787</v>
      </c>
      <c r="B158" s="102" t="s">
        <v>15086</v>
      </c>
      <c r="C158" s="109" t="s">
        <v>15248</v>
      </c>
      <c r="D158" s="109" t="str">
        <f>"152326197107146875"</f>
        <v>152326197107146875</v>
      </c>
      <c r="E158" s="102" t="s">
        <v>15</v>
      </c>
      <c r="F158" s="102">
        <v>2020</v>
      </c>
      <c r="G158" s="102" t="s">
        <v>16</v>
      </c>
      <c r="H158" s="102">
        <v>500</v>
      </c>
      <c r="I158" s="102">
        <v>500</v>
      </c>
      <c r="J158" s="102"/>
      <c r="K158" s="102"/>
      <c r="L158" s="105">
        <v>20201118</v>
      </c>
    </row>
    <row r="159" ht="16" customHeight="1" spans="1:12">
      <c r="A159" s="102" t="s">
        <v>790</v>
      </c>
      <c r="B159" s="102" t="s">
        <v>15086</v>
      </c>
      <c r="C159" s="109" t="s">
        <v>15249</v>
      </c>
      <c r="D159" s="109" t="str">
        <f>"152326197105056876"</f>
        <v>152326197105056876</v>
      </c>
      <c r="E159" s="102" t="s">
        <v>15</v>
      </c>
      <c r="F159" s="102">
        <v>2020</v>
      </c>
      <c r="G159" s="102" t="s">
        <v>16</v>
      </c>
      <c r="H159" s="102">
        <v>200</v>
      </c>
      <c r="I159" s="102">
        <v>200</v>
      </c>
      <c r="J159" s="102"/>
      <c r="K159" s="102"/>
      <c r="L159" s="105">
        <v>20201118</v>
      </c>
    </row>
    <row r="160" ht="16" customHeight="1" spans="1:12">
      <c r="A160" s="102" t="s">
        <v>793</v>
      </c>
      <c r="B160" s="102" t="s">
        <v>15086</v>
      </c>
      <c r="C160" s="109" t="s">
        <v>15250</v>
      </c>
      <c r="D160" s="109" t="s">
        <v>15251</v>
      </c>
      <c r="E160" s="102" t="s">
        <v>15</v>
      </c>
      <c r="F160" s="102">
        <v>2020</v>
      </c>
      <c r="G160" s="102" t="s">
        <v>16</v>
      </c>
      <c r="H160" s="102">
        <v>200</v>
      </c>
      <c r="I160" s="102">
        <v>200</v>
      </c>
      <c r="J160" s="102"/>
      <c r="K160" s="102"/>
      <c r="L160" s="105">
        <v>20201118</v>
      </c>
    </row>
    <row r="161" ht="16" customHeight="1" spans="1:12">
      <c r="A161" s="102" t="s">
        <v>796</v>
      </c>
      <c r="B161" s="102" t="s">
        <v>15086</v>
      </c>
      <c r="C161" s="109" t="s">
        <v>15252</v>
      </c>
      <c r="D161" s="109" t="s">
        <v>15253</v>
      </c>
      <c r="E161" s="102" t="s">
        <v>15</v>
      </c>
      <c r="F161" s="102">
        <v>2020</v>
      </c>
      <c r="G161" s="102" t="s">
        <v>16</v>
      </c>
      <c r="H161" s="102">
        <v>200</v>
      </c>
      <c r="I161" s="102">
        <v>200</v>
      </c>
      <c r="J161" s="102"/>
      <c r="K161" s="102"/>
      <c r="L161" s="105">
        <v>20201118</v>
      </c>
    </row>
    <row r="162" ht="16" customHeight="1" spans="1:12">
      <c r="A162" s="102" t="s">
        <v>799</v>
      </c>
      <c r="B162" s="102" t="s">
        <v>15086</v>
      </c>
      <c r="C162" s="109" t="s">
        <v>4083</v>
      </c>
      <c r="D162" s="109" t="str">
        <f>"152326197106167121"</f>
        <v>152326197106167121</v>
      </c>
      <c r="E162" s="102" t="s">
        <v>15</v>
      </c>
      <c r="F162" s="102">
        <v>2020</v>
      </c>
      <c r="G162" s="102" t="s">
        <v>16</v>
      </c>
      <c r="H162" s="102">
        <v>200</v>
      </c>
      <c r="I162" s="102">
        <v>200</v>
      </c>
      <c r="J162" s="102"/>
      <c r="K162" s="102"/>
      <c r="L162" s="105">
        <v>20201118</v>
      </c>
    </row>
    <row r="163" ht="16" customHeight="1" spans="1:12">
      <c r="A163" s="102" t="s">
        <v>802</v>
      </c>
      <c r="B163" s="102" t="s">
        <v>15086</v>
      </c>
      <c r="C163" s="109" t="s">
        <v>15254</v>
      </c>
      <c r="D163" s="109" t="str">
        <f>"152326197101216860"</f>
        <v>152326197101216860</v>
      </c>
      <c r="E163" s="102" t="s">
        <v>15</v>
      </c>
      <c r="F163" s="102">
        <v>2020</v>
      </c>
      <c r="G163" s="102" t="s">
        <v>16</v>
      </c>
      <c r="H163" s="102">
        <v>200</v>
      </c>
      <c r="I163" s="102">
        <v>200</v>
      </c>
      <c r="J163" s="102"/>
      <c r="K163" s="102"/>
      <c r="L163" s="105">
        <v>20201118</v>
      </c>
    </row>
    <row r="164" ht="16" customHeight="1" spans="1:12">
      <c r="A164" s="102" t="s">
        <v>805</v>
      </c>
      <c r="B164" s="102" t="s">
        <v>15086</v>
      </c>
      <c r="C164" s="109" t="s">
        <v>15255</v>
      </c>
      <c r="D164" s="109" t="s">
        <v>15256</v>
      </c>
      <c r="E164" s="102" t="s">
        <v>15</v>
      </c>
      <c r="F164" s="102">
        <v>2020</v>
      </c>
      <c r="G164" s="102" t="s">
        <v>16</v>
      </c>
      <c r="H164" s="102">
        <v>200</v>
      </c>
      <c r="I164" s="102">
        <v>200</v>
      </c>
      <c r="J164" s="102"/>
      <c r="K164" s="102"/>
      <c r="L164" s="105">
        <v>20201118</v>
      </c>
    </row>
    <row r="165" ht="16" customHeight="1" spans="1:12">
      <c r="A165" s="102" t="s">
        <v>808</v>
      </c>
      <c r="B165" s="102" t="s">
        <v>15086</v>
      </c>
      <c r="C165" s="109" t="s">
        <v>15257</v>
      </c>
      <c r="D165" s="109" t="str">
        <f>"152326197006206883"</f>
        <v>152326197006206883</v>
      </c>
      <c r="E165" s="102" t="s">
        <v>15</v>
      </c>
      <c r="F165" s="102">
        <v>2020</v>
      </c>
      <c r="G165" s="102" t="s">
        <v>16</v>
      </c>
      <c r="H165" s="102">
        <v>200</v>
      </c>
      <c r="I165" s="102">
        <v>200</v>
      </c>
      <c r="J165" s="102"/>
      <c r="K165" s="102"/>
      <c r="L165" s="105">
        <v>20201118</v>
      </c>
    </row>
    <row r="166" ht="16" customHeight="1" spans="1:12">
      <c r="A166" s="102" t="s">
        <v>811</v>
      </c>
      <c r="B166" s="102" t="s">
        <v>15086</v>
      </c>
      <c r="C166" s="109" t="s">
        <v>15258</v>
      </c>
      <c r="D166" s="109" t="str">
        <f>"152326197010096867"</f>
        <v>152326197010096867</v>
      </c>
      <c r="E166" s="102" t="s">
        <v>15</v>
      </c>
      <c r="F166" s="102">
        <v>2020</v>
      </c>
      <c r="G166" s="102" t="s">
        <v>16</v>
      </c>
      <c r="H166" s="102">
        <v>200</v>
      </c>
      <c r="I166" s="102">
        <v>200</v>
      </c>
      <c r="J166" s="102"/>
      <c r="K166" s="102"/>
      <c r="L166" s="105">
        <v>20201118</v>
      </c>
    </row>
    <row r="167" ht="16" customHeight="1" spans="1:12">
      <c r="A167" s="102" t="s">
        <v>814</v>
      </c>
      <c r="B167" s="102" t="s">
        <v>15086</v>
      </c>
      <c r="C167" s="109" t="s">
        <v>7053</v>
      </c>
      <c r="D167" s="109" t="str">
        <f>"152326197012196861"</f>
        <v>152326197012196861</v>
      </c>
      <c r="E167" s="102" t="s">
        <v>15</v>
      </c>
      <c r="F167" s="102">
        <v>2020</v>
      </c>
      <c r="G167" s="102" t="s">
        <v>16</v>
      </c>
      <c r="H167" s="102">
        <v>200</v>
      </c>
      <c r="I167" s="102">
        <v>200</v>
      </c>
      <c r="J167" s="102"/>
      <c r="K167" s="102"/>
      <c r="L167" s="105">
        <v>20201118</v>
      </c>
    </row>
    <row r="168" ht="16" customHeight="1" spans="1:12">
      <c r="A168" s="102" t="s">
        <v>817</v>
      </c>
      <c r="B168" s="102" t="s">
        <v>15086</v>
      </c>
      <c r="C168" s="109" t="s">
        <v>15259</v>
      </c>
      <c r="D168" s="109" t="str">
        <f>"152326197002206894"</f>
        <v>152326197002206894</v>
      </c>
      <c r="E168" s="102" t="s">
        <v>15</v>
      </c>
      <c r="F168" s="102">
        <v>2020</v>
      </c>
      <c r="G168" s="102" t="s">
        <v>16</v>
      </c>
      <c r="H168" s="102">
        <v>200</v>
      </c>
      <c r="I168" s="102">
        <v>200</v>
      </c>
      <c r="J168" s="102"/>
      <c r="K168" s="102"/>
      <c r="L168" s="105">
        <v>20201118</v>
      </c>
    </row>
    <row r="169" ht="16" customHeight="1" spans="1:12">
      <c r="A169" s="102" t="s">
        <v>820</v>
      </c>
      <c r="B169" s="102" t="s">
        <v>15086</v>
      </c>
      <c r="C169" s="109" t="s">
        <v>15260</v>
      </c>
      <c r="D169" s="109" t="s">
        <v>15261</v>
      </c>
      <c r="E169" s="102" t="s">
        <v>15</v>
      </c>
      <c r="F169" s="102">
        <v>2020</v>
      </c>
      <c r="G169" s="102" t="s">
        <v>16</v>
      </c>
      <c r="H169" s="102">
        <v>200</v>
      </c>
      <c r="I169" s="102">
        <v>200</v>
      </c>
      <c r="J169" s="102"/>
      <c r="K169" s="102"/>
      <c r="L169" s="105">
        <v>20201118</v>
      </c>
    </row>
    <row r="170" ht="16" customHeight="1" spans="1:12">
      <c r="A170" s="102" t="s">
        <v>823</v>
      </c>
      <c r="B170" s="102" t="s">
        <v>15086</v>
      </c>
      <c r="C170" s="109" t="s">
        <v>15262</v>
      </c>
      <c r="D170" s="109" t="str">
        <f>"152326197004156886"</f>
        <v>152326197004156886</v>
      </c>
      <c r="E170" s="102" t="s">
        <v>15</v>
      </c>
      <c r="F170" s="102">
        <v>2020</v>
      </c>
      <c r="G170" s="102" t="s">
        <v>16</v>
      </c>
      <c r="H170" s="102">
        <v>200</v>
      </c>
      <c r="I170" s="102">
        <v>200</v>
      </c>
      <c r="J170" s="102"/>
      <c r="K170" s="102"/>
      <c r="L170" s="105">
        <v>20201118</v>
      </c>
    </row>
    <row r="171" ht="16" customHeight="1" spans="1:12">
      <c r="A171" s="102" t="s">
        <v>826</v>
      </c>
      <c r="B171" s="102" t="s">
        <v>15086</v>
      </c>
      <c r="C171" s="109" t="s">
        <v>15263</v>
      </c>
      <c r="D171" s="109" t="str">
        <f>"152326197008256868"</f>
        <v>152326197008256868</v>
      </c>
      <c r="E171" s="102" t="s">
        <v>15</v>
      </c>
      <c r="F171" s="102">
        <v>2020</v>
      </c>
      <c r="G171" s="102" t="s">
        <v>16</v>
      </c>
      <c r="H171" s="102">
        <v>200</v>
      </c>
      <c r="I171" s="102">
        <v>200</v>
      </c>
      <c r="J171" s="102"/>
      <c r="K171" s="102"/>
      <c r="L171" s="105">
        <v>20201118</v>
      </c>
    </row>
    <row r="172" ht="16" customHeight="1" spans="1:12">
      <c r="A172" s="102" t="s">
        <v>829</v>
      </c>
      <c r="B172" s="102" t="s">
        <v>15086</v>
      </c>
      <c r="C172" s="109" t="s">
        <v>15264</v>
      </c>
      <c r="D172" s="109" t="str">
        <f>"152326197004296862"</f>
        <v>152326197004296862</v>
      </c>
      <c r="E172" s="102" t="s">
        <v>15</v>
      </c>
      <c r="F172" s="102">
        <v>2020</v>
      </c>
      <c r="G172" s="102" t="s">
        <v>16</v>
      </c>
      <c r="H172" s="102">
        <v>500</v>
      </c>
      <c r="I172" s="102">
        <v>500</v>
      </c>
      <c r="J172" s="102"/>
      <c r="K172" s="102"/>
      <c r="L172" s="105">
        <v>20201118</v>
      </c>
    </row>
    <row r="173" ht="16" customHeight="1" spans="1:12">
      <c r="A173" s="102" t="s">
        <v>832</v>
      </c>
      <c r="B173" s="102" t="s">
        <v>15086</v>
      </c>
      <c r="C173" s="109" t="s">
        <v>15265</v>
      </c>
      <c r="D173" s="109" t="str">
        <f>"152326197002176875"</f>
        <v>152326197002176875</v>
      </c>
      <c r="E173" s="102" t="s">
        <v>15</v>
      </c>
      <c r="F173" s="102">
        <v>2020</v>
      </c>
      <c r="G173" s="102" t="s">
        <v>16</v>
      </c>
      <c r="H173" s="102">
        <v>200</v>
      </c>
      <c r="I173" s="102">
        <v>200</v>
      </c>
      <c r="J173" s="102"/>
      <c r="K173" s="102"/>
      <c r="L173" s="105">
        <v>20201118</v>
      </c>
    </row>
    <row r="174" ht="16" customHeight="1" spans="1:12">
      <c r="A174" s="102" t="s">
        <v>835</v>
      </c>
      <c r="B174" s="102" t="s">
        <v>15086</v>
      </c>
      <c r="C174" s="109" t="s">
        <v>7904</v>
      </c>
      <c r="D174" s="109" t="str">
        <f>"152326197009276860"</f>
        <v>152326197009276860</v>
      </c>
      <c r="E174" s="102" t="s">
        <v>15</v>
      </c>
      <c r="F174" s="102">
        <v>2020</v>
      </c>
      <c r="G174" s="102" t="s">
        <v>16</v>
      </c>
      <c r="H174" s="102">
        <v>200</v>
      </c>
      <c r="I174" s="102">
        <v>200</v>
      </c>
      <c r="J174" s="102"/>
      <c r="K174" s="102"/>
      <c r="L174" s="105">
        <v>20201118</v>
      </c>
    </row>
    <row r="175" ht="16" customHeight="1" spans="1:12">
      <c r="A175" s="102" t="s">
        <v>838</v>
      </c>
      <c r="B175" s="102" t="s">
        <v>15086</v>
      </c>
      <c r="C175" s="109" t="s">
        <v>15266</v>
      </c>
      <c r="D175" s="109" t="str">
        <f>"152326196906226877"</f>
        <v>152326196906226877</v>
      </c>
      <c r="E175" s="102" t="s">
        <v>15</v>
      </c>
      <c r="F175" s="102">
        <v>2020</v>
      </c>
      <c r="G175" s="102" t="s">
        <v>16</v>
      </c>
      <c r="H175" s="102">
        <v>200</v>
      </c>
      <c r="I175" s="102">
        <v>200</v>
      </c>
      <c r="J175" s="102"/>
      <c r="K175" s="102"/>
      <c r="L175" s="105">
        <v>20201118</v>
      </c>
    </row>
    <row r="176" ht="16" customHeight="1" spans="1:12">
      <c r="A176" s="102" t="s">
        <v>841</v>
      </c>
      <c r="B176" s="102" t="s">
        <v>15086</v>
      </c>
      <c r="C176" s="109" t="s">
        <v>15267</v>
      </c>
      <c r="D176" s="109" t="s">
        <v>15268</v>
      </c>
      <c r="E176" s="102" t="s">
        <v>15</v>
      </c>
      <c r="F176" s="102">
        <v>2020</v>
      </c>
      <c r="G176" s="102" t="s">
        <v>16</v>
      </c>
      <c r="H176" s="102">
        <v>500</v>
      </c>
      <c r="I176" s="102">
        <v>500</v>
      </c>
      <c r="J176" s="102"/>
      <c r="K176" s="102"/>
      <c r="L176" s="105">
        <v>20201118</v>
      </c>
    </row>
    <row r="177" ht="16" customHeight="1" spans="1:12">
      <c r="A177" s="102" t="s">
        <v>844</v>
      </c>
      <c r="B177" s="102" t="s">
        <v>15086</v>
      </c>
      <c r="C177" s="109" t="s">
        <v>15269</v>
      </c>
      <c r="D177" s="109" t="str">
        <f>"152326196907086888"</f>
        <v>152326196907086888</v>
      </c>
      <c r="E177" s="102" t="s">
        <v>15</v>
      </c>
      <c r="F177" s="102">
        <v>2020</v>
      </c>
      <c r="G177" s="102" t="s">
        <v>16</v>
      </c>
      <c r="H177" s="102">
        <v>200</v>
      </c>
      <c r="I177" s="102">
        <v>200</v>
      </c>
      <c r="J177" s="102"/>
      <c r="K177" s="102"/>
      <c r="L177" s="105">
        <v>20201118</v>
      </c>
    </row>
    <row r="178" ht="16" customHeight="1" spans="1:12">
      <c r="A178" s="102" t="s">
        <v>847</v>
      </c>
      <c r="B178" s="102" t="s">
        <v>15086</v>
      </c>
      <c r="C178" s="109" t="s">
        <v>15270</v>
      </c>
      <c r="D178" s="109" t="str">
        <f>"152326196906126892"</f>
        <v>152326196906126892</v>
      </c>
      <c r="E178" s="102" t="s">
        <v>15</v>
      </c>
      <c r="F178" s="102">
        <v>2020</v>
      </c>
      <c r="G178" s="102" t="s">
        <v>16</v>
      </c>
      <c r="H178" s="102">
        <v>200</v>
      </c>
      <c r="I178" s="102">
        <v>200</v>
      </c>
      <c r="J178" s="102"/>
      <c r="K178" s="102"/>
      <c r="L178" s="105">
        <v>20201118</v>
      </c>
    </row>
    <row r="179" ht="16" customHeight="1" spans="1:12">
      <c r="A179" s="102" t="s">
        <v>850</v>
      </c>
      <c r="B179" s="102" t="s">
        <v>15086</v>
      </c>
      <c r="C179" s="109" t="s">
        <v>15271</v>
      </c>
      <c r="D179" s="109" t="str">
        <f>"152326196902216874"</f>
        <v>152326196902216874</v>
      </c>
      <c r="E179" s="102" t="s">
        <v>15</v>
      </c>
      <c r="F179" s="102">
        <v>2020</v>
      </c>
      <c r="G179" s="102" t="s">
        <v>16</v>
      </c>
      <c r="H179" s="102">
        <v>200</v>
      </c>
      <c r="I179" s="102">
        <v>200</v>
      </c>
      <c r="J179" s="102"/>
      <c r="K179" s="102"/>
      <c r="L179" s="105">
        <v>20201118</v>
      </c>
    </row>
    <row r="180" ht="16" customHeight="1" spans="1:12">
      <c r="A180" s="102" t="s">
        <v>853</v>
      </c>
      <c r="B180" s="102" t="s">
        <v>15086</v>
      </c>
      <c r="C180" s="109" t="s">
        <v>15272</v>
      </c>
      <c r="D180" s="109" t="str">
        <f>"152326196905016894"</f>
        <v>152326196905016894</v>
      </c>
      <c r="E180" s="102" t="s">
        <v>15</v>
      </c>
      <c r="F180" s="102">
        <v>2020</v>
      </c>
      <c r="G180" s="102" t="s">
        <v>16</v>
      </c>
      <c r="H180" s="102">
        <v>200</v>
      </c>
      <c r="I180" s="102">
        <v>200</v>
      </c>
      <c r="J180" s="102"/>
      <c r="K180" s="102"/>
      <c r="L180" s="105">
        <v>20201118</v>
      </c>
    </row>
    <row r="181" ht="16" customHeight="1" spans="1:12">
      <c r="A181" s="102" t="s">
        <v>856</v>
      </c>
      <c r="B181" s="102" t="s">
        <v>15086</v>
      </c>
      <c r="C181" s="109" t="s">
        <v>15273</v>
      </c>
      <c r="D181" s="109" t="s">
        <v>15274</v>
      </c>
      <c r="E181" s="102" t="s">
        <v>15</v>
      </c>
      <c r="F181" s="102">
        <v>2020</v>
      </c>
      <c r="G181" s="102" t="s">
        <v>16</v>
      </c>
      <c r="H181" s="102">
        <v>200</v>
      </c>
      <c r="I181" s="102">
        <v>200</v>
      </c>
      <c r="J181" s="102"/>
      <c r="K181" s="102"/>
      <c r="L181" s="105">
        <v>20201118</v>
      </c>
    </row>
    <row r="182" ht="16" customHeight="1" spans="1:12">
      <c r="A182" s="102" t="s">
        <v>859</v>
      </c>
      <c r="B182" s="102" t="s">
        <v>15086</v>
      </c>
      <c r="C182" s="109" t="s">
        <v>15275</v>
      </c>
      <c r="D182" s="109" t="str">
        <f>"152326196805106876"</f>
        <v>152326196805106876</v>
      </c>
      <c r="E182" s="102" t="s">
        <v>15</v>
      </c>
      <c r="F182" s="102">
        <v>2020</v>
      </c>
      <c r="G182" s="102" t="s">
        <v>16</v>
      </c>
      <c r="H182" s="102">
        <v>200</v>
      </c>
      <c r="I182" s="102">
        <v>200</v>
      </c>
      <c r="J182" s="102"/>
      <c r="K182" s="102"/>
      <c r="L182" s="105">
        <v>20201118</v>
      </c>
    </row>
    <row r="183" ht="16" customHeight="1" spans="1:12">
      <c r="A183" s="102" t="s">
        <v>862</v>
      </c>
      <c r="B183" s="102" t="s">
        <v>15086</v>
      </c>
      <c r="C183" s="109" t="s">
        <v>15276</v>
      </c>
      <c r="D183" s="109" t="str">
        <f>"152326196802206898"</f>
        <v>152326196802206898</v>
      </c>
      <c r="E183" s="102" t="s">
        <v>15</v>
      </c>
      <c r="F183" s="102">
        <v>2020</v>
      </c>
      <c r="G183" s="102" t="s">
        <v>16</v>
      </c>
      <c r="H183" s="102">
        <v>200</v>
      </c>
      <c r="I183" s="102">
        <v>200</v>
      </c>
      <c r="J183" s="102"/>
      <c r="K183" s="102"/>
      <c r="L183" s="105">
        <v>20201118</v>
      </c>
    </row>
    <row r="184" ht="16" customHeight="1" spans="1:12">
      <c r="A184" s="102" t="s">
        <v>865</v>
      </c>
      <c r="B184" s="102" t="s">
        <v>15086</v>
      </c>
      <c r="C184" s="109" t="s">
        <v>15277</v>
      </c>
      <c r="D184" s="109" t="str">
        <f>"152326196804146876"</f>
        <v>152326196804146876</v>
      </c>
      <c r="E184" s="102" t="s">
        <v>15</v>
      </c>
      <c r="F184" s="102">
        <v>2020</v>
      </c>
      <c r="G184" s="102" t="s">
        <v>16</v>
      </c>
      <c r="H184" s="102">
        <v>200</v>
      </c>
      <c r="I184" s="102">
        <v>200</v>
      </c>
      <c r="J184" s="102"/>
      <c r="K184" s="102"/>
      <c r="L184" s="105">
        <v>20201118</v>
      </c>
    </row>
    <row r="185" ht="16" customHeight="1" spans="1:12">
      <c r="A185" s="102" t="s">
        <v>868</v>
      </c>
      <c r="B185" s="102" t="s">
        <v>15086</v>
      </c>
      <c r="C185" s="109" t="s">
        <v>15278</v>
      </c>
      <c r="D185" s="109" t="str">
        <f>"152326196804166869"</f>
        <v>152326196804166869</v>
      </c>
      <c r="E185" s="102" t="s">
        <v>15</v>
      </c>
      <c r="F185" s="102">
        <v>2020</v>
      </c>
      <c r="G185" s="102" t="s">
        <v>16</v>
      </c>
      <c r="H185" s="102">
        <v>200</v>
      </c>
      <c r="I185" s="102">
        <v>200</v>
      </c>
      <c r="J185" s="102"/>
      <c r="K185" s="102"/>
      <c r="L185" s="105">
        <v>20201118</v>
      </c>
    </row>
    <row r="186" ht="16" customHeight="1" spans="1:12">
      <c r="A186" s="102" t="s">
        <v>871</v>
      </c>
      <c r="B186" s="102" t="s">
        <v>15086</v>
      </c>
      <c r="C186" s="109" t="s">
        <v>15279</v>
      </c>
      <c r="D186" s="109" t="str">
        <f>"152326196809106881"</f>
        <v>152326196809106881</v>
      </c>
      <c r="E186" s="102" t="s">
        <v>15</v>
      </c>
      <c r="F186" s="102">
        <v>2020</v>
      </c>
      <c r="G186" s="102" t="s">
        <v>16</v>
      </c>
      <c r="H186" s="102">
        <v>200</v>
      </c>
      <c r="I186" s="102">
        <v>200</v>
      </c>
      <c r="J186" s="102"/>
      <c r="K186" s="102"/>
      <c r="L186" s="105">
        <v>20201118</v>
      </c>
    </row>
    <row r="187" ht="16" customHeight="1" spans="1:12">
      <c r="A187" s="102" t="s">
        <v>874</v>
      </c>
      <c r="B187" s="102" t="s">
        <v>15086</v>
      </c>
      <c r="C187" s="109" t="s">
        <v>15280</v>
      </c>
      <c r="D187" s="109" t="str">
        <f>"152326196812236863"</f>
        <v>152326196812236863</v>
      </c>
      <c r="E187" s="102" t="s">
        <v>15</v>
      </c>
      <c r="F187" s="102">
        <v>2020</v>
      </c>
      <c r="G187" s="102" t="s">
        <v>16</v>
      </c>
      <c r="H187" s="102">
        <v>200</v>
      </c>
      <c r="I187" s="102">
        <v>200</v>
      </c>
      <c r="J187" s="102"/>
      <c r="K187" s="102"/>
      <c r="L187" s="105">
        <v>20201118</v>
      </c>
    </row>
    <row r="188" ht="16" customHeight="1" spans="1:12">
      <c r="A188" s="102" t="s">
        <v>877</v>
      </c>
      <c r="B188" s="102" t="s">
        <v>15086</v>
      </c>
      <c r="C188" s="109" t="s">
        <v>15281</v>
      </c>
      <c r="D188" s="109" t="str">
        <f>"152326196806266863"</f>
        <v>152326196806266863</v>
      </c>
      <c r="E188" s="102" t="s">
        <v>15</v>
      </c>
      <c r="F188" s="102">
        <v>2020</v>
      </c>
      <c r="G188" s="102" t="s">
        <v>16</v>
      </c>
      <c r="H188" s="102">
        <v>1000</v>
      </c>
      <c r="I188" s="102">
        <v>1000</v>
      </c>
      <c r="J188" s="102"/>
      <c r="K188" s="102"/>
      <c r="L188" s="105">
        <v>20201118</v>
      </c>
    </row>
    <row r="189" ht="16" customHeight="1" spans="1:12">
      <c r="A189" s="102" t="s">
        <v>880</v>
      </c>
      <c r="B189" s="102" t="s">
        <v>15086</v>
      </c>
      <c r="C189" s="109" t="s">
        <v>15282</v>
      </c>
      <c r="D189" s="109" t="str">
        <f>"152326196807216876"</f>
        <v>152326196807216876</v>
      </c>
      <c r="E189" s="102" t="s">
        <v>15</v>
      </c>
      <c r="F189" s="102">
        <v>2020</v>
      </c>
      <c r="G189" s="102" t="s">
        <v>16</v>
      </c>
      <c r="H189" s="102">
        <v>500</v>
      </c>
      <c r="I189" s="102">
        <v>500</v>
      </c>
      <c r="J189" s="102"/>
      <c r="K189" s="102"/>
      <c r="L189" s="105">
        <v>20201118</v>
      </c>
    </row>
    <row r="190" ht="16" customHeight="1" spans="1:12">
      <c r="A190" s="102" t="s">
        <v>883</v>
      </c>
      <c r="B190" s="102" t="s">
        <v>15086</v>
      </c>
      <c r="C190" s="109" t="s">
        <v>15283</v>
      </c>
      <c r="D190" s="109" t="str">
        <f>"152326196810156878"</f>
        <v>152326196810156878</v>
      </c>
      <c r="E190" s="102" t="s">
        <v>15</v>
      </c>
      <c r="F190" s="102">
        <v>2020</v>
      </c>
      <c r="G190" s="102" t="s">
        <v>16</v>
      </c>
      <c r="H190" s="102">
        <v>200</v>
      </c>
      <c r="I190" s="102">
        <v>200</v>
      </c>
      <c r="J190" s="102"/>
      <c r="K190" s="102"/>
      <c r="L190" s="105">
        <v>20201118</v>
      </c>
    </row>
    <row r="191" ht="16" customHeight="1" spans="1:12">
      <c r="A191" s="102" t="s">
        <v>886</v>
      </c>
      <c r="B191" s="102" t="s">
        <v>15086</v>
      </c>
      <c r="C191" s="109" t="s">
        <v>15284</v>
      </c>
      <c r="D191" s="109" t="str">
        <f>"152326196804236898"</f>
        <v>152326196804236898</v>
      </c>
      <c r="E191" s="102" t="s">
        <v>15</v>
      </c>
      <c r="F191" s="102">
        <v>2020</v>
      </c>
      <c r="G191" s="102" t="s">
        <v>16</v>
      </c>
      <c r="H191" s="102">
        <v>200</v>
      </c>
      <c r="I191" s="102">
        <v>200</v>
      </c>
      <c r="J191" s="102"/>
      <c r="K191" s="102"/>
      <c r="L191" s="105">
        <v>20201118</v>
      </c>
    </row>
    <row r="192" ht="16" customHeight="1" spans="1:12">
      <c r="A192" s="102" t="s">
        <v>889</v>
      </c>
      <c r="B192" s="102" t="s">
        <v>15086</v>
      </c>
      <c r="C192" s="109" t="s">
        <v>15285</v>
      </c>
      <c r="D192" s="109" t="str">
        <f>"152326196707066866"</f>
        <v>152326196707066866</v>
      </c>
      <c r="E192" s="102" t="s">
        <v>15</v>
      </c>
      <c r="F192" s="102">
        <v>2020</v>
      </c>
      <c r="G192" s="102" t="s">
        <v>16</v>
      </c>
      <c r="H192" s="102">
        <v>200</v>
      </c>
      <c r="I192" s="102">
        <v>200</v>
      </c>
      <c r="J192" s="102"/>
      <c r="K192" s="102"/>
      <c r="L192" s="105">
        <v>20201118</v>
      </c>
    </row>
    <row r="193" ht="16" customHeight="1" spans="1:12">
      <c r="A193" s="102" t="s">
        <v>892</v>
      </c>
      <c r="B193" s="102" t="s">
        <v>15086</v>
      </c>
      <c r="C193" s="109" t="s">
        <v>15286</v>
      </c>
      <c r="D193" s="109" t="s">
        <v>15287</v>
      </c>
      <c r="E193" s="102" t="s">
        <v>15</v>
      </c>
      <c r="F193" s="102">
        <v>2020</v>
      </c>
      <c r="G193" s="102" t="s">
        <v>16</v>
      </c>
      <c r="H193" s="102">
        <v>200</v>
      </c>
      <c r="I193" s="102">
        <v>200</v>
      </c>
      <c r="J193" s="102"/>
      <c r="K193" s="102"/>
      <c r="L193" s="105">
        <v>20201118</v>
      </c>
    </row>
    <row r="194" ht="16" customHeight="1" spans="1:12">
      <c r="A194" s="102" t="s">
        <v>895</v>
      </c>
      <c r="B194" s="102" t="s">
        <v>15086</v>
      </c>
      <c r="C194" s="109" t="s">
        <v>15288</v>
      </c>
      <c r="D194" s="109" t="str">
        <f>"152326196712106869"</f>
        <v>152326196712106869</v>
      </c>
      <c r="E194" s="102" t="s">
        <v>15</v>
      </c>
      <c r="F194" s="102">
        <v>2020</v>
      </c>
      <c r="G194" s="102" t="s">
        <v>16</v>
      </c>
      <c r="H194" s="102">
        <v>200</v>
      </c>
      <c r="I194" s="102">
        <v>200</v>
      </c>
      <c r="J194" s="102"/>
      <c r="K194" s="102"/>
      <c r="L194" s="105">
        <v>20201118</v>
      </c>
    </row>
    <row r="195" ht="16" customHeight="1" spans="1:12">
      <c r="A195" s="102" t="s">
        <v>898</v>
      </c>
      <c r="B195" s="102" t="s">
        <v>15086</v>
      </c>
      <c r="C195" s="109" t="s">
        <v>9635</v>
      </c>
      <c r="D195" s="109" t="str">
        <f>"152326196707056895"</f>
        <v>152326196707056895</v>
      </c>
      <c r="E195" s="102" t="s">
        <v>15</v>
      </c>
      <c r="F195" s="102">
        <v>2020</v>
      </c>
      <c r="G195" s="102" t="s">
        <v>16</v>
      </c>
      <c r="H195" s="102">
        <v>200</v>
      </c>
      <c r="I195" s="102">
        <v>200</v>
      </c>
      <c r="J195" s="102"/>
      <c r="K195" s="102"/>
      <c r="L195" s="105">
        <v>20201118</v>
      </c>
    </row>
    <row r="196" ht="16" customHeight="1" spans="1:12">
      <c r="A196" s="102" t="s">
        <v>901</v>
      </c>
      <c r="B196" s="102" t="s">
        <v>15086</v>
      </c>
      <c r="C196" s="109" t="s">
        <v>15289</v>
      </c>
      <c r="D196" s="109" t="str">
        <f>"152326196711036870"</f>
        <v>152326196711036870</v>
      </c>
      <c r="E196" s="102" t="s">
        <v>15</v>
      </c>
      <c r="F196" s="102">
        <v>2020</v>
      </c>
      <c r="G196" s="102" t="s">
        <v>16</v>
      </c>
      <c r="H196" s="102">
        <v>200</v>
      </c>
      <c r="I196" s="102">
        <v>200</v>
      </c>
      <c r="J196" s="102"/>
      <c r="K196" s="102"/>
      <c r="L196" s="105">
        <v>20201118</v>
      </c>
    </row>
    <row r="197" ht="16" customHeight="1" spans="1:12">
      <c r="A197" s="102" t="s">
        <v>904</v>
      </c>
      <c r="B197" s="102" t="s">
        <v>15086</v>
      </c>
      <c r="C197" s="109" t="s">
        <v>15290</v>
      </c>
      <c r="D197" s="109" t="str">
        <f>"152326196710126874"</f>
        <v>152326196710126874</v>
      </c>
      <c r="E197" s="102" t="s">
        <v>15</v>
      </c>
      <c r="F197" s="102">
        <v>2020</v>
      </c>
      <c r="G197" s="102" t="s">
        <v>16</v>
      </c>
      <c r="H197" s="102">
        <v>200</v>
      </c>
      <c r="I197" s="102">
        <v>200</v>
      </c>
      <c r="J197" s="102"/>
      <c r="K197" s="102"/>
      <c r="L197" s="105">
        <v>20201118</v>
      </c>
    </row>
    <row r="198" ht="16" customHeight="1" spans="1:12">
      <c r="A198" s="102" t="s">
        <v>907</v>
      </c>
      <c r="B198" s="102" t="s">
        <v>15086</v>
      </c>
      <c r="C198" s="109" t="s">
        <v>15291</v>
      </c>
      <c r="D198" s="109" t="str">
        <f>"152326196706086873"</f>
        <v>152326196706086873</v>
      </c>
      <c r="E198" s="102" t="s">
        <v>15</v>
      </c>
      <c r="F198" s="102">
        <v>2020</v>
      </c>
      <c r="G198" s="102" t="s">
        <v>16</v>
      </c>
      <c r="H198" s="102">
        <v>200</v>
      </c>
      <c r="I198" s="102">
        <v>200</v>
      </c>
      <c r="J198" s="102"/>
      <c r="K198" s="102"/>
      <c r="L198" s="105">
        <v>20201118</v>
      </c>
    </row>
    <row r="199" ht="16" customHeight="1" spans="1:12">
      <c r="A199" s="102" t="s">
        <v>910</v>
      </c>
      <c r="B199" s="102" t="s">
        <v>15086</v>
      </c>
      <c r="C199" s="109" t="s">
        <v>15292</v>
      </c>
      <c r="D199" s="109" t="str">
        <f>"152326196707206873"</f>
        <v>152326196707206873</v>
      </c>
      <c r="E199" s="102" t="s">
        <v>15</v>
      </c>
      <c r="F199" s="102">
        <v>2020</v>
      </c>
      <c r="G199" s="102" t="s">
        <v>16</v>
      </c>
      <c r="H199" s="102">
        <v>1000</v>
      </c>
      <c r="I199" s="102">
        <v>1000</v>
      </c>
      <c r="J199" s="102"/>
      <c r="K199" s="102"/>
      <c r="L199" s="105">
        <v>20201118</v>
      </c>
    </row>
    <row r="200" ht="16" customHeight="1" spans="1:12">
      <c r="A200" s="102" t="s">
        <v>913</v>
      </c>
      <c r="B200" s="102" t="s">
        <v>15086</v>
      </c>
      <c r="C200" s="109" t="s">
        <v>15293</v>
      </c>
      <c r="D200" s="109" t="str">
        <f>"152326196708206875"</f>
        <v>152326196708206875</v>
      </c>
      <c r="E200" s="102" t="s">
        <v>15</v>
      </c>
      <c r="F200" s="102">
        <v>2020</v>
      </c>
      <c r="G200" s="102" t="s">
        <v>16</v>
      </c>
      <c r="H200" s="102">
        <v>200</v>
      </c>
      <c r="I200" s="102">
        <v>200</v>
      </c>
      <c r="J200" s="102"/>
      <c r="K200" s="102"/>
      <c r="L200" s="105">
        <v>20201118</v>
      </c>
    </row>
    <row r="201" ht="16" customHeight="1" spans="1:12">
      <c r="A201" s="102" t="s">
        <v>916</v>
      </c>
      <c r="B201" s="102" t="s">
        <v>15086</v>
      </c>
      <c r="C201" s="109" t="s">
        <v>15294</v>
      </c>
      <c r="D201" s="109" t="str">
        <f>"152326196701226881"</f>
        <v>152326196701226881</v>
      </c>
      <c r="E201" s="102" t="s">
        <v>15</v>
      </c>
      <c r="F201" s="102">
        <v>2020</v>
      </c>
      <c r="G201" s="102" t="s">
        <v>16</v>
      </c>
      <c r="H201" s="102">
        <v>200</v>
      </c>
      <c r="I201" s="102">
        <v>200</v>
      </c>
      <c r="J201" s="102"/>
      <c r="K201" s="102"/>
      <c r="L201" s="105">
        <v>20201118</v>
      </c>
    </row>
    <row r="202" ht="16" customHeight="1" spans="1:12">
      <c r="A202" s="102" t="s">
        <v>311</v>
      </c>
      <c r="B202" s="102" t="s">
        <v>15086</v>
      </c>
      <c r="C202" s="109" t="s">
        <v>15295</v>
      </c>
      <c r="D202" s="109" t="s">
        <v>15296</v>
      </c>
      <c r="E202" s="102" t="s">
        <v>15</v>
      </c>
      <c r="F202" s="102">
        <v>2020</v>
      </c>
      <c r="G202" s="102" t="s">
        <v>16</v>
      </c>
      <c r="H202" s="102">
        <v>200</v>
      </c>
      <c r="I202" s="102">
        <v>200</v>
      </c>
      <c r="J202" s="102"/>
      <c r="K202" s="102"/>
      <c r="L202" s="105">
        <v>20201118</v>
      </c>
    </row>
    <row r="203" ht="16" customHeight="1" spans="1:12">
      <c r="A203" s="102" t="s">
        <v>921</v>
      </c>
      <c r="B203" s="102" t="s">
        <v>15086</v>
      </c>
      <c r="C203" s="109" t="s">
        <v>15297</v>
      </c>
      <c r="D203" s="109" t="str">
        <f>"152326196605106863"</f>
        <v>152326196605106863</v>
      </c>
      <c r="E203" s="102" t="s">
        <v>15</v>
      </c>
      <c r="F203" s="102">
        <v>2020</v>
      </c>
      <c r="G203" s="102" t="s">
        <v>16</v>
      </c>
      <c r="H203" s="102">
        <v>200</v>
      </c>
      <c r="I203" s="102">
        <v>200</v>
      </c>
      <c r="J203" s="102"/>
      <c r="K203" s="102"/>
      <c r="L203" s="105">
        <v>20201118</v>
      </c>
    </row>
    <row r="204" ht="16" customHeight="1" spans="1:12">
      <c r="A204" s="102" t="s">
        <v>924</v>
      </c>
      <c r="B204" s="102" t="s">
        <v>15086</v>
      </c>
      <c r="C204" s="109" t="s">
        <v>15298</v>
      </c>
      <c r="D204" s="109" t="str">
        <f>"152326196603156875"</f>
        <v>152326196603156875</v>
      </c>
      <c r="E204" s="102" t="s">
        <v>15</v>
      </c>
      <c r="F204" s="102">
        <v>2020</v>
      </c>
      <c r="G204" s="102" t="s">
        <v>16</v>
      </c>
      <c r="H204" s="102">
        <v>200</v>
      </c>
      <c r="I204" s="102">
        <v>200</v>
      </c>
      <c r="J204" s="102"/>
      <c r="K204" s="102"/>
      <c r="L204" s="105">
        <v>20201118</v>
      </c>
    </row>
    <row r="205" ht="16" customHeight="1" spans="1:12">
      <c r="A205" s="102" t="s">
        <v>927</v>
      </c>
      <c r="B205" s="102" t="s">
        <v>15086</v>
      </c>
      <c r="C205" s="109" t="s">
        <v>15299</v>
      </c>
      <c r="D205" s="109" t="str">
        <f>"152326196603076867"</f>
        <v>152326196603076867</v>
      </c>
      <c r="E205" s="102" t="s">
        <v>15</v>
      </c>
      <c r="F205" s="102">
        <v>2020</v>
      </c>
      <c r="G205" s="102" t="s">
        <v>16</v>
      </c>
      <c r="H205" s="102">
        <v>200</v>
      </c>
      <c r="I205" s="102">
        <v>200</v>
      </c>
      <c r="J205" s="102"/>
      <c r="K205" s="102"/>
      <c r="L205" s="105">
        <v>20201118</v>
      </c>
    </row>
    <row r="206" ht="16" customHeight="1" spans="1:12">
      <c r="A206" s="102" t="s">
        <v>930</v>
      </c>
      <c r="B206" s="102" t="s">
        <v>15086</v>
      </c>
      <c r="C206" s="109" t="s">
        <v>15300</v>
      </c>
      <c r="D206" s="109" t="s">
        <v>15301</v>
      </c>
      <c r="E206" s="102" t="s">
        <v>15</v>
      </c>
      <c r="F206" s="102">
        <v>2020</v>
      </c>
      <c r="G206" s="102" t="s">
        <v>16</v>
      </c>
      <c r="H206" s="102">
        <v>200</v>
      </c>
      <c r="I206" s="102">
        <v>200</v>
      </c>
      <c r="J206" s="102"/>
      <c r="K206" s="102"/>
      <c r="L206" s="105">
        <v>20201118</v>
      </c>
    </row>
    <row r="207" ht="16" customHeight="1" spans="1:12">
      <c r="A207" s="102" t="s">
        <v>933</v>
      </c>
      <c r="B207" s="102" t="s">
        <v>15086</v>
      </c>
      <c r="C207" s="109" t="s">
        <v>15302</v>
      </c>
      <c r="D207" s="109" t="str">
        <f>"152326196606236862"</f>
        <v>152326196606236862</v>
      </c>
      <c r="E207" s="102" t="s">
        <v>15</v>
      </c>
      <c r="F207" s="102">
        <v>2020</v>
      </c>
      <c r="G207" s="102" t="s">
        <v>16</v>
      </c>
      <c r="H207" s="102">
        <v>200</v>
      </c>
      <c r="I207" s="102">
        <v>200</v>
      </c>
      <c r="J207" s="102"/>
      <c r="K207" s="102"/>
      <c r="L207" s="105">
        <v>20201118</v>
      </c>
    </row>
    <row r="208" ht="16" customHeight="1" spans="1:12">
      <c r="A208" s="102" t="s">
        <v>936</v>
      </c>
      <c r="B208" s="102" t="s">
        <v>15086</v>
      </c>
      <c r="C208" s="109" t="s">
        <v>15303</v>
      </c>
      <c r="D208" s="109" t="str">
        <f>"222304196608022016"</f>
        <v>222304196608022016</v>
      </c>
      <c r="E208" s="102" t="s">
        <v>15</v>
      </c>
      <c r="F208" s="102">
        <v>2020</v>
      </c>
      <c r="G208" s="102" t="s">
        <v>16</v>
      </c>
      <c r="H208" s="102">
        <v>500</v>
      </c>
      <c r="I208" s="102">
        <v>500</v>
      </c>
      <c r="J208" s="102"/>
      <c r="K208" s="102"/>
      <c r="L208" s="105">
        <v>20201118</v>
      </c>
    </row>
    <row r="209" ht="16" customHeight="1" spans="1:12">
      <c r="A209" s="102" t="s">
        <v>939</v>
      </c>
      <c r="B209" s="102" t="s">
        <v>15086</v>
      </c>
      <c r="C209" s="109" t="s">
        <v>15304</v>
      </c>
      <c r="D209" s="109" t="str">
        <f>"152326196610136901"</f>
        <v>152326196610136901</v>
      </c>
      <c r="E209" s="102" t="s">
        <v>15</v>
      </c>
      <c r="F209" s="102">
        <v>2020</v>
      </c>
      <c r="G209" s="102" t="s">
        <v>16</v>
      </c>
      <c r="H209" s="102">
        <v>200</v>
      </c>
      <c r="I209" s="102">
        <v>200</v>
      </c>
      <c r="J209" s="102"/>
      <c r="K209" s="102"/>
      <c r="L209" s="105">
        <v>20201118</v>
      </c>
    </row>
    <row r="210" ht="16" customHeight="1" spans="1:12">
      <c r="A210" s="102" t="s">
        <v>942</v>
      </c>
      <c r="B210" s="102" t="s">
        <v>15086</v>
      </c>
      <c r="C210" s="109" t="s">
        <v>15305</v>
      </c>
      <c r="D210" s="109" t="str">
        <f>"152326196602056864"</f>
        <v>152326196602056864</v>
      </c>
      <c r="E210" s="102" t="s">
        <v>15</v>
      </c>
      <c r="F210" s="102">
        <v>2020</v>
      </c>
      <c r="G210" s="102" t="s">
        <v>16</v>
      </c>
      <c r="H210" s="102">
        <v>200</v>
      </c>
      <c r="I210" s="102">
        <v>200</v>
      </c>
      <c r="J210" s="102"/>
      <c r="K210" s="102"/>
      <c r="L210" s="105">
        <v>20201118</v>
      </c>
    </row>
    <row r="211" ht="16" customHeight="1" spans="1:12">
      <c r="A211" s="102" t="s">
        <v>945</v>
      </c>
      <c r="B211" s="102" t="s">
        <v>15086</v>
      </c>
      <c r="C211" s="109" t="s">
        <v>15306</v>
      </c>
      <c r="D211" s="109" t="str">
        <f>"152324196610228010"</f>
        <v>152324196610228010</v>
      </c>
      <c r="E211" s="102" t="s">
        <v>15</v>
      </c>
      <c r="F211" s="102">
        <v>2020</v>
      </c>
      <c r="G211" s="102" t="s">
        <v>16</v>
      </c>
      <c r="H211" s="102">
        <v>200</v>
      </c>
      <c r="I211" s="102">
        <v>200</v>
      </c>
      <c r="J211" s="102"/>
      <c r="K211" s="102"/>
      <c r="L211" s="105">
        <v>20201118</v>
      </c>
    </row>
    <row r="212" ht="16" customHeight="1" spans="1:12">
      <c r="A212" s="102" t="s">
        <v>948</v>
      </c>
      <c r="B212" s="102" t="s">
        <v>15086</v>
      </c>
      <c r="C212" s="109" t="s">
        <v>15307</v>
      </c>
      <c r="D212" s="109" t="s">
        <v>15308</v>
      </c>
      <c r="E212" s="102" t="s">
        <v>15</v>
      </c>
      <c r="F212" s="102">
        <v>2020</v>
      </c>
      <c r="G212" s="102" t="s">
        <v>16</v>
      </c>
      <c r="H212" s="102">
        <v>200</v>
      </c>
      <c r="I212" s="102">
        <v>200</v>
      </c>
      <c r="J212" s="102"/>
      <c r="K212" s="102"/>
      <c r="L212" s="105">
        <v>20201118</v>
      </c>
    </row>
    <row r="213" ht="16" customHeight="1" spans="1:12">
      <c r="A213" s="102" t="s">
        <v>951</v>
      </c>
      <c r="B213" s="102" t="s">
        <v>15086</v>
      </c>
      <c r="C213" s="109" t="s">
        <v>15309</v>
      </c>
      <c r="D213" s="109" t="str">
        <f>"152326196505206867"</f>
        <v>152326196505206867</v>
      </c>
      <c r="E213" s="102" t="s">
        <v>15</v>
      </c>
      <c r="F213" s="102">
        <v>2020</v>
      </c>
      <c r="G213" s="102" t="s">
        <v>16</v>
      </c>
      <c r="H213" s="102">
        <v>200</v>
      </c>
      <c r="I213" s="102">
        <v>200</v>
      </c>
      <c r="J213" s="102"/>
      <c r="K213" s="102"/>
      <c r="L213" s="105">
        <v>20201118</v>
      </c>
    </row>
    <row r="214" ht="16" customHeight="1" spans="1:12">
      <c r="A214" s="102" t="s">
        <v>954</v>
      </c>
      <c r="B214" s="102" t="s">
        <v>15086</v>
      </c>
      <c r="C214" s="109" t="s">
        <v>15310</v>
      </c>
      <c r="D214" s="109" t="str">
        <f>"152326196512026864"</f>
        <v>152326196512026864</v>
      </c>
      <c r="E214" s="102" t="s">
        <v>15</v>
      </c>
      <c r="F214" s="102">
        <v>2020</v>
      </c>
      <c r="G214" s="102" t="s">
        <v>16</v>
      </c>
      <c r="H214" s="102">
        <v>200</v>
      </c>
      <c r="I214" s="102">
        <v>200</v>
      </c>
      <c r="J214" s="102"/>
      <c r="K214" s="102"/>
      <c r="L214" s="105">
        <v>20201118</v>
      </c>
    </row>
    <row r="215" ht="16" customHeight="1" spans="1:12">
      <c r="A215" s="102" t="s">
        <v>957</v>
      </c>
      <c r="B215" s="102" t="s">
        <v>15086</v>
      </c>
      <c r="C215" s="109" t="s">
        <v>13511</v>
      </c>
      <c r="D215" s="109" t="str">
        <f>"152326196507266898"</f>
        <v>152326196507266898</v>
      </c>
      <c r="E215" s="102" t="s">
        <v>15</v>
      </c>
      <c r="F215" s="102">
        <v>2020</v>
      </c>
      <c r="G215" s="102" t="s">
        <v>16</v>
      </c>
      <c r="H215" s="102">
        <v>200</v>
      </c>
      <c r="I215" s="102">
        <v>200</v>
      </c>
      <c r="J215" s="102"/>
      <c r="K215" s="102"/>
      <c r="L215" s="105">
        <v>20201118</v>
      </c>
    </row>
    <row r="216" ht="16" customHeight="1" spans="1:12">
      <c r="A216" s="102" t="s">
        <v>960</v>
      </c>
      <c r="B216" s="102" t="s">
        <v>15086</v>
      </c>
      <c r="C216" s="109" t="s">
        <v>15311</v>
      </c>
      <c r="D216" s="109" t="str">
        <f>"152326196505126867"</f>
        <v>152326196505126867</v>
      </c>
      <c r="E216" s="102" t="s">
        <v>15</v>
      </c>
      <c r="F216" s="102">
        <v>2020</v>
      </c>
      <c r="G216" s="102" t="s">
        <v>16</v>
      </c>
      <c r="H216" s="102">
        <v>200</v>
      </c>
      <c r="I216" s="102">
        <v>200</v>
      </c>
      <c r="J216" s="102"/>
      <c r="K216" s="102"/>
      <c r="L216" s="105">
        <v>20201118</v>
      </c>
    </row>
    <row r="217" ht="16" customHeight="1" spans="1:12">
      <c r="A217" s="102" t="s">
        <v>963</v>
      </c>
      <c r="B217" s="102" t="s">
        <v>15086</v>
      </c>
      <c r="C217" s="109" t="s">
        <v>15312</v>
      </c>
      <c r="D217" s="109" t="str">
        <f>"152324196507291425"</f>
        <v>152324196507291425</v>
      </c>
      <c r="E217" s="102" t="s">
        <v>15</v>
      </c>
      <c r="F217" s="102">
        <v>2020</v>
      </c>
      <c r="G217" s="102" t="s">
        <v>16</v>
      </c>
      <c r="H217" s="102">
        <v>200</v>
      </c>
      <c r="I217" s="102">
        <v>200</v>
      </c>
      <c r="J217" s="102"/>
      <c r="K217" s="102"/>
      <c r="L217" s="105">
        <v>20201118</v>
      </c>
    </row>
    <row r="218" ht="16" customHeight="1" spans="1:12">
      <c r="A218" s="102" t="s">
        <v>966</v>
      </c>
      <c r="B218" s="102" t="s">
        <v>15086</v>
      </c>
      <c r="C218" s="109" t="s">
        <v>15313</v>
      </c>
      <c r="D218" s="109" t="str">
        <f>"152326196501056881"</f>
        <v>152326196501056881</v>
      </c>
      <c r="E218" s="102" t="s">
        <v>15</v>
      </c>
      <c r="F218" s="102">
        <v>2020</v>
      </c>
      <c r="G218" s="102" t="s">
        <v>16</v>
      </c>
      <c r="H218" s="102">
        <v>200</v>
      </c>
      <c r="I218" s="102">
        <v>200</v>
      </c>
      <c r="J218" s="102"/>
      <c r="K218" s="102"/>
      <c r="L218" s="105">
        <v>20201118</v>
      </c>
    </row>
    <row r="219" ht="16" customHeight="1" spans="1:12">
      <c r="A219" s="102" t="s">
        <v>969</v>
      </c>
      <c r="B219" s="102" t="s">
        <v>15086</v>
      </c>
      <c r="C219" s="109" t="s">
        <v>15314</v>
      </c>
      <c r="D219" s="109" t="s">
        <v>15315</v>
      </c>
      <c r="E219" s="102" t="s">
        <v>15</v>
      </c>
      <c r="F219" s="102">
        <v>2020</v>
      </c>
      <c r="G219" s="102" t="s">
        <v>16</v>
      </c>
      <c r="H219" s="102">
        <v>200</v>
      </c>
      <c r="I219" s="102">
        <v>200</v>
      </c>
      <c r="J219" s="102"/>
      <c r="K219" s="102"/>
      <c r="L219" s="105">
        <v>20201118</v>
      </c>
    </row>
    <row r="220" ht="16" customHeight="1" spans="1:12">
      <c r="A220" s="102" t="s">
        <v>972</v>
      </c>
      <c r="B220" s="102" t="s">
        <v>15086</v>
      </c>
      <c r="C220" s="109" t="s">
        <v>15316</v>
      </c>
      <c r="D220" s="109" t="str">
        <f>"152326196502106879"</f>
        <v>152326196502106879</v>
      </c>
      <c r="E220" s="102" t="s">
        <v>15</v>
      </c>
      <c r="F220" s="102">
        <v>2020</v>
      </c>
      <c r="G220" s="102" t="s">
        <v>16</v>
      </c>
      <c r="H220" s="102">
        <v>200</v>
      </c>
      <c r="I220" s="102">
        <v>200</v>
      </c>
      <c r="J220" s="102"/>
      <c r="K220" s="102"/>
      <c r="L220" s="105">
        <v>20201118</v>
      </c>
    </row>
    <row r="221" ht="16" customHeight="1" spans="1:12">
      <c r="A221" s="102" t="s">
        <v>975</v>
      </c>
      <c r="B221" s="102" t="s">
        <v>15086</v>
      </c>
      <c r="C221" s="109" t="s">
        <v>15317</v>
      </c>
      <c r="D221" s="109" t="str">
        <f>"152326196502096877"</f>
        <v>152326196502096877</v>
      </c>
      <c r="E221" s="102" t="s">
        <v>15</v>
      </c>
      <c r="F221" s="102">
        <v>2020</v>
      </c>
      <c r="G221" s="102" t="s">
        <v>16</v>
      </c>
      <c r="H221" s="102">
        <v>200</v>
      </c>
      <c r="I221" s="102">
        <v>200</v>
      </c>
      <c r="J221" s="102"/>
      <c r="K221" s="102"/>
      <c r="L221" s="105">
        <v>20201118</v>
      </c>
    </row>
    <row r="222" ht="16" customHeight="1" spans="1:12">
      <c r="A222" s="102" t="s">
        <v>978</v>
      </c>
      <c r="B222" s="102" t="s">
        <v>15086</v>
      </c>
      <c r="C222" s="109" t="s">
        <v>15318</v>
      </c>
      <c r="D222" s="109" t="str">
        <f>"152326196510026879"</f>
        <v>152326196510026879</v>
      </c>
      <c r="E222" s="102" t="s">
        <v>15</v>
      </c>
      <c r="F222" s="102">
        <v>2020</v>
      </c>
      <c r="G222" s="102" t="s">
        <v>16</v>
      </c>
      <c r="H222" s="102">
        <v>200</v>
      </c>
      <c r="I222" s="102">
        <v>200</v>
      </c>
      <c r="J222" s="102"/>
      <c r="K222" s="102"/>
      <c r="L222" s="105">
        <v>20201118</v>
      </c>
    </row>
    <row r="223" ht="16" customHeight="1" spans="1:12">
      <c r="A223" s="102" t="s">
        <v>981</v>
      </c>
      <c r="B223" s="102" t="s">
        <v>15086</v>
      </c>
      <c r="C223" s="109" t="s">
        <v>15319</v>
      </c>
      <c r="D223" s="109" t="str">
        <f>"152326196507156875"</f>
        <v>152326196507156875</v>
      </c>
      <c r="E223" s="102" t="s">
        <v>15</v>
      </c>
      <c r="F223" s="102">
        <v>2020</v>
      </c>
      <c r="G223" s="102" t="s">
        <v>16</v>
      </c>
      <c r="H223" s="102">
        <v>200</v>
      </c>
      <c r="I223" s="102">
        <v>200</v>
      </c>
      <c r="J223" s="102"/>
      <c r="K223" s="102"/>
      <c r="L223" s="105">
        <v>20201118</v>
      </c>
    </row>
    <row r="224" ht="16" customHeight="1" spans="1:12">
      <c r="A224" s="102" t="s">
        <v>984</v>
      </c>
      <c r="B224" s="102" t="s">
        <v>15086</v>
      </c>
      <c r="C224" s="109" t="s">
        <v>15320</v>
      </c>
      <c r="D224" s="109" t="str">
        <f>"152326196508236885"</f>
        <v>152326196508236885</v>
      </c>
      <c r="E224" s="102" t="s">
        <v>15</v>
      </c>
      <c r="F224" s="102">
        <v>2020</v>
      </c>
      <c r="G224" s="102" t="s">
        <v>16</v>
      </c>
      <c r="H224" s="102">
        <v>200</v>
      </c>
      <c r="I224" s="102">
        <v>200</v>
      </c>
      <c r="J224" s="102"/>
      <c r="K224" s="102"/>
      <c r="L224" s="105">
        <v>20201118</v>
      </c>
    </row>
    <row r="225" ht="16" customHeight="1" spans="1:12">
      <c r="A225" s="102" t="s">
        <v>987</v>
      </c>
      <c r="B225" s="102" t="s">
        <v>15086</v>
      </c>
      <c r="C225" s="109" t="s">
        <v>15321</v>
      </c>
      <c r="D225" s="109" t="str">
        <f>"152326196512276871"</f>
        <v>152326196512276871</v>
      </c>
      <c r="E225" s="102" t="s">
        <v>15</v>
      </c>
      <c r="F225" s="102">
        <v>2020</v>
      </c>
      <c r="G225" s="102" t="s">
        <v>16</v>
      </c>
      <c r="H225" s="102">
        <v>200</v>
      </c>
      <c r="I225" s="102">
        <v>200</v>
      </c>
      <c r="J225" s="102"/>
      <c r="K225" s="102"/>
      <c r="L225" s="105">
        <v>20201118</v>
      </c>
    </row>
    <row r="226" ht="16" customHeight="1" spans="1:12">
      <c r="A226" s="102" t="s">
        <v>990</v>
      </c>
      <c r="B226" s="102" t="s">
        <v>15086</v>
      </c>
      <c r="C226" s="109" t="s">
        <v>15322</v>
      </c>
      <c r="D226" s="109" t="str">
        <f>"152326196410066873"</f>
        <v>152326196410066873</v>
      </c>
      <c r="E226" s="102" t="s">
        <v>15</v>
      </c>
      <c r="F226" s="102">
        <v>2020</v>
      </c>
      <c r="G226" s="102" t="s">
        <v>16</v>
      </c>
      <c r="H226" s="102">
        <v>200</v>
      </c>
      <c r="I226" s="102">
        <v>200</v>
      </c>
      <c r="J226" s="102"/>
      <c r="K226" s="102"/>
      <c r="L226" s="105">
        <v>20201118</v>
      </c>
    </row>
    <row r="227" ht="16" customHeight="1" spans="1:12">
      <c r="A227" s="102" t="s">
        <v>993</v>
      </c>
      <c r="B227" s="102" t="s">
        <v>15086</v>
      </c>
      <c r="C227" s="109" t="s">
        <v>15323</v>
      </c>
      <c r="D227" s="109" t="str">
        <f>"152326196412206876"</f>
        <v>152326196412206876</v>
      </c>
      <c r="E227" s="102" t="s">
        <v>15</v>
      </c>
      <c r="F227" s="102">
        <v>2020</v>
      </c>
      <c r="G227" s="102" t="s">
        <v>16</v>
      </c>
      <c r="H227" s="102">
        <v>200</v>
      </c>
      <c r="I227" s="102">
        <v>200</v>
      </c>
      <c r="J227" s="102"/>
      <c r="K227" s="102"/>
      <c r="L227" s="105">
        <v>20201118</v>
      </c>
    </row>
    <row r="228" ht="16" customHeight="1" spans="1:12">
      <c r="A228" s="102" t="s">
        <v>996</v>
      </c>
      <c r="B228" s="102" t="s">
        <v>15086</v>
      </c>
      <c r="C228" s="109" t="s">
        <v>15324</v>
      </c>
      <c r="D228" s="109" t="str">
        <f>"152326196410286876"</f>
        <v>152326196410286876</v>
      </c>
      <c r="E228" s="102" t="s">
        <v>15</v>
      </c>
      <c r="F228" s="102">
        <v>2020</v>
      </c>
      <c r="G228" s="102" t="s">
        <v>16</v>
      </c>
      <c r="H228" s="102">
        <v>200</v>
      </c>
      <c r="I228" s="102">
        <v>200</v>
      </c>
      <c r="J228" s="102"/>
      <c r="K228" s="102"/>
      <c r="L228" s="105">
        <v>20201118</v>
      </c>
    </row>
    <row r="229" ht="16" customHeight="1" spans="1:12">
      <c r="A229" s="102" t="s">
        <v>999</v>
      </c>
      <c r="B229" s="102" t="s">
        <v>15086</v>
      </c>
      <c r="C229" s="109" t="s">
        <v>15325</v>
      </c>
      <c r="D229" s="109" t="s">
        <v>15326</v>
      </c>
      <c r="E229" s="102" t="s">
        <v>15</v>
      </c>
      <c r="F229" s="102">
        <v>2020</v>
      </c>
      <c r="G229" s="102" t="s">
        <v>16</v>
      </c>
      <c r="H229" s="102">
        <v>200</v>
      </c>
      <c r="I229" s="102">
        <v>200</v>
      </c>
      <c r="J229" s="102"/>
      <c r="K229" s="102"/>
      <c r="L229" s="105">
        <v>20201118</v>
      </c>
    </row>
    <row r="230" ht="16" customHeight="1" spans="1:12">
      <c r="A230" s="102" t="s">
        <v>1001</v>
      </c>
      <c r="B230" s="102" t="s">
        <v>15086</v>
      </c>
      <c r="C230" s="109" t="s">
        <v>15327</v>
      </c>
      <c r="D230" s="109" t="str">
        <f>"152326196402216878"</f>
        <v>152326196402216878</v>
      </c>
      <c r="E230" s="102" t="s">
        <v>15</v>
      </c>
      <c r="F230" s="102">
        <v>2020</v>
      </c>
      <c r="G230" s="102" t="s">
        <v>16</v>
      </c>
      <c r="H230" s="102">
        <v>200</v>
      </c>
      <c r="I230" s="102">
        <v>200</v>
      </c>
      <c r="J230" s="102"/>
      <c r="K230" s="102"/>
      <c r="L230" s="105">
        <v>20201118</v>
      </c>
    </row>
    <row r="231" ht="16" customHeight="1" spans="1:12">
      <c r="A231" s="102" t="s">
        <v>1004</v>
      </c>
      <c r="B231" s="102" t="s">
        <v>15086</v>
      </c>
      <c r="C231" s="109" t="s">
        <v>14955</v>
      </c>
      <c r="D231" s="109" t="s">
        <v>15328</v>
      </c>
      <c r="E231" s="102" t="s">
        <v>15</v>
      </c>
      <c r="F231" s="102">
        <v>2020</v>
      </c>
      <c r="G231" s="102" t="s">
        <v>16</v>
      </c>
      <c r="H231" s="102">
        <v>500</v>
      </c>
      <c r="I231" s="102">
        <v>500</v>
      </c>
      <c r="J231" s="102"/>
      <c r="K231" s="102"/>
      <c r="L231" s="105">
        <v>20201118</v>
      </c>
    </row>
    <row r="232" ht="16" customHeight="1" spans="1:12">
      <c r="A232" s="102" t="s">
        <v>1008</v>
      </c>
      <c r="B232" s="102" t="s">
        <v>15086</v>
      </c>
      <c r="C232" s="109" t="s">
        <v>15329</v>
      </c>
      <c r="D232" s="109" t="str">
        <f>"152326196410196889"</f>
        <v>152326196410196889</v>
      </c>
      <c r="E232" s="102" t="s">
        <v>15</v>
      </c>
      <c r="F232" s="102">
        <v>2020</v>
      </c>
      <c r="G232" s="102" t="s">
        <v>16</v>
      </c>
      <c r="H232" s="102">
        <v>500</v>
      </c>
      <c r="I232" s="102">
        <v>500</v>
      </c>
      <c r="J232" s="102"/>
      <c r="K232" s="102"/>
      <c r="L232" s="105">
        <v>20201118</v>
      </c>
    </row>
    <row r="233" ht="16" customHeight="1" spans="1:12">
      <c r="A233" s="102" t="s">
        <v>1011</v>
      </c>
      <c r="B233" s="102" t="s">
        <v>15086</v>
      </c>
      <c r="C233" s="109" t="s">
        <v>15330</v>
      </c>
      <c r="D233" s="109" t="s">
        <v>15331</v>
      </c>
      <c r="E233" s="102" t="s">
        <v>15</v>
      </c>
      <c r="F233" s="102">
        <v>2020</v>
      </c>
      <c r="G233" s="102" t="s">
        <v>16</v>
      </c>
      <c r="H233" s="102">
        <v>200</v>
      </c>
      <c r="I233" s="102">
        <v>200</v>
      </c>
      <c r="J233" s="102"/>
      <c r="K233" s="102"/>
      <c r="L233" s="105">
        <v>20201118</v>
      </c>
    </row>
    <row r="234" ht="16" customHeight="1" spans="1:12">
      <c r="A234" s="102" t="s">
        <v>1014</v>
      </c>
      <c r="B234" s="102" t="s">
        <v>15086</v>
      </c>
      <c r="C234" s="109" t="s">
        <v>15332</v>
      </c>
      <c r="D234" s="109" t="str">
        <f>"152326196406186864"</f>
        <v>152326196406186864</v>
      </c>
      <c r="E234" s="102" t="s">
        <v>15</v>
      </c>
      <c r="F234" s="102">
        <v>2020</v>
      </c>
      <c r="G234" s="102" t="s">
        <v>16</v>
      </c>
      <c r="H234" s="102">
        <v>200</v>
      </c>
      <c r="I234" s="102">
        <v>200</v>
      </c>
      <c r="J234" s="102"/>
      <c r="K234" s="102"/>
      <c r="L234" s="105">
        <v>20201118</v>
      </c>
    </row>
    <row r="235" ht="16" customHeight="1" spans="1:12">
      <c r="A235" s="102" t="s">
        <v>1017</v>
      </c>
      <c r="B235" s="5" t="s">
        <v>15086</v>
      </c>
      <c r="C235" s="6" t="s">
        <v>15333</v>
      </c>
      <c r="D235" s="6" t="str">
        <f>"152326196409246885"</f>
        <v>152326196409246885</v>
      </c>
      <c r="E235" s="102" t="s">
        <v>15</v>
      </c>
      <c r="F235" s="102">
        <v>2020</v>
      </c>
      <c r="G235" s="5" t="s">
        <v>16</v>
      </c>
      <c r="H235" s="5">
        <v>200</v>
      </c>
      <c r="I235" s="5">
        <v>200</v>
      </c>
      <c r="J235" s="5"/>
      <c r="K235" s="5"/>
      <c r="L235" s="105">
        <v>20201118</v>
      </c>
    </row>
    <row r="236" ht="16" customHeight="1" spans="1:12">
      <c r="A236" s="102" t="s">
        <v>1020</v>
      </c>
      <c r="B236" s="102" t="s">
        <v>15086</v>
      </c>
      <c r="C236" s="109" t="s">
        <v>15334</v>
      </c>
      <c r="D236" s="109" t="str">
        <f>"152326196302066884"</f>
        <v>152326196302066884</v>
      </c>
      <c r="E236" s="102" t="s">
        <v>15</v>
      </c>
      <c r="F236" s="102">
        <v>2020</v>
      </c>
      <c r="G236" s="102" t="s">
        <v>16</v>
      </c>
      <c r="H236" s="102">
        <v>200</v>
      </c>
      <c r="I236" s="102">
        <v>200</v>
      </c>
      <c r="J236" s="102"/>
      <c r="K236" s="102"/>
      <c r="L236" s="105">
        <v>20201118</v>
      </c>
    </row>
    <row r="237" ht="16" customHeight="1" spans="1:12">
      <c r="A237" s="102" t="s">
        <v>1023</v>
      </c>
      <c r="B237" s="102" t="s">
        <v>15086</v>
      </c>
      <c r="C237" s="109" t="s">
        <v>15335</v>
      </c>
      <c r="D237" s="109" t="str">
        <f>"152326196310256872"</f>
        <v>152326196310256872</v>
      </c>
      <c r="E237" s="102" t="s">
        <v>15</v>
      </c>
      <c r="F237" s="102">
        <v>2020</v>
      </c>
      <c r="G237" s="102" t="s">
        <v>16</v>
      </c>
      <c r="H237" s="102">
        <v>200</v>
      </c>
      <c r="I237" s="102">
        <v>200</v>
      </c>
      <c r="J237" s="102"/>
      <c r="K237" s="102"/>
      <c r="L237" s="105">
        <v>20201118</v>
      </c>
    </row>
    <row r="238" ht="16" customHeight="1" spans="1:12">
      <c r="A238" s="102" t="s">
        <v>1026</v>
      </c>
      <c r="B238" s="102" t="s">
        <v>15086</v>
      </c>
      <c r="C238" s="109" t="s">
        <v>15336</v>
      </c>
      <c r="D238" s="109" t="str">
        <f>"152326196304016872"</f>
        <v>152326196304016872</v>
      </c>
      <c r="E238" s="102" t="s">
        <v>15</v>
      </c>
      <c r="F238" s="102">
        <v>2020</v>
      </c>
      <c r="G238" s="102" t="s">
        <v>16</v>
      </c>
      <c r="H238" s="102">
        <v>200</v>
      </c>
      <c r="I238" s="102">
        <v>200</v>
      </c>
      <c r="J238" s="102"/>
      <c r="K238" s="102"/>
      <c r="L238" s="105">
        <v>20201118</v>
      </c>
    </row>
    <row r="239" ht="16" customHeight="1" spans="1:12">
      <c r="A239" s="102" t="s">
        <v>1029</v>
      </c>
      <c r="B239" s="102" t="s">
        <v>15086</v>
      </c>
      <c r="C239" s="109" t="s">
        <v>15337</v>
      </c>
      <c r="D239" s="109" t="s">
        <v>15338</v>
      </c>
      <c r="E239" s="102" t="s">
        <v>15</v>
      </c>
      <c r="F239" s="102">
        <v>2020</v>
      </c>
      <c r="G239" s="102" t="s">
        <v>16</v>
      </c>
      <c r="H239" s="102">
        <v>500</v>
      </c>
      <c r="I239" s="102">
        <v>500</v>
      </c>
      <c r="J239" s="102"/>
      <c r="K239" s="102"/>
      <c r="L239" s="105">
        <v>20201118</v>
      </c>
    </row>
    <row r="240" ht="16" customHeight="1" spans="1:12">
      <c r="A240" s="102" t="s">
        <v>1032</v>
      </c>
      <c r="B240" s="102" t="s">
        <v>15086</v>
      </c>
      <c r="C240" s="109" t="s">
        <v>15339</v>
      </c>
      <c r="D240" s="109" t="str">
        <f>"152326196302146876"</f>
        <v>152326196302146876</v>
      </c>
      <c r="E240" s="102" t="s">
        <v>15</v>
      </c>
      <c r="F240" s="102">
        <v>2020</v>
      </c>
      <c r="G240" s="102" t="s">
        <v>16</v>
      </c>
      <c r="H240" s="102">
        <v>200</v>
      </c>
      <c r="I240" s="102">
        <v>200</v>
      </c>
      <c r="J240" s="102"/>
      <c r="K240" s="102"/>
      <c r="L240" s="105">
        <v>20201118</v>
      </c>
    </row>
    <row r="241" ht="16" customHeight="1" spans="1:12">
      <c r="A241" s="102" t="s">
        <v>1035</v>
      </c>
      <c r="B241" s="102" t="s">
        <v>15086</v>
      </c>
      <c r="C241" s="109" t="s">
        <v>15340</v>
      </c>
      <c r="D241" s="109" t="str">
        <f>"152326196204126863"</f>
        <v>152326196204126863</v>
      </c>
      <c r="E241" s="102" t="s">
        <v>15</v>
      </c>
      <c r="F241" s="102">
        <v>2020</v>
      </c>
      <c r="G241" s="102" t="s">
        <v>16</v>
      </c>
      <c r="H241" s="102">
        <v>200</v>
      </c>
      <c r="I241" s="102">
        <v>200</v>
      </c>
      <c r="J241" s="102"/>
      <c r="K241" s="102"/>
      <c r="L241" s="105">
        <v>20201118</v>
      </c>
    </row>
    <row r="242" ht="16" customHeight="1" spans="1:12">
      <c r="A242" s="102" t="s">
        <v>1522</v>
      </c>
      <c r="B242" s="102" t="s">
        <v>15086</v>
      </c>
      <c r="C242" s="109" t="s">
        <v>5504</v>
      </c>
      <c r="D242" s="109" t="str">
        <f>"152326196210106869"</f>
        <v>152326196210106869</v>
      </c>
      <c r="E242" s="102" t="s">
        <v>15</v>
      </c>
      <c r="F242" s="102">
        <v>2020</v>
      </c>
      <c r="G242" s="102" t="s">
        <v>16</v>
      </c>
      <c r="H242" s="102">
        <v>200</v>
      </c>
      <c r="I242" s="102">
        <v>200</v>
      </c>
      <c r="J242" s="102"/>
      <c r="K242" s="102"/>
      <c r="L242" s="105">
        <v>20201118</v>
      </c>
    </row>
    <row r="243" ht="16" customHeight="1" spans="1:12">
      <c r="A243" s="102" t="s">
        <v>1525</v>
      </c>
      <c r="B243" s="102" t="s">
        <v>15086</v>
      </c>
      <c r="C243" s="109" t="s">
        <v>15341</v>
      </c>
      <c r="D243" s="109" t="s">
        <v>15342</v>
      </c>
      <c r="E243" s="102" t="s">
        <v>15</v>
      </c>
      <c r="F243" s="102">
        <v>2020</v>
      </c>
      <c r="G243" s="102" t="s">
        <v>16</v>
      </c>
      <c r="H243" s="102">
        <v>200</v>
      </c>
      <c r="I243" s="102">
        <v>200</v>
      </c>
      <c r="J243" s="102"/>
      <c r="K243" s="102"/>
      <c r="L243" s="105">
        <v>20201118</v>
      </c>
    </row>
    <row r="244" ht="16" customHeight="1" spans="1:12">
      <c r="A244" s="102" t="s">
        <v>1528</v>
      </c>
      <c r="B244" s="102" t="s">
        <v>15086</v>
      </c>
      <c r="C244" s="109" t="s">
        <v>1351</v>
      </c>
      <c r="D244" s="109" t="str">
        <f>"152326196207236865"</f>
        <v>152326196207236865</v>
      </c>
      <c r="E244" s="102" t="s">
        <v>15</v>
      </c>
      <c r="F244" s="102">
        <v>2020</v>
      </c>
      <c r="G244" s="102" t="s">
        <v>16</v>
      </c>
      <c r="H244" s="102">
        <v>200</v>
      </c>
      <c r="I244" s="102">
        <v>200</v>
      </c>
      <c r="J244" s="102"/>
      <c r="K244" s="102"/>
      <c r="L244" s="105">
        <v>20201118</v>
      </c>
    </row>
    <row r="245" ht="16" customHeight="1" spans="1:12">
      <c r="A245" s="102" t="s">
        <v>1531</v>
      </c>
      <c r="B245" s="102" t="s">
        <v>15086</v>
      </c>
      <c r="C245" s="109" t="s">
        <v>15343</v>
      </c>
      <c r="D245" s="109" t="str">
        <f>"152326196206026882"</f>
        <v>152326196206026882</v>
      </c>
      <c r="E245" s="102" t="s">
        <v>15</v>
      </c>
      <c r="F245" s="102">
        <v>2020</v>
      </c>
      <c r="G245" s="102" t="s">
        <v>16</v>
      </c>
      <c r="H245" s="102">
        <v>200</v>
      </c>
      <c r="I245" s="102">
        <v>200</v>
      </c>
      <c r="J245" s="102"/>
      <c r="K245" s="102"/>
      <c r="L245" s="105">
        <v>20201118</v>
      </c>
    </row>
    <row r="246" ht="16" customHeight="1" spans="1:12">
      <c r="A246" s="102" t="s">
        <v>1534</v>
      </c>
      <c r="B246" s="102" t="s">
        <v>15086</v>
      </c>
      <c r="C246" s="109" t="s">
        <v>7776</v>
      </c>
      <c r="D246" s="109" t="str">
        <f>"152326196210106885"</f>
        <v>152326196210106885</v>
      </c>
      <c r="E246" s="102" t="s">
        <v>15</v>
      </c>
      <c r="F246" s="102">
        <v>2020</v>
      </c>
      <c r="G246" s="102" t="s">
        <v>16</v>
      </c>
      <c r="H246" s="102">
        <v>200</v>
      </c>
      <c r="I246" s="102">
        <v>200</v>
      </c>
      <c r="J246" s="102"/>
      <c r="K246" s="102"/>
      <c r="L246" s="105">
        <v>20201118</v>
      </c>
    </row>
    <row r="247" ht="16" customHeight="1" spans="1:12">
      <c r="A247" s="102" t="s">
        <v>1537</v>
      </c>
      <c r="B247" s="102" t="s">
        <v>15086</v>
      </c>
      <c r="C247" s="109" t="s">
        <v>10056</v>
      </c>
      <c r="D247" s="109" t="s">
        <v>15344</v>
      </c>
      <c r="E247" s="102" t="s">
        <v>15</v>
      </c>
      <c r="F247" s="102">
        <v>2020</v>
      </c>
      <c r="G247" s="102" t="s">
        <v>16</v>
      </c>
      <c r="H247" s="102">
        <v>200</v>
      </c>
      <c r="I247" s="102">
        <v>200</v>
      </c>
      <c r="J247" s="102"/>
      <c r="K247" s="102"/>
      <c r="L247" s="105">
        <v>20201118</v>
      </c>
    </row>
    <row r="248" ht="16" customHeight="1" spans="1:12">
      <c r="A248" s="102" t="s">
        <v>1539</v>
      </c>
      <c r="B248" s="102" t="s">
        <v>15086</v>
      </c>
      <c r="C248" s="109" t="s">
        <v>15345</v>
      </c>
      <c r="D248" s="109" t="s">
        <v>15346</v>
      </c>
      <c r="E248" s="102" t="s">
        <v>15</v>
      </c>
      <c r="F248" s="102">
        <v>2020</v>
      </c>
      <c r="G248" s="102" t="s">
        <v>16</v>
      </c>
      <c r="H248" s="102">
        <v>200</v>
      </c>
      <c r="I248" s="102">
        <v>200</v>
      </c>
      <c r="J248" s="102"/>
      <c r="K248" s="102"/>
      <c r="L248" s="105">
        <v>20201118</v>
      </c>
    </row>
    <row r="249" ht="16" customHeight="1" spans="1:12">
      <c r="A249" s="102" t="s">
        <v>1542</v>
      </c>
      <c r="B249" s="102" t="s">
        <v>15086</v>
      </c>
      <c r="C249" s="109" t="s">
        <v>15347</v>
      </c>
      <c r="D249" s="109" t="str">
        <f>"152326196206246877"</f>
        <v>152326196206246877</v>
      </c>
      <c r="E249" s="102" t="s">
        <v>15</v>
      </c>
      <c r="F249" s="102">
        <v>2020</v>
      </c>
      <c r="G249" s="102" t="s">
        <v>16</v>
      </c>
      <c r="H249" s="102">
        <v>200</v>
      </c>
      <c r="I249" s="102">
        <v>200</v>
      </c>
      <c r="J249" s="102"/>
      <c r="K249" s="102"/>
      <c r="L249" s="105">
        <v>20201118</v>
      </c>
    </row>
    <row r="250" ht="16" customHeight="1" spans="1:12">
      <c r="A250" s="102" t="s">
        <v>1545</v>
      </c>
      <c r="B250" s="102" t="s">
        <v>15086</v>
      </c>
      <c r="C250" s="109" t="s">
        <v>15348</v>
      </c>
      <c r="D250" s="109" t="str">
        <f>"152326196203156884"</f>
        <v>152326196203156884</v>
      </c>
      <c r="E250" s="102" t="s">
        <v>15</v>
      </c>
      <c r="F250" s="102">
        <v>2020</v>
      </c>
      <c r="G250" s="102" t="s">
        <v>16</v>
      </c>
      <c r="H250" s="102">
        <v>200</v>
      </c>
      <c r="I250" s="102">
        <v>200</v>
      </c>
      <c r="J250" s="102"/>
      <c r="K250" s="102"/>
      <c r="L250" s="105">
        <v>20201118</v>
      </c>
    </row>
    <row r="251" ht="16" customHeight="1" spans="1:12">
      <c r="A251" s="102" t="s">
        <v>1548</v>
      </c>
      <c r="B251" s="102" t="s">
        <v>15086</v>
      </c>
      <c r="C251" s="109" t="s">
        <v>15349</v>
      </c>
      <c r="D251" s="109" t="str">
        <f>"152326196211296860"</f>
        <v>152326196211296860</v>
      </c>
      <c r="E251" s="102" t="s">
        <v>15</v>
      </c>
      <c r="F251" s="102">
        <v>2020</v>
      </c>
      <c r="G251" s="102" t="s">
        <v>16</v>
      </c>
      <c r="H251" s="102">
        <v>200</v>
      </c>
      <c r="I251" s="102">
        <v>200</v>
      </c>
      <c r="J251" s="102"/>
      <c r="K251" s="102"/>
      <c r="L251" s="105">
        <v>20201118</v>
      </c>
    </row>
    <row r="252" ht="16" customHeight="1" spans="1:12">
      <c r="A252" s="102" t="s">
        <v>1551</v>
      </c>
      <c r="B252" s="102" t="s">
        <v>15086</v>
      </c>
      <c r="C252" s="109" t="s">
        <v>15350</v>
      </c>
      <c r="D252" s="109" t="str">
        <f>"152326196209116867"</f>
        <v>152326196209116867</v>
      </c>
      <c r="E252" s="102" t="s">
        <v>15</v>
      </c>
      <c r="F252" s="102">
        <v>2020</v>
      </c>
      <c r="G252" s="102" t="s">
        <v>16</v>
      </c>
      <c r="H252" s="102">
        <v>1000</v>
      </c>
      <c r="I252" s="102">
        <v>1000</v>
      </c>
      <c r="J252" s="102"/>
      <c r="K252" s="107"/>
      <c r="L252" s="105">
        <v>20201118</v>
      </c>
    </row>
    <row r="253" ht="16" customHeight="1" spans="1:12">
      <c r="A253" s="102" t="s">
        <v>1554</v>
      </c>
      <c r="B253" s="102" t="s">
        <v>15086</v>
      </c>
      <c r="C253" s="109" t="s">
        <v>15351</v>
      </c>
      <c r="D253" s="109" t="str">
        <f>"152326196202216865"</f>
        <v>152326196202216865</v>
      </c>
      <c r="E253" s="102" t="s">
        <v>15</v>
      </c>
      <c r="F253" s="102">
        <v>2020</v>
      </c>
      <c r="G253" s="102" t="s">
        <v>16</v>
      </c>
      <c r="H253" s="102">
        <v>200</v>
      </c>
      <c r="I253" s="102">
        <v>200</v>
      </c>
      <c r="J253" s="102"/>
      <c r="K253" s="102"/>
      <c r="L253" s="105">
        <v>20201118</v>
      </c>
    </row>
    <row r="254" ht="16" customHeight="1" spans="1:12">
      <c r="A254" s="102" t="s">
        <v>1557</v>
      </c>
      <c r="B254" s="102" t="s">
        <v>15086</v>
      </c>
      <c r="C254" s="109" t="s">
        <v>15352</v>
      </c>
      <c r="D254" s="109" t="str">
        <f>"152326196205106901"</f>
        <v>152326196205106901</v>
      </c>
      <c r="E254" s="102" t="s">
        <v>15</v>
      </c>
      <c r="F254" s="102">
        <v>2020</v>
      </c>
      <c r="G254" s="102" t="s">
        <v>16</v>
      </c>
      <c r="H254" s="102">
        <v>200</v>
      </c>
      <c r="I254" s="102">
        <v>200</v>
      </c>
      <c r="J254" s="102"/>
      <c r="K254" s="102"/>
      <c r="L254" s="105">
        <v>20201118</v>
      </c>
    </row>
    <row r="255" ht="16" customHeight="1" spans="1:12">
      <c r="A255" s="102" t="s">
        <v>1560</v>
      </c>
      <c r="B255" s="102" t="s">
        <v>15086</v>
      </c>
      <c r="C255" s="109" t="s">
        <v>15353</v>
      </c>
      <c r="D255" s="109" t="str">
        <f>"152326196209056876"</f>
        <v>152326196209056876</v>
      </c>
      <c r="E255" s="102" t="s">
        <v>15</v>
      </c>
      <c r="F255" s="102">
        <v>2020</v>
      </c>
      <c r="G255" s="102" t="s">
        <v>16</v>
      </c>
      <c r="H255" s="102">
        <v>200</v>
      </c>
      <c r="I255" s="102">
        <v>200</v>
      </c>
      <c r="J255" s="102"/>
      <c r="K255" s="102"/>
      <c r="L255" s="105">
        <v>20201118</v>
      </c>
    </row>
    <row r="256" ht="16" customHeight="1" spans="1:12">
      <c r="A256" s="102" t="s">
        <v>1563</v>
      </c>
      <c r="B256" s="102" t="s">
        <v>15086</v>
      </c>
      <c r="C256" s="109" t="s">
        <v>3471</v>
      </c>
      <c r="D256" s="109" t="str">
        <f>"152326196206136889"</f>
        <v>152326196206136889</v>
      </c>
      <c r="E256" s="102" t="s">
        <v>15</v>
      </c>
      <c r="F256" s="102">
        <v>2020</v>
      </c>
      <c r="G256" s="102" t="s">
        <v>16</v>
      </c>
      <c r="H256" s="102">
        <v>200</v>
      </c>
      <c r="I256" s="102">
        <v>200</v>
      </c>
      <c r="J256" s="102"/>
      <c r="K256" s="102"/>
      <c r="L256" s="105">
        <v>20201118</v>
      </c>
    </row>
    <row r="257" ht="16" customHeight="1" spans="1:12">
      <c r="A257" s="102" t="s">
        <v>1566</v>
      </c>
      <c r="B257" s="102" t="s">
        <v>15086</v>
      </c>
      <c r="C257" s="109" t="s">
        <v>15354</v>
      </c>
      <c r="D257" s="109" t="s">
        <v>15355</v>
      </c>
      <c r="E257" s="102" t="s">
        <v>15</v>
      </c>
      <c r="F257" s="102">
        <v>2020</v>
      </c>
      <c r="G257" s="102" t="s">
        <v>16</v>
      </c>
      <c r="H257" s="102">
        <v>200</v>
      </c>
      <c r="I257" s="102">
        <v>200</v>
      </c>
      <c r="J257" s="102"/>
      <c r="K257" s="102"/>
      <c r="L257" s="105">
        <v>20201118</v>
      </c>
    </row>
    <row r="258" ht="16" customHeight="1" spans="1:12">
      <c r="A258" s="102" t="s">
        <v>1569</v>
      </c>
      <c r="B258" s="102" t="s">
        <v>15086</v>
      </c>
      <c r="C258" s="109" t="s">
        <v>15356</v>
      </c>
      <c r="D258" s="109" t="str">
        <f>"152326196210116880"</f>
        <v>152326196210116880</v>
      </c>
      <c r="E258" s="102" t="s">
        <v>15</v>
      </c>
      <c r="F258" s="102">
        <v>2020</v>
      </c>
      <c r="G258" s="102" t="s">
        <v>16</v>
      </c>
      <c r="H258" s="102">
        <v>200</v>
      </c>
      <c r="I258" s="102">
        <v>200</v>
      </c>
      <c r="J258" s="102"/>
      <c r="K258" s="102"/>
      <c r="L258" s="105">
        <v>20201118</v>
      </c>
    </row>
    <row r="259" ht="16" customHeight="1" spans="1:12">
      <c r="A259" s="102" t="s">
        <v>1572</v>
      </c>
      <c r="B259" s="102" t="s">
        <v>15086</v>
      </c>
      <c r="C259" s="109" t="s">
        <v>15357</v>
      </c>
      <c r="D259" s="109" t="str">
        <f>"152326196206026866"</f>
        <v>152326196206026866</v>
      </c>
      <c r="E259" s="102" t="s">
        <v>15</v>
      </c>
      <c r="F259" s="102">
        <v>2020</v>
      </c>
      <c r="G259" s="102" t="s">
        <v>16</v>
      </c>
      <c r="H259" s="102">
        <v>200</v>
      </c>
      <c r="I259" s="102">
        <v>200</v>
      </c>
      <c r="J259" s="102"/>
      <c r="K259" s="102"/>
      <c r="L259" s="105">
        <v>20201118</v>
      </c>
    </row>
    <row r="260" ht="16" customHeight="1" spans="1:12">
      <c r="A260" s="102" t="s">
        <v>1575</v>
      </c>
      <c r="B260" s="102" t="s">
        <v>15086</v>
      </c>
      <c r="C260" s="109" t="s">
        <v>15358</v>
      </c>
      <c r="D260" s="109" t="str">
        <f>"152326196210026869"</f>
        <v>152326196210026869</v>
      </c>
      <c r="E260" s="102" t="s">
        <v>15</v>
      </c>
      <c r="F260" s="102">
        <v>2020</v>
      </c>
      <c r="G260" s="102" t="s">
        <v>16</v>
      </c>
      <c r="H260" s="102">
        <v>200</v>
      </c>
      <c r="I260" s="102">
        <v>200</v>
      </c>
      <c r="J260" s="102"/>
      <c r="K260" s="102"/>
      <c r="L260" s="105">
        <v>20201118</v>
      </c>
    </row>
    <row r="261" ht="16" customHeight="1" spans="1:12">
      <c r="A261" s="102" t="s">
        <v>1578</v>
      </c>
      <c r="B261" s="102" t="s">
        <v>15086</v>
      </c>
      <c r="C261" s="109" t="s">
        <v>15359</v>
      </c>
      <c r="D261" s="109" t="str">
        <f>"152326196207246887"</f>
        <v>152326196207246887</v>
      </c>
      <c r="E261" s="102" t="s">
        <v>15</v>
      </c>
      <c r="F261" s="102">
        <v>2020</v>
      </c>
      <c r="G261" s="102" t="s">
        <v>16</v>
      </c>
      <c r="H261" s="102">
        <v>1000</v>
      </c>
      <c r="I261" s="102">
        <v>1000</v>
      </c>
      <c r="J261" s="102"/>
      <c r="K261" s="102"/>
      <c r="L261" s="105">
        <v>20201118</v>
      </c>
    </row>
    <row r="262" ht="16" customHeight="1" spans="1:12">
      <c r="A262" s="102" t="s">
        <v>1581</v>
      </c>
      <c r="B262" s="102" t="s">
        <v>15086</v>
      </c>
      <c r="C262" s="109" t="s">
        <v>15360</v>
      </c>
      <c r="D262" s="109" t="str">
        <f>"152326196210256891"</f>
        <v>152326196210256891</v>
      </c>
      <c r="E262" s="102" t="s">
        <v>15</v>
      </c>
      <c r="F262" s="102">
        <v>2020</v>
      </c>
      <c r="G262" s="102" t="s">
        <v>16</v>
      </c>
      <c r="H262" s="102">
        <v>1000</v>
      </c>
      <c r="I262" s="102">
        <v>1000</v>
      </c>
      <c r="J262" s="102"/>
      <c r="K262" s="102"/>
      <c r="L262" s="105">
        <v>20201118</v>
      </c>
    </row>
    <row r="263" ht="16" customHeight="1" spans="1:12">
      <c r="A263" s="102" t="s">
        <v>1584</v>
      </c>
      <c r="B263" s="102" t="s">
        <v>15086</v>
      </c>
      <c r="C263" s="109" t="s">
        <v>15361</v>
      </c>
      <c r="D263" s="109" t="s">
        <v>15362</v>
      </c>
      <c r="E263" s="102" t="s">
        <v>15</v>
      </c>
      <c r="F263" s="102">
        <v>2020</v>
      </c>
      <c r="G263" s="102" t="s">
        <v>16</v>
      </c>
      <c r="H263" s="102">
        <v>200</v>
      </c>
      <c r="I263" s="102">
        <v>200</v>
      </c>
      <c r="J263" s="102"/>
      <c r="K263" s="102"/>
      <c r="L263" s="105">
        <v>20201118</v>
      </c>
    </row>
    <row r="264" ht="16" customHeight="1" spans="1:12">
      <c r="A264" s="102" t="s">
        <v>1587</v>
      </c>
      <c r="B264" s="102" t="s">
        <v>15086</v>
      </c>
      <c r="C264" s="109" t="s">
        <v>15363</v>
      </c>
      <c r="D264" s="109" t="str">
        <f>"152326196205106864"</f>
        <v>152326196205106864</v>
      </c>
      <c r="E264" s="102" t="s">
        <v>15</v>
      </c>
      <c r="F264" s="102">
        <v>2020</v>
      </c>
      <c r="G264" s="102" t="s">
        <v>16</v>
      </c>
      <c r="H264" s="102">
        <v>200</v>
      </c>
      <c r="I264" s="102">
        <v>200</v>
      </c>
      <c r="J264" s="102"/>
      <c r="K264" s="102"/>
      <c r="L264" s="105">
        <v>20201118</v>
      </c>
    </row>
    <row r="265" ht="16" customHeight="1" spans="1:12">
      <c r="A265" s="102" t="s">
        <v>1590</v>
      </c>
      <c r="B265" s="5" t="s">
        <v>15086</v>
      </c>
      <c r="C265" s="6" t="s">
        <v>15364</v>
      </c>
      <c r="D265" s="6" t="s">
        <v>15365</v>
      </c>
      <c r="E265" s="102" t="s">
        <v>15</v>
      </c>
      <c r="F265" s="102">
        <v>2020</v>
      </c>
      <c r="G265" s="5" t="s">
        <v>16</v>
      </c>
      <c r="H265" s="5">
        <v>200</v>
      </c>
      <c r="I265" s="5">
        <v>200</v>
      </c>
      <c r="J265" s="5"/>
      <c r="K265" s="5"/>
      <c r="L265" s="105">
        <v>20201118</v>
      </c>
    </row>
    <row r="266" ht="16" customHeight="1" spans="1:12">
      <c r="A266" s="102" t="s">
        <v>1593</v>
      </c>
      <c r="B266" s="102" t="s">
        <v>15086</v>
      </c>
      <c r="C266" s="109" t="s">
        <v>7286</v>
      </c>
      <c r="D266" s="109" t="str">
        <f>"152326196108096860"</f>
        <v>152326196108096860</v>
      </c>
      <c r="E266" s="102" t="s">
        <v>15</v>
      </c>
      <c r="F266" s="102">
        <v>2020</v>
      </c>
      <c r="G266" s="102" t="s">
        <v>16</v>
      </c>
      <c r="H266" s="102">
        <v>200</v>
      </c>
      <c r="I266" s="102">
        <v>200</v>
      </c>
      <c r="J266" s="102"/>
      <c r="K266" s="102"/>
      <c r="L266" s="105">
        <v>20201118</v>
      </c>
    </row>
    <row r="267" ht="16" customHeight="1" spans="1:12">
      <c r="A267" s="102" t="s">
        <v>1596</v>
      </c>
      <c r="B267" s="102" t="s">
        <v>15086</v>
      </c>
      <c r="C267" s="109" t="s">
        <v>13241</v>
      </c>
      <c r="D267" s="109" t="str">
        <f>"152326196101116873"</f>
        <v>152326196101116873</v>
      </c>
      <c r="E267" s="102" t="s">
        <v>15</v>
      </c>
      <c r="F267" s="102">
        <v>2020</v>
      </c>
      <c r="G267" s="102" t="s">
        <v>16</v>
      </c>
      <c r="H267" s="102">
        <v>200</v>
      </c>
      <c r="I267" s="102">
        <v>200</v>
      </c>
      <c r="J267" s="102"/>
      <c r="K267" s="102"/>
      <c r="L267" s="105">
        <v>20201118</v>
      </c>
    </row>
    <row r="268" s="98" customFormat="1" ht="16" customHeight="1" spans="1:12">
      <c r="A268" s="5" t="s">
        <v>1599</v>
      </c>
      <c r="B268" s="5" t="s">
        <v>15086</v>
      </c>
      <c r="C268" s="6" t="s">
        <v>15366</v>
      </c>
      <c r="D268" s="6" t="s">
        <v>15367</v>
      </c>
      <c r="E268" s="5" t="s">
        <v>310</v>
      </c>
      <c r="F268" s="5">
        <v>2020</v>
      </c>
      <c r="G268" s="93" t="s">
        <v>289</v>
      </c>
      <c r="H268" s="6">
        <v>200</v>
      </c>
      <c r="I268" s="5">
        <v>2000</v>
      </c>
      <c r="J268" s="5"/>
      <c r="K268" s="5"/>
      <c r="L268" s="105">
        <v>20201118</v>
      </c>
    </row>
    <row r="269" s="98" customFormat="1" ht="16" customHeight="1" spans="1:12">
      <c r="A269" s="5" t="s">
        <v>1602</v>
      </c>
      <c r="B269" s="5" t="s">
        <v>15086</v>
      </c>
      <c r="C269" s="6" t="s">
        <v>15368</v>
      </c>
      <c r="D269" s="293" t="s">
        <v>15369</v>
      </c>
      <c r="E269" s="5" t="s">
        <v>310</v>
      </c>
      <c r="F269" s="5">
        <v>2020</v>
      </c>
      <c r="G269" s="93" t="s">
        <v>289</v>
      </c>
      <c r="H269" s="6">
        <v>200</v>
      </c>
      <c r="I269" s="5">
        <v>2000</v>
      </c>
      <c r="J269" s="5"/>
      <c r="K269" s="5"/>
      <c r="L269" s="105">
        <v>20201118</v>
      </c>
    </row>
    <row r="270" s="98" customFormat="1" ht="16" customHeight="1" spans="1:12">
      <c r="A270" s="5" t="s">
        <v>1605</v>
      </c>
      <c r="B270" s="5" t="s">
        <v>15086</v>
      </c>
      <c r="C270" s="6" t="s">
        <v>15370</v>
      </c>
      <c r="D270" s="293" t="s">
        <v>15371</v>
      </c>
      <c r="E270" s="5" t="s">
        <v>2472</v>
      </c>
      <c r="F270" s="5">
        <v>2020</v>
      </c>
      <c r="G270" s="93" t="s">
        <v>289</v>
      </c>
      <c r="H270" s="6">
        <v>200</v>
      </c>
      <c r="I270" s="5">
        <v>1200</v>
      </c>
      <c r="J270" s="5"/>
      <c r="K270" s="5"/>
      <c r="L270" s="105">
        <v>20201118</v>
      </c>
    </row>
    <row r="271" s="98" customFormat="1" ht="16" customHeight="1" spans="1:12">
      <c r="A271" s="5" t="s">
        <v>1608</v>
      </c>
      <c r="B271" s="5" t="s">
        <v>15086</v>
      </c>
      <c r="C271" s="6" t="s">
        <v>15372</v>
      </c>
      <c r="D271" s="293" t="s">
        <v>15373</v>
      </c>
      <c r="E271" s="5" t="s">
        <v>288</v>
      </c>
      <c r="F271" s="5">
        <v>2020</v>
      </c>
      <c r="G271" s="93" t="s">
        <v>289</v>
      </c>
      <c r="H271" s="6">
        <v>200</v>
      </c>
      <c r="I271" s="5">
        <v>800</v>
      </c>
      <c r="J271" s="5"/>
      <c r="K271" s="5"/>
      <c r="L271" s="105">
        <v>20201118</v>
      </c>
    </row>
    <row r="272" s="98" customFormat="1" ht="16" customHeight="1" spans="1:12">
      <c r="A272" s="5" t="s">
        <v>1611</v>
      </c>
      <c r="B272" s="5" t="s">
        <v>15086</v>
      </c>
      <c r="C272" s="6" t="s">
        <v>15374</v>
      </c>
      <c r="D272" s="293" t="s">
        <v>15375</v>
      </c>
      <c r="E272" s="5" t="s">
        <v>288</v>
      </c>
      <c r="F272" s="5">
        <v>2020</v>
      </c>
      <c r="G272" s="93" t="s">
        <v>289</v>
      </c>
      <c r="H272" s="6">
        <v>200</v>
      </c>
      <c r="I272" s="5">
        <v>800</v>
      </c>
      <c r="J272" s="5"/>
      <c r="K272" s="5"/>
      <c r="L272" s="105">
        <v>20201118</v>
      </c>
    </row>
    <row r="273" s="98" customFormat="1" ht="16" customHeight="1" spans="1:12">
      <c r="A273" s="5" t="s">
        <v>1614</v>
      </c>
      <c r="B273" s="5" t="s">
        <v>15086</v>
      </c>
      <c r="C273" s="6" t="s">
        <v>15376</v>
      </c>
      <c r="D273" s="293" t="s">
        <v>15377</v>
      </c>
      <c r="E273" s="5" t="s">
        <v>15</v>
      </c>
      <c r="F273" s="5">
        <v>2020</v>
      </c>
      <c r="G273" s="107" t="s">
        <v>189</v>
      </c>
      <c r="H273" s="6">
        <v>200</v>
      </c>
      <c r="I273" s="5">
        <v>200</v>
      </c>
      <c r="J273" s="5"/>
      <c r="K273" s="5"/>
      <c r="L273" s="105">
        <v>20201118</v>
      </c>
    </row>
    <row r="274" s="98" customFormat="1" ht="16" customHeight="1" spans="1:12">
      <c r="A274" s="5" t="s">
        <v>1617</v>
      </c>
      <c r="B274" s="5" t="s">
        <v>15086</v>
      </c>
      <c r="C274" s="6" t="s">
        <v>15378</v>
      </c>
      <c r="D274" s="293" t="s">
        <v>15379</v>
      </c>
      <c r="E274" s="5" t="s">
        <v>15</v>
      </c>
      <c r="F274" s="5">
        <v>2020</v>
      </c>
      <c r="G274" s="107" t="s">
        <v>189</v>
      </c>
      <c r="H274" s="6">
        <v>200</v>
      </c>
      <c r="I274" s="5">
        <v>200</v>
      </c>
      <c r="J274" s="5"/>
      <c r="K274" s="5"/>
      <c r="L274" s="105">
        <v>20201118</v>
      </c>
    </row>
    <row r="275" s="98" customFormat="1" ht="16" customHeight="1" spans="1:12">
      <c r="A275" s="5" t="s">
        <v>1620</v>
      </c>
      <c r="B275" s="5" t="s">
        <v>15086</v>
      </c>
      <c r="C275" s="6" t="s">
        <v>4618</v>
      </c>
      <c r="D275" s="293" t="s">
        <v>15380</v>
      </c>
      <c r="E275" s="5" t="s">
        <v>15</v>
      </c>
      <c r="F275" s="5">
        <v>2020</v>
      </c>
      <c r="G275" s="107" t="s">
        <v>189</v>
      </c>
      <c r="H275" s="6">
        <v>200</v>
      </c>
      <c r="I275" s="5">
        <v>200</v>
      </c>
      <c r="J275" s="5"/>
      <c r="K275" s="5"/>
      <c r="L275" s="105">
        <v>20201118</v>
      </c>
    </row>
    <row r="276" s="98" customFormat="1" ht="16" customHeight="1" spans="1:12">
      <c r="A276" s="5" t="s">
        <v>1623</v>
      </c>
      <c r="B276" s="5" t="s">
        <v>15086</v>
      </c>
      <c r="C276" s="6" t="s">
        <v>15381</v>
      </c>
      <c r="D276" s="293" t="s">
        <v>15382</v>
      </c>
      <c r="E276" s="5" t="s">
        <v>15</v>
      </c>
      <c r="F276" s="5">
        <v>2020</v>
      </c>
      <c r="G276" s="107" t="s">
        <v>189</v>
      </c>
      <c r="H276" s="6">
        <v>500</v>
      </c>
      <c r="I276" s="5">
        <v>500</v>
      </c>
      <c r="J276" s="5"/>
      <c r="K276" s="5"/>
      <c r="L276" s="105">
        <v>20201118</v>
      </c>
    </row>
    <row r="277" s="98" customFormat="1" ht="16" customHeight="1" spans="1:12">
      <c r="A277" s="5" t="s">
        <v>1626</v>
      </c>
      <c r="B277" s="5" t="s">
        <v>15086</v>
      </c>
      <c r="C277" s="6" t="s">
        <v>15383</v>
      </c>
      <c r="D277" s="293" t="s">
        <v>15384</v>
      </c>
      <c r="E277" s="5" t="s">
        <v>15</v>
      </c>
      <c r="F277" s="5">
        <v>2020</v>
      </c>
      <c r="G277" s="107" t="s">
        <v>189</v>
      </c>
      <c r="H277" s="6">
        <v>500</v>
      </c>
      <c r="I277" s="5">
        <v>500</v>
      </c>
      <c r="J277" s="5"/>
      <c r="K277" s="5"/>
      <c r="L277" s="105">
        <v>20201118</v>
      </c>
    </row>
    <row r="278" s="98" customFormat="1" ht="16" customHeight="1" spans="1:12">
      <c r="A278" s="5" t="s">
        <v>1629</v>
      </c>
      <c r="B278" s="5" t="s">
        <v>15086</v>
      </c>
      <c r="C278" s="6" t="s">
        <v>15385</v>
      </c>
      <c r="D278" s="293" t="s">
        <v>15386</v>
      </c>
      <c r="E278" s="5" t="s">
        <v>15</v>
      </c>
      <c r="F278" s="5">
        <v>2020</v>
      </c>
      <c r="G278" s="107" t="s">
        <v>189</v>
      </c>
      <c r="H278" s="6">
        <v>200</v>
      </c>
      <c r="I278" s="5">
        <v>200</v>
      </c>
      <c r="J278" s="5"/>
      <c r="K278" s="5"/>
      <c r="L278" s="105">
        <v>20201118</v>
      </c>
    </row>
    <row r="279" s="98" customFormat="1" ht="16" customHeight="1" spans="1:12">
      <c r="A279" s="5" t="s">
        <v>1632</v>
      </c>
      <c r="B279" s="5" t="s">
        <v>15086</v>
      </c>
      <c r="C279" s="6" t="s">
        <v>15387</v>
      </c>
      <c r="D279" s="293" t="s">
        <v>15388</v>
      </c>
      <c r="E279" s="5" t="s">
        <v>15</v>
      </c>
      <c r="F279" s="5">
        <v>2020</v>
      </c>
      <c r="G279" s="107" t="s">
        <v>189</v>
      </c>
      <c r="H279" s="6">
        <v>200</v>
      </c>
      <c r="I279" s="5">
        <v>200</v>
      </c>
      <c r="J279" s="5"/>
      <c r="K279" s="5"/>
      <c r="L279" s="105">
        <v>20201118</v>
      </c>
    </row>
    <row r="280" s="98" customFormat="1" ht="16" customHeight="1" spans="1:12">
      <c r="A280" s="5" t="s">
        <v>1635</v>
      </c>
      <c r="B280" s="5" t="s">
        <v>15086</v>
      </c>
      <c r="C280" s="6" t="s">
        <v>15389</v>
      </c>
      <c r="D280" s="293" t="s">
        <v>15390</v>
      </c>
      <c r="E280" s="5" t="s">
        <v>15</v>
      </c>
      <c r="F280" s="5">
        <v>2020</v>
      </c>
      <c r="G280" s="107" t="s">
        <v>189</v>
      </c>
      <c r="H280" s="6">
        <v>3000</v>
      </c>
      <c r="I280" s="5">
        <v>3000</v>
      </c>
      <c r="J280" s="5"/>
      <c r="K280" s="5"/>
      <c r="L280" s="105">
        <v>20201118</v>
      </c>
    </row>
    <row r="281" s="98" customFormat="1" ht="16" customHeight="1" spans="1:13">
      <c r="A281" s="5" t="s">
        <v>1638</v>
      </c>
      <c r="B281" s="5" t="s">
        <v>15086</v>
      </c>
      <c r="C281" s="5" t="s">
        <v>15391</v>
      </c>
      <c r="D281" s="5" t="s">
        <v>15392</v>
      </c>
      <c r="E281" s="5" t="s">
        <v>320</v>
      </c>
      <c r="F281" s="5">
        <v>2020</v>
      </c>
      <c r="G281" s="93" t="s">
        <v>289</v>
      </c>
      <c r="H281" s="5" t="s">
        <v>311</v>
      </c>
      <c r="I281" s="43">
        <v>1600</v>
      </c>
      <c r="J281" s="10"/>
      <c r="K281" s="5"/>
      <c r="L281" s="105">
        <v>20201118</v>
      </c>
      <c r="M281" s="112"/>
    </row>
    <row r="282" s="98" customFormat="1" ht="16" customHeight="1" spans="1:12">
      <c r="A282" s="5" t="s">
        <v>1641</v>
      </c>
      <c r="B282" s="13" t="s">
        <v>15086</v>
      </c>
      <c r="C282" s="13" t="s">
        <v>15393</v>
      </c>
      <c r="D282" s="5" t="s">
        <v>15394</v>
      </c>
      <c r="E282" s="13">
        <v>2011</v>
      </c>
      <c r="F282" s="5">
        <v>2020</v>
      </c>
      <c r="G282" s="93" t="s">
        <v>289</v>
      </c>
      <c r="H282" s="13">
        <v>200</v>
      </c>
      <c r="I282" s="13">
        <v>2000</v>
      </c>
      <c r="J282" s="10"/>
      <c r="K282" s="10"/>
      <c r="L282" s="105">
        <v>20201224</v>
      </c>
    </row>
    <row r="283" ht="16" customHeight="1" spans="1:12">
      <c r="A283" s="102" t="s">
        <v>1643</v>
      </c>
      <c r="B283" s="111" t="s">
        <v>15086</v>
      </c>
      <c r="C283" s="111" t="s">
        <v>15395</v>
      </c>
      <c r="D283" s="102" t="s">
        <v>15396</v>
      </c>
      <c r="E283" s="111">
        <v>2011</v>
      </c>
      <c r="F283" s="102">
        <v>2020</v>
      </c>
      <c r="G283" s="93" t="s">
        <v>289</v>
      </c>
      <c r="H283" s="111">
        <v>200</v>
      </c>
      <c r="I283" s="111">
        <v>2000</v>
      </c>
      <c r="J283" s="104"/>
      <c r="K283" s="104"/>
      <c r="L283" s="105">
        <v>20201224</v>
      </c>
    </row>
    <row r="284" ht="16" customHeight="1" spans="1:12">
      <c r="A284" s="102" t="s">
        <v>1646</v>
      </c>
      <c r="B284" s="111" t="s">
        <v>15086</v>
      </c>
      <c r="C284" s="111" t="s">
        <v>15397</v>
      </c>
      <c r="D284" s="102" t="s">
        <v>15398</v>
      </c>
      <c r="E284" s="111">
        <v>2011</v>
      </c>
      <c r="F284" s="102">
        <v>2020</v>
      </c>
      <c r="G284" s="93" t="s">
        <v>289</v>
      </c>
      <c r="H284" s="111">
        <v>200</v>
      </c>
      <c r="I284" s="111">
        <v>2000</v>
      </c>
      <c r="J284" s="104"/>
      <c r="K284" s="104"/>
      <c r="L284" s="105">
        <v>20201224</v>
      </c>
    </row>
    <row r="285" ht="16" customHeight="1" spans="1:12">
      <c r="A285" s="102" t="s">
        <v>1649</v>
      </c>
      <c r="B285" s="111" t="s">
        <v>15086</v>
      </c>
      <c r="C285" s="111" t="s">
        <v>15399</v>
      </c>
      <c r="D285" s="102" t="s">
        <v>15400</v>
      </c>
      <c r="E285" s="111">
        <v>2011</v>
      </c>
      <c r="F285" s="102">
        <v>2020</v>
      </c>
      <c r="G285" s="93" t="s">
        <v>289</v>
      </c>
      <c r="H285" s="111">
        <v>200</v>
      </c>
      <c r="I285" s="111">
        <v>2000</v>
      </c>
      <c r="J285" s="104"/>
      <c r="K285" s="104"/>
      <c r="L285" s="105">
        <v>20201224</v>
      </c>
    </row>
    <row r="286" ht="16" customHeight="1" spans="1:12">
      <c r="A286" s="102" t="s">
        <v>1652</v>
      </c>
      <c r="B286" s="111" t="s">
        <v>15086</v>
      </c>
      <c r="C286" s="111" t="s">
        <v>15401</v>
      </c>
      <c r="D286" s="102" t="s">
        <v>15402</v>
      </c>
      <c r="E286" s="111">
        <v>2018</v>
      </c>
      <c r="F286" s="102">
        <v>2020</v>
      </c>
      <c r="G286" s="93" t="s">
        <v>289</v>
      </c>
      <c r="H286" s="111">
        <v>200</v>
      </c>
      <c r="I286" s="111">
        <v>600</v>
      </c>
      <c r="J286" s="104"/>
      <c r="K286" s="104"/>
      <c r="L286" s="105">
        <v>20201224</v>
      </c>
    </row>
    <row r="287" ht="16" customHeight="1" spans="1:12">
      <c r="A287" s="102" t="s">
        <v>1655</v>
      </c>
      <c r="B287" s="111" t="s">
        <v>15086</v>
      </c>
      <c r="C287" s="111" t="s">
        <v>15403</v>
      </c>
      <c r="D287" s="102" t="s">
        <v>15404</v>
      </c>
      <c r="E287" s="111">
        <v>2015</v>
      </c>
      <c r="F287" s="102">
        <v>2020</v>
      </c>
      <c r="G287" s="93" t="s">
        <v>289</v>
      </c>
      <c r="H287" s="111">
        <v>200</v>
      </c>
      <c r="I287" s="111">
        <v>1200</v>
      </c>
      <c r="J287" s="104"/>
      <c r="K287" s="104"/>
      <c r="L287" s="105">
        <v>20201224</v>
      </c>
    </row>
    <row r="288" ht="16" customHeight="1" spans="1:12">
      <c r="A288" s="104"/>
      <c r="B288" s="104"/>
      <c r="C288" s="104"/>
      <c r="D288" s="104"/>
      <c r="E288" s="104"/>
      <c r="F288" s="104"/>
      <c r="G288" s="104"/>
      <c r="H288" s="104"/>
      <c r="I288" s="104">
        <v>97400</v>
      </c>
      <c r="J288" s="104"/>
      <c r="K288" s="104"/>
      <c r="L288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4"/>
  <sheetViews>
    <sheetView topLeftCell="A87" workbookViewId="0">
      <selection activeCell="A3" sqref="A3:L123"/>
    </sheetView>
  </sheetViews>
  <sheetFormatPr defaultColWidth="9" defaultRowHeight="13.5"/>
  <cols>
    <col min="2" max="2" width="15.375" customWidth="1"/>
    <col min="4" max="4" width="23.625" customWidth="1"/>
    <col min="7" max="7" width="12.75" customWidth="1"/>
    <col min="10" max="10" width="11.5" customWidth="1"/>
    <col min="12" max="12" width="11.75" customWidth="1"/>
  </cols>
  <sheetData>
    <row r="1" s="95" customFormat="1" ht="25" customHeight="1" spans="1:11">
      <c r="A1" s="99" t="s">
        <v>15405</v>
      </c>
      <c r="B1" s="100"/>
      <c r="C1" s="100"/>
      <c r="D1" s="100"/>
      <c r="E1" s="100"/>
      <c r="F1" s="100"/>
      <c r="G1" s="101"/>
      <c r="H1" s="100"/>
      <c r="I1" s="100"/>
      <c r="J1" s="100"/>
      <c r="K1" s="100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/>
      <c r="K2" s="103" t="s">
        <v>10</v>
      </c>
      <c r="L2" s="104" t="s">
        <v>11</v>
      </c>
    </row>
    <row r="3" ht="16" customHeight="1" spans="1:12">
      <c r="A3" s="102">
        <v>1</v>
      </c>
      <c r="B3" s="102" t="s">
        <v>15406</v>
      </c>
      <c r="C3" s="6" t="s">
        <v>15407</v>
      </c>
      <c r="D3" s="6" t="s">
        <v>15408</v>
      </c>
      <c r="E3" s="102" t="s">
        <v>15</v>
      </c>
      <c r="F3" s="102">
        <v>2020</v>
      </c>
      <c r="G3" s="14" t="s">
        <v>16</v>
      </c>
      <c r="H3" s="6" t="s">
        <v>311</v>
      </c>
      <c r="I3" s="6">
        <v>200</v>
      </c>
      <c r="J3" s="102"/>
      <c r="K3" s="104"/>
      <c r="L3" s="105">
        <v>20201118</v>
      </c>
    </row>
    <row r="4" ht="16" customHeight="1" spans="1:12">
      <c r="A4" s="102">
        <v>2</v>
      </c>
      <c r="B4" s="102" t="s">
        <v>15406</v>
      </c>
      <c r="C4" s="6" t="s">
        <v>15409</v>
      </c>
      <c r="D4" s="6" t="s">
        <v>15410</v>
      </c>
      <c r="E4" s="102" t="s">
        <v>15</v>
      </c>
      <c r="F4" s="102">
        <v>2020</v>
      </c>
      <c r="G4" s="14" t="s">
        <v>16</v>
      </c>
      <c r="H4" s="6">
        <v>200</v>
      </c>
      <c r="I4" s="6">
        <v>200</v>
      </c>
      <c r="J4" s="102"/>
      <c r="K4" s="104"/>
      <c r="L4" s="105">
        <v>20201118</v>
      </c>
    </row>
    <row r="5" ht="16" customHeight="1" spans="1:12">
      <c r="A5" s="102">
        <v>3</v>
      </c>
      <c r="B5" s="102" t="s">
        <v>15406</v>
      </c>
      <c r="C5" s="6" t="s">
        <v>15411</v>
      </c>
      <c r="D5" s="6" t="s">
        <v>15412</v>
      </c>
      <c r="E5" s="102" t="s">
        <v>15</v>
      </c>
      <c r="F5" s="102">
        <v>2020</v>
      </c>
      <c r="G5" s="14" t="s">
        <v>16</v>
      </c>
      <c r="H5" s="6" t="s">
        <v>2295</v>
      </c>
      <c r="I5" s="6">
        <v>500</v>
      </c>
      <c r="J5" s="102"/>
      <c r="K5" s="104"/>
      <c r="L5" s="105">
        <v>20201118</v>
      </c>
    </row>
    <row r="6" ht="16" customHeight="1" spans="1:12">
      <c r="A6" s="102">
        <v>4</v>
      </c>
      <c r="B6" s="102" t="s">
        <v>15406</v>
      </c>
      <c r="C6" s="6" t="s">
        <v>13494</v>
      </c>
      <c r="D6" s="6" t="s">
        <v>15413</v>
      </c>
      <c r="E6" s="102" t="s">
        <v>15</v>
      </c>
      <c r="F6" s="102">
        <v>2020</v>
      </c>
      <c r="G6" s="14" t="s">
        <v>16</v>
      </c>
      <c r="H6" s="6" t="s">
        <v>2295</v>
      </c>
      <c r="I6" s="6">
        <v>500</v>
      </c>
      <c r="J6" s="102"/>
      <c r="K6" s="104"/>
      <c r="L6" s="105">
        <v>20201118</v>
      </c>
    </row>
    <row r="7" ht="16" customHeight="1" spans="1:12">
      <c r="A7" s="102">
        <v>5</v>
      </c>
      <c r="B7" s="102" t="s">
        <v>15406</v>
      </c>
      <c r="C7" s="6" t="s">
        <v>15414</v>
      </c>
      <c r="D7" s="6" t="s">
        <v>15415</v>
      </c>
      <c r="E7" s="102" t="s">
        <v>15</v>
      </c>
      <c r="F7" s="102">
        <v>2020</v>
      </c>
      <c r="G7" s="14" t="s">
        <v>16</v>
      </c>
      <c r="H7" s="6" t="s">
        <v>311</v>
      </c>
      <c r="I7" s="6">
        <v>200</v>
      </c>
      <c r="J7" s="102"/>
      <c r="K7" s="104"/>
      <c r="L7" s="105">
        <v>20201118</v>
      </c>
    </row>
    <row r="8" ht="16" customHeight="1" spans="1:12">
      <c r="A8" s="102">
        <v>6</v>
      </c>
      <c r="B8" s="102" t="s">
        <v>15406</v>
      </c>
      <c r="C8" s="6" t="s">
        <v>15416</v>
      </c>
      <c r="D8" s="6" t="s">
        <v>15417</v>
      </c>
      <c r="E8" s="102" t="s">
        <v>15</v>
      </c>
      <c r="F8" s="102">
        <v>2020</v>
      </c>
      <c r="G8" s="14" t="s">
        <v>16</v>
      </c>
      <c r="H8" s="6" t="s">
        <v>311</v>
      </c>
      <c r="I8" s="6">
        <v>200</v>
      </c>
      <c r="J8" s="102"/>
      <c r="K8" s="104"/>
      <c r="L8" s="105">
        <v>20201118</v>
      </c>
    </row>
    <row r="9" ht="16" customHeight="1" spans="1:12">
      <c r="A9" s="102">
        <v>7</v>
      </c>
      <c r="B9" s="102" t="s">
        <v>15406</v>
      </c>
      <c r="C9" s="6" t="s">
        <v>15418</v>
      </c>
      <c r="D9" s="6" t="s">
        <v>15419</v>
      </c>
      <c r="E9" s="102" t="s">
        <v>15</v>
      </c>
      <c r="F9" s="102">
        <v>2020</v>
      </c>
      <c r="G9" s="14" t="s">
        <v>16</v>
      </c>
      <c r="H9" s="6" t="s">
        <v>311</v>
      </c>
      <c r="I9" s="6">
        <v>200</v>
      </c>
      <c r="J9" s="102"/>
      <c r="K9" s="104"/>
      <c r="L9" s="105">
        <v>20201118</v>
      </c>
    </row>
    <row r="10" ht="16" customHeight="1" spans="1:12">
      <c r="A10" s="102">
        <v>8</v>
      </c>
      <c r="B10" s="102" t="s">
        <v>15406</v>
      </c>
      <c r="C10" s="6" t="s">
        <v>15420</v>
      </c>
      <c r="D10" s="6" t="s">
        <v>15421</v>
      </c>
      <c r="E10" s="102" t="s">
        <v>15</v>
      </c>
      <c r="F10" s="102">
        <v>2020</v>
      </c>
      <c r="G10" s="14" t="s">
        <v>16</v>
      </c>
      <c r="H10" s="6" t="s">
        <v>9565</v>
      </c>
      <c r="I10" s="6">
        <v>1000</v>
      </c>
      <c r="J10" s="102"/>
      <c r="K10" s="104"/>
      <c r="L10" s="105">
        <v>20201118</v>
      </c>
    </row>
    <row r="11" ht="16" customHeight="1" spans="1:12">
      <c r="A11" s="102">
        <v>9</v>
      </c>
      <c r="B11" s="102" t="s">
        <v>15406</v>
      </c>
      <c r="C11" s="6" t="s">
        <v>15422</v>
      </c>
      <c r="D11" s="293" t="s">
        <v>15423</v>
      </c>
      <c r="E11" s="102" t="s">
        <v>15</v>
      </c>
      <c r="F11" s="102">
        <v>2020</v>
      </c>
      <c r="G11" s="14" t="s">
        <v>16</v>
      </c>
      <c r="H11" s="6">
        <v>200</v>
      </c>
      <c r="I11" s="6">
        <v>200</v>
      </c>
      <c r="J11" s="102"/>
      <c r="K11" s="104"/>
      <c r="L11" s="105">
        <v>20201118</v>
      </c>
    </row>
    <row r="12" ht="16" customHeight="1" spans="1:12">
      <c r="A12" s="102">
        <v>10</v>
      </c>
      <c r="B12" s="102" t="s">
        <v>15406</v>
      </c>
      <c r="C12" s="6" t="s">
        <v>15424</v>
      </c>
      <c r="D12" s="6" t="s">
        <v>15425</v>
      </c>
      <c r="E12" s="102" t="s">
        <v>15</v>
      </c>
      <c r="F12" s="102">
        <v>2020</v>
      </c>
      <c r="G12" s="14" t="s">
        <v>16</v>
      </c>
      <c r="H12" s="6">
        <v>200</v>
      </c>
      <c r="I12" s="6">
        <v>200</v>
      </c>
      <c r="J12" s="102"/>
      <c r="K12" s="104"/>
      <c r="L12" s="105">
        <v>20201118</v>
      </c>
    </row>
    <row r="13" ht="16" customHeight="1" spans="1:12">
      <c r="A13" s="102">
        <v>11</v>
      </c>
      <c r="B13" s="102" t="s">
        <v>15406</v>
      </c>
      <c r="C13" s="6" t="s">
        <v>15426</v>
      </c>
      <c r="D13" s="6" t="s">
        <v>15427</v>
      </c>
      <c r="E13" s="102" t="s">
        <v>15</v>
      </c>
      <c r="F13" s="102">
        <v>2020</v>
      </c>
      <c r="G13" s="14" t="s">
        <v>16</v>
      </c>
      <c r="H13" s="6" t="s">
        <v>1998</v>
      </c>
      <c r="I13" s="6">
        <v>400</v>
      </c>
      <c r="J13" s="102"/>
      <c r="K13" s="104"/>
      <c r="L13" s="105">
        <v>20201118</v>
      </c>
    </row>
    <row r="14" ht="16" customHeight="1" spans="1:12">
      <c r="A14" s="102">
        <v>12</v>
      </c>
      <c r="B14" s="102" t="s">
        <v>15406</v>
      </c>
      <c r="C14" s="6" t="s">
        <v>15428</v>
      </c>
      <c r="D14" s="6" t="s">
        <v>15429</v>
      </c>
      <c r="E14" s="102" t="s">
        <v>15</v>
      </c>
      <c r="F14" s="102">
        <v>2020</v>
      </c>
      <c r="G14" s="14" t="s">
        <v>16</v>
      </c>
      <c r="H14" s="6">
        <v>200</v>
      </c>
      <c r="I14" s="6">
        <v>200</v>
      </c>
      <c r="J14" s="102"/>
      <c r="K14" s="104"/>
      <c r="L14" s="105">
        <v>20201118</v>
      </c>
    </row>
    <row r="15" ht="16" customHeight="1" spans="1:12">
      <c r="A15" s="102">
        <v>13</v>
      </c>
      <c r="B15" s="102" t="s">
        <v>15406</v>
      </c>
      <c r="C15" s="6" t="s">
        <v>44</v>
      </c>
      <c r="D15" s="6" t="s">
        <v>15430</v>
      </c>
      <c r="E15" s="102" t="s">
        <v>15</v>
      </c>
      <c r="F15" s="102">
        <v>2020</v>
      </c>
      <c r="G15" s="14" t="s">
        <v>16</v>
      </c>
      <c r="H15" s="6">
        <v>200</v>
      </c>
      <c r="I15" s="6">
        <v>200</v>
      </c>
      <c r="J15" s="102"/>
      <c r="K15" s="104"/>
      <c r="L15" s="105">
        <v>20201118</v>
      </c>
    </row>
    <row r="16" ht="16" customHeight="1" spans="1:12">
      <c r="A16" s="102">
        <v>14</v>
      </c>
      <c r="B16" s="102" t="s">
        <v>15406</v>
      </c>
      <c r="C16" s="6" t="s">
        <v>15431</v>
      </c>
      <c r="D16" s="293" t="s">
        <v>15432</v>
      </c>
      <c r="E16" s="102" t="s">
        <v>15</v>
      </c>
      <c r="F16" s="102">
        <v>2020</v>
      </c>
      <c r="G16" s="14" t="s">
        <v>16</v>
      </c>
      <c r="H16" s="6">
        <v>200</v>
      </c>
      <c r="I16" s="6">
        <v>200</v>
      </c>
      <c r="J16" s="102"/>
      <c r="K16" s="104"/>
      <c r="L16" s="105">
        <v>20201118</v>
      </c>
    </row>
    <row r="17" ht="16" customHeight="1" spans="1:12">
      <c r="A17" s="102">
        <v>15</v>
      </c>
      <c r="B17" s="102" t="s">
        <v>15406</v>
      </c>
      <c r="C17" s="6" t="s">
        <v>15433</v>
      </c>
      <c r="D17" s="6" t="s">
        <v>15434</v>
      </c>
      <c r="E17" s="102" t="s">
        <v>15</v>
      </c>
      <c r="F17" s="102">
        <v>2020</v>
      </c>
      <c r="G17" s="14" t="s">
        <v>16</v>
      </c>
      <c r="H17" s="6">
        <v>200</v>
      </c>
      <c r="I17" s="6">
        <v>200</v>
      </c>
      <c r="J17" s="102"/>
      <c r="K17" s="104"/>
      <c r="L17" s="105">
        <v>20201118</v>
      </c>
    </row>
    <row r="18" ht="16" customHeight="1" spans="1:12">
      <c r="A18" s="102">
        <v>16</v>
      </c>
      <c r="B18" s="102" t="s">
        <v>15406</v>
      </c>
      <c r="C18" s="6" t="s">
        <v>15435</v>
      </c>
      <c r="D18" s="6" t="s">
        <v>15436</v>
      </c>
      <c r="E18" s="102" t="s">
        <v>15</v>
      </c>
      <c r="F18" s="102">
        <v>2020</v>
      </c>
      <c r="G18" s="14" t="s">
        <v>16</v>
      </c>
      <c r="H18" s="6">
        <v>200</v>
      </c>
      <c r="I18" s="6">
        <v>200</v>
      </c>
      <c r="J18" s="102"/>
      <c r="K18" s="104"/>
      <c r="L18" s="105">
        <v>20201118</v>
      </c>
    </row>
    <row r="19" ht="16" customHeight="1" spans="1:12">
      <c r="A19" s="102">
        <v>17</v>
      </c>
      <c r="B19" s="102" t="s">
        <v>15406</v>
      </c>
      <c r="C19" s="6" t="s">
        <v>15437</v>
      </c>
      <c r="D19" s="6" t="s">
        <v>15438</v>
      </c>
      <c r="E19" s="102" t="s">
        <v>15</v>
      </c>
      <c r="F19" s="102">
        <v>2020</v>
      </c>
      <c r="G19" s="14" t="s">
        <v>16</v>
      </c>
      <c r="H19" s="6">
        <v>200</v>
      </c>
      <c r="I19" s="6">
        <v>200</v>
      </c>
      <c r="J19" s="102"/>
      <c r="K19" s="104"/>
      <c r="L19" s="105">
        <v>20201118</v>
      </c>
    </row>
    <row r="20" ht="16" customHeight="1" spans="1:12">
      <c r="A20" s="102">
        <v>18</v>
      </c>
      <c r="B20" s="102" t="s">
        <v>15406</v>
      </c>
      <c r="C20" s="6" t="s">
        <v>15439</v>
      </c>
      <c r="D20" s="6" t="s">
        <v>15440</v>
      </c>
      <c r="E20" s="102" t="s">
        <v>15</v>
      </c>
      <c r="F20" s="102">
        <v>2020</v>
      </c>
      <c r="G20" s="14" t="s">
        <v>16</v>
      </c>
      <c r="H20" s="6" t="s">
        <v>9565</v>
      </c>
      <c r="I20" s="6">
        <v>1000</v>
      </c>
      <c r="J20" s="102"/>
      <c r="K20" s="104"/>
      <c r="L20" s="105">
        <v>20201118</v>
      </c>
    </row>
    <row r="21" ht="16" customHeight="1" spans="1:12">
      <c r="A21" s="102">
        <v>19</v>
      </c>
      <c r="B21" s="102" t="s">
        <v>15406</v>
      </c>
      <c r="C21" s="6" t="s">
        <v>15441</v>
      </c>
      <c r="D21" s="6" t="s">
        <v>15442</v>
      </c>
      <c r="E21" s="102" t="s">
        <v>15</v>
      </c>
      <c r="F21" s="102">
        <v>2020</v>
      </c>
      <c r="G21" s="14" t="s">
        <v>16</v>
      </c>
      <c r="H21" s="6" t="s">
        <v>9565</v>
      </c>
      <c r="I21" s="6">
        <v>1000</v>
      </c>
      <c r="J21" s="102"/>
      <c r="K21" s="104"/>
      <c r="L21" s="105">
        <v>20201118</v>
      </c>
    </row>
    <row r="22" ht="16" customHeight="1" spans="1:12">
      <c r="A22" s="102">
        <v>20</v>
      </c>
      <c r="B22" s="102" t="s">
        <v>15406</v>
      </c>
      <c r="C22" s="6" t="s">
        <v>15443</v>
      </c>
      <c r="D22" s="6" t="s">
        <v>15444</v>
      </c>
      <c r="E22" s="102" t="s">
        <v>15</v>
      </c>
      <c r="F22" s="102">
        <v>2020</v>
      </c>
      <c r="G22" s="14" t="s">
        <v>16</v>
      </c>
      <c r="H22" s="6" t="s">
        <v>311</v>
      </c>
      <c r="I22" s="6">
        <v>200</v>
      </c>
      <c r="J22" s="102"/>
      <c r="K22" s="104"/>
      <c r="L22" s="105">
        <v>20201118</v>
      </c>
    </row>
    <row r="23" ht="16" customHeight="1" spans="1:12">
      <c r="A23" s="102">
        <v>21</v>
      </c>
      <c r="B23" s="102" t="s">
        <v>15406</v>
      </c>
      <c r="C23" s="6" t="s">
        <v>15445</v>
      </c>
      <c r="D23" s="6" t="s">
        <v>15446</v>
      </c>
      <c r="E23" s="102" t="s">
        <v>15</v>
      </c>
      <c r="F23" s="102">
        <v>2020</v>
      </c>
      <c r="G23" s="14" t="s">
        <v>16</v>
      </c>
      <c r="H23" s="6" t="s">
        <v>311</v>
      </c>
      <c r="I23" s="6">
        <v>200</v>
      </c>
      <c r="J23" s="102"/>
      <c r="K23" s="104"/>
      <c r="L23" s="105">
        <v>20201118</v>
      </c>
    </row>
    <row r="24" ht="16" customHeight="1" spans="1:12">
      <c r="A24" s="102">
        <v>22</v>
      </c>
      <c r="B24" s="102" t="s">
        <v>15406</v>
      </c>
      <c r="C24" s="6" t="s">
        <v>15447</v>
      </c>
      <c r="D24" s="6" t="s">
        <v>15448</v>
      </c>
      <c r="E24" s="102" t="s">
        <v>15</v>
      </c>
      <c r="F24" s="102">
        <v>2020</v>
      </c>
      <c r="G24" s="14" t="s">
        <v>16</v>
      </c>
      <c r="H24" s="6" t="s">
        <v>311</v>
      </c>
      <c r="I24" s="6">
        <v>200</v>
      </c>
      <c r="J24" s="102"/>
      <c r="K24" s="104"/>
      <c r="L24" s="105">
        <v>20201118</v>
      </c>
    </row>
    <row r="25" ht="16" customHeight="1" spans="1:12">
      <c r="A25" s="102">
        <v>23</v>
      </c>
      <c r="B25" s="102" t="s">
        <v>15406</v>
      </c>
      <c r="C25" s="6" t="s">
        <v>15449</v>
      </c>
      <c r="D25" s="6" t="s">
        <v>15450</v>
      </c>
      <c r="E25" s="102" t="s">
        <v>15</v>
      </c>
      <c r="F25" s="102">
        <v>2020</v>
      </c>
      <c r="G25" s="14" t="s">
        <v>16</v>
      </c>
      <c r="H25" s="6" t="s">
        <v>2295</v>
      </c>
      <c r="I25" s="6">
        <v>500</v>
      </c>
      <c r="J25" s="102"/>
      <c r="K25" s="104"/>
      <c r="L25" s="105">
        <v>20201118</v>
      </c>
    </row>
    <row r="26" ht="16" customHeight="1" spans="1:12">
      <c r="A26" s="102">
        <v>24</v>
      </c>
      <c r="B26" s="102" t="s">
        <v>15406</v>
      </c>
      <c r="C26" s="6" t="s">
        <v>15451</v>
      </c>
      <c r="D26" s="6" t="s">
        <v>15452</v>
      </c>
      <c r="E26" s="102" t="s">
        <v>15</v>
      </c>
      <c r="F26" s="102">
        <v>2020</v>
      </c>
      <c r="G26" s="14" t="s">
        <v>16</v>
      </c>
      <c r="H26" s="6">
        <v>200</v>
      </c>
      <c r="I26" s="6">
        <v>200</v>
      </c>
      <c r="J26" s="102"/>
      <c r="K26" s="104"/>
      <c r="L26" s="105">
        <v>20201118</v>
      </c>
    </row>
    <row r="27" ht="16" customHeight="1" spans="1:12">
      <c r="A27" s="102">
        <v>25</v>
      </c>
      <c r="B27" s="102" t="s">
        <v>15406</v>
      </c>
      <c r="C27" s="6" t="s">
        <v>15453</v>
      </c>
      <c r="D27" s="6" t="s">
        <v>15454</v>
      </c>
      <c r="E27" s="102" t="s">
        <v>15</v>
      </c>
      <c r="F27" s="102">
        <v>2020</v>
      </c>
      <c r="G27" s="14" t="s">
        <v>16</v>
      </c>
      <c r="H27" s="6">
        <v>200</v>
      </c>
      <c r="I27" s="6">
        <v>200</v>
      </c>
      <c r="J27" s="102"/>
      <c r="K27" s="104"/>
      <c r="L27" s="105">
        <v>20201118</v>
      </c>
    </row>
    <row r="28" ht="16" customHeight="1" spans="1:12">
      <c r="A28" s="102">
        <v>26</v>
      </c>
      <c r="B28" s="102" t="s">
        <v>15406</v>
      </c>
      <c r="C28" s="6" t="s">
        <v>15455</v>
      </c>
      <c r="D28" s="6" t="s">
        <v>15456</v>
      </c>
      <c r="E28" s="102" t="s">
        <v>15</v>
      </c>
      <c r="F28" s="102">
        <v>2020</v>
      </c>
      <c r="G28" s="14" t="s">
        <v>16</v>
      </c>
      <c r="H28" s="6">
        <v>200</v>
      </c>
      <c r="I28" s="6">
        <v>200</v>
      </c>
      <c r="J28" s="102"/>
      <c r="K28" s="104"/>
      <c r="L28" s="105">
        <v>20201118</v>
      </c>
    </row>
    <row r="29" ht="16" customHeight="1" spans="1:12">
      <c r="A29" s="102">
        <v>27</v>
      </c>
      <c r="B29" s="102" t="s">
        <v>15406</v>
      </c>
      <c r="C29" s="6" t="s">
        <v>15457</v>
      </c>
      <c r="D29" s="6" t="s">
        <v>15458</v>
      </c>
      <c r="E29" s="102" t="s">
        <v>15</v>
      </c>
      <c r="F29" s="102">
        <v>2020</v>
      </c>
      <c r="G29" s="14" t="s">
        <v>16</v>
      </c>
      <c r="H29" s="6">
        <v>200</v>
      </c>
      <c r="I29" s="6">
        <v>200</v>
      </c>
      <c r="J29" s="102"/>
      <c r="K29" s="104"/>
      <c r="L29" s="105">
        <v>20201118</v>
      </c>
    </row>
    <row r="30" ht="16" customHeight="1" spans="1:12">
      <c r="A30" s="102">
        <v>28</v>
      </c>
      <c r="B30" s="102" t="s">
        <v>15406</v>
      </c>
      <c r="C30" s="6" t="s">
        <v>15459</v>
      </c>
      <c r="D30" s="6" t="s">
        <v>15460</v>
      </c>
      <c r="E30" s="102" t="s">
        <v>15</v>
      </c>
      <c r="F30" s="102">
        <v>2020</v>
      </c>
      <c r="G30" s="14" t="s">
        <v>16</v>
      </c>
      <c r="H30" s="6">
        <v>200</v>
      </c>
      <c r="I30" s="6">
        <v>200</v>
      </c>
      <c r="J30" s="102"/>
      <c r="K30" s="104"/>
      <c r="L30" s="105">
        <v>20201118</v>
      </c>
    </row>
    <row r="31" ht="16" customHeight="1" spans="1:12">
      <c r="A31" s="102">
        <v>29</v>
      </c>
      <c r="B31" s="102" t="s">
        <v>15406</v>
      </c>
      <c r="C31" s="6" t="s">
        <v>15461</v>
      </c>
      <c r="D31" s="6" t="s">
        <v>15462</v>
      </c>
      <c r="E31" s="102" t="s">
        <v>15</v>
      </c>
      <c r="F31" s="102">
        <v>2020</v>
      </c>
      <c r="G31" s="14" t="s">
        <v>16</v>
      </c>
      <c r="H31" s="6">
        <v>200</v>
      </c>
      <c r="I31" s="6">
        <v>200</v>
      </c>
      <c r="J31" s="102"/>
      <c r="K31" s="104"/>
      <c r="L31" s="105">
        <v>20201118</v>
      </c>
    </row>
    <row r="32" ht="16" customHeight="1" spans="1:12">
      <c r="A32" s="102">
        <v>30</v>
      </c>
      <c r="B32" s="102" t="s">
        <v>15406</v>
      </c>
      <c r="C32" s="6" t="s">
        <v>15463</v>
      </c>
      <c r="D32" s="6" t="s">
        <v>15464</v>
      </c>
      <c r="E32" s="102" t="s">
        <v>15</v>
      </c>
      <c r="F32" s="102">
        <v>2020</v>
      </c>
      <c r="G32" s="14" t="s">
        <v>16</v>
      </c>
      <c r="H32" s="6">
        <v>200</v>
      </c>
      <c r="I32" s="6">
        <v>200</v>
      </c>
      <c r="J32" s="102"/>
      <c r="K32" s="104"/>
      <c r="L32" s="105">
        <v>20201118</v>
      </c>
    </row>
    <row r="33" ht="16" customHeight="1" spans="1:12">
      <c r="A33" s="102">
        <v>31</v>
      </c>
      <c r="B33" s="102" t="s">
        <v>15406</v>
      </c>
      <c r="C33" s="6" t="s">
        <v>15465</v>
      </c>
      <c r="D33" s="6" t="s">
        <v>15466</v>
      </c>
      <c r="E33" s="102" t="s">
        <v>15</v>
      </c>
      <c r="F33" s="102">
        <v>2020</v>
      </c>
      <c r="G33" s="14" t="s">
        <v>16</v>
      </c>
      <c r="H33" s="6">
        <v>200</v>
      </c>
      <c r="I33" s="6">
        <v>200</v>
      </c>
      <c r="J33" s="102"/>
      <c r="K33" s="104"/>
      <c r="L33" s="105">
        <v>20201118</v>
      </c>
    </row>
    <row r="34" ht="16" customHeight="1" spans="1:12">
      <c r="A34" s="102">
        <v>32</v>
      </c>
      <c r="B34" s="102" t="s">
        <v>15406</v>
      </c>
      <c r="C34" s="6" t="s">
        <v>15467</v>
      </c>
      <c r="D34" s="293" t="s">
        <v>15468</v>
      </c>
      <c r="E34" s="102" t="s">
        <v>15</v>
      </c>
      <c r="F34" s="102">
        <v>2020</v>
      </c>
      <c r="G34" s="14" t="s">
        <v>16</v>
      </c>
      <c r="H34" s="6">
        <v>200</v>
      </c>
      <c r="I34" s="6">
        <v>200</v>
      </c>
      <c r="J34" s="102"/>
      <c r="K34" s="104"/>
      <c r="L34" s="105">
        <v>20201118</v>
      </c>
    </row>
    <row r="35" ht="16" customHeight="1" spans="1:12">
      <c r="A35" s="102">
        <v>33</v>
      </c>
      <c r="B35" s="102" t="s">
        <v>15406</v>
      </c>
      <c r="C35" s="6" t="s">
        <v>15469</v>
      </c>
      <c r="D35" s="293" t="s">
        <v>15470</v>
      </c>
      <c r="E35" s="102" t="s">
        <v>15</v>
      </c>
      <c r="F35" s="102">
        <v>2020</v>
      </c>
      <c r="G35" s="14" t="s">
        <v>16</v>
      </c>
      <c r="H35" s="6">
        <v>200</v>
      </c>
      <c r="I35" s="6">
        <v>200</v>
      </c>
      <c r="J35" s="102"/>
      <c r="K35" s="104"/>
      <c r="L35" s="105">
        <v>20201118</v>
      </c>
    </row>
    <row r="36" ht="16" customHeight="1" spans="1:12">
      <c r="A36" s="102">
        <v>34</v>
      </c>
      <c r="B36" s="102" t="s">
        <v>15406</v>
      </c>
      <c r="C36" s="6" t="s">
        <v>15471</v>
      </c>
      <c r="D36" s="6" t="s">
        <v>15472</v>
      </c>
      <c r="E36" s="102" t="s">
        <v>15</v>
      </c>
      <c r="F36" s="102">
        <v>2020</v>
      </c>
      <c r="G36" s="14" t="s">
        <v>16</v>
      </c>
      <c r="H36" s="6">
        <v>200</v>
      </c>
      <c r="I36" s="6">
        <v>200</v>
      </c>
      <c r="J36" s="102"/>
      <c r="K36" s="104"/>
      <c r="L36" s="105">
        <v>20201118</v>
      </c>
    </row>
    <row r="37" ht="16" customHeight="1" spans="1:12">
      <c r="A37" s="102">
        <v>35</v>
      </c>
      <c r="B37" s="102" t="s">
        <v>15406</v>
      </c>
      <c r="C37" s="6" t="s">
        <v>15473</v>
      </c>
      <c r="D37" s="6" t="s">
        <v>15474</v>
      </c>
      <c r="E37" s="102" t="s">
        <v>15</v>
      </c>
      <c r="F37" s="102">
        <v>2020</v>
      </c>
      <c r="G37" s="14" t="s">
        <v>16</v>
      </c>
      <c r="H37" s="6">
        <v>200</v>
      </c>
      <c r="I37" s="6">
        <v>200</v>
      </c>
      <c r="J37" s="102"/>
      <c r="K37" s="104"/>
      <c r="L37" s="105">
        <v>20201118</v>
      </c>
    </row>
    <row r="38" ht="16" customHeight="1" spans="1:12">
      <c r="A38" s="102">
        <v>36</v>
      </c>
      <c r="B38" s="102" t="s">
        <v>15406</v>
      </c>
      <c r="C38" s="6" t="s">
        <v>15475</v>
      </c>
      <c r="D38" s="293" t="s">
        <v>15476</v>
      </c>
      <c r="E38" s="102" t="s">
        <v>15</v>
      </c>
      <c r="F38" s="102">
        <v>2020</v>
      </c>
      <c r="G38" s="14" t="s">
        <v>16</v>
      </c>
      <c r="H38" s="6">
        <v>200</v>
      </c>
      <c r="I38" s="6">
        <v>200</v>
      </c>
      <c r="J38" s="102"/>
      <c r="K38" s="104"/>
      <c r="L38" s="105">
        <v>20201118</v>
      </c>
    </row>
    <row r="39" ht="16" customHeight="1" spans="1:12">
      <c r="A39" s="102">
        <v>37</v>
      </c>
      <c r="B39" s="102" t="s">
        <v>15406</v>
      </c>
      <c r="C39" s="6" t="s">
        <v>15477</v>
      </c>
      <c r="D39" s="293" t="s">
        <v>15478</v>
      </c>
      <c r="E39" s="102" t="s">
        <v>15</v>
      </c>
      <c r="F39" s="102">
        <v>2020</v>
      </c>
      <c r="G39" s="14" t="s">
        <v>16</v>
      </c>
      <c r="H39" s="6">
        <v>200</v>
      </c>
      <c r="I39" s="6">
        <v>200</v>
      </c>
      <c r="J39" s="102"/>
      <c r="K39" s="104"/>
      <c r="L39" s="105">
        <v>20201118</v>
      </c>
    </row>
    <row r="40" ht="16" customHeight="1" spans="1:12">
      <c r="A40" s="102">
        <v>38</v>
      </c>
      <c r="B40" s="102" t="s">
        <v>15406</v>
      </c>
      <c r="C40" s="6" t="s">
        <v>15479</v>
      </c>
      <c r="D40" s="6" t="s">
        <v>15480</v>
      </c>
      <c r="E40" s="102" t="s">
        <v>15</v>
      </c>
      <c r="F40" s="102">
        <v>2020</v>
      </c>
      <c r="G40" s="14" t="s">
        <v>16</v>
      </c>
      <c r="H40" s="6" t="s">
        <v>2295</v>
      </c>
      <c r="I40" s="6">
        <v>500</v>
      </c>
      <c r="J40" s="102"/>
      <c r="K40" s="104"/>
      <c r="L40" s="105">
        <v>20201118</v>
      </c>
    </row>
    <row r="41" ht="16" customHeight="1" spans="1:12">
      <c r="A41" s="102">
        <v>39</v>
      </c>
      <c r="B41" s="102" t="s">
        <v>15406</v>
      </c>
      <c r="C41" s="6" t="s">
        <v>15481</v>
      </c>
      <c r="D41" s="6" t="s">
        <v>15482</v>
      </c>
      <c r="E41" s="102" t="s">
        <v>15</v>
      </c>
      <c r="F41" s="102">
        <v>2020</v>
      </c>
      <c r="G41" s="14" t="s">
        <v>16</v>
      </c>
      <c r="H41" s="6" t="s">
        <v>2295</v>
      </c>
      <c r="I41" s="6">
        <v>500</v>
      </c>
      <c r="J41" s="102"/>
      <c r="K41" s="104"/>
      <c r="L41" s="105">
        <v>20201118</v>
      </c>
    </row>
    <row r="42" ht="16" customHeight="1" spans="1:12">
      <c r="A42" s="102">
        <v>40</v>
      </c>
      <c r="B42" s="102" t="s">
        <v>15406</v>
      </c>
      <c r="C42" s="6" t="s">
        <v>15483</v>
      </c>
      <c r="D42" s="6" t="s">
        <v>15484</v>
      </c>
      <c r="E42" s="102" t="s">
        <v>15</v>
      </c>
      <c r="F42" s="102">
        <v>2020</v>
      </c>
      <c r="G42" s="14" t="s">
        <v>16</v>
      </c>
      <c r="H42" s="6">
        <v>200</v>
      </c>
      <c r="I42" s="6">
        <v>200</v>
      </c>
      <c r="J42" s="102"/>
      <c r="K42" s="104"/>
      <c r="L42" s="105">
        <v>20201118</v>
      </c>
    </row>
    <row r="43" ht="16" customHeight="1" spans="1:12">
      <c r="A43" s="102">
        <v>41</v>
      </c>
      <c r="B43" s="102" t="s">
        <v>15406</v>
      </c>
      <c r="C43" s="6" t="s">
        <v>15485</v>
      </c>
      <c r="D43" s="6" t="s">
        <v>15486</v>
      </c>
      <c r="E43" s="102" t="s">
        <v>15</v>
      </c>
      <c r="F43" s="102">
        <v>2020</v>
      </c>
      <c r="G43" s="14" t="s">
        <v>16</v>
      </c>
      <c r="H43" s="6">
        <v>500</v>
      </c>
      <c r="I43" s="6">
        <v>500</v>
      </c>
      <c r="J43" s="102"/>
      <c r="K43" s="104"/>
      <c r="L43" s="105">
        <v>20201118</v>
      </c>
    </row>
    <row r="44" ht="16" customHeight="1" spans="1:12">
      <c r="A44" s="102">
        <v>42</v>
      </c>
      <c r="B44" s="102" t="s">
        <v>15406</v>
      </c>
      <c r="C44" s="6" t="s">
        <v>15487</v>
      </c>
      <c r="D44" s="6" t="s">
        <v>15488</v>
      </c>
      <c r="E44" s="102" t="s">
        <v>15</v>
      </c>
      <c r="F44" s="102">
        <v>2020</v>
      </c>
      <c r="G44" s="14" t="s">
        <v>16</v>
      </c>
      <c r="H44" s="6">
        <v>500</v>
      </c>
      <c r="I44" s="6">
        <v>500</v>
      </c>
      <c r="J44" s="102"/>
      <c r="K44" s="104"/>
      <c r="L44" s="105">
        <v>20201118</v>
      </c>
    </row>
    <row r="45" ht="16" customHeight="1" spans="1:12">
      <c r="A45" s="102">
        <v>43</v>
      </c>
      <c r="B45" s="102" t="s">
        <v>15406</v>
      </c>
      <c r="C45" s="6" t="s">
        <v>7207</v>
      </c>
      <c r="D45" s="6" t="s">
        <v>15489</v>
      </c>
      <c r="E45" s="102" t="s">
        <v>15</v>
      </c>
      <c r="F45" s="102">
        <v>2020</v>
      </c>
      <c r="G45" s="14" t="s">
        <v>16</v>
      </c>
      <c r="H45" s="6">
        <v>200</v>
      </c>
      <c r="I45" s="6">
        <v>200</v>
      </c>
      <c r="J45" s="102"/>
      <c r="K45" s="104"/>
      <c r="L45" s="105">
        <v>20201118</v>
      </c>
    </row>
    <row r="46" ht="16" customHeight="1" spans="1:12">
      <c r="A46" s="102">
        <v>44</v>
      </c>
      <c r="B46" s="102" t="s">
        <v>15406</v>
      </c>
      <c r="C46" s="6" t="s">
        <v>15490</v>
      </c>
      <c r="D46" s="6" t="s">
        <v>15491</v>
      </c>
      <c r="E46" s="102" t="s">
        <v>15</v>
      </c>
      <c r="F46" s="102">
        <v>2020</v>
      </c>
      <c r="G46" s="14" t="s">
        <v>16</v>
      </c>
      <c r="H46" s="6">
        <v>200</v>
      </c>
      <c r="I46" s="6">
        <v>200</v>
      </c>
      <c r="J46" s="102"/>
      <c r="K46" s="104"/>
      <c r="L46" s="105">
        <v>20201118</v>
      </c>
    </row>
    <row r="47" ht="16" customHeight="1" spans="1:12">
      <c r="A47" s="102">
        <v>45</v>
      </c>
      <c r="B47" s="102" t="s">
        <v>15406</v>
      </c>
      <c r="C47" s="6" t="s">
        <v>15492</v>
      </c>
      <c r="D47" s="6" t="s">
        <v>15493</v>
      </c>
      <c r="E47" s="102" t="s">
        <v>15</v>
      </c>
      <c r="F47" s="102">
        <v>2020</v>
      </c>
      <c r="G47" s="14" t="s">
        <v>16</v>
      </c>
      <c r="H47" s="6">
        <v>200</v>
      </c>
      <c r="I47" s="6">
        <v>200</v>
      </c>
      <c r="J47" s="102"/>
      <c r="K47" s="104"/>
      <c r="L47" s="105">
        <v>20201118</v>
      </c>
    </row>
    <row r="48" ht="16" customHeight="1" spans="1:12">
      <c r="A48" s="102">
        <v>46</v>
      </c>
      <c r="B48" s="102" t="s">
        <v>15406</v>
      </c>
      <c r="C48" s="6" t="s">
        <v>15494</v>
      </c>
      <c r="D48" s="6" t="s">
        <v>15495</v>
      </c>
      <c r="E48" s="102" t="s">
        <v>15</v>
      </c>
      <c r="F48" s="102">
        <v>2020</v>
      </c>
      <c r="G48" s="14" t="s">
        <v>16</v>
      </c>
      <c r="H48" s="6">
        <v>200</v>
      </c>
      <c r="I48" s="6">
        <v>200</v>
      </c>
      <c r="J48" s="102"/>
      <c r="K48" s="104"/>
      <c r="L48" s="105">
        <v>20201118</v>
      </c>
    </row>
    <row r="49" s="97" customFormat="1" ht="16" customHeight="1" spans="1:12">
      <c r="A49" s="102">
        <v>47</v>
      </c>
      <c r="B49" s="102" t="s">
        <v>15406</v>
      </c>
      <c r="C49" s="6" t="s">
        <v>15496</v>
      </c>
      <c r="D49" s="6" t="s">
        <v>15497</v>
      </c>
      <c r="E49" s="102" t="s">
        <v>15</v>
      </c>
      <c r="F49" s="102">
        <v>2020</v>
      </c>
      <c r="G49" s="14" t="s">
        <v>16</v>
      </c>
      <c r="H49" s="6" t="s">
        <v>4178</v>
      </c>
      <c r="I49" s="6">
        <v>3000</v>
      </c>
      <c r="J49" s="102"/>
      <c r="K49" s="104"/>
      <c r="L49" s="105">
        <v>20201118</v>
      </c>
    </row>
    <row r="50" ht="16" customHeight="1" spans="1:12">
      <c r="A50" s="102">
        <v>48</v>
      </c>
      <c r="B50" s="102" t="s">
        <v>15406</v>
      </c>
      <c r="C50" s="6" t="s">
        <v>15498</v>
      </c>
      <c r="D50" s="6" t="s">
        <v>15499</v>
      </c>
      <c r="E50" s="102" t="s">
        <v>15</v>
      </c>
      <c r="F50" s="102">
        <v>2020</v>
      </c>
      <c r="G50" s="14" t="s">
        <v>16</v>
      </c>
      <c r="H50" s="6">
        <v>200</v>
      </c>
      <c r="I50" s="6">
        <v>200</v>
      </c>
      <c r="J50" s="102"/>
      <c r="K50" s="104"/>
      <c r="L50" s="105">
        <v>20201118</v>
      </c>
    </row>
    <row r="51" ht="16" customHeight="1" spans="1:12">
      <c r="A51" s="102">
        <v>49</v>
      </c>
      <c r="B51" s="102" t="s">
        <v>15406</v>
      </c>
      <c r="C51" s="6" t="s">
        <v>15500</v>
      </c>
      <c r="D51" s="6" t="s">
        <v>15501</v>
      </c>
      <c r="E51" s="102" t="s">
        <v>15</v>
      </c>
      <c r="F51" s="102">
        <v>2020</v>
      </c>
      <c r="G51" s="14" t="s">
        <v>16</v>
      </c>
      <c r="H51" s="6">
        <v>200</v>
      </c>
      <c r="I51" s="6">
        <v>200</v>
      </c>
      <c r="J51" s="102"/>
      <c r="K51" s="104"/>
      <c r="L51" s="105">
        <v>20201118</v>
      </c>
    </row>
    <row r="52" ht="16" customHeight="1" spans="1:12">
      <c r="A52" s="102">
        <v>50</v>
      </c>
      <c r="B52" s="102" t="s">
        <v>15406</v>
      </c>
      <c r="C52" s="6" t="s">
        <v>15502</v>
      </c>
      <c r="D52" s="6" t="s">
        <v>15503</v>
      </c>
      <c r="E52" s="102" t="s">
        <v>15</v>
      </c>
      <c r="F52" s="102">
        <v>2020</v>
      </c>
      <c r="G52" s="14" t="s">
        <v>16</v>
      </c>
      <c r="H52" s="6">
        <v>200</v>
      </c>
      <c r="I52" s="6">
        <v>200</v>
      </c>
      <c r="J52" s="102"/>
      <c r="K52" s="104"/>
      <c r="L52" s="105">
        <v>20201118</v>
      </c>
    </row>
    <row r="53" ht="16" customHeight="1" spans="1:12">
      <c r="A53" s="102">
        <v>51</v>
      </c>
      <c r="B53" s="102" t="s">
        <v>15406</v>
      </c>
      <c r="C53" s="6" t="s">
        <v>15504</v>
      </c>
      <c r="D53" s="6" t="s">
        <v>15505</v>
      </c>
      <c r="E53" s="102" t="s">
        <v>15</v>
      </c>
      <c r="F53" s="102">
        <v>2020</v>
      </c>
      <c r="G53" s="14" t="s">
        <v>16</v>
      </c>
      <c r="H53" s="6">
        <v>200</v>
      </c>
      <c r="I53" s="6">
        <v>200</v>
      </c>
      <c r="J53" s="102"/>
      <c r="K53" s="104"/>
      <c r="L53" s="105">
        <v>20201118</v>
      </c>
    </row>
    <row r="54" ht="16" customHeight="1" spans="1:12">
      <c r="A54" s="102">
        <v>52</v>
      </c>
      <c r="B54" s="102" t="s">
        <v>15406</v>
      </c>
      <c r="C54" s="6" t="s">
        <v>15506</v>
      </c>
      <c r="D54" s="6" t="s">
        <v>15507</v>
      </c>
      <c r="E54" s="102" t="s">
        <v>15</v>
      </c>
      <c r="F54" s="102">
        <v>2020</v>
      </c>
      <c r="G54" s="14" t="s">
        <v>16</v>
      </c>
      <c r="H54" s="6">
        <v>200</v>
      </c>
      <c r="I54" s="6">
        <v>200</v>
      </c>
      <c r="J54" s="102"/>
      <c r="K54" s="104"/>
      <c r="L54" s="105">
        <v>20201118</v>
      </c>
    </row>
    <row r="55" ht="16" customHeight="1" spans="1:12">
      <c r="A55" s="102">
        <v>53</v>
      </c>
      <c r="B55" s="102" t="s">
        <v>15406</v>
      </c>
      <c r="C55" s="6" t="s">
        <v>15508</v>
      </c>
      <c r="D55" s="6" t="s">
        <v>15509</v>
      </c>
      <c r="E55" s="102" t="s">
        <v>15</v>
      </c>
      <c r="F55" s="102">
        <v>2020</v>
      </c>
      <c r="G55" s="14" t="s">
        <v>16</v>
      </c>
      <c r="H55" s="6">
        <v>200</v>
      </c>
      <c r="I55" s="6">
        <v>200</v>
      </c>
      <c r="J55" s="102"/>
      <c r="K55" s="104"/>
      <c r="L55" s="105">
        <v>20201118</v>
      </c>
    </row>
    <row r="56" ht="16" customHeight="1" spans="1:12">
      <c r="A56" s="102">
        <v>54</v>
      </c>
      <c r="B56" s="102" t="s">
        <v>15406</v>
      </c>
      <c r="C56" s="6" t="s">
        <v>15510</v>
      </c>
      <c r="D56" s="6" t="s">
        <v>15511</v>
      </c>
      <c r="E56" s="102" t="s">
        <v>15</v>
      </c>
      <c r="F56" s="102">
        <v>2020</v>
      </c>
      <c r="G56" s="14" t="s">
        <v>16</v>
      </c>
      <c r="H56" s="6" t="s">
        <v>311</v>
      </c>
      <c r="I56" s="6">
        <v>200</v>
      </c>
      <c r="J56" s="102"/>
      <c r="K56" s="104"/>
      <c r="L56" s="105">
        <v>20201118</v>
      </c>
    </row>
    <row r="57" ht="16" customHeight="1" spans="1:12">
      <c r="A57" s="102">
        <v>55</v>
      </c>
      <c r="B57" s="102" t="s">
        <v>15406</v>
      </c>
      <c r="C57" s="6" t="s">
        <v>15512</v>
      </c>
      <c r="D57" s="6" t="s">
        <v>15513</v>
      </c>
      <c r="E57" s="102" t="s">
        <v>15</v>
      </c>
      <c r="F57" s="102">
        <v>2020</v>
      </c>
      <c r="G57" s="14" t="s">
        <v>16</v>
      </c>
      <c r="H57" s="6">
        <v>200</v>
      </c>
      <c r="I57" s="6">
        <v>200</v>
      </c>
      <c r="J57" s="102"/>
      <c r="K57" s="104"/>
      <c r="L57" s="105">
        <v>20201118</v>
      </c>
    </row>
    <row r="58" ht="16" customHeight="1" spans="1:12">
      <c r="A58" s="102">
        <v>56</v>
      </c>
      <c r="B58" s="102" t="s">
        <v>15406</v>
      </c>
      <c r="C58" s="6" t="s">
        <v>15514</v>
      </c>
      <c r="D58" s="6" t="s">
        <v>15515</v>
      </c>
      <c r="E58" s="102" t="s">
        <v>15</v>
      </c>
      <c r="F58" s="102">
        <v>2020</v>
      </c>
      <c r="G58" s="14" t="s">
        <v>16</v>
      </c>
      <c r="H58" s="6">
        <v>200</v>
      </c>
      <c r="I58" s="6">
        <v>200</v>
      </c>
      <c r="J58" s="102"/>
      <c r="K58" s="104"/>
      <c r="L58" s="105">
        <v>20201118</v>
      </c>
    </row>
    <row r="59" ht="16" customHeight="1" spans="1:12">
      <c r="A59" s="102">
        <v>57</v>
      </c>
      <c r="B59" s="102" t="s">
        <v>15406</v>
      </c>
      <c r="C59" s="6" t="s">
        <v>15516</v>
      </c>
      <c r="D59" s="6" t="s">
        <v>15517</v>
      </c>
      <c r="E59" s="102" t="s">
        <v>15</v>
      </c>
      <c r="F59" s="102">
        <v>2020</v>
      </c>
      <c r="G59" s="14" t="s">
        <v>16</v>
      </c>
      <c r="H59" s="6">
        <v>200</v>
      </c>
      <c r="I59" s="6">
        <v>200</v>
      </c>
      <c r="J59" s="102"/>
      <c r="K59" s="104"/>
      <c r="L59" s="105">
        <v>20201118</v>
      </c>
    </row>
    <row r="60" ht="16" customHeight="1" spans="1:12">
      <c r="A60" s="102">
        <v>58</v>
      </c>
      <c r="B60" s="102" t="s">
        <v>15406</v>
      </c>
      <c r="C60" s="6" t="s">
        <v>272</v>
      </c>
      <c r="D60" s="6" t="s">
        <v>15518</v>
      </c>
      <c r="E60" s="102" t="s">
        <v>15</v>
      </c>
      <c r="F60" s="102">
        <v>2020</v>
      </c>
      <c r="G60" s="14" t="s">
        <v>16</v>
      </c>
      <c r="H60" s="6">
        <v>200</v>
      </c>
      <c r="I60" s="6">
        <v>200</v>
      </c>
      <c r="J60" s="102"/>
      <c r="K60" s="104"/>
      <c r="L60" s="105">
        <v>20201118</v>
      </c>
    </row>
    <row r="61" ht="16" customHeight="1" spans="1:12">
      <c r="A61" s="102">
        <v>59</v>
      </c>
      <c r="B61" s="102" t="s">
        <v>15406</v>
      </c>
      <c r="C61" s="6" t="s">
        <v>15519</v>
      </c>
      <c r="D61" s="6" t="s">
        <v>15520</v>
      </c>
      <c r="E61" s="102" t="s">
        <v>15</v>
      </c>
      <c r="F61" s="102">
        <v>2020</v>
      </c>
      <c r="G61" s="14" t="s">
        <v>16</v>
      </c>
      <c r="H61" s="6">
        <v>200</v>
      </c>
      <c r="I61" s="6">
        <v>200</v>
      </c>
      <c r="J61" s="102"/>
      <c r="K61" s="104"/>
      <c r="L61" s="105">
        <v>20201118</v>
      </c>
    </row>
    <row r="62" ht="16" customHeight="1" spans="1:12">
      <c r="A62" s="102">
        <v>60</v>
      </c>
      <c r="B62" s="102" t="s">
        <v>15406</v>
      </c>
      <c r="C62" s="6" t="s">
        <v>6537</v>
      </c>
      <c r="D62" s="6" t="s">
        <v>15521</v>
      </c>
      <c r="E62" s="102" t="s">
        <v>15</v>
      </c>
      <c r="F62" s="102">
        <v>2020</v>
      </c>
      <c r="G62" s="14" t="s">
        <v>16</v>
      </c>
      <c r="H62" s="6">
        <v>200</v>
      </c>
      <c r="I62" s="6">
        <v>200</v>
      </c>
      <c r="J62" s="102"/>
      <c r="K62" s="104"/>
      <c r="L62" s="105">
        <v>20201118</v>
      </c>
    </row>
    <row r="63" ht="16" customHeight="1" spans="1:12">
      <c r="A63" s="102">
        <v>61</v>
      </c>
      <c r="B63" s="102" t="s">
        <v>15406</v>
      </c>
      <c r="C63" s="6" t="s">
        <v>15522</v>
      </c>
      <c r="D63" s="6" t="s">
        <v>15523</v>
      </c>
      <c r="E63" s="102" t="s">
        <v>15</v>
      </c>
      <c r="F63" s="102">
        <v>2020</v>
      </c>
      <c r="G63" s="14" t="s">
        <v>16</v>
      </c>
      <c r="H63" s="6">
        <v>200</v>
      </c>
      <c r="I63" s="6">
        <v>200</v>
      </c>
      <c r="J63" s="102"/>
      <c r="K63" s="104"/>
      <c r="L63" s="105">
        <v>20201118</v>
      </c>
    </row>
    <row r="64" ht="16" customHeight="1" spans="1:12">
      <c r="A64" s="102">
        <v>62</v>
      </c>
      <c r="B64" s="102" t="s">
        <v>15406</v>
      </c>
      <c r="C64" s="6" t="s">
        <v>15524</v>
      </c>
      <c r="D64" s="293" t="s">
        <v>15525</v>
      </c>
      <c r="E64" s="102" t="s">
        <v>15</v>
      </c>
      <c r="F64" s="102">
        <v>2020</v>
      </c>
      <c r="G64" s="14" t="s">
        <v>16</v>
      </c>
      <c r="H64" s="6">
        <v>200</v>
      </c>
      <c r="I64" s="6">
        <v>200</v>
      </c>
      <c r="J64" s="102"/>
      <c r="K64" s="104"/>
      <c r="L64" s="105">
        <v>20201118</v>
      </c>
    </row>
    <row r="65" ht="16" customHeight="1" spans="1:12">
      <c r="A65" s="102">
        <v>63</v>
      </c>
      <c r="B65" s="102" t="s">
        <v>15406</v>
      </c>
      <c r="C65" s="6" t="s">
        <v>6823</v>
      </c>
      <c r="D65" s="69" t="s">
        <v>15526</v>
      </c>
      <c r="E65" s="102" t="s">
        <v>15</v>
      </c>
      <c r="F65" s="102">
        <v>2020</v>
      </c>
      <c r="G65" s="14" t="s">
        <v>16</v>
      </c>
      <c r="H65" s="6">
        <v>200</v>
      </c>
      <c r="I65" s="6">
        <v>200</v>
      </c>
      <c r="J65" s="102"/>
      <c r="K65" s="104"/>
      <c r="L65" s="105">
        <v>20201118</v>
      </c>
    </row>
    <row r="66" ht="16" customHeight="1" spans="1:12">
      <c r="A66" s="102">
        <v>64</v>
      </c>
      <c r="B66" s="102" t="s">
        <v>15406</v>
      </c>
      <c r="C66" s="6" t="s">
        <v>15527</v>
      </c>
      <c r="D66" s="6" t="s">
        <v>15528</v>
      </c>
      <c r="E66" s="102" t="s">
        <v>15</v>
      </c>
      <c r="F66" s="102">
        <v>2020</v>
      </c>
      <c r="G66" s="14" t="s">
        <v>16</v>
      </c>
      <c r="H66" s="6">
        <v>200</v>
      </c>
      <c r="I66" s="6">
        <v>200</v>
      </c>
      <c r="J66" s="102"/>
      <c r="K66" s="104"/>
      <c r="L66" s="105">
        <v>20201118</v>
      </c>
    </row>
    <row r="67" ht="16" customHeight="1" spans="1:12">
      <c r="A67" s="102">
        <v>65</v>
      </c>
      <c r="B67" s="102" t="s">
        <v>15406</v>
      </c>
      <c r="C67" s="6" t="s">
        <v>15529</v>
      </c>
      <c r="D67" s="6" t="s">
        <v>15530</v>
      </c>
      <c r="E67" s="102" t="s">
        <v>15</v>
      </c>
      <c r="F67" s="102">
        <v>2020</v>
      </c>
      <c r="G67" s="14" t="s">
        <v>16</v>
      </c>
      <c r="H67" s="6" t="s">
        <v>1700</v>
      </c>
      <c r="I67" s="6">
        <v>300</v>
      </c>
      <c r="J67" s="102"/>
      <c r="K67" s="104"/>
      <c r="L67" s="105">
        <v>20201118</v>
      </c>
    </row>
    <row r="68" ht="16" customHeight="1" spans="1:12">
      <c r="A68" s="102">
        <v>66</v>
      </c>
      <c r="B68" s="102" t="s">
        <v>15406</v>
      </c>
      <c r="C68" s="6" t="s">
        <v>15531</v>
      </c>
      <c r="D68" s="6" t="s">
        <v>15532</v>
      </c>
      <c r="E68" s="102" t="s">
        <v>15</v>
      </c>
      <c r="F68" s="102">
        <v>2020</v>
      </c>
      <c r="G68" s="14" t="s">
        <v>16</v>
      </c>
      <c r="H68" s="6" t="s">
        <v>1700</v>
      </c>
      <c r="I68" s="6">
        <v>300</v>
      </c>
      <c r="J68" s="102"/>
      <c r="K68" s="104"/>
      <c r="L68" s="105">
        <v>20201118</v>
      </c>
    </row>
    <row r="69" ht="16" customHeight="1" spans="1:12">
      <c r="A69" s="102">
        <v>67</v>
      </c>
      <c r="B69" s="102" t="s">
        <v>15406</v>
      </c>
      <c r="C69" s="6" t="s">
        <v>9007</v>
      </c>
      <c r="D69" s="6" t="s">
        <v>15533</v>
      </c>
      <c r="E69" s="102" t="s">
        <v>15</v>
      </c>
      <c r="F69" s="102">
        <v>2020</v>
      </c>
      <c r="G69" s="14" t="s">
        <v>16</v>
      </c>
      <c r="H69" s="6">
        <v>200</v>
      </c>
      <c r="I69" s="6">
        <v>200</v>
      </c>
      <c r="J69" s="102"/>
      <c r="K69" s="104"/>
      <c r="L69" s="105">
        <v>20201118</v>
      </c>
    </row>
    <row r="70" ht="16" customHeight="1" spans="1:12">
      <c r="A70" s="102">
        <v>68</v>
      </c>
      <c r="B70" s="102" t="s">
        <v>15406</v>
      </c>
      <c r="C70" s="6" t="s">
        <v>15534</v>
      </c>
      <c r="D70" s="6" t="s">
        <v>15535</v>
      </c>
      <c r="E70" s="102" t="s">
        <v>15</v>
      </c>
      <c r="F70" s="102">
        <v>2020</v>
      </c>
      <c r="G70" s="14" t="s">
        <v>16</v>
      </c>
      <c r="H70" s="6">
        <v>200</v>
      </c>
      <c r="I70" s="6">
        <v>200</v>
      </c>
      <c r="J70" s="102"/>
      <c r="K70" s="104"/>
      <c r="L70" s="105">
        <v>20201118</v>
      </c>
    </row>
    <row r="71" ht="16" customHeight="1" spans="1:12">
      <c r="A71" s="102">
        <v>69</v>
      </c>
      <c r="B71" s="102" t="s">
        <v>15406</v>
      </c>
      <c r="C71" s="6" t="s">
        <v>15536</v>
      </c>
      <c r="D71" s="6" t="s">
        <v>15537</v>
      </c>
      <c r="E71" s="102" t="s">
        <v>15</v>
      </c>
      <c r="F71" s="102">
        <v>2020</v>
      </c>
      <c r="G71" s="14" t="s">
        <v>16</v>
      </c>
      <c r="H71" s="6">
        <v>200</v>
      </c>
      <c r="I71" s="6">
        <v>200</v>
      </c>
      <c r="J71" s="102"/>
      <c r="K71" s="104"/>
      <c r="L71" s="105">
        <v>20201118</v>
      </c>
    </row>
    <row r="72" ht="16" customHeight="1" spans="1:12">
      <c r="A72" s="102">
        <v>70</v>
      </c>
      <c r="B72" s="102" t="s">
        <v>15406</v>
      </c>
      <c r="C72" s="6" t="s">
        <v>15538</v>
      </c>
      <c r="D72" s="6" t="s">
        <v>15539</v>
      </c>
      <c r="E72" s="102" t="s">
        <v>15</v>
      </c>
      <c r="F72" s="102">
        <v>2020</v>
      </c>
      <c r="G72" s="14" t="s">
        <v>16</v>
      </c>
      <c r="H72" s="6" t="s">
        <v>311</v>
      </c>
      <c r="I72" s="6">
        <v>200</v>
      </c>
      <c r="J72" s="102"/>
      <c r="K72" s="104"/>
      <c r="L72" s="105">
        <v>20201118</v>
      </c>
    </row>
    <row r="73" ht="16" customHeight="1" spans="1:12">
      <c r="A73" s="102">
        <v>71</v>
      </c>
      <c r="B73" s="102" t="s">
        <v>15406</v>
      </c>
      <c r="C73" s="6" t="s">
        <v>15540</v>
      </c>
      <c r="D73" s="6" t="s">
        <v>15541</v>
      </c>
      <c r="E73" s="102" t="s">
        <v>15</v>
      </c>
      <c r="F73" s="102">
        <v>2020</v>
      </c>
      <c r="G73" s="14" t="s">
        <v>16</v>
      </c>
      <c r="H73" s="6" t="s">
        <v>311</v>
      </c>
      <c r="I73" s="6">
        <v>200</v>
      </c>
      <c r="J73" s="102"/>
      <c r="K73" s="104"/>
      <c r="L73" s="105">
        <v>20201118</v>
      </c>
    </row>
    <row r="74" ht="16" customHeight="1" spans="1:12">
      <c r="A74" s="102">
        <v>72</v>
      </c>
      <c r="B74" s="102" t="s">
        <v>15406</v>
      </c>
      <c r="C74" s="6" t="s">
        <v>15542</v>
      </c>
      <c r="D74" s="293" t="s">
        <v>15543</v>
      </c>
      <c r="E74" s="102" t="s">
        <v>15</v>
      </c>
      <c r="F74" s="102">
        <v>2020</v>
      </c>
      <c r="G74" s="14" t="s">
        <v>16</v>
      </c>
      <c r="H74" s="6">
        <v>200</v>
      </c>
      <c r="I74" s="6">
        <v>200</v>
      </c>
      <c r="J74" s="102"/>
      <c r="K74" s="104"/>
      <c r="L74" s="105">
        <v>20201118</v>
      </c>
    </row>
    <row r="75" ht="16" customHeight="1" spans="1:12">
      <c r="A75" s="102">
        <v>73</v>
      </c>
      <c r="B75" s="102" t="s">
        <v>15406</v>
      </c>
      <c r="C75" s="6" t="s">
        <v>15544</v>
      </c>
      <c r="D75" s="293" t="s">
        <v>15545</v>
      </c>
      <c r="E75" s="102" t="s">
        <v>15</v>
      </c>
      <c r="F75" s="102">
        <v>2020</v>
      </c>
      <c r="G75" s="14" t="s">
        <v>16</v>
      </c>
      <c r="H75" s="6">
        <v>200</v>
      </c>
      <c r="I75" s="6">
        <v>200</v>
      </c>
      <c r="J75" s="102"/>
      <c r="K75" s="104"/>
      <c r="L75" s="105">
        <v>20201118</v>
      </c>
    </row>
    <row r="76" ht="16" customHeight="1" spans="1:12">
      <c r="A76" s="102">
        <v>74</v>
      </c>
      <c r="B76" s="102" t="s">
        <v>15406</v>
      </c>
      <c r="C76" s="6" t="s">
        <v>15546</v>
      </c>
      <c r="D76" s="6" t="s">
        <v>15547</v>
      </c>
      <c r="E76" s="102" t="s">
        <v>15</v>
      </c>
      <c r="F76" s="102">
        <v>2020</v>
      </c>
      <c r="G76" s="14" t="s">
        <v>16</v>
      </c>
      <c r="H76" s="6">
        <v>200</v>
      </c>
      <c r="I76" s="6">
        <v>200</v>
      </c>
      <c r="J76" s="102"/>
      <c r="K76" s="104"/>
      <c r="L76" s="105">
        <v>20201118</v>
      </c>
    </row>
    <row r="77" ht="16" customHeight="1" spans="1:12">
      <c r="A77" s="102">
        <v>75</v>
      </c>
      <c r="B77" s="102" t="s">
        <v>15406</v>
      </c>
      <c r="C77" s="6" t="s">
        <v>15548</v>
      </c>
      <c r="D77" s="6" t="s">
        <v>15549</v>
      </c>
      <c r="E77" s="102" t="s">
        <v>15</v>
      </c>
      <c r="F77" s="102">
        <v>2020</v>
      </c>
      <c r="G77" s="14" t="s">
        <v>16</v>
      </c>
      <c r="H77" s="6">
        <v>200</v>
      </c>
      <c r="I77" s="6">
        <v>200</v>
      </c>
      <c r="J77" s="102"/>
      <c r="K77" s="104"/>
      <c r="L77" s="105">
        <v>20201118</v>
      </c>
    </row>
    <row r="78" ht="16" customHeight="1" spans="1:12">
      <c r="A78" s="102">
        <v>76</v>
      </c>
      <c r="B78" s="102" t="s">
        <v>15406</v>
      </c>
      <c r="C78" s="6" t="s">
        <v>10412</v>
      </c>
      <c r="D78" s="6" t="s">
        <v>15550</v>
      </c>
      <c r="E78" s="102" t="s">
        <v>15</v>
      </c>
      <c r="F78" s="102">
        <v>2020</v>
      </c>
      <c r="G78" s="14" t="s">
        <v>16</v>
      </c>
      <c r="H78" s="6">
        <v>200</v>
      </c>
      <c r="I78" s="6">
        <v>200</v>
      </c>
      <c r="J78" s="102"/>
      <c r="K78" s="104"/>
      <c r="L78" s="105">
        <v>20201118</v>
      </c>
    </row>
    <row r="79" ht="16" customHeight="1" spans="1:12">
      <c r="A79" s="102">
        <v>77</v>
      </c>
      <c r="B79" s="102" t="s">
        <v>15406</v>
      </c>
      <c r="C79" s="6" t="s">
        <v>15551</v>
      </c>
      <c r="D79" s="6" t="s">
        <v>15552</v>
      </c>
      <c r="E79" s="102" t="s">
        <v>15</v>
      </c>
      <c r="F79" s="102">
        <v>2020</v>
      </c>
      <c r="G79" s="14" t="s">
        <v>16</v>
      </c>
      <c r="H79" s="6">
        <v>200</v>
      </c>
      <c r="I79" s="6">
        <v>200</v>
      </c>
      <c r="J79" s="102"/>
      <c r="K79" s="104"/>
      <c r="L79" s="105">
        <v>20201118</v>
      </c>
    </row>
    <row r="80" ht="16" customHeight="1" spans="1:12">
      <c r="A80" s="102">
        <v>78</v>
      </c>
      <c r="B80" s="102" t="s">
        <v>15406</v>
      </c>
      <c r="C80" s="6" t="s">
        <v>15553</v>
      </c>
      <c r="D80" s="6" t="s">
        <v>15554</v>
      </c>
      <c r="E80" s="102" t="s">
        <v>15</v>
      </c>
      <c r="F80" s="102">
        <v>2020</v>
      </c>
      <c r="G80" s="14" t="s">
        <v>16</v>
      </c>
      <c r="H80" s="6">
        <v>200</v>
      </c>
      <c r="I80" s="6">
        <v>200</v>
      </c>
      <c r="J80" s="102"/>
      <c r="K80" s="104"/>
      <c r="L80" s="105">
        <v>20201118</v>
      </c>
    </row>
    <row r="81" ht="16" customHeight="1" spans="1:12">
      <c r="A81" s="102">
        <v>79</v>
      </c>
      <c r="B81" s="102" t="s">
        <v>15406</v>
      </c>
      <c r="C81" s="6" t="s">
        <v>15555</v>
      </c>
      <c r="D81" s="6" t="s">
        <v>15556</v>
      </c>
      <c r="E81" s="102" t="s">
        <v>15</v>
      </c>
      <c r="F81" s="102">
        <v>2020</v>
      </c>
      <c r="G81" s="14" t="s">
        <v>16</v>
      </c>
      <c r="H81" s="6">
        <v>200</v>
      </c>
      <c r="I81" s="6">
        <v>200</v>
      </c>
      <c r="J81" s="102"/>
      <c r="K81" s="104"/>
      <c r="L81" s="105">
        <v>20201118</v>
      </c>
    </row>
    <row r="82" ht="16" customHeight="1" spans="1:12">
      <c r="A82" s="102">
        <v>80</v>
      </c>
      <c r="B82" s="102" t="s">
        <v>15406</v>
      </c>
      <c r="C82" s="6" t="s">
        <v>15557</v>
      </c>
      <c r="D82" s="6" t="s">
        <v>15558</v>
      </c>
      <c r="E82" s="102" t="s">
        <v>15</v>
      </c>
      <c r="F82" s="102">
        <v>2020</v>
      </c>
      <c r="G82" s="14" t="s">
        <v>16</v>
      </c>
      <c r="H82" s="6">
        <v>200</v>
      </c>
      <c r="I82" s="6">
        <v>200</v>
      </c>
      <c r="J82" s="102"/>
      <c r="K82" s="104"/>
      <c r="L82" s="105">
        <v>20201118</v>
      </c>
    </row>
    <row r="83" ht="16" customHeight="1" spans="1:12">
      <c r="A83" s="102">
        <v>81</v>
      </c>
      <c r="B83" s="102" t="s">
        <v>15406</v>
      </c>
      <c r="C83" s="6" t="s">
        <v>15559</v>
      </c>
      <c r="D83" s="6" t="s">
        <v>15560</v>
      </c>
      <c r="E83" s="102" t="s">
        <v>15</v>
      </c>
      <c r="F83" s="102">
        <v>2020</v>
      </c>
      <c r="G83" s="14" t="s">
        <v>16</v>
      </c>
      <c r="H83" s="6">
        <v>200</v>
      </c>
      <c r="I83" s="6">
        <v>200</v>
      </c>
      <c r="J83" s="102"/>
      <c r="K83" s="104"/>
      <c r="L83" s="105">
        <v>20201118</v>
      </c>
    </row>
    <row r="84" ht="16" customHeight="1" spans="1:12">
      <c r="A84" s="102">
        <v>82</v>
      </c>
      <c r="B84" s="102" t="s">
        <v>15406</v>
      </c>
      <c r="C84" s="6" t="s">
        <v>15561</v>
      </c>
      <c r="D84" s="6" t="s">
        <v>15562</v>
      </c>
      <c r="E84" s="102" t="s">
        <v>15</v>
      </c>
      <c r="F84" s="102">
        <v>2020</v>
      </c>
      <c r="G84" s="14" t="s">
        <v>16</v>
      </c>
      <c r="H84" s="6">
        <v>200</v>
      </c>
      <c r="I84" s="6">
        <v>200</v>
      </c>
      <c r="J84" s="102"/>
      <c r="K84" s="104"/>
      <c r="L84" s="105">
        <v>20201118</v>
      </c>
    </row>
    <row r="85" ht="16" customHeight="1" spans="1:12">
      <c r="A85" s="102">
        <v>83</v>
      </c>
      <c r="B85" s="102" t="s">
        <v>15406</v>
      </c>
      <c r="C85" s="6" t="s">
        <v>15563</v>
      </c>
      <c r="D85" s="6" t="s">
        <v>15564</v>
      </c>
      <c r="E85" s="102" t="s">
        <v>15</v>
      </c>
      <c r="F85" s="102">
        <v>2020</v>
      </c>
      <c r="G85" s="14" t="s">
        <v>16</v>
      </c>
      <c r="H85" s="6">
        <v>200</v>
      </c>
      <c r="I85" s="6">
        <v>200</v>
      </c>
      <c r="J85" s="102"/>
      <c r="K85" s="104"/>
      <c r="L85" s="105">
        <v>20201118</v>
      </c>
    </row>
    <row r="86" ht="16" customHeight="1" spans="1:12">
      <c r="A86" s="102">
        <v>84</v>
      </c>
      <c r="B86" s="102" t="s">
        <v>15406</v>
      </c>
      <c r="C86" s="6" t="s">
        <v>5190</v>
      </c>
      <c r="D86" s="6" t="s">
        <v>15565</v>
      </c>
      <c r="E86" s="102" t="s">
        <v>15</v>
      </c>
      <c r="F86" s="102">
        <v>2020</v>
      </c>
      <c r="G86" s="14" t="s">
        <v>16</v>
      </c>
      <c r="H86" s="6">
        <v>1000</v>
      </c>
      <c r="I86" s="6">
        <v>1000</v>
      </c>
      <c r="J86" s="102"/>
      <c r="K86" s="104"/>
      <c r="L86" s="105">
        <v>20201118</v>
      </c>
    </row>
    <row r="87" ht="16" customHeight="1" spans="1:12">
      <c r="A87" s="102">
        <v>85</v>
      </c>
      <c r="B87" s="102" t="s">
        <v>15406</v>
      </c>
      <c r="C87" s="6" t="s">
        <v>15566</v>
      </c>
      <c r="D87" s="6" t="s">
        <v>15567</v>
      </c>
      <c r="E87" s="102" t="s">
        <v>15</v>
      </c>
      <c r="F87" s="102">
        <v>2020</v>
      </c>
      <c r="G87" s="14" t="s">
        <v>16</v>
      </c>
      <c r="H87" s="6">
        <v>1000</v>
      </c>
      <c r="I87" s="6">
        <v>1000</v>
      </c>
      <c r="J87" s="102"/>
      <c r="K87" s="104"/>
      <c r="L87" s="105">
        <v>20201118</v>
      </c>
    </row>
    <row r="88" ht="16" customHeight="1" spans="1:12">
      <c r="A88" s="102">
        <v>86</v>
      </c>
      <c r="B88" s="102" t="s">
        <v>15406</v>
      </c>
      <c r="C88" s="6" t="s">
        <v>15568</v>
      </c>
      <c r="D88" s="293" t="s">
        <v>15569</v>
      </c>
      <c r="E88" s="102" t="s">
        <v>15</v>
      </c>
      <c r="F88" s="102">
        <v>2020</v>
      </c>
      <c r="G88" s="14" t="s">
        <v>16</v>
      </c>
      <c r="H88" s="6">
        <v>200</v>
      </c>
      <c r="I88" s="6">
        <v>200</v>
      </c>
      <c r="J88" s="102"/>
      <c r="K88" s="104"/>
      <c r="L88" s="105">
        <v>20201118</v>
      </c>
    </row>
    <row r="89" ht="16" customHeight="1" spans="1:12">
      <c r="A89" s="102">
        <v>87</v>
      </c>
      <c r="B89" s="102" t="s">
        <v>15406</v>
      </c>
      <c r="C89" s="6" t="s">
        <v>15570</v>
      </c>
      <c r="D89" s="6" t="s">
        <v>15571</v>
      </c>
      <c r="E89" s="102" t="s">
        <v>15</v>
      </c>
      <c r="F89" s="102">
        <v>2020</v>
      </c>
      <c r="G89" s="14" t="s">
        <v>16</v>
      </c>
      <c r="H89" s="6">
        <v>200</v>
      </c>
      <c r="I89" s="6">
        <v>200</v>
      </c>
      <c r="J89" s="102"/>
      <c r="K89" s="104"/>
      <c r="L89" s="105">
        <v>20201118</v>
      </c>
    </row>
    <row r="90" ht="16" customHeight="1" spans="1:12">
      <c r="A90" s="102">
        <v>88</v>
      </c>
      <c r="B90" s="102" t="s">
        <v>15406</v>
      </c>
      <c r="C90" s="6" t="s">
        <v>15572</v>
      </c>
      <c r="D90" s="6" t="s">
        <v>15573</v>
      </c>
      <c r="E90" s="102" t="s">
        <v>15</v>
      </c>
      <c r="F90" s="102">
        <v>2020</v>
      </c>
      <c r="G90" s="14" t="s">
        <v>16</v>
      </c>
      <c r="H90" s="6">
        <v>200</v>
      </c>
      <c r="I90" s="6">
        <v>200</v>
      </c>
      <c r="J90" s="102"/>
      <c r="K90" s="104"/>
      <c r="L90" s="105">
        <v>20201118</v>
      </c>
    </row>
    <row r="91" ht="16" customHeight="1" spans="1:12">
      <c r="A91" s="102">
        <v>89</v>
      </c>
      <c r="B91" s="102" t="s">
        <v>15406</v>
      </c>
      <c r="C91" s="6" t="s">
        <v>15469</v>
      </c>
      <c r="D91" s="6" t="s">
        <v>15574</v>
      </c>
      <c r="E91" s="102" t="s">
        <v>15</v>
      </c>
      <c r="F91" s="102">
        <v>2020</v>
      </c>
      <c r="G91" s="14" t="s">
        <v>16</v>
      </c>
      <c r="H91" s="6">
        <v>200</v>
      </c>
      <c r="I91" s="6">
        <v>200</v>
      </c>
      <c r="J91" s="102"/>
      <c r="K91" s="104"/>
      <c r="L91" s="105">
        <v>20201118</v>
      </c>
    </row>
    <row r="92" ht="16" customHeight="1" spans="1:12">
      <c r="A92" s="102">
        <v>90</v>
      </c>
      <c r="B92" s="102" t="s">
        <v>15406</v>
      </c>
      <c r="C92" s="6" t="s">
        <v>15575</v>
      </c>
      <c r="D92" s="6" t="s">
        <v>15576</v>
      </c>
      <c r="E92" s="102" t="s">
        <v>15</v>
      </c>
      <c r="F92" s="102">
        <v>2020</v>
      </c>
      <c r="G92" s="14" t="s">
        <v>16</v>
      </c>
      <c r="H92" s="6">
        <v>200</v>
      </c>
      <c r="I92" s="6">
        <v>200</v>
      </c>
      <c r="J92" s="102"/>
      <c r="K92" s="104"/>
      <c r="L92" s="105">
        <v>20201118</v>
      </c>
    </row>
    <row r="93" ht="16" customHeight="1" spans="1:12">
      <c r="A93" s="102">
        <v>91</v>
      </c>
      <c r="B93" s="102" t="s">
        <v>15406</v>
      </c>
      <c r="C93" s="6" t="s">
        <v>12371</v>
      </c>
      <c r="D93" s="6" t="s">
        <v>15577</v>
      </c>
      <c r="E93" s="102" t="s">
        <v>15</v>
      </c>
      <c r="F93" s="102">
        <v>2020</v>
      </c>
      <c r="G93" s="14" t="s">
        <v>16</v>
      </c>
      <c r="H93" s="6">
        <v>200</v>
      </c>
      <c r="I93" s="6">
        <v>200</v>
      </c>
      <c r="J93" s="102"/>
      <c r="K93" s="104"/>
      <c r="L93" s="105">
        <v>20201118</v>
      </c>
    </row>
    <row r="94" ht="16" customHeight="1" spans="1:12">
      <c r="A94" s="102">
        <v>92</v>
      </c>
      <c r="B94" s="102" t="s">
        <v>15406</v>
      </c>
      <c r="C94" s="6" t="s">
        <v>15578</v>
      </c>
      <c r="D94" s="6" t="s">
        <v>15579</v>
      </c>
      <c r="E94" s="102" t="s">
        <v>15</v>
      </c>
      <c r="F94" s="102">
        <v>2020</v>
      </c>
      <c r="G94" s="14" t="s">
        <v>16</v>
      </c>
      <c r="H94" s="6">
        <v>200</v>
      </c>
      <c r="I94" s="6">
        <v>200</v>
      </c>
      <c r="J94" s="102"/>
      <c r="K94" s="104"/>
      <c r="L94" s="105">
        <v>20201118</v>
      </c>
    </row>
    <row r="95" ht="16" customHeight="1" spans="1:12">
      <c r="A95" s="102">
        <v>93</v>
      </c>
      <c r="B95" s="102" t="s">
        <v>15406</v>
      </c>
      <c r="C95" s="6" t="s">
        <v>15580</v>
      </c>
      <c r="D95" s="6" t="s">
        <v>15581</v>
      </c>
      <c r="E95" s="102" t="s">
        <v>15</v>
      </c>
      <c r="F95" s="102">
        <v>2020</v>
      </c>
      <c r="G95" s="14" t="s">
        <v>16</v>
      </c>
      <c r="H95" s="6" t="s">
        <v>9565</v>
      </c>
      <c r="I95" s="6">
        <v>1000</v>
      </c>
      <c r="J95" s="102"/>
      <c r="K95" s="104"/>
      <c r="L95" s="105">
        <v>20201118</v>
      </c>
    </row>
    <row r="96" ht="16" customHeight="1" spans="1:12">
      <c r="A96" s="102">
        <v>94</v>
      </c>
      <c r="B96" s="102" t="s">
        <v>15406</v>
      </c>
      <c r="C96" s="6" t="s">
        <v>15582</v>
      </c>
      <c r="D96" s="6" t="s">
        <v>15583</v>
      </c>
      <c r="E96" s="102" t="s">
        <v>15</v>
      </c>
      <c r="F96" s="102">
        <v>2020</v>
      </c>
      <c r="G96" s="14" t="s">
        <v>16</v>
      </c>
      <c r="H96" s="6">
        <v>200</v>
      </c>
      <c r="I96" s="6">
        <v>200</v>
      </c>
      <c r="J96" s="102"/>
      <c r="K96" s="104"/>
      <c r="L96" s="105">
        <v>20201118</v>
      </c>
    </row>
    <row r="97" ht="16" customHeight="1" spans="1:12">
      <c r="A97" s="102">
        <v>95</v>
      </c>
      <c r="B97" s="102" t="s">
        <v>15406</v>
      </c>
      <c r="C97" s="6" t="s">
        <v>15584</v>
      </c>
      <c r="D97" s="6" t="s">
        <v>15585</v>
      </c>
      <c r="E97" s="102" t="s">
        <v>15</v>
      </c>
      <c r="F97" s="102">
        <v>2020</v>
      </c>
      <c r="G97" s="14" t="s">
        <v>16</v>
      </c>
      <c r="H97" s="6">
        <v>200</v>
      </c>
      <c r="I97" s="6">
        <v>200</v>
      </c>
      <c r="J97" s="102"/>
      <c r="K97" s="104"/>
      <c r="L97" s="105">
        <v>20201118</v>
      </c>
    </row>
    <row r="98" ht="16" customHeight="1" spans="1:12">
      <c r="A98" s="102">
        <v>96</v>
      </c>
      <c r="B98" s="102" t="s">
        <v>15406</v>
      </c>
      <c r="C98" s="6" t="s">
        <v>15586</v>
      </c>
      <c r="D98" s="6" t="s">
        <v>15587</v>
      </c>
      <c r="E98" s="102" t="s">
        <v>15</v>
      </c>
      <c r="F98" s="102">
        <v>2020</v>
      </c>
      <c r="G98" s="14" t="s">
        <v>16</v>
      </c>
      <c r="H98" s="6" t="s">
        <v>2295</v>
      </c>
      <c r="I98" s="6">
        <v>500</v>
      </c>
      <c r="J98" s="102"/>
      <c r="K98" s="104"/>
      <c r="L98" s="105">
        <v>20201118</v>
      </c>
    </row>
    <row r="99" ht="16" customHeight="1" spans="1:12">
      <c r="A99" s="102">
        <v>97</v>
      </c>
      <c r="B99" s="102" t="s">
        <v>15406</v>
      </c>
      <c r="C99" s="6" t="s">
        <v>15588</v>
      </c>
      <c r="D99" s="6" t="s">
        <v>15589</v>
      </c>
      <c r="E99" s="102" t="s">
        <v>15</v>
      </c>
      <c r="F99" s="102">
        <v>2020</v>
      </c>
      <c r="G99" s="14" t="s">
        <v>16</v>
      </c>
      <c r="H99" s="6" t="s">
        <v>2295</v>
      </c>
      <c r="I99" s="6">
        <v>500</v>
      </c>
      <c r="J99" s="102"/>
      <c r="K99" s="104"/>
      <c r="L99" s="105">
        <v>20201118</v>
      </c>
    </row>
    <row r="100" ht="16" customHeight="1" spans="1:12">
      <c r="A100" s="102">
        <v>98</v>
      </c>
      <c r="B100" s="102" t="s">
        <v>15406</v>
      </c>
      <c r="C100" s="6" t="s">
        <v>15590</v>
      </c>
      <c r="D100" s="6" t="s">
        <v>15591</v>
      </c>
      <c r="E100" s="102" t="s">
        <v>15</v>
      </c>
      <c r="F100" s="102">
        <v>2020</v>
      </c>
      <c r="G100" s="14" t="s">
        <v>16</v>
      </c>
      <c r="H100" s="6">
        <v>200</v>
      </c>
      <c r="I100" s="6">
        <v>200</v>
      </c>
      <c r="J100" s="102"/>
      <c r="K100" s="104"/>
      <c r="L100" s="105">
        <v>20201118</v>
      </c>
    </row>
    <row r="101" ht="16" customHeight="1" spans="1:12">
      <c r="A101" s="102">
        <v>99</v>
      </c>
      <c r="B101" s="102" t="s">
        <v>15406</v>
      </c>
      <c r="C101" s="6" t="s">
        <v>15592</v>
      </c>
      <c r="D101" s="6" t="s">
        <v>15593</v>
      </c>
      <c r="E101" s="102" t="s">
        <v>15</v>
      </c>
      <c r="F101" s="102">
        <v>2020</v>
      </c>
      <c r="G101" s="14" t="s">
        <v>16</v>
      </c>
      <c r="H101" s="6">
        <v>200</v>
      </c>
      <c r="I101" s="6">
        <v>200</v>
      </c>
      <c r="J101" s="102"/>
      <c r="K101" s="104"/>
      <c r="L101" s="105">
        <v>20201118</v>
      </c>
    </row>
    <row r="102" ht="16" customHeight="1" spans="1:12">
      <c r="A102" s="102">
        <v>100</v>
      </c>
      <c r="B102" s="102" t="s">
        <v>15406</v>
      </c>
      <c r="C102" s="6" t="s">
        <v>15594</v>
      </c>
      <c r="D102" s="6" t="s">
        <v>15595</v>
      </c>
      <c r="E102" s="102" t="s">
        <v>15</v>
      </c>
      <c r="F102" s="102">
        <v>2020</v>
      </c>
      <c r="G102" s="14" t="s">
        <v>16</v>
      </c>
      <c r="H102" s="6">
        <v>3000</v>
      </c>
      <c r="I102" s="6">
        <v>3000</v>
      </c>
      <c r="J102" s="102"/>
      <c r="K102" s="104"/>
      <c r="L102" s="105">
        <v>20201118</v>
      </c>
    </row>
    <row r="103" ht="16" customHeight="1" spans="1:12">
      <c r="A103" s="102">
        <v>101</v>
      </c>
      <c r="B103" s="102" t="s">
        <v>15406</v>
      </c>
      <c r="C103" s="6" t="s">
        <v>2011</v>
      </c>
      <c r="D103" s="6" t="s">
        <v>15596</v>
      </c>
      <c r="E103" s="102" t="s">
        <v>15</v>
      </c>
      <c r="F103" s="102">
        <v>2020</v>
      </c>
      <c r="G103" s="14" t="s">
        <v>16</v>
      </c>
      <c r="H103" s="6">
        <v>3000</v>
      </c>
      <c r="I103" s="6">
        <v>3000</v>
      </c>
      <c r="J103" s="102"/>
      <c r="K103" s="104"/>
      <c r="L103" s="105">
        <v>20201118</v>
      </c>
    </row>
    <row r="104" ht="16" customHeight="1" spans="1:12">
      <c r="A104" s="102">
        <v>102</v>
      </c>
      <c r="B104" s="102" t="s">
        <v>15406</v>
      </c>
      <c r="C104" s="6" t="s">
        <v>15597</v>
      </c>
      <c r="D104" s="6" t="s">
        <v>15598</v>
      </c>
      <c r="E104" s="102" t="s">
        <v>15</v>
      </c>
      <c r="F104" s="102">
        <v>2020</v>
      </c>
      <c r="G104" s="14" t="s">
        <v>16</v>
      </c>
      <c r="H104" s="6" t="s">
        <v>311</v>
      </c>
      <c r="I104" s="6">
        <v>200</v>
      </c>
      <c r="J104" s="102"/>
      <c r="K104" s="104"/>
      <c r="L104" s="105">
        <v>20201118</v>
      </c>
    </row>
    <row r="105" ht="16" customHeight="1" spans="1:12">
      <c r="A105" s="102">
        <v>103</v>
      </c>
      <c r="B105" s="102" t="s">
        <v>15406</v>
      </c>
      <c r="C105" s="6" t="s">
        <v>15599</v>
      </c>
      <c r="D105" s="6" t="s">
        <v>15600</v>
      </c>
      <c r="E105" s="102" t="s">
        <v>15</v>
      </c>
      <c r="F105" s="102">
        <v>2020</v>
      </c>
      <c r="G105" s="14" t="s">
        <v>16</v>
      </c>
      <c r="H105" s="6" t="s">
        <v>311</v>
      </c>
      <c r="I105" s="6">
        <v>200</v>
      </c>
      <c r="J105" s="102"/>
      <c r="K105" s="104"/>
      <c r="L105" s="105">
        <v>20201118</v>
      </c>
    </row>
    <row r="106" ht="16" customHeight="1" spans="1:12">
      <c r="A106" s="102">
        <v>104</v>
      </c>
      <c r="B106" s="102" t="s">
        <v>15406</v>
      </c>
      <c r="C106" s="6" t="s">
        <v>15601</v>
      </c>
      <c r="D106" s="6" t="s">
        <v>15602</v>
      </c>
      <c r="E106" s="102" t="s">
        <v>15</v>
      </c>
      <c r="F106" s="102">
        <v>2020</v>
      </c>
      <c r="G106" s="14" t="s">
        <v>16</v>
      </c>
      <c r="H106" s="6" t="s">
        <v>9565</v>
      </c>
      <c r="I106" s="6">
        <v>1000</v>
      </c>
      <c r="J106" s="102"/>
      <c r="K106" s="104"/>
      <c r="L106" s="105">
        <v>20201118</v>
      </c>
    </row>
    <row r="107" ht="16" customHeight="1" spans="1:12">
      <c r="A107" s="102">
        <v>105</v>
      </c>
      <c r="B107" s="102" t="s">
        <v>15406</v>
      </c>
      <c r="C107" s="6" t="s">
        <v>15603</v>
      </c>
      <c r="D107" s="6" t="s">
        <v>15604</v>
      </c>
      <c r="E107" s="102" t="s">
        <v>15</v>
      </c>
      <c r="F107" s="102">
        <v>2020</v>
      </c>
      <c r="G107" s="14" t="s">
        <v>16</v>
      </c>
      <c r="H107" s="6" t="s">
        <v>2295</v>
      </c>
      <c r="I107" s="6">
        <v>500</v>
      </c>
      <c r="J107" s="102"/>
      <c r="K107" s="104"/>
      <c r="L107" s="105">
        <v>20201118</v>
      </c>
    </row>
    <row r="108" ht="16" customHeight="1" spans="1:12">
      <c r="A108" s="102">
        <v>106</v>
      </c>
      <c r="B108" s="102" t="s">
        <v>15406</v>
      </c>
      <c r="C108" s="6" t="s">
        <v>15605</v>
      </c>
      <c r="D108" s="6" t="s">
        <v>15606</v>
      </c>
      <c r="E108" s="102" t="s">
        <v>15</v>
      </c>
      <c r="F108" s="102">
        <v>2020</v>
      </c>
      <c r="G108" s="14" t="s">
        <v>16</v>
      </c>
      <c r="H108" s="6">
        <v>200</v>
      </c>
      <c r="I108" s="6">
        <v>200</v>
      </c>
      <c r="J108" s="102"/>
      <c r="K108" s="104"/>
      <c r="L108" s="105">
        <v>20201118</v>
      </c>
    </row>
    <row r="109" ht="16" customHeight="1" spans="1:12">
      <c r="A109" s="102">
        <v>107</v>
      </c>
      <c r="B109" s="102" t="s">
        <v>15406</v>
      </c>
      <c r="C109" s="6" t="s">
        <v>15607</v>
      </c>
      <c r="D109" s="6" t="s">
        <v>15608</v>
      </c>
      <c r="E109" s="102" t="s">
        <v>15</v>
      </c>
      <c r="F109" s="102">
        <v>2020</v>
      </c>
      <c r="G109" s="14" t="s">
        <v>16</v>
      </c>
      <c r="H109" s="6">
        <v>200</v>
      </c>
      <c r="I109" s="6">
        <v>200</v>
      </c>
      <c r="J109" s="102"/>
      <c r="K109" s="104"/>
      <c r="L109" s="105">
        <v>20201118</v>
      </c>
    </row>
    <row r="110" ht="16" customHeight="1" spans="1:12">
      <c r="A110" s="102">
        <v>108</v>
      </c>
      <c r="B110" s="102" t="s">
        <v>15406</v>
      </c>
      <c r="C110" s="6" t="s">
        <v>15609</v>
      </c>
      <c r="D110" s="6" t="s">
        <v>15610</v>
      </c>
      <c r="E110" s="102" t="s">
        <v>15</v>
      </c>
      <c r="F110" s="102">
        <v>2020</v>
      </c>
      <c r="G110" s="14" t="s">
        <v>16</v>
      </c>
      <c r="H110" s="6">
        <v>200</v>
      </c>
      <c r="I110" s="6">
        <v>200</v>
      </c>
      <c r="J110" s="102"/>
      <c r="K110" s="104"/>
      <c r="L110" s="105">
        <v>20201118</v>
      </c>
    </row>
    <row r="111" ht="16" customHeight="1" spans="1:12">
      <c r="A111" s="102">
        <v>109</v>
      </c>
      <c r="B111" s="102" t="s">
        <v>15406</v>
      </c>
      <c r="C111" s="6" t="s">
        <v>15611</v>
      </c>
      <c r="D111" s="293" t="s">
        <v>15612</v>
      </c>
      <c r="E111" s="5" t="s">
        <v>15</v>
      </c>
      <c r="F111" s="5">
        <v>2020</v>
      </c>
      <c r="G111" s="106" t="s">
        <v>189</v>
      </c>
      <c r="H111" s="6">
        <v>200</v>
      </c>
      <c r="I111" s="6">
        <v>200</v>
      </c>
      <c r="J111" s="102"/>
      <c r="K111" s="104"/>
      <c r="L111" s="105">
        <v>20201118</v>
      </c>
    </row>
    <row r="112" ht="16" customHeight="1" spans="1:12">
      <c r="A112" s="102">
        <v>110</v>
      </c>
      <c r="B112" s="102" t="s">
        <v>15406</v>
      </c>
      <c r="C112" s="6" t="s">
        <v>5504</v>
      </c>
      <c r="D112" s="293" t="s">
        <v>15613</v>
      </c>
      <c r="E112" s="5" t="s">
        <v>15</v>
      </c>
      <c r="F112" s="5">
        <v>2020</v>
      </c>
      <c r="G112" s="106" t="s">
        <v>189</v>
      </c>
      <c r="H112" s="6">
        <v>200</v>
      </c>
      <c r="I112" s="6">
        <v>200</v>
      </c>
      <c r="J112" s="102"/>
      <c r="K112" s="104"/>
      <c r="L112" s="105">
        <v>20201118</v>
      </c>
    </row>
    <row r="113" ht="16" customHeight="1" spans="1:12">
      <c r="A113" s="102">
        <v>111</v>
      </c>
      <c r="B113" s="102" t="s">
        <v>15406</v>
      </c>
      <c r="C113" s="6" t="s">
        <v>15614</v>
      </c>
      <c r="D113" s="293" t="s">
        <v>15615</v>
      </c>
      <c r="E113" s="5" t="s">
        <v>15</v>
      </c>
      <c r="F113" s="5">
        <v>2020</v>
      </c>
      <c r="G113" s="107" t="s">
        <v>189</v>
      </c>
      <c r="H113" s="6">
        <v>200</v>
      </c>
      <c r="I113" s="6">
        <v>200</v>
      </c>
      <c r="J113" s="102"/>
      <c r="K113" s="104"/>
      <c r="L113" s="105">
        <v>20201118</v>
      </c>
    </row>
    <row r="114" ht="16" customHeight="1" spans="1:12">
      <c r="A114" s="102">
        <v>112</v>
      </c>
      <c r="B114" s="102" t="s">
        <v>15406</v>
      </c>
      <c r="C114" s="6" t="s">
        <v>15616</v>
      </c>
      <c r="D114" s="293" t="s">
        <v>15617</v>
      </c>
      <c r="E114" s="5" t="s">
        <v>15</v>
      </c>
      <c r="F114" s="5">
        <v>2020</v>
      </c>
      <c r="G114" s="107" t="s">
        <v>189</v>
      </c>
      <c r="H114" s="6">
        <v>200</v>
      </c>
      <c r="I114" s="6">
        <v>200</v>
      </c>
      <c r="J114" s="102"/>
      <c r="K114" s="104"/>
      <c r="L114" s="105">
        <v>20201118</v>
      </c>
    </row>
    <row r="115" ht="16" customHeight="1" spans="1:12">
      <c r="A115" s="102">
        <v>113</v>
      </c>
      <c r="B115" s="102" t="s">
        <v>15406</v>
      </c>
      <c r="C115" s="6" t="s">
        <v>2200</v>
      </c>
      <c r="D115" s="293" t="s">
        <v>15618</v>
      </c>
      <c r="E115" s="5" t="s">
        <v>1047</v>
      </c>
      <c r="F115" s="5">
        <v>2020</v>
      </c>
      <c r="G115" s="93" t="s">
        <v>289</v>
      </c>
      <c r="H115" s="6">
        <v>200</v>
      </c>
      <c r="I115" s="6">
        <v>400</v>
      </c>
      <c r="J115" s="102"/>
      <c r="K115" s="104"/>
      <c r="L115" s="105">
        <v>20201118</v>
      </c>
    </row>
    <row r="116" ht="16" customHeight="1" spans="1:12">
      <c r="A116" s="102">
        <v>114</v>
      </c>
      <c r="B116" s="102" t="s">
        <v>15406</v>
      </c>
      <c r="C116" s="6" t="s">
        <v>15619</v>
      </c>
      <c r="D116" s="293" t="s">
        <v>15620</v>
      </c>
      <c r="E116" s="5" t="s">
        <v>1047</v>
      </c>
      <c r="F116" s="5">
        <v>2020</v>
      </c>
      <c r="G116" s="93" t="s">
        <v>289</v>
      </c>
      <c r="H116" s="6">
        <v>200</v>
      </c>
      <c r="I116" s="6">
        <v>400</v>
      </c>
      <c r="J116" s="102"/>
      <c r="K116" s="104"/>
      <c r="L116" s="105">
        <v>20201118</v>
      </c>
    </row>
    <row r="117" ht="16" customHeight="1" spans="1:12">
      <c r="A117" s="102">
        <v>115</v>
      </c>
      <c r="B117" s="102" t="s">
        <v>15406</v>
      </c>
      <c r="C117" s="6" t="s">
        <v>15621</v>
      </c>
      <c r="D117" s="293" t="s">
        <v>15622</v>
      </c>
      <c r="E117" s="5" t="s">
        <v>1047</v>
      </c>
      <c r="F117" s="5">
        <v>2020</v>
      </c>
      <c r="G117" s="93" t="s">
        <v>289</v>
      </c>
      <c r="H117" s="6">
        <v>200</v>
      </c>
      <c r="I117" s="6">
        <v>400</v>
      </c>
      <c r="J117" s="102"/>
      <c r="K117" s="104"/>
      <c r="L117" s="105">
        <v>20201118</v>
      </c>
    </row>
    <row r="118" ht="16" customHeight="1" spans="1:12">
      <c r="A118" s="102">
        <v>116</v>
      </c>
      <c r="B118" s="102" t="s">
        <v>15406</v>
      </c>
      <c r="C118" s="6" t="s">
        <v>15623</v>
      </c>
      <c r="D118" s="293" t="s">
        <v>15624</v>
      </c>
      <c r="E118" s="5" t="s">
        <v>288</v>
      </c>
      <c r="F118" s="5">
        <v>2020</v>
      </c>
      <c r="G118" s="93" t="s">
        <v>289</v>
      </c>
      <c r="H118" s="6">
        <v>200</v>
      </c>
      <c r="I118" s="6">
        <v>800</v>
      </c>
      <c r="J118" s="102"/>
      <c r="K118" s="104"/>
      <c r="L118" s="105">
        <v>20201118</v>
      </c>
    </row>
    <row r="119" ht="16" customHeight="1" spans="1:12">
      <c r="A119" s="102">
        <v>117</v>
      </c>
      <c r="B119" s="102" t="s">
        <v>15406</v>
      </c>
      <c r="C119" s="6" t="s">
        <v>15625</v>
      </c>
      <c r="D119" s="293" t="s">
        <v>15626</v>
      </c>
      <c r="E119" s="5" t="s">
        <v>2472</v>
      </c>
      <c r="F119" s="5">
        <v>2020</v>
      </c>
      <c r="G119" s="93" t="s">
        <v>289</v>
      </c>
      <c r="H119" s="6">
        <v>200</v>
      </c>
      <c r="I119" s="6">
        <v>1200</v>
      </c>
      <c r="J119" s="102"/>
      <c r="K119" s="104"/>
      <c r="L119" s="105">
        <v>20201118</v>
      </c>
    </row>
    <row r="120" ht="16" customHeight="1" spans="1:12">
      <c r="A120" s="102">
        <v>118</v>
      </c>
      <c r="B120" s="102" t="s">
        <v>15406</v>
      </c>
      <c r="C120" s="6" t="s">
        <v>15627</v>
      </c>
      <c r="D120" s="293" t="s">
        <v>15628</v>
      </c>
      <c r="E120" s="5" t="s">
        <v>288</v>
      </c>
      <c r="F120" s="5">
        <v>2020</v>
      </c>
      <c r="G120" s="93" t="s">
        <v>289</v>
      </c>
      <c r="H120" s="6">
        <v>200</v>
      </c>
      <c r="I120" s="6">
        <v>800</v>
      </c>
      <c r="J120" s="102"/>
      <c r="K120" s="104"/>
      <c r="L120" s="105">
        <v>20201118</v>
      </c>
    </row>
    <row r="121" ht="16" customHeight="1" spans="1:12">
      <c r="A121" s="102">
        <v>119</v>
      </c>
      <c r="B121" s="102" t="s">
        <v>15406</v>
      </c>
      <c r="C121" s="6" t="s">
        <v>15629</v>
      </c>
      <c r="D121" s="293" t="s">
        <v>15630</v>
      </c>
      <c r="E121" s="5" t="s">
        <v>292</v>
      </c>
      <c r="F121" s="5">
        <v>2020</v>
      </c>
      <c r="G121" s="93" t="s">
        <v>289</v>
      </c>
      <c r="H121" s="6">
        <v>200</v>
      </c>
      <c r="I121" s="6">
        <v>1000</v>
      </c>
      <c r="J121" s="102"/>
      <c r="K121" s="104"/>
      <c r="L121" s="105">
        <v>20201118</v>
      </c>
    </row>
    <row r="122" ht="16" customHeight="1" spans="1:12">
      <c r="A122" s="102">
        <v>120</v>
      </c>
      <c r="B122" s="102" t="s">
        <v>15406</v>
      </c>
      <c r="C122" s="6" t="s">
        <v>15631</v>
      </c>
      <c r="D122" s="293" t="s">
        <v>15632</v>
      </c>
      <c r="E122" s="5" t="s">
        <v>288</v>
      </c>
      <c r="F122" s="5">
        <v>2020</v>
      </c>
      <c r="G122" s="93" t="s">
        <v>289</v>
      </c>
      <c r="H122" s="6">
        <v>200</v>
      </c>
      <c r="I122" s="6">
        <v>800</v>
      </c>
      <c r="J122" s="102"/>
      <c r="K122" s="104"/>
      <c r="L122" s="105">
        <v>20201118</v>
      </c>
    </row>
    <row r="123" s="98" customFormat="1" ht="16" customHeight="1" spans="1:12">
      <c r="A123" s="102">
        <v>121</v>
      </c>
      <c r="B123" s="5" t="s">
        <v>15406</v>
      </c>
      <c r="C123" s="9" t="s">
        <v>15633</v>
      </c>
      <c r="D123" s="9" t="s">
        <v>15634</v>
      </c>
      <c r="E123" s="5" t="s">
        <v>310</v>
      </c>
      <c r="F123" s="5">
        <v>2020</v>
      </c>
      <c r="G123" s="93" t="s">
        <v>15635</v>
      </c>
      <c r="H123" s="9" t="s">
        <v>1700</v>
      </c>
      <c r="I123" s="5">
        <v>3000</v>
      </c>
      <c r="J123" s="5"/>
      <c r="K123" s="10"/>
      <c r="L123" s="105">
        <v>20201118</v>
      </c>
    </row>
    <row r="124" spans="1:12">
      <c r="A124" s="108"/>
      <c r="B124" s="108"/>
      <c r="C124" s="108"/>
      <c r="D124" s="108"/>
      <c r="E124" s="108"/>
      <c r="F124" s="108"/>
      <c r="G124" s="108"/>
      <c r="H124" s="108"/>
      <c r="I124" s="105">
        <v>48600</v>
      </c>
      <c r="J124" s="108"/>
      <c r="K124" s="108"/>
      <c r="L124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228"/>
  <sheetViews>
    <sheetView workbookViewId="0">
      <selection activeCell="N19" sqref="N19"/>
    </sheetView>
  </sheetViews>
  <sheetFormatPr defaultColWidth="9" defaultRowHeight="13.5"/>
  <cols>
    <col min="1" max="1" width="9.375" style="1" customWidth="1"/>
    <col min="2" max="2" width="14.625" style="1" customWidth="1"/>
    <col min="3" max="3" width="15" style="1" customWidth="1"/>
    <col min="4" max="4" width="22.875" style="1" customWidth="1"/>
    <col min="5" max="6" width="5.375" style="1" customWidth="1"/>
    <col min="7" max="7" width="13.75" style="1" customWidth="1"/>
    <col min="8" max="10" width="8.125" style="1" customWidth="1"/>
    <col min="11" max="11" width="5.125" style="1" customWidth="1"/>
    <col min="12" max="12" width="9.375" style="1" customWidth="1"/>
    <col min="13" max="16384" width="9" style="1"/>
  </cols>
  <sheetData>
    <row r="1" s="1" customFormat="1" ht="27" spans="1:13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/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10" t="s">
        <v>11</v>
      </c>
      <c r="M1" s="36" t="s">
        <v>15636</v>
      </c>
    </row>
    <row r="2" s="1" customFormat="1" ht="16" customHeight="1" spans="1:13">
      <c r="A2" s="2">
        <v>6505</v>
      </c>
      <c r="B2" s="3" t="s">
        <v>12263</v>
      </c>
      <c r="C2" s="3" t="s">
        <v>13012</v>
      </c>
      <c r="D2" s="4" t="s">
        <v>13013</v>
      </c>
      <c r="E2" s="4" t="s">
        <v>6651</v>
      </c>
      <c r="F2" s="5" t="s">
        <v>2472</v>
      </c>
      <c r="G2" s="3" t="s">
        <v>289</v>
      </c>
      <c r="H2" s="4" t="s">
        <v>311</v>
      </c>
      <c r="I2" s="37">
        <v>400</v>
      </c>
      <c r="J2" s="5"/>
      <c r="K2" s="5"/>
      <c r="L2" s="10">
        <v>20200814</v>
      </c>
      <c r="M2" s="36" t="str">
        <f t="shared" ref="M2:M65" si="0">MID(D2,7,8)</f>
        <v>19570810</v>
      </c>
    </row>
    <row r="3" s="1" customFormat="1" ht="16" customHeight="1" spans="1:13">
      <c r="A3" s="2">
        <v>6507</v>
      </c>
      <c r="B3" s="3" t="s">
        <v>12263</v>
      </c>
      <c r="C3" s="3" t="s">
        <v>13015</v>
      </c>
      <c r="D3" s="4" t="s">
        <v>13016</v>
      </c>
      <c r="E3" s="4" t="s">
        <v>2472</v>
      </c>
      <c r="F3" s="5" t="s">
        <v>2472</v>
      </c>
      <c r="G3" s="3" t="s">
        <v>289</v>
      </c>
      <c r="H3" s="4" t="s">
        <v>311</v>
      </c>
      <c r="I3" s="37">
        <v>200</v>
      </c>
      <c r="J3" s="5"/>
      <c r="K3" s="5"/>
      <c r="L3" s="10">
        <v>20200814</v>
      </c>
      <c r="M3" s="36" t="str">
        <f t="shared" si="0"/>
        <v>19570815</v>
      </c>
    </row>
    <row r="4" s="1" customFormat="1" ht="16" customHeight="1" spans="1:13">
      <c r="A4" s="2">
        <v>1811</v>
      </c>
      <c r="B4" s="6" t="s">
        <v>3381</v>
      </c>
      <c r="C4" s="6" t="s">
        <v>4185</v>
      </c>
      <c r="D4" s="293" t="s">
        <v>4186</v>
      </c>
      <c r="E4" s="5" t="s">
        <v>310</v>
      </c>
      <c r="F4" s="5" t="s">
        <v>292</v>
      </c>
      <c r="G4" s="5" t="s">
        <v>289</v>
      </c>
      <c r="H4" s="6" t="s">
        <v>311</v>
      </c>
      <c r="I4" s="38">
        <v>1200</v>
      </c>
      <c r="J4" s="39"/>
      <c r="K4" s="39"/>
      <c r="L4" s="10">
        <v>20200814</v>
      </c>
      <c r="M4" s="36" t="str">
        <f t="shared" si="0"/>
        <v>19571210</v>
      </c>
    </row>
    <row r="5" s="1" customFormat="1" ht="16" customHeight="1" spans="1:13">
      <c r="A5" s="2">
        <v>6486</v>
      </c>
      <c r="B5" s="5" t="s">
        <v>12263</v>
      </c>
      <c r="C5" s="5" t="s">
        <v>12975</v>
      </c>
      <c r="D5" s="5" t="s">
        <v>12976</v>
      </c>
      <c r="E5" s="5" t="s">
        <v>2472</v>
      </c>
      <c r="F5" s="5">
        <v>2015</v>
      </c>
      <c r="G5" s="5" t="s">
        <v>289</v>
      </c>
      <c r="H5" s="5">
        <v>200</v>
      </c>
      <c r="I5" s="5">
        <v>200</v>
      </c>
      <c r="J5" s="5"/>
      <c r="K5" s="5"/>
      <c r="L5" s="10">
        <v>20201118</v>
      </c>
      <c r="M5" s="36" t="str">
        <f t="shared" si="0"/>
        <v>19580101</v>
      </c>
    </row>
    <row r="6" s="1" customFormat="1" ht="16" customHeight="1" spans="1:13">
      <c r="A6" s="2">
        <v>6508</v>
      </c>
      <c r="B6" s="3" t="s">
        <v>12263</v>
      </c>
      <c r="C6" s="3" t="s">
        <v>13017</v>
      </c>
      <c r="D6" s="4" t="s">
        <v>13018</v>
      </c>
      <c r="E6" s="4" t="s">
        <v>2472</v>
      </c>
      <c r="F6" s="5" t="s">
        <v>2472</v>
      </c>
      <c r="G6" s="3" t="s">
        <v>289</v>
      </c>
      <c r="H6" s="4" t="s">
        <v>311</v>
      </c>
      <c r="I6" s="37">
        <v>200</v>
      </c>
      <c r="J6" s="5"/>
      <c r="K6" s="5"/>
      <c r="L6" s="10">
        <v>20200814</v>
      </c>
      <c r="M6" s="36" t="str">
        <f t="shared" si="0"/>
        <v>19580116</v>
      </c>
    </row>
    <row r="7" s="1" customFormat="1" ht="16" customHeight="1" spans="1:13">
      <c r="A7" s="2">
        <v>3255</v>
      </c>
      <c r="B7" s="3" t="s">
        <v>6671</v>
      </c>
      <c r="C7" s="7" t="s">
        <v>7012</v>
      </c>
      <c r="D7" s="8" t="s">
        <v>7013</v>
      </c>
      <c r="E7" s="3" t="s">
        <v>310</v>
      </c>
      <c r="F7" s="3" t="s">
        <v>288</v>
      </c>
      <c r="G7" s="6" t="s">
        <v>7014</v>
      </c>
      <c r="H7" s="9">
        <v>200</v>
      </c>
      <c r="I7" s="9">
        <v>1400</v>
      </c>
      <c r="J7" s="6"/>
      <c r="K7" s="5"/>
      <c r="L7" s="10">
        <v>20201118</v>
      </c>
      <c r="M7" s="36" t="str">
        <f t="shared" si="0"/>
        <v>19580207</v>
      </c>
    </row>
    <row r="8" s="1" customFormat="1" ht="16" customHeight="1" spans="1:13">
      <c r="A8" s="2">
        <v>145</v>
      </c>
      <c r="B8" s="4" t="s">
        <v>317</v>
      </c>
      <c r="C8" s="4" t="s">
        <v>318</v>
      </c>
      <c r="D8" s="4" t="s">
        <v>319</v>
      </c>
      <c r="E8" s="10">
        <v>2013</v>
      </c>
      <c r="F8" s="4" t="s">
        <v>320</v>
      </c>
      <c r="G8" s="3" t="s">
        <v>289</v>
      </c>
      <c r="H8" s="4" t="s">
        <v>311</v>
      </c>
      <c r="I8" s="37">
        <v>200</v>
      </c>
      <c r="J8" s="40"/>
      <c r="K8" s="6"/>
      <c r="L8" s="4" t="s">
        <v>321</v>
      </c>
      <c r="M8" s="36" t="str">
        <f t="shared" si="0"/>
        <v>19580210</v>
      </c>
    </row>
    <row r="9" s="1" customFormat="1" ht="16" customHeight="1" spans="1:13">
      <c r="A9" s="2">
        <v>3256</v>
      </c>
      <c r="B9" s="3" t="s">
        <v>6671</v>
      </c>
      <c r="C9" s="11" t="s">
        <v>7015</v>
      </c>
      <c r="D9" s="295" t="s">
        <v>7016</v>
      </c>
      <c r="E9" s="6" t="s">
        <v>310</v>
      </c>
      <c r="F9" s="6" t="s">
        <v>288</v>
      </c>
      <c r="G9" s="6" t="s">
        <v>289</v>
      </c>
      <c r="H9" s="9">
        <v>200</v>
      </c>
      <c r="I9" s="6">
        <v>1400</v>
      </c>
      <c r="J9" s="6"/>
      <c r="K9" s="39"/>
      <c r="L9" s="10">
        <v>20201118</v>
      </c>
      <c r="M9" s="36" t="str">
        <f t="shared" si="0"/>
        <v>19580225</v>
      </c>
    </row>
    <row r="10" s="1" customFormat="1" ht="16" customHeight="1" spans="1:13">
      <c r="A10" s="2">
        <v>6475</v>
      </c>
      <c r="B10" s="5" t="s">
        <v>12263</v>
      </c>
      <c r="C10" s="5" t="s">
        <v>12953</v>
      </c>
      <c r="D10" s="5" t="s">
        <v>12954</v>
      </c>
      <c r="E10" s="5" t="s">
        <v>6651</v>
      </c>
      <c r="F10" s="5">
        <v>2017</v>
      </c>
      <c r="G10" s="5" t="s">
        <v>289</v>
      </c>
      <c r="H10" s="5" t="s">
        <v>311</v>
      </c>
      <c r="I10" s="5">
        <v>800</v>
      </c>
      <c r="J10" s="5"/>
      <c r="K10" s="5"/>
      <c r="L10" s="10">
        <v>20201118</v>
      </c>
      <c r="M10" s="36" t="str">
        <f t="shared" si="0"/>
        <v>19580424</v>
      </c>
    </row>
    <row r="11" s="1" customFormat="1" ht="16" customHeight="1" spans="1:13">
      <c r="A11" s="2">
        <v>1810</v>
      </c>
      <c r="B11" s="6" t="s">
        <v>3381</v>
      </c>
      <c r="C11" s="6" t="s">
        <v>4182</v>
      </c>
      <c r="D11" s="6" t="s">
        <v>4183</v>
      </c>
      <c r="E11" s="5" t="s">
        <v>310</v>
      </c>
      <c r="F11" s="5" t="s">
        <v>4184</v>
      </c>
      <c r="G11" s="5" t="s">
        <v>289</v>
      </c>
      <c r="H11" s="3" t="s">
        <v>311</v>
      </c>
      <c r="I11" s="38">
        <v>1600</v>
      </c>
      <c r="J11" s="39"/>
      <c r="K11" s="39"/>
      <c r="L11" s="10">
        <v>20200814</v>
      </c>
      <c r="M11" s="36" t="str">
        <f t="shared" si="0"/>
        <v>19580529</v>
      </c>
    </row>
    <row r="12" s="1" customFormat="1" ht="16" customHeight="1" spans="1:13">
      <c r="A12" s="2">
        <v>144</v>
      </c>
      <c r="B12" s="3" t="s">
        <v>12</v>
      </c>
      <c r="C12" s="3" t="s">
        <v>308</v>
      </c>
      <c r="D12" s="3" t="s">
        <v>309</v>
      </c>
      <c r="E12" s="3" t="s">
        <v>310</v>
      </c>
      <c r="F12" s="3" t="s">
        <v>288</v>
      </c>
      <c r="G12" s="3" t="s">
        <v>289</v>
      </c>
      <c r="H12" s="3" t="s">
        <v>311</v>
      </c>
      <c r="I12" s="3">
        <v>1400</v>
      </c>
      <c r="J12" s="3"/>
      <c r="K12" s="3"/>
      <c r="L12" s="10">
        <v>20201118</v>
      </c>
      <c r="M12" s="36" t="str">
        <f t="shared" si="0"/>
        <v>19580820</v>
      </c>
    </row>
    <row r="13" s="1" customFormat="1" ht="16" customHeight="1" spans="1:13">
      <c r="A13" s="2">
        <v>4153</v>
      </c>
      <c r="B13" s="5" t="s">
        <v>7412</v>
      </c>
      <c r="C13" s="5" t="s">
        <v>8511</v>
      </c>
      <c r="D13" s="296" t="s">
        <v>8512</v>
      </c>
      <c r="E13" s="6">
        <v>2011</v>
      </c>
      <c r="F13" s="6">
        <v>2020</v>
      </c>
      <c r="G13" s="5" t="s">
        <v>6642</v>
      </c>
      <c r="H13" s="5">
        <v>200</v>
      </c>
      <c r="I13" s="5">
        <v>2000</v>
      </c>
      <c r="J13" s="5"/>
      <c r="K13" s="5"/>
      <c r="L13" s="10">
        <v>20201118</v>
      </c>
      <c r="M13" s="36" t="str">
        <f t="shared" si="0"/>
        <v>19590110</v>
      </c>
    </row>
    <row r="14" s="1" customFormat="1" ht="16" customHeight="1" spans="1:13">
      <c r="A14" s="2">
        <v>6504</v>
      </c>
      <c r="B14" s="3" t="s">
        <v>12263</v>
      </c>
      <c r="C14" s="3" t="s">
        <v>13010</v>
      </c>
      <c r="D14" s="4" t="s">
        <v>13011</v>
      </c>
      <c r="E14" s="4" t="s">
        <v>2472</v>
      </c>
      <c r="F14" s="5" t="s">
        <v>292</v>
      </c>
      <c r="G14" s="3" t="s">
        <v>289</v>
      </c>
      <c r="H14" s="4">
        <v>200</v>
      </c>
      <c r="I14" s="4">
        <v>400</v>
      </c>
      <c r="J14" s="5"/>
      <c r="K14" s="5"/>
      <c r="L14" s="10">
        <v>20200814</v>
      </c>
      <c r="M14" s="36" t="str">
        <f t="shared" si="0"/>
        <v>19590310</v>
      </c>
    </row>
    <row r="15" s="1" customFormat="1" ht="16" customHeight="1" spans="1:13">
      <c r="A15" s="2">
        <v>6477</v>
      </c>
      <c r="B15" s="5" t="s">
        <v>12263</v>
      </c>
      <c r="C15" s="5" t="s">
        <v>12957</v>
      </c>
      <c r="D15" s="5" t="s">
        <v>12958</v>
      </c>
      <c r="E15" s="5" t="s">
        <v>2472</v>
      </c>
      <c r="F15" s="5">
        <v>2016</v>
      </c>
      <c r="G15" s="5" t="s">
        <v>289</v>
      </c>
      <c r="H15" s="5" t="s">
        <v>311</v>
      </c>
      <c r="I15" s="5">
        <v>400</v>
      </c>
      <c r="J15" s="5"/>
      <c r="K15" s="5"/>
      <c r="L15" s="10">
        <v>20201118</v>
      </c>
      <c r="M15" s="36" t="str">
        <f t="shared" si="0"/>
        <v>19590506</v>
      </c>
    </row>
    <row r="16" s="1" customFormat="1" ht="16" customHeight="1" spans="1:13">
      <c r="A16" s="2">
        <v>3257</v>
      </c>
      <c r="B16" s="3" t="s">
        <v>6671</v>
      </c>
      <c r="C16" s="11" t="s">
        <v>7017</v>
      </c>
      <c r="D16" s="295" t="s">
        <v>7018</v>
      </c>
      <c r="E16" s="6" t="s">
        <v>310</v>
      </c>
      <c r="F16" s="6" t="s">
        <v>4184</v>
      </c>
      <c r="G16" s="6" t="s">
        <v>289</v>
      </c>
      <c r="H16" s="9">
        <v>200</v>
      </c>
      <c r="I16" s="6">
        <v>1600</v>
      </c>
      <c r="J16" s="6"/>
      <c r="K16" s="39"/>
      <c r="L16" s="10">
        <v>20201118</v>
      </c>
      <c r="M16" s="36" t="str">
        <f t="shared" si="0"/>
        <v>19590604</v>
      </c>
    </row>
    <row r="17" s="1" customFormat="1" ht="16" customHeight="1" spans="1:13">
      <c r="A17" s="2">
        <v>941</v>
      </c>
      <c r="B17" s="13" t="s">
        <v>2469</v>
      </c>
      <c r="C17" s="13" t="s">
        <v>2473</v>
      </c>
      <c r="D17" s="5" t="s">
        <v>2474</v>
      </c>
      <c r="E17" s="2" t="s">
        <v>288</v>
      </c>
      <c r="F17" s="2" t="s">
        <v>1047</v>
      </c>
      <c r="G17" s="2" t="s">
        <v>289</v>
      </c>
      <c r="H17" s="2" t="s">
        <v>311</v>
      </c>
      <c r="I17" s="41">
        <v>600</v>
      </c>
      <c r="J17" s="2"/>
      <c r="K17" s="10"/>
      <c r="L17" s="10">
        <v>20201224</v>
      </c>
      <c r="M17" s="36" t="str">
        <f t="shared" si="0"/>
        <v>19591210</v>
      </c>
    </row>
    <row r="18" s="1" customFormat="1" ht="16" customHeight="1" spans="1:13">
      <c r="A18" s="2">
        <v>2532</v>
      </c>
      <c r="B18" s="5" t="s">
        <v>5328</v>
      </c>
      <c r="C18" s="6" t="s">
        <v>5598</v>
      </c>
      <c r="D18" s="6" t="s">
        <v>5599</v>
      </c>
      <c r="E18" s="5" t="s">
        <v>310</v>
      </c>
      <c r="F18" s="5" t="s">
        <v>15</v>
      </c>
      <c r="G18" s="14" t="s">
        <v>289</v>
      </c>
      <c r="H18" s="3" t="s">
        <v>311</v>
      </c>
      <c r="I18" s="42">
        <v>2000</v>
      </c>
      <c r="J18" s="39"/>
      <c r="K18" s="39"/>
      <c r="L18" s="10">
        <v>20200814</v>
      </c>
      <c r="M18" s="36" t="str">
        <f t="shared" si="0"/>
        <v>19600123</v>
      </c>
    </row>
    <row r="19" s="1" customFormat="1" ht="16" customHeight="1" spans="1:13">
      <c r="A19" s="2">
        <v>6784</v>
      </c>
      <c r="B19" s="5" t="s">
        <v>13027</v>
      </c>
      <c r="C19" s="5" t="s">
        <v>13529</v>
      </c>
      <c r="D19" s="5" t="s">
        <v>13530</v>
      </c>
      <c r="E19" s="5">
        <v>2011</v>
      </c>
      <c r="F19" s="5">
        <v>2020</v>
      </c>
      <c r="G19" s="14" t="s">
        <v>13526</v>
      </c>
      <c r="H19" s="15">
        <v>200</v>
      </c>
      <c r="I19" s="15">
        <v>1800</v>
      </c>
      <c r="J19" s="5"/>
      <c r="K19" s="10"/>
      <c r="L19" s="10">
        <v>20201118</v>
      </c>
      <c r="M19" s="36" t="str">
        <f t="shared" si="0"/>
        <v>19600129</v>
      </c>
    </row>
    <row r="20" s="1" customFormat="1" ht="16" customHeight="1" spans="1:13">
      <c r="A20" s="2">
        <v>6783</v>
      </c>
      <c r="B20" s="5" t="s">
        <v>13027</v>
      </c>
      <c r="C20" s="15" t="s">
        <v>13527</v>
      </c>
      <c r="D20" s="16" t="s">
        <v>13528</v>
      </c>
      <c r="E20" s="5">
        <v>2011</v>
      </c>
      <c r="F20" s="5">
        <v>2020</v>
      </c>
      <c r="G20" s="14" t="s">
        <v>13526</v>
      </c>
      <c r="H20" s="15">
        <v>200</v>
      </c>
      <c r="I20" s="15">
        <v>1800</v>
      </c>
      <c r="J20" s="5"/>
      <c r="K20" s="10"/>
      <c r="L20" s="10">
        <v>20201118</v>
      </c>
      <c r="M20" s="36" t="str">
        <f t="shared" si="0"/>
        <v>19600205</v>
      </c>
    </row>
    <row r="21" s="1" customFormat="1" ht="16" customHeight="1" spans="1:13">
      <c r="A21" s="2">
        <v>3258</v>
      </c>
      <c r="B21" s="3" t="s">
        <v>6671</v>
      </c>
      <c r="C21" s="5" t="s">
        <v>7019</v>
      </c>
      <c r="D21" s="296" t="s">
        <v>7020</v>
      </c>
      <c r="E21" s="5" t="s">
        <v>310</v>
      </c>
      <c r="F21" s="6" t="s">
        <v>1047</v>
      </c>
      <c r="G21" s="6" t="s">
        <v>289</v>
      </c>
      <c r="H21" s="5">
        <v>200</v>
      </c>
      <c r="I21" s="5">
        <v>1800</v>
      </c>
      <c r="J21" s="6"/>
      <c r="K21" s="39"/>
      <c r="L21" s="10">
        <v>20201118</v>
      </c>
      <c r="M21" s="36" t="str">
        <f t="shared" si="0"/>
        <v>19600218</v>
      </c>
    </row>
    <row r="22" s="1" customFormat="1" ht="16" customHeight="1" spans="1:13">
      <c r="A22" s="2">
        <v>383</v>
      </c>
      <c r="B22" s="14" t="s">
        <v>327</v>
      </c>
      <c r="C22" s="3" t="s">
        <v>1036</v>
      </c>
      <c r="D22" s="315" t="s">
        <v>1037</v>
      </c>
      <c r="E22" s="5">
        <v>2011</v>
      </c>
      <c r="F22" s="5">
        <v>2019</v>
      </c>
      <c r="G22" s="17" t="s">
        <v>1007</v>
      </c>
      <c r="H22" s="3">
        <v>200</v>
      </c>
      <c r="I22" s="3">
        <v>1800</v>
      </c>
      <c r="J22" s="3" t="s">
        <v>1038</v>
      </c>
      <c r="K22" s="3"/>
      <c r="L22" s="2" t="s">
        <v>330</v>
      </c>
      <c r="M22" s="36" t="str">
        <f t="shared" si="0"/>
        <v>19600229</v>
      </c>
    </row>
    <row r="23" s="1" customFormat="1" ht="16" customHeight="1" spans="1:13">
      <c r="A23" s="2">
        <v>1787</v>
      </c>
      <c r="B23" s="5" t="s">
        <v>3381</v>
      </c>
      <c r="C23" s="9" t="s">
        <v>4136</v>
      </c>
      <c r="D23" s="9" t="s">
        <v>4137</v>
      </c>
      <c r="E23" s="5">
        <v>2011</v>
      </c>
      <c r="F23" s="5">
        <v>2020</v>
      </c>
      <c r="G23" s="14" t="s">
        <v>289</v>
      </c>
      <c r="H23" s="18">
        <v>200</v>
      </c>
      <c r="I23" s="6">
        <v>200</v>
      </c>
      <c r="J23" s="5"/>
      <c r="K23" s="13"/>
      <c r="L23" s="10">
        <v>20201118</v>
      </c>
      <c r="M23" s="36" t="str">
        <f t="shared" si="0"/>
        <v>19600301</v>
      </c>
    </row>
    <row r="24" s="1" customFormat="1" ht="16" customHeight="1" spans="1:13">
      <c r="A24" s="2">
        <v>1808</v>
      </c>
      <c r="B24" s="5" t="s">
        <v>3381</v>
      </c>
      <c r="C24" s="13" t="s">
        <v>4136</v>
      </c>
      <c r="D24" s="5" t="s">
        <v>4137</v>
      </c>
      <c r="E24" s="5" t="s">
        <v>4179</v>
      </c>
      <c r="F24" s="5" t="s">
        <v>4179</v>
      </c>
      <c r="G24" s="5" t="s">
        <v>289</v>
      </c>
      <c r="H24" s="5" t="s">
        <v>311</v>
      </c>
      <c r="I24" s="43">
        <v>200</v>
      </c>
      <c r="J24" s="39"/>
      <c r="K24" s="39"/>
      <c r="L24" s="10">
        <v>20201224</v>
      </c>
      <c r="M24" s="36" t="str">
        <f t="shared" si="0"/>
        <v>19600301</v>
      </c>
    </row>
    <row r="25" s="1" customFormat="1" ht="16" customHeight="1" spans="1:13">
      <c r="A25" s="2">
        <v>2772</v>
      </c>
      <c r="B25" s="6" t="s">
        <v>6071</v>
      </c>
      <c r="C25" s="6" t="s">
        <v>6072</v>
      </c>
      <c r="D25" s="6" t="s">
        <v>6073</v>
      </c>
      <c r="E25" s="10">
        <v>2011</v>
      </c>
      <c r="F25" s="10">
        <v>2018</v>
      </c>
      <c r="G25" s="19" t="s">
        <v>289</v>
      </c>
      <c r="H25" s="3" t="s">
        <v>311</v>
      </c>
      <c r="I25" s="42">
        <v>1600</v>
      </c>
      <c r="J25" s="40"/>
      <c r="K25" s="40"/>
      <c r="L25" s="10">
        <v>20200814</v>
      </c>
      <c r="M25" s="36" t="str">
        <f t="shared" si="0"/>
        <v>19600308</v>
      </c>
    </row>
    <row r="26" s="1" customFormat="1" ht="16" customHeight="1" spans="1:13">
      <c r="A26" s="2">
        <v>3259</v>
      </c>
      <c r="B26" s="3" t="s">
        <v>6671</v>
      </c>
      <c r="C26" s="6" t="s">
        <v>7021</v>
      </c>
      <c r="D26" s="20" t="s">
        <v>7022</v>
      </c>
      <c r="E26" s="6" t="s">
        <v>310</v>
      </c>
      <c r="F26" s="5" t="s">
        <v>1047</v>
      </c>
      <c r="G26" s="6" t="s">
        <v>289</v>
      </c>
      <c r="H26" s="6" t="s">
        <v>311</v>
      </c>
      <c r="I26" s="6">
        <v>1800</v>
      </c>
      <c r="J26" s="5"/>
      <c r="K26" s="39"/>
      <c r="L26" s="10">
        <v>20201118</v>
      </c>
      <c r="M26" s="36" t="str">
        <f t="shared" si="0"/>
        <v>19600420</v>
      </c>
    </row>
    <row r="27" s="1" customFormat="1" ht="16" customHeight="1" spans="1:13">
      <c r="A27" s="2">
        <v>940</v>
      </c>
      <c r="B27" s="13" t="s">
        <v>2469</v>
      </c>
      <c r="C27" s="3" t="s">
        <v>2470</v>
      </c>
      <c r="D27" s="4" t="s">
        <v>2471</v>
      </c>
      <c r="E27" s="2" t="s">
        <v>320</v>
      </c>
      <c r="F27" s="2" t="s">
        <v>2472</v>
      </c>
      <c r="G27" s="2" t="s">
        <v>289</v>
      </c>
      <c r="H27" s="2" t="s">
        <v>311</v>
      </c>
      <c r="I27" s="41">
        <v>600</v>
      </c>
      <c r="J27" s="2"/>
      <c r="K27" s="10"/>
      <c r="L27" s="10">
        <v>20200814</v>
      </c>
      <c r="M27" s="36" t="str">
        <f t="shared" si="0"/>
        <v>19600506</v>
      </c>
    </row>
    <row r="28" s="1" customFormat="1" ht="16" customHeight="1" spans="1:13">
      <c r="A28" s="2">
        <v>3570</v>
      </c>
      <c r="B28" s="5" t="s">
        <v>3375</v>
      </c>
      <c r="C28" s="9" t="s">
        <v>7408</v>
      </c>
      <c r="D28" s="9" t="s">
        <v>7409</v>
      </c>
      <c r="E28" s="4" t="s">
        <v>310</v>
      </c>
      <c r="F28" s="10">
        <v>2011</v>
      </c>
      <c r="G28" s="3" t="s">
        <v>289</v>
      </c>
      <c r="H28" s="4" t="s">
        <v>311</v>
      </c>
      <c r="I28" s="37">
        <v>200</v>
      </c>
      <c r="J28" s="10"/>
      <c r="K28" s="10"/>
      <c r="L28" s="10">
        <v>20200814</v>
      </c>
      <c r="M28" s="36" t="str">
        <f t="shared" si="0"/>
        <v>19600602</v>
      </c>
    </row>
    <row r="29" s="1" customFormat="1" ht="16" customHeight="1" spans="1:13">
      <c r="A29" s="2">
        <v>6485</v>
      </c>
      <c r="B29" s="5" t="s">
        <v>12263</v>
      </c>
      <c r="C29" s="5" t="s">
        <v>12973</v>
      </c>
      <c r="D29" s="5" t="s">
        <v>12974</v>
      </c>
      <c r="E29" s="5" t="s">
        <v>2472</v>
      </c>
      <c r="F29" s="5">
        <v>2015</v>
      </c>
      <c r="G29" s="5" t="s">
        <v>289</v>
      </c>
      <c r="H29" s="5">
        <v>200</v>
      </c>
      <c r="I29" s="5">
        <v>200</v>
      </c>
      <c r="J29" s="5"/>
      <c r="K29" s="5"/>
      <c r="L29" s="10">
        <v>20201118</v>
      </c>
      <c r="M29" s="36" t="str">
        <f t="shared" si="0"/>
        <v>19600623</v>
      </c>
    </row>
    <row r="30" s="1" customFormat="1" ht="16" customHeight="1" spans="1:13">
      <c r="A30" s="2">
        <v>386</v>
      </c>
      <c r="B30" s="21" t="s">
        <v>1040</v>
      </c>
      <c r="C30" s="21" t="s">
        <v>1045</v>
      </c>
      <c r="D30" s="22" t="s">
        <v>1046</v>
      </c>
      <c r="E30" s="10">
        <v>2011</v>
      </c>
      <c r="F30" s="2" t="s">
        <v>1047</v>
      </c>
      <c r="G30" s="21" t="s">
        <v>1048</v>
      </c>
      <c r="H30" s="21">
        <v>200</v>
      </c>
      <c r="I30" s="21">
        <v>1800</v>
      </c>
      <c r="J30" s="44"/>
      <c r="K30" s="45"/>
      <c r="L30" s="2" t="s">
        <v>325</v>
      </c>
      <c r="M30" s="36" t="str">
        <f t="shared" si="0"/>
        <v>19600908</v>
      </c>
    </row>
    <row r="31" s="1" customFormat="1" ht="16" customHeight="1" spans="1:13">
      <c r="A31" s="2">
        <v>181</v>
      </c>
      <c r="B31" s="14" t="s">
        <v>327</v>
      </c>
      <c r="C31" s="14" t="s">
        <v>431</v>
      </c>
      <c r="D31" s="14" t="s">
        <v>432</v>
      </c>
      <c r="E31" s="5">
        <v>2020</v>
      </c>
      <c r="F31" s="5">
        <v>2020</v>
      </c>
      <c r="G31" s="14" t="s">
        <v>16</v>
      </c>
      <c r="H31" s="14">
        <v>200</v>
      </c>
      <c r="I31" s="14">
        <v>200</v>
      </c>
      <c r="J31" s="14"/>
      <c r="K31" s="10"/>
      <c r="L31" s="2" t="s">
        <v>330</v>
      </c>
      <c r="M31" s="36" t="str">
        <f t="shared" si="0"/>
        <v>19600917</v>
      </c>
    </row>
    <row r="32" s="1" customFormat="1" ht="16" customHeight="1" spans="1:13">
      <c r="A32" s="2">
        <v>6144</v>
      </c>
      <c r="B32" s="5" t="s">
        <v>12263</v>
      </c>
      <c r="C32" s="5" t="s">
        <v>12322</v>
      </c>
      <c r="D32" s="5" t="s">
        <v>12323</v>
      </c>
      <c r="E32" s="5" t="s">
        <v>10250</v>
      </c>
      <c r="F32" s="5">
        <v>2020</v>
      </c>
      <c r="G32" s="17" t="s">
        <v>3359</v>
      </c>
      <c r="H32" s="5">
        <v>200</v>
      </c>
      <c r="I32" s="5">
        <v>200</v>
      </c>
      <c r="J32" s="5"/>
      <c r="K32" s="5"/>
      <c r="L32" s="10">
        <v>20201118</v>
      </c>
      <c r="M32" s="36" t="str">
        <f t="shared" si="0"/>
        <v>19601010</v>
      </c>
    </row>
    <row r="33" s="1" customFormat="1" ht="16" customHeight="1" spans="1:13">
      <c r="A33" s="2">
        <v>7816</v>
      </c>
      <c r="B33" s="5" t="s">
        <v>14875</v>
      </c>
      <c r="C33" s="23" t="s">
        <v>15074</v>
      </c>
      <c r="D33" s="12" t="s">
        <v>15075</v>
      </c>
      <c r="E33" s="6" t="s">
        <v>310</v>
      </c>
      <c r="F33" s="6" t="s">
        <v>1047</v>
      </c>
      <c r="G33" s="24" t="s">
        <v>2460</v>
      </c>
      <c r="H33" s="6">
        <v>700</v>
      </c>
      <c r="I33" s="6">
        <v>6300</v>
      </c>
      <c r="J33" s="6"/>
      <c r="K33" s="10"/>
      <c r="L33" s="10">
        <v>20201118</v>
      </c>
      <c r="M33" s="36" t="str">
        <f t="shared" si="0"/>
        <v>19601016</v>
      </c>
    </row>
    <row r="34" s="1" customFormat="1" ht="16" customHeight="1" spans="1:13">
      <c r="A34" s="2">
        <v>6416</v>
      </c>
      <c r="B34" s="5" t="s">
        <v>12263</v>
      </c>
      <c r="C34" s="5" t="s">
        <v>12839</v>
      </c>
      <c r="D34" s="5" t="s">
        <v>12840</v>
      </c>
      <c r="E34" s="5" t="s">
        <v>10250</v>
      </c>
      <c r="F34" s="5">
        <v>2020</v>
      </c>
      <c r="G34" s="17" t="s">
        <v>3359</v>
      </c>
      <c r="H34" s="5">
        <v>300</v>
      </c>
      <c r="I34" s="5">
        <v>300</v>
      </c>
      <c r="J34" s="5"/>
      <c r="K34" s="5"/>
      <c r="L34" s="10">
        <v>20201118</v>
      </c>
      <c r="M34" s="36" t="str">
        <f t="shared" si="0"/>
        <v>19601017</v>
      </c>
    </row>
    <row r="35" s="1" customFormat="1" ht="16" customHeight="1" spans="1:13">
      <c r="A35" s="2">
        <v>2938</v>
      </c>
      <c r="B35" s="6" t="s">
        <v>6075</v>
      </c>
      <c r="C35" s="25" t="s">
        <v>6403</v>
      </c>
      <c r="D35" s="26" t="s">
        <v>6404</v>
      </c>
      <c r="E35" s="5" t="s">
        <v>15</v>
      </c>
      <c r="F35" s="5">
        <v>2020</v>
      </c>
      <c r="G35" s="6" t="s">
        <v>16</v>
      </c>
      <c r="H35" s="6">
        <v>200</v>
      </c>
      <c r="I35" s="6">
        <v>200</v>
      </c>
      <c r="J35" s="6"/>
      <c r="K35" s="10"/>
      <c r="L35" s="10">
        <v>20201118</v>
      </c>
      <c r="M35" s="36" t="str">
        <f t="shared" si="0"/>
        <v>19601118</v>
      </c>
    </row>
    <row r="36" s="1" customFormat="1" ht="16" customHeight="1" spans="1:13">
      <c r="A36" s="2">
        <v>146</v>
      </c>
      <c r="B36" s="13" t="s">
        <v>317</v>
      </c>
      <c r="C36" s="13" t="s">
        <v>323</v>
      </c>
      <c r="D36" s="316" t="s">
        <v>324</v>
      </c>
      <c r="E36" s="13">
        <v>2013</v>
      </c>
      <c r="F36" s="2" t="s">
        <v>320</v>
      </c>
      <c r="G36" s="3" t="s">
        <v>289</v>
      </c>
      <c r="H36" s="4" t="s">
        <v>311</v>
      </c>
      <c r="I36" s="37">
        <v>200</v>
      </c>
      <c r="J36" s="46"/>
      <c r="K36" s="45"/>
      <c r="L36" s="2" t="s">
        <v>325</v>
      </c>
      <c r="M36" s="36" t="str">
        <f t="shared" si="0"/>
        <v>19601120</v>
      </c>
    </row>
    <row r="37" s="1" customFormat="1" ht="16" customHeight="1" spans="1:13">
      <c r="A37" s="2">
        <v>210</v>
      </c>
      <c r="B37" s="14" t="s">
        <v>327</v>
      </c>
      <c r="C37" s="14" t="s">
        <v>323</v>
      </c>
      <c r="D37" s="14" t="s">
        <v>324</v>
      </c>
      <c r="E37" s="5">
        <v>2020</v>
      </c>
      <c r="F37" s="5">
        <v>2020</v>
      </c>
      <c r="G37" s="14" t="s">
        <v>16</v>
      </c>
      <c r="H37" s="28">
        <v>200</v>
      </c>
      <c r="I37" s="14">
        <v>200</v>
      </c>
      <c r="J37" s="14"/>
      <c r="K37" s="10"/>
      <c r="L37" s="14" t="s">
        <v>330</v>
      </c>
      <c r="M37" s="36" t="str">
        <f t="shared" si="0"/>
        <v>19601120</v>
      </c>
    </row>
    <row r="38" s="1" customFormat="1" ht="16" customHeight="1" spans="1:13">
      <c r="A38" s="2">
        <v>157</v>
      </c>
      <c r="B38" s="14" t="s">
        <v>327</v>
      </c>
      <c r="C38" s="14" t="s">
        <v>359</v>
      </c>
      <c r="D38" s="14" t="s">
        <v>360</v>
      </c>
      <c r="E38" s="5">
        <v>2020</v>
      </c>
      <c r="F38" s="5">
        <v>2020</v>
      </c>
      <c r="G38" s="14" t="s">
        <v>16</v>
      </c>
      <c r="H38" s="14">
        <v>200</v>
      </c>
      <c r="I38" s="14">
        <v>200</v>
      </c>
      <c r="J38" s="14"/>
      <c r="K38" s="10"/>
      <c r="L38" s="2" t="s">
        <v>330</v>
      </c>
      <c r="M38" s="36" t="str">
        <f t="shared" si="0"/>
        <v>19601202</v>
      </c>
    </row>
    <row r="39" s="1" customFormat="1" ht="16" customHeight="1" spans="1:13">
      <c r="A39" s="2">
        <v>6506</v>
      </c>
      <c r="B39" s="3" t="s">
        <v>12263</v>
      </c>
      <c r="C39" s="3" t="s">
        <v>3718</v>
      </c>
      <c r="D39" s="4" t="s">
        <v>13014</v>
      </c>
      <c r="E39" s="4" t="s">
        <v>6651</v>
      </c>
      <c r="F39" s="5" t="s">
        <v>2472</v>
      </c>
      <c r="G39" s="3" t="s">
        <v>289</v>
      </c>
      <c r="H39" s="4" t="s">
        <v>311</v>
      </c>
      <c r="I39" s="37">
        <v>400</v>
      </c>
      <c r="J39" s="5"/>
      <c r="K39" s="5"/>
      <c r="L39" s="10">
        <v>20200814</v>
      </c>
      <c r="M39" s="36" t="str">
        <f t="shared" si="0"/>
        <v>19601205</v>
      </c>
    </row>
    <row r="40" s="1" customFormat="1" ht="16" customHeight="1" spans="1:13">
      <c r="A40" s="2">
        <v>211</v>
      </c>
      <c r="B40" s="14" t="s">
        <v>327</v>
      </c>
      <c r="C40" s="14" t="s">
        <v>519</v>
      </c>
      <c r="D40" s="14" t="s">
        <v>520</v>
      </c>
      <c r="E40" s="5">
        <v>2020</v>
      </c>
      <c r="F40" s="5">
        <v>2020</v>
      </c>
      <c r="G40" s="14" t="s">
        <v>16</v>
      </c>
      <c r="H40" s="28">
        <v>200</v>
      </c>
      <c r="I40" s="14">
        <v>200</v>
      </c>
      <c r="J40" s="14"/>
      <c r="K40" s="10"/>
      <c r="L40" s="2" t="s">
        <v>330</v>
      </c>
      <c r="M40" s="36" t="str">
        <f t="shared" si="0"/>
        <v>19601207</v>
      </c>
    </row>
    <row r="41" s="1" customFormat="1" ht="16" customHeight="1" spans="1:13">
      <c r="A41" s="2">
        <v>3185</v>
      </c>
      <c r="B41" s="3" t="s">
        <v>6671</v>
      </c>
      <c r="C41" s="8" t="s">
        <v>6881</v>
      </c>
      <c r="D41" s="8" t="s">
        <v>6882</v>
      </c>
      <c r="E41" s="3" t="s">
        <v>15</v>
      </c>
      <c r="F41" s="3" t="s">
        <v>15</v>
      </c>
      <c r="G41" s="6" t="s">
        <v>3359</v>
      </c>
      <c r="H41" s="9">
        <v>200</v>
      </c>
      <c r="I41" s="9">
        <v>200</v>
      </c>
      <c r="J41" s="6"/>
      <c r="K41" s="5"/>
      <c r="L41" s="10">
        <v>20201118</v>
      </c>
      <c r="M41" s="36" t="str">
        <f t="shared" si="0"/>
        <v>19601223</v>
      </c>
    </row>
    <row r="42" s="1" customFormat="1" ht="16" customHeight="1" spans="1:13">
      <c r="A42" s="2">
        <v>159</v>
      </c>
      <c r="B42" s="14" t="s">
        <v>327</v>
      </c>
      <c r="C42" s="14" t="s">
        <v>365</v>
      </c>
      <c r="D42" s="14" t="s">
        <v>366</v>
      </c>
      <c r="E42" s="5">
        <v>2020</v>
      </c>
      <c r="F42" s="5">
        <v>2020</v>
      </c>
      <c r="G42" s="14" t="s">
        <v>16</v>
      </c>
      <c r="H42" s="14">
        <v>200</v>
      </c>
      <c r="I42" s="14">
        <v>200</v>
      </c>
      <c r="J42" s="14" t="s">
        <v>108</v>
      </c>
      <c r="K42" s="10"/>
      <c r="L42" s="2" t="s">
        <v>330</v>
      </c>
      <c r="M42" s="36" t="str">
        <f t="shared" si="0"/>
        <v>19601225</v>
      </c>
    </row>
    <row r="43" s="1" customFormat="1" ht="16" customHeight="1" spans="1:13">
      <c r="A43" s="2">
        <v>390</v>
      </c>
      <c r="B43" s="29" t="s">
        <v>1040</v>
      </c>
      <c r="C43" s="29" t="s">
        <v>1056</v>
      </c>
      <c r="D43" s="29" t="s">
        <v>1057</v>
      </c>
      <c r="E43" s="30">
        <v>2020</v>
      </c>
      <c r="F43" s="30">
        <v>2020</v>
      </c>
      <c r="G43" s="29" t="s">
        <v>16</v>
      </c>
      <c r="H43" s="29">
        <v>200</v>
      </c>
      <c r="I43" s="29">
        <v>200</v>
      </c>
      <c r="J43" s="29"/>
      <c r="K43" s="47"/>
      <c r="L43" s="2" t="s">
        <v>330</v>
      </c>
      <c r="M43" s="36" t="str">
        <f t="shared" si="0"/>
        <v>19610101</v>
      </c>
    </row>
    <row r="44" s="1" customFormat="1" ht="16" customHeight="1" spans="1:13">
      <c r="A44" s="2">
        <v>3512</v>
      </c>
      <c r="B44" s="5" t="s">
        <v>3375</v>
      </c>
      <c r="C44" s="6" t="s">
        <v>7302</v>
      </c>
      <c r="D44" s="6" t="str">
        <f>"152326196101016899"</f>
        <v>152326196101016899</v>
      </c>
      <c r="E44" s="5" t="s">
        <v>15</v>
      </c>
      <c r="F44" s="5">
        <v>2020</v>
      </c>
      <c r="G44" s="14" t="s">
        <v>16</v>
      </c>
      <c r="H44" s="17">
        <v>200</v>
      </c>
      <c r="I44" s="17">
        <v>200</v>
      </c>
      <c r="J44" s="6"/>
      <c r="K44" s="10"/>
      <c r="L44" s="10">
        <v>20201118</v>
      </c>
      <c r="M44" s="36" t="str">
        <f t="shared" si="0"/>
        <v>19610101</v>
      </c>
    </row>
    <row r="45" s="1" customFormat="1" ht="16" customHeight="1" spans="1:13">
      <c r="A45" s="2">
        <v>6522</v>
      </c>
      <c r="B45" s="5" t="s">
        <v>13027</v>
      </c>
      <c r="C45" s="15" t="s">
        <v>13041</v>
      </c>
      <c r="D45" s="15" t="s">
        <v>13042</v>
      </c>
      <c r="E45" s="5">
        <v>2020</v>
      </c>
      <c r="F45" s="5">
        <v>2020</v>
      </c>
      <c r="G45" s="14" t="s">
        <v>16</v>
      </c>
      <c r="H45" s="15">
        <v>200</v>
      </c>
      <c r="I45" s="15">
        <v>200</v>
      </c>
      <c r="J45" s="5"/>
      <c r="K45" s="10"/>
      <c r="L45" s="10">
        <v>20201118</v>
      </c>
      <c r="M45" s="36" t="str">
        <f t="shared" si="0"/>
        <v>19610101</v>
      </c>
    </row>
    <row r="46" s="1" customFormat="1" ht="16" customHeight="1" spans="1:13">
      <c r="A46" s="2">
        <v>4154</v>
      </c>
      <c r="B46" s="9" t="s">
        <v>8515</v>
      </c>
      <c r="C46" s="9" t="s">
        <v>8516</v>
      </c>
      <c r="D46" s="9" t="s">
        <v>8517</v>
      </c>
      <c r="E46" s="5" t="s">
        <v>15</v>
      </c>
      <c r="F46" s="5">
        <v>2020</v>
      </c>
      <c r="G46" s="9" t="s">
        <v>2480</v>
      </c>
      <c r="H46" s="9">
        <v>200</v>
      </c>
      <c r="I46" s="9">
        <v>200</v>
      </c>
      <c r="J46" s="9"/>
      <c r="K46" s="9"/>
      <c r="L46" s="10">
        <v>20201118</v>
      </c>
      <c r="M46" s="36" t="str">
        <f t="shared" si="0"/>
        <v>19610103</v>
      </c>
    </row>
    <row r="47" s="1" customFormat="1" ht="16" customHeight="1" spans="1:13">
      <c r="A47" s="2">
        <v>1829</v>
      </c>
      <c r="B47" s="5" t="s">
        <v>4189</v>
      </c>
      <c r="C47" s="16" t="s">
        <v>4223</v>
      </c>
      <c r="D47" s="16" t="s">
        <v>4224</v>
      </c>
      <c r="E47" s="5" t="s">
        <v>15</v>
      </c>
      <c r="F47" s="5" t="s">
        <v>15</v>
      </c>
      <c r="G47" s="5" t="s">
        <v>3359</v>
      </c>
      <c r="H47" s="16">
        <v>200</v>
      </c>
      <c r="I47" s="16">
        <v>200</v>
      </c>
      <c r="J47" s="5"/>
      <c r="K47" s="10"/>
      <c r="L47" s="10">
        <v>20201118</v>
      </c>
      <c r="M47" s="36" t="str">
        <f t="shared" si="0"/>
        <v>19610108</v>
      </c>
    </row>
    <row r="48" s="1" customFormat="1" ht="16" customHeight="1" spans="1:13">
      <c r="A48" s="2">
        <v>60</v>
      </c>
      <c r="B48" s="31" t="s">
        <v>12</v>
      </c>
      <c r="C48" s="17" t="s">
        <v>135</v>
      </c>
      <c r="D48" s="17" t="s">
        <v>136</v>
      </c>
      <c r="E48" s="3" t="s">
        <v>15</v>
      </c>
      <c r="F48" s="3" t="s">
        <v>15</v>
      </c>
      <c r="G48" s="2" t="s">
        <v>16</v>
      </c>
      <c r="H48" s="17">
        <v>200</v>
      </c>
      <c r="I48" s="17">
        <v>200</v>
      </c>
      <c r="J48" s="17"/>
      <c r="K48" s="17"/>
      <c r="L48" s="10">
        <v>20201118</v>
      </c>
      <c r="M48" s="36" t="str">
        <f t="shared" si="0"/>
        <v>19610109</v>
      </c>
    </row>
    <row r="49" s="1" customFormat="1" ht="16" customHeight="1" spans="1:13">
      <c r="A49" s="2">
        <v>5741</v>
      </c>
      <c r="B49" s="30" t="s">
        <v>11090</v>
      </c>
      <c r="C49" s="30" t="s">
        <v>11566</v>
      </c>
      <c r="D49" s="30" t="s">
        <v>11567</v>
      </c>
      <c r="E49" s="5" t="s">
        <v>15</v>
      </c>
      <c r="F49" s="5" t="s">
        <v>10250</v>
      </c>
      <c r="G49" s="6" t="s">
        <v>16</v>
      </c>
      <c r="H49" s="32">
        <v>200</v>
      </c>
      <c r="I49" s="32">
        <v>200</v>
      </c>
      <c r="J49" s="6"/>
      <c r="K49" s="48"/>
      <c r="L49" s="10">
        <v>20201118</v>
      </c>
      <c r="M49" s="36" t="str">
        <f t="shared" si="0"/>
        <v>19610109</v>
      </c>
    </row>
    <row r="50" s="1" customFormat="1" ht="16" customHeight="1" spans="1:13">
      <c r="A50" s="2">
        <v>8085</v>
      </c>
      <c r="B50" s="5" t="s">
        <v>15086</v>
      </c>
      <c r="C50" s="6" t="s">
        <v>13241</v>
      </c>
      <c r="D50" s="6" t="str">
        <f>"152326196101116873"</f>
        <v>152326196101116873</v>
      </c>
      <c r="E50" s="5" t="s">
        <v>15</v>
      </c>
      <c r="F50" s="5">
        <v>2020</v>
      </c>
      <c r="G50" s="5" t="s">
        <v>16</v>
      </c>
      <c r="H50" s="5">
        <v>200</v>
      </c>
      <c r="I50" s="5">
        <v>200</v>
      </c>
      <c r="J50" s="5"/>
      <c r="K50" s="5"/>
      <c r="L50" s="10">
        <v>20201118</v>
      </c>
      <c r="M50" s="36" t="str">
        <f t="shared" si="0"/>
        <v>19610111</v>
      </c>
    </row>
    <row r="51" s="1" customFormat="1" ht="16" customHeight="1" spans="1:13">
      <c r="A51" s="2">
        <v>5207</v>
      </c>
      <c r="B51" s="33" t="s">
        <v>10535</v>
      </c>
      <c r="C51" s="34" t="s">
        <v>10536</v>
      </c>
      <c r="D51" s="34" t="s">
        <v>10537</v>
      </c>
      <c r="E51" s="35">
        <v>2020</v>
      </c>
      <c r="F51" s="35">
        <v>2020</v>
      </c>
      <c r="G51" s="35" t="s">
        <v>16</v>
      </c>
      <c r="H51" s="34">
        <v>200</v>
      </c>
      <c r="I51" s="34">
        <v>200</v>
      </c>
      <c r="J51" s="49"/>
      <c r="K51" s="10"/>
      <c r="L51" s="10">
        <v>20201118</v>
      </c>
      <c r="M51" s="36" t="str">
        <f t="shared" si="0"/>
        <v>19610115</v>
      </c>
    </row>
    <row r="52" s="1" customFormat="1" ht="16" customHeight="1" spans="1:13">
      <c r="A52" s="2">
        <v>935</v>
      </c>
      <c r="B52" s="29" t="s">
        <v>1040</v>
      </c>
      <c r="C52" s="6" t="s">
        <v>2452</v>
      </c>
      <c r="D52" s="6" t="s">
        <v>2453</v>
      </c>
      <c r="E52" s="30" t="s">
        <v>1047</v>
      </c>
      <c r="F52" s="30">
        <v>2020</v>
      </c>
      <c r="G52" s="29" t="s">
        <v>289</v>
      </c>
      <c r="H52" s="29" t="s">
        <v>311</v>
      </c>
      <c r="I52" s="29">
        <v>400</v>
      </c>
      <c r="J52" s="32"/>
      <c r="K52" s="32"/>
      <c r="L52" s="2" t="s">
        <v>330</v>
      </c>
      <c r="M52" s="36" t="str">
        <f t="shared" si="0"/>
        <v>19610116</v>
      </c>
    </row>
    <row r="53" s="1" customFormat="1" ht="16" customHeight="1" spans="1:13">
      <c r="A53" s="2">
        <v>5208</v>
      </c>
      <c r="B53" s="33" t="s">
        <v>10535</v>
      </c>
      <c r="C53" s="34" t="s">
        <v>10538</v>
      </c>
      <c r="D53" s="34" t="s">
        <v>10539</v>
      </c>
      <c r="E53" s="35">
        <v>2020</v>
      </c>
      <c r="F53" s="35">
        <v>2020</v>
      </c>
      <c r="G53" s="35" t="s">
        <v>16</v>
      </c>
      <c r="H53" s="34">
        <v>200</v>
      </c>
      <c r="I53" s="34">
        <v>200</v>
      </c>
      <c r="J53" s="49"/>
      <c r="K53" s="10"/>
      <c r="L53" s="10">
        <v>20201118</v>
      </c>
      <c r="M53" s="36" t="str">
        <f t="shared" si="0"/>
        <v>19610117</v>
      </c>
    </row>
    <row r="54" s="1" customFormat="1" ht="16" customHeight="1" spans="1:13">
      <c r="A54" s="2">
        <v>2144</v>
      </c>
      <c r="B54" s="9" t="s">
        <v>4837</v>
      </c>
      <c r="C54" s="9" t="s">
        <v>3786</v>
      </c>
      <c r="D54" s="9" t="s">
        <v>4838</v>
      </c>
      <c r="E54" s="6" t="s">
        <v>15</v>
      </c>
      <c r="F54" s="6">
        <v>2020</v>
      </c>
      <c r="G54" s="9" t="s">
        <v>2480</v>
      </c>
      <c r="H54" s="9">
        <v>200</v>
      </c>
      <c r="I54" s="9">
        <v>200</v>
      </c>
      <c r="J54" s="50" t="s">
        <v>108</v>
      </c>
      <c r="K54" s="10"/>
      <c r="L54" s="10">
        <v>20201118</v>
      </c>
      <c r="M54" s="36" t="str">
        <f t="shared" si="0"/>
        <v>19610118</v>
      </c>
    </row>
    <row r="55" s="1" customFormat="1" ht="16" customHeight="1" spans="1:13">
      <c r="A55" s="2">
        <v>6523</v>
      </c>
      <c r="B55" s="5" t="s">
        <v>13027</v>
      </c>
      <c r="C55" s="15" t="s">
        <v>13043</v>
      </c>
      <c r="D55" s="15" t="s">
        <v>13044</v>
      </c>
      <c r="E55" s="5">
        <v>2020</v>
      </c>
      <c r="F55" s="5">
        <v>2020</v>
      </c>
      <c r="G55" s="14" t="s">
        <v>16</v>
      </c>
      <c r="H55" s="15">
        <v>1000</v>
      </c>
      <c r="I55" s="15">
        <v>1000</v>
      </c>
      <c r="J55" s="5"/>
      <c r="K55" s="10"/>
      <c r="L55" s="10">
        <v>20201118</v>
      </c>
      <c r="M55" s="36" t="str">
        <f t="shared" si="0"/>
        <v>19610122</v>
      </c>
    </row>
    <row r="56" s="1" customFormat="1" ht="16" customHeight="1" spans="1:13">
      <c r="A56" s="2">
        <v>2921</v>
      </c>
      <c r="B56" s="6" t="s">
        <v>6075</v>
      </c>
      <c r="C56" s="25" t="s">
        <v>6369</v>
      </c>
      <c r="D56" s="26" t="s">
        <v>6370</v>
      </c>
      <c r="E56" s="5" t="s">
        <v>15</v>
      </c>
      <c r="F56" s="5">
        <v>2020</v>
      </c>
      <c r="G56" s="6" t="s">
        <v>16</v>
      </c>
      <c r="H56" s="6">
        <v>200</v>
      </c>
      <c r="I56" s="6">
        <v>200</v>
      </c>
      <c r="J56" s="6"/>
      <c r="K56" s="10"/>
      <c r="L56" s="10">
        <v>20201118</v>
      </c>
      <c r="M56" s="36" t="str">
        <f t="shared" si="0"/>
        <v>19610125</v>
      </c>
    </row>
    <row r="57" s="1" customFormat="1" ht="16" customHeight="1" spans="1:13">
      <c r="A57" s="2">
        <v>1406</v>
      </c>
      <c r="B57" s="5" t="s">
        <v>3381</v>
      </c>
      <c r="C57" s="9" t="s">
        <v>3382</v>
      </c>
      <c r="D57" s="9" t="s">
        <v>3383</v>
      </c>
      <c r="E57" s="5">
        <v>2020</v>
      </c>
      <c r="F57" s="5">
        <v>2020</v>
      </c>
      <c r="G57" s="14" t="s">
        <v>16</v>
      </c>
      <c r="H57" s="6">
        <v>200</v>
      </c>
      <c r="I57" s="6">
        <v>200</v>
      </c>
      <c r="J57" s="17"/>
      <c r="K57" s="13"/>
      <c r="L57" s="10">
        <v>20201118</v>
      </c>
      <c r="M57" s="36" t="str">
        <f t="shared" si="0"/>
        <v>19610128</v>
      </c>
    </row>
    <row r="58" s="1" customFormat="1" ht="16" customHeight="1" spans="1:13">
      <c r="A58" s="2">
        <v>3572</v>
      </c>
      <c r="B58" s="5" t="s">
        <v>7412</v>
      </c>
      <c r="C58" s="5" t="s">
        <v>7413</v>
      </c>
      <c r="D58" s="5" t="s">
        <v>7414</v>
      </c>
      <c r="E58" s="6">
        <v>2020</v>
      </c>
      <c r="F58" s="6">
        <v>2020</v>
      </c>
      <c r="G58" s="5" t="s">
        <v>3359</v>
      </c>
      <c r="H58" s="5">
        <v>200</v>
      </c>
      <c r="I58" s="5">
        <v>200</v>
      </c>
      <c r="J58" s="5"/>
      <c r="K58" s="5"/>
      <c r="L58" s="10">
        <v>20201118</v>
      </c>
      <c r="M58" s="36" t="str">
        <f t="shared" si="0"/>
        <v>19610128</v>
      </c>
    </row>
    <row r="59" s="1" customFormat="1" ht="16" customHeight="1" spans="1:13">
      <c r="A59" s="2">
        <v>7062</v>
      </c>
      <c r="B59" s="5" t="s">
        <v>13533</v>
      </c>
      <c r="C59" s="32" t="s">
        <v>13807</v>
      </c>
      <c r="D59" s="32" t="str">
        <f>"152326196102027119"</f>
        <v>152326196102027119</v>
      </c>
      <c r="E59" s="5">
        <v>2020</v>
      </c>
      <c r="F59" s="5">
        <v>2020</v>
      </c>
      <c r="G59" s="9" t="s">
        <v>2480</v>
      </c>
      <c r="H59" s="32">
        <v>200</v>
      </c>
      <c r="I59" s="32">
        <v>200</v>
      </c>
      <c r="J59" s="32"/>
      <c r="K59" s="10"/>
      <c r="L59" s="10">
        <v>20201118</v>
      </c>
      <c r="M59" s="36" t="str">
        <f t="shared" si="0"/>
        <v>19610202</v>
      </c>
    </row>
    <row r="60" s="1" customFormat="1" ht="16" customHeight="1" spans="1:13">
      <c r="A60" s="2">
        <v>7068</v>
      </c>
      <c r="B60" s="5" t="s">
        <v>13533</v>
      </c>
      <c r="C60" s="32" t="s">
        <v>13813</v>
      </c>
      <c r="D60" s="32" t="str">
        <f>"152326196102027127"</f>
        <v>152326196102027127</v>
      </c>
      <c r="E60" s="5">
        <v>2020</v>
      </c>
      <c r="F60" s="5">
        <v>2020</v>
      </c>
      <c r="G60" s="9" t="s">
        <v>2480</v>
      </c>
      <c r="H60" s="32">
        <v>200</v>
      </c>
      <c r="I60" s="32">
        <v>200</v>
      </c>
      <c r="J60" s="32"/>
      <c r="K60" s="10"/>
      <c r="L60" s="10">
        <v>20201118</v>
      </c>
      <c r="M60" s="36" t="str">
        <f t="shared" si="0"/>
        <v>19610202</v>
      </c>
    </row>
    <row r="61" s="1" customFormat="1" ht="16" customHeight="1" spans="1:13">
      <c r="A61" s="2">
        <v>3573</v>
      </c>
      <c r="B61" s="5" t="s">
        <v>7412</v>
      </c>
      <c r="C61" s="5" t="s">
        <v>3342</v>
      </c>
      <c r="D61" s="5" t="s">
        <v>7415</v>
      </c>
      <c r="E61" s="6">
        <v>2020</v>
      </c>
      <c r="F61" s="6">
        <v>2020</v>
      </c>
      <c r="G61" s="5" t="s">
        <v>3359</v>
      </c>
      <c r="H61" s="5">
        <v>200</v>
      </c>
      <c r="I61" s="5">
        <v>200</v>
      </c>
      <c r="J61" s="5"/>
      <c r="K61" s="5"/>
      <c r="L61" s="10">
        <v>20201118</v>
      </c>
      <c r="M61" s="36" t="str">
        <f t="shared" si="0"/>
        <v>19610204</v>
      </c>
    </row>
    <row r="62" s="1" customFormat="1" ht="16" customHeight="1" spans="1:13">
      <c r="A62" s="2">
        <v>3574</v>
      </c>
      <c r="B62" s="5" t="s">
        <v>7412</v>
      </c>
      <c r="C62" s="5" t="s">
        <v>7416</v>
      </c>
      <c r="D62" s="5" t="s">
        <v>7417</v>
      </c>
      <c r="E62" s="6">
        <v>2020</v>
      </c>
      <c r="F62" s="6">
        <v>2020</v>
      </c>
      <c r="G62" s="5" t="s">
        <v>3359</v>
      </c>
      <c r="H62" s="5">
        <v>200</v>
      </c>
      <c r="I62" s="5">
        <v>200</v>
      </c>
      <c r="J62" s="5"/>
      <c r="K62" s="5"/>
      <c r="L62" s="10">
        <v>20201118</v>
      </c>
      <c r="M62" s="36" t="str">
        <f t="shared" si="0"/>
        <v>19610209</v>
      </c>
    </row>
    <row r="63" s="1" customFormat="1" ht="16" customHeight="1" spans="1:13">
      <c r="A63" s="2">
        <v>3508</v>
      </c>
      <c r="B63" s="5" t="s">
        <v>3375</v>
      </c>
      <c r="C63" s="6" t="s">
        <v>7297</v>
      </c>
      <c r="D63" s="6" t="str">
        <f>"152326196102106861"</f>
        <v>152326196102106861</v>
      </c>
      <c r="E63" s="5" t="s">
        <v>15</v>
      </c>
      <c r="F63" s="5">
        <v>2020</v>
      </c>
      <c r="G63" s="14" t="s">
        <v>16</v>
      </c>
      <c r="H63" s="17">
        <v>200</v>
      </c>
      <c r="I63" s="17">
        <v>200</v>
      </c>
      <c r="J63" s="6"/>
      <c r="K63" s="10"/>
      <c r="L63" s="10">
        <v>20201118</v>
      </c>
      <c r="M63" s="36" t="str">
        <f t="shared" si="0"/>
        <v>19610210</v>
      </c>
    </row>
    <row r="64" s="1" customFormat="1" ht="16" customHeight="1" spans="1:13">
      <c r="A64" s="2">
        <v>2145</v>
      </c>
      <c r="B64" s="9" t="s">
        <v>4837</v>
      </c>
      <c r="C64" s="9" t="s">
        <v>4839</v>
      </c>
      <c r="D64" s="9" t="s">
        <v>4840</v>
      </c>
      <c r="E64" s="6" t="s">
        <v>15</v>
      </c>
      <c r="F64" s="6">
        <v>2020</v>
      </c>
      <c r="G64" s="9" t="s">
        <v>2480</v>
      </c>
      <c r="H64" s="9">
        <v>200</v>
      </c>
      <c r="I64" s="9">
        <v>200</v>
      </c>
      <c r="J64" s="6"/>
      <c r="K64" s="10"/>
      <c r="L64" s="10">
        <v>20201118</v>
      </c>
      <c r="M64" s="36" t="str">
        <f t="shared" si="0"/>
        <v>19610211</v>
      </c>
    </row>
    <row r="65" s="1" customFormat="1" ht="16" customHeight="1" spans="1:13">
      <c r="A65" s="2">
        <v>1880</v>
      </c>
      <c r="B65" s="5" t="s">
        <v>4189</v>
      </c>
      <c r="C65" s="16" t="s">
        <v>4323</v>
      </c>
      <c r="D65" s="16" t="s">
        <v>4324</v>
      </c>
      <c r="E65" s="5" t="s">
        <v>15</v>
      </c>
      <c r="F65" s="5" t="s">
        <v>15</v>
      </c>
      <c r="G65" s="5" t="s">
        <v>3359</v>
      </c>
      <c r="H65" s="16">
        <v>200</v>
      </c>
      <c r="I65" s="16">
        <v>200</v>
      </c>
      <c r="J65" s="5"/>
      <c r="K65" s="10"/>
      <c r="L65" s="10">
        <v>20201118</v>
      </c>
      <c r="M65" s="36" t="str">
        <f t="shared" si="0"/>
        <v>19610212</v>
      </c>
    </row>
    <row r="66" s="1" customFormat="1" ht="16" customHeight="1" spans="1:13">
      <c r="A66" s="2">
        <v>2146</v>
      </c>
      <c r="B66" s="9" t="s">
        <v>4837</v>
      </c>
      <c r="C66" s="9" t="s">
        <v>4841</v>
      </c>
      <c r="D66" s="9" t="s">
        <v>4842</v>
      </c>
      <c r="E66" s="6" t="s">
        <v>15</v>
      </c>
      <c r="F66" s="6">
        <v>2020</v>
      </c>
      <c r="G66" s="9" t="s">
        <v>2480</v>
      </c>
      <c r="H66" s="9">
        <v>500</v>
      </c>
      <c r="I66" s="9">
        <v>500</v>
      </c>
      <c r="J66" s="6"/>
      <c r="K66" s="10"/>
      <c r="L66" s="10">
        <v>20201118</v>
      </c>
      <c r="M66" s="36" t="str">
        <f t="shared" ref="M66:M129" si="1">MID(D66,7,8)</f>
        <v>19610213</v>
      </c>
    </row>
    <row r="67" s="1" customFormat="1" ht="16" customHeight="1" spans="1:13">
      <c r="A67" s="2">
        <v>5586</v>
      </c>
      <c r="B67" s="30" t="s">
        <v>11090</v>
      </c>
      <c r="C67" s="30" t="s">
        <v>11265</v>
      </c>
      <c r="D67" s="30" t="s">
        <v>11266</v>
      </c>
      <c r="E67" s="5" t="s">
        <v>15</v>
      </c>
      <c r="F67" s="5" t="s">
        <v>10250</v>
      </c>
      <c r="G67" s="6" t="s">
        <v>16</v>
      </c>
      <c r="H67" s="32">
        <v>200</v>
      </c>
      <c r="I67" s="32">
        <v>200</v>
      </c>
      <c r="J67" s="6"/>
      <c r="K67" s="48"/>
      <c r="L67" s="10">
        <v>20201118</v>
      </c>
      <c r="M67" s="36" t="str">
        <f t="shared" si="1"/>
        <v>19610214</v>
      </c>
    </row>
    <row r="68" s="1" customFormat="1" ht="16" customHeight="1" spans="1:13">
      <c r="A68" s="2">
        <v>6326</v>
      </c>
      <c r="B68" s="5" t="s">
        <v>12263</v>
      </c>
      <c r="C68" s="5" t="s">
        <v>12669</v>
      </c>
      <c r="D68" s="5" t="s">
        <v>12670</v>
      </c>
      <c r="E68" s="5" t="s">
        <v>10250</v>
      </c>
      <c r="F68" s="5">
        <v>2020</v>
      </c>
      <c r="G68" s="17" t="s">
        <v>3359</v>
      </c>
      <c r="H68" s="5" t="s">
        <v>311</v>
      </c>
      <c r="I68" s="5">
        <v>200</v>
      </c>
      <c r="J68" s="5"/>
      <c r="K68" s="5"/>
      <c r="L68" s="10">
        <v>20201118</v>
      </c>
      <c r="M68" s="36" t="str">
        <f t="shared" si="1"/>
        <v>19610216</v>
      </c>
    </row>
    <row r="69" s="1" customFormat="1" ht="16" customHeight="1" spans="1:13">
      <c r="A69" s="2">
        <v>1407</v>
      </c>
      <c r="B69" s="5" t="s">
        <v>3381</v>
      </c>
      <c r="C69" s="9" t="s">
        <v>3384</v>
      </c>
      <c r="D69" s="9" t="s">
        <v>3385</v>
      </c>
      <c r="E69" s="5">
        <v>2020</v>
      </c>
      <c r="F69" s="5">
        <v>2020</v>
      </c>
      <c r="G69" s="14" t="s">
        <v>16</v>
      </c>
      <c r="H69" s="6">
        <v>200</v>
      </c>
      <c r="I69" s="6">
        <v>200</v>
      </c>
      <c r="J69" s="17"/>
      <c r="K69" s="13"/>
      <c r="L69" s="10">
        <v>20201118</v>
      </c>
      <c r="M69" s="36" t="str">
        <f t="shared" si="1"/>
        <v>19610218</v>
      </c>
    </row>
    <row r="70" s="1" customFormat="1" ht="16" customHeight="1" spans="1:13">
      <c r="A70" s="2">
        <v>471</v>
      </c>
      <c r="B70" s="29" t="s">
        <v>1040</v>
      </c>
      <c r="C70" s="29" t="s">
        <v>1218</v>
      </c>
      <c r="D70" s="29" t="s">
        <v>1219</v>
      </c>
      <c r="E70" s="30">
        <v>2020</v>
      </c>
      <c r="F70" s="30">
        <v>2020</v>
      </c>
      <c r="G70" s="29" t="s">
        <v>16</v>
      </c>
      <c r="H70" s="29">
        <v>200</v>
      </c>
      <c r="I70" s="29">
        <v>200</v>
      </c>
      <c r="J70" s="29"/>
      <c r="K70" s="47"/>
      <c r="L70" s="14" t="s">
        <v>330</v>
      </c>
      <c r="M70" s="36" t="str">
        <f t="shared" si="1"/>
        <v>19610220</v>
      </c>
    </row>
    <row r="71" s="1" customFormat="1" ht="16" customHeight="1" spans="1:13">
      <c r="A71" s="2">
        <v>1408</v>
      </c>
      <c r="B71" s="5" t="s">
        <v>3381</v>
      </c>
      <c r="C71" s="9" t="s">
        <v>3386</v>
      </c>
      <c r="D71" s="9" t="s">
        <v>3387</v>
      </c>
      <c r="E71" s="5">
        <v>2020</v>
      </c>
      <c r="F71" s="5">
        <v>2020</v>
      </c>
      <c r="G71" s="14" t="s">
        <v>16</v>
      </c>
      <c r="H71" s="6">
        <v>200</v>
      </c>
      <c r="I71" s="6">
        <v>200</v>
      </c>
      <c r="J71" s="5"/>
      <c r="K71" s="13"/>
      <c r="L71" s="10">
        <v>20201118</v>
      </c>
      <c r="M71" s="36" t="str">
        <f t="shared" si="1"/>
        <v>19610221</v>
      </c>
    </row>
    <row r="72" s="1" customFormat="1" ht="16" customHeight="1" spans="1:13">
      <c r="A72" s="2">
        <v>2147</v>
      </c>
      <c r="B72" s="9" t="s">
        <v>4837</v>
      </c>
      <c r="C72" s="9" t="s">
        <v>4843</v>
      </c>
      <c r="D72" s="9" t="s">
        <v>4844</v>
      </c>
      <c r="E72" s="6" t="s">
        <v>15</v>
      </c>
      <c r="F72" s="6">
        <v>2020</v>
      </c>
      <c r="G72" s="9" t="s">
        <v>2480</v>
      </c>
      <c r="H72" s="9">
        <v>200</v>
      </c>
      <c r="I72" s="9">
        <v>200</v>
      </c>
      <c r="J72" s="6"/>
      <c r="K72" s="10"/>
      <c r="L72" s="10">
        <v>20201118</v>
      </c>
      <c r="M72" s="36" t="str">
        <f t="shared" si="1"/>
        <v>19610221</v>
      </c>
    </row>
    <row r="73" s="1" customFormat="1" ht="16" customHeight="1" spans="1:13">
      <c r="A73" s="2">
        <v>5514</v>
      </c>
      <c r="B73" s="30" t="s">
        <v>11090</v>
      </c>
      <c r="C73" s="30" t="s">
        <v>11123</v>
      </c>
      <c r="D73" s="30" t="s">
        <v>11124</v>
      </c>
      <c r="E73" s="5" t="s">
        <v>15</v>
      </c>
      <c r="F73" s="5" t="s">
        <v>10250</v>
      </c>
      <c r="G73" s="6" t="s">
        <v>16</v>
      </c>
      <c r="H73" s="32">
        <v>200</v>
      </c>
      <c r="I73" s="32">
        <v>200</v>
      </c>
      <c r="J73" s="6" t="s">
        <v>768</v>
      </c>
      <c r="K73" s="48"/>
      <c r="L73" s="10">
        <v>20201118</v>
      </c>
      <c r="M73" s="36" t="str">
        <f t="shared" si="1"/>
        <v>19610226</v>
      </c>
    </row>
    <row r="74" s="1" customFormat="1" ht="16" customHeight="1" spans="1:13">
      <c r="A74" s="2">
        <v>3513</v>
      </c>
      <c r="B74" s="5" t="s">
        <v>3375</v>
      </c>
      <c r="C74" s="6" t="s">
        <v>7303</v>
      </c>
      <c r="D74" s="6" t="s">
        <v>7304</v>
      </c>
      <c r="E74" s="5" t="s">
        <v>15</v>
      </c>
      <c r="F74" s="5">
        <v>2020</v>
      </c>
      <c r="G74" s="14" t="s">
        <v>16</v>
      </c>
      <c r="H74" s="17">
        <v>200</v>
      </c>
      <c r="I74" s="17">
        <v>200</v>
      </c>
      <c r="J74" s="6" t="s">
        <v>1242</v>
      </c>
      <c r="K74" s="10"/>
      <c r="L74" s="10">
        <v>20201118</v>
      </c>
      <c r="M74" s="36" t="str">
        <f t="shared" si="1"/>
        <v>19610228</v>
      </c>
    </row>
    <row r="75" s="1" customFormat="1" ht="16" customHeight="1" spans="1:13">
      <c r="A75" s="2">
        <v>6474</v>
      </c>
      <c r="B75" s="5" t="s">
        <v>12263</v>
      </c>
      <c r="C75" s="5" t="s">
        <v>12951</v>
      </c>
      <c r="D75" s="5" t="s">
        <v>12952</v>
      </c>
      <c r="E75" s="5" t="s">
        <v>310</v>
      </c>
      <c r="F75" s="5">
        <v>2020</v>
      </c>
      <c r="G75" s="5" t="s">
        <v>295</v>
      </c>
      <c r="H75" s="5">
        <v>200</v>
      </c>
      <c r="I75" s="5">
        <v>2000</v>
      </c>
      <c r="J75" s="5"/>
      <c r="K75" s="5"/>
      <c r="L75" s="10">
        <v>20201118</v>
      </c>
      <c r="M75" s="36" t="str">
        <f t="shared" si="1"/>
        <v>19610305</v>
      </c>
    </row>
    <row r="76" s="1" customFormat="1" ht="16" customHeight="1" spans="1:13">
      <c r="A76" s="2">
        <v>6524</v>
      </c>
      <c r="B76" s="5" t="s">
        <v>13027</v>
      </c>
      <c r="C76" s="15" t="s">
        <v>13045</v>
      </c>
      <c r="D76" s="15" t="s">
        <v>13046</v>
      </c>
      <c r="E76" s="5">
        <v>2020</v>
      </c>
      <c r="F76" s="5">
        <v>2020</v>
      </c>
      <c r="G76" s="14" t="s">
        <v>16</v>
      </c>
      <c r="H76" s="15">
        <v>200</v>
      </c>
      <c r="I76" s="15">
        <v>200</v>
      </c>
      <c r="J76" s="5"/>
      <c r="K76" s="10"/>
      <c r="L76" s="10">
        <v>20201118</v>
      </c>
      <c r="M76" s="36" t="str">
        <f t="shared" si="1"/>
        <v>19610305</v>
      </c>
    </row>
    <row r="77" s="1" customFormat="1" ht="16" customHeight="1" spans="1:13">
      <c r="A77" s="2">
        <v>3575</v>
      </c>
      <c r="B77" s="5" t="s">
        <v>7412</v>
      </c>
      <c r="C77" s="5" t="s">
        <v>7418</v>
      </c>
      <c r="D77" s="5" t="s">
        <v>7419</v>
      </c>
      <c r="E77" s="6">
        <v>2020</v>
      </c>
      <c r="F77" s="6">
        <v>2020</v>
      </c>
      <c r="G77" s="5" t="s">
        <v>3359</v>
      </c>
      <c r="H77" s="5">
        <v>1000</v>
      </c>
      <c r="I77" s="5">
        <v>1000</v>
      </c>
      <c r="J77" s="5"/>
      <c r="K77" s="5"/>
      <c r="L77" s="10">
        <v>20201118</v>
      </c>
      <c r="M77" s="36" t="str">
        <f t="shared" si="1"/>
        <v>19610307</v>
      </c>
    </row>
    <row r="78" s="1" customFormat="1" ht="16" customHeight="1" spans="1:13">
      <c r="A78" s="2">
        <v>3576</v>
      </c>
      <c r="B78" s="5" t="s">
        <v>7412</v>
      </c>
      <c r="C78" s="5" t="s">
        <v>7420</v>
      </c>
      <c r="D78" s="5" t="s">
        <v>7421</v>
      </c>
      <c r="E78" s="6">
        <v>2020</v>
      </c>
      <c r="F78" s="6">
        <v>2020</v>
      </c>
      <c r="G78" s="5" t="s">
        <v>3359</v>
      </c>
      <c r="H78" s="5">
        <v>200</v>
      </c>
      <c r="I78" s="5">
        <v>200</v>
      </c>
      <c r="J78" s="5"/>
      <c r="K78" s="5"/>
      <c r="L78" s="10">
        <v>20201118</v>
      </c>
      <c r="M78" s="36" t="str">
        <f t="shared" si="1"/>
        <v>19610308</v>
      </c>
    </row>
    <row r="79" s="1" customFormat="1" ht="16" customHeight="1" spans="1:13">
      <c r="A79" s="2">
        <v>5209</v>
      </c>
      <c r="B79" s="33" t="s">
        <v>10535</v>
      </c>
      <c r="C79" s="34" t="s">
        <v>10540</v>
      </c>
      <c r="D79" s="34" t="s">
        <v>10541</v>
      </c>
      <c r="E79" s="35">
        <v>2020</v>
      </c>
      <c r="F79" s="35">
        <v>2020</v>
      </c>
      <c r="G79" s="35" t="s">
        <v>16</v>
      </c>
      <c r="H79" s="34">
        <v>200</v>
      </c>
      <c r="I79" s="34">
        <v>200</v>
      </c>
      <c r="J79" s="49"/>
      <c r="K79" s="10"/>
      <c r="L79" s="10">
        <v>20201118</v>
      </c>
      <c r="M79" s="36" t="str">
        <f t="shared" si="1"/>
        <v>19610308</v>
      </c>
    </row>
    <row r="80" s="1" customFormat="1" ht="16" customHeight="1" spans="1:13">
      <c r="A80" s="2">
        <v>1409</v>
      </c>
      <c r="B80" s="5" t="s">
        <v>3381</v>
      </c>
      <c r="C80" s="9" t="s">
        <v>3388</v>
      </c>
      <c r="D80" s="9" t="s">
        <v>3389</v>
      </c>
      <c r="E80" s="5">
        <v>2020</v>
      </c>
      <c r="F80" s="5">
        <v>2020</v>
      </c>
      <c r="G80" s="14" t="s">
        <v>16</v>
      </c>
      <c r="H80" s="6">
        <v>200</v>
      </c>
      <c r="I80" s="6">
        <v>200</v>
      </c>
      <c r="J80" s="5"/>
      <c r="K80" s="13"/>
      <c r="L80" s="10">
        <v>20201118</v>
      </c>
      <c r="M80" s="36" t="str">
        <f t="shared" si="1"/>
        <v>19610309</v>
      </c>
    </row>
    <row r="81" s="1" customFormat="1" ht="16" customHeight="1" spans="1:13">
      <c r="A81" s="2">
        <v>1775</v>
      </c>
      <c r="B81" s="5" t="s">
        <v>3381</v>
      </c>
      <c r="C81" s="9" t="s">
        <v>4111</v>
      </c>
      <c r="D81" s="9" t="s">
        <v>4112</v>
      </c>
      <c r="E81" s="5">
        <v>2018</v>
      </c>
      <c r="F81" s="5">
        <v>2020</v>
      </c>
      <c r="G81" s="14" t="s">
        <v>289</v>
      </c>
      <c r="H81" s="18">
        <v>1000</v>
      </c>
      <c r="I81" s="6">
        <v>3000</v>
      </c>
      <c r="J81" s="5"/>
      <c r="K81" s="13"/>
      <c r="L81" s="10">
        <v>20201118</v>
      </c>
      <c r="M81" s="36" t="str">
        <f t="shared" si="1"/>
        <v>19610310</v>
      </c>
    </row>
    <row r="82" s="1" customFormat="1" ht="16" customHeight="1" spans="1:13">
      <c r="A82" s="2">
        <v>7065</v>
      </c>
      <c r="B82" s="5" t="s">
        <v>13533</v>
      </c>
      <c r="C82" s="32" t="s">
        <v>13810</v>
      </c>
      <c r="D82" s="32" t="str">
        <f>"152326196103107129"</f>
        <v>152326196103107129</v>
      </c>
      <c r="E82" s="5">
        <v>2020</v>
      </c>
      <c r="F82" s="5">
        <v>2020</v>
      </c>
      <c r="G82" s="9" t="s">
        <v>2480</v>
      </c>
      <c r="H82" s="32">
        <v>200</v>
      </c>
      <c r="I82" s="32">
        <v>200</v>
      </c>
      <c r="J82" s="32"/>
      <c r="K82" s="10"/>
      <c r="L82" s="10">
        <v>20201118</v>
      </c>
      <c r="M82" s="36" t="str">
        <f t="shared" si="1"/>
        <v>19610310</v>
      </c>
    </row>
    <row r="83" s="1" customFormat="1" ht="16" customHeight="1" spans="1:13">
      <c r="A83" s="2">
        <v>3577</v>
      </c>
      <c r="B83" s="5" t="s">
        <v>7412</v>
      </c>
      <c r="C83" s="5" t="s">
        <v>7422</v>
      </c>
      <c r="D83" s="5" t="s">
        <v>7423</v>
      </c>
      <c r="E83" s="6">
        <v>2020</v>
      </c>
      <c r="F83" s="6">
        <v>2020</v>
      </c>
      <c r="G83" s="5" t="s">
        <v>3359</v>
      </c>
      <c r="H83" s="5">
        <v>200</v>
      </c>
      <c r="I83" s="5">
        <v>200</v>
      </c>
      <c r="J83" s="5"/>
      <c r="K83" s="5"/>
      <c r="L83" s="10">
        <v>20201118</v>
      </c>
      <c r="M83" s="36" t="str">
        <f t="shared" si="1"/>
        <v>19610313</v>
      </c>
    </row>
    <row r="84" s="1" customFormat="1" ht="16" customHeight="1" spans="1:13">
      <c r="A84" s="2">
        <v>3578</v>
      </c>
      <c r="B84" s="5" t="s">
        <v>7412</v>
      </c>
      <c r="C84" s="5" t="s">
        <v>7424</v>
      </c>
      <c r="D84" s="5" t="s">
        <v>7425</v>
      </c>
      <c r="E84" s="6">
        <v>2020</v>
      </c>
      <c r="F84" s="6">
        <v>2020</v>
      </c>
      <c r="G84" s="5" t="s">
        <v>3359</v>
      </c>
      <c r="H84" s="5">
        <v>200</v>
      </c>
      <c r="I84" s="5">
        <v>200</v>
      </c>
      <c r="J84" s="5" t="s">
        <v>1242</v>
      </c>
      <c r="K84" s="5"/>
      <c r="L84" s="10">
        <v>20201118</v>
      </c>
      <c r="M84" s="36" t="str">
        <f t="shared" si="1"/>
        <v>19610313</v>
      </c>
    </row>
    <row r="85" s="1" customFormat="1" ht="16" customHeight="1" spans="1:13">
      <c r="A85" s="2">
        <v>3005</v>
      </c>
      <c r="B85" s="6" t="s">
        <v>6075</v>
      </c>
      <c r="C85" s="25" t="s">
        <v>6535</v>
      </c>
      <c r="D85" s="26" t="s">
        <v>6536</v>
      </c>
      <c r="E85" s="5" t="s">
        <v>15</v>
      </c>
      <c r="F85" s="5">
        <v>2020</v>
      </c>
      <c r="G85" s="6" t="s">
        <v>16</v>
      </c>
      <c r="H85" s="6">
        <v>200</v>
      </c>
      <c r="I85" s="6">
        <v>200</v>
      </c>
      <c r="J85" s="6" t="s">
        <v>6097</v>
      </c>
      <c r="K85" s="10"/>
      <c r="L85" s="10">
        <v>20201118</v>
      </c>
      <c r="M85" s="36" t="str">
        <f t="shared" si="1"/>
        <v>19610314</v>
      </c>
    </row>
    <row r="86" s="1" customFormat="1" ht="16" customHeight="1" spans="1:13">
      <c r="A86" s="2">
        <v>1410</v>
      </c>
      <c r="B86" s="5" t="s">
        <v>3381</v>
      </c>
      <c r="C86" s="9" t="s">
        <v>3390</v>
      </c>
      <c r="D86" s="9" t="s">
        <v>3391</v>
      </c>
      <c r="E86" s="5">
        <v>2020</v>
      </c>
      <c r="F86" s="5">
        <v>2020</v>
      </c>
      <c r="G86" s="14" t="s">
        <v>16</v>
      </c>
      <c r="H86" s="6">
        <v>200</v>
      </c>
      <c r="I86" s="6">
        <v>200</v>
      </c>
      <c r="J86" s="5"/>
      <c r="K86" s="13"/>
      <c r="L86" s="10">
        <v>20201118</v>
      </c>
      <c r="M86" s="36" t="str">
        <f t="shared" si="1"/>
        <v>19610315</v>
      </c>
    </row>
    <row r="87" s="1" customFormat="1" ht="16" customHeight="1" spans="1:13">
      <c r="A87" s="2">
        <v>2398</v>
      </c>
      <c r="B87" s="5" t="s">
        <v>5328</v>
      </c>
      <c r="C87" s="16" t="s">
        <v>5338</v>
      </c>
      <c r="D87" s="16" t="s">
        <v>5339</v>
      </c>
      <c r="E87" s="5" t="s">
        <v>15</v>
      </c>
      <c r="F87" s="5" t="s">
        <v>15</v>
      </c>
      <c r="G87" s="14" t="s">
        <v>16</v>
      </c>
      <c r="H87" s="6">
        <v>200</v>
      </c>
      <c r="I87" s="6">
        <v>200</v>
      </c>
      <c r="J87" s="5"/>
      <c r="K87" s="5"/>
      <c r="L87" s="10">
        <v>20201118</v>
      </c>
      <c r="M87" s="36" t="str">
        <f t="shared" si="1"/>
        <v>19610317</v>
      </c>
    </row>
    <row r="88" s="1" customFormat="1" ht="16" customHeight="1" spans="1:13">
      <c r="A88" s="2">
        <v>5798</v>
      </c>
      <c r="B88" s="30" t="s">
        <v>11090</v>
      </c>
      <c r="C88" s="30" t="s">
        <v>11665</v>
      </c>
      <c r="D88" s="30" t="s">
        <v>11666</v>
      </c>
      <c r="E88" s="5" t="s">
        <v>15</v>
      </c>
      <c r="F88" s="5" t="s">
        <v>10250</v>
      </c>
      <c r="G88" s="6" t="s">
        <v>16</v>
      </c>
      <c r="H88" s="32">
        <v>200</v>
      </c>
      <c r="I88" s="32">
        <v>200</v>
      </c>
      <c r="J88" s="6"/>
      <c r="K88" s="48"/>
      <c r="L88" s="10">
        <v>20201118</v>
      </c>
      <c r="M88" s="36" t="str">
        <f t="shared" si="1"/>
        <v>19610318</v>
      </c>
    </row>
    <row r="89" s="1" customFormat="1" ht="16" customHeight="1" spans="1:13">
      <c r="A89" s="2">
        <v>2922</v>
      </c>
      <c r="B89" s="6" t="s">
        <v>6075</v>
      </c>
      <c r="C89" s="25" t="s">
        <v>6371</v>
      </c>
      <c r="D89" s="26" t="s">
        <v>6372</v>
      </c>
      <c r="E89" s="5" t="s">
        <v>15</v>
      </c>
      <c r="F89" s="5">
        <v>2020</v>
      </c>
      <c r="G89" s="6" t="s">
        <v>16</v>
      </c>
      <c r="H89" s="6">
        <v>200</v>
      </c>
      <c r="I89" s="6">
        <v>200</v>
      </c>
      <c r="J89" s="6"/>
      <c r="K89" s="10"/>
      <c r="L89" s="10">
        <v>20201118</v>
      </c>
      <c r="M89" s="36" t="str">
        <f t="shared" si="1"/>
        <v>19610320</v>
      </c>
    </row>
    <row r="90" s="1" customFormat="1" ht="16" customHeight="1" spans="1:13">
      <c r="A90" s="2">
        <v>3579</v>
      </c>
      <c r="B90" s="5" t="s">
        <v>7412</v>
      </c>
      <c r="C90" s="5" t="s">
        <v>5316</v>
      </c>
      <c r="D90" s="5" t="s">
        <v>7426</v>
      </c>
      <c r="E90" s="6">
        <v>2020</v>
      </c>
      <c r="F90" s="6">
        <v>2020</v>
      </c>
      <c r="G90" s="5" t="s">
        <v>3359</v>
      </c>
      <c r="H90" s="5">
        <v>200</v>
      </c>
      <c r="I90" s="5">
        <v>200</v>
      </c>
      <c r="J90" s="5"/>
      <c r="K90" s="5"/>
      <c r="L90" s="10">
        <v>20201118</v>
      </c>
      <c r="M90" s="36" t="str">
        <f t="shared" si="1"/>
        <v>19610320</v>
      </c>
    </row>
    <row r="91" s="1" customFormat="1" ht="16" customHeight="1" spans="1:13">
      <c r="A91" s="2">
        <v>942</v>
      </c>
      <c r="B91" s="5" t="s">
        <v>2469</v>
      </c>
      <c r="C91" s="9" t="s">
        <v>2475</v>
      </c>
      <c r="D91" s="9" t="s">
        <v>2476</v>
      </c>
      <c r="E91" s="5">
        <v>2020</v>
      </c>
      <c r="F91" s="5">
        <v>2020</v>
      </c>
      <c r="G91" s="9" t="s">
        <v>2477</v>
      </c>
      <c r="H91" s="9">
        <v>200</v>
      </c>
      <c r="I91" s="9">
        <v>200</v>
      </c>
      <c r="J91" s="17"/>
      <c r="K91" s="5"/>
      <c r="L91" s="10">
        <v>20201118</v>
      </c>
      <c r="M91" s="36" t="str">
        <f t="shared" si="1"/>
        <v>19610322</v>
      </c>
    </row>
    <row r="92" s="1" customFormat="1" ht="16" customHeight="1" spans="1:13">
      <c r="A92" s="2">
        <v>3250</v>
      </c>
      <c r="B92" s="3" t="s">
        <v>6671</v>
      </c>
      <c r="C92" s="6" t="s">
        <v>7003</v>
      </c>
      <c r="D92" s="6" t="s">
        <v>7004</v>
      </c>
      <c r="E92" s="3" t="s">
        <v>15</v>
      </c>
      <c r="F92" s="3" t="s">
        <v>15</v>
      </c>
      <c r="G92" s="6" t="s">
        <v>3359</v>
      </c>
      <c r="H92" s="9">
        <v>200</v>
      </c>
      <c r="I92" s="9">
        <v>200</v>
      </c>
      <c r="J92" s="6" t="s">
        <v>108</v>
      </c>
      <c r="K92" s="5"/>
      <c r="L92" s="10">
        <v>20201118</v>
      </c>
      <c r="M92" s="36" t="str">
        <f t="shared" si="1"/>
        <v>19610327</v>
      </c>
    </row>
    <row r="93" s="1" customFormat="1" ht="16" customHeight="1" spans="1:13">
      <c r="A93" s="2">
        <v>8087</v>
      </c>
      <c r="B93" s="5" t="s">
        <v>15086</v>
      </c>
      <c r="C93" s="6" t="s">
        <v>15368</v>
      </c>
      <c r="D93" s="293" t="s">
        <v>15369</v>
      </c>
      <c r="E93" s="5" t="s">
        <v>310</v>
      </c>
      <c r="F93" s="5">
        <v>2020</v>
      </c>
      <c r="G93" s="5" t="s">
        <v>289</v>
      </c>
      <c r="H93" s="6">
        <v>200</v>
      </c>
      <c r="I93" s="5">
        <v>2000</v>
      </c>
      <c r="J93" s="5"/>
      <c r="K93" s="5"/>
      <c r="L93" s="10">
        <v>20201118</v>
      </c>
      <c r="M93" s="36" t="str">
        <f t="shared" si="1"/>
        <v>19610328</v>
      </c>
    </row>
    <row r="94" s="1" customFormat="1" ht="16" customHeight="1" spans="1:13">
      <c r="A94" s="2">
        <v>3580</v>
      </c>
      <c r="B94" s="5" t="s">
        <v>7412</v>
      </c>
      <c r="C94" s="5" t="s">
        <v>7427</v>
      </c>
      <c r="D94" s="5" t="s">
        <v>7428</v>
      </c>
      <c r="E94" s="6">
        <v>2020</v>
      </c>
      <c r="F94" s="6">
        <v>2020</v>
      </c>
      <c r="G94" s="5" t="s">
        <v>3359</v>
      </c>
      <c r="H94" s="5">
        <v>200</v>
      </c>
      <c r="I94" s="5">
        <v>200</v>
      </c>
      <c r="J94" s="5"/>
      <c r="K94" s="5"/>
      <c r="L94" s="10">
        <v>20201118</v>
      </c>
      <c r="M94" s="36" t="str">
        <f t="shared" si="1"/>
        <v>19610330</v>
      </c>
    </row>
    <row r="95" s="1" customFormat="1" ht="16" customHeight="1" spans="1:13">
      <c r="A95" s="2">
        <v>3581</v>
      </c>
      <c r="B95" s="5" t="s">
        <v>7412</v>
      </c>
      <c r="C95" s="5" t="s">
        <v>7429</v>
      </c>
      <c r="D95" s="5" t="s">
        <v>7430</v>
      </c>
      <c r="E95" s="6">
        <v>2020</v>
      </c>
      <c r="F95" s="6">
        <v>2020</v>
      </c>
      <c r="G95" s="5" t="s">
        <v>3359</v>
      </c>
      <c r="H95" s="5">
        <v>200</v>
      </c>
      <c r="I95" s="5">
        <v>200</v>
      </c>
      <c r="J95" s="5"/>
      <c r="K95" s="5"/>
      <c r="L95" s="10">
        <v>20201118</v>
      </c>
      <c r="M95" s="36" t="str">
        <f t="shared" si="1"/>
        <v>19610404</v>
      </c>
    </row>
    <row r="96" s="1" customFormat="1" ht="16" customHeight="1" spans="1:13">
      <c r="A96" s="2">
        <v>4155</v>
      </c>
      <c r="B96" s="9" t="s">
        <v>8515</v>
      </c>
      <c r="C96" s="9" t="s">
        <v>8518</v>
      </c>
      <c r="D96" s="9" t="s">
        <v>8519</v>
      </c>
      <c r="E96" s="5" t="s">
        <v>15</v>
      </c>
      <c r="F96" s="5">
        <v>2020</v>
      </c>
      <c r="G96" s="9" t="s">
        <v>2480</v>
      </c>
      <c r="H96" s="9">
        <v>200</v>
      </c>
      <c r="I96" s="9">
        <v>200</v>
      </c>
      <c r="J96" s="9"/>
      <c r="K96" s="9"/>
      <c r="L96" s="10">
        <v>20201118</v>
      </c>
      <c r="M96" s="36" t="str">
        <f t="shared" si="1"/>
        <v>19610405</v>
      </c>
    </row>
    <row r="97" s="1" customFormat="1" ht="16" customHeight="1" spans="1:13">
      <c r="A97" s="2">
        <v>4486</v>
      </c>
      <c r="B97" s="6" t="s">
        <v>9015</v>
      </c>
      <c r="C97" s="6" t="s">
        <v>9155</v>
      </c>
      <c r="D97" s="6" t="s">
        <v>9156</v>
      </c>
      <c r="E97" s="6">
        <v>2020</v>
      </c>
      <c r="F97" s="6">
        <v>2020</v>
      </c>
      <c r="G97" s="6" t="s">
        <v>16</v>
      </c>
      <c r="H97" s="6">
        <v>200</v>
      </c>
      <c r="I97" s="6">
        <v>200</v>
      </c>
      <c r="J97" s="6"/>
      <c r="K97" s="6"/>
      <c r="L97" s="10">
        <v>20201118</v>
      </c>
      <c r="M97" s="36" t="str">
        <f t="shared" si="1"/>
        <v>19610406</v>
      </c>
    </row>
    <row r="98" s="1" customFormat="1" ht="16" customHeight="1" spans="1:13">
      <c r="A98" s="2">
        <v>472</v>
      </c>
      <c r="B98" s="29" t="s">
        <v>1040</v>
      </c>
      <c r="C98" s="29" t="s">
        <v>1220</v>
      </c>
      <c r="D98" s="29" t="s">
        <v>1221</v>
      </c>
      <c r="E98" s="30">
        <v>2020</v>
      </c>
      <c r="F98" s="30">
        <v>2020</v>
      </c>
      <c r="G98" s="29" t="s">
        <v>16</v>
      </c>
      <c r="H98" s="29">
        <v>200</v>
      </c>
      <c r="I98" s="29">
        <v>200</v>
      </c>
      <c r="J98" s="29"/>
      <c r="K98" s="47"/>
      <c r="L98" s="2" t="s">
        <v>330</v>
      </c>
      <c r="M98" s="36" t="str">
        <f t="shared" si="1"/>
        <v>19610407</v>
      </c>
    </row>
    <row r="99" s="1" customFormat="1" ht="16" customHeight="1" spans="1:13">
      <c r="A99" s="2">
        <v>5210</v>
      </c>
      <c r="B99" s="33" t="s">
        <v>10535</v>
      </c>
      <c r="C99" s="34" t="s">
        <v>10542</v>
      </c>
      <c r="D99" s="34" t="s">
        <v>10543</v>
      </c>
      <c r="E99" s="35">
        <v>2020</v>
      </c>
      <c r="F99" s="35">
        <v>2020</v>
      </c>
      <c r="G99" s="35" t="s">
        <v>16</v>
      </c>
      <c r="H99" s="34">
        <v>200</v>
      </c>
      <c r="I99" s="34">
        <v>200</v>
      </c>
      <c r="J99" s="49"/>
      <c r="K99" s="10"/>
      <c r="L99" s="10">
        <v>20201118</v>
      </c>
      <c r="M99" s="36" t="str">
        <f t="shared" si="1"/>
        <v>19610408</v>
      </c>
    </row>
    <row r="100" s="1" customFormat="1" ht="16" customHeight="1" spans="1:13">
      <c r="A100" s="2">
        <v>3582</v>
      </c>
      <c r="B100" s="5" t="s">
        <v>7412</v>
      </c>
      <c r="C100" s="5" t="s">
        <v>7431</v>
      </c>
      <c r="D100" s="5" t="s">
        <v>7432</v>
      </c>
      <c r="E100" s="6">
        <v>2020</v>
      </c>
      <c r="F100" s="6">
        <v>2020</v>
      </c>
      <c r="G100" s="5" t="s">
        <v>3359</v>
      </c>
      <c r="H100" s="5">
        <v>200</v>
      </c>
      <c r="I100" s="5">
        <v>200</v>
      </c>
      <c r="J100" s="5"/>
      <c r="K100" s="5"/>
      <c r="L100" s="10">
        <v>20201118</v>
      </c>
      <c r="M100" s="36" t="str">
        <f t="shared" si="1"/>
        <v>19610410</v>
      </c>
    </row>
    <row r="101" s="1" customFormat="1" ht="16" customHeight="1" spans="1:13">
      <c r="A101" s="2">
        <v>151</v>
      </c>
      <c r="B101" s="14" t="s">
        <v>327</v>
      </c>
      <c r="C101" s="14" t="s">
        <v>341</v>
      </c>
      <c r="D101" s="14" t="s">
        <v>342</v>
      </c>
      <c r="E101" s="5">
        <v>2020</v>
      </c>
      <c r="F101" s="5">
        <v>2020</v>
      </c>
      <c r="G101" s="14" t="s">
        <v>16</v>
      </c>
      <c r="H101" s="14">
        <v>200</v>
      </c>
      <c r="I101" s="14">
        <v>200</v>
      </c>
      <c r="J101" s="14"/>
      <c r="K101" s="10"/>
      <c r="L101" s="2" t="s">
        <v>330</v>
      </c>
      <c r="M101" s="36" t="str">
        <f t="shared" si="1"/>
        <v>19610412</v>
      </c>
    </row>
    <row r="102" s="1" customFormat="1" ht="16" customHeight="1" spans="1:13">
      <c r="A102" s="2">
        <v>7603</v>
      </c>
      <c r="B102" s="5" t="s">
        <v>14402</v>
      </c>
      <c r="C102" s="5" t="s">
        <v>14805</v>
      </c>
      <c r="D102" s="5" t="s">
        <v>14806</v>
      </c>
      <c r="E102" s="5">
        <v>2020</v>
      </c>
      <c r="F102" s="5">
        <v>2020</v>
      </c>
      <c r="G102" s="17" t="s">
        <v>16</v>
      </c>
      <c r="H102" s="5">
        <v>200</v>
      </c>
      <c r="I102" s="5">
        <v>200</v>
      </c>
      <c r="J102" s="5"/>
      <c r="K102" s="10"/>
      <c r="L102" s="10">
        <v>20201118</v>
      </c>
      <c r="M102" s="36" t="str">
        <f t="shared" si="1"/>
        <v>19610415</v>
      </c>
    </row>
    <row r="103" s="1" customFormat="1" ht="16" customHeight="1" spans="1:13">
      <c r="A103" s="2">
        <v>7795</v>
      </c>
      <c r="B103" s="5" t="s">
        <v>14875</v>
      </c>
      <c r="C103" s="51" t="s">
        <v>15042</v>
      </c>
      <c r="D103" s="24" t="str">
        <f>"152326196104187124"</f>
        <v>152326196104187124</v>
      </c>
      <c r="E103" s="6" t="s">
        <v>15</v>
      </c>
      <c r="F103" s="6">
        <v>2020</v>
      </c>
      <c r="G103" s="24" t="s">
        <v>14877</v>
      </c>
      <c r="H103" s="6">
        <v>200</v>
      </c>
      <c r="I103" s="6">
        <v>200</v>
      </c>
      <c r="J103" s="6"/>
      <c r="K103" s="10"/>
      <c r="L103" s="10">
        <v>20201118</v>
      </c>
      <c r="M103" s="36" t="str">
        <f t="shared" si="1"/>
        <v>19610418</v>
      </c>
    </row>
    <row r="104" s="1" customFormat="1" ht="16" customHeight="1" spans="1:13">
      <c r="A104" s="2">
        <v>5577</v>
      </c>
      <c r="B104" s="30" t="s">
        <v>11090</v>
      </c>
      <c r="C104" s="30" t="s">
        <v>11248</v>
      </c>
      <c r="D104" s="30" t="s">
        <v>11249</v>
      </c>
      <c r="E104" s="5" t="s">
        <v>15</v>
      </c>
      <c r="F104" s="5" t="s">
        <v>10250</v>
      </c>
      <c r="G104" s="6" t="s">
        <v>16</v>
      </c>
      <c r="H104" s="32">
        <v>1000</v>
      </c>
      <c r="I104" s="32">
        <v>1000</v>
      </c>
      <c r="J104" s="6"/>
      <c r="K104" s="48"/>
      <c r="L104" s="10">
        <v>20201118</v>
      </c>
      <c r="M104" s="36" t="str">
        <f t="shared" si="1"/>
        <v>19610420</v>
      </c>
    </row>
    <row r="105" s="1" customFormat="1" ht="16" customHeight="1" spans="1:13">
      <c r="A105" s="2">
        <v>5211</v>
      </c>
      <c r="B105" s="33" t="s">
        <v>10535</v>
      </c>
      <c r="C105" s="34" t="s">
        <v>10544</v>
      </c>
      <c r="D105" s="34" t="s">
        <v>10545</v>
      </c>
      <c r="E105" s="35">
        <v>2020</v>
      </c>
      <c r="F105" s="35">
        <v>2020</v>
      </c>
      <c r="G105" s="35" t="s">
        <v>16</v>
      </c>
      <c r="H105" s="34">
        <v>200</v>
      </c>
      <c r="I105" s="34">
        <v>200</v>
      </c>
      <c r="J105" s="49"/>
      <c r="K105" s="10"/>
      <c r="L105" s="10">
        <v>20201118</v>
      </c>
      <c r="M105" s="36" t="str">
        <f t="shared" si="1"/>
        <v>19610421</v>
      </c>
    </row>
    <row r="106" s="1" customFormat="1" ht="16" customHeight="1" spans="1:13">
      <c r="A106" s="2">
        <v>5212</v>
      </c>
      <c r="B106" s="33" t="s">
        <v>10535</v>
      </c>
      <c r="C106" s="34" t="s">
        <v>10546</v>
      </c>
      <c r="D106" s="34" t="s">
        <v>10547</v>
      </c>
      <c r="E106" s="35">
        <v>2020</v>
      </c>
      <c r="F106" s="35">
        <v>2020</v>
      </c>
      <c r="G106" s="35" t="s">
        <v>16</v>
      </c>
      <c r="H106" s="34">
        <v>200</v>
      </c>
      <c r="I106" s="34">
        <v>200</v>
      </c>
      <c r="J106" s="49"/>
      <c r="K106" s="10"/>
      <c r="L106" s="10">
        <v>20201118</v>
      </c>
      <c r="M106" s="36" t="str">
        <f t="shared" si="1"/>
        <v>19610424</v>
      </c>
    </row>
    <row r="107" s="1" customFormat="1" ht="16" customHeight="1" spans="1:13">
      <c r="A107" s="2">
        <v>8145</v>
      </c>
      <c r="B107" s="5" t="s">
        <v>15406</v>
      </c>
      <c r="C107" s="6" t="s">
        <v>15483</v>
      </c>
      <c r="D107" s="6" t="s">
        <v>15484</v>
      </c>
      <c r="E107" s="5" t="s">
        <v>15</v>
      </c>
      <c r="F107" s="5">
        <v>2020</v>
      </c>
      <c r="G107" s="14" t="s">
        <v>16</v>
      </c>
      <c r="H107" s="6">
        <v>200</v>
      </c>
      <c r="I107" s="6">
        <v>200</v>
      </c>
      <c r="J107" s="5"/>
      <c r="K107" s="10"/>
      <c r="L107" s="10">
        <v>20201118</v>
      </c>
      <c r="M107" s="36" t="str">
        <f t="shared" si="1"/>
        <v>19610424</v>
      </c>
    </row>
    <row r="108" s="1" customFormat="1" ht="16" customHeight="1" spans="1:13">
      <c r="A108" s="2">
        <v>869</v>
      </c>
      <c r="B108" s="29" t="s">
        <v>1040</v>
      </c>
      <c r="C108" s="6" t="s">
        <v>2254</v>
      </c>
      <c r="D108" s="6" t="s">
        <v>2255</v>
      </c>
      <c r="E108" s="30">
        <v>2020</v>
      </c>
      <c r="F108" s="30">
        <v>2020</v>
      </c>
      <c r="G108" s="29" t="s">
        <v>16</v>
      </c>
      <c r="H108" s="29">
        <v>200</v>
      </c>
      <c r="I108" s="29">
        <v>200</v>
      </c>
      <c r="J108" s="32"/>
      <c r="K108" s="32"/>
      <c r="L108" s="14" t="s">
        <v>330</v>
      </c>
      <c r="M108" s="36" t="str">
        <f t="shared" si="1"/>
        <v>19610425</v>
      </c>
    </row>
    <row r="109" s="1" customFormat="1" ht="16" customHeight="1" spans="1:13">
      <c r="A109" s="2">
        <v>6214</v>
      </c>
      <c r="B109" s="5" t="s">
        <v>12263</v>
      </c>
      <c r="C109" s="5" t="s">
        <v>12455</v>
      </c>
      <c r="D109" s="5" t="s">
        <v>12456</v>
      </c>
      <c r="E109" s="5" t="s">
        <v>10250</v>
      </c>
      <c r="F109" s="5">
        <v>2020</v>
      </c>
      <c r="G109" s="17" t="s">
        <v>3359</v>
      </c>
      <c r="H109" s="5">
        <v>200</v>
      </c>
      <c r="I109" s="5">
        <v>200</v>
      </c>
      <c r="J109" s="5"/>
      <c r="K109" s="5"/>
      <c r="L109" s="10">
        <v>20201118</v>
      </c>
      <c r="M109" s="36" t="str">
        <f t="shared" si="1"/>
        <v>19610427</v>
      </c>
    </row>
    <row r="110" s="1" customFormat="1" ht="16" customHeight="1" spans="1:13">
      <c r="A110" s="2">
        <v>6246</v>
      </c>
      <c r="B110" s="5" t="s">
        <v>12263</v>
      </c>
      <c r="C110" s="5" t="s">
        <v>12514</v>
      </c>
      <c r="D110" s="5" t="s">
        <v>12515</v>
      </c>
      <c r="E110" s="5" t="s">
        <v>10250</v>
      </c>
      <c r="F110" s="5">
        <v>2020</v>
      </c>
      <c r="G110" s="17" t="s">
        <v>3359</v>
      </c>
      <c r="H110" s="5">
        <v>200</v>
      </c>
      <c r="I110" s="5">
        <v>200</v>
      </c>
      <c r="J110" s="5"/>
      <c r="K110" s="5"/>
      <c r="L110" s="10">
        <v>20201118</v>
      </c>
      <c r="M110" s="36" t="str">
        <f t="shared" si="1"/>
        <v>19610427</v>
      </c>
    </row>
    <row r="111" s="1" customFormat="1" ht="16" customHeight="1" spans="1:13">
      <c r="A111" s="2">
        <v>6050</v>
      </c>
      <c r="B111" s="30" t="s">
        <v>11090</v>
      </c>
      <c r="C111" s="32" t="s">
        <v>12143</v>
      </c>
      <c r="D111" s="12" t="s">
        <v>12144</v>
      </c>
      <c r="E111" s="5" t="s">
        <v>15</v>
      </c>
      <c r="F111" s="5" t="s">
        <v>10250</v>
      </c>
      <c r="G111" s="6" t="s">
        <v>16</v>
      </c>
      <c r="H111" s="32">
        <v>200</v>
      </c>
      <c r="I111" s="32">
        <v>200</v>
      </c>
      <c r="J111" s="5"/>
      <c r="K111" s="48"/>
      <c r="L111" s="10">
        <v>20201118</v>
      </c>
      <c r="M111" s="36" t="str">
        <f t="shared" si="1"/>
        <v>19610428</v>
      </c>
    </row>
    <row r="112" s="1" customFormat="1" ht="16" customHeight="1" spans="1:13">
      <c r="A112" s="2">
        <v>5213</v>
      </c>
      <c r="B112" s="33" t="s">
        <v>10535</v>
      </c>
      <c r="C112" s="34" t="s">
        <v>10548</v>
      </c>
      <c r="D112" s="34" t="s">
        <v>10549</v>
      </c>
      <c r="E112" s="35">
        <v>2020</v>
      </c>
      <c r="F112" s="35">
        <v>2020</v>
      </c>
      <c r="G112" s="35" t="s">
        <v>16</v>
      </c>
      <c r="H112" s="34">
        <v>200</v>
      </c>
      <c r="I112" s="34">
        <v>200</v>
      </c>
      <c r="J112" s="49"/>
      <c r="K112" s="10"/>
      <c r="L112" s="10">
        <v>20201118</v>
      </c>
      <c r="M112" s="36" t="str">
        <f t="shared" si="1"/>
        <v>19610430</v>
      </c>
    </row>
    <row r="113" s="1" customFormat="1" ht="16" customHeight="1" spans="1:13">
      <c r="A113" s="2">
        <v>1837</v>
      </c>
      <c r="B113" s="5" t="s">
        <v>4189</v>
      </c>
      <c r="C113" s="16" t="s">
        <v>4239</v>
      </c>
      <c r="D113" s="16" t="s">
        <v>4240</v>
      </c>
      <c r="E113" s="5" t="s">
        <v>15</v>
      </c>
      <c r="F113" s="5" t="s">
        <v>15</v>
      </c>
      <c r="G113" s="5" t="s">
        <v>3359</v>
      </c>
      <c r="H113" s="16">
        <v>200</v>
      </c>
      <c r="I113" s="16">
        <v>200</v>
      </c>
      <c r="J113" s="5"/>
      <c r="K113" s="10"/>
      <c r="L113" s="10">
        <v>20201118</v>
      </c>
      <c r="M113" s="36" t="str">
        <f t="shared" si="1"/>
        <v>19610503</v>
      </c>
    </row>
    <row r="114" s="1" customFormat="1" ht="16" customHeight="1" spans="1:13">
      <c r="A114" s="2">
        <v>7793</v>
      </c>
      <c r="B114" s="5" t="s">
        <v>14875</v>
      </c>
      <c r="C114" s="51" t="s">
        <v>15040</v>
      </c>
      <c r="D114" s="24" t="str">
        <f>"152326196105127123"</f>
        <v>152326196105127123</v>
      </c>
      <c r="E114" s="6" t="s">
        <v>15</v>
      </c>
      <c r="F114" s="6">
        <v>2020</v>
      </c>
      <c r="G114" s="24" t="s">
        <v>14877</v>
      </c>
      <c r="H114" s="6">
        <v>200</v>
      </c>
      <c r="I114" s="6">
        <v>200</v>
      </c>
      <c r="J114" s="6"/>
      <c r="K114" s="10"/>
      <c r="L114" s="10">
        <v>20201118</v>
      </c>
      <c r="M114" s="36" t="str">
        <f t="shared" si="1"/>
        <v>19610512</v>
      </c>
    </row>
    <row r="115" s="1" customFormat="1" ht="16" customHeight="1" spans="1:13">
      <c r="A115" s="2">
        <v>2148</v>
      </c>
      <c r="B115" s="9" t="s">
        <v>4837</v>
      </c>
      <c r="C115" s="9" t="s">
        <v>4845</v>
      </c>
      <c r="D115" s="9" t="s">
        <v>4846</v>
      </c>
      <c r="E115" s="6" t="s">
        <v>15</v>
      </c>
      <c r="F115" s="6">
        <v>2020</v>
      </c>
      <c r="G115" s="9" t="s">
        <v>2480</v>
      </c>
      <c r="H115" s="9">
        <v>200</v>
      </c>
      <c r="I115" s="9">
        <v>200</v>
      </c>
      <c r="J115" s="6"/>
      <c r="K115" s="10"/>
      <c r="L115" s="10">
        <v>20201118</v>
      </c>
      <c r="M115" s="36" t="str">
        <f t="shared" si="1"/>
        <v>19610513</v>
      </c>
    </row>
    <row r="116" s="1" customFormat="1" ht="16" customHeight="1" spans="1:13">
      <c r="A116" s="2">
        <v>4498</v>
      </c>
      <c r="B116" s="6" t="s">
        <v>9015</v>
      </c>
      <c r="C116" s="6" t="s">
        <v>9179</v>
      </c>
      <c r="D116" s="6" t="s">
        <v>9180</v>
      </c>
      <c r="E116" s="6">
        <v>2020</v>
      </c>
      <c r="F116" s="6">
        <v>2020</v>
      </c>
      <c r="G116" s="6" t="s">
        <v>16</v>
      </c>
      <c r="H116" s="6">
        <v>200</v>
      </c>
      <c r="I116" s="6">
        <v>200</v>
      </c>
      <c r="J116" s="6"/>
      <c r="K116" s="6"/>
      <c r="L116" s="10">
        <v>20201118</v>
      </c>
      <c r="M116" s="36" t="str">
        <f t="shared" si="1"/>
        <v>19610513</v>
      </c>
    </row>
    <row r="117" s="1" customFormat="1" ht="16" customHeight="1" spans="1:13">
      <c r="A117" s="2">
        <v>943</v>
      </c>
      <c r="B117" s="5" t="s">
        <v>2469</v>
      </c>
      <c r="C117" s="9" t="s">
        <v>2478</v>
      </c>
      <c r="D117" s="9" t="s">
        <v>2479</v>
      </c>
      <c r="E117" s="5">
        <v>2020</v>
      </c>
      <c r="F117" s="5">
        <v>2020</v>
      </c>
      <c r="G117" s="9" t="s">
        <v>2480</v>
      </c>
      <c r="H117" s="9">
        <v>200</v>
      </c>
      <c r="I117" s="9">
        <v>200</v>
      </c>
      <c r="J117" s="17"/>
      <c r="K117" s="5"/>
      <c r="L117" s="10">
        <v>20201118</v>
      </c>
      <c r="M117" s="36" t="str">
        <f t="shared" si="1"/>
        <v>19610520</v>
      </c>
    </row>
    <row r="118" s="1" customFormat="1" ht="16" customHeight="1" spans="1:13">
      <c r="A118" s="2">
        <v>618</v>
      </c>
      <c r="B118" s="29" t="s">
        <v>1040</v>
      </c>
      <c r="C118" s="29" t="s">
        <v>1512</v>
      </c>
      <c r="D118" s="29" t="s">
        <v>1513</v>
      </c>
      <c r="E118" s="30">
        <v>2020</v>
      </c>
      <c r="F118" s="30">
        <v>2020</v>
      </c>
      <c r="G118" s="29" t="s">
        <v>16</v>
      </c>
      <c r="H118" s="29">
        <v>200</v>
      </c>
      <c r="I118" s="29">
        <v>200</v>
      </c>
      <c r="J118" s="29"/>
      <c r="K118" s="47"/>
      <c r="L118" s="2" t="s">
        <v>330</v>
      </c>
      <c r="M118" s="36" t="str">
        <f t="shared" si="1"/>
        <v>19610521</v>
      </c>
    </row>
    <row r="119" s="1" customFormat="1" ht="16" customHeight="1" spans="1:13">
      <c r="A119" s="2">
        <v>2149</v>
      </c>
      <c r="B119" s="9" t="s">
        <v>4837</v>
      </c>
      <c r="C119" s="9" t="s">
        <v>4847</v>
      </c>
      <c r="D119" s="9" t="s">
        <v>4848</v>
      </c>
      <c r="E119" s="6" t="s">
        <v>15</v>
      </c>
      <c r="F119" s="6">
        <v>2020</v>
      </c>
      <c r="G119" s="9" t="s">
        <v>2480</v>
      </c>
      <c r="H119" s="9">
        <v>200</v>
      </c>
      <c r="I119" s="9">
        <v>200</v>
      </c>
      <c r="J119" s="6"/>
      <c r="K119" s="10"/>
      <c r="L119" s="10">
        <v>20201118</v>
      </c>
      <c r="M119" s="36" t="str">
        <f t="shared" si="1"/>
        <v>19610521</v>
      </c>
    </row>
    <row r="120" s="1" customFormat="1" ht="16" customHeight="1" spans="1:13">
      <c r="A120" s="2">
        <v>4156</v>
      </c>
      <c r="B120" s="9" t="s">
        <v>8515</v>
      </c>
      <c r="C120" s="9" t="s">
        <v>8520</v>
      </c>
      <c r="D120" s="9" t="s">
        <v>8521</v>
      </c>
      <c r="E120" s="5" t="s">
        <v>15</v>
      </c>
      <c r="F120" s="5">
        <v>2020</v>
      </c>
      <c r="G120" s="9" t="s">
        <v>2480</v>
      </c>
      <c r="H120" s="9">
        <v>200</v>
      </c>
      <c r="I120" s="9">
        <v>200</v>
      </c>
      <c r="J120" s="9"/>
      <c r="K120" s="9"/>
      <c r="L120" s="10">
        <v>20201118</v>
      </c>
      <c r="M120" s="36" t="str">
        <f t="shared" si="1"/>
        <v>19610521</v>
      </c>
    </row>
    <row r="121" s="1" customFormat="1" ht="16" customHeight="1" spans="1:13">
      <c r="A121" s="2">
        <v>2150</v>
      </c>
      <c r="B121" s="9" t="s">
        <v>4837</v>
      </c>
      <c r="C121" s="9" t="s">
        <v>4849</v>
      </c>
      <c r="D121" s="9" t="s">
        <v>4850</v>
      </c>
      <c r="E121" s="6" t="s">
        <v>15</v>
      </c>
      <c r="F121" s="6">
        <v>2020</v>
      </c>
      <c r="G121" s="9" t="s">
        <v>2480</v>
      </c>
      <c r="H121" s="9">
        <v>200</v>
      </c>
      <c r="I121" s="9">
        <v>200</v>
      </c>
      <c r="J121" s="6"/>
      <c r="K121" s="10"/>
      <c r="L121" s="10">
        <v>20201118</v>
      </c>
      <c r="M121" s="36" t="str">
        <f t="shared" si="1"/>
        <v>19610523</v>
      </c>
    </row>
    <row r="122" s="1" customFormat="1" ht="16" customHeight="1" spans="1:13">
      <c r="A122" s="2">
        <v>2151</v>
      </c>
      <c r="B122" s="9" t="s">
        <v>4837</v>
      </c>
      <c r="C122" s="9" t="s">
        <v>4851</v>
      </c>
      <c r="D122" s="9" t="s">
        <v>4852</v>
      </c>
      <c r="E122" s="6" t="s">
        <v>15</v>
      </c>
      <c r="F122" s="6">
        <v>2020</v>
      </c>
      <c r="G122" s="9" t="s">
        <v>2480</v>
      </c>
      <c r="H122" s="9">
        <v>200</v>
      </c>
      <c r="I122" s="9">
        <v>200</v>
      </c>
      <c r="J122" s="6"/>
      <c r="K122" s="10"/>
      <c r="L122" s="10">
        <v>20201118</v>
      </c>
      <c r="M122" s="36" t="str">
        <f t="shared" si="1"/>
        <v>19610525</v>
      </c>
    </row>
    <row r="123" s="1" customFormat="1" ht="16" customHeight="1" spans="1:13">
      <c r="A123" s="2">
        <v>1411</v>
      </c>
      <c r="B123" s="5" t="s">
        <v>3381</v>
      </c>
      <c r="C123" s="9" t="s">
        <v>3392</v>
      </c>
      <c r="D123" s="9" t="s">
        <v>3393</v>
      </c>
      <c r="E123" s="5">
        <v>2020</v>
      </c>
      <c r="F123" s="5">
        <v>2020</v>
      </c>
      <c r="G123" s="14" t="s">
        <v>16</v>
      </c>
      <c r="H123" s="6">
        <v>200</v>
      </c>
      <c r="I123" s="6">
        <v>200</v>
      </c>
      <c r="J123" s="5"/>
      <c r="K123" s="13"/>
      <c r="L123" s="10">
        <v>20201118</v>
      </c>
      <c r="M123" s="36" t="str">
        <f t="shared" si="1"/>
        <v>19610602</v>
      </c>
    </row>
    <row r="124" s="1" customFormat="1" ht="16" customHeight="1" spans="1:13">
      <c r="A124" s="2">
        <v>6257</v>
      </c>
      <c r="B124" s="5" t="s">
        <v>12263</v>
      </c>
      <c r="C124" s="5" t="s">
        <v>12535</v>
      </c>
      <c r="D124" s="5" t="s">
        <v>12536</v>
      </c>
      <c r="E124" s="5" t="s">
        <v>10250</v>
      </c>
      <c r="F124" s="5">
        <v>2020</v>
      </c>
      <c r="G124" s="17" t="s">
        <v>3359</v>
      </c>
      <c r="H124" s="5">
        <v>200</v>
      </c>
      <c r="I124" s="5">
        <v>200</v>
      </c>
      <c r="J124" s="5"/>
      <c r="K124" s="5"/>
      <c r="L124" s="10">
        <v>20201118</v>
      </c>
      <c r="M124" s="36" t="str">
        <f t="shared" si="1"/>
        <v>19610605</v>
      </c>
    </row>
    <row r="125" s="1" customFormat="1" ht="16" customHeight="1" spans="1:13">
      <c r="A125" s="2">
        <v>6123</v>
      </c>
      <c r="B125" s="5" t="s">
        <v>12263</v>
      </c>
      <c r="C125" s="5" t="s">
        <v>12282</v>
      </c>
      <c r="D125" s="5" t="s">
        <v>12283</v>
      </c>
      <c r="E125" s="5" t="s">
        <v>10250</v>
      </c>
      <c r="F125" s="5">
        <v>2020</v>
      </c>
      <c r="G125" s="17" t="s">
        <v>3359</v>
      </c>
      <c r="H125" s="5">
        <v>400</v>
      </c>
      <c r="I125" s="5">
        <v>400</v>
      </c>
      <c r="J125" s="5"/>
      <c r="K125" s="5"/>
      <c r="L125" s="10">
        <v>20201118</v>
      </c>
      <c r="M125" s="36" t="str">
        <f t="shared" si="1"/>
        <v>19610608</v>
      </c>
    </row>
    <row r="126" s="1" customFormat="1" ht="16" customHeight="1" spans="1:13">
      <c r="A126" s="2">
        <v>6225</v>
      </c>
      <c r="B126" s="5" t="s">
        <v>12263</v>
      </c>
      <c r="C126" s="5" t="s">
        <v>12476</v>
      </c>
      <c r="D126" s="5" t="s">
        <v>12477</v>
      </c>
      <c r="E126" s="5" t="s">
        <v>10250</v>
      </c>
      <c r="F126" s="5">
        <v>2020</v>
      </c>
      <c r="G126" s="17" t="s">
        <v>3359</v>
      </c>
      <c r="H126" s="5">
        <v>200</v>
      </c>
      <c r="I126" s="5">
        <v>200</v>
      </c>
      <c r="J126" s="5"/>
      <c r="K126" s="5"/>
      <c r="L126" s="10">
        <v>20201118</v>
      </c>
      <c r="M126" s="36" t="str">
        <f t="shared" si="1"/>
        <v>19610618</v>
      </c>
    </row>
    <row r="127" s="1" customFormat="1" ht="16" customHeight="1" spans="1:13">
      <c r="A127" s="2">
        <v>6334</v>
      </c>
      <c r="B127" s="5" t="s">
        <v>12263</v>
      </c>
      <c r="C127" s="5" t="s">
        <v>12684</v>
      </c>
      <c r="D127" s="5" t="s">
        <v>12685</v>
      </c>
      <c r="E127" s="5" t="s">
        <v>10250</v>
      </c>
      <c r="F127" s="5">
        <v>2020</v>
      </c>
      <c r="G127" s="17" t="s">
        <v>3359</v>
      </c>
      <c r="H127" s="5" t="s">
        <v>311</v>
      </c>
      <c r="I127" s="5">
        <v>200</v>
      </c>
      <c r="J127" s="5"/>
      <c r="K127" s="5"/>
      <c r="L127" s="10">
        <v>20201118</v>
      </c>
      <c r="M127" s="36" t="str">
        <f t="shared" si="1"/>
        <v>19610618</v>
      </c>
    </row>
    <row r="128" s="1" customFormat="1" ht="16" customHeight="1" spans="1:13">
      <c r="A128" s="2">
        <v>5911</v>
      </c>
      <c r="B128" s="30" t="s">
        <v>11090</v>
      </c>
      <c r="C128" s="30" t="s">
        <v>11873</v>
      </c>
      <c r="D128" s="30" t="s">
        <v>11874</v>
      </c>
      <c r="E128" s="5" t="s">
        <v>15</v>
      </c>
      <c r="F128" s="5" t="s">
        <v>10250</v>
      </c>
      <c r="G128" s="6" t="s">
        <v>16</v>
      </c>
      <c r="H128" s="32">
        <v>200</v>
      </c>
      <c r="I128" s="32">
        <v>200</v>
      </c>
      <c r="J128" s="6"/>
      <c r="K128" s="48"/>
      <c r="L128" s="10">
        <v>20201118</v>
      </c>
      <c r="M128" s="36" t="str">
        <f t="shared" si="1"/>
        <v>19610619</v>
      </c>
    </row>
    <row r="129" s="1" customFormat="1" ht="16" customHeight="1" spans="1:13">
      <c r="A129" s="2">
        <v>3010</v>
      </c>
      <c r="B129" s="6" t="s">
        <v>6075</v>
      </c>
      <c r="C129" s="25" t="s">
        <v>6544</v>
      </c>
      <c r="D129" s="26" t="s">
        <v>6545</v>
      </c>
      <c r="E129" s="5" t="s">
        <v>15</v>
      </c>
      <c r="F129" s="5">
        <v>2020</v>
      </c>
      <c r="G129" s="6" t="s">
        <v>16</v>
      </c>
      <c r="H129" s="6">
        <v>200</v>
      </c>
      <c r="I129" s="6">
        <v>200</v>
      </c>
      <c r="J129" s="6" t="s">
        <v>6345</v>
      </c>
      <c r="K129" s="10"/>
      <c r="L129" s="10">
        <v>20201118</v>
      </c>
      <c r="M129" s="36" t="str">
        <f t="shared" si="1"/>
        <v>19610620</v>
      </c>
    </row>
    <row r="130" s="1" customFormat="1" ht="16" customHeight="1" spans="1:13">
      <c r="A130" s="2">
        <v>1830</v>
      </c>
      <c r="B130" s="5" t="s">
        <v>4189</v>
      </c>
      <c r="C130" s="16" t="s">
        <v>4225</v>
      </c>
      <c r="D130" s="16" t="s">
        <v>4226</v>
      </c>
      <c r="E130" s="5" t="s">
        <v>15</v>
      </c>
      <c r="F130" s="5" t="s">
        <v>15</v>
      </c>
      <c r="G130" s="5" t="s">
        <v>3359</v>
      </c>
      <c r="H130" s="16">
        <v>200</v>
      </c>
      <c r="I130" s="16">
        <v>200</v>
      </c>
      <c r="J130" s="5"/>
      <c r="K130" s="10"/>
      <c r="L130" s="10">
        <v>20201118</v>
      </c>
      <c r="M130" s="36" t="str">
        <f t="shared" ref="M130:M193" si="2">MID(D130,7,8)</f>
        <v>19610626</v>
      </c>
    </row>
    <row r="131" s="1" customFormat="1" ht="16" customHeight="1" spans="1:13">
      <c r="A131" s="2">
        <v>3507</v>
      </c>
      <c r="B131" s="5" t="s">
        <v>3375</v>
      </c>
      <c r="C131" s="6" t="s">
        <v>7296</v>
      </c>
      <c r="D131" s="6" t="str">
        <f>"152326196106266897"</f>
        <v>152326196106266897</v>
      </c>
      <c r="E131" s="5" t="s">
        <v>15</v>
      </c>
      <c r="F131" s="5">
        <v>2020</v>
      </c>
      <c r="G131" s="14" t="s">
        <v>16</v>
      </c>
      <c r="H131" s="17">
        <v>200</v>
      </c>
      <c r="I131" s="17">
        <v>200</v>
      </c>
      <c r="J131" s="6"/>
      <c r="K131" s="10"/>
      <c r="L131" s="10">
        <v>20201118</v>
      </c>
      <c r="M131" s="36" t="str">
        <f t="shared" si="2"/>
        <v>19610626</v>
      </c>
    </row>
    <row r="132" s="1" customFormat="1" ht="16" customHeight="1" spans="1:13">
      <c r="A132" s="2">
        <v>3583</v>
      </c>
      <c r="B132" s="5" t="s">
        <v>7412</v>
      </c>
      <c r="C132" s="5" t="s">
        <v>7433</v>
      </c>
      <c r="D132" s="5" t="s">
        <v>7434</v>
      </c>
      <c r="E132" s="6">
        <v>2020</v>
      </c>
      <c r="F132" s="6">
        <v>2020</v>
      </c>
      <c r="G132" s="5" t="s">
        <v>3359</v>
      </c>
      <c r="H132" s="5">
        <v>200</v>
      </c>
      <c r="I132" s="5">
        <v>200</v>
      </c>
      <c r="J132" s="5" t="s">
        <v>7435</v>
      </c>
      <c r="K132" s="5"/>
      <c r="L132" s="10">
        <v>20201118</v>
      </c>
      <c r="M132" s="36" t="str">
        <f t="shared" si="2"/>
        <v>19610626</v>
      </c>
    </row>
    <row r="133" s="1" customFormat="1" ht="16" customHeight="1" spans="1:13">
      <c r="A133" s="2">
        <v>1412</v>
      </c>
      <c r="B133" s="5" t="s">
        <v>3381</v>
      </c>
      <c r="C133" s="9" t="s">
        <v>3394</v>
      </c>
      <c r="D133" s="9" t="s">
        <v>3395</v>
      </c>
      <c r="E133" s="5">
        <v>2020</v>
      </c>
      <c r="F133" s="5">
        <v>2020</v>
      </c>
      <c r="G133" s="14" t="s">
        <v>16</v>
      </c>
      <c r="H133" s="6">
        <v>200</v>
      </c>
      <c r="I133" s="6">
        <v>200</v>
      </c>
      <c r="J133" s="5"/>
      <c r="K133" s="13"/>
      <c r="L133" s="10">
        <v>20201118</v>
      </c>
      <c r="M133" s="36" t="str">
        <f t="shared" si="2"/>
        <v>19610627</v>
      </c>
    </row>
    <row r="134" s="1" customFormat="1" ht="16" customHeight="1" spans="1:13">
      <c r="A134" s="2">
        <v>4432</v>
      </c>
      <c r="B134" s="6" t="s">
        <v>9015</v>
      </c>
      <c r="C134" s="6" t="s">
        <v>9053</v>
      </c>
      <c r="D134" s="6" t="s">
        <v>9054</v>
      </c>
      <c r="E134" s="6">
        <v>2020</v>
      </c>
      <c r="F134" s="6">
        <v>2020</v>
      </c>
      <c r="G134" s="6" t="s">
        <v>16</v>
      </c>
      <c r="H134" s="6">
        <v>200</v>
      </c>
      <c r="I134" s="6">
        <v>200</v>
      </c>
      <c r="J134" s="6"/>
      <c r="K134" s="6"/>
      <c r="L134" s="10">
        <v>20201118</v>
      </c>
      <c r="M134" s="36" t="str">
        <f t="shared" si="2"/>
        <v>19610630</v>
      </c>
    </row>
    <row r="135" s="1" customFormat="1" ht="16" customHeight="1" spans="1:13">
      <c r="A135" s="2">
        <v>3115</v>
      </c>
      <c r="B135" s="3" t="s">
        <v>6671</v>
      </c>
      <c r="C135" s="9" t="s">
        <v>6751</v>
      </c>
      <c r="D135" s="9" t="s">
        <v>6752</v>
      </c>
      <c r="E135" s="3" t="s">
        <v>15</v>
      </c>
      <c r="F135" s="3" t="s">
        <v>15</v>
      </c>
      <c r="G135" s="6" t="s">
        <v>3359</v>
      </c>
      <c r="H135" s="9">
        <v>200</v>
      </c>
      <c r="I135" s="9">
        <v>200</v>
      </c>
      <c r="J135" s="6" t="s">
        <v>6753</v>
      </c>
      <c r="K135" s="5"/>
      <c r="L135" s="10">
        <v>20201118</v>
      </c>
      <c r="M135" s="36" t="str">
        <f t="shared" si="2"/>
        <v>19610701</v>
      </c>
    </row>
    <row r="136" s="1" customFormat="1" ht="16" customHeight="1" spans="1:13">
      <c r="A136" s="2">
        <v>212</v>
      </c>
      <c r="B136" s="14" t="s">
        <v>327</v>
      </c>
      <c r="C136" s="14" t="s">
        <v>522</v>
      </c>
      <c r="D136" s="14" t="s">
        <v>523</v>
      </c>
      <c r="E136" s="5">
        <v>2020</v>
      </c>
      <c r="F136" s="5">
        <v>2020</v>
      </c>
      <c r="G136" s="14" t="s">
        <v>16</v>
      </c>
      <c r="H136" s="28">
        <v>200</v>
      </c>
      <c r="I136" s="14">
        <v>200</v>
      </c>
      <c r="J136" s="14"/>
      <c r="K136" s="10"/>
      <c r="L136" s="14" t="s">
        <v>330</v>
      </c>
      <c r="M136" s="36" t="str">
        <f t="shared" si="2"/>
        <v>19610702</v>
      </c>
    </row>
    <row r="137" s="1" customFormat="1" ht="16" customHeight="1" spans="1:13">
      <c r="A137" s="2">
        <v>3584</v>
      </c>
      <c r="B137" s="5" t="s">
        <v>7412</v>
      </c>
      <c r="C137" s="5" t="s">
        <v>7436</v>
      </c>
      <c r="D137" s="5" t="s">
        <v>7437</v>
      </c>
      <c r="E137" s="6">
        <v>2020</v>
      </c>
      <c r="F137" s="6">
        <v>2020</v>
      </c>
      <c r="G137" s="5" t="s">
        <v>3359</v>
      </c>
      <c r="H137" s="5">
        <v>200</v>
      </c>
      <c r="I137" s="5">
        <v>200</v>
      </c>
      <c r="J137" s="5"/>
      <c r="K137" s="5"/>
      <c r="L137" s="10">
        <v>20201118</v>
      </c>
      <c r="M137" s="36" t="str">
        <f t="shared" si="2"/>
        <v>19610702</v>
      </c>
    </row>
    <row r="138" s="1" customFormat="1" ht="16" customHeight="1" spans="1:13">
      <c r="A138" s="2">
        <v>5602</v>
      </c>
      <c r="B138" s="30" t="s">
        <v>11090</v>
      </c>
      <c r="C138" s="30" t="s">
        <v>11295</v>
      </c>
      <c r="D138" s="30" t="s">
        <v>11296</v>
      </c>
      <c r="E138" s="5" t="s">
        <v>15</v>
      </c>
      <c r="F138" s="5" t="s">
        <v>10250</v>
      </c>
      <c r="G138" s="6" t="s">
        <v>16</v>
      </c>
      <c r="H138" s="32">
        <v>200</v>
      </c>
      <c r="I138" s="32">
        <v>200</v>
      </c>
      <c r="J138" s="6"/>
      <c r="K138" s="48"/>
      <c r="L138" s="10">
        <v>20201118</v>
      </c>
      <c r="M138" s="36" t="str">
        <f t="shared" si="2"/>
        <v>19610704</v>
      </c>
    </row>
    <row r="139" s="1" customFormat="1" ht="16" customHeight="1" spans="1:13">
      <c r="A139" s="2">
        <v>8200</v>
      </c>
      <c r="B139" s="5" t="s">
        <v>15406</v>
      </c>
      <c r="C139" s="6" t="s">
        <v>15584</v>
      </c>
      <c r="D139" s="6" t="s">
        <v>15585</v>
      </c>
      <c r="E139" s="5" t="s">
        <v>15</v>
      </c>
      <c r="F139" s="5">
        <v>2020</v>
      </c>
      <c r="G139" s="14" t="s">
        <v>16</v>
      </c>
      <c r="H139" s="6">
        <v>200</v>
      </c>
      <c r="I139" s="6">
        <v>200</v>
      </c>
      <c r="J139" s="5"/>
      <c r="K139" s="10"/>
      <c r="L139" s="10">
        <v>20201118</v>
      </c>
      <c r="M139" s="36" t="str">
        <f t="shared" si="2"/>
        <v>19610705</v>
      </c>
    </row>
    <row r="140" s="1" customFormat="1" ht="16" customHeight="1" spans="1:13">
      <c r="A140" s="2">
        <v>5214</v>
      </c>
      <c r="B140" s="33" t="s">
        <v>10535</v>
      </c>
      <c r="C140" s="34" t="s">
        <v>10550</v>
      </c>
      <c r="D140" s="34" t="s">
        <v>10551</v>
      </c>
      <c r="E140" s="35">
        <v>2020</v>
      </c>
      <c r="F140" s="35">
        <v>2020</v>
      </c>
      <c r="G140" s="35" t="s">
        <v>16</v>
      </c>
      <c r="H140" s="34">
        <v>200</v>
      </c>
      <c r="I140" s="34">
        <v>200</v>
      </c>
      <c r="J140" s="49"/>
      <c r="K140" s="10"/>
      <c r="L140" s="10">
        <v>20201118</v>
      </c>
      <c r="M140" s="36" t="str">
        <f t="shared" si="2"/>
        <v>19610707</v>
      </c>
    </row>
    <row r="141" s="1" customFormat="1" ht="16" customHeight="1" spans="1:13">
      <c r="A141" s="2">
        <v>7069</v>
      </c>
      <c r="B141" s="5" t="s">
        <v>13533</v>
      </c>
      <c r="C141" s="32" t="s">
        <v>7852</v>
      </c>
      <c r="D141" s="32" t="str">
        <f>"152326196107077131"</f>
        <v>152326196107077131</v>
      </c>
      <c r="E141" s="5">
        <v>2020</v>
      </c>
      <c r="F141" s="5">
        <v>2020</v>
      </c>
      <c r="G141" s="9" t="s">
        <v>2480</v>
      </c>
      <c r="H141" s="32">
        <v>200</v>
      </c>
      <c r="I141" s="32">
        <v>200</v>
      </c>
      <c r="J141" s="32"/>
      <c r="K141" s="10"/>
      <c r="L141" s="10">
        <v>20201118</v>
      </c>
      <c r="M141" s="36" t="str">
        <f t="shared" si="2"/>
        <v>19610707</v>
      </c>
    </row>
    <row r="142" s="1" customFormat="1" ht="16" customHeight="1" spans="1:13">
      <c r="A142" s="2">
        <v>3084</v>
      </c>
      <c r="B142" s="3" t="s">
        <v>6671</v>
      </c>
      <c r="C142" s="9" t="s">
        <v>6694</v>
      </c>
      <c r="D142" s="9" t="s">
        <v>6695</v>
      </c>
      <c r="E142" s="3" t="s">
        <v>15</v>
      </c>
      <c r="F142" s="3" t="s">
        <v>15</v>
      </c>
      <c r="G142" s="6" t="s">
        <v>3359</v>
      </c>
      <c r="H142" s="9">
        <v>200</v>
      </c>
      <c r="I142" s="9">
        <v>200</v>
      </c>
      <c r="J142" s="6"/>
      <c r="K142" s="5"/>
      <c r="L142" s="10">
        <v>20201118</v>
      </c>
      <c r="M142" s="36" t="str">
        <f t="shared" si="2"/>
        <v>19610708</v>
      </c>
    </row>
    <row r="143" s="1" customFormat="1" ht="16" customHeight="1" spans="1:13">
      <c r="A143" s="2">
        <v>2152</v>
      </c>
      <c r="B143" s="9" t="s">
        <v>4837</v>
      </c>
      <c r="C143" s="9" t="s">
        <v>4853</v>
      </c>
      <c r="D143" s="9" t="s">
        <v>4854</v>
      </c>
      <c r="E143" s="6" t="s">
        <v>15</v>
      </c>
      <c r="F143" s="6">
        <v>2020</v>
      </c>
      <c r="G143" s="9" t="s">
        <v>2480</v>
      </c>
      <c r="H143" s="9">
        <v>200</v>
      </c>
      <c r="I143" s="9">
        <v>200</v>
      </c>
      <c r="J143" s="6"/>
      <c r="K143" s="10"/>
      <c r="L143" s="10">
        <v>20201118</v>
      </c>
      <c r="M143" s="36" t="str">
        <f t="shared" si="2"/>
        <v>19610710</v>
      </c>
    </row>
    <row r="144" s="1" customFormat="1" ht="16" customHeight="1" spans="1:13">
      <c r="A144" s="2">
        <v>5763</v>
      </c>
      <c r="B144" s="30" t="s">
        <v>11090</v>
      </c>
      <c r="C144" s="30" t="s">
        <v>7131</v>
      </c>
      <c r="D144" s="30" t="s">
        <v>11603</v>
      </c>
      <c r="E144" s="5" t="s">
        <v>15</v>
      </c>
      <c r="F144" s="5" t="s">
        <v>10250</v>
      </c>
      <c r="G144" s="6" t="s">
        <v>16</v>
      </c>
      <c r="H144" s="32">
        <v>200</v>
      </c>
      <c r="I144" s="32">
        <v>200</v>
      </c>
      <c r="J144" s="6"/>
      <c r="K144" s="48"/>
      <c r="L144" s="10">
        <v>20201118</v>
      </c>
      <c r="M144" s="36" t="str">
        <f t="shared" si="2"/>
        <v>19610710</v>
      </c>
    </row>
    <row r="145" s="1" customFormat="1" ht="16" customHeight="1" spans="1:13">
      <c r="A145" s="2">
        <v>7131</v>
      </c>
      <c r="B145" s="5" t="s">
        <v>13908</v>
      </c>
      <c r="C145" s="5" t="s">
        <v>13921</v>
      </c>
      <c r="D145" s="5" t="s">
        <v>13922</v>
      </c>
      <c r="E145" s="5" t="s">
        <v>15</v>
      </c>
      <c r="F145" s="5" t="s">
        <v>15</v>
      </c>
      <c r="G145" s="14" t="s">
        <v>16</v>
      </c>
      <c r="H145" s="17">
        <v>200</v>
      </c>
      <c r="I145" s="17">
        <v>200</v>
      </c>
      <c r="J145" s="5"/>
      <c r="K145" s="10"/>
      <c r="L145" s="10">
        <v>20201118</v>
      </c>
      <c r="M145" s="36" t="str">
        <f t="shared" si="2"/>
        <v>19610710</v>
      </c>
    </row>
    <row r="146" s="1" customFormat="1" ht="16" customHeight="1" spans="1:13">
      <c r="A146" s="2">
        <v>3585</v>
      </c>
      <c r="B146" s="5" t="s">
        <v>7412</v>
      </c>
      <c r="C146" s="5" t="s">
        <v>7438</v>
      </c>
      <c r="D146" s="5" t="s">
        <v>7439</v>
      </c>
      <c r="E146" s="6">
        <v>2020</v>
      </c>
      <c r="F146" s="6">
        <v>2020</v>
      </c>
      <c r="G146" s="5" t="s">
        <v>3359</v>
      </c>
      <c r="H146" s="5">
        <v>200</v>
      </c>
      <c r="I146" s="5">
        <v>200</v>
      </c>
      <c r="J146" s="5" t="s">
        <v>1242</v>
      </c>
      <c r="K146" s="5"/>
      <c r="L146" s="10">
        <v>20201118</v>
      </c>
      <c r="M146" s="36" t="str">
        <f t="shared" si="2"/>
        <v>19610713</v>
      </c>
    </row>
    <row r="147" s="1" customFormat="1" spans="1:13">
      <c r="A147" s="2">
        <v>8102</v>
      </c>
      <c r="B147" s="13" t="s">
        <v>15086</v>
      </c>
      <c r="C147" s="13" t="s">
        <v>15397</v>
      </c>
      <c r="D147" s="5" t="s">
        <v>15398</v>
      </c>
      <c r="E147" s="13">
        <v>2011</v>
      </c>
      <c r="F147" s="5">
        <v>2020</v>
      </c>
      <c r="G147" s="5" t="s">
        <v>289</v>
      </c>
      <c r="H147" s="13">
        <v>200</v>
      </c>
      <c r="I147" s="13">
        <v>2000</v>
      </c>
      <c r="J147" s="10"/>
      <c r="K147" s="10"/>
      <c r="L147" s="10">
        <v>20201224</v>
      </c>
      <c r="M147" s="36" t="str">
        <f t="shared" si="2"/>
        <v>19610714</v>
      </c>
    </row>
    <row r="148" s="1" customFormat="1" spans="1:13">
      <c r="A148" s="2">
        <v>2533</v>
      </c>
      <c r="B148" s="32" t="s">
        <v>5602</v>
      </c>
      <c r="C148" s="9" t="s">
        <v>5603</v>
      </c>
      <c r="D148" s="9" t="s">
        <v>5604</v>
      </c>
      <c r="E148" s="32">
        <v>2020</v>
      </c>
      <c r="F148" s="32">
        <v>2020</v>
      </c>
      <c r="G148" s="32" t="s">
        <v>16</v>
      </c>
      <c r="H148" s="9">
        <v>200</v>
      </c>
      <c r="I148" s="9">
        <v>200</v>
      </c>
      <c r="J148" s="32" t="s">
        <v>108</v>
      </c>
      <c r="K148" s="52"/>
      <c r="L148" s="10">
        <v>20201118</v>
      </c>
      <c r="M148" s="36" t="str">
        <f t="shared" si="2"/>
        <v>19610717</v>
      </c>
    </row>
    <row r="149" s="1" customFormat="1" spans="1:13">
      <c r="A149" s="2">
        <v>3126</v>
      </c>
      <c r="B149" s="3" t="s">
        <v>6671</v>
      </c>
      <c r="C149" s="9" t="s">
        <v>6773</v>
      </c>
      <c r="D149" s="9" t="s">
        <v>6774</v>
      </c>
      <c r="E149" s="3" t="s">
        <v>15</v>
      </c>
      <c r="F149" s="3" t="s">
        <v>15</v>
      </c>
      <c r="G149" s="6" t="s">
        <v>3359</v>
      </c>
      <c r="H149" s="9">
        <v>200</v>
      </c>
      <c r="I149" s="9">
        <v>200</v>
      </c>
      <c r="J149" s="6"/>
      <c r="K149" s="5"/>
      <c r="L149" s="10">
        <v>20201118</v>
      </c>
      <c r="M149" s="36" t="str">
        <f t="shared" si="2"/>
        <v>19610718</v>
      </c>
    </row>
    <row r="150" s="1" customFormat="1" spans="1:13">
      <c r="A150" s="2">
        <v>1846</v>
      </c>
      <c r="B150" s="5" t="s">
        <v>4189</v>
      </c>
      <c r="C150" s="16" t="s">
        <v>4256</v>
      </c>
      <c r="D150" s="16" t="s">
        <v>4257</v>
      </c>
      <c r="E150" s="5" t="s">
        <v>15</v>
      </c>
      <c r="F150" s="5" t="s">
        <v>15</v>
      </c>
      <c r="G150" s="5" t="s">
        <v>3359</v>
      </c>
      <c r="H150" s="16">
        <v>200</v>
      </c>
      <c r="I150" s="16">
        <v>200</v>
      </c>
      <c r="J150" s="5"/>
      <c r="K150" s="10"/>
      <c r="L150" s="10">
        <v>20201118</v>
      </c>
      <c r="M150" s="36" t="str">
        <f t="shared" si="2"/>
        <v>19610720</v>
      </c>
    </row>
    <row r="151" s="1" customFormat="1" spans="1:13">
      <c r="A151" s="2">
        <v>2406</v>
      </c>
      <c r="B151" s="5" t="s">
        <v>5328</v>
      </c>
      <c r="C151" s="16" t="s">
        <v>5353</v>
      </c>
      <c r="D151" s="16" t="s">
        <v>5354</v>
      </c>
      <c r="E151" s="5" t="s">
        <v>15</v>
      </c>
      <c r="F151" s="5" t="s">
        <v>15</v>
      </c>
      <c r="G151" s="14" t="s">
        <v>16</v>
      </c>
      <c r="H151" s="6">
        <v>200</v>
      </c>
      <c r="I151" s="6">
        <v>200</v>
      </c>
      <c r="J151" s="5"/>
      <c r="K151" s="5"/>
      <c r="L151" s="10">
        <v>20201118</v>
      </c>
      <c r="M151" s="36" t="str">
        <f t="shared" si="2"/>
        <v>19610720</v>
      </c>
    </row>
    <row r="152" s="1" customFormat="1" spans="1:13">
      <c r="A152" s="2">
        <v>617</v>
      </c>
      <c r="B152" s="29" t="s">
        <v>1040</v>
      </c>
      <c r="C152" s="29" t="s">
        <v>1510</v>
      </c>
      <c r="D152" s="29" t="s">
        <v>1511</v>
      </c>
      <c r="E152" s="30">
        <v>2020</v>
      </c>
      <c r="F152" s="30">
        <v>2020</v>
      </c>
      <c r="G152" s="29" t="s">
        <v>16</v>
      </c>
      <c r="H152" s="29">
        <v>200</v>
      </c>
      <c r="I152" s="29">
        <v>200</v>
      </c>
      <c r="J152" s="29"/>
      <c r="K152" s="47"/>
      <c r="L152" s="14" t="s">
        <v>330</v>
      </c>
      <c r="M152" s="36" t="str">
        <f t="shared" si="2"/>
        <v>19610721</v>
      </c>
    </row>
    <row r="153" s="1" customFormat="1" spans="1:13">
      <c r="A153" s="2">
        <v>2534</v>
      </c>
      <c r="B153" s="32" t="s">
        <v>5602</v>
      </c>
      <c r="C153" s="9" t="s">
        <v>5605</v>
      </c>
      <c r="D153" s="9" t="s">
        <v>5606</v>
      </c>
      <c r="E153" s="32">
        <v>2020</v>
      </c>
      <c r="F153" s="32">
        <v>2020</v>
      </c>
      <c r="G153" s="32" t="s">
        <v>16</v>
      </c>
      <c r="H153" s="9">
        <v>200</v>
      </c>
      <c r="I153" s="9">
        <v>200</v>
      </c>
      <c r="J153" s="32"/>
      <c r="K153" s="52"/>
      <c r="L153" s="10">
        <v>20201118</v>
      </c>
      <c r="M153" s="36" t="str">
        <f t="shared" si="2"/>
        <v>19610726</v>
      </c>
    </row>
    <row r="154" s="1" customFormat="1" spans="1:13">
      <c r="A154" s="2">
        <v>1413</v>
      </c>
      <c r="B154" s="5" t="s">
        <v>3381</v>
      </c>
      <c r="C154" s="9" t="s">
        <v>3396</v>
      </c>
      <c r="D154" s="9" t="s">
        <v>3397</v>
      </c>
      <c r="E154" s="5">
        <v>2020</v>
      </c>
      <c r="F154" s="5">
        <v>2020</v>
      </c>
      <c r="G154" s="14" t="s">
        <v>16</v>
      </c>
      <c r="H154" s="6">
        <v>200</v>
      </c>
      <c r="I154" s="6">
        <v>200</v>
      </c>
      <c r="J154" s="5"/>
      <c r="K154" s="13"/>
      <c r="L154" s="10">
        <v>20201118</v>
      </c>
      <c r="M154" s="36" t="str">
        <f t="shared" si="2"/>
        <v>19610727</v>
      </c>
    </row>
    <row r="155" s="1" customFormat="1" spans="1:13">
      <c r="A155" s="2">
        <v>2153</v>
      </c>
      <c r="B155" s="9" t="s">
        <v>4837</v>
      </c>
      <c r="C155" s="9" t="s">
        <v>1400</v>
      </c>
      <c r="D155" s="9" t="s">
        <v>4855</v>
      </c>
      <c r="E155" s="6" t="s">
        <v>15</v>
      </c>
      <c r="F155" s="6">
        <v>2020</v>
      </c>
      <c r="G155" s="9" t="s">
        <v>2480</v>
      </c>
      <c r="H155" s="9">
        <v>200</v>
      </c>
      <c r="I155" s="9">
        <v>200</v>
      </c>
      <c r="J155" s="6"/>
      <c r="K155" s="10"/>
      <c r="L155" s="10">
        <v>20201118</v>
      </c>
      <c r="M155" s="36" t="str">
        <f t="shared" si="2"/>
        <v>19610727</v>
      </c>
    </row>
    <row r="156" s="1" customFormat="1" spans="1:13">
      <c r="A156" s="2">
        <v>3517</v>
      </c>
      <c r="B156" s="5" t="s">
        <v>3375</v>
      </c>
      <c r="C156" s="6" t="s">
        <v>7308</v>
      </c>
      <c r="D156" s="6" t="str">
        <f>"152326196107286865"</f>
        <v>152326196107286865</v>
      </c>
      <c r="E156" s="5" t="s">
        <v>15</v>
      </c>
      <c r="F156" s="5">
        <v>2020</v>
      </c>
      <c r="G156" s="14" t="s">
        <v>16</v>
      </c>
      <c r="H156" s="17">
        <v>200</v>
      </c>
      <c r="I156" s="17">
        <v>200</v>
      </c>
      <c r="J156" s="6"/>
      <c r="K156" s="10"/>
      <c r="L156" s="10">
        <v>20201118</v>
      </c>
      <c r="M156" s="36" t="str">
        <f t="shared" si="2"/>
        <v>19610728</v>
      </c>
    </row>
    <row r="157" s="1" customFormat="1" spans="1:13">
      <c r="A157" s="2">
        <v>34</v>
      </c>
      <c r="B157" s="31" t="s">
        <v>12</v>
      </c>
      <c r="C157" s="17" t="s">
        <v>82</v>
      </c>
      <c r="D157" s="17" t="s">
        <v>83</v>
      </c>
      <c r="E157" s="3" t="s">
        <v>15</v>
      </c>
      <c r="F157" s="3" t="s">
        <v>15</v>
      </c>
      <c r="G157" s="2" t="s">
        <v>16</v>
      </c>
      <c r="H157" s="17">
        <v>200</v>
      </c>
      <c r="I157" s="17">
        <v>200</v>
      </c>
      <c r="J157" s="31"/>
      <c r="K157" s="17"/>
      <c r="L157" s="10">
        <v>20201118</v>
      </c>
      <c r="M157" s="36" t="str">
        <f t="shared" si="2"/>
        <v>19610803</v>
      </c>
    </row>
    <row r="158" s="1" customFormat="1" spans="1:13">
      <c r="A158" s="2">
        <v>2082</v>
      </c>
      <c r="B158" s="5" t="s">
        <v>4189</v>
      </c>
      <c r="C158" s="16" t="s">
        <v>4715</v>
      </c>
      <c r="D158" s="16" t="s">
        <v>4716</v>
      </c>
      <c r="E158" s="5" t="s">
        <v>15</v>
      </c>
      <c r="F158" s="5" t="s">
        <v>15</v>
      </c>
      <c r="G158" s="5" t="s">
        <v>3359</v>
      </c>
      <c r="H158" s="16">
        <v>200</v>
      </c>
      <c r="I158" s="16">
        <v>200</v>
      </c>
      <c r="J158" s="5"/>
      <c r="K158" s="10"/>
      <c r="L158" s="10">
        <v>20201118</v>
      </c>
      <c r="M158" s="36" t="str">
        <f t="shared" si="2"/>
        <v>19610805</v>
      </c>
    </row>
    <row r="159" s="1" customFormat="1" spans="1:13">
      <c r="A159" s="2">
        <v>3586</v>
      </c>
      <c r="B159" s="5" t="s">
        <v>7412</v>
      </c>
      <c r="C159" s="5" t="s">
        <v>7440</v>
      </c>
      <c r="D159" s="5" t="s">
        <v>7441</v>
      </c>
      <c r="E159" s="6">
        <v>2020</v>
      </c>
      <c r="F159" s="6">
        <v>2020</v>
      </c>
      <c r="G159" s="5" t="s">
        <v>3359</v>
      </c>
      <c r="H159" s="5">
        <v>200</v>
      </c>
      <c r="I159" s="5">
        <v>200</v>
      </c>
      <c r="J159" s="5"/>
      <c r="K159" s="5"/>
      <c r="L159" s="10">
        <v>20201118</v>
      </c>
      <c r="M159" s="36" t="str">
        <f t="shared" si="2"/>
        <v>19610806</v>
      </c>
    </row>
    <row r="160" s="1" customFormat="1" spans="1:13">
      <c r="A160" s="2">
        <v>8084</v>
      </c>
      <c r="B160" s="5" t="s">
        <v>15086</v>
      </c>
      <c r="C160" s="6" t="s">
        <v>7286</v>
      </c>
      <c r="D160" s="6" t="str">
        <f>"152326196108096860"</f>
        <v>152326196108096860</v>
      </c>
      <c r="E160" s="5" t="s">
        <v>15</v>
      </c>
      <c r="F160" s="5">
        <v>2020</v>
      </c>
      <c r="G160" s="5" t="s">
        <v>16</v>
      </c>
      <c r="H160" s="5">
        <v>200</v>
      </c>
      <c r="I160" s="5">
        <v>200</v>
      </c>
      <c r="J160" s="5"/>
      <c r="K160" s="5"/>
      <c r="L160" s="10">
        <v>20201118</v>
      </c>
      <c r="M160" s="36" t="str">
        <f t="shared" si="2"/>
        <v>19610809</v>
      </c>
    </row>
    <row r="161" s="1" customFormat="1" spans="1:13">
      <c r="A161" s="2">
        <v>6142</v>
      </c>
      <c r="B161" s="5" t="s">
        <v>12263</v>
      </c>
      <c r="C161" s="5" t="s">
        <v>12318</v>
      </c>
      <c r="D161" s="5" t="s">
        <v>12319</v>
      </c>
      <c r="E161" s="5" t="s">
        <v>10250</v>
      </c>
      <c r="F161" s="5">
        <v>2020</v>
      </c>
      <c r="G161" s="17" t="s">
        <v>3359</v>
      </c>
      <c r="H161" s="5">
        <v>200</v>
      </c>
      <c r="I161" s="5">
        <v>200</v>
      </c>
      <c r="J161" s="5"/>
      <c r="K161" s="5"/>
      <c r="L161" s="10">
        <v>20201118</v>
      </c>
      <c r="M161" s="36" t="str">
        <f t="shared" si="2"/>
        <v>19610811</v>
      </c>
    </row>
    <row r="162" s="1" customFormat="1" spans="1:13">
      <c r="A162" s="2">
        <v>7272</v>
      </c>
      <c r="B162" s="5" t="s">
        <v>13908</v>
      </c>
      <c r="C162" s="5" t="s">
        <v>14186</v>
      </c>
      <c r="D162" s="5" t="s">
        <v>14187</v>
      </c>
      <c r="E162" s="5" t="s">
        <v>15</v>
      </c>
      <c r="F162" s="5" t="s">
        <v>15</v>
      </c>
      <c r="G162" s="14" t="s">
        <v>16</v>
      </c>
      <c r="H162" s="17">
        <v>200</v>
      </c>
      <c r="I162" s="17">
        <v>200</v>
      </c>
      <c r="J162" s="5"/>
      <c r="K162" s="10"/>
      <c r="L162" s="10">
        <v>20201118</v>
      </c>
      <c r="M162" s="36" t="str">
        <f t="shared" si="2"/>
        <v>19610811</v>
      </c>
    </row>
    <row r="163" s="1" customFormat="1" spans="1:13">
      <c r="A163" s="2">
        <v>1414</v>
      </c>
      <c r="B163" s="5" t="s">
        <v>3381</v>
      </c>
      <c r="C163" s="9" t="s">
        <v>1166</v>
      </c>
      <c r="D163" s="9" t="s">
        <v>3398</v>
      </c>
      <c r="E163" s="5">
        <v>2020</v>
      </c>
      <c r="F163" s="5">
        <v>2020</v>
      </c>
      <c r="G163" s="14" t="s">
        <v>16</v>
      </c>
      <c r="H163" s="6">
        <v>200</v>
      </c>
      <c r="I163" s="6">
        <v>200</v>
      </c>
      <c r="J163" s="5"/>
      <c r="K163" s="13"/>
      <c r="L163" s="10">
        <v>20201118</v>
      </c>
      <c r="M163" s="36" t="str">
        <f t="shared" si="2"/>
        <v>19610812</v>
      </c>
    </row>
    <row r="164" s="1" customFormat="1" spans="1:13">
      <c r="A164" s="2">
        <v>3587</v>
      </c>
      <c r="B164" s="5" t="s">
        <v>7412</v>
      </c>
      <c r="C164" s="5" t="s">
        <v>7442</v>
      </c>
      <c r="D164" s="5" t="s">
        <v>7443</v>
      </c>
      <c r="E164" s="6">
        <v>2020</v>
      </c>
      <c r="F164" s="6">
        <v>2020</v>
      </c>
      <c r="G164" s="5" t="s">
        <v>3359</v>
      </c>
      <c r="H164" s="5">
        <v>200</v>
      </c>
      <c r="I164" s="5">
        <v>200</v>
      </c>
      <c r="J164" s="5"/>
      <c r="K164" s="5"/>
      <c r="L164" s="10">
        <v>20201118</v>
      </c>
      <c r="M164" s="36" t="str">
        <f t="shared" si="2"/>
        <v>19610813</v>
      </c>
    </row>
    <row r="165" s="1" customFormat="1" spans="1:13">
      <c r="A165" s="2">
        <v>1861</v>
      </c>
      <c r="B165" s="5" t="s">
        <v>4189</v>
      </c>
      <c r="C165" s="16" t="s">
        <v>4286</v>
      </c>
      <c r="D165" s="16" t="s">
        <v>4287</v>
      </c>
      <c r="E165" s="5" t="s">
        <v>15</v>
      </c>
      <c r="F165" s="5" t="s">
        <v>15</v>
      </c>
      <c r="G165" s="5" t="s">
        <v>3359</v>
      </c>
      <c r="H165" s="16">
        <v>200</v>
      </c>
      <c r="I165" s="16">
        <v>200</v>
      </c>
      <c r="J165" s="5"/>
      <c r="K165" s="10"/>
      <c r="L165" s="10">
        <v>20201118</v>
      </c>
      <c r="M165" s="36" t="str">
        <f t="shared" si="2"/>
        <v>19610814</v>
      </c>
    </row>
    <row r="166" s="1" customFormat="1" ht="14.25" spans="1:13">
      <c r="A166" s="2">
        <v>3023</v>
      </c>
      <c r="B166" s="6" t="s">
        <v>6075</v>
      </c>
      <c r="C166" s="25" t="s">
        <v>6569</v>
      </c>
      <c r="D166" s="26" t="s">
        <v>6570</v>
      </c>
      <c r="E166" s="5" t="s">
        <v>15</v>
      </c>
      <c r="F166" s="5">
        <v>2020</v>
      </c>
      <c r="G166" s="6" t="s">
        <v>16</v>
      </c>
      <c r="H166" s="6">
        <v>200</v>
      </c>
      <c r="I166" s="6">
        <v>200</v>
      </c>
      <c r="J166" s="6" t="s">
        <v>6097</v>
      </c>
      <c r="K166" s="10"/>
      <c r="L166" s="10">
        <v>20201118</v>
      </c>
      <c r="M166" s="36" t="str">
        <f t="shared" si="2"/>
        <v>19610814</v>
      </c>
    </row>
    <row r="167" s="1" customFormat="1" spans="1:13">
      <c r="A167" s="2">
        <v>3588</v>
      </c>
      <c r="B167" s="5" t="s">
        <v>7412</v>
      </c>
      <c r="C167" s="5" t="s">
        <v>7444</v>
      </c>
      <c r="D167" s="5" t="s">
        <v>7445</v>
      </c>
      <c r="E167" s="6">
        <v>2020</v>
      </c>
      <c r="F167" s="6">
        <v>2020</v>
      </c>
      <c r="G167" s="5" t="s">
        <v>3359</v>
      </c>
      <c r="H167" s="5">
        <v>200</v>
      </c>
      <c r="I167" s="5">
        <v>200</v>
      </c>
      <c r="J167" s="5"/>
      <c r="K167" s="5"/>
      <c r="L167" s="10">
        <v>20201118</v>
      </c>
      <c r="M167" s="36" t="str">
        <f t="shared" si="2"/>
        <v>19610817</v>
      </c>
    </row>
    <row r="168" s="1" customFormat="1" ht="14.25" spans="1:13">
      <c r="A168" s="2">
        <v>5215</v>
      </c>
      <c r="B168" s="33" t="s">
        <v>10535</v>
      </c>
      <c r="C168" s="34" t="s">
        <v>3384</v>
      </c>
      <c r="D168" s="34" t="s">
        <v>10552</v>
      </c>
      <c r="E168" s="35">
        <v>2020</v>
      </c>
      <c r="F168" s="35">
        <v>2020</v>
      </c>
      <c r="G168" s="35" t="s">
        <v>16</v>
      </c>
      <c r="H168" s="34">
        <v>200</v>
      </c>
      <c r="I168" s="34">
        <v>200</v>
      </c>
      <c r="J168" s="49"/>
      <c r="K168" s="10"/>
      <c r="L168" s="10">
        <v>20201118</v>
      </c>
      <c r="M168" s="36" t="str">
        <f t="shared" si="2"/>
        <v>19610817</v>
      </c>
    </row>
    <row r="169" s="1" customFormat="1" spans="1:13">
      <c r="A169" s="2">
        <v>3589</v>
      </c>
      <c r="B169" s="5" t="s">
        <v>7412</v>
      </c>
      <c r="C169" s="5" t="s">
        <v>5106</v>
      </c>
      <c r="D169" s="5" t="s">
        <v>7446</v>
      </c>
      <c r="E169" s="6">
        <v>2020</v>
      </c>
      <c r="F169" s="6">
        <v>2020</v>
      </c>
      <c r="G169" s="5" t="s">
        <v>3359</v>
      </c>
      <c r="H169" s="5">
        <v>200</v>
      </c>
      <c r="I169" s="5">
        <v>200</v>
      </c>
      <c r="J169" s="5"/>
      <c r="K169" s="5"/>
      <c r="L169" s="10">
        <v>20201118</v>
      </c>
      <c r="M169" s="36" t="str">
        <f t="shared" si="2"/>
        <v>19610818</v>
      </c>
    </row>
    <row r="170" s="1" customFormat="1" spans="1:13">
      <c r="A170" s="2">
        <v>3085</v>
      </c>
      <c r="B170" s="3" t="s">
        <v>6671</v>
      </c>
      <c r="C170" s="9" t="s">
        <v>1261</v>
      </c>
      <c r="D170" s="9" t="s">
        <v>6696</v>
      </c>
      <c r="E170" s="3" t="s">
        <v>15</v>
      </c>
      <c r="F170" s="3" t="s">
        <v>15</v>
      </c>
      <c r="G170" s="6" t="s">
        <v>3359</v>
      </c>
      <c r="H170" s="9">
        <v>200</v>
      </c>
      <c r="I170" s="9">
        <v>200</v>
      </c>
      <c r="J170" s="6"/>
      <c r="K170" s="5"/>
      <c r="L170" s="10">
        <v>20201118</v>
      </c>
      <c r="M170" s="36" t="str">
        <f t="shared" si="2"/>
        <v>19610819</v>
      </c>
    </row>
    <row r="171" s="1" customFormat="1" spans="1:13">
      <c r="A171" s="2">
        <v>7063</v>
      </c>
      <c r="B171" s="5" t="s">
        <v>13533</v>
      </c>
      <c r="C171" s="32" t="s">
        <v>13808</v>
      </c>
      <c r="D171" s="32" t="str">
        <f>"152326196108197127"</f>
        <v>152326196108197127</v>
      </c>
      <c r="E171" s="5">
        <v>2020</v>
      </c>
      <c r="F171" s="5">
        <v>2020</v>
      </c>
      <c r="G171" s="9" t="s">
        <v>2480</v>
      </c>
      <c r="H171" s="32">
        <v>200</v>
      </c>
      <c r="I171" s="32">
        <v>200</v>
      </c>
      <c r="J171" s="32"/>
      <c r="K171" s="10"/>
      <c r="L171" s="10">
        <v>20201118</v>
      </c>
      <c r="M171" s="36" t="str">
        <f t="shared" si="2"/>
        <v>19610819</v>
      </c>
    </row>
    <row r="172" s="1" customFormat="1" spans="1:13">
      <c r="A172" s="2">
        <v>1415</v>
      </c>
      <c r="B172" s="5" t="s">
        <v>3381</v>
      </c>
      <c r="C172" s="9" t="s">
        <v>3399</v>
      </c>
      <c r="D172" s="9" t="s">
        <v>3400</v>
      </c>
      <c r="E172" s="5">
        <v>2020</v>
      </c>
      <c r="F172" s="5">
        <v>2020</v>
      </c>
      <c r="G172" s="14" t="s">
        <v>16</v>
      </c>
      <c r="H172" s="6">
        <v>200</v>
      </c>
      <c r="I172" s="6">
        <v>200</v>
      </c>
      <c r="J172" s="5"/>
      <c r="K172" s="13"/>
      <c r="L172" s="10">
        <v>20201118</v>
      </c>
      <c r="M172" s="36" t="str">
        <f t="shared" si="2"/>
        <v>19610820</v>
      </c>
    </row>
    <row r="173" s="1" customFormat="1" spans="1:13">
      <c r="A173" s="2">
        <v>2154</v>
      </c>
      <c r="B173" s="9" t="s">
        <v>4837</v>
      </c>
      <c r="C173" s="9" t="s">
        <v>4856</v>
      </c>
      <c r="D173" s="9" t="s">
        <v>4857</v>
      </c>
      <c r="E173" s="6" t="s">
        <v>15</v>
      </c>
      <c r="F173" s="6">
        <v>2020</v>
      </c>
      <c r="G173" s="9" t="s">
        <v>2480</v>
      </c>
      <c r="H173" s="9">
        <v>200</v>
      </c>
      <c r="I173" s="9">
        <v>200</v>
      </c>
      <c r="J173" s="6"/>
      <c r="K173" s="10"/>
      <c r="L173" s="10">
        <v>20201118</v>
      </c>
      <c r="M173" s="36" t="str">
        <f t="shared" si="2"/>
        <v>19610823</v>
      </c>
    </row>
    <row r="174" s="1" customFormat="1" spans="1:13">
      <c r="A174" s="2">
        <v>3514</v>
      </c>
      <c r="B174" s="5" t="s">
        <v>3375</v>
      </c>
      <c r="C174" s="6" t="s">
        <v>7305</v>
      </c>
      <c r="D174" s="6" t="str">
        <f>"152326196108246865"</f>
        <v>152326196108246865</v>
      </c>
      <c r="E174" s="5" t="s">
        <v>15</v>
      </c>
      <c r="F174" s="5">
        <v>2020</v>
      </c>
      <c r="G174" s="14" t="s">
        <v>16</v>
      </c>
      <c r="H174" s="17">
        <v>200</v>
      </c>
      <c r="I174" s="17">
        <v>200</v>
      </c>
      <c r="J174" s="6"/>
      <c r="K174" s="10"/>
      <c r="L174" s="10">
        <v>20201118</v>
      </c>
      <c r="M174" s="36" t="str">
        <f t="shared" si="2"/>
        <v>19610824</v>
      </c>
    </row>
    <row r="175" s="1" customFormat="1" spans="1:13">
      <c r="A175" s="2">
        <v>3590</v>
      </c>
      <c r="B175" s="5" t="s">
        <v>7412</v>
      </c>
      <c r="C175" s="5" t="s">
        <v>7447</v>
      </c>
      <c r="D175" s="5" t="s">
        <v>7448</v>
      </c>
      <c r="E175" s="6">
        <v>2020</v>
      </c>
      <c r="F175" s="6">
        <v>2020</v>
      </c>
      <c r="G175" s="5" t="s">
        <v>3359</v>
      </c>
      <c r="H175" s="5">
        <v>200</v>
      </c>
      <c r="I175" s="5">
        <v>200</v>
      </c>
      <c r="J175" s="5"/>
      <c r="K175" s="5"/>
      <c r="L175" s="10">
        <v>20201118</v>
      </c>
      <c r="M175" s="36" t="str">
        <f t="shared" si="2"/>
        <v>19610824</v>
      </c>
    </row>
    <row r="176" s="1" customFormat="1" spans="1:13">
      <c r="A176" s="2">
        <v>2155</v>
      </c>
      <c r="B176" s="9" t="s">
        <v>4837</v>
      </c>
      <c r="C176" s="9" t="s">
        <v>4858</v>
      </c>
      <c r="D176" s="9" t="s">
        <v>4859</v>
      </c>
      <c r="E176" s="6" t="s">
        <v>15</v>
      </c>
      <c r="F176" s="6">
        <v>2020</v>
      </c>
      <c r="G176" s="9" t="s">
        <v>2480</v>
      </c>
      <c r="H176" s="9">
        <v>200</v>
      </c>
      <c r="I176" s="9">
        <v>200</v>
      </c>
      <c r="J176" s="6"/>
      <c r="K176" s="10"/>
      <c r="L176" s="10">
        <v>20201118</v>
      </c>
      <c r="M176" s="36" t="str">
        <f t="shared" si="2"/>
        <v>19610825</v>
      </c>
    </row>
    <row r="177" s="1" customFormat="1" ht="14.25" spans="1:13">
      <c r="A177" s="2">
        <v>5216</v>
      </c>
      <c r="B177" s="33" t="s">
        <v>10535</v>
      </c>
      <c r="C177" s="34" t="s">
        <v>10553</v>
      </c>
      <c r="D177" s="34" t="s">
        <v>10554</v>
      </c>
      <c r="E177" s="35">
        <v>2020</v>
      </c>
      <c r="F177" s="35">
        <v>2020</v>
      </c>
      <c r="G177" s="35" t="s">
        <v>16</v>
      </c>
      <c r="H177" s="34">
        <v>200</v>
      </c>
      <c r="I177" s="34">
        <v>200</v>
      </c>
      <c r="J177" s="49"/>
      <c r="K177" s="10"/>
      <c r="L177" s="10">
        <v>20201118</v>
      </c>
      <c r="M177" s="36" t="str">
        <f t="shared" si="2"/>
        <v>19610827</v>
      </c>
    </row>
    <row r="178" s="1" customFormat="1" spans="1:13">
      <c r="A178" s="2">
        <v>532</v>
      </c>
      <c r="B178" s="29" t="s">
        <v>1040</v>
      </c>
      <c r="C178" s="29" t="s">
        <v>1341</v>
      </c>
      <c r="D178" s="29" t="s">
        <v>1342</v>
      </c>
      <c r="E178" s="30">
        <v>2020</v>
      </c>
      <c r="F178" s="30">
        <v>2020</v>
      </c>
      <c r="G178" s="29" t="s">
        <v>16</v>
      </c>
      <c r="H178" s="29">
        <v>200</v>
      </c>
      <c r="I178" s="29">
        <v>200</v>
      </c>
      <c r="J178" s="29"/>
      <c r="K178" s="47"/>
      <c r="L178" s="2" t="s">
        <v>330</v>
      </c>
      <c r="M178" s="36" t="str">
        <f t="shared" si="2"/>
        <v>19610901</v>
      </c>
    </row>
    <row r="179" s="1" customFormat="1" spans="1:13">
      <c r="A179" s="2">
        <v>4157</v>
      </c>
      <c r="B179" s="9" t="s">
        <v>8515</v>
      </c>
      <c r="C179" s="9" t="s">
        <v>8522</v>
      </c>
      <c r="D179" s="9" t="s">
        <v>8523</v>
      </c>
      <c r="E179" s="5" t="s">
        <v>15</v>
      </c>
      <c r="F179" s="5">
        <v>2020</v>
      </c>
      <c r="G179" s="9" t="s">
        <v>2480</v>
      </c>
      <c r="H179" s="9">
        <v>200</v>
      </c>
      <c r="I179" s="9">
        <v>200</v>
      </c>
      <c r="J179" s="9"/>
      <c r="K179" s="9"/>
      <c r="L179" s="10">
        <v>20201118</v>
      </c>
      <c r="M179" s="36" t="str">
        <f t="shared" si="2"/>
        <v>19610905</v>
      </c>
    </row>
    <row r="180" s="1" customFormat="1" ht="14.25" spans="1:13">
      <c r="A180" s="2">
        <v>5217</v>
      </c>
      <c r="B180" s="33" t="s">
        <v>10535</v>
      </c>
      <c r="C180" s="34" t="s">
        <v>10555</v>
      </c>
      <c r="D180" s="34" t="s">
        <v>10556</v>
      </c>
      <c r="E180" s="35">
        <v>2020</v>
      </c>
      <c r="F180" s="35">
        <v>2020</v>
      </c>
      <c r="G180" s="35" t="s">
        <v>16</v>
      </c>
      <c r="H180" s="34">
        <v>200</v>
      </c>
      <c r="I180" s="34">
        <v>200</v>
      </c>
      <c r="J180" s="49"/>
      <c r="K180" s="10"/>
      <c r="L180" s="10">
        <v>20201118</v>
      </c>
      <c r="M180" s="36" t="str">
        <f t="shared" si="2"/>
        <v>19610906</v>
      </c>
    </row>
    <row r="181" s="1" customFormat="1" spans="1:13">
      <c r="A181" s="2">
        <v>1416</v>
      </c>
      <c r="B181" s="5" t="s">
        <v>3381</v>
      </c>
      <c r="C181" s="9" t="s">
        <v>3401</v>
      </c>
      <c r="D181" s="9" t="s">
        <v>3402</v>
      </c>
      <c r="E181" s="5">
        <v>2020</v>
      </c>
      <c r="F181" s="5">
        <v>2020</v>
      </c>
      <c r="G181" s="14" t="s">
        <v>16</v>
      </c>
      <c r="H181" s="6">
        <v>200</v>
      </c>
      <c r="I181" s="6">
        <v>200</v>
      </c>
      <c r="J181" s="5"/>
      <c r="K181" s="13"/>
      <c r="L181" s="10">
        <v>20201118</v>
      </c>
      <c r="M181" s="36" t="str">
        <f t="shared" si="2"/>
        <v>19610907</v>
      </c>
    </row>
    <row r="182" s="1" customFormat="1" spans="1:13">
      <c r="A182" s="2">
        <v>5887</v>
      </c>
      <c r="B182" s="30" t="s">
        <v>11090</v>
      </c>
      <c r="C182" s="30" t="s">
        <v>11826</v>
      </c>
      <c r="D182" s="30" t="s">
        <v>11827</v>
      </c>
      <c r="E182" s="5" t="s">
        <v>15</v>
      </c>
      <c r="F182" s="5" t="s">
        <v>10250</v>
      </c>
      <c r="G182" s="6" t="s">
        <v>16</v>
      </c>
      <c r="H182" s="32">
        <v>200</v>
      </c>
      <c r="I182" s="32">
        <v>200</v>
      </c>
      <c r="J182" s="6"/>
      <c r="K182" s="48"/>
      <c r="L182" s="10">
        <v>20201118</v>
      </c>
      <c r="M182" s="36" t="str">
        <f t="shared" si="2"/>
        <v>19610908</v>
      </c>
    </row>
    <row r="183" s="1" customFormat="1" spans="1:13">
      <c r="A183" s="2">
        <v>944</v>
      </c>
      <c r="B183" s="5" t="s">
        <v>2469</v>
      </c>
      <c r="C183" s="9" t="s">
        <v>2481</v>
      </c>
      <c r="D183" s="9" t="s">
        <v>2482</v>
      </c>
      <c r="E183" s="5">
        <v>2020</v>
      </c>
      <c r="F183" s="5">
        <v>2020</v>
      </c>
      <c r="G183" s="9" t="s">
        <v>2480</v>
      </c>
      <c r="H183" s="9">
        <v>200</v>
      </c>
      <c r="I183" s="9">
        <v>200</v>
      </c>
      <c r="J183" s="5"/>
      <c r="K183" s="5"/>
      <c r="L183" s="10">
        <v>20201118</v>
      </c>
      <c r="M183" s="36" t="str">
        <f t="shared" si="2"/>
        <v>19610910</v>
      </c>
    </row>
    <row r="184" s="1" customFormat="1" spans="1:13">
      <c r="A184" s="2">
        <v>3515</v>
      </c>
      <c r="B184" s="5" t="s">
        <v>3375</v>
      </c>
      <c r="C184" s="6" t="s">
        <v>7306</v>
      </c>
      <c r="D184" s="6" t="str">
        <f>"152326196109106872"</f>
        <v>152326196109106872</v>
      </c>
      <c r="E184" s="5" t="s">
        <v>15</v>
      </c>
      <c r="F184" s="5">
        <v>2020</v>
      </c>
      <c r="G184" s="14" t="s">
        <v>16</v>
      </c>
      <c r="H184" s="17">
        <v>200</v>
      </c>
      <c r="I184" s="17">
        <v>200</v>
      </c>
      <c r="J184" s="6"/>
      <c r="K184" s="10"/>
      <c r="L184" s="10">
        <v>20201118</v>
      </c>
      <c r="M184" s="36" t="str">
        <f t="shared" si="2"/>
        <v>19610910</v>
      </c>
    </row>
    <row r="185" s="1" customFormat="1" spans="1:13">
      <c r="A185" s="2">
        <v>3511</v>
      </c>
      <c r="B185" s="5" t="s">
        <v>3375</v>
      </c>
      <c r="C185" s="6" t="s">
        <v>7301</v>
      </c>
      <c r="D185" s="6" t="str">
        <f>"152326196109116878"</f>
        <v>152326196109116878</v>
      </c>
      <c r="E185" s="5" t="s">
        <v>15</v>
      </c>
      <c r="F185" s="5">
        <v>2020</v>
      </c>
      <c r="G185" s="14" t="s">
        <v>16</v>
      </c>
      <c r="H185" s="17">
        <v>200</v>
      </c>
      <c r="I185" s="17">
        <v>200</v>
      </c>
      <c r="J185" s="6"/>
      <c r="K185" s="10"/>
      <c r="L185" s="10">
        <v>20201118</v>
      </c>
      <c r="M185" s="36" t="str">
        <f t="shared" si="2"/>
        <v>19610911</v>
      </c>
    </row>
    <row r="186" s="1" customFormat="1" spans="1:13">
      <c r="A186" s="2">
        <v>6333</v>
      </c>
      <c r="B186" s="5" t="s">
        <v>12263</v>
      </c>
      <c r="C186" s="5" t="s">
        <v>12682</v>
      </c>
      <c r="D186" s="5" t="s">
        <v>12683</v>
      </c>
      <c r="E186" s="5" t="s">
        <v>10250</v>
      </c>
      <c r="F186" s="5">
        <v>2020</v>
      </c>
      <c r="G186" s="17" t="s">
        <v>3359</v>
      </c>
      <c r="H186" s="5" t="s">
        <v>311</v>
      </c>
      <c r="I186" s="5">
        <v>200</v>
      </c>
      <c r="J186" s="5"/>
      <c r="K186" s="5"/>
      <c r="L186" s="10">
        <v>20201118</v>
      </c>
      <c r="M186" s="36" t="str">
        <f t="shared" si="2"/>
        <v>19610912</v>
      </c>
    </row>
    <row r="187" s="1" customFormat="1" spans="1:13">
      <c r="A187" s="2">
        <v>3591</v>
      </c>
      <c r="B187" s="5" t="s">
        <v>7412</v>
      </c>
      <c r="C187" s="5" t="s">
        <v>7449</v>
      </c>
      <c r="D187" s="5" t="s">
        <v>7450</v>
      </c>
      <c r="E187" s="6">
        <v>2020</v>
      </c>
      <c r="F187" s="6">
        <v>2020</v>
      </c>
      <c r="G187" s="5" t="s">
        <v>3359</v>
      </c>
      <c r="H187" s="5">
        <v>200</v>
      </c>
      <c r="I187" s="5">
        <v>200</v>
      </c>
      <c r="J187" s="5"/>
      <c r="K187" s="5"/>
      <c r="L187" s="10">
        <v>20201118</v>
      </c>
      <c r="M187" s="36" t="str">
        <f t="shared" si="2"/>
        <v>19610914</v>
      </c>
    </row>
    <row r="188" s="1" customFormat="1" spans="1:13">
      <c r="A188" s="2">
        <v>2392</v>
      </c>
      <c r="B188" s="9" t="s">
        <v>4837</v>
      </c>
      <c r="C188" s="6" t="s">
        <v>5322</v>
      </c>
      <c r="D188" s="293" t="s">
        <v>5323</v>
      </c>
      <c r="E188" s="6" t="s">
        <v>310</v>
      </c>
      <c r="F188" s="6">
        <v>2020</v>
      </c>
      <c r="G188" s="6" t="s">
        <v>5324</v>
      </c>
      <c r="H188" s="6">
        <v>200</v>
      </c>
      <c r="I188" s="6">
        <v>2000</v>
      </c>
      <c r="J188" s="6"/>
      <c r="K188" s="10"/>
      <c r="L188" s="10">
        <v>20201118</v>
      </c>
      <c r="M188" s="36" t="str">
        <f t="shared" si="2"/>
        <v>19610915</v>
      </c>
    </row>
    <row r="189" s="1" customFormat="1" spans="1:13">
      <c r="A189" s="2">
        <v>4473</v>
      </c>
      <c r="B189" s="6" t="s">
        <v>9015</v>
      </c>
      <c r="C189" s="6" t="s">
        <v>9130</v>
      </c>
      <c r="D189" s="6" t="s">
        <v>9131</v>
      </c>
      <c r="E189" s="6">
        <v>2020</v>
      </c>
      <c r="F189" s="6">
        <v>2020</v>
      </c>
      <c r="G189" s="6" t="s">
        <v>16</v>
      </c>
      <c r="H189" s="6">
        <v>200</v>
      </c>
      <c r="I189" s="6">
        <v>200</v>
      </c>
      <c r="J189" s="6"/>
      <c r="K189" s="6"/>
      <c r="L189" s="10">
        <v>20201118</v>
      </c>
      <c r="M189" s="36" t="str">
        <f t="shared" si="2"/>
        <v>19610917</v>
      </c>
    </row>
    <row r="190" s="1" customFormat="1" spans="1:13">
      <c r="A190" s="2">
        <v>2535</v>
      </c>
      <c r="B190" s="32" t="s">
        <v>5602</v>
      </c>
      <c r="C190" s="9" t="s">
        <v>5607</v>
      </c>
      <c r="D190" s="9" t="s">
        <v>5608</v>
      </c>
      <c r="E190" s="32">
        <v>2020</v>
      </c>
      <c r="F190" s="32">
        <v>2020</v>
      </c>
      <c r="G190" s="32" t="s">
        <v>16</v>
      </c>
      <c r="H190" s="9">
        <v>200</v>
      </c>
      <c r="I190" s="9">
        <v>200</v>
      </c>
      <c r="J190" s="32" t="s">
        <v>108</v>
      </c>
      <c r="K190" s="52"/>
      <c r="L190" s="10">
        <v>20201118</v>
      </c>
      <c r="M190" s="36" t="str">
        <f t="shared" si="2"/>
        <v>19610919</v>
      </c>
    </row>
    <row r="191" s="1" customFormat="1" ht="14.25" spans="1:13">
      <c r="A191" s="2">
        <v>2972</v>
      </c>
      <c r="B191" s="6" t="s">
        <v>6075</v>
      </c>
      <c r="C191" s="25" t="s">
        <v>6469</v>
      </c>
      <c r="D191" s="26" t="s">
        <v>6470</v>
      </c>
      <c r="E191" s="5" t="s">
        <v>15</v>
      </c>
      <c r="F191" s="5">
        <v>2020</v>
      </c>
      <c r="G191" s="6" t="s">
        <v>16</v>
      </c>
      <c r="H191" s="6">
        <v>200</v>
      </c>
      <c r="I191" s="6">
        <v>200</v>
      </c>
      <c r="J191" s="6"/>
      <c r="K191" s="10"/>
      <c r="L191" s="10">
        <v>20201118</v>
      </c>
      <c r="M191" s="36" t="str">
        <f t="shared" si="2"/>
        <v>19610919</v>
      </c>
    </row>
    <row r="192" s="1" customFormat="1" spans="1:13">
      <c r="A192" s="2">
        <v>1863</v>
      </c>
      <c r="B192" s="5" t="s">
        <v>4189</v>
      </c>
      <c r="C192" s="16" t="s">
        <v>4290</v>
      </c>
      <c r="D192" s="16" t="s">
        <v>4291</v>
      </c>
      <c r="E192" s="5" t="s">
        <v>15</v>
      </c>
      <c r="F192" s="5" t="s">
        <v>15</v>
      </c>
      <c r="G192" s="5" t="s">
        <v>3359</v>
      </c>
      <c r="H192" s="16">
        <v>200</v>
      </c>
      <c r="I192" s="16">
        <v>200</v>
      </c>
      <c r="J192" s="5"/>
      <c r="K192" s="10"/>
      <c r="L192" s="10">
        <v>20201118</v>
      </c>
      <c r="M192" s="36" t="str">
        <f t="shared" si="2"/>
        <v>19610920</v>
      </c>
    </row>
    <row r="193" s="1" customFormat="1" ht="14.25" spans="1:13">
      <c r="A193" s="2">
        <v>1417</v>
      </c>
      <c r="B193" s="5" t="s">
        <v>3381</v>
      </c>
      <c r="C193" s="9" t="s">
        <v>3403</v>
      </c>
      <c r="D193" s="9" t="s">
        <v>3404</v>
      </c>
      <c r="E193" s="5">
        <v>2020</v>
      </c>
      <c r="F193" s="5">
        <v>2020</v>
      </c>
      <c r="G193" s="14" t="s">
        <v>16</v>
      </c>
      <c r="H193" s="6">
        <v>200</v>
      </c>
      <c r="I193" s="6">
        <v>200</v>
      </c>
      <c r="J193" s="24" t="s">
        <v>3405</v>
      </c>
      <c r="K193" s="13"/>
      <c r="L193" s="10">
        <v>20201118</v>
      </c>
      <c r="M193" s="36" t="str">
        <f t="shared" si="2"/>
        <v>19610922</v>
      </c>
    </row>
    <row r="194" s="1" customFormat="1" spans="1:13">
      <c r="A194" s="2">
        <v>8106</v>
      </c>
      <c r="B194" s="5" t="s">
        <v>15406</v>
      </c>
      <c r="C194" s="6" t="s">
        <v>15407</v>
      </c>
      <c r="D194" s="6" t="s">
        <v>15408</v>
      </c>
      <c r="E194" s="5" t="s">
        <v>15</v>
      </c>
      <c r="F194" s="5">
        <v>2020</v>
      </c>
      <c r="G194" s="14" t="s">
        <v>16</v>
      </c>
      <c r="H194" s="6" t="s">
        <v>311</v>
      </c>
      <c r="I194" s="6">
        <v>200</v>
      </c>
      <c r="J194" s="5"/>
      <c r="K194" s="10"/>
      <c r="L194" s="10">
        <v>20201118</v>
      </c>
      <c r="M194" s="36" t="str">
        <f t="shared" ref="M194:M257" si="3">MID(D194,7,8)</f>
        <v>19610923</v>
      </c>
    </row>
    <row r="195" s="1" customFormat="1" spans="1:13">
      <c r="A195" s="2">
        <v>5666</v>
      </c>
      <c r="B195" s="30" t="s">
        <v>11090</v>
      </c>
      <c r="C195" s="30" t="s">
        <v>11417</v>
      </c>
      <c r="D195" s="30" t="s">
        <v>11418</v>
      </c>
      <c r="E195" s="5" t="s">
        <v>15</v>
      </c>
      <c r="F195" s="5" t="s">
        <v>10250</v>
      </c>
      <c r="G195" s="6" t="s">
        <v>16</v>
      </c>
      <c r="H195" s="32">
        <v>200</v>
      </c>
      <c r="I195" s="32">
        <v>200</v>
      </c>
      <c r="J195" s="6"/>
      <c r="K195" s="48"/>
      <c r="L195" s="10">
        <v>20201118</v>
      </c>
      <c r="M195" s="36" t="str">
        <f t="shared" si="3"/>
        <v>19610924</v>
      </c>
    </row>
    <row r="196" s="1" customFormat="1" spans="1:13">
      <c r="A196" s="2">
        <v>3592</v>
      </c>
      <c r="B196" s="5" t="s">
        <v>7412</v>
      </c>
      <c r="C196" s="5" t="s">
        <v>7451</v>
      </c>
      <c r="D196" s="5" t="s">
        <v>7452</v>
      </c>
      <c r="E196" s="6">
        <v>2020</v>
      </c>
      <c r="F196" s="6">
        <v>2020</v>
      </c>
      <c r="G196" s="5" t="s">
        <v>3359</v>
      </c>
      <c r="H196" s="5">
        <v>200</v>
      </c>
      <c r="I196" s="5">
        <v>200</v>
      </c>
      <c r="J196" s="5"/>
      <c r="K196" s="5"/>
      <c r="L196" s="10">
        <v>20201118</v>
      </c>
      <c r="M196" s="36" t="str">
        <f t="shared" si="3"/>
        <v>19610925</v>
      </c>
    </row>
    <row r="197" s="1" customFormat="1" spans="1:13">
      <c r="A197" s="2">
        <v>3593</v>
      </c>
      <c r="B197" s="5" t="s">
        <v>7412</v>
      </c>
      <c r="C197" s="5" t="s">
        <v>7453</v>
      </c>
      <c r="D197" s="5" t="s">
        <v>7454</v>
      </c>
      <c r="E197" s="6">
        <v>2020</v>
      </c>
      <c r="F197" s="6">
        <v>2020</v>
      </c>
      <c r="G197" s="5" t="s">
        <v>3359</v>
      </c>
      <c r="H197" s="5">
        <v>200</v>
      </c>
      <c r="I197" s="5">
        <v>200</v>
      </c>
      <c r="J197" s="5"/>
      <c r="K197" s="5"/>
      <c r="L197" s="10">
        <v>20201118</v>
      </c>
      <c r="M197" s="36" t="str">
        <f t="shared" si="3"/>
        <v>19611001</v>
      </c>
    </row>
    <row r="198" s="1" customFormat="1" spans="1:13">
      <c r="A198" s="2">
        <v>5078</v>
      </c>
      <c r="B198" s="6" t="s">
        <v>10242</v>
      </c>
      <c r="C198" s="9" t="s">
        <v>10289</v>
      </c>
      <c r="D198" s="9" t="s">
        <v>10290</v>
      </c>
      <c r="E198" s="5" t="s">
        <v>10250</v>
      </c>
      <c r="F198" s="5">
        <v>2020</v>
      </c>
      <c r="G198" s="6" t="s">
        <v>16</v>
      </c>
      <c r="H198" s="6">
        <v>200</v>
      </c>
      <c r="I198" s="6">
        <v>200</v>
      </c>
      <c r="J198" s="6"/>
      <c r="K198" s="5"/>
      <c r="L198" s="10">
        <v>20201118</v>
      </c>
      <c r="M198" s="36" t="str">
        <f t="shared" si="3"/>
        <v>19611001</v>
      </c>
    </row>
    <row r="199" s="1" customFormat="1" spans="1:13">
      <c r="A199" s="2">
        <v>2156</v>
      </c>
      <c r="B199" s="9" t="s">
        <v>4837</v>
      </c>
      <c r="C199" s="9" t="s">
        <v>4860</v>
      </c>
      <c r="D199" s="9" t="s">
        <v>4861</v>
      </c>
      <c r="E199" s="6" t="s">
        <v>15</v>
      </c>
      <c r="F199" s="6">
        <v>2020</v>
      </c>
      <c r="G199" s="9" t="s">
        <v>2480</v>
      </c>
      <c r="H199" s="9">
        <v>200</v>
      </c>
      <c r="I199" s="9">
        <v>200</v>
      </c>
      <c r="J199" s="6"/>
      <c r="K199" s="10"/>
      <c r="L199" s="10">
        <v>20201118</v>
      </c>
      <c r="M199" s="36" t="str">
        <f t="shared" si="3"/>
        <v>19611003</v>
      </c>
    </row>
    <row r="200" s="1" customFormat="1" spans="1:13">
      <c r="A200" s="2">
        <v>1831</v>
      </c>
      <c r="B200" s="5" t="s">
        <v>4189</v>
      </c>
      <c r="C200" s="16" t="s">
        <v>4227</v>
      </c>
      <c r="D200" s="16" t="s">
        <v>4228</v>
      </c>
      <c r="E200" s="5" t="s">
        <v>15</v>
      </c>
      <c r="F200" s="5" t="s">
        <v>15</v>
      </c>
      <c r="G200" s="5" t="s">
        <v>3359</v>
      </c>
      <c r="H200" s="16">
        <v>200</v>
      </c>
      <c r="I200" s="16">
        <v>200</v>
      </c>
      <c r="J200" s="5"/>
      <c r="K200" s="10"/>
      <c r="L200" s="10">
        <v>20201118</v>
      </c>
      <c r="M200" s="36" t="str">
        <f t="shared" si="3"/>
        <v>19611004</v>
      </c>
    </row>
    <row r="201" s="1" customFormat="1" spans="1:13">
      <c r="A201" s="2">
        <v>2407</v>
      </c>
      <c r="B201" s="5" t="s">
        <v>5328</v>
      </c>
      <c r="C201" s="16" t="s">
        <v>5355</v>
      </c>
      <c r="D201" s="16" t="s">
        <v>5356</v>
      </c>
      <c r="E201" s="5" t="s">
        <v>15</v>
      </c>
      <c r="F201" s="5" t="s">
        <v>15</v>
      </c>
      <c r="G201" s="14" t="s">
        <v>16</v>
      </c>
      <c r="H201" s="6">
        <v>200</v>
      </c>
      <c r="I201" s="6">
        <v>200</v>
      </c>
      <c r="J201" s="5"/>
      <c r="K201" s="5"/>
      <c r="L201" s="10">
        <v>20201118</v>
      </c>
      <c r="M201" s="36" t="str">
        <f t="shared" si="3"/>
        <v>19611005</v>
      </c>
    </row>
    <row r="202" s="1" customFormat="1" spans="1:13">
      <c r="A202" s="2">
        <v>945</v>
      </c>
      <c r="B202" s="5" t="s">
        <v>2469</v>
      </c>
      <c r="C202" s="9" t="s">
        <v>2483</v>
      </c>
      <c r="D202" s="9" t="s">
        <v>2484</v>
      </c>
      <c r="E202" s="5">
        <v>2020</v>
      </c>
      <c r="F202" s="5">
        <v>2020</v>
      </c>
      <c r="G202" s="9" t="s">
        <v>2480</v>
      </c>
      <c r="H202" s="9">
        <v>200</v>
      </c>
      <c r="I202" s="9">
        <v>200</v>
      </c>
      <c r="J202" s="5"/>
      <c r="K202" s="5"/>
      <c r="L202" s="10">
        <v>20201118</v>
      </c>
      <c r="M202" s="36" t="str">
        <f t="shared" si="3"/>
        <v>19611006</v>
      </c>
    </row>
    <row r="203" s="1" customFormat="1" spans="1:13">
      <c r="A203" s="2">
        <v>3594</v>
      </c>
      <c r="B203" s="5" t="s">
        <v>7412</v>
      </c>
      <c r="C203" s="5" t="s">
        <v>7455</v>
      </c>
      <c r="D203" s="5" t="s">
        <v>7456</v>
      </c>
      <c r="E203" s="6">
        <v>2020</v>
      </c>
      <c r="F203" s="6">
        <v>2020</v>
      </c>
      <c r="G203" s="5" t="s">
        <v>3359</v>
      </c>
      <c r="H203" s="5">
        <v>200</v>
      </c>
      <c r="I203" s="5">
        <v>200</v>
      </c>
      <c r="J203" s="5"/>
      <c r="K203" s="5"/>
      <c r="L203" s="10">
        <v>20201118</v>
      </c>
      <c r="M203" s="36" t="str">
        <f t="shared" si="3"/>
        <v>19611006</v>
      </c>
    </row>
    <row r="204" s="1" customFormat="1" spans="1:13">
      <c r="A204" s="2">
        <v>7602</v>
      </c>
      <c r="B204" s="5" t="s">
        <v>14402</v>
      </c>
      <c r="C204" s="5" t="s">
        <v>14803</v>
      </c>
      <c r="D204" s="5" t="s">
        <v>14804</v>
      </c>
      <c r="E204" s="5">
        <v>2020</v>
      </c>
      <c r="F204" s="5">
        <v>2020</v>
      </c>
      <c r="G204" s="17" t="s">
        <v>16</v>
      </c>
      <c r="H204" s="5">
        <v>200</v>
      </c>
      <c r="I204" s="5">
        <v>200</v>
      </c>
      <c r="J204" s="5"/>
      <c r="K204" s="10"/>
      <c r="L204" s="10">
        <v>20201118</v>
      </c>
      <c r="M204" s="36" t="str">
        <f t="shared" si="3"/>
        <v>19611006</v>
      </c>
    </row>
    <row r="205" s="1" customFormat="1" spans="1:13">
      <c r="A205" s="2">
        <v>4564</v>
      </c>
      <c r="B205" s="6" t="s">
        <v>9015</v>
      </c>
      <c r="C205" s="6" t="s">
        <v>9306</v>
      </c>
      <c r="D205" s="6" t="s">
        <v>9307</v>
      </c>
      <c r="E205" s="6">
        <v>2020</v>
      </c>
      <c r="F205" s="6">
        <v>2020</v>
      </c>
      <c r="G205" s="6" t="s">
        <v>16</v>
      </c>
      <c r="H205" s="6">
        <v>200</v>
      </c>
      <c r="I205" s="6">
        <v>200</v>
      </c>
      <c r="J205" s="6"/>
      <c r="K205" s="6"/>
      <c r="L205" s="10">
        <v>20201118</v>
      </c>
      <c r="M205" s="36" t="str">
        <f t="shared" si="3"/>
        <v>19611009</v>
      </c>
    </row>
    <row r="206" s="1" customFormat="1" spans="1:13">
      <c r="A206" s="2">
        <v>5930</v>
      </c>
      <c r="B206" s="30" t="s">
        <v>11090</v>
      </c>
      <c r="C206" s="6" t="s">
        <v>11909</v>
      </c>
      <c r="D206" s="306" t="s">
        <v>11910</v>
      </c>
      <c r="E206" s="5" t="s">
        <v>15</v>
      </c>
      <c r="F206" s="5" t="s">
        <v>10250</v>
      </c>
      <c r="G206" s="6" t="s">
        <v>16</v>
      </c>
      <c r="H206" s="32">
        <v>200</v>
      </c>
      <c r="I206" s="32">
        <v>200</v>
      </c>
      <c r="J206" s="6"/>
      <c r="K206" s="48"/>
      <c r="L206" s="10">
        <v>20201118</v>
      </c>
      <c r="M206" s="36" t="str">
        <f t="shared" si="3"/>
        <v>19611009</v>
      </c>
    </row>
    <row r="207" s="1" customFormat="1" spans="1:13">
      <c r="A207" s="2">
        <v>6299</v>
      </c>
      <c r="B207" s="5" t="s">
        <v>12263</v>
      </c>
      <c r="C207" s="5" t="s">
        <v>12617</v>
      </c>
      <c r="D207" s="5" t="s">
        <v>12618</v>
      </c>
      <c r="E207" s="5" t="s">
        <v>10250</v>
      </c>
      <c r="F207" s="5">
        <v>2020</v>
      </c>
      <c r="G207" s="17" t="s">
        <v>3359</v>
      </c>
      <c r="H207" s="5">
        <v>200</v>
      </c>
      <c r="I207" s="5">
        <v>200</v>
      </c>
      <c r="J207" s="5"/>
      <c r="K207" s="5"/>
      <c r="L207" s="10">
        <v>20201118</v>
      </c>
      <c r="M207" s="36" t="str">
        <f t="shared" si="3"/>
        <v>19611010</v>
      </c>
    </row>
    <row r="208" s="1" customFormat="1" spans="1:13">
      <c r="A208" s="2">
        <v>7064</v>
      </c>
      <c r="B208" s="5" t="s">
        <v>13533</v>
      </c>
      <c r="C208" s="32" t="s">
        <v>13809</v>
      </c>
      <c r="D208" s="32" t="str">
        <f>"152326196110127128"</f>
        <v>152326196110127128</v>
      </c>
      <c r="E208" s="5">
        <v>2020</v>
      </c>
      <c r="F208" s="5">
        <v>2020</v>
      </c>
      <c r="G208" s="9" t="s">
        <v>2480</v>
      </c>
      <c r="H208" s="32">
        <v>200</v>
      </c>
      <c r="I208" s="32">
        <v>200</v>
      </c>
      <c r="J208" s="32"/>
      <c r="K208" s="10"/>
      <c r="L208" s="10">
        <v>20201118</v>
      </c>
      <c r="M208" s="36" t="str">
        <f t="shared" si="3"/>
        <v>19611012</v>
      </c>
    </row>
    <row r="209" s="1" customFormat="1" spans="1:13">
      <c r="A209" s="2">
        <v>6525</v>
      </c>
      <c r="B209" s="5" t="s">
        <v>13027</v>
      </c>
      <c r="C209" s="15" t="s">
        <v>13047</v>
      </c>
      <c r="D209" s="15" t="s">
        <v>13048</v>
      </c>
      <c r="E209" s="5">
        <v>2020</v>
      </c>
      <c r="F209" s="5">
        <v>2020</v>
      </c>
      <c r="G209" s="14" t="s">
        <v>16</v>
      </c>
      <c r="H209" s="15">
        <v>200</v>
      </c>
      <c r="I209" s="15">
        <v>200</v>
      </c>
      <c r="J209" s="5"/>
      <c r="K209" s="10"/>
      <c r="L209" s="10">
        <v>20201118</v>
      </c>
      <c r="M209" s="36" t="str">
        <f t="shared" si="3"/>
        <v>19611014</v>
      </c>
    </row>
    <row r="210" s="1" customFormat="1" spans="1:13">
      <c r="A210" s="2">
        <v>946</v>
      </c>
      <c r="B210" s="5" t="s">
        <v>2469</v>
      </c>
      <c r="C210" s="9" t="s">
        <v>2485</v>
      </c>
      <c r="D210" s="9" t="s">
        <v>2486</v>
      </c>
      <c r="E210" s="5">
        <v>2020</v>
      </c>
      <c r="F210" s="5">
        <v>2020</v>
      </c>
      <c r="G210" s="9" t="s">
        <v>2480</v>
      </c>
      <c r="H210" s="9">
        <v>200</v>
      </c>
      <c r="I210" s="9">
        <v>200</v>
      </c>
      <c r="J210" s="5"/>
      <c r="K210" s="5"/>
      <c r="L210" s="10">
        <v>20201118</v>
      </c>
      <c r="M210" s="36" t="str">
        <f t="shared" si="3"/>
        <v>19611015</v>
      </c>
    </row>
    <row r="211" s="1" customFormat="1" spans="1:13">
      <c r="A211" s="2">
        <v>1418</v>
      </c>
      <c r="B211" s="5" t="s">
        <v>3381</v>
      </c>
      <c r="C211" s="9" t="s">
        <v>3406</v>
      </c>
      <c r="D211" s="9" t="s">
        <v>3407</v>
      </c>
      <c r="E211" s="5">
        <v>2020</v>
      </c>
      <c r="F211" s="5">
        <v>2020</v>
      </c>
      <c r="G211" s="14" t="s">
        <v>16</v>
      </c>
      <c r="H211" s="6">
        <v>200</v>
      </c>
      <c r="I211" s="6">
        <v>200</v>
      </c>
      <c r="J211" s="5"/>
      <c r="K211" s="13"/>
      <c r="L211" s="10">
        <v>20201118</v>
      </c>
      <c r="M211" s="36" t="str">
        <f t="shared" si="3"/>
        <v>19611015</v>
      </c>
    </row>
    <row r="212" s="1" customFormat="1" spans="1:13">
      <c r="A212" s="2">
        <v>5840</v>
      </c>
      <c r="B212" s="30" t="s">
        <v>11090</v>
      </c>
      <c r="C212" s="30" t="s">
        <v>11746</v>
      </c>
      <c r="D212" s="30" t="s">
        <v>11747</v>
      </c>
      <c r="E212" s="5" t="s">
        <v>15</v>
      </c>
      <c r="F212" s="5" t="s">
        <v>10250</v>
      </c>
      <c r="G212" s="6" t="s">
        <v>16</v>
      </c>
      <c r="H212" s="32">
        <v>500</v>
      </c>
      <c r="I212" s="32">
        <v>500</v>
      </c>
      <c r="J212" s="6"/>
      <c r="K212" s="48"/>
      <c r="L212" s="10">
        <v>20201118</v>
      </c>
      <c r="M212" s="36" t="str">
        <f t="shared" si="3"/>
        <v>19611015</v>
      </c>
    </row>
    <row r="213" s="1" customFormat="1" spans="1:13">
      <c r="A213" s="2">
        <v>7071</v>
      </c>
      <c r="B213" s="5" t="s">
        <v>13533</v>
      </c>
      <c r="C213" s="32" t="s">
        <v>12690</v>
      </c>
      <c r="D213" s="32" t="str">
        <f>"152326196110157124"</f>
        <v>152326196110157124</v>
      </c>
      <c r="E213" s="5">
        <v>2020</v>
      </c>
      <c r="F213" s="5">
        <v>2020</v>
      </c>
      <c r="G213" s="9" t="s">
        <v>2480</v>
      </c>
      <c r="H213" s="32">
        <v>200</v>
      </c>
      <c r="I213" s="32">
        <v>200</v>
      </c>
      <c r="J213" s="32"/>
      <c r="K213" s="10"/>
      <c r="L213" s="10">
        <v>20201118</v>
      </c>
      <c r="M213" s="36" t="str">
        <f t="shared" si="3"/>
        <v>19611015</v>
      </c>
    </row>
    <row r="214" s="1" customFormat="1" spans="1:13">
      <c r="A214" s="2">
        <v>5743</v>
      </c>
      <c r="B214" s="30" t="s">
        <v>11090</v>
      </c>
      <c r="C214" s="30" t="s">
        <v>11570</v>
      </c>
      <c r="D214" s="30" t="s">
        <v>11571</v>
      </c>
      <c r="E214" s="5" t="s">
        <v>15</v>
      </c>
      <c r="F214" s="5" t="s">
        <v>10250</v>
      </c>
      <c r="G214" s="6" t="s">
        <v>16</v>
      </c>
      <c r="H214" s="32">
        <v>200</v>
      </c>
      <c r="I214" s="32">
        <v>200</v>
      </c>
      <c r="J214" s="6"/>
      <c r="K214" s="48"/>
      <c r="L214" s="10">
        <v>20201118</v>
      </c>
      <c r="M214" s="36" t="str">
        <f t="shared" si="3"/>
        <v>19611017</v>
      </c>
    </row>
    <row r="215" s="1" customFormat="1" spans="1:13">
      <c r="A215" s="2">
        <v>8083</v>
      </c>
      <c r="B215" s="5" t="s">
        <v>15086</v>
      </c>
      <c r="C215" s="6" t="s">
        <v>15364</v>
      </c>
      <c r="D215" s="6" t="s">
        <v>15365</v>
      </c>
      <c r="E215" s="5" t="s">
        <v>15</v>
      </c>
      <c r="F215" s="5">
        <v>2020</v>
      </c>
      <c r="G215" s="5" t="s">
        <v>16</v>
      </c>
      <c r="H215" s="5">
        <v>200</v>
      </c>
      <c r="I215" s="5">
        <v>200</v>
      </c>
      <c r="J215" s="5"/>
      <c r="K215" s="5"/>
      <c r="L215" s="10">
        <v>20201118</v>
      </c>
      <c r="M215" s="36" t="str">
        <f t="shared" si="3"/>
        <v>19611017</v>
      </c>
    </row>
    <row r="216" s="1" customFormat="1" spans="1:13">
      <c r="A216" s="2">
        <v>2408</v>
      </c>
      <c r="B216" s="5" t="s">
        <v>5328</v>
      </c>
      <c r="C216" s="16" t="s">
        <v>5357</v>
      </c>
      <c r="D216" s="16" t="s">
        <v>5358</v>
      </c>
      <c r="E216" s="5" t="s">
        <v>15</v>
      </c>
      <c r="F216" s="5" t="s">
        <v>15</v>
      </c>
      <c r="G216" s="14" t="s">
        <v>16</v>
      </c>
      <c r="H216" s="6">
        <v>200</v>
      </c>
      <c r="I216" s="6">
        <v>200</v>
      </c>
      <c r="J216" s="5" t="s">
        <v>768</v>
      </c>
      <c r="K216" s="5"/>
      <c r="L216" s="10">
        <v>20201118</v>
      </c>
      <c r="M216" s="36" t="str">
        <f t="shared" si="3"/>
        <v>19611019</v>
      </c>
    </row>
    <row r="217" s="1" customFormat="1" spans="1:13">
      <c r="A217" s="2">
        <v>2536</v>
      </c>
      <c r="B217" s="32" t="s">
        <v>5602</v>
      </c>
      <c r="C217" s="9" t="s">
        <v>5609</v>
      </c>
      <c r="D217" s="9" t="s">
        <v>5610</v>
      </c>
      <c r="E217" s="32">
        <v>2020</v>
      </c>
      <c r="F217" s="32">
        <v>2020</v>
      </c>
      <c r="G217" s="32" t="s">
        <v>16</v>
      </c>
      <c r="H217" s="9">
        <v>300</v>
      </c>
      <c r="I217" s="9">
        <v>300</v>
      </c>
      <c r="J217" s="32"/>
      <c r="K217" s="52"/>
      <c r="L217" s="10">
        <v>20201118</v>
      </c>
      <c r="M217" s="36" t="str">
        <f t="shared" si="3"/>
        <v>19611020</v>
      </c>
    </row>
    <row r="218" s="1" customFormat="1" spans="1:13">
      <c r="A218" s="2">
        <v>4587</v>
      </c>
      <c r="B218" s="6" t="s">
        <v>9015</v>
      </c>
      <c r="C218" s="6" t="s">
        <v>9350</v>
      </c>
      <c r="D218" s="6" t="s">
        <v>9351</v>
      </c>
      <c r="E218" s="6">
        <v>2020</v>
      </c>
      <c r="F218" s="6">
        <v>2020</v>
      </c>
      <c r="G218" s="6" t="s">
        <v>16</v>
      </c>
      <c r="H218" s="6">
        <v>200</v>
      </c>
      <c r="I218" s="6">
        <v>200</v>
      </c>
      <c r="J218" s="6"/>
      <c r="K218" s="6"/>
      <c r="L218" s="10">
        <v>20201118</v>
      </c>
      <c r="M218" s="36" t="str">
        <f t="shared" si="3"/>
        <v>19611020</v>
      </c>
    </row>
    <row r="219" s="1" customFormat="1" spans="1:13">
      <c r="A219" s="2">
        <v>4960</v>
      </c>
      <c r="B219" s="6" t="s">
        <v>9954</v>
      </c>
      <c r="C219" s="53" t="s">
        <v>10060</v>
      </c>
      <c r="D219" s="53" t="s">
        <v>10061</v>
      </c>
      <c r="E219" s="5" t="s">
        <v>15</v>
      </c>
      <c r="F219" s="5" t="s">
        <v>15</v>
      </c>
      <c r="G219" s="14" t="s">
        <v>16</v>
      </c>
      <c r="H219" s="6">
        <v>200</v>
      </c>
      <c r="I219" s="6">
        <v>200</v>
      </c>
      <c r="J219" s="6"/>
      <c r="K219" s="6"/>
      <c r="L219" s="10">
        <v>20201118</v>
      </c>
      <c r="M219" s="36" t="str">
        <f t="shared" si="3"/>
        <v>19611021</v>
      </c>
    </row>
    <row r="220" s="1" customFormat="1" spans="1:13">
      <c r="A220" s="2">
        <v>1834</v>
      </c>
      <c r="B220" s="5" t="s">
        <v>4189</v>
      </c>
      <c r="C220" s="16" t="s">
        <v>4233</v>
      </c>
      <c r="D220" s="16" t="s">
        <v>4234</v>
      </c>
      <c r="E220" s="5" t="s">
        <v>15</v>
      </c>
      <c r="F220" s="5" t="s">
        <v>15</v>
      </c>
      <c r="G220" s="5" t="s">
        <v>3359</v>
      </c>
      <c r="H220" s="16">
        <v>200</v>
      </c>
      <c r="I220" s="16">
        <v>200</v>
      </c>
      <c r="J220" s="5"/>
      <c r="K220" s="10"/>
      <c r="L220" s="10">
        <v>20201118</v>
      </c>
      <c r="M220" s="36" t="str">
        <f t="shared" si="3"/>
        <v>19611025</v>
      </c>
    </row>
    <row r="221" s="1" customFormat="1" spans="1:13">
      <c r="A221" s="2">
        <v>3509</v>
      </c>
      <c r="B221" s="5" t="s">
        <v>3375</v>
      </c>
      <c r="C221" s="6" t="s">
        <v>7298</v>
      </c>
      <c r="D221" s="6" t="s">
        <v>7299</v>
      </c>
      <c r="E221" s="5" t="s">
        <v>15</v>
      </c>
      <c r="F221" s="5">
        <v>2020</v>
      </c>
      <c r="G221" s="14" t="s">
        <v>16</v>
      </c>
      <c r="H221" s="17">
        <v>200</v>
      </c>
      <c r="I221" s="17">
        <v>200</v>
      </c>
      <c r="J221" s="6" t="s">
        <v>7229</v>
      </c>
      <c r="K221" s="10"/>
      <c r="L221" s="10">
        <v>20201118</v>
      </c>
      <c r="M221" s="36" t="str">
        <f t="shared" si="3"/>
        <v>19611026</v>
      </c>
    </row>
    <row r="222" s="1" customFormat="1" spans="1:13">
      <c r="A222" s="2">
        <v>3516</v>
      </c>
      <c r="B222" s="5" t="s">
        <v>3375</v>
      </c>
      <c r="C222" s="6" t="s">
        <v>7307</v>
      </c>
      <c r="D222" s="6" t="str">
        <f>"152326196110276887"</f>
        <v>152326196110276887</v>
      </c>
      <c r="E222" s="5" t="s">
        <v>15</v>
      </c>
      <c r="F222" s="5">
        <v>2020</v>
      </c>
      <c r="G222" s="14" t="s">
        <v>16</v>
      </c>
      <c r="H222" s="17">
        <v>200</v>
      </c>
      <c r="I222" s="17">
        <v>200</v>
      </c>
      <c r="J222" s="6"/>
      <c r="K222" s="10"/>
      <c r="L222" s="10">
        <v>20201118</v>
      </c>
      <c r="M222" s="36" t="str">
        <f t="shared" si="3"/>
        <v>19611027</v>
      </c>
    </row>
    <row r="223" s="1" customFormat="1" spans="1:13">
      <c r="A223" s="2">
        <v>7600</v>
      </c>
      <c r="B223" s="5" t="s">
        <v>14402</v>
      </c>
      <c r="C223" s="5" t="s">
        <v>14799</v>
      </c>
      <c r="D223" s="5" t="s">
        <v>14800</v>
      </c>
      <c r="E223" s="5">
        <v>2020</v>
      </c>
      <c r="F223" s="5">
        <v>2020</v>
      </c>
      <c r="G223" s="17" t="s">
        <v>16</v>
      </c>
      <c r="H223" s="5">
        <v>200</v>
      </c>
      <c r="I223" s="5">
        <v>200</v>
      </c>
      <c r="J223" s="5" t="s">
        <v>749</v>
      </c>
      <c r="K223" s="10"/>
      <c r="L223" s="10">
        <v>20201118</v>
      </c>
      <c r="M223" s="36" t="str">
        <f t="shared" si="3"/>
        <v>19611028</v>
      </c>
    </row>
    <row r="224" s="1" customFormat="1" spans="1:13">
      <c r="A224" s="2">
        <v>158</v>
      </c>
      <c r="B224" s="14" t="s">
        <v>327</v>
      </c>
      <c r="C224" s="14" t="s">
        <v>362</v>
      </c>
      <c r="D224" s="14" t="s">
        <v>363</v>
      </c>
      <c r="E224" s="5">
        <v>2020</v>
      </c>
      <c r="F224" s="5">
        <v>2020</v>
      </c>
      <c r="G224" s="14" t="s">
        <v>16</v>
      </c>
      <c r="H224" s="14">
        <v>200</v>
      </c>
      <c r="I224" s="14">
        <v>200</v>
      </c>
      <c r="J224" s="14"/>
      <c r="K224" s="10"/>
      <c r="L224" s="14" t="s">
        <v>330</v>
      </c>
      <c r="M224" s="36" t="str">
        <f t="shared" si="3"/>
        <v>19611029</v>
      </c>
    </row>
    <row r="225" s="1" customFormat="1" spans="1:13">
      <c r="A225" s="2">
        <v>947</v>
      </c>
      <c r="B225" s="5" t="s">
        <v>2469</v>
      </c>
      <c r="C225" s="9" t="s">
        <v>2487</v>
      </c>
      <c r="D225" s="9" t="s">
        <v>2488</v>
      </c>
      <c r="E225" s="5">
        <v>2020</v>
      </c>
      <c r="F225" s="5">
        <v>2020</v>
      </c>
      <c r="G225" s="9" t="s">
        <v>2480</v>
      </c>
      <c r="H225" s="9">
        <v>200</v>
      </c>
      <c r="I225" s="9">
        <v>200</v>
      </c>
      <c r="J225" s="5"/>
      <c r="K225" s="5"/>
      <c r="L225" s="10">
        <v>20201118</v>
      </c>
      <c r="M225" s="36" t="str">
        <f t="shared" si="3"/>
        <v>19611029</v>
      </c>
    </row>
    <row r="226" s="1" customFormat="1" spans="1:13">
      <c r="A226" s="2">
        <v>1835</v>
      </c>
      <c r="B226" s="5" t="s">
        <v>4189</v>
      </c>
      <c r="C226" s="16" t="s">
        <v>4235</v>
      </c>
      <c r="D226" s="16" t="s">
        <v>4236</v>
      </c>
      <c r="E226" s="5" t="s">
        <v>15</v>
      </c>
      <c r="F226" s="5" t="s">
        <v>15</v>
      </c>
      <c r="G226" s="5" t="s">
        <v>3359</v>
      </c>
      <c r="H226" s="16">
        <v>200</v>
      </c>
      <c r="I226" s="16">
        <v>200</v>
      </c>
      <c r="J226" s="5"/>
      <c r="K226" s="10"/>
      <c r="L226" s="10">
        <v>20201118</v>
      </c>
      <c r="M226" s="36" t="str">
        <f t="shared" si="3"/>
        <v>19611101</v>
      </c>
    </row>
    <row r="227" s="1" customFormat="1" spans="1:13">
      <c r="A227" s="2">
        <v>2537</v>
      </c>
      <c r="B227" s="32" t="s">
        <v>5602</v>
      </c>
      <c r="C227" s="9" t="s">
        <v>5611</v>
      </c>
      <c r="D227" s="9" t="s">
        <v>5612</v>
      </c>
      <c r="E227" s="32">
        <v>2020</v>
      </c>
      <c r="F227" s="32">
        <v>2020</v>
      </c>
      <c r="G227" s="32" t="s">
        <v>16</v>
      </c>
      <c r="H227" s="9">
        <v>200</v>
      </c>
      <c r="I227" s="9">
        <v>200</v>
      </c>
      <c r="J227" s="32"/>
      <c r="K227" s="52"/>
      <c r="L227" s="10">
        <v>20201118</v>
      </c>
      <c r="M227" s="36" t="str">
        <f t="shared" si="3"/>
        <v>19611101</v>
      </c>
    </row>
    <row r="228" s="1" customFormat="1" spans="1:13">
      <c r="A228" s="2">
        <v>4158</v>
      </c>
      <c r="B228" s="9" t="s">
        <v>8515</v>
      </c>
      <c r="C228" s="9" t="s">
        <v>8524</v>
      </c>
      <c r="D228" s="9" t="s">
        <v>8525</v>
      </c>
      <c r="E228" s="5" t="s">
        <v>15</v>
      </c>
      <c r="F228" s="5">
        <v>2020</v>
      </c>
      <c r="G228" s="9" t="s">
        <v>2480</v>
      </c>
      <c r="H228" s="9">
        <v>200</v>
      </c>
      <c r="I228" s="9">
        <v>200</v>
      </c>
      <c r="J228" s="9"/>
      <c r="K228" s="9"/>
      <c r="L228" s="10">
        <v>20201118</v>
      </c>
      <c r="M228" s="36" t="str">
        <f t="shared" si="3"/>
        <v>19611101</v>
      </c>
    </row>
    <row r="229" s="1" customFormat="1" spans="1:13">
      <c r="A229" s="2">
        <v>4455</v>
      </c>
      <c r="B229" s="6" t="s">
        <v>9015</v>
      </c>
      <c r="C229" s="6" t="s">
        <v>9096</v>
      </c>
      <c r="D229" s="6" t="s">
        <v>9097</v>
      </c>
      <c r="E229" s="6">
        <v>2020</v>
      </c>
      <c r="F229" s="6">
        <v>2020</v>
      </c>
      <c r="G229" s="6" t="s">
        <v>16</v>
      </c>
      <c r="H229" s="6">
        <v>200</v>
      </c>
      <c r="I229" s="6">
        <v>200</v>
      </c>
      <c r="J229" s="6"/>
      <c r="K229" s="6"/>
      <c r="L229" s="10">
        <v>20201118</v>
      </c>
      <c r="M229" s="36" t="str">
        <f t="shared" si="3"/>
        <v>19611103</v>
      </c>
    </row>
    <row r="230" s="1" customFormat="1" spans="1:13">
      <c r="A230" s="2">
        <v>5774</v>
      </c>
      <c r="B230" s="30" t="s">
        <v>11090</v>
      </c>
      <c r="C230" s="30" t="s">
        <v>11623</v>
      </c>
      <c r="D230" s="30" t="s">
        <v>11624</v>
      </c>
      <c r="E230" s="5" t="s">
        <v>15</v>
      </c>
      <c r="F230" s="5" t="s">
        <v>10250</v>
      </c>
      <c r="G230" s="6" t="s">
        <v>16</v>
      </c>
      <c r="H230" s="32">
        <v>300</v>
      </c>
      <c r="I230" s="32">
        <v>300</v>
      </c>
      <c r="J230" s="6"/>
      <c r="K230" s="48"/>
      <c r="L230" s="10">
        <v>20201118</v>
      </c>
      <c r="M230" s="36" t="str">
        <f t="shared" si="3"/>
        <v>19611107</v>
      </c>
    </row>
    <row r="231" s="1" customFormat="1" spans="1:13">
      <c r="A231" s="2">
        <v>5783</v>
      </c>
      <c r="B231" s="30" t="s">
        <v>11090</v>
      </c>
      <c r="C231" s="30" t="s">
        <v>11638</v>
      </c>
      <c r="D231" s="30" t="s">
        <v>11639</v>
      </c>
      <c r="E231" s="5" t="s">
        <v>15</v>
      </c>
      <c r="F231" s="5" t="s">
        <v>10250</v>
      </c>
      <c r="G231" s="6" t="s">
        <v>16</v>
      </c>
      <c r="H231" s="32">
        <v>200</v>
      </c>
      <c r="I231" s="32">
        <v>200</v>
      </c>
      <c r="J231" s="6"/>
      <c r="K231" s="48"/>
      <c r="L231" s="10">
        <v>20201118</v>
      </c>
      <c r="M231" s="36" t="str">
        <f t="shared" si="3"/>
        <v>19611109</v>
      </c>
    </row>
    <row r="232" s="1" customFormat="1" spans="1:13">
      <c r="A232" s="2">
        <v>7067</v>
      </c>
      <c r="B232" s="5" t="s">
        <v>13533</v>
      </c>
      <c r="C232" s="32" t="s">
        <v>13812</v>
      </c>
      <c r="D232" s="32" t="str">
        <f>"152326196111107110"</f>
        <v>152326196111107110</v>
      </c>
      <c r="E232" s="5">
        <v>2020</v>
      </c>
      <c r="F232" s="5">
        <v>2020</v>
      </c>
      <c r="G232" s="9" t="s">
        <v>2480</v>
      </c>
      <c r="H232" s="32">
        <v>200</v>
      </c>
      <c r="I232" s="32">
        <v>200</v>
      </c>
      <c r="J232" s="32"/>
      <c r="K232" s="10"/>
      <c r="L232" s="10">
        <v>20201118</v>
      </c>
      <c r="M232" s="36" t="str">
        <f t="shared" si="3"/>
        <v>19611110</v>
      </c>
    </row>
    <row r="233" s="1" customFormat="1" spans="1:13">
      <c r="A233" s="2">
        <v>2105</v>
      </c>
      <c r="B233" s="5" t="s">
        <v>4189</v>
      </c>
      <c r="C233" s="9" t="s">
        <v>4761</v>
      </c>
      <c r="D233" s="9" t="s">
        <v>4762</v>
      </c>
      <c r="E233" s="5" t="s">
        <v>15</v>
      </c>
      <c r="F233" s="5" t="s">
        <v>15</v>
      </c>
      <c r="G233" s="5" t="s">
        <v>3359</v>
      </c>
      <c r="H233" s="16">
        <v>200</v>
      </c>
      <c r="I233" s="16">
        <v>200</v>
      </c>
      <c r="J233" s="5"/>
      <c r="K233" s="10"/>
      <c r="L233" s="10">
        <v>20201118</v>
      </c>
      <c r="M233" s="36" t="str">
        <f t="shared" si="3"/>
        <v>19611111</v>
      </c>
    </row>
    <row r="234" s="1" customFormat="1" spans="1:13">
      <c r="A234" s="2">
        <v>4563</v>
      </c>
      <c r="B234" s="6" t="s">
        <v>9015</v>
      </c>
      <c r="C234" s="6" t="s">
        <v>9304</v>
      </c>
      <c r="D234" s="6" t="s">
        <v>9305</v>
      </c>
      <c r="E234" s="6">
        <v>2020</v>
      </c>
      <c r="F234" s="6">
        <v>2020</v>
      </c>
      <c r="G234" s="6" t="s">
        <v>16</v>
      </c>
      <c r="H234" s="6">
        <v>200</v>
      </c>
      <c r="I234" s="6">
        <v>200</v>
      </c>
      <c r="J234" s="6"/>
      <c r="K234" s="6"/>
      <c r="L234" s="10">
        <v>20201118</v>
      </c>
      <c r="M234" s="36" t="str">
        <f t="shared" si="3"/>
        <v>19611111</v>
      </c>
    </row>
    <row r="235" s="1" customFormat="1" spans="1:13">
      <c r="A235" s="2">
        <v>606</v>
      </c>
      <c r="B235" s="29" t="s">
        <v>1040</v>
      </c>
      <c r="C235" s="29" t="s">
        <v>1488</v>
      </c>
      <c r="D235" s="29" t="s">
        <v>1489</v>
      </c>
      <c r="E235" s="30">
        <v>2020</v>
      </c>
      <c r="F235" s="30">
        <v>2020</v>
      </c>
      <c r="G235" s="29" t="s">
        <v>16</v>
      </c>
      <c r="H235" s="29">
        <v>200</v>
      </c>
      <c r="I235" s="29">
        <v>200</v>
      </c>
      <c r="J235" s="29"/>
      <c r="K235" s="47"/>
      <c r="L235" s="2" t="s">
        <v>330</v>
      </c>
      <c r="M235" s="36" t="str">
        <f t="shared" si="3"/>
        <v>19611112</v>
      </c>
    </row>
    <row r="236" s="1" customFormat="1" ht="14.25" spans="1:13">
      <c r="A236" s="2">
        <v>3047</v>
      </c>
      <c r="B236" s="6" t="s">
        <v>6075</v>
      </c>
      <c r="C236" s="25" t="s">
        <v>6617</v>
      </c>
      <c r="D236" s="26" t="s">
        <v>6618</v>
      </c>
      <c r="E236" s="5" t="s">
        <v>15</v>
      </c>
      <c r="F236" s="5">
        <v>2020</v>
      </c>
      <c r="G236" s="6" t="s">
        <v>16</v>
      </c>
      <c r="H236" s="6">
        <v>200</v>
      </c>
      <c r="I236" s="6">
        <v>200</v>
      </c>
      <c r="J236" s="6"/>
      <c r="K236" s="10"/>
      <c r="L236" s="10">
        <v>20201118</v>
      </c>
      <c r="M236" s="36" t="str">
        <f t="shared" si="3"/>
        <v>19611112</v>
      </c>
    </row>
    <row r="237" s="1" customFormat="1" spans="1:13">
      <c r="A237" s="2">
        <v>7601</v>
      </c>
      <c r="B237" s="5" t="s">
        <v>14402</v>
      </c>
      <c r="C237" s="5" t="s">
        <v>14801</v>
      </c>
      <c r="D237" s="5" t="s">
        <v>14802</v>
      </c>
      <c r="E237" s="5">
        <v>2020</v>
      </c>
      <c r="F237" s="5">
        <v>2020</v>
      </c>
      <c r="G237" s="17" t="s">
        <v>16</v>
      </c>
      <c r="H237" s="5">
        <v>200</v>
      </c>
      <c r="I237" s="5">
        <v>200</v>
      </c>
      <c r="J237" s="5"/>
      <c r="K237" s="10"/>
      <c r="L237" s="10">
        <v>20201118</v>
      </c>
      <c r="M237" s="36" t="str">
        <f t="shared" si="3"/>
        <v>19611112</v>
      </c>
    </row>
    <row r="238" s="1" customFormat="1" spans="1:13">
      <c r="A238" s="2">
        <v>548</v>
      </c>
      <c r="B238" s="29" t="s">
        <v>1040</v>
      </c>
      <c r="C238" s="29" t="s">
        <v>1373</v>
      </c>
      <c r="D238" s="29" t="s">
        <v>1374</v>
      </c>
      <c r="E238" s="30">
        <v>2020</v>
      </c>
      <c r="F238" s="30">
        <v>2020</v>
      </c>
      <c r="G238" s="29" t="s">
        <v>16</v>
      </c>
      <c r="H238" s="29">
        <v>200</v>
      </c>
      <c r="I238" s="29">
        <v>200</v>
      </c>
      <c r="J238" s="29"/>
      <c r="K238" s="47"/>
      <c r="L238" s="2" t="s">
        <v>330</v>
      </c>
      <c r="M238" s="36" t="str">
        <f t="shared" si="3"/>
        <v>19611116</v>
      </c>
    </row>
    <row r="239" s="1" customFormat="1" spans="1:13">
      <c r="A239" s="2">
        <v>1419</v>
      </c>
      <c r="B239" s="5" t="s">
        <v>3381</v>
      </c>
      <c r="C239" s="9" t="s">
        <v>3408</v>
      </c>
      <c r="D239" s="9" t="s">
        <v>3409</v>
      </c>
      <c r="E239" s="5">
        <v>2020</v>
      </c>
      <c r="F239" s="5">
        <v>2020</v>
      </c>
      <c r="G239" s="14" t="s">
        <v>16</v>
      </c>
      <c r="H239" s="6">
        <v>200</v>
      </c>
      <c r="I239" s="6">
        <v>200</v>
      </c>
      <c r="J239" s="5"/>
      <c r="K239" s="13"/>
      <c r="L239" s="10">
        <v>20201118</v>
      </c>
      <c r="M239" s="36" t="str">
        <f t="shared" si="3"/>
        <v>19611120</v>
      </c>
    </row>
    <row r="240" s="1" customFormat="1" spans="1:13">
      <c r="A240" s="2">
        <v>3510</v>
      </c>
      <c r="B240" s="5" t="s">
        <v>3375</v>
      </c>
      <c r="C240" s="6" t="s">
        <v>7300</v>
      </c>
      <c r="D240" s="6" t="str">
        <f>"152326196111206880"</f>
        <v>152326196111206880</v>
      </c>
      <c r="E240" s="5" t="s">
        <v>15</v>
      </c>
      <c r="F240" s="5">
        <v>2020</v>
      </c>
      <c r="G240" s="14" t="s">
        <v>16</v>
      </c>
      <c r="H240" s="17">
        <v>200</v>
      </c>
      <c r="I240" s="17">
        <v>200</v>
      </c>
      <c r="J240" s="6"/>
      <c r="K240" s="10"/>
      <c r="L240" s="10">
        <v>20201118</v>
      </c>
      <c r="M240" s="36" t="str">
        <f t="shared" si="3"/>
        <v>19611120</v>
      </c>
    </row>
    <row r="241" s="1" customFormat="1" spans="1:13">
      <c r="A241" s="2">
        <v>4463</v>
      </c>
      <c r="B241" s="6" t="s">
        <v>9015</v>
      </c>
      <c r="C241" s="6" t="s">
        <v>9111</v>
      </c>
      <c r="D241" s="6" t="s">
        <v>9112</v>
      </c>
      <c r="E241" s="6">
        <v>2020</v>
      </c>
      <c r="F241" s="6">
        <v>2020</v>
      </c>
      <c r="G241" s="6" t="s">
        <v>16</v>
      </c>
      <c r="H241" s="6">
        <v>200</v>
      </c>
      <c r="I241" s="6">
        <v>200</v>
      </c>
      <c r="J241" s="6"/>
      <c r="K241" s="6"/>
      <c r="L241" s="10">
        <v>20201118</v>
      </c>
      <c r="M241" s="36" t="str">
        <f t="shared" si="3"/>
        <v>19611120</v>
      </c>
    </row>
    <row r="242" s="1" customFormat="1" spans="1:13">
      <c r="A242" s="2">
        <v>4159</v>
      </c>
      <c r="B242" s="9" t="s">
        <v>8515</v>
      </c>
      <c r="C242" s="9" t="s">
        <v>8526</v>
      </c>
      <c r="D242" s="9" t="s">
        <v>8527</v>
      </c>
      <c r="E242" s="5" t="s">
        <v>15</v>
      </c>
      <c r="F242" s="5">
        <v>2020</v>
      </c>
      <c r="G242" s="9" t="s">
        <v>2480</v>
      </c>
      <c r="H242" s="9">
        <v>200</v>
      </c>
      <c r="I242" s="9">
        <v>200</v>
      </c>
      <c r="J242" s="9"/>
      <c r="K242" s="9"/>
      <c r="L242" s="10">
        <v>20201118</v>
      </c>
      <c r="M242" s="36" t="str">
        <f t="shared" si="3"/>
        <v>19611122</v>
      </c>
    </row>
    <row r="243" s="1" customFormat="1" spans="1:13">
      <c r="A243" s="2">
        <v>2390</v>
      </c>
      <c r="B243" s="9" t="s">
        <v>4837</v>
      </c>
      <c r="C243" s="6" t="s">
        <v>5318</v>
      </c>
      <c r="D243" s="293" t="s">
        <v>5319</v>
      </c>
      <c r="E243" s="6" t="s">
        <v>15</v>
      </c>
      <c r="F243" s="6">
        <v>2020</v>
      </c>
      <c r="G243" s="9" t="s">
        <v>2480</v>
      </c>
      <c r="H243" s="6">
        <v>200</v>
      </c>
      <c r="I243" s="6">
        <v>200</v>
      </c>
      <c r="J243" s="6" t="s">
        <v>5315</v>
      </c>
      <c r="K243" s="10"/>
      <c r="L243" s="10">
        <v>20201118</v>
      </c>
      <c r="M243" s="36" t="str">
        <f t="shared" si="3"/>
        <v>19611124</v>
      </c>
    </row>
    <row r="244" s="1" customFormat="1" ht="14.25" spans="1:13">
      <c r="A244" s="2">
        <v>5218</v>
      </c>
      <c r="B244" s="33" t="s">
        <v>10535</v>
      </c>
      <c r="C244" s="34" t="s">
        <v>5329</v>
      </c>
      <c r="D244" s="34" t="s">
        <v>10557</v>
      </c>
      <c r="E244" s="35">
        <v>2020</v>
      </c>
      <c r="F244" s="35">
        <v>2020</v>
      </c>
      <c r="G244" s="35" t="s">
        <v>16</v>
      </c>
      <c r="H244" s="34">
        <v>200</v>
      </c>
      <c r="I244" s="34">
        <v>200</v>
      </c>
      <c r="J244" s="49"/>
      <c r="K244" s="10"/>
      <c r="L244" s="10">
        <v>20201118</v>
      </c>
      <c r="M244" s="36" t="str">
        <f t="shared" si="3"/>
        <v>19611125</v>
      </c>
    </row>
    <row r="245" s="1" customFormat="1" spans="1:13">
      <c r="A245" s="2">
        <v>2538</v>
      </c>
      <c r="B245" s="32" t="s">
        <v>5602</v>
      </c>
      <c r="C245" s="9" t="s">
        <v>5613</v>
      </c>
      <c r="D245" s="9" t="s">
        <v>5614</v>
      </c>
      <c r="E245" s="32">
        <v>2020</v>
      </c>
      <c r="F245" s="32">
        <v>2020</v>
      </c>
      <c r="G245" s="32" t="s">
        <v>16</v>
      </c>
      <c r="H245" s="9">
        <v>200</v>
      </c>
      <c r="I245" s="9">
        <v>200</v>
      </c>
      <c r="J245" s="32"/>
      <c r="K245" s="52"/>
      <c r="L245" s="10">
        <v>20201118</v>
      </c>
      <c r="M245" s="36" t="str">
        <f t="shared" si="3"/>
        <v>19611126</v>
      </c>
    </row>
    <row r="246" s="1" customFormat="1" spans="1:13">
      <c r="A246" s="2">
        <v>61</v>
      </c>
      <c r="B246" s="2" t="s">
        <v>12</v>
      </c>
      <c r="C246" s="17" t="s">
        <v>137</v>
      </c>
      <c r="D246" s="17" t="s">
        <v>138</v>
      </c>
      <c r="E246" s="3" t="s">
        <v>15</v>
      </c>
      <c r="F246" s="3" t="s">
        <v>15</v>
      </c>
      <c r="G246" s="2" t="s">
        <v>16</v>
      </c>
      <c r="H246" s="17">
        <v>200</v>
      </c>
      <c r="I246" s="17">
        <v>200</v>
      </c>
      <c r="J246" s="17"/>
      <c r="K246" s="17"/>
      <c r="L246" s="10">
        <v>20201118</v>
      </c>
      <c r="M246" s="36" t="str">
        <f t="shared" si="3"/>
        <v>19611127</v>
      </c>
    </row>
    <row r="247" s="1" customFormat="1" spans="1:13">
      <c r="A247" s="2">
        <v>3595</v>
      </c>
      <c r="B247" s="5" t="s">
        <v>7412</v>
      </c>
      <c r="C247" s="5" t="s">
        <v>7457</v>
      </c>
      <c r="D247" s="5" t="s">
        <v>7458</v>
      </c>
      <c r="E247" s="6">
        <v>2020</v>
      </c>
      <c r="F247" s="6">
        <v>2020</v>
      </c>
      <c r="G247" s="5" t="s">
        <v>3359</v>
      </c>
      <c r="H247" s="5">
        <v>200</v>
      </c>
      <c r="I247" s="5">
        <v>200</v>
      </c>
      <c r="J247" s="5"/>
      <c r="K247" s="5"/>
      <c r="L247" s="10">
        <v>20201118</v>
      </c>
      <c r="M247" s="36" t="str">
        <f t="shared" si="3"/>
        <v>19611127</v>
      </c>
    </row>
    <row r="248" s="1" customFormat="1" spans="1:13">
      <c r="A248" s="2">
        <v>7066</v>
      </c>
      <c r="B248" s="5" t="s">
        <v>13533</v>
      </c>
      <c r="C248" s="32" t="s">
        <v>13811</v>
      </c>
      <c r="D248" s="32" t="str">
        <f>"152326196111277187"</f>
        <v>152326196111277187</v>
      </c>
      <c r="E248" s="5">
        <v>2020</v>
      </c>
      <c r="F248" s="5">
        <v>2020</v>
      </c>
      <c r="G248" s="9" t="s">
        <v>2480</v>
      </c>
      <c r="H248" s="32">
        <v>200</v>
      </c>
      <c r="I248" s="32">
        <v>200</v>
      </c>
      <c r="J248" s="32"/>
      <c r="K248" s="10"/>
      <c r="L248" s="10">
        <v>20201118</v>
      </c>
      <c r="M248" s="36" t="str">
        <f t="shared" si="3"/>
        <v>19611127</v>
      </c>
    </row>
    <row r="249" s="1" customFormat="1" ht="14.25" spans="1:13">
      <c r="A249" s="2">
        <v>7794</v>
      </c>
      <c r="B249" s="5" t="s">
        <v>14875</v>
      </c>
      <c r="C249" s="51" t="s">
        <v>15041</v>
      </c>
      <c r="D249" s="24" t="str">
        <f>"152326196111277128"</f>
        <v>152326196111277128</v>
      </c>
      <c r="E249" s="6" t="s">
        <v>15</v>
      </c>
      <c r="F249" s="6">
        <v>2020</v>
      </c>
      <c r="G249" s="24" t="s">
        <v>14877</v>
      </c>
      <c r="H249" s="6">
        <v>200</v>
      </c>
      <c r="I249" s="6">
        <v>200</v>
      </c>
      <c r="J249" s="6"/>
      <c r="K249" s="10"/>
      <c r="L249" s="10">
        <v>20201118</v>
      </c>
      <c r="M249" s="36" t="str">
        <f t="shared" si="3"/>
        <v>19611127</v>
      </c>
    </row>
    <row r="250" s="1" customFormat="1" ht="14.25" spans="1:13">
      <c r="A250" s="2">
        <v>5219</v>
      </c>
      <c r="B250" s="33" t="s">
        <v>10535</v>
      </c>
      <c r="C250" s="34" t="s">
        <v>10558</v>
      </c>
      <c r="D250" s="34" t="s">
        <v>10559</v>
      </c>
      <c r="E250" s="35">
        <v>2020</v>
      </c>
      <c r="F250" s="35">
        <v>2020</v>
      </c>
      <c r="G250" s="35" t="s">
        <v>16</v>
      </c>
      <c r="H250" s="34">
        <v>200</v>
      </c>
      <c r="I250" s="34">
        <v>200</v>
      </c>
      <c r="J250" s="49"/>
      <c r="K250" s="10"/>
      <c r="L250" s="10">
        <v>20201118</v>
      </c>
      <c r="M250" s="36" t="str">
        <f t="shared" si="3"/>
        <v>19611128</v>
      </c>
    </row>
    <row r="251" s="1" customFormat="1" spans="1:13">
      <c r="A251" s="2">
        <v>4643</v>
      </c>
      <c r="B251" s="6" t="s">
        <v>9015</v>
      </c>
      <c r="C251" s="6" t="s">
        <v>2830</v>
      </c>
      <c r="D251" s="6" t="s">
        <v>9451</v>
      </c>
      <c r="E251" s="6">
        <v>2020</v>
      </c>
      <c r="F251" s="6">
        <v>2020</v>
      </c>
      <c r="G251" s="6" t="s">
        <v>16</v>
      </c>
      <c r="H251" s="6">
        <v>200</v>
      </c>
      <c r="I251" s="6">
        <v>200</v>
      </c>
      <c r="J251" s="6"/>
      <c r="K251" s="6"/>
      <c r="L251" s="10">
        <v>20201118</v>
      </c>
      <c r="M251" s="36" t="str">
        <f t="shared" si="3"/>
        <v>19611129</v>
      </c>
    </row>
    <row r="252" s="1" customFormat="1" spans="1:13">
      <c r="A252" s="2">
        <v>7070</v>
      </c>
      <c r="B252" s="5" t="s">
        <v>13533</v>
      </c>
      <c r="C252" s="32" t="s">
        <v>13814</v>
      </c>
      <c r="D252" s="32" t="str">
        <f>"152326196111297137"</f>
        <v>152326196111297137</v>
      </c>
      <c r="E252" s="5">
        <v>2020</v>
      </c>
      <c r="F252" s="5">
        <v>2020</v>
      </c>
      <c r="G252" s="9" t="s">
        <v>2480</v>
      </c>
      <c r="H252" s="32">
        <v>200</v>
      </c>
      <c r="I252" s="32">
        <v>200</v>
      </c>
      <c r="J252" s="32"/>
      <c r="K252" s="10"/>
      <c r="L252" s="10">
        <v>20201118</v>
      </c>
      <c r="M252" s="36" t="str">
        <f t="shared" si="3"/>
        <v>19611129</v>
      </c>
    </row>
    <row r="253" s="1" customFormat="1" spans="1:13">
      <c r="A253" s="2">
        <v>5561</v>
      </c>
      <c r="B253" s="30" t="s">
        <v>11090</v>
      </c>
      <c r="C253" s="30" t="s">
        <v>11217</v>
      </c>
      <c r="D253" s="30" t="s">
        <v>11218</v>
      </c>
      <c r="E253" s="5" t="s">
        <v>15</v>
      </c>
      <c r="F253" s="5" t="s">
        <v>10250</v>
      </c>
      <c r="G253" s="6" t="s">
        <v>16</v>
      </c>
      <c r="H253" s="32">
        <v>200</v>
      </c>
      <c r="I253" s="32">
        <v>200</v>
      </c>
      <c r="J253" s="6"/>
      <c r="K253" s="48"/>
      <c r="L253" s="10">
        <v>20201118</v>
      </c>
      <c r="M253" s="36" t="str">
        <f t="shared" si="3"/>
        <v>19611201</v>
      </c>
    </row>
    <row r="254" s="1" customFormat="1" spans="1:13">
      <c r="A254" s="2">
        <v>693</v>
      </c>
      <c r="B254" s="29" t="s">
        <v>1040</v>
      </c>
      <c r="C254" s="47" t="s">
        <v>1731</v>
      </c>
      <c r="D254" s="47" t="s">
        <v>1732</v>
      </c>
      <c r="E254" s="30">
        <v>2020</v>
      </c>
      <c r="F254" s="30">
        <v>2020</v>
      </c>
      <c r="G254" s="29" t="s">
        <v>16</v>
      </c>
      <c r="H254" s="29">
        <v>200</v>
      </c>
      <c r="I254" s="29">
        <v>200</v>
      </c>
      <c r="J254" s="29"/>
      <c r="K254" s="54"/>
      <c r="L254" s="2" t="s">
        <v>330</v>
      </c>
      <c r="M254" s="36" t="str">
        <f t="shared" si="3"/>
        <v>19611205</v>
      </c>
    </row>
    <row r="255" s="1" customFormat="1" spans="1:13">
      <c r="A255" s="2">
        <v>2539</v>
      </c>
      <c r="B255" s="32" t="s">
        <v>5602</v>
      </c>
      <c r="C255" s="9" t="s">
        <v>5615</v>
      </c>
      <c r="D255" s="9" t="s">
        <v>5616</v>
      </c>
      <c r="E255" s="32">
        <v>2020</v>
      </c>
      <c r="F255" s="32">
        <v>2020</v>
      </c>
      <c r="G255" s="32" t="s">
        <v>16</v>
      </c>
      <c r="H255" s="9">
        <v>200</v>
      </c>
      <c r="I255" s="9">
        <v>200</v>
      </c>
      <c r="J255" s="32"/>
      <c r="K255" s="52"/>
      <c r="L255" s="10">
        <v>20201118</v>
      </c>
      <c r="M255" s="36" t="str">
        <f t="shared" si="3"/>
        <v>19611205</v>
      </c>
    </row>
    <row r="256" s="1" customFormat="1" spans="1:13">
      <c r="A256" s="2">
        <v>948</v>
      </c>
      <c r="B256" s="5" t="s">
        <v>2469</v>
      </c>
      <c r="C256" s="9" t="s">
        <v>2489</v>
      </c>
      <c r="D256" s="9" t="s">
        <v>2490</v>
      </c>
      <c r="E256" s="5">
        <v>2020</v>
      </c>
      <c r="F256" s="5">
        <v>2020</v>
      </c>
      <c r="G256" s="9" t="s">
        <v>2480</v>
      </c>
      <c r="H256" s="9">
        <v>200</v>
      </c>
      <c r="I256" s="9">
        <v>200</v>
      </c>
      <c r="J256" s="5"/>
      <c r="K256" s="5"/>
      <c r="L256" s="10">
        <v>20201118</v>
      </c>
      <c r="M256" s="36" t="str">
        <f t="shared" si="3"/>
        <v>19611208</v>
      </c>
    </row>
    <row r="257" s="1" customFormat="1" spans="1:13">
      <c r="A257" s="2">
        <v>949</v>
      </c>
      <c r="B257" s="5" t="s">
        <v>2469</v>
      </c>
      <c r="C257" s="9" t="s">
        <v>2491</v>
      </c>
      <c r="D257" s="9" t="s">
        <v>2492</v>
      </c>
      <c r="E257" s="5">
        <v>2020</v>
      </c>
      <c r="F257" s="5">
        <v>2020</v>
      </c>
      <c r="G257" s="9" t="s">
        <v>2480</v>
      </c>
      <c r="H257" s="9">
        <v>200</v>
      </c>
      <c r="I257" s="9">
        <v>200</v>
      </c>
      <c r="J257" s="5"/>
      <c r="K257" s="5"/>
      <c r="L257" s="10">
        <v>20201118</v>
      </c>
      <c r="M257" s="36" t="str">
        <f t="shared" si="3"/>
        <v>19611209</v>
      </c>
    </row>
    <row r="258" s="1" customFormat="1" spans="1:13">
      <c r="A258" s="2">
        <v>2540</v>
      </c>
      <c r="B258" s="32" t="s">
        <v>5602</v>
      </c>
      <c r="C258" s="9" t="s">
        <v>5617</v>
      </c>
      <c r="D258" s="9" t="s">
        <v>5618</v>
      </c>
      <c r="E258" s="32">
        <v>2020</v>
      </c>
      <c r="F258" s="32">
        <v>2020</v>
      </c>
      <c r="G258" s="32" t="s">
        <v>16</v>
      </c>
      <c r="H258" s="9">
        <v>200</v>
      </c>
      <c r="I258" s="9">
        <v>200</v>
      </c>
      <c r="J258" s="32"/>
      <c r="K258" s="52"/>
      <c r="L258" s="10">
        <v>20201118</v>
      </c>
      <c r="M258" s="36" t="str">
        <f t="shared" ref="M258:M321" si="4">MID(D258,7,8)</f>
        <v>19611210</v>
      </c>
    </row>
    <row r="259" s="1" customFormat="1" spans="1:13">
      <c r="A259" s="2">
        <v>176</v>
      </c>
      <c r="B259" s="14" t="s">
        <v>327</v>
      </c>
      <c r="C259" s="14" t="s">
        <v>416</v>
      </c>
      <c r="D259" s="14" t="s">
        <v>417</v>
      </c>
      <c r="E259" s="5">
        <v>2020</v>
      </c>
      <c r="F259" s="5">
        <v>2020</v>
      </c>
      <c r="G259" s="14" t="s">
        <v>16</v>
      </c>
      <c r="H259" s="14">
        <v>200</v>
      </c>
      <c r="I259" s="14">
        <v>200</v>
      </c>
      <c r="J259" s="14"/>
      <c r="K259" s="10"/>
      <c r="L259" s="14" t="s">
        <v>330</v>
      </c>
      <c r="M259" s="36" t="str">
        <f t="shared" si="4"/>
        <v>19611211</v>
      </c>
    </row>
    <row r="260" s="1" customFormat="1" spans="1:13">
      <c r="A260" s="2">
        <v>4160</v>
      </c>
      <c r="B260" s="9" t="s">
        <v>8515</v>
      </c>
      <c r="C260" s="9" t="s">
        <v>4946</v>
      </c>
      <c r="D260" s="9" t="s">
        <v>8528</v>
      </c>
      <c r="E260" s="5" t="s">
        <v>15</v>
      </c>
      <c r="F260" s="5">
        <v>2020</v>
      </c>
      <c r="G260" s="9" t="s">
        <v>2480</v>
      </c>
      <c r="H260" s="9">
        <v>200</v>
      </c>
      <c r="I260" s="9">
        <v>200</v>
      </c>
      <c r="J260" s="9"/>
      <c r="K260" s="9"/>
      <c r="L260" s="10">
        <v>20201118</v>
      </c>
      <c r="M260" s="36" t="str">
        <f t="shared" si="4"/>
        <v>19611211</v>
      </c>
    </row>
    <row r="261" s="1" customFormat="1" ht="14.25" spans="1:13">
      <c r="A261" s="2">
        <v>7792</v>
      </c>
      <c r="B261" s="5" t="s">
        <v>14875</v>
      </c>
      <c r="C261" s="51" t="s">
        <v>9792</v>
      </c>
      <c r="D261" s="24" t="str">
        <f>"152326196112177129"</f>
        <v>152326196112177129</v>
      </c>
      <c r="E261" s="6" t="s">
        <v>15</v>
      </c>
      <c r="F261" s="6">
        <v>2020</v>
      </c>
      <c r="G261" s="24" t="s">
        <v>14877</v>
      </c>
      <c r="H261" s="6">
        <v>200</v>
      </c>
      <c r="I261" s="6">
        <v>200</v>
      </c>
      <c r="J261" s="6"/>
      <c r="K261" s="10"/>
      <c r="L261" s="10">
        <v>20201118</v>
      </c>
      <c r="M261" s="36" t="str">
        <f t="shared" si="4"/>
        <v>19611217</v>
      </c>
    </row>
    <row r="262" s="1" customFormat="1" spans="1:13">
      <c r="A262" s="2">
        <v>1420</v>
      </c>
      <c r="B262" s="5" t="s">
        <v>3381</v>
      </c>
      <c r="C262" s="9" t="s">
        <v>3410</v>
      </c>
      <c r="D262" s="9" t="s">
        <v>3411</v>
      </c>
      <c r="E262" s="5">
        <v>2020</v>
      </c>
      <c r="F262" s="5">
        <v>2020</v>
      </c>
      <c r="G262" s="14" t="s">
        <v>16</v>
      </c>
      <c r="H262" s="6">
        <v>200</v>
      </c>
      <c r="I262" s="6">
        <v>200</v>
      </c>
      <c r="J262" s="5"/>
      <c r="K262" s="13"/>
      <c r="L262" s="10">
        <v>20201118</v>
      </c>
      <c r="M262" s="36" t="str">
        <f t="shared" si="4"/>
        <v>19611220</v>
      </c>
    </row>
    <row r="263" s="1" customFormat="1" spans="1:13">
      <c r="A263" s="2">
        <v>6233</v>
      </c>
      <c r="B263" s="5" t="s">
        <v>12263</v>
      </c>
      <c r="C263" s="5" t="s">
        <v>12490</v>
      </c>
      <c r="D263" s="5" t="s">
        <v>12491</v>
      </c>
      <c r="E263" s="5" t="s">
        <v>10250</v>
      </c>
      <c r="F263" s="5">
        <v>2020</v>
      </c>
      <c r="G263" s="17" t="s">
        <v>3359</v>
      </c>
      <c r="H263" s="5">
        <v>200</v>
      </c>
      <c r="I263" s="5">
        <v>200</v>
      </c>
      <c r="J263" s="5"/>
      <c r="K263" s="5"/>
      <c r="L263" s="10">
        <v>20201118</v>
      </c>
      <c r="M263" s="36" t="str">
        <f t="shared" si="4"/>
        <v>19611221</v>
      </c>
    </row>
    <row r="264" s="1" customFormat="1" spans="1:13">
      <c r="A264" s="2">
        <v>1836</v>
      </c>
      <c r="B264" s="5" t="s">
        <v>4189</v>
      </c>
      <c r="C264" s="16" t="s">
        <v>4237</v>
      </c>
      <c r="D264" s="16" t="s">
        <v>4238</v>
      </c>
      <c r="E264" s="5" t="s">
        <v>15</v>
      </c>
      <c r="F264" s="5" t="s">
        <v>15</v>
      </c>
      <c r="G264" s="5" t="s">
        <v>3359</v>
      </c>
      <c r="H264" s="16">
        <v>200</v>
      </c>
      <c r="I264" s="16">
        <v>200</v>
      </c>
      <c r="J264" s="5"/>
      <c r="K264" s="10"/>
      <c r="L264" s="10">
        <v>20201118</v>
      </c>
      <c r="M264" s="36" t="str">
        <f t="shared" si="4"/>
        <v>19611224</v>
      </c>
    </row>
    <row r="265" s="1" customFormat="1" spans="1:13">
      <c r="A265" s="2">
        <v>3596</v>
      </c>
      <c r="B265" s="5" t="s">
        <v>7412</v>
      </c>
      <c r="C265" s="5" t="s">
        <v>7459</v>
      </c>
      <c r="D265" s="5" t="s">
        <v>7460</v>
      </c>
      <c r="E265" s="6">
        <v>2020</v>
      </c>
      <c r="F265" s="6">
        <v>2020</v>
      </c>
      <c r="G265" s="5" t="s">
        <v>3359</v>
      </c>
      <c r="H265" s="5">
        <v>200</v>
      </c>
      <c r="I265" s="5">
        <v>200</v>
      </c>
      <c r="J265" s="5"/>
      <c r="K265" s="5"/>
      <c r="L265" s="10">
        <v>20201118</v>
      </c>
      <c r="M265" s="36" t="str">
        <f t="shared" si="4"/>
        <v>19611224</v>
      </c>
    </row>
    <row r="266" s="1" customFormat="1" spans="1:13">
      <c r="A266" s="2">
        <v>3597</v>
      </c>
      <c r="B266" s="5" t="s">
        <v>7412</v>
      </c>
      <c r="C266" s="5" t="s">
        <v>7461</v>
      </c>
      <c r="D266" s="5" t="s">
        <v>7462</v>
      </c>
      <c r="E266" s="6">
        <v>2020</v>
      </c>
      <c r="F266" s="6">
        <v>2020</v>
      </c>
      <c r="G266" s="5" t="s">
        <v>3359</v>
      </c>
      <c r="H266" s="5">
        <v>200</v>
      </c>
      <c r="I266" s="5">
        <v>200</v>
      </c>
      <c r="J266" s="5" t="s">
        <v>1242</v>
      </c>
      <c r="K266" s="5"/>
      <c r="L266" s="10">
        <v>20201118</v>
      </c>
      <c r="M266" s="36" t="str">
        <f t="shared" si="4"/>
        <v>19611225</v>
      </c>
    </row>
    <row r="267" s="1" customFormat="1" ht="14.25" spans="1:13">
      <c r="A267" s="2">
        <v>1421</v>
      </c>
      <c r="B267" s="5" t="s">
        <v>3381</v>
      </c>
      <c r="C267" s="9" t="s">
        <v>3412</v>
      </c>
      <c r="D267" s="9" t="s">
        <v>3413</v>
      </c>
      <c r="E267" s="5">
        <v>2020</v>
      </c>
      <c r="F267" s="5">
        <v>2020</v>
      </c>
      <c r="G267" s="14" t="s">
        <v>16</v>
      </c>
      <c r="H267" s="6">
        <v>200</v>
      </c>
      <c r="I267" s="6">
        <v>200</v>
      </c>
      <c r="J267" s="24" t="s">
        <v>1242</v>
      </c>
      <c r="K267" s="13"/>
      <c r="L267" s="10">
        <v>20201118</v>
      </c>
      <c r="M267" s="36" t="str">
        <f t="shared" si="4"/>
        <v>19611226</v>
      </c>
    </row>
    <row r="268" s="1" customFormat="1" spans="1:13">
      <c r="A268" s="2">
        <v>5693</v>
      </c>
      <c r="B268" s="30" t="s">
        <v>11090</v>
      </c>
      <c r="C268" s="30" t="s">
        <v>11471</v>
      </c>
      <c r="D268" s="30" t="s">
        <v>11472</v>
      </c>
      <c r="E268" s="5" t="s">
        <v>15</v>
      </c>
      <c r="F268" s="5" t="s">
        <v>10250</v>
      </c>
      <c r="G268" s="6" t="s">
        <v>16</v>
      </c>
      <c r="H268" s="32">
        <v>200</v>
      </c>
      <c r="I268" s="32">
        <v>200</v>
      </c>
      <c r="J268" s="6"/>
      <c r="K268" s="48"/>
      <c r="L268" s="10">
        <v>20201118</v>
      </c>
      <c r="M268" s="36" t="str">
        <f t="shared" si="4"/>
        <v>19611228</v>
      </c>
    </row>
    <row r="269" s="1" customFormat="1" spans="1:13">
      <c r="A269" s="2">
        <v>6526</v>
      </c>
      <c r="B269" s="5" t="s">
        <v>13027</v>
      </c>
      <c r="C269" s="15" t="s">
        <v>13049</v>
      </c>
      <c r="D269" s="15" t="s">
        <v>13050</v>
      </c>
      <c r="E269" s="5">
        <v>2020</v>
      </c>
      <c r="F269" s="5">
        <v>2020</v>
      </c>
      <c r="G269" s="14" t="s">
        <v>16</v>
      </c>
      <c r="H269" s="15">
        <v>200</v>
      </c>
      <c r="I269" s="15">
        <v>200</v>
      </c>
      <c r="J269" s="5"/>
      <c r="K269" s="10"/>
      <c r="L269" s="10">
        <v>20201118</v>
      </c>
      <c r="M269" s="36" t="str">
        <f t="shared" si="4"/>
        <v>19611228</v>
      </c>
    </row>
    <row r="270" s="1" customFormat="1" spans="1:13">
      <c r="A270" s="2">
        <v>7193</v>
      </c>
      <c r="B270" s="5" t="s">
        <v>13908</v>
      </c>
      <c r="C270" s="5" t="s">
        <v>3502</v>
      </c>
      <c r="D270" s="5" t="s">
        <v>14037</v>
      </c>
      <c r="E270" s="5" t="s">
        <v>15</v>
      </c>
      <c r="F270" s="5" t="s">
        <v>15</v>
      </c>
      <c r="G270" s="14" t="s">
        <v>16</v>
      </c>
      <c r="H270" s="17">
        <v>200</v>
      </c>
      <c r="I270" s="17">
        <v>200</v>
      </c>
      <c r="J270" s="5"/>
      <c r="K270" s="10"/>
      <c r="L270" s="10">
        <v>20201118</v>
      </c>
      <c r="M270" s="36" t="str">
        <f t="shared" si="4"/>
        <v>19611230</v>
      </c>
    </row>
    <row r="271" s="1" customFormat="1" spans="1:13">
      <c r="A271" s="2">
        <v>4656</v>
      </c>
      <c r="B271" s="6" t="s">
        <v>9015</v>
      </c>
      <c r="C271" s="6" t="s">
        <v>9476</v>
      </c>
      <c r="D271" s="6" t="s">
        <v>9477</v>
      </c>
      <c r="E271" s="6">
        <v>2020</v>
      </c>
      <c r="F271" s="6">
        <v>2020</v>
      </c>
      <c r="G271" s="6" t="s">
        <v>16</v>
      </c>
      <c r="H271" s="6">
        <v>200</v>
      </c>
      <c r="I271" s="6">
        <v>200</v>
      </c>
      <c r="J271" s="6"/>
      <c r="K271" s="6"/>
      <c r="L271" s="10">
        <v>20201118</v>
      </c>
      <c r="M271" s="36" t="str">
        <f t="shared" si="4"/>
        <v>19611231</v>
      </c>
    </row>
    <row r="272" s="1" customFormat="1" spans="1:13">
      <c r="A272" s="2">
        <v>374</v>
      </c>
      <c r="B272" s="14" t="s">
        <v>327</v>
      </c>
      <c r="C272" s="3" t="s">
        <v>1009</v>
      </c>
      <c r="D272" s="3" t="s">
        <v>1010</v>
      </c>
      <c r="E272" s="5">
        <v>2011</v>
      </c>
      <c r="F272" s="5">
        <v>2020</v>
      </c>
      <c r="G272" s="3" t="s">
        <v>1007</v>
      </c>
      <c r="H272" s="17">
        <v>200</v>
      </c>
      <c r="I272" s="17">
        <v>2000</v>
      </c>
      <c r="J272" s="17"/>
      <c r="K272" s="10"/>
      <c r="L272" s="14" t="s">
        <v>330</v>
      </c>
      <c r="M272" s="36" t="str">
        <f t="shared" si="4"/>
        <v>19620101</v>
      </c>
    </row>
    <row r="273" s="1" customFormat="1" spans="1:13">
      <c r="A273" s="2">
        <v>379</v>
      </c>
      <c r="B273" s="14" t="s">
        <v>327</v>
      </c>
      <c r="C273" s="3" t="s">
        <v>1024</v>
      </c>
      <c r="D273" s="3" t="s">
        <v>1025</v>
      </c>
      <c r="E273" s="5">
        <v>2011</v>
      </c>
      <c r="F273" s="5">
        <v>2020</v>
      </c>
      <c r="G273" s="17" t="s">
        <v>1007</v>
      </c>
      <c r="H273" s="17">
        <v>200</v>
      </c>
      <c r="I273" s="17">
        <v>2000</v>
      </c>
      <c r="J273" s="3"/>
      <c r="K273" s="10"/>
      <c r="L273" s="2" t="s">
        <v>330</v>
      </c>
      <c r="M273" s="36" t="str">
        <f t="shared" si="4"/>
        <v>19620101</v>
      </c>
    </row>
    <row r="274" s="1" customFormat="1" ht="14.25" spans="1:13">
      <c r="A274" s="2">
        <v>6037</v>
      </c>
      <c r="B274" s="30" t="s">
        <v>11090</v>
      </c>
      <c r="C274" s="32" t="s">
        <v>12117</v>
      </c>
      <c r="D274" s="12" t="s">
        <v>12118</v>
      </c>
      <c r="E274" s="5" t="s">
        <v>15</v>
      </c>
      <c r="F274" s="5" t="s">
        <v>10250</v>
      </c>
      <c r="G274" s="6" t="s">
        <v>16</v>
      </c>
      <c r="H274" s="32">
        <v>200</v>
      </c>
      <c r="I274" s="32">
        <v>200</v>
      </c>
      <c r="J274" s="5"/>
      <c r="K274" s="48"/>
      <c r="L274" s="10">
        <v>20201118</v>
      </c>
      <c r="M274" s="36" t="str">
        <f t="shared" si="4"/>
        <v>19620101</v>
      </c>
    </row>
    <row r="275" s="1" customFormat="1" spans="1:13">
      <c r="A275" s="2">
        <v>6347</v>
      </c>
      <c r="B275" s="5" t="s">
        <v>12263</v>
      </c>
      <c r="C275" s="5" t="s">
        <v>12710</v>
      </c>
      <c r="D275" s="5" t="s">
        <v>12711</v>
      </c>
      <c r="E275" s="5" t="s">
        <v>10250</v>
      </c>
      <c r="F275" s="5">
        <v>2020</v>
      </c>
      <c r="G275" s="17" t="s">
        <v>3359</v>
      </c>
      <c r="H275" s="5" t="s">
        <v>311</v>
      </c>
      <c r="I275" s="5">
        <v>200</v>
      </c>
      <c r="J275" s="5"/>
      <c r="K275" s="5"/>
      <c r="L275" s="10">
        <v>20201118</v>
      </c>
      <c r="M275" s="36" t="str">
        <f t="shared" si="4"/>
        <v>19620101</v>
      </c>
    </row>
    <row r="276" s="1" customFormat="1" spans="1:13">
      <c r="A276" s="2">
        <v>2541</v>
      </c>
      <c r="B276" s="32" t="s">
        <v>5602</v>
      </c>
      <c r="C276" s="9" t="s">
        <v>5619</v>
      </c>
      <c r="D276" s="9" t="s">
        <v>5620</v>
      </c>
      <c r="E276" s="32">
        <v>2020</v>
      </c>
      <c r="F276" s="32">
        <v>2020</v>
      </c>
      <c r="G276" s="32" t="s">
        <v>16</v>
      </c>
      <c r="H276" s="9">
        <v>200</v>
      </c>
      <c r="I276" s="9">
        <v>200</v>
      </c>
      <c r="J276" s="32"/>
      <c r="K276" s="52"/>
      <c r="L276" s="10">
        <v>20201118</v>
      </c>
      <c r="M276" s="36" t="str">
        <f t="shared" si="4"/>
        <v>19620102</v>
      </c>
    </row>
    <row r="277" s="1" customFormat="1" spans="1:13">
      <c r="A277" s="2">
        <v>3241</v>
      </c>
      <c r="B277" s="3" t="s">
        <v>6671</v>
      </c>
      <c r="C277" s="9" t="s">
        <v>6986</v>
      </c>
      <c r="D277" s="9" t="s">
        <v>6987</v>
      </c>
      <c r="E277" s="3" t="s">
        <v>15</v>
      </c>
      <c r="F277" s="3" t="s">
        <v>15</v>
      </c>
      <c r="G277" s="6" t="s">
        <v>3359</v>
      </c>
      <c r="H277" s="9">
        <v>200</v>
      </c>
      <c r="I277" s="9">
        <v>200</v>
      </c>
      <c r="J277" s="6"/>
      <c r="K277" s="5"/>
      <c r="L277" s="10">
        <v>20201118</v>
      </c>
      <c r="M277" s="36" t="str">
        <f t="shared" si="4"/>
        <v>19620102</v>
      </c>
    </row>
    <row r="278" s="1" customFormat="1" spans="1:13">
      <c r="A278" s="2">
        <v>515</v>
      </c>
      <c r="B278" s="29" t="s">
        <v>1040</v>
      </c>
      <c r="C278" s="29" t="s">
        <v>1307</v>
      </c>
      <c r="D278" s="29" t="s">
        <v>1308</v>
      </c>
      <c r="E278" s="30">
        <v>2020</v>
      </c>
      <c r="F278" s="30">
        <v>2020</v>
      </c>
      <c r="G278" s="29" t="s">
        <v>16</v>
      </c>
      <c r="H278" s="29">
        <v>200</v>
      </c>
      <c r="I278" s="29">
        <v>200</v>
      </c>
      <c r="J278" s="29"/>
      <c r="K278" s="47"/>
      <c r="L278" s="14" t="s">
        <v>330</v>
      </c>
      <c r="M278" s="36" t="str">
        <f t="shared" si="4"/>
        <v>19620103</v>
      </c>
    </row>
    <row r="279" s="1" customFormat="1" spans="1:13">
      <c r="A279" s="2">
        <v>1422</v>
      </c>
      <c r="B279" s="5" t="s">
        <v>3381</v>
      </c>
      <c r="C279" s="9" t="s">
        <v>3414</v>
      </c>
      <c r="D279" s="9" t="s">
        <v>3415</v>
      </c>
      <c r="E279" s="5">
        <v>2020</v>
      </c>
      <c r="F279" s="5">
        <v>2020</v>
      </c>
      <c r="G279" s="14" t="s">
        <v>16</v>
      </c>
      <c r="H279" s="6">
        <v>200</v>
      </c>
      <c r="I279" s="6">
        <v>200</v>
      </c>
      <c r="J279" s="5"/>
      <c r="K279" s="13"/>
      <c r="L279" s="10">
        <v>20201118</v>
      </c>
      <c r="M279" s="36" t="str">
        <f t="shared" si="4"/>
        <v>19620103</v>
      </c>
    </row>
    <row r="280" s="1" customFormat="1" spans="1:13">
      <c r="A280" s="2">
        <v>1423</v>
      </c>
      <c r="B280" s="5" t="s">
        <v>3381</v>
      </c>
      <c r="C280" s="9" t="s">
        <v>3416</v>
      </c>
      <c r="D280" s="9" t="s">
        <v>3417</v>
      </c>
      <c r="E280" s="5">
        <v>2020</v>
      </c>
      <c r="F280" s="5">
        <v>2020</v>
      </c>
      <c r="G280" s="14" t="s">
        <v>16</v>
      </c>
      <c r="H280" s="6">
        <v>200</v>
      </c>
      <c r="I280" s="6">
        <v>200</v>
      </c>
      <c r="J280" s="5"/>
      <c r="K280" s="13"/>
      <c r="L280" s="10">
        <v>20201118</v>
      </c>
      <c r="M280" s="36" t="str">
        <f t="shared" si="4"/>
        <v>19620103</v>
      </c>
    </row>
    <row r="281" s="1" customFormat="1" ht="14.25" spans="1:13">
      <c r="A281" s="2">
        <v>2925</v>
      </c>
      <c r="B281" s="6" t="s">
        <v>6075</v>
      </c>
      <c r="C281" s="25" t="s">
        <v>6377</v>
      </c>
      <c r="D281" s="26" t="s">
        <v>6378</v>
      </c>
      <c r="E281" s="5" t="s">
        <v>15</v>
      </c>
      <c r="F281" s="5">
        <v>2020</v>
      </c>
      <c r="G281" s="6" t="s">
        <v>16</v>
      </c>
      <c r="H281" s="6">
        <v>200</v>
      </c>
      <c r="I281" s="6">
        <v>200</v>
      </c>
      <c r="J281" s="6"/>
      <c r="K281" s="10"/>
      <c r="L281" s="10">
        <v>20201118</v>
      </c>
      <c r="M281" s="36" t="str">
        <f t="shared" si="4"/>
        <v>19620103</v>
      </c>
    </row>
    <row r="282" s="1" customFormat="1" spans="1:13">
      <c r="A282" s="2">
        <v>3506</v>
      </c>
      <c r="B282" s="5" t="s">
        <v>3375</v>
      </c>
      <c r="C282" s="6" t="s">
        <v>7295</v>
      </c>
      <c r="D282" s="6" t="str">
        <f>"152326196201046876"</f>
        <v>152326196201046876</v>
      </c>
      <c r="E282" s="5" t="s">
        <v>15</v>
      </c>
      <c r="F282" s="5">
        <v>2020</v>
      </c>
      <c r="G282" s="14" t="s">
        <v>16</v>
      </c>
      <c r="H282" s="17">
        <v>200</v>
      </c>
      <c r="I282" s="17">
        <v>200</v>
      </c>
      <c r="J282" s="6"/>
      <c r="K282" s="10"/>
      <c r="L282" s="10">
        <v>20201118</v>
      </c>
      <c r="M282" s="36" t="str">
        <f t="shared" si="4"/>
        <v>19620104</v>
      </c>
    </row>
    <row r="283" s="1" customFormat="1" spans="1:13">
      <c r="A283" s="2">
        <v>4641</v>
      </c>
      <c r="B283" s="6" t="s">
        <v>9015</v>
      </c>
      <c r="C283" s="6" t="s">
        <v>9447</v>
      </c>
      <c r="D283" s="6" t="s">
        <v>9448</v>
      </c>
      <c r="E283" s="6">
        <v>2020</v>
      </c>
      <c r="F283" s="6">
        <v>2020</v>
      </c>
      <c r="G283" s="6" t="s">
        <v>16</v>
      </c>
      <c r="H283" s="6">
        <v>200</v>
      </c>
      <c r="I283" s="6">
        <v>200</v>
      </c>
      <c r="J283" s="6"/>
      <c r="K283" s="6"/>
      <c r="L283" s="10">
        <v>20201118</v>
      </c>
      <c r="M283" s="36" t="str">
        <f t="shared" si="4"/>
        <v>19620105</v>
      </c>
    </row>
    <row r="284" s="1" customFormat="1" spans="1:13">
      <c r="A284" s="2">
        <v>7047</v>
      </c>
      <c r="B284" s="5" t="s">
        <v>13533</v>
      </c>
      <c r="C284" s="32" t="s">
        <v>13792</v>
      </c>
      <c r="D284" s="32" t="s">
        <v>13793</v>
      </c>
      <c r="E284" s="5">
        <v>2020</v>
      </c>
      <c r="F284" s="5">
        <v>2020</v>
      </c>
      <c r="G284" s="9" t="s">
        <v>2480</v>
      </c>
      <c r="H284" s="32">
        <v>200</v>
      </c>
      <c r="I284" s="32">
        <v>200</v>
      </c>
      <c r="J284" s="32"/>
      <c r="K284" s="10"/>
      <c r="L284" s="10">
        <v>20201118</v>
      </c>
      <c r="M284" s="36" t="str">
        <f t="shared" si="4"/>
        <v>19620107</v>
      </c>
    </row>
    <row r="285" s="1" customFormat="1" spans="1:13">
      <c r="A285" s="2">
        <v>1783</v>
      </c>
      <c r="B285" s="5" t="s">
        <v>3381</v>
      </c>
      <c r="C285" s="9" t="s">
        <v>4128</v>
      </c>
      <c r="D285" s="9" t="s">
        <v>4129</v>
      </c>
      <c r="E285" s="5">
        <v>2011</v>
      </c>
      <c r="F285" s="5">
        <v>2020</v>
      </c>
      <c r="G285" s="14" t="s">
        <v>289</v>
      </c>
      <c r="H285" s="18">
        <v>200</v>
      </c>
      <c r="I285" s="6">
        <v>2000</v>
      </c>
      <c r="J285" s="5" t="s">
        <v>108</v>
      </c>
      <c r="K285" s="13"/>
      <c r="L285" s="10">
        <v>20201118</v>
      </c>
      <c r="M285" s="36" t="str">
        <f t="shared" si="4"/>
        <v>19620108</v>
      </c>
    </row>
    <row r="286" s="1" customFormat="1" spans="1:13">
      <c r="A286" s="2">
        <v>169</v>
      </c>
      <c r="B286" s="14" t="s">
        <v>327</v>
      </c>
      <c r="C286" s="14" t="s">
        <v>395</v>
      </c>
      <c r="D286" s="14" t="s">
        <v>396</v>
      </c>
      <c r="E286" s="5">
        <v>2020</v>
      </c>
      <c r="F286" s="5">
        <v>2020</v>
      </c>
      <c r="G286" s="14" t="s">
        <v>16</v>
      </c>
      <c r="H286" s="14">
        <v>200</v>
      </c>
      <c r="I286" s="14">
        <v>200</v>
      </c>
      <c r="J286" s="14"/>
      <c r="K286" s="10"/>
      <c r="L286" s="2" t="s">
        <v>330</v>
      </c>
      <c r="M286" s="36" t="str">
        <f t="shared" si="4"/>
        <v>19620109</v>
      </c>
    </row>
    <row r="287" s="1" customFormat="1" spans="1:13">
      <c r="A287" s="2">
        <v>2542</v>
      </c>
      <c r="B287" s="32" t="s">
        <v>5602</v>
      </c>
      <c r="C287" s="9" t="s">
        <v>5621</v>
      </c>
      <c r="D287" s="9" t="s">
        <v>5622</v>
      </c>
      <c r="E287" s="32">
        <v>2020</v>
      </c>
      <c r="F287" s="32">
        <v>2020</v>
      </c>
      <c r="G287" s="32" t="s">
        <v>16</v>
      </c>
      <c r="H287" s="9">
        <v>200</v>
      </c>
      <c r="I287" s="9">
        <v>200</v>
      </c>
      <c r="J287" s="32"/>
      <c r="K287" s="52"/>
      <c r="L287" s="10">
        <v>20201118</v>
      </c>
      <c r="M287" s="36" t="str">
        <f t="shared" si="4"/>
        <v>19620113</v>
      </c>
    </row>
    <row r="288" s="1" customFormat="1" spans="1:13">
      <c r="A288" s="2">
        <v>595</v>
      </c>
      <c r="B288" s="29" t="s">
        <v>1040</v>
      </c>
      <c r="C288" s="29" t="s">
        <v>1466</v>
      </c>
      <c r="D288" s="29" t="s">
        <v>1467</v>
      </c>
      <c r="E288" s="30">
        <v>2020</v>
      </c>
      <c r="F288" s="30">
        <v>2020</v>
      </c>
      <c r="G288" s="29" t="s">
        <v>16</v>
      </c>
      <c r="H288" s="29">
        <v>200</v>
      </c>
      <c r="I288" s="29">
        <v>200</v>
      </c>
      <c r="J288" s="29"/>
      <c r="K288" s="47"/>
      <c r="L288" s="14" t="s">
        <v>330</v>
      </c>
      <c r="M288" s="36" t="str">
        <f t="shared" si="4"/>
        <v>19620115</v>
      </c>
    </row>
    <row r="289" s="1" customFormat="1" spans="1:13">
      <c r="A289" s="2">
        <v>1424</v>
      </c>
      <c r="B289" s="5" t="s">
        <v>3381</v>
      </c>
      <c r="C289" s="9" t="s">
        <v>3418</v>
      </c>
      <c r="D289" s="9" t="s">
        <v>3419</v>
      </c>
      <c r="E289" s="5">
        <v>2020</v>
      </c>
      <c r="F289" s="5">
        <v>2020</v>
      </c>
      <c r="G289" s="14" t="s">
        <v>16</v>
      </c>
      <c r="H289" s="6">
        <v>200</v>
      </c>
      <c r="I289" s="6">
        <v>200</v>
      </c>
      <c r="J289" s="5"/>
      <c r="K289" s="13"/>
      <c r="L289" s="10">
        <v>20201118</v>
      </c>
      <c r="M289" s="36" t="str">
        <f t="shared" si="4"/>
        <v>19620116</v>
      </c>
    </row>
    <row r="290" s="1" customFormat="1" spans="1:13">
      <c r="A290" s="2">
        <v>2543</v>
      </c>
      <c r="B290" s="32" t="s">
        <v>5602</v>
      </c>
      <c r="C290" s="9" t="s">
        <v>5623</v>
      </c>
      <c r="D290" s="9" t="s">
        <v>5624</v>
      </c>
      <c r="E290" s="32">
        <v>2020</v>
      </c>
      <c r="F290" s="32">
        <v>2020</v>
      </c>
      <c r="G290" s="32" t="s">
        <v>16</v>
      </c>
      <c r="H290" s="9">
        <v>200</v>
      </c>
      <c r="I290" s="9">
        <v>200</v>
      </c>
      <c r="J290" s="32" t="s">
        <v>5625</v>
      </c>
      <c r="K290" s="52"/>
      <c r="L290" s="10">
        <v>20201118</v>
      </c>
      <c r="M290" s="36" t="str">
        <f t="shared" si="4"/>
        <v>19620116</v>
      </c>
    </row>
    <row r="291" s="1" customFormat="1" ht="14.25" spans="1:13">
      <c r="A291" s="2">
        <v>2806</v>
      </c>
      <c r="B291" s="6" t="s">
        <v>6075</v>
      </c>
      <c r="C291" s="25" t="s">
        <v>6140</v>
      </c>
      <c r="D291" s="26" t="s">
        <v>6141</v>
      </c>
      <c r="E291" s="5" t="s">
        <v>15</v>
      </c>
      <c r="F291" s="5">
        <v>2020</v>
      </c>
      <c r="G291" s="6" t="s">
        <v>16</v>
      </c>
      <c r="H291" s="6">
        <v>200</v>
      </c>
      <c r="I291" s="6">
        <v>200</v>
      </c>
      <c r="J291" s="6" t="s">
        <v>108</v>
      </c>
      <c r="K291" s="10"/>
      <c r="L291" s="10">
        <v>20201118</v>
      </c>
      <c r="M291" s="36" t="str">
        <f t="shared" si="4"/>
        <v>19620116</v>
      </c>
    </row>
    <row r="292" s="1" customFormat="1" spans="1:13">
      <c r="A292" s="2">
        <v>3598</v>
      </c>
      <c r="B292" s="5" t="s">
        <v>7412</v>
      </c>
      <c r="C292" s="5" t="s">
        <v>7463</v>
      </c>
      <c r="D292" s="5" t="s">
        <v>7464</v>
      </c>
      <c r="E292" s="6">
        <v>2020</v>
      </c>
      <c r="F292" s="6">
        <v>2020</v>
      </c>
      <c r="G292" s="5" t="s">
        <v>3359</v>
      </c>
      <c r="H292" s="5">
        <v>200</v>
      </c>
      <c r="I292" s="5">
        <v>200</v>
      </c>
      <c r="J292" s="5"/>
      <c r="K292" s="5"/>
      <c r="L292" s="10">
        <v>20201118</v>
      </c>
      <c r="M292" s="36" t="str">
        <f t="shared" si="4"/>
        <v>19620116</v>
      </c>
    </row>
    <row r="293" s="1" customFormat="1" ht="14.25" spans="1:13">
      <c r="A293" s="2">
        <v>2926</v>
      </c>
      <c r="B293" s="6" t="s">
        <v>6075</v>
      </c>
      <c r="C293" s="25" t="s">
        <v>6379</v>
      </c>
      <c r="D293" s="26" t="s">
        <v>6380</v>
      </c>
      <c r="E293" s="5" t="s">
        <v>15</v>
      </c>
      <c r="F293" s="5">
        <v>2020</v>
      </c>
      <c r="G293" s="6" t="s">
        <v>16</v>
      </c>
      <c r="H293" s="6">
        <v>200</v>
      </c>
      <c r="I293" s="6">
        <v>200</v>
      </c>
      <c r="J293" s="6"/>
      <c r="K293" s="10"/>
      <c r="L293" s="10">
        <v>20201118</v>
      </c>
      <c r="M293" s="36" t="str">
        <f t="shared" si="4"/>
        <v>19620117</v>
      </c>
    </row>
    <row r="294" s="1" customFormat="1" spans="1:13">
      <c r="A294" s="2">
        <v>5947</v>
      </c>
      <c r="B294" s="30" t="s">
        <v>11090</v>
      </c>
      <c r="C294" s="6" t="s">
        <v>11941</v>
      </c>
      <c r="D294" s="293" t="s">
        <v>11942</v>
      </c>
      <c r="E294" s="5" t="s">
        <v>15</v>
      </c>
      <c r="F294" s="5" t="s">
        <v>10250</v>
      </c>
      <c r="G294" s="6" t="s">
        <v>16</v>
      </c>
      <c r="H294" s="32">
        <v>200</v>
      </c>
      <c r="I294" s="32">
        <v>200</v>
      </c>
      <c r="J294" s="6" t="s">
        <v>6345</v>
      </c>
      <c r="K294" s="48"/>
      <c r="L294" s="10">
        <v>20201118</v>
      </c>
      <c r="M294" s="36" t="str">
        <f t="shared" si="4"/>
        <v>19620118</v>
      </c>
    </row>
    <row r="295" s="1" customFormat="1" spans="1:13">
      <c r="A295" s="2">
        <v>6527</v>
      </c>
      <c r="B295" s="5" t="s">
        <v>13027</v>
      </c>
      <c r="C295" s="15" t="s">
        <v>13051</v>
      </c>
      <c r="D295" s="15" t="s">
        <v>13052</v>
      </c>
      <c r="E295" s="5">
        <v>2020</v>
      </c>
      <c r="F295" s="5">
        <v>2020</v>
      </c>
      <c r="G295" s="14" t="s">
        <v>16</v>
      </c>
      <c r="H295" s="15">
        <v>200</v>
      </c>
      <c r="I295" s="15">
        <v>200</v>
      </c>
      <c r="J295" s="5"/>
      <c r="K295" s="10"/>
      <c r="L295" s="10">
        <v>20201118</v>
      </c>
      <c r="M295" s="36" t="str">
        <f t="shared" si="4"/>
        <v>19620120</v>
      </c>
    </row>
    <row r="296" s="1" customFormat="1" spans="1:13">
      <c r="A296" s="2">
        <v>4653</v>
      </c>
      <c r="B296" s="6" t="s">
        <v>9015</v>
      </c>
      <c r="C296" s="6" t="s">
        <v>9470</v>
      </c>
      <c r="D296" s="6" t="s">
        <v>9471</v>
      </c>
      <c r="E296" s="6">
        <v>2020</v>
      </c>
      <c r="F296" s="6">
        <v>2020</v>
      </c>
      <c r="G296" s="6" t="s">
        <v>16</v>
      </c>
      <c r="H296" s="6">
        <v>200</v>
      </c>
      <c r="I296" s="6">
        <v>200</v>
      </c>
      <c r="J296" s="6"/>
      <c r="K296" s="6"/>
      <c r="L296" s="10">
        <v>20201118</v>
      </c>
      <c r="M296" s="36" t="str">
        <f t="shared" si="4"/>
        <v>19620124</v>
      </c>
    </row>
    <row r="297" s="1" customFormat="1" ht="14.25" spans="1:13">
      <c r="A297" s="2">
        <v>5497</v>
      </c>
      <c r="B297" s="33" t="s">
        <v>10535</v>
      </c>
      <c r="C297" s="55" t="s">
        <v>11087</v>
      </c>
      <c r="D297" s="56" t="s">
        <v>11088</v>
      </c>
      <c r="E297" s="34" t="s">
        <v>310</v>
      </c>
      <c r="F297" s="35" t="s">
        <v>15</v>
      </c>
      <c r="G297" s="35" t="s">
        <v>289</v>
      </c>
      <c r="H297" s="55" t="s">
        <v>311</v>
      </c>
      <c r="I297" s="55">
        <v>2000</v>
      </c>
      <c r="J297" s="58"/>
      <c r="K297" s="10"/>
      <c r="L297" s="10">
        <v>20201118</v>
      </c>
      <c r="M297" s="36" t="str">
        <f t="shared" si="4"/>
        <v>19620124</v>
      </c>
    </row>
    <row r="298" s="1" customFormat="1" spans="1:13">
      <c r="A298" s="2">
        <v>6423</v>
      </c>
      <c r="B298" s="5" t="s">
        <v>12263</v>
      </c>
      <c r="C298" s="5" t="s">
        <v>12852</v>
      </c>
      <c r="D298" s="5" t="s">
        <v>12853</v>
      </c>
      <c r="E298" s="5" t="s">
        <v>10250</v>
      </c>
      <c r="F298" s="5">
        <v>2020</v>
      </c>
      <c r="G298" s="17" t="s">
        <v>3359</v>
      </c>
      <c r="H298" s="5">
        <v>200</v>
      </c>
      <c r="I298" s="5">
        <v>200</v>
      </c>
      <c r="J298" s="5"/>
      <c r="K298" s="5"/>
      <c r="L298" s="10">
        <v>20201118</v>
      </c>
      <c r="M298" s="36" t="str">
        <f t="shared" si="4"/>
        <v>19620124</v>
      </c>
    </row>
    <row r="299" s="1" customFormat="1" spans="1:13">
      <c r="A299" s="2">
        <v>3505</v>
      </c>
      <c r="B299" s="5" t="s">
        <v>3375</v>
      </c>
      <c r="C299" s="6" t="s">
        <v>7294</v>
      </c>
      <c r="D299" s="6" t="str">
        <f>"152326196201256873"</f>
        <v>152326196201256873</v>
      </c>
      <c r="E299" s="5" t="s">
        <v>15</v>
      </c>
      <c r="F299" s="5">
        <v>2020</v>
      </c>
      <c r="G299" s="14" t="s">
        <v>16</v>
      </c>
      <c r="H299" s="17">
        <v>200</v>
      </c>
      <c r="I299" s="17">
        <v>200</v>
      </c>
      <c r="J299" s="6"/>
      <c r="K299" s="10"/>
      <c r="L299" s="10">
        <v>20201118</v>
      </c>
      <c r="M299" s="36" t="str">
        <f t="shared" si="4"/>
        <v>19620125</v>
      </c>
    </row>
    <row r="300" s="1" customFormat="1" spans="1:13">
      <c r="A300" s="2">
        <v>6346</v>
      </c>
      <c r="B300" s="5" t="s">
        <v>12263</v>
      </c>
      <c r="C300" s="5" t="s">
        <v>12708</v>
      </c>
      <c r="D300" s="5" t="s">
        <v>12709</v>
      </c>
      <c r="E300" s="5" t="s">
        <v>10250</v>
      </c>
      <c r="F300" s="5">
        <v>2020</v>
      </c>
      <c r="G300" s="17" t="s">
        <v>3359</v>
      </c>
      <c r="H300" s="5" t="s">
        <v>311</v>
      </c>
      <c r="I300" s="5">
        <v>200</v>
      </c>
      <c r="J300" s="5"/>
      <c r="K300" s="5"/>
      <c r="L300" s="10">
        <v>20201118</v>
      </c>
      <c r="M300" s="36" t="str">
        <f t="shared" si="4"/>
        <v>19620126</v>
      </c>
    </row>
    <row r="301" s="1" customFormat="1" spans="1:13">
      <c r="A301" s="2">
        <v>4918</v>
      </c>
      <c r="B301" s="6" t="s">
        <v>9954</v>
      </c>
      <c r="C301" s="3" t="s">
        <v>9977</v>
      </c>
      <c r="D301" s="3" t="s">
        <v>9978</v>
      </c>
      <c r="E301" s="5" t="s">
        <v>15</v>
      </c>
      <c r="F301" s="5" t="s">
        <v>15</v>
      </c>
      <c r="G301" s="14" t="s">
        <v>16</v>
      </c>
      <c r="H301" s="6">
        <v>200</v>
      </c>
      <c r="I301" s="6">
        <v>200</v>
      </c>
      <c r="J301" s="6"/>
      <c r="K301" s="6"/>
      <c r="L301" s="10">
        <v>20201118</v>
      </c>
      <c r="M301" s="36" t="str">
        <f t="shared" si="4"/>
        <v>19620127</v>
      </c>
    </row>
    <row r="302" s="1" customFormat="1" spans="1:13">
      <c r="A302" s="2">
        <v>1425</v>
      </c>
      <c r="B302" s="5" t="s">
        <v>3381</v>
      </c>
      <c r="C302" s="9" t="s">
        <v>3420</v>
      </c>
      <c r="D302" s="9" t="s">
        <v>3421</v>
      </c>
      <c r="E302" s="5">
        <v>2020</v>
      </c>
      <c r="F302" s="5">
        <v>2020</v>
      </c>
      <c r="G302" s="14" t="s">
        <v>16</v>
      </c>
      <c r="H302" s="6">
        <v>200</v>
      </c>
      <c r="I302" s="6">
        <v>200</v>
      </c>
      <c r="J302" s="5"/>
      <c r="K302" s="13"/>
      <c r="L302" s="10">
        <v>20201118</v>
      </c>
      <c r="M302" s="36" t="str">
        <f t="shared" si="4"/>
        <v>19620128</v>
      </c>
    </row>
    <row r="303" s="1" customFormat="1" spans="1:13">
      <c r="A303" s="2">
        <v>2157</v>
      </c>
      <c r="B303" s="9" t="s">
        <v>4837</v>
      </c>
      <c r="C303" s="9" t="s">
        <v>4862</v>
      </c>
      <c r="D303" s="9" t="s">
        <v>4863</v>
      </c>
      <c r="E303" s="6" t="s">
        <v>15</v>
      </c>
      <c r="F303" s="6">
        <v>2020</v>
      </c>
      <c r="G303" s="9" t="s">
        <v>2480</v>
      </c>
      <c r="H303" s="9">
        <v>200</v>
      </c>
      <c r="I303" s="9">
        <v>200</v>
      </c>
      <c r="J303" s="6"/>
      <c r="K303" s="10"/>
      <c r="L303" s="10">
        <v>20201118</v>
      </c>
      <c r="M303" s="36" t="str">
        <f t="shared" si="4"/>
        <v>19620128</v>
      </c>
    </row>
    <row r="304" s="1" customFormat="1" spans="1:13">
      <c r="A304" s="2">
        <v>3599</v>
      </c>
      <c r="B304" s="5" t="s">
        <v>7412</v>
      </c>
      <c r="C304" s="5" t="s">
        <v>7465</v>
      </c>
      <c r="D304" s="5" t="s">
        <v>7466</v>
      </c>
      <c r="E304" s="6">
        <v>2020</v>
      </c>
      <c r="F304" s="6">
        <v>2020</v>
      </c>
      <c r="G304" s="5" t="s">
        <v>3359</v>
      </c>
      <c r="H304" s="5">
        <v>200</v>
      </c>
      <c r="I304" s="5">
        <v>200</v>
      </c>
      <c r="J304" s="5" t="s">
        <v>3647</v>
      </c>
      <c r="K304" s="5"/>
      <c r="L304" s="10">
        <v>20201118</v>
      </c>
      <c r="M304" s="36" t="str">
        <f t="shared" si="4"/>
        <v>19620129</v>
      </c>
    </row>
    <row r="305" s="1" customFormat="1" spans="1:13">
      <c r="A305" s="2">
        <v>3600</v>
      </c>
      <c r="B305" s="5" t="s">
        <v>7412</v>
      </c>
      <c r="C305" s="5" t="s">
        <v>7467</v>
      </c>
      <c r="D305" s="5" t="s">
        <v>7468</v>
      </c>
      <c r="E305" s="6">
        <v>2020</v>
      </c>
      <c r="F305" s="6">
        <v>2020</v>
      </c>
      <c r="G305" s="5" t="s">
        <v>3359</v>
      </c>
      <c r="H305" s="5">
        <v>200</v>
      </c>
      <c r="I305" s="5">
        <v>200</v>
      </c>
      <c r="J305" s="5"/>
      <c r="K305" s="5"/>
      <c r="L305" s="10">
        <v>20201118</v>
      </c>
      <c r="M305" s="36" t="str">
        <f t="shared" si="4"/>
        <v>19620129</v>
      </c>
    </row>
    <row r="306" s="1" customFormat="1" spans="1:13">
      <c r="A306" s="2">
        <v>7184</v>
      </c>
      <c r="B306" s="5" t="s">
        <v>13908</v>
      </c>
      <c r="C306" s="5" t="s">
        <v>14020</v>
      </c>
      <c r="D306" s="5" t="s">
        <v>14021</v>
      </c>
      <c r="E306" s="5" t="s">
        <v>15</v>
      </c>
      <c r="F306" s="5" t="s">
        <v>15</v>
      </c>
      <c r="G306" s="14" t="s">
        <v>16</v>
      </c>
      <c r="H306" s="17">
        <v>200</v>
      </c>
      <c r="I306" s="17">
        <v>200</v>
      </c>
      <c r="J306" s="5"/>
      <c r="K306" s="10"/>
      <c r="L306" s="10">
        <v>20201118</v>
      </c>
      <c r="M306" s="36" t="str">
        <f t="shared" si="4"/>
        <v>19620129</v>
      </c>
    </row>
    <row r="307" s="1" customFormat="1" ht="14.25" spans="1:13">
      <c r="A307" s="2">
        <v>5220</v>
      </c>
      <c r="B307" s="33" t="s">
        <v>10535</v>
      </c>
      <c r="C307" s="34" t="s">
        <v>10560</v>
      </c>
      <c r="D307" s="34" t="s">
        <v>10561</v>
      </c>
      <c r="E307" s="35">
        <v>2020</v>
      </c>
      <c r="F307" s="35">
        <v>2020</v>
      </c>
      <c r="G307" s="35" t="s">
        <v>16</v>
      </c>
      <c r="H307" s="34">
        <v>200</v>
      </c>
      <c r="I307" s="34">
        <v>200</v>
      </c>
      <c r="J307" s="49"/>
      <c r="K307" s="10"/>
      <c r="L307" s="10">
        <v>20201118</v>
      </c>
      <c r="M307" s="36" t="str">
        <f t="shared" si="4"/>
        <v>19620201</v>
      </c>
    </row>
    <row r="308" s="1" customFormat="1" spans="1:13">
      <c r="A308" s="2">
        <v>254</v>
      </c>
      <c r="B308" s="14" t="s">
        <v>327</v>
      </c>
      <c r="C308" s="17" t="s">
        <v>648</v>
      </c>
      <c r="D308" s="17" t="s">
        <v>649</v>
      </c>
      <c r="E308" s="5">
        <v>2020</v>
      </c>
      <c r="F308" s="5">
        <v>2020</v>
      </c>
      <c r="G308" s="14" t="s">
        <v>16</v>
      </c>
      <c r="H308" s="14">
        <v>200</v>
      </c>
      <c r="I308" s="14">
        <v>200</v>
      </c>
      <c r="J308" s="17"/>
      <c r="K308" s="10"/>
      <c r="L308" s="14" t="s">
        <v>330</v>
      </c>
      <c r="M308" s="36" t="str">
        <f t="shared" si="4"/>
        <v>19620202</v>
      </c>
    </row>
    <row r="309" s="1" customFormat="1" ht="14.25" spans="1:13">
      <c r="A309" s="2">
        <v>2852</v>
      </c>
      <c r="B309" s="6" t="s">
        <v>6075</v>
      </c>
      <c r="C309" s="25" t="s">
        <v>6232</v>
      </c>
      <c r="D309" s="26" t="s">
        <v>6233</v>
      </c>
      <c r="E309" s="5" t="s">
        <v>15</v>
      </c>
      <c r="F309" s="5">
        <v>2020</v>
      </c>
      <c r="G309" s="6" t="s">
        <v>16</v>
      </c>
      <c r="H309" s="6">
        <v>200</v>
      </c>
      <c r="I309" s="6">
        <v>200</v>
      </c>
      <c r="J309" s="6"/>
      <c r="K309" s="10"/>
      <c r="L309" s="10">
        <v>20201118</v>
      </c>
      <c r="M309" s="36" t="str">
        <f t="shared" si="4"/>
        <v>19620203</v>
      </c>
    </row>
    <row r="310" s="1" customFormat="1" spans="1:13">
      <c r="A310" s="2">
        <v>3601</v>
      </c>
      <c r="B310" s="5" t="s">
        <v>7412</v>
      </c>
      <c r="C310" s="5" t="s">
        <v>7469</v>
      </c>
      <c r="D310" s="5" t="s">
        <v>7470</v>
      </c>
      <c r="E310" s="6">
        <v>2020</v>
      </c>
      <c r="F310" s="6">
        <v>2020</v>
      </c>
      <c r="G310" s="5" t="s">
        <v>3359</v>
      </c>
      <c r="H310" s="5">
        <v>500</v>
      </c>
      <c r="I310" s="5">
        <v>500</v>
      </c>
      <c r="J310" s="5"/>
      <c r="K310" s="5"/>
      <c r="L310" s="10">
        <v>20201118</v>
      </c>
      <c r="M310" s="36" t="str">
        <f t="shared" si="4"/>
        <v>19620203</v>
      </c>
    </row>
    <row r="311" s="1" customFormat="1" spans="1:13">
      <c r="A311" s="2">
        <v>950</v>
      </c>
      <c r="B311" s="5" t="s">
        <v>2469</v>
      </c>
      <c r="C311" s="9" t="s">
        <v>2493</v>
      </c>
      <c r="D311" s="9" t="s">
        <v>2494</v>
      </c>
      <c r="E311" s="5">
        <v>2020</v>
      </c>
      <c r="F311" s="5">
        <v>2020</v>
      </c>
      <c r="G311" s="9" t="s">
        <v>2480</v>
      </c>
      <c r="H311" s="9">
        <v>200</v>
      </c>
      <c r="I311" s="9">
        <v>200</v>
      </c>
      <c r="J311" s="5"/>
      <c r="K311" s="5"/>
      <c r="L311" s="10">
        <v>20201118</v>
      </c>
      <c r="M311" s="36" t="str">
        <f t="shared" si="4"/>
        <v>19620205</v>
      </c>
    </row>
    <row r="312" s="1" customFormat="1" spans="1:13">
      <c r="A312" s="2">
        <v>3602</v>
      </c>
      <c r="B312" s="5" t="s">
        <v>7412</v>
      </c>
      <c r="C312" s="5" t="s">
        <v>7471</v>
      </c>
      <c r="D312" s="5" t="s">
        <v>7472</v>
      </c>
      <c r="E312" s="6">
        <v>2020</v>
      </c>
      <c r="F312" s="6">
        <v>2020</v>
      </c>
      <c r="G312" s="5" t="s">
        <v>3359</v>
      </c>
      <c r="H312" s="5">
        <v>1000</v>
      </c>
      <c r="I312" s="5">
        <v>1000</v>
      </c>
      <c r="J312" s="5"/>
      <c r="K312" s="5"/>
      <c r="L312" s="10">
        <v>20201118</v>
      </c>
      <c r="M312" s="36" t="str">
        <f t="shared" si="4"/>
        <v>19620205</v>
      </c>
    </row>
    <row r="313" s="1" customFormat="1" spans="1:13">
      <c r="A313" s="2">
        <v>2084</v>
      </c>
      <c r="B313" s="5" t="s">
        <v>4189</v>
      </c>
      <c r="C313" s="16" t="s">
        <v>4719</v>
      </c>
      <c r="D313" s="16" t="s">
        <v>4720</v>
      </c>
      <c r="E313" s="5" t="s">
        <v>15</v>
      </c>
      <c r="F313" s="5" t="s">
        <v>15</v>
      </c>
      <c r="G313" s="5" t="s">
        <v>3359</v>
      </c>
      <c r="H313" s="16">
        <v>200</v>
      </c>
      <c r="I313" s="16">
        <v>200</v>
      </c>
      <c r="J313" s="5"/>
      <c r="K313" s="10"/>
      <c r="L313" s="10">
        <v>20201118</v>
      </c>
      <c r="M313" s="36" t="str">
        <f t="shared" si="4"/>
        <v>19620206</v>
      </c>
    </row>
    <row r="314" s="1" customFormat="1" spans="1:13">
      <c r="A314" s="2">
        <v>5713</v>
      </c>
      <c r="B314" s="30" t="s">
        <v>11090</v>
      </c>
      <c r="C314" s="30" t="s">
        <v>11511</v>
      </c>
      <c r="D314" s="30" t="s">
        <v>11512</v>
      </c>
      <c r="E314" s="5" t="s">
        <v>15</v>
      </c>
      <c r="F314" s="5" t="s">
        <v>10250</v>
      </c>
      <c r="G314" s="6" t="s">
        <v>16</v>
      </c>
      <c r="H314" s="32">
        <v>200</v>
      </c>
      <c r="I314" s="32">
        <v>200</v>
      </c>
      <c r="J314" s="6"/>
      <c r="K314" s="48"/>
      <c r="L314" s="10">
        <v>20201118</v>
      </c>
      <c r="M314" s="36" t="str">
        <f t="shared" si="4"/>
        <v>19620206</v>
      </c>
    </row>
    <row r="315" s="1" customFormat="1" spans="1:13">
      <c r="A315" s="2">
        <v>3500</v>
      </c>
      <c r="B315" s="5" t="s">
        <v>3375</v>
      </c>
      <c r="C315" s="6" t="s">
        <v>7288</v>
      </c>
      <c r="D315" s="6" t="s">
        <v>7289</v>
      </c>
      <c r="E315" s="5" t="s">
        <v>15</v>
      </c>
      <c r="F315" s="5">
        <v>2020</v>
      </c>
      <c r="G315" s="14" t="s">
        <v>16</v>
      </c>
      <c r="H315" s="17">
        <v>200</v>
      </c>
      <c r="I315" s="17">
        <v>200</v>
      </c>
      <c r="J315" s="6" t="s">
        <v>1242</v>
      </c>
      <c r="K315" s="10"/>
      <c r="L315" s="10">
        <v>20201118</v>
      </c>
      <c r="M315" s="36" t="str">
        <f t="shared" si="4"/>
        <v>19620208</v>
      </c>
    </row>
    <row r="316" s="1" customFormat="1" spans="1:13">
      <c r="A316" s="2">
        <v>2158</v>
      </c>
      <c r="B316" s="9" t="s">
        <v>4837</v>
      </c>
      <c r="C316" s="9" t="s">
        <v>4864</v>
      </c>
      <c r="D316" s="9" t="s">
        <v>4865</v>
      </c>
      <c r="E316" s="6" t="s">
        <v>15</v>
      </c>
      <c r="F316" s="6">
        <v>2020</v>
      </c>
      <c r="G316" s="9" t="s">
        <v>2480</v>
      </c>
      <c r="H316" s="9">
        <v>200</v>
      </c>
      <c r="I316" s="9">
        <v>200</v>
      </c>
      <c r="J316" s="6"/>
      <c r="K316" s="10"/>
      <c r="L316" s="10">
        <v>20201118</v>
      </c>
      <c r="M316" s="36" t="str">
        <f t="shared" si="4"/>
        <v>19620210</v>
      </c>
    </row>
    <row r="317" s="1" customFormat="1" ht="14.25" spans="1:13">
      <c r="A317" s="2">
        <v>3262</v>
      </c>
      <c r="B317" s="3" t="s">
        <v>6671</v>
      </c>
      <c r="C317" s="57" t="s">
        <v>7027</v>
      </c>
      <c r="D317" s="20" t="s">
        <v>7028</v>
      </c>
      <c r="E317" s="6" t="s">
        <v>4184</v>
      </c>
      <c r="F317" s="5" t="s">
        <v>15</v>
      </c>
      <c r="G317" s="6" t="s">
        <v>289</v>
      </c>
      <c r="H317" s="6" t="s">
        <v>311</v>
      </c>
      <c r="I317" s="6">
        <v>600</v>
      </c>
      <c r="J317" s="5"/>
      <c r="K317" s="39"/>
      <c r="L317" s="10">
        <v>20201118</v>
      </c>
      <c r="M317" s="36" t="str">
        <f t="shared" si="4"/>
        <v>19620210</v>
      </c>
    </row>
    <row r="318" s="1" customFormat="1" spans="1:13">
      <c r="A318" s="2">
        <v>5872</v>
      </c>
      <c r="B318" s="30" t="s">
        <v>11090</v>
      </c>
      <c r="C318" s="30" t="s">
        <v>11801</v>
      </c>
      <c r="D318" s="30" t="s">
        <v>11802</v>
      </c>
      <c r="E318" s="5" t="s">
        <v>15</v>
      </c>
      <c r="F318" s="5" t="s">
        <v>10250</v>
      </c>
      <c r="G318" s="6" t="s">
        <v>16</v>
      </c>
      <c r="H318" s="32">
        <v>200</v>
      </c>
      <c r="I318" s="32">
        <v>200</v>
      </c>
      <c r="J318" s="6" t="s">
        <v>108</v>
      </c>
      <c r="K318" s="48"/>
      <c r="L318" s="10">
        <v>20201118</v>
      </c>
      <c r="M318" s="36" t="str">
        <f t="shared" si="4"/>
        <v>19620210</v>
      </c>
    </row>
    <row r="319" s="1" customFormat="1" spans="1:13">
      <c r="A319" s="2">
        <v>951</v>
      </c>
      <c r="B319" s="5" t="s">
        <v>2469</v>
      </c>
      <c r="C319" s="9" t="s">
        <v>2495</v>
      </c>
      <c r="D319" s="9" t="s">
        <v>2496</v>
      </c>
      <c r="E319" s="5">
        <v>2020</v>
      </c>
      <c r="F319" s="5">
        <v>2020</v>
      </c>
      <c r="G319" s="9" t="s">
        <v>2480</v>
      </c>
      <c r="H319" s="9">
        <v>200</v>
      </c>
      <c r="I319" s="9">
        <v>200</v>
      </c>
      <c r="J319" s="5"/>
      <c r="K319" s="5"/>
      <c r="L319" s="10">
        <v>20201118</v>
      </c>
      <c r="M319" s="36" t="str">
        <f t="shared" si="4"/>
        <v>19620215</v>
      </c>
    </row>
    <row r="320" s="1" customFormat="1" ht="14.25" spans="1:13">
      <c r="A320" s="2">
        <v>5221</v>
      </c>
      <c r="B320" s="33" t="s">
        <v>10535</v>
      </c>
      <c r="C320" s="34" t="s">
        <v>10562</v>
      </c>
      <c r="D320" s="34" t="s">
        <v>10563</v>
      </c>
      <c r="E320" s="35">
        <v>2020</v>
      </c>
      <c r="F320" s="35">
        <v>2020</v>
      </c>
      <c r="G320" s="35" t="s">
        <v>16</v>
      </c>
      <c r="H320" s="34">
        <v>200</v>
      </c>
      <c r="I320" s="34">
        <v>200</v>
      </c>
      <c r="J320" s="49"/>
      <c r="K320" s="10"/>
      <c r="L320" s="10">
        <v>20201118</v>
      </c>
      <c r="M320" s="36" t="str">
        <f t="shared" si="4"/>
        <v>19620217</v>
      </c>
    </row>
    <row r="321" s="1" customFormat="1" spans="1:13">
      <c r="A321" s="2">
        <v>1426</v>
      </c>
      <c r="B321" s="5" t="s">
        <v>3381</v>
      </c>
      <c r="C321" s="9" t="s">
        <v>3422</v>
      </c>
      <c r="D321" s="9" t="s">
        <v>3423</v>
      </c>
      <c r="E321" s="5">
        <v>2020</v>
      </c>
      <c r="F321" s="5">
        <v>2020</v>
      </c>
      <c r="G321" s="14" t="s">
        <v>16</v>
      </c>
      <c r="H321" s="6">
        <v>200</v>
      </c>
      <c r="I321" s="6">
        <v>200</v>
      </c>
      <c r="J321" s="5"/>
      <c r="K321" s="13"/>
      <c r="L321" s="10">
        <v>20201118</v>
      </c>
      <c r="M321" s="36" t="str">
        <f t="shared" si="4"/>
        <v>19620218</v>
      </c>
    </row>
    <row r="322" s="1" customFormat="1" ht="14.25" spans="1:13">
      <c r="A322" s="2">
        <v>2906</v>
      </c>
      <c r="B322" s="6" t="s">
        <v>6075</v>
      </c>
      <c r="C322" s="25" t="s">
        <v>6339</v>
      </c>
      <c r="D322" s="26" t="s">
        <v>6340</v>
      </c>
      <c r="E322" s="5" t="s">
        <v>15</v>
      </c>
      <c r="F322" s="5">
        <v>2020</v>
      </c>
      <c r="G322" s="6" t="s">
        <v>16</v>
      </c>
      <c r="H322" s="6">
        <v>200</v>
      </c>
      <c r="I322" s="6">
        <v>200</v>
      </c>
      <c r="J322" s="6"/>
      <c r="K322" s="10"/>
      <c r="L322" s="10">
        <v>20201118</v>
      </c>
      <c r="M322" s="36" t="str">
        <f t="shared" ref="M322:M385" si="5">MID(D322,7,8)</f>
        <v>19620218</v>
      </c>
    </row>
    <row r="323" s="1" customFormat="1" spans="1:13">
      <c r="A323" s="2">
        <v>6528</v>
      </c>
      <c r="B323" s="5" t="s">
        <v>13027</v>
      </c>
      <c r="C323" s="15" t="s">
        <v>13053</v>
      </c>
      <c r="D323" s="15" t="s">
        <v>13054</v>
      </c>
      <c r="E323" s="5">
        <v>2020</v>
      </c>
      <c r="F323" s="5">
        <v>2020</v>
      </c>
      <c r="G323" s="14" t="s">
        <v>16</v>
      </c>
      <c r="H323" s="15">
        <v>200</v>
      </c>
      <c r="I323" s="15">
        <v>200</v>
      </c>
      <c r="J323" s="5"/>
      <c r="K323" s="10"/>
      <c r="L323" s="10">
        <v>20201118</v>
      </c>
      <c r="M323" s="36" t="str">
        <f t="shared" si="5"/>
        <v>19620218</v>
      </c>
    </row>
    <row r="324" s="1" customFormat="1" spans="1:13">
      <c r="A324" s="2">
        <v>6335</v>
      </c>
      <c r="B324" s="5" t="s">
        <v>12263</v>
      </c>
      <c r="C324" s="5" t="s">
        <v>12686</v>
      </c>
      <c r="D324" s="5" t="s">
        <v>12687</v>
      </c>
      <c r="E324" s="5" t="s">
        <v>10250</v>
      </c>
      <c r="F324" s="5">
        <v>2020</v>
      </c>
      <c r="G324" s="17" t="s">
        <v>3359</v>
      </c>
      <c r="H324" s="5" t="s">
        <v>311</v>
      </c>
      <c r="I324" s="5">
        <v>200</v>
      </c>
      <c r="J324" s="5"/>
      <c r="K324" s="5"/>
      <c r="L324" s="10">
        <v>20201118</v>
      </c>
      <c r="M324" s="36" t="str">
        <f t="shared" si="5"/>
        <v>19620219</v>
      </c>
    </row>
    <row r="325" s="1" customFormat="1" spans="1:13">
      <c r="A325" s="2">
        <v>3499</v>
      </c>
      <c r="B325" s="5" t="s">
        <v>3375</v>
      </c>
      <c r="C325" s="6" t="s">
        <v>7286</v>
      </c>
      <c r="D325" s="6" t="s">
        <v>7287</v>
      </c>
      <c r="E325" s="5" t="s">
        <v>15</v>
      </c>
      <c r="F325" s="5">
        <v>2020</v>
      </c>
      <c r="G325" s="14" t="s">
        <v>16</v>
      </c>
      <c r="H325" s="17">
        <v>200</v>
      </c>
      <c r="I325" s="17">
        <v>200</v>
      </c>
      <c r="J325" s="6" t="s">
        <v>1242</v>
      </c>
      <c r="K325" s="10"/>
      <c r="L325" s="10">
        <v>20201118</v>
      </c>
      <c r="M325" s="36" t="str">
        <f t="shared" si="5"/>
        <v>19620220</v>
      </c>
    </row>
    <row r="326" s="1" customFormat="1" spans="1:13">
      <c r="A326" s="2">
        <v>1838</v>
      </c>
      <c r="B326" s="5" t="s">
        <v>4189</v>
      </c>
      <c r="C326" s="16" t="s">
        <v>4241</v>
      </c>
      <c r="D326" s="16" t="s">
        <v>4242</v>
      </c>
      <c r="E326" s="5" t="s">
        <v>15</v>
      </c>
      <c r="F326" s="5" t="s">
        <v>15</v>
      </c>
      <c r="G326" s="5" t="s">
        <v>3359</v>
      </c>
      <c r="H326" s="16">
        <v>200</v>
      </c>
      <c r="I326" s="16">
        <v>200</v>
      </c>
      <c r="J326" s="5"/>
      <c r="K326" s="10"/>
      <c r="L326" s="10">
        <v>20201118</v>
      </c>
      <c r="M326" s="36" t="str">
        <f t="shared" si="5"/>
        <v>19620221</v>
      </c>
    </row>
    <row r="327" s="1" customFormat="1" spans="1:13">
      <c r="A327" s="2">
        <v>8071</v>
      </c>
      <c r="B327" s="5" t="s">
        <v>15086</v>
      </c>
      <c r="C327" s="6" t="s">
        <v>15351</v>
      </c>
      <c r="D327" s="6" t="str">
        <f>"152326196202216865"</f>
        <v>152326196202216865</v>
      </c>
      <c r="E327" s="5" t="s">
        <v>15</v>
      </c>
      <c r="F327" s="5">
        <v>2020</v>
      </c>
      <c r="G327" s="5" t="s">
        <v>16</v>
      </c>
      <c r="H327" s="5">
        <v>200</v>
      </c>
      <c r="I327" s="5">
        <v>200</v>
      </c>
      <c r="J327" s="5"/>
      <c r="K327" s="5"/>
      <c r="L327" s="10">
        <v>20201118</v>
      </c>
      <c r="M327" s="36" t="str">
        <f t="shared" si="5"/>
        <v>19620221</v>
      </c>
    </row>
    <row r="328" s="1" customFormat="1" spans="1:13">
      <c r="A328" s="2">
        <v>6151</v>
      </c>
      <c r="B328" s="5" t="s">
        <v>12263</v>
      </c>
      <c r="C328" s="5" t="s">
        <v>12335</v>
      </c>
      <c r="D328" s="5" t="s">
        <v>12336</v>
      </c>
      <c r="E328" s="5" t="s">
        <v>10250</v>
      </c>
      <c r="F328" s="5">
        <v>2020</v>
      </c>
      <c r="G328" s="17" t="s">
        <v>3359</v>
      </c>
      <c r="H328" s="5">
        <v>200</v>
      </c>
      <c r="I328" s="5">
        <v>200</v>
      </c>
      <c r="J328" s="5"/>
      <c r="K328" s="5"/>
      <c r="L328" s="10">
        <v>20201118</v>
      </c>
      <c r="M328" s="36" t="str">
        <f t="shared" si="5"/>
        <v>19620223</v>
      </c>
    </row>
    <row r="329" s="1" customFormat="1" spans="1:13">
      <c r="A329" s="2">
        <v>6318</v>
      </c>
      <c r="B329" s="5" t="s">
        <v>12263</v>
      </c>
      <c r="C329" s="5" t="s">
        <v>12653</v>
      </c>
      <c r="D329" s="5" t="s">
        <v>12654</v>
      </c>
      <c r="E329" s="5" t="s">
        <v>10250</v>
      </c>
      <c r="F329" s="5">
        <v>2020</v>
      </c>
      <c r="G329" s="17" t="s">
        <v>3359</v>
      </c>
      <c r="H329" s="5">
        <v>200</v>
      </c>
      <c r="I329" s="5">
        <v>200</v>
      </c>
      <c r="J329" s="5"/>
      <c r="K329" s="5"/>
      <c r="L329" s="10">
        <v>20201118</v>
      </c>
      <c r="M329" s="36" t="str">
        <f t="shared" si="5"/>
        <v>19620224</v>
      </c>
    </row>
    <row r="330" s="1" customFormat="1" spans="1:13">
      <c r="A330" s="2">
        <v>7598</v>
      </c>
      <c r="B330" s="5" t="s">
        <v>14402</v>
      </c>
      <c r="C330" s="5" t="s">
        <v>14795</v>
      </c>
      <c r="D330" s="5" t="s">
        <v>14796</v>
      </c>
      <c r="E330" s="5">
        <v>2020</v>
      </c>
      <c r="F330" s="5">
        <v>2020</v>
      </c>
      <c r="G330" s="17" t="s">
        <v>16</v>
      </c>
      <c r="H330" s="5">
        <v>200</v>
      </c>
      <c r="I330" s="5">
        <v>200</v>
      </c>
      <c r="J330" s="5"/>
      <c r="K330" s="10"/>
      <c r="L330" s="10">
        <v>20201118</v>
      </c>
      <c r="M330" s="36" t="str">
        <f t="shared" si="5"/>
        <v>19620225</v>
      </c>
    </row>
    <row r="331" s="1" customFormat="1" spans="1:13">
      <c r="A331" s="2">
        <v>7599</v>
      </c>
      <c r="B331" s="5" t="s">
        <v>14402</v>
      </c>
      <c r="C331" s="5" t="s">
        <v>14797</v>
      </c>
      <c r="D331" s="5" t="s">
        <v>14798</v>
      </c>
      <c r="E331" s="5">
        <v>2020</v>
      </c>
      <c r="F331" s="5">
        <v>2020</v>
      </c>
      <c r="G331" s="17" t="s">
        <v>16</v>
      </c>
      <c r="H331" s="5">
        <v>200</v>
      </c>
      <c r="I331" s="5">
        <v>200</v>
      </c>
      <c r="J331" s="5"/>
      <c r="K331" s="10"/>
      <c r="L331" s="10">
        <v>20201118</v>
      </c>
      <c r="M331" s="36" t="str">
        <f t="shared" si="5"/>
        <v>19620225</v>
      </c>
    </row>
    <row r="332" s="1" customFormat="1" spans="1:13">
      <c r="A332" s="2">
        <v>733</v>
      </c>
      <c r="B332" s="29" t="s">
        <v>1040</v>
      </c>
      <c r="C332" s="5" t="s">
        <v>1849</v>
      </c>
      <c r="D332" s="5" t="s">
        <v>1850</v>
      </c>
      <c r="E332" s="30">
        <v>2020</v>
      </c>
      <c r="F332" s="30">
        <v>2020</v>
      </c>
      <c r="G332" s="29" t="s">
        <v>16</v>
      </c>
      <c r="H332" s="29">
        <v>200</v>
      </c>
      <c r="I332" s="29">
        <v>200</v>
      </c>
      <c r="J332" s="29"/>
      <c r="K332" s="54"/>
      <c r="L332" s="14" t="s">
        <v>330</v>
      </c>
      <c r="M332" s="36" t="str">
        <f t="shared" si="5"/>
        <v>19620226</v>
      </c>
    </row>
    <row r="333" s="1" customFormat="1" spans="1:13">
      <c r="A333" s="2">
        <v>6155</v>
      </c>
      <c r="B333" s="5" t="s">
        <v>12263</v>
      </c>
      <c r="C333" s="5" t="s">
        <v>12342</v>
      </c>
      <c r="D333" s="5" t="s">
        <v>12343</v>
      </c>
      <c r="E333" s="5" t="s">
        <v>10250</v>
      </c>
      <c r="F333" s="5">
        <v>2020</v>
      </c>
      <c r="G333" s="17" t="s">
        <v>3359</v>
      </c>
      <c r="H333" s="5">
        <v>200</v>
      </c>
      <c r="I333" s="5">
        <v>200</v>
      </c>
      <c r="J333" s="5"/>
      <c r="K333" s="5"/>
      <c r="L333" s="10">
        <v>20201118</v>
      </c>
      <c r="M333" s="36" t="str">
        <f t="shared" si="5"/>
        <v>19620227</v>
      </c>
    </row>
    <row r="334" s="1" customFormat="1" ht="14.25" spans="1:13">
      <c r="A334" s="2">
        <v>7789</v>
      </c>
      <c r="B334" s="5" t="s">
        <v>14875</v>
      </c>
      <c r="C334" s="51" t="s">
        <v>15036</v>
      </c>
      <c r="D334" s="24" t="str">
        <f>"152326196202277131"</f>
        <v>152326196202277131</v>
      </c>
      <c r="E334" s="6" t="s">
        <v>15</v>
      </c>
      <c r="F334" s="6">
        <v>2020</v>
      </c>
      <c r="G334" s="24" t="s">
        <v>14877</v>
      </c>
      <c r="H334" s="6">
        <v>200</v>
      </c>
      <c r="I334" s="6">
        <v>200</v>
      </c>
      <c r="J334" s="6"/>
      <c r="K334" s="10"/>
      <c r="L334" s="10">
        <v>20201118</v>
      </c>
      <c r="M334" s="36" t="str">
        <f t="shared" si="5"/>
        <v>19620227</v>
      </c>
    </row>
    <row r="335" s="1" customFormat="1" spans="1:13">
      <c r="A335" s="2">
        <v>257</v>
      </c>
      <c r="B335" s="14" t="s">
        <v>327</v>
      </c>
      <c r="C335" s="17" t="s">
        <v>657</v>
      </c>
      <c r="D335" s="17" t="s">
        <v>658</v>
      </c>
      <c r="E335" s="5">
        <v>2020</v>
      </c>
      <c r="F335" s="5">
        <v>2020</v>
      </c>
      <c r="G335" s="14" t="s">
        <v>16</v>
      </c>
      <c r="H335" s="14">
        <v>200</v>
      </c>
      <c r="I335" s="17">
        <v>200</v>
      </c>
      <c r="J335" s="17"/>
      <c r="K335" s="10"/>
      <c r="L335" s="2" t="s">
        <v>330</v>
      </c>
      <c r="M335" s="36" t="str">
        <f t="shared" si="5"/>
        <v>19620228</v>
      </c>
    </row>
    <row r="336" s="1" customFormat="1" spans="1:13">
      <c r="A336" s="2">
        <v>391</v>
      </c>
      <c r="B336" s="29" t="s">
        <v>1040</v>
      </c>
      <c r="C336" s="29" t="s">
        <v>1058</v>
      </c>
      <c r="D336" s="29" t="s">
        <v>1059</v>
      </c>
      <c r="E336" s="30">
        <v>2020</v>
      </c>
      <c r="F336" s="30">
        <v>2020</v>
      </c>
      <c r="G336" s="29" t="s">
        <v>16</v>
      </c>
      <c r="H336" s="29">
        <v>200</v>
      </c>
      <c r="I336" s="29">
        <v>200</v>
      </c>
      <c r="J336" s="29"/>
      <c r="K336" s="47"/>
      <c r="L336" s="14" t="s">
        <v>330</v>
      </c>
      <c r="M336" s="36" t="str">
        <f t="shared" si="5"/>
        <v>19620228</v>
      </c>
    </row>
    <row r="337" s="1" customFormat="1" ht="14.25" spans="1:13">
      <c r="A337" s="2">
        <v>3006</v>
      </c>
      <c r="B337" s="6" t="s">
        <v>6075</v>
      </c>
      <c r="C337" s="25" t="s">
        <v>6537</v>
      </c>
      <c r="D337" s="26" t="s">
        <v>6538</v>
      </c>
      <c r="E337" s="5" t="s">
        <v>15</v>
      </c>
      <c r="F337" s="5">
        <v>2020</v>
      </c>
      <c r="G337" s="6" t="s">
        <v>16</v>
      </c>
      <c r="H337" s="6">
        <v>200</v>
      </c>
      <c r="I337" s="6">
        <v>200</v>
      </c>
      <c r="J337" s="6" t="s">
        <v>6097</v>
      </c>
      <c r="K337" s="10"/>
      <c r="L337" s="10">
        <v>20201118</v>
      </c>
      <c r="M337" s="36" t="str">
        <f t="shared" si="5"/>
        <v>19620228</v>
      </c>
    </row>
    <row r="338" s="1" customFormat="1" ht="14.25" spans="1:13">
      <c r="A338" s="2">
        <v>5222</v>
      </c>
      <c r="B338" s="33" t="s">
        <v>10535</v>
      </c>
      <c r="C338" s="34" t="s">
        <v>10564</v>
      </c>
      <c r="D338" s="34" t="s">
        <v>10565</v>
      </c>
      <c r="E338" s="35">
        <v>2020</v>
      </c>
      <c r="F338" s="35">
        <v>2020</v>
      </c>
      <c r="G338" s="35" t="s">
        <v>16</v>
      </c>
      <c r="H338" s="34">
        <v>200</v>
      </c>
      <c r="I338" s="34">
        <v>200</v>
      </c>
      <c r="J338" s="49"/>
      <c r="K338" s="10"/>
      <c r="L338" s="10">
        <v>20201118</v>
      </c>
      <c r="M338" s="36" t="str">
        <f t="shared" si="5"/>
        <v>19620228</v>
      </c>
    </row>
    <row r="339" s="1" customFormat="1" spans="1:13">
      <c r="A339" s="2">
        <v>8075</v>
      </c>
      <c r="B339" s="5" t="s">
        <v>15086</v>
      </c>
      <c r="C339" s="6" t="s">
        <v>15354</v>
      </c>
      <c r="D339" s="6" t="s">
        <v>15355</v>
      </c>
      <c r="E339" s="5" t="s">
        <v>15</v>
      </c>
      <c r="F339" s="5">
        <v>2020</v>
      </c>
      <c r="G339" s="5" t="s">
        <v>16</v>
      </c>
      <c r="H339" s="5">
        <v>200</v>
      </c>
      <c r="I339" s="5">
        <v>200</v>
      </c>
      <c r="J339" s="5"/>
      <c r="K339" s="5"/>
      <c r="L339" s="10">
        <v>20201118</v>
      </c>
      <c r="M339" s="36" t="str">
        <f t="shared" si="5"/>
        <v>19620301</v>
      </c>
    </row>
    <row r="340" s="1" customFormat="1" ht="14.25" spans="1:13">
      <c r="A340" s="2">
        <v>5223</v>
      </c>
      <c r="B340" s="33" t="s">
        <v>10535</v>
      </c>
      <c r="C340" s="34" t="s">
        <v>10566</v>
      </c>
      <c r="D340" s="34" t="s">
        <v>10567</v>
      </c>
      <c r="E340" s="35">
        <v>2020</v>
      </c>
      <c r="F340" s="35">
        <v>2020</v>
      </c>
      <c r="G340" s="35" t="s">
        <v>16</v>
      </c>
      <c r="H340" s="34">
        <v>200</v>
      </c>
      <c r="I340" s="34">
        <v>200</v>
      </c>
      <c r="J340" s="49"/>
      <c r="K340" s="10"/>
      <c r="L340" s="10">
        <v>20201118</v>
      </c>
      <c r="M340" s="36" t="str">
        <f t="shared" si="5"/>
        <v>19620302</v>
      </c>
    </row>
    <row r="341" s="1" customFormat="1" spans="1:13">
      <c r="A341" s="2">
        <v>6529</v>
      </c>
      <c r="B341" s="5" t="s">
        <v>13027</v>
      </c>
      <c r="C341" s="15" t="s">
        <v>13055</v>
      </c>
      <c r="D341" s="15" t="s">
        <v>13056</v>
      </c>
      <c r="E341" s="5">
        <v>2020</v>
      </c>
      <c r="F341" s="5">
        <v>2020</v>
      </c>
      <c r="G341" s="14" t="s">
        <v>16</v>
      </c>
      <c r="H341" s="15">
        <v>200</v>
      </c>
      <c r="I341" s="15">
        <v>200</v>
      </c>
      <c r="J341" s="5"/>
      <c r="K341" s="10"/>
      <c r="L341" s="10">
        <v>20201118</v>
      </c>
      <c r="M341" s="36" t="str">
        <f t="shared" si="5"/>
        <v>19620302</v>
      </c>
    </row>
    <row r="342" s="1" customFormat="1" spans="1:13">
      <c r="A342" s="2">
        <v>732</v>
      </c>
      <c r="B342" s="29" t="s">
        <v>1040</v>
      </c>
      <c r="C342" s="5" t="s">
        <v>1846</v>
      </c>
      <c r="D342" s="317" t="s">
        <v>1847</v>
      </c>
      <c r="E342" s="30">
        <v>2020</v>
      </c>
      <c r="F342" s="30">
        <v>2020</v>
      </c>
      <c r="G342" s="29" t="s">
        <v>16</v>
      </c>
      <c r="H342" s="29">
        <v>200</v>
      </c>
      <c r="I342" s="29">
        <v>200</v>
      </c>
      <c r="J342" s="29"/>
      <c r="K342" s="54"/>
      <c r="L342" s="2" t="s">
        <v>330</v>
      </c>
      <c r="M342" s="36" t="str">
        <f t="shared" si="5"/>
        <v>19620303</v>
      </c>
    </row>
    <row r="343" s="1" customFormat="1" spans="1:13">
      <c r="A343" s="2">
        <v>3603</v>
      </c>
      <c r="B343" s="5" t="s">
        <v>7412</v>
      </c>
      <c r="C343" s="5" t="s">
        <v>7473</v>
      </c>
      <c r="D343" s="5" t="s">
        <v>7474</v>
      </c>
      <c r="E343" s="6">
        <v>2020</v>
      </c>
      <c r="F343" s="6">
        <v>2020</v>
      </c>
      <c r="G343" s="5" t="s">
        <v>3359</v>
      </c>
      <c r="H343" s="5">
        <v>200</v>
      </c>
      <c r="I343" s="5">
        <v>200</v>
      </c>
      <c r="J343" s="5"/>
      <c r="K343" s="5"/>
      <c r="L343" s="10">
        <v>20201118</v>
      </c>
      <c r="M343" s="36" t="str">
        <f t="shared" si="5"/>
        <v>19620303</v>
      </c>
    </row>
    <row r="344" s="1" customFormat="1" spans="1:13">
      <c r="A344" s="2">
        <v>6530</v>
      </c>
      <c r="B344" s="5" t="s">
        <v>13027</v>
      </c>
      <c r="C344" s="15" t="s">
        <v>13057</v>
      </c>
      <c r="D344" s="15" t="s">
        <v>13058</v>
      </c>
      <c r="E344" s="5">
        <v>2020</v>
      </c>
      <c r="F344" s="5">
        <v>2020</v>
      </c>
      <c r="G344" s="14" t="s">
        <v>16</v>
      </c>
      <c r="H344" s="15">
        <v>200</v>
      </c>
      <c r="I344" s="15">
        <v>200</v>
      </c>
      <c r="J344" s="5"/>
      <c r="K344" s="10"/>
      <c r="L344" s="10">
        <v>20201118</v>
      </c>
      <c r="M344" s="36" t="str">
        <f t="shared" si="5"/>
        <v>19620304</v>
      </c>
    </row>
    <row r="345" s="1" customFormat="1" spans="1:13">
      <c r="A345" s="2">
        <v>818</v>
      </c>
      <c r="B345" s="29" t="s">
        <v>1040</v>
      </c>
      <c r="C345" s="5" t="s">
        <v>2104</v>
      </c>
      <c r="D345" s="317" t="s">
        <v>2105</v>
      </c>
      <c r="E345" s="30">
        <v>2020</v>
      </c>
      <c r="F345" s="30">
        <v>2020</v>
      </c>
      <c r="G345" s="29" t="s">
        <v>16</v>
      </c>
      <c r="H345" s="29">
        <v>200</v>
      </c>
      <c r="I345" s="29">
        <v>200</v>
      </c>
      <c r="J345" s="32"/>
      <c r="K345" s="32"/>
      <c r="L345" s="2" t="s">
        <v>330</v>
      </c>
      <c r="M345" s="36" t="str">
        <f t="shared" si="5"/>
        <v>19620305</v>
      </c>
    </row>
    <row r="346" s="1" customFormat="1" ht="14.25" spans="1:13">
      <c r="A346" s="2">
        <v>5224</v>
      </c>
      <c r="B346" s="33" t="s">
        <v>10535</v>
      </c>
      <c r="C346" s="34" t="s">
        <v>10568</v>
      </c>
      <c r="D346" s="34" t="s">
        <v>10569</v>
      </c>
      <c r="E346" s="35">
        <v>2020</v>
      </c>
      <c r="F346" s="35">
        <v>2020</v>
      </c>
      <c r="G346" s="35" t="s">
        <v>16</v>
      </c>
      <c r="H346" s="34">
        <v>200</v>
      </c>
      <c r="I346" s="34">
        <v>200</v>
      </c>
      <c r="J346" s="49"/>
      <c r="K346" s="10"/>
      <c r="L346" s="10">
        <v>20201118</v>
      </c>
      <c r="M346" s="36" t="str">
        <f t="shared" si="5"/>
        <v>19620306</v>
      </c>
    </row>
    <row r="347" s="1" customFormat="1" spans="1:13">
      <c r="A347" s="2">
        <v>7052</v>
      </c>
      <c r="B347" s="5" t="s">
        <v>13533</v>
      </c>
      <c r="C347" s="32" t="s">
        <v>13798</v>
      </c>
      <c r="D347" s="32" t="str">
        <f>"152326196203087129"</f>
        <v>152326196203087129</v>
      </c>
      <c r="E347" s="5">
        <v>2020</v>
      </c>
      <c r="F347" s="5">
        <v>2020</v>
      </c>
      <c r="G347" s="9" t="s">
        <v>2480</v>
      </c>
      <c r="H347" s="32">
        <v>1000</v>
      </c>
      <c r="I347" s="32">
        <v>1000</v>
      </c>
      <c r="J347" s="32"/>
      <c r="K347" s="10"/>
      <c r="L347" s="10">
        <v>20201118</v>
      </c>
      <c r="M347" s="36" t="str">
        <f t="shared" si="5"/>
        <v>19620308</v>
      </c>
    </row>
    <row r="348" s="1" customFormat="1" spans="1:13">
      <c r="A348" s="2">
        <v>1785</v>
      </c>
      <c r="B348" s="5" t="s">
        <v>3381</v>
      </c>
      <c r="C348" s="9" t="s">
        <v>4132</v>
      </c>
      <c r="D348" s="9" t="s">
        <v>4133</v>
      </c>
      <c r="E348" s="5">
        <v>2011</v>
      </c>
      <c r="F348" s="5">
        <v>2020</v>
      </c>
      <c r="G348" s="14" t="s">
        <v>289</v>
      </c>
      <c r="H348" s="18">
        <v>200</v>
      </c>
      <c r="I348" s="6">
        <v>2000</v>
      </c>
      <c r="J348" s="5"/>
      <c r="K348" s="13"/>
      <c r="L348" s="10">
        <v>20201118</v>
      </c>
      <c r="M348" s="36" t="str">
        <f t="shared" si="5"/>
        <v>19620310</v>
      </c>
    </row>
    <row r="349" s="1" customFormat="1" spans="1:13">
      <c r="A349" s="2">
        <v>2544</v>
      </c>
      <c r="B349" s="32" t="s">
        <v>5602</v>
      </c>
      <c r="C349" s="9" t="s">
        <v>5626</v>
      </c>
      <c r="D349" s="9" t="s">
        <v>5627</v>
      </c>
      <c r="E349" s="32">
        <v>2020</v>
      </c>
      <c r="F349" s="32">
        <v>2020</v>
      </c>
      <c r="G349" s="32" t="s">
        <v>16</v>
      </c>
      <c r="H349" s="9">
        <v>200</v>
      </c>
      <c r="I349" s="9">
        <v>200</v>
      </c>
      <c r="J349" s="32"/>
      <c r="K349" s="52"/>
      <c r="L349" s="10">
        <v>20201118</v>
      </c>
      <c r="M349" s="36" t="str">
        <f t="shared" si="5"/>
        <v>19620310</v>
      </c>
    </row>
    <row r="350" s="1" customFormat="1" spans="1:13">
      <c r="A350" s="2">
        <v>4956</v>
      </c>
      <c r="B350" s="6" t="s">
        <v>9954</v>
      </c>
      <c r="C350" s="60" t="s">
        <v>10052</v>
      </c>
      <c r="D350" s="60" t="s">
        <v>10053</v>
      </c>
      <c r="E350" s="5" t="s">
        <v>15</v>
      </c>
      <c r="F350" s="5" t="s">
        <v>15</v>
      </c>
      <c r="G350" s="14" t="s">
        <v>16</v>
      </c>
      <c r="H350" s="6">
        <v>200</v>
      </c>
      <c r="I350" s="6">
        <v>200</v>
      </c>
      <c r="J350" s="6" t="s">
        <v>108</v>
      </c>
      <c r="K350" s="6"/>
      <c r="L350" s="10">
        <v>20201118</v>
      </c>
      <c r="M350" s="36" t="str">
        <f t="shared" si="5"/>
        <v>19620310</v>
      </c>
    </row>
    <row r="351" s="1" customFormat="1" ht="14.25" spans="1:13">
      <c r="A351" s="2">
        <v>2832</v>
      </c>
      <c r="B351" s="6" t="s">
        <v>6075</v>
      </c>
      <c r="C351" s="25" t="s">
        <v>6191</v>
      </c>
      <c r="D351" s="26" t="s">
        <v>6192</v>
      </c>
      <c r="E351" s="5" t="s">
        <v>15</v>
      </c>
      <c r="F351" s="5">
        <v>2020</v>
      </c>
      <c r="G351" s="6" t="s">
        <v>16</v>
      </c>
      <c r="H351" s="6">
        <v>200</v>
      </c>
      <c r="I351" s="6">
        <v>200</v>
      </c>
      <c r="J351" s="6"/>
      <c r="K351" s="10"/>
      <c r="L351" s="10">
        <v>20201118</v>
      </c>
      <c r="M351" s="36" t="str">
        <f t="shared" si="5"/>
        <v>19620315</v>
      </c>
    </row>
    <row r="352" s="1" customFormat="1" spans="1:13">
      <c r="A352" s="2">
        <v>5190</v>
      </c>
      <c r="B352" s="6" t="s">
        <v>10242</v>
      </c>
      <c r="C352" s="9" t="s">
        <v>10502</v>
      </c>
      <c r="D352" s="61" t="s">
        <v>10503</v>
      </c>
      <c r="E352" s="5" t="s">
        <v>10250</v>
      </c>
      <c r="F352" s="5">
        <v>2020</v>
      </c>
      <c r="G352" s="6" t="s">
        <v>16</v>
      </c>
      <c r="H352" s="6">
        <v>200</v>
      </c>
      <c r="I352" s="6">
        <v>200</v>
      </c>
      <c r="J352" s="6" t="s">
        <v>108</v>
      </c>
      <c r="K352" s="5"/>
      <c r="L352" s="10">
        <v>20201118</v>
      </c>
      <c r="M352" s="36" t="str">
        <f t="shared" si="5"/>
        <v>19620315</v>
      </c>
    </row>
    <row r="353" s="1" customFormat="1" spans="1:13">
      <c r="A353" s="2">
        <v>8068</v>
      </c>
      <c r="B353" s="5" t="s">
        <v>15086</v>
      </c>
      <c r="C353" s="6" t="s">
        <v>15348</v>
      </c>
      <c r="D353" s="6" t="str">
        <f>"152326196203156884"</f>
        <v>152326196203156884</v>
      </c>
      <c r="E353" s="5" t="s">
        <v>15</v>
      </c>
      <c r="F353" s="5">
        <v>2020</v>
      </c>
      <c r="G353" s="5" t="s">
        <v>16</v>
      </c>
      <c r="H353" s="5">
        <v>200</v>
      </c>
      <c r="I353" s="5">
        <v>200</v>
      </c>
      <c r="J353" s="5"/>
      <c r="K353" s="5"/>
      <c r="L353" s="10">
        <v>20201118</v>
      </c>
      <c r="M353" s="36" t="str">
        <f t="shared" si="5"/>
        <v>19620315</v>
      </c>
    </row>
    <row r="354" s="1" customFormat="1" spans="1:13">
      <c r="A354" s="2">
        <v>4161</v>
      </c>
      <c r="B354" s="9" t="s">
        <v>8515</v>
      </c>
      <c r="C354" s="9" t="s">
        <v>8529</v>
      </c>
      <c r="D354" s="9" t="s">
        <v>8530</v>
      </c>
      <c r="E354" s="5" t="s">
        <v>15</v>
      </c>
      <c r="F354" s="5">
        <v>2020</v>
      </c>
      <c r="G354" s="9" t="s">
        <v>2480</v>
      </c>
      <c r="H354" s="9">
        <v>200</v>
      </c>
      <c r="I354" s="9">
        <v>200</v>
      </c>
      <c r="J354" s="9" t="s">
        <v>1242</v>
      </c>
      <c r="K354" s="9"/>
      <c r="L354" s="10">
        <v>20201118</v>
      </c>
      <c r="M354" s="36" t="str">
        <f t="shared" si="5"/>
        <v>19620316</v>
      </c>
    </row>
    <row r="355" s="1" customFormat="1" spans="1:13">
      <c r="A355" s="2">
        <v>4162</v>
      </c>
      <c r="B355" s="9" t="s">
        <v>8515</v>
      </c>
      <c r="C355" s="9" t="s">
        <v>8531</v>
      </c>
      <c r="D355" s="9" t="s">
        <v>8532</v>
      </c>
      <c r="E355" s="5" t="s">
        <v>15</v>
      </c>
      <c r="F355" s="5">
        <v>2020</v>
      </c>
      <c r="G355" s="9" t="s">
        <v>2480</v>
      </c>
      <c r="H355" s="9">
        <v>200</v>
      </c>
      <c r="I355" s="9">
        <v>200</v>
      </c>
      <c r="J355" s="9" t="s">
        <v>1242</v>
      </c>
      <c r="K355" s="9"/>
      <c r="L355" s="10">
        <v>20201118</v>
      </c>
      <c r="M355" s="36" t="str">
        <f t="shared" si="5"/>
        <v>19620316</v>
      </c>
    </row>
    <row r="356" s="1" customFormat="1" spans="1:13">
      <c r="A356" s="2">
        <v>7212</v>
      </c>
      <c r="B356" s="5" t="s">
        <v>13908</v>
      </c>
      <c r="C356" s="5" t="s">
        <v>6813</v>
      </c>
      <c r="D356" s="5" t="s">
        <v>14072</v>
      </c>
      <c r="E356" s="5" t="s">
        <v>15</v>
      </c>
      <c r="F356" s="5" t="s">
        <v>15</v>
      </c>
      <c r="G356" s="14" t="s">
        <v>16</v>
      </c>
      <c r="H356" s="17">
        <v>200</v>
      </c>
      <c r="I356" s="17">
        <v>200</v>
      </c>
      <c r="J356" s="5"/>
      <c r="K356" s="10"/>
      <c r="L356" s="10">
        <v>20201118</v>
      </c>
      <c r="M356" s="36" t="str">
        <f t="shared" si="5"/>
        <v>19620316</v>
      </c>
    </row>
    <row r="357" s="1" customFormat="1" spans="1:13">
      <c r="A357" s="2">
        <v>7061</v>
      </c>
      <c r="B357" s="5" t="s">
        <v>13533</v>
      </c>
      <c r="C357" s="32" t="s">
        <v>13806</v>
      </c>
      <c r="D357" s="32" t="str">
        <f>"152326196203177116"</f>
        <v>152326196203177116</v>
      </c>
      <c r="E357" s="5">
        <v>2020</v>
      </c>
      <c r="F357" s="5">
        <v>2020</v>
      </c>
      <c r="G357" s="9" t="s">
        <v>2480</v>
      </c>
      <c r="H357" s="32">
        <v>200</v>
      </c>
      <c r="I357" s="32">
        <v>200</v>
      </c>
      <c r="J357" s="32"/>
      <c r="K357" s="10"/>
      <c r="L357" s="10">
        <v>20201118</v>
      </c>
      <c r="M357" s="36" t="str">
        <f t="shared" si="5"/>
        <v>19620317</v>
      </c>
    </row>
    <row r="358" s="1" customFormat="1" spans="1:13">
      <c r="A358" s="2">
        <v>160</v>
      </c>
      <c r="B358" s="14" t="s">
        <v>327</v>
      </c>
      <c r="C358" s="14" t="s">
        <v>368</v>
      </c>
      <c r="D358" s="14" t="s">
        <v>369</v>
      </c>
      <c r="E358" s="5">
        <v>2020</v>
      </c>
      <c r="F358" s="5">
        <v>2020</v>
      </c>
      <c r="G358" s="14" t="s">
        <v>16</v>
      </c>
      <c r="H358" s="14">
        <v>200</v>
      </c>
      <c r="I358" s="14">
        <v>200</v>
      </c>
      <c r="J358" s="14"/>
      <c r="K358" s="10"/>
      <c r="L358" s="14" t="s">
        <v>330</v>
      </c>
      <c r="M358" s="36" t="str">
        <f t="shared" si="5"/>
        <v>19620318</v>
      </c>
    </row>
    <row r="359" s="1" customFormat="1" spans="1:13">
      <c r="A359" s="2">
        <v>3604</v>
      </c>
      <c r="B359" s="5" t="s">
        <v>7412</v>
      </c>
      <c r="C359" s="5" t="s">
        <v>7475</v>
      </c>
      <c r="D359" s="5" t="s">
        <v>7476</v>
      </c>
      <c r="E359" s="6">
        <v>2020</v>
      </c>
      <c r="F359" s="6">
        <v>2020</v>
      </c>
      <c r="G359" s="5" t="s">
        <v>3359</v>
      </c>
      <c r="H359" s="5">
        <v>200</v>
      </c>
      <c r="I359" s="5">
        <v>200</v>
      </c>
      <c r="J359" s="5"/>
      <c r="K359" s="5"/>
      <c r="L359" s="10">
        <v>20201118</v>
      </c>
      <c r="M359" s="36" t="str">
        <f t="shared" si="5"/>
        <v>19620320</v>
      </c>
    </row>
    <row r="360" s="1" customFormat="1" spans="1:13">
      <c r="A360" s="2">
        <v>7053</v>
      </c>
      <c r="B360" s="5" t="s">
        <v>13533</v>
      </c>
      <c r="C360" s="32" t="s">
        <v>4069</v>
      </c>
      <c r="D360" s="32" t="str">
        <f>"152326196203207127"</f>
        <v>152326196203207127</v>
      </c>
      <c r="E360" s="5">
        <v>2020</v>
      </c>
      <c r="F360" s="5">
        <v>2020</v>
      </c>
      <c r="G360" s="9" t="s">
        <v>2480</v>
      </c>
      <c r="H360" s="32">
        <v>200</v>
      </c>
      <c r="I360" s="32">
        <v>200</v>
      </c>
      <c r="J360" s="32"/>
      <c r="K360" s="10"/>
      <c r="L360" s="10">
        <v>20201118</v>
      </c>
      <c r="M360" s="36" t="str">
        <f t="shared" si="5"/>
        <v>19620320</v>
      </c>
    </row>
    <row r="361" s="1" customFormat="1" spans="1:13">
      <c r="A361" s="2">
        <v>5530</v>
      </c>
      <c r="B361" s="30" t="s">
        <v>11090</v>
      </c>
      <c r="C361" s="30" t="s">
        <v>11157</v>
      </c>
      <c r="D361" s="30" t="s">
        <v>11158</v>
      </c>
      <c r="E361" s="5" t="s">
        <v>15</v>
      </c>
      <c r="F361" s="5" t="s">
        <v>10250</v>
      </c>
      <c r="G361" s="6" t="s">
        <v>16</v>
      </c>
      <c r="H361" s="32">
        <v>200</v>
      </c>
      <c r="I361" s="32">
        <v>200</v>
      </c>
      <c r="J361" s="6"/>
      <c r="K361" s="48"/>
      <c r="L361" s="10">
        <v>20201118</v>
      </c>
      <c r="M361" s="36" t="str">
        <f t="shared" si="5"/>
        <v>19620321</v>
      </c>
    </row>
    <row r="362" s="1" customFormat="1" spans="1:13">
      <c r="A362" s="2">
        <v>4510</v>
      </c>
      <c r="B362" s="6" t="s">
        <v>9015</v>
      </c>
      <c r="C362" s="6" t="s">
        <v>9202</v>
      </c>
      <c r="D362" s="6" t="s">
        <v>9203</v>
      </c>
      <c r="E362" s="6">
        <v>2020</v>
      </c>
      <c r="F362" s="6">
        <v>2020</v>
      </c>
      <c r="G362" s="6" t="s">
        <v>16</v>
      </c>
      <c r="H362" s="6">
        <v>200</v>
      </c>
      <c r="I362" s="6">
        <v>200</v>
      </c>
      <c r="J362" s="6" t="s">
        <v>108</v>
      </c>
      <c r="K362" s="6"/>
      <c r="L362" s="10">
        <v>20201118</v>
      </c>
      <c r="M362" s="36" t="str">
        <f t="shared" si="5"/>
        <v>19620326</v>
      </c>
    </row>
    <row r="363" s="1" customFormat="1" spans="1:13">
      <c r="A363" s="2">
        <v>1839</v>
      </c>
      <c r="B363" s="5" t="s">
        <v>4189</v>
      </c>
      <c r="C363" s="16" t="s">
        <v>4243</v>
      </c>
      <c r="D363" s="16" t="s">
        <v>4244</v>
      </c>
      <c r="E363" s="5" t="s">
        <v>15</v>
      </c>
      <c r="F363" s="5" t="s">
        <v>15</v>
      </c>
      <c r="G363" s="5" t="s">
        <v>3359</v>
      </c>
      <c r="H363" s="16">
        <v>200</v>
      </c>
      <c r="I363" s="16">
        <v>200</v>
      </c>
      <c r="J363" s="5"/>
      <c r="K363" s="10"/>
      <c r="L363" s="10">
        <v>20201118</v>
      </c>
      <c r="M363" s="36" t="str">
        <f t="shared" si="5"/>
        <v>19620327</v>
      </c>
    </row>
    <row r="364" s="1" customFormat="1" ht="14.25" spans="1:13">
      <c r="A364" s="2">
        <v>2823</v>
      </c>
      <c r="B364" s="6" t="s">
        <v>6075</v>
      </c>
      <c r="C364" s="25" t="s">
        <v>6173</v>
      </c>
      <c r="D364" s="26" t="s">
        <v>6174</v>
      </c>
      <c r="E364" s="5" t="s">
        <v>15</v>
      </c>
      <c r="F364" s="5">
        <v>2020</v>
      </c>
      <c r="G364" s="6" t="s">
        <v>16</v>
      </c>
      <c r="H364" s="6">
        <v>200</v>
      </c>
      <c r="I364" s="6">
        <v>200</v>
      </c>
      <c r="J364" s="6"/>
      <c r="K364" s="10"/>
      <c r="L364" s="10">
        <v>20201118</v>
      </c>
      <c r="M364" s="36" t="str">
        <f t="shared" si="5"/>
        <v>19620401</v>
      </c>
    </row>
    <row r="365" s="1" customFormat="1" spans="1:13">
      <c r="A365" s="2">
        <v>3502</v>
      </c>
      <c r="B365" s="5" t="s">
        <v>3375</v>
      </c>
      <c r="C365" s="6" t="s">
        <v>7291</v>
      </c>
      <c r="D365" s="6" t="str">
        <f>"152326196204016867"</f>
        <v>152326196204016867</v>
      </c>
      <c r="E365" s="5" t="s">
        <v>15</v>
      </c>
      <c r="F365" s="5">
        <v>2020</v>
      </c>
      <c r="G365" s="14" t="s">
        <v>16</v>
      </c>
      <c r="H365" s="17">
        <v>200</v>
      </c>
      <c r="I365" s="17">
        <v>200</v>
      </c>
      <c r="J365" s="6"/>
      <c r="K365" s="10"/>
      <c r="L365" s="10">
        <v>20201118</v>
      </c>
      <c r="M365" s="36" t="str">
        <f t="shared" si="5"/>
        <v>19620401</v>
      </c>
    </row>
    <row r="366" s="1" customFormat="1" spans="1:13">
      <c r="A366" s="2">
        <v>1841</v>
      </c>
      <c r="B366" s="5" t="s">
        <v>4189</v>
      </c>
      <c r="C366" s="16" t="s">
        <v>4247</v>
      </c>
      <c r="D366" s="16" t="s">
        <v>4248</v>
      </c>
      <c r="E366" s="5" t="s">
        <v>15</v>
      </c>
      <c r="F366" s="5" t="s">
        <v>15</v>
      </c>
      <c r="G366" s="5" t="s">
        <v>3359</v>
      </c>
      <c r="H366" s="16">
        <v>200</v>
      </c>
      <c r="I366" s="16">
        <v>200</v>
      </c>
      <c r="J366" s="5"/>
      <c r="K366" s="10"/>
      <c r="L366" s="10">
        <v>20201118</v>
      </c>
      <c r="M366" s="36" t="str">
        <f t="shared" si="5"/>
        <v>19620402</v>
      </c>
    </row>
    <row r="367" s="1" customFormat="1" ht="14.25" spans="1:13">
      <c r="A367" s="2">
        <v>2917</v>
      </c>
      <c r="B367" s="6" t="s">
        <v>6075</v>
      </c>
      <c r="C367" s="25" t="s">
        <v>6362</v>
      </c>
      <c r="D367" s="26" t="s">
        <v>6363</v>
      </c>
      <c r="E367" s="5" t="s">
        <v>15</v>
      </c>
      <c r="F367" s="5">
        <v>2020</v>
      </c>
      <c r="G367" s="6" t="s">
        <v>16</v>
      </c>
      <c r="H367" s="6">
        <v>200</v>
      </c>
      <c r="I367" s="6">
        <v>200</v>
      </c>
      <c r="J367" s="6"/>
      <c r="K367" s="10"/>
      <c r="L367" s="10">
        <v>20201118</v>
      </c>
      <c r="M367" s="36" t="str">
        <f t="shared" si="5"/>
        <v>19620402</v>
      </c>
    </row>
    <row r="368" s="1" customFormat="1" spans="1:13">
      <c r="A368" s="2">
        <v>6147</v>
      </c>
      <c r="B368" s="5" t="s">
        <v>12263</v>
      </c>
      <c r="C368" s="5" t="s">
        <v>12328</v>
      </c>
      <c r="D368" s="5" t="s">
        <v>12329</v>
      </c>
      <c r="E368" s="5" t="s">
        <v>10250</v>
      </c>
      <c r="F368" s="5">
        <v>2020</v>
      </c>
      <c r="G368" s="17" t="s">
        <v>3359</v>
      </c>
      <c r="H368" s="5">
        <v>200</v>
      </c>
      <c r="I368" s="5">
        <v>200</v>
      </c>
      <c r="J368" s="5"/>
      <c r="K368" s="5"/>
      <c r="L368" s="10">
        <v>20201118</v>
      </c>
      <c r="M368" s="36" t="str">
        <f t="shared" si="5"/>
        <v>19620402</v>
      </c>
    </row>
    <row r="369" s="1" customFormat="1" spans="1:13">
      <c r="A369" s="2">
        <v>352</v>
      </c>
      <c r="B369" s="14" t="s">
        <v>327</v>
      </c>
      <c r="C369" s="17" t="s">
        <v>943</v>
      </c>
      <c r="D369" s="306" t="s">
        <v>944</v>
      </c>
      <c r="E369" s="5">
        <v>2020</v>
      </c>
      <c r="F369" s="5">
        <v>2020</v>
      </c>
      <c r="G369" s="14" t="s">
        <v>16</v>
      </c>
      <c r="H369" s="17">
        <v>200</v>
      </c>
      <c r="I369" s="17">
        <v>200</v>
      </c>
      <c r="J369" s="17"/>
      <c r="K369" s="10"/>
      <c r="L369" s="14" t="s">
        <v>330</v>
      </c>
      <c r="M369" s="36" t="str">
        <f t="shared" si="5"/>
        <v>19620404</v>
      </c>
    </row>
    <row r="370" s="1" customFormat="1" ht="14.25" spans="1:13">
      <c r="A370" s="2">
        <v>5225</v>
      </c>
      <c r="B370" s="33" t="s">
        <v>10535</v>
      </c>
      <c r="C370" s="34" t="s">
        <v>10570</v>
      </c>
      <c r="D370" s="34" t="s">
        <v>10571</v>
      </c>
      <c r="E370" s="35">
        <v>2020</v>
      </c>
      <c r="F370" s="35">
        <v>2020</v>
      </c>
      <c r="G370" s="35" t="s">
        <v>16</v>
      </c>
      <c r="H370" s="34">
        <v>200</v>
      </c>
      <c r="I370" s="34">
        <v>200</v>
      </c>
      <c r="J370" s="49"/>
      <c r="K370" s="10"/>
      <c r="L370" s="10">
        <v>20201118</v>
      </c>
      <c r="M370" s="36" t="str">
        <f t="shared" si="5"/>
        <v>19620404</v>
      </c>
    </row>
    <row r="371" s="1" customFormat="1" ht="14.25" spans="1:13">
      <c r="A371" s="2">
        <v>5226</v>
      </c>
      <c r="B371" s="33" t="s">
        <v>10535</v>
      </c>
      <c r="C371" s="34" t="s">
        <v>7644</v>
      </c>
      <c r="D371" s="34" t="s">
        <v>10572</v>
      </c>
      <c r="E371" s="35">
        <v>2020</v>
      </c>
      <c r="F371" s="35">
        <v>2020</v>
      </c>
      <c r="G371" s="35" t="s">
        <v>16</v>
      </c>
      <c r="H371" s="34">
        <v>1000</v>
      </c>
      <c r="I371" s="34">
        <v>1000</v>
      </c>
      <c r="J371" s="49"/>
      <c r="K371" s="10"/>
      <c r="L371" s="10">
        <v>20201118</v>
      </c>
      <c r="M371" s="36" t="str">
        <f t="shared" si="5"/>
        <v>19620405</v>
      </c>
    </row>
    <row r="372" s="1" customFormat="1" spans="1:13">
      <c r="A372" s="2">
        <v>7591</v>
      </c>
      <c r="B372" s="5" t="s">
        <v>14402</v>
      </c>
      <c r="C372" s="5" t="s">
        <v>14781</v>
      </c>
      <c r="D372" s="5" t="s">
        <v>14782</v>
      </c>
      <c r="E372" s="5">
        <v>2020</v>
      </c>
      <c r="F372" s="5">
        <v>2020</v>
      </c>
      <c r="G372" s="17" t="s">
        <v>16</v>
      </c>
      <c r="H372" s="5">
        <v>200</v>
      </c>
      <c r="I372" s="5">
        <v>200</v>
      </c>
      <c r="J372" s="5"/>
      <c r="K372" s="10"/>
      <c r="L372" s="10">
        <v>20201118</v>
      </c>
      <c r="M372" s="36" t="str">
        <f t="shared" si="5"/>
        <v>19620405</v>
      </c>
    </row>
    <row r="373" s="1" customFormat="1" spans="1:13">
      <c r="A373" s="2">
        <v>365</v>
      </c>
      <c r="B373" s="14" t="s">
        <v>327</v>
      </c>
      <c r="C373" s="17" t="s">
        <v>982</v>
      </c>
      <c r="D373" s="306" t="s">
        <v>983</v>
      </c>
      <c r="E373" s="5">
        <v>2020</v>
      </c>
      <c r="F373" s="5">
        <v>2020</v>
      </c>
      <c r="G373" s="14" t="s">
        <v>16</v>
      </c>
      <c r="H373" s="17">
        <v>200</v>
      </c>
      <c r="I373" s="17">
        <v>200</v>
      </c>
      <c r="J373" s="17"/>
      <c r="K373" s="10"/>
      <c r="L373" s="2" t="s">
        <v>330</v>
      </c>
      <c r="M373" s="36" t="str">
        <f t="shared" si="5"/>
        <v>19620407</v>
      </c>
    </row>
    <row r="374" s="1" customFormat="1" spans="1:13">
      <c r="A374" s="2">
        <v>2545</v>
      </c>
      <c r="B374" s="32" t="s">
        <v>5602</v>
      </c>
      <c r="C374" s="9" t="s">
        <v>5628</v>
      </c>
      <c r="D374" s="9" t="s">
        <v>5629</v>
      </c>
      <c r="E374" s="32">
        <v>2020</v>
      </c>
      <c r="F374" s="32">
        <v>2020</v>
      </c>
      <c r="G374" s="32" t="s">
        <v>16</v>
      </c>
      <c r="H374" s="9">
        <v>500</v>
      </c>
      <c r="I374" s="9">
        <v>500</v>
      </c>
      <c r="J374" s="32"/>
      <c r="K374" s="52"/>
      <c r="L374" s="10">
        <v>20201118</v>
      </c>
      <c r="M374" s="36" t="str">
        <f t="shared" si="5"/>
        <v>19620407</v>
      </c>
    </row>
    <row r="375" s="1" customFormat="1" spans="1:13">
      <c r="A375" s="2">
        <v>4163</v>
      </c>
      <c r="B375" s="9" t="s">
        <v>8515</v>
      </c>
      <c r="C375" s="9" t="s">
        <v>8533</v>
      </c>
      <c r="D375" s="9" t="s">
        <v>8534</v>
      </c>
      <c r="E375" s="5" t="s">
        <v>15</v>
      </c>
      <c r="F375" s="5">
        <v>2020</v>
      </c>
      <c r="G375" s="9" t="s">
        <v>2480</v>
      </c>
      <c r="H375" s="9">
        <v>200</v>
      </c>
      <c r="I375" s="9">
        <v>200</v>
      </c>
      <c r="J375" s="9"/>
      <c r="K375" s="9"/>
      <c r="L375" s="10">
        <v>20201118</v>
      </c>
      <c r="M375" s="36" t="str">
        <f t="shared" si="5"/>
        <v>19620408</v>
      </c>
    </row>
    <row r="376" s="1" customFormat="1" spans="1:13">
      <c r="A376" s="2">
        <v>7054</v>
      </c>
      <c r="B376" s="5" t="s">
        <v>13533</v>
      </c>
      <c r="C376" s="32" t="s">
        <v>13799</v>
      </c>
      <c r="D376" s="32" t="str">
        <f>"152326196204087163"</f>
        <v>152326196204087163</v>
      </c>
      <c r="E376" s="5">
        <v>2020</v>
      </c>
      <c r="F376" s="5">
        <v>2020</v>
      </c>
      <c r="G376" s="9" t="s">
        <v>2480</v>
      </c>
      <c r="H376" s="32">
        <v>200</v>
      </c>
      <c r="I376" s="32">
        <v>200</v>
      </c>
      <c r="J376" s="32"/>
      <c r="K376" s="10"/>
      <c r="L376" s="10">
        <v>20201118</v>
      </c>
      <c r="M376" s="36" t="str">
        <f t="shared" si="5"/>
        <v>19620408</v>
      </c>
    </row>
    <row r="377" s="1" customFormat="1" spans="1:13">
      <c r="A377" s="2">
        <v>5079</v>
      </c>
      <c r="B377" s="6" t="s">
        <v>10242</v>
      </c>
      <c r="C377" s="9" t="s">
        <v>10291</v>
      </c>
      <c r="D377" s="9" t="s">
        <v>10292</v>
      </c>
      <c r="E377" s="5" t="s">
        <v>10250</v>
      </c>
      <c r="F377" s="5">
        <v>2020</v>
      </c>
      <c r="G377" s="6" t="s">
        <v>16</v>
      </c>
      <c r="H377" s="6">
        <v>200</v>
      </c>
      <c r="I377" s="6">
        <v>200</v>
      </c>
      <c r="J377" s="6"/>
      <c r="K377" s="5"/>
      <c r="L377" s="10">
        <v>20201118</v>
      </c>
      <c r="M377" s="36" t="str">
        <f t="shared" si="5"/>
        <v>19620409</v>
      </c>
    </row>
    <row r="378" s="1" customFormat="1" spans="1:13">
      <c r="A378" s="2">
        <v>8059</v>
      </c>
      <c r="B378" s="5" t="s">
        <v>15086</v>
      </c>
      <c r="C378" s="6" t="s">
        <v>15340</v>
      </c>
      <c r="D378" s="6" t="str">
        <f>"152326196204126863"</f>
        <v>152326196204126863</v>
      </c>
      <c r="E378" s="5" t="s">
        <v>15</v>
      </c>
      <c r="F378" s="5">
        <v>2020</v>
      </c>
      <c r="G378" s="5" t="s">
        <v>16</v>
      </c>
      <c r="H378" s="5">
        <v>200</v>
      </c>
      <c r="I378" s="5">
        <v>200</v>
      </c>
      <c r="J378" s="5"/>
      <c r="K378" s="5"/>
      <c r="L378" s="10">
        <v>20201118</v>
      </c>
      <c r="M378" s="36" t="str">
        <f t="shared" si="5"/>
        <v>19620412</v>
      </c>
    </row>
    <row r="379" s="1" customFormat="1" spans="1:13">
      <c r="A379" s="2">
        <v>1842</v>
      </c>
      <c r="B379" s="5" t="s">
        <v>4189</v>
      </c>
      <c r="C379" s="16" t="s">
        <v>4249</v>
      </c>
      <c r="D379" s="16" t="s">
        <v>4250</v>
      </c>
      <c r="E379" s="5" t="s">
        <v>15</v>
      </c>
      <c r="F379" s="5" t="s">
        <v>15</v>
      </c>
      <c r="G379" s="5" t="s">
        <v>3359</v>
      </c>
      <c r="H379" s="16">
        <v>200</v>
      </c>
      <c r="I379" s="16">
        <v>200</v>
      </c>
      <c r="J379" s="5"/>
      <c r="K379" s="10"/>
      <c r="L379" s="10">
        <v>20201118</v>
      </c>
      <c r="M379" s="36" t="str">
        <f t="shared" si="5"/>
        <v>19620413</v>
      </c>
    </row>
    <row r="380" s="1" customFormat="1" spans="1:13">
      <c r="A380" s="2">
        <v>4612</v>
      </c>
      <c r="B380" s="6" t="s">
        <v>9015</v>
      </c>
      <c r="C380" s="6" t="s">
        <v>9394</v>
      </c>
      <c r="D380" s="6" t="s">
        <v>9395</v>
      </c>
      <c r="E380" s="6">
        <v>2020</v>
      </c>
      <c r="F380" s="6">
        <v>2020</v>
      </c>
      <c r="G380" s="6" t="s">
        <v>16</v>
      </c>
      <c r="H380" s="6">
        <v>200</v>
      </c>
      <c r="I380" s="6">
        <v>200</v>
      </c>
      <c r="J380" s="6"/>
      <c r="K380" s="6"/>
      <c r="L380" s="10">
        <v>20201118</v>
      </c>
      <c r="M380" s="36" t="str">
        <f t="shared" si="5"/>
        <v>19620413</v>
      </c>
    </row>
    <row r="381" s="1" customFormat="1" spans="1:13">
      <c r="A381" s="2">
        <v>4750</v>
      </c>
      <c r="B381" s="6" t="s">
        <v>9015</v>
      </c>
      <c r="C381" s="6" t="s">
        <v>2401</v>
      </c>
      <c r="D381" s="6" t="s">
        <v>9656</v>
      </c>
      <c r="E381" s="6">
        <v>2020</v>
      </c>
      <c r="F381" s="6">
        <v>2020</v>
      </c>
      <c r="G381" s="6" t="s">
        <v>16</v>
      </c>
      <c r="H381" s="6">
        <v>200</v>
      </c>
      <c r="I381" s="6">
        <v>200</v>
      </c>
      <c r="J381" s="6"/>
      <c r="K381" s="6"/>
      <c r="L381" s="10">
        <v>20201118</v>
      </c>
      <c r="M381" s="36" t="str">
        <f t="shared" si="5"/>
        <v>19620414</v>
      </c>
    </row>
    <row r="382" s="1" customFormat="1" spans="1:13">
      <c r="A382" s="2">
        <v>8081</v>
      </c>
      <c r="B382" s="5" t="s">
        <v>15086</v>
      </c>
      <c r="C382" s="6" t="s">
        <v>15361</v>
      </c>
      <c r="D382" s="6" t="s">
        <v>15362</v>
      </c>
      <c r="E382" s="5" t="s">
        <v>15</v>
      </c>
      <c r="F382" s="5">
        <v>2020</v>
      </c>
      <c r="G382" s="5" t="s">
        <v>16</v>
      </c>
      <c r="H382" s="5">
        <v>200</v>
      </c>
      <c r="I382" s="5">
        <v>200</v>
      </c>
      <c r="J382" s="5"/>
      <c r="K382" s="5"/>
      <c r="L382" s="10">
        <v>20201118</v>
      </c>
      <c r="M382" s="36" t="str">
        <f t="shared" si="5"/>
        <v>19620415</v>
      </c>
    </row>
    <row r="383" s="1" customFormat="1" spans="1:13">
      <c r="A383" s="2">
        <v>2</v>
      </c>
      <c r="B383" s="2" t="s">
        <v>12</v>
      </c>
      <c r="C383" s="2" t="s">
        <v>17</v>
      </c>
      <c r="D383" s="2" t="s">
        <v>18</v>
      </c>
      <c r="E383" s="3" t="s">
        <v>15</v>
      </c>
      <c r="F383" s="3" t="s">
        <v>15</v>
      </c>
      <c r="G383" s="2" t="s">
        <v>16</v>
      </c>
      <c r="H383" s="2">
        <v>500</v>
      </c>
      <c r="I383" s="2">
        <v>500</v>
      </c>
      <c r="J383" s="2"/>
      <c r="K383" s="2"/>
      <c r="L383" s="10">
        <v>20201118</v>
      </c>
      <c r="M383" s="36" t="str">
        <f t="shared" si="5"/>
        <v>19620416</v>
      </c>
    </row>
    <row r="384" s="1" customFormat="1" spans="1:13">
      <c r="A384" s="2">
        <v>1782</v>
      </c>
      <c r="B384" s="5" t="s">
        <v>3381</v>
      </c>
      <c r="C384" s="9" t="s">
        <v>4126</v>
      </c>
      <c r="D384" s="9" t="s">
        <v>4127</v>
      </c>
      <c r="E384" s="5">
        <v>2011</v>
      </c>
      <c r="F384" s="5">
        <v>2020</v>
      </c>
      <c r="G384" s="14" t="s">
        <v>289</v>
      </c>
      <c r="H384" s="18">
        <v>200</v>
      </c>
      <c r="I384" s="6">
        <v>2000</v>
      </c>
      <c r="J384" s="5"/>
      <c r="K384" s="13"/>
      <c r="L384" s="10">
        <v>20201118</v>
      </c>
      <c r="M384" s="36" t="str">
        <f t="shared" si="5"/>
        <v>19620416</v>
      </c>
    </row>
    <row r="385" s="1" customFormat="1" spans="1:13">
      <c r="A385" s="2">
        <v>5838</v>
      </c>
      <c r="B385" s="30" t="s">
        <v>11090</v>
      </c>
      <c r="C385" s="30" t="s">
        <v>11742</v>
      </c>
      <c r="D385" s="30" t="s">
        <v>11743</v>
      </c>
      <c r="E385" s="5" t="s">
        <v>15</v>
      </c>
      <c r="F385" s="5" t="s">
        <v>10250</v>
      </c>
      <c r="G385" s="6" t="s">
        <v>16</v>
      </c>
      <c r="H385" s="32">
        <v>200</v>
      </c>
      <c r="I385" s="32">
        <v>200</v>
      </c>
      <c r="J385" s="6" t="s">
        <v>108</v>
      </c>
      <c r="K385" s="48"/>
      <c r="L385" s="10">
        <v>20201118</v>
      </c>
      <c r="M385" s="36" t="str">
        <f t="shared" si="5"/>
        <v>19620416</v>
      </c>
    </row>
    <row r="386" s="1" customFormat="1" spans="1:13">
      <c r="A386" s="2">
        <v>417</v>
      </c>
      <c r="B386" s="29" t="s">
        <v>1040</v>
      </c>
      <c r="C386" s="29" t="s">
        <v>1110</v>
      </c>
      <c r="D386" s="29" t="s">
        <v>1111</v>
      </c>
      <c r="E386" s="30">
        <v>2020</v>
      </c>
      <c r="F386" s="30">
        <v>2020</v>
      </c>
      <c r="G386" s="29" t="s">
        <v>16</v>
      </c>
      <c r="H386" s="29">
        <v>200</v>
      </c>
      <c r="I386" s="29">
        <v>200</v>
      </c>
      <c r="J386" s="29"/>
      <c r="K386" s="47"/>
      <c r="L386" s="14" t="s">
        <v>330</v>
      </c>
      <c r="M386" s="36" t="str">
        <f t="shared" ref="M386:M449" si="6">MID(D386,7,8)</f>
        <v>19620417</v>
      </c>
    </row>
    <row r="387" s="1" customFormat="1" spans="1:13">
      <c r="A387" s="2">
        <v>7594</v>
      </c>
      <c r="B387" s="62" t="s">
        <v>14402</v>
      </c>
      <c r="C387" s="62" t="s">
        <v>14787</v>
      </c>
      <c r="D387" s="62" t="s">
        <v>14788</v>
      </c>
      <c r="E387" s="62">
        <v>2020</v>
      </c>
      <c r="F387" s="62">
        <v>2020</v>
      </c>
      <c r="G387" s="3" t="s">
        <v>16</v>
      </c>
      <c r="H387" s="62">
        <v>200</v>
      </c>
      <c r="I387" s="62">
        <v>200</v>
      </c>
      <c r="J387" s="62"/>
      <c r="K387" s="10"/>
      <c r="L387" s="10">
        <v>20201118</v>
      </c>
      <c r="M387" s="36" t="str">
        <f t="shared" si="6"/>
        <v>19620421</v>
      </c>
    </row>
    <row r="388" s="1" customFormat="1" spans="1:13">
      <c r="A388" s="2">
        <v>255</v>
      </c>
      <c r="B388" s="14" t="s">
        <v>327</v>
      </c>
      <c r="C388" s="17" t="s">
        <v>651</v>
      </c>
      <c r="D388" s="17" t="s">
        <v>652</v>
      </c>
      <c r="E388" s="5">
        <v>2020</v>
      </c>
      <c r="F388" s="5">
        <v>2020</v>
      </c>
      <c r="G388" s="14" t="s">
        <v>16</v>
      </c>
      <c r="H388" s="14">
        <v>200</v>
      </c>
      <c r="I388" s="14">
        <v>200</v>
      </c>
      <c r="J388" s="17"/>
      <c r="K388" s="10"/>
      <c r="L388" s="2" t="s">
        <v>330</v>
      </c>
      <c r="M388" s="36" t="str">
        <f t="shared" si="6"/>
        <v>19620423</v>
      </c>
    </row>
    <row r="389" s="1" customFormat="1" spans="1:13">
      <c r="A389" s="2">
        <v>1427</v>
      </c>
      <c r="B389" s="5" t="s">
        <v>3381</v>
      </c>
      <c r="C389" s="9" t="s">
        <v>3424</v>
      </c>
      <c r="D389" s="9" t="s">
        <v>3425</v>
      </c>
      <c r="E389" s="5">
        <v>2020</v>
      </c>
      <c r="F389" s="5">
        <v>2020</v>
      </c>
      <c r="G389" s="14" t="s">
        <v>16</v>
      </c>
      <c r="H389" s="6">
        <v>200</v>
      </c>
      <c r="I389" s="6">
        <v>200</v>
      </c>
      <c r="J389" s="5"/>
      <c r="K389" s="13"/>
      <c r="L389" s="10">
        <v>20201118</v>
      </c>
      <c r="M389" s="36" t="str">
        <f t="shared" si="6"/>
        <v>19620423</v>
      </c>
    </row>
    <row r="390" s="1" customFormat="1" spans="1:13">
      <c r="A390" s="2">
        <v>6200</v>
      </c>
      <c r="B390" s="5" t="s">
        <v>12263</v>
      </c>
      <c r="C390" s="5" t="s">
        <v>12428</v>
      </c>
      <c r="D390" s="5" t="s">
        <v>12429</v>
      </c>
      <c r="E390" s="5" t="s">
        <v>10250</v>
      </c>
      <c r="F390" s="5">
        <v>2020</v>
      </c>
      <c r="G390" s="17" t="s">
        <v>3359</v>
      </c>
      <c r="H390" s="5">
        <v>200</v>
      </c>
      <c r="I390" s="5">
        <v>200</v>
      </c>
      <c r="J390" s="5"/>
      <c r="K390" s="5"/>
      <c r="L390" s="10">
        <v>20201118</v>
      </c>
      <c r="M390" s="36" t="str">
        <f t="shared" si="6"/>
        <v>19620424</v>
      </c>
    </row>
    <row r="391" s="1" customFormat="1" spans="1:13">
      <c r="A391" s="2">
        <v>7267</v>
      </c>
      <c r="B391" s="5" t="s">
        <v>13908</v>
      </c>
      <c r="C391" s="5" t="s">
        <v>14176</v>
      </c>
      <c r="D391" s="5" t="s">
        <v>14177</v>
      </c>
      <c r="E391" s="5" t="s">
        <v>15</v>
      </c>
      <c r="F391" s="5" t="s">
        <v>15</v>
      </c>
      <c r="G391" s="14" t="s">
        <v>16</v>
      </c>
      <c r="H391" s="17">
        <v>200</v>
      </c>
      <c r="I391" s="17">
        <v>200</v>
      </c>
      <c r="J391" s="5"/>
      <c r="K391" s="10"/>
      <c r="L391" s="10">
        <v>20201118</v>
      </c>
      <c r="M391" s="36" t="str">
        <f t="shared" si="6"/>
        <v>19620424</v>
      </c>
    </row>
    <row r="392" s="1" customFormat="1" spans="1:13">
      <c r="A392" s="2">
        <v>3605</v>
      </c>
      <c r="B392" s="5" t="s">
        <v>7412</v>
      </c>
      <c r="C392" s="5" t="s">
        <v>7477</v>
      </c>
      <c r="D392" s="5" t="s">
        <v>7478</v>
      </c>
      <c r="E392" s="6">
        <v>2020</v>
      </c>
      <c r="F392" s="6">
        <v>2020</v>
      </c>
      <c r="G392" s="5" t="s">
        <v>3359</v>
      </c>
      <c r="H392" s="5">
        <v>200</v>
      </c>
      <c r="I392" s="5">
        <v>200</v>
      </c>
      <c r="J392" s="5" t="s">
        <v>1242</v>
      </c>
      <c r="K392" s="5"/>
      <c r="L392" s="10">
        <v>20201118</v>
      </c>
      <c r="M392" s="36" t="str">
        <f t="shared" si="6"/>
        <v>19620425</v>
      </c>
    </row>
    <row r="393" s="1" customFormat="1" spans="1:13">
      <c r="A393" s="2">
        <v>6479</v>
      </c>
      <c r="B393" s="5" t="s">
        <v>12263</v>
      </c>
      <c r="C393" s="5" t="s">
        <v>12961</v>
      </c>
      <c r="D393" s="5" t="s">
        <v>12962</v>
      </c>
      <c r="E393" s="5" t="s">
        <v>310</v>
      </c>
      <c r="F393" s="5">
        <v>2020</v>
      </c>
      <c r="G393" s="5" t="s">
        <v>295</v>
      </c>
      <c r="H393" s="5">
        <v>200</v>
      </c>
      <c r="I393" s="5">
        <v>2000</v>
      </c>
      <c r="J393" s="5"/>
      <c r="K393" s="5"/>
      <c r="L393" s="10">
        <v>20201118</v>
      </c>
      <c r="M393" s="36" t="str">
        <f t="shared" si="6"/>
        <v>19620427</v>
      </c>
    </row>
    <row r="394" s="1" customFormat="1" spans="1:13">
      <c r="A394" s="2">
        <v>6325</v>
      </c>
      <c r="B394" s="5" t="s">
        <v>12263</v>
      </c>
      <c r="C394" s="5" t="s">
        <v>12667</v>
      </c>
      <c r="D394" s="5" t="s">
        <v>12668</v>
      </c>
      <c r="E394" s="5" t="s">
        <v>10250</v>
      </c>
      <c r="F394" s="5">
        <v>2020</v>
      </c>
      <c r="G394" s="17" t="s">
        <v>3359</v>
      </c>
      <c r="H394" s="5" t="s">
        <v>311</v>
      </c>
      <c r="I394" s="5">
        <v>200</v>
      </c>
      <c r="J394" s="5"/>
      <c r="K394" s="5"/>
      <c r="L394" s="10">
        <v>20201118</v>
      </c>
      <c r="M394" s="36" t="str">
        <f t="shared" si="6"/>
        <v>19620501</v>
      </c>
    </row>
    <row r="395" s="1" customFormat="1" spans="1:13">
      <c r="A395" s="2">
        <v>3606</v>
      </c>
      <c r="B395" s="5" t="s">
        <v>7412</v>
      </c>
      <c r="C395" s="5" t="s">
        <v>7479</v>
      </c>
      <c r="D395" s="5" t="s">
        <v>7480</v>
      </c>
      <c r="E395" s="6">
        <v>2020</v>
      </c>
      <c r="F395" s="6">
        <v>2020</v>
      </c>
      <c r="G395" s="5" t="s">
        <v>3359</v>
      </c>
      <c r="H395" s="5">
        <v>200</v>
      </c>
      <c r="I395" s="5">
        <v>200</v>
      </c>
      <c r="J395" s="5"/>
      <c r="K395" s="5"/>
      <c r="L395" s="10">
        <v>20201118</v>
      </c>
      <c r="M395" s="36" t="str">
        <f t="shared" si="6"/>
        <v>19620502</v>
      </c>
    </row>
    <row r="396" s="1" customFormat="1" ht="14.25" spans="1:13">
      <c r="A396" s="2">
        <v>5227</v>
      </c>
      <c r="B396" s="33" t="s">
        <v>10535</v>
      </c>
      <c r="C396" s="34" t="s">
        <v>10573</v>
      </c>
      <c r="D396" s="34" t="s">
        <v>10574</v>
      </c>
      <c r="E396" s="35">
        <v>2020</v>
      </c>
      <c r="F396" s="35">
        <v>2020</v>
      </c>
      <c r="G396" s="35" t="s">
        <v>16</v>
      </c>
      <c r="H396" s="34">
        <v>200</v>
      </c>
      <c r="I396" s="34">
        <v>200</v>
      </c>
      <c r="J396" s="49"/>
      <c r="K396" s="10"/>
      <c r="L396" s="10">
        <v>20201118</v>
      </c>
      <c r="M396" s="36" t="str">
        <f t="shared" si="6"/>
        <v>19620503</v>
      </c>
    </row>
    <row r="397" s="1" customFormat="1" spans="1:13">
      <c r="A397" s="2">
        <v>3607</v>
      </c>
      <c r="B397" s="5" t="s">
        <v>7412</v>
      </c>
      <c r="C397" s="5" t="s">
        <v>7481</v>
      </c>
      <c r="D397" s="5" t="s">
        <v>7482</v>
      </c>
      <c r="E397" s="6">
        <v>2020</v>
      </c>
      <c r="F397" s="6">
        <v>2020</v>
      </c>
      <c r="G397" s="5" t="s">
        <v>3359</v>
      </c>
      <c r="H397" s="5">
        <v>200</v>
      </c>
      <c r="I397" s="5">
        <v>200</v>
      </c>
      <c r="J397" s="5"/>
      <c r="K397" s="5"/>
      <c r="L397" s="10">
        <v>20201118</v>
      </c>
      <c r="M397" s="36" t="str">
        <f t="shared" si="6"/>
        <v>19620504</v>
      </c>
    </row>
    <row r="398" s="1" customFormat="1" spans="1:13">
      <c r="A398" s="2">
        <v>539</v>
      </c>
      <c r="B398" s="29" t="s">
        <v>1040</v>
      </c>
      <c r="C398" s="29" t="s">
        <v>1355</v>
      </c>
      <c r="D398" s="29" t="s">
        <v>1356</v>
      </c>
      <c r="E398" s="30">
        <v>2020</v>
      </c>
      <c r="F398" s="30">
        <v>2020</v>
      </c>
      <c r="G398" s="29" t="s">
        <v>16</v>
      </c>
      <c r="H398" s="29">
        <v>200</v>
      </c>
      <c r="I398" s="29">
        <v>200</v>
      </c>
      <c r="J398" s="29"/>
      <c r="K398" s="47"/>
      <c r="L398" s="14" t="s">
        <v>330</v>
      </c>
      <c r="M398" s="36" t="str">
        <f t="shared" si="6"/>
        <v>19620507</v>
      </c>
    </row>
    <row r="399" s="1" customFormat="1" spans="1:13">
      <c r="A399" s="2">
        <v>5080</v>
      </c>
      <c r="B399" s="6" t="s">
        <v>10242</v>
      </c>
      <c r="C399" s="9" t="s">
        <v>1333</v>
      </c>
      <c r="D399" s="9" t="s">
        <v>10293</v>
      </c>
      <c r="E399" s="5" t="s">
        <v>10250</v>
      </c>
      <c r="F399" s="5">
        <v>2020</v>
      </c>
      <c r="G399" s="6" t="s">
        <v>16</v>
      </c>
      <c r="H399" s="6">
        <v>200</v>
      </c>
      <c r="I399" s="6">
        <v>200</v>
      </c>
      <c r="J399" s="6"/>
      <c r="K399" s="5"/>
      <c r="L399" s="10">
        <v>20201118</v>
      </c>
      <c r="M399" s="36" t="str">
        <f t="shared" si="6"/>
        <v>19620507</v>
      </c>
    </row>
    <row r="400" s="1" customFormat="1" spans="1:13">
      <c r="A400" s="2">
        <v>6181</v>
      </c>
      <c r="B400" s="5" t="s">
        <v>12263</v>
      </c>
      <c r="C400" s="5" t="s">
        <v>9173</v>
      </c>
      <c r="D400" s="5" t="s">
        <v>12392</v>
      </c>
      <c r="E400" s="5" t="s">
        <v>10250</v>
      </c>
      <c r="F400" s="5">
        <v>2020</v>
      </c>
      <c r="G400" s="17" t="s">
        <v>3359</v>
      </c>
      <c r="H400" s="5">
        <v>300</v>
      </c>
      <c r="I400" s="5">
        <v>300</v>
      </c>
      <c r="J400" s="5"/>
      <c r="K400" s="5"/>
      <c r="L400" s="10">
        <v>20201118</v>
      </c>
      <c r="M400" s="36" t="str">
        <f t="shared" si="6"/>
        <v>19620507</v>
      </c>
    </row>
    <row r="401" s="1" customFormat="1" spans="1:13">
      <c r="A401" s="2">
        <v>213</v>
      </c>
      <c r="B401" s="14" t="s">
        <v>327</v>
      </c>
      <c r="C401" s="14" t="s">
        <v>525</v>
      </c>
      <c r="D401" s="14" t="s">
        <v>526</v>
      </c>
      <c r="E401" s="5">
        <v>2020</v>
      </c>
      <c r="F401" s="5">
        <v>2020</v>
      </c>
      <c r="G401" s="14" t="s">
        <v>16</v>
      </c>
      <c r="H401" s="28">
        <v>200</v>
      </c>
      <c r="I401" s="14">
        <v>200</v>
      </c>
      <c r="J401" s="14"/>
      <c r="K401" s="10"/>
      <c r="L401" s="2" t="s">
        <v>330</v>
      </c>
      <c r="M401" s="36" t="str">
        <f t="shared" si="6"/>
        <v>19620510</v>
      </c>
    </row>
    <row r="402" s="1" customFormat="1" spans="1:13">
      <c r="A402" s="2">
        <v>1843</v>
      </c>
      <c r="B402" s="5" t="s">
        <v>4189</v>
      </c>
      <c r="C402" s="16" t="s">
        <v>2483</v>
      </c>
      <c r="D402" s="16" t="s">
        <v>4251</v>
      </c>
      <c r="E402" s="5" t="s">
        <v>15</v>
      </c>
      <c r="F402" s="5" t="s">
        <v>15</v>
      </c>
      <c r="G402" s="5" t="s">
        <v>3359</v>
      </c>
      <c r="H402" s="16">
        <v>200</v>
      </c>
      <c r="I402" s="16">
        <v>200</v>
      </c>
      <c r="J402" s="5"/>
      <c r="K402" s="10"/>
      <c r="L402" s="10">
        <v>20201118</v>
      </c>
      <c r="M402" s="36" t="str">
        <f t="shared" si="6"/>
        <v>19620510</v>
      </c>
    </row>
    <row r="403" s="1" customFormat="1" spans="1:13">
      <c r="A403" s="2">
        <v>3143</v>
      </c>
      <c r="B403" s="3" t="s">
        <v>6671</v>
      </c>
      <c r="C403" s="9" t="s">
        <v>6805</v>
      </c>
      <c r="D403" s="9" t="s">
        <v>6806</v>
      </c>
      <c r="E403" s="3" t="s">
        <v>15</v>
      </c>
      <c r="F403" s="3" t="s">
        <v>15</v>
      </c>
      <c r="G403" s="6" t="s">
        <v>3359</v>
      </c>
      <c r="H403" s="9">
        <v>200</v>
      </c>
      <c r="I403" s="9">
        <v>200</v>
      </c>
      <c r="J403" s="6"/>
      <c r="K403" s="5"/>
      <c r="L403" s="10">
        <v>20201118</v>
      </c>
      <c r="M403" s="36" t="str">
        <f t="shared" si="6"/>
        <v>19620510</v>
      </c>
    </row>
    <row r="404" s="1" customFormat="1" spans="1:13">
      <c r="A404" s="2">
        <v>5081</v>
      </c>
      <c r="B404" s="6" t="s">
        <v>10242</v>
      </c>
      <c r="C404" s="9" t="s">
        <v>10294</v>
      </c>
      <c r="D404" s="9" t="s">
        <v>10295</v>
      </c>
      <c r="E404" s="5" t="s">
        <v>10250</v>
      </c>
      <c r="F404" s="5">
        <v>2020</v>
      </c>
      <c r="G404" s="6" t="s">
        <v>16</v>
      </c>
      <c r="H404" s="6">
        <v>200</v>
      </c>
      <c r="I404" s="6">
        <v>200</v>
      </c>
      <c r="J404" s="6"/>
      <c r="K404" s="5"/>
      <c r="L404" s="10">
        <v>20201118</v>
      </c>
      <c r="M404" s="36" t="str">
        <f t="shared" si="6"/>
        <v>19620510</v>
      </c>
    </row>
    <row r="405" s="1" customFormat="1" spans="1:13">
      <c r="A405" s="2">
        <v>6303</v>
      </c>
      <c r="B405" s="5" t="s">
        <v>12263</v>
      </c>
      <c r="C405" s="5" t="s">
        <v>12625</v>
      </c>
      <c r="D405" s="5" t="s">
        <v>12626</v>
      </c>
      <c r="E405" s="5" t="s">
        <v>10250</v>
      </c>
      <c r="F405" s="5">
        <v>2020</v>
      </c>
      <c r="G405" s="17" t="s">
        <v>3359</v>
      </c>
      <c r="H405" s="5">
        <v>200</v>
      </c>
      <c r="I405" s="5">
        <v>200</v>
      </c>
      <c r="J405" s="5" t="s">
        <v>108</v>
      </c>
      <c r="K405" s="5"/>
      <c r="L405" s="10">
        <v>20201118</v>
      </c>
      <c r="M405" s="36" t="str">
        <f t="shared" si="6"/>
        <v>19620510</v>
      </c>
    </row>
    <row r="406" s="1" customFormat="1" spans="1:13">
      <c r="A406" s="2">
        <v>8072</v>
      </c>
      <c r="B406" s="5" t="s">
        <v>15086</v>
      </c>
      <c r="C406" s="6" t="s">
        <v>15352</v>
      </c>
      <c r="D406" s="6" t="str">
        <f>"152326196205106901"</f>
        <v>152326196205106901</v>
      </c>
      <c r="E406" s="5" t="s">
        <v>15</v>
      </c>
      <c r="F406" s="5">
        <v>2020</v>
      </c>
      <c r="G406" s="5" t="s">
        <v>16</v>
      </c>
      <c r="H406" s="5">
        <v>200</v>
      </c>
      <c r="I406" s="5">
        <v>200</v>
      </c>
      <c r="J406" s="5"/>
      <c r="K406" s="5"/>
      <c r="L406" s="10">
        <v>20201118</v>
      </c>
      <c r="M406" s="36" t="str">
        <f t="shared" si="6"/>
        <v>19620510</v>
      </c>
    </row>
    <row r="407" s="1" customFormat="1" spans="1:13">
      <c r="A407" s="2">
        <v>8082</v>
      </c>
      <c r="B407" s="5" t="s">
        <v>15086</v>
      </c>
      <c r="C407" s="6" t="s">
        <v>15363</v>
      </c>
      <c r="D407" s="6" t="str">
        <f>"152326196205106864"</f>
        <v>152326196205106864</v>
      </c>
      <c r="E407" s="5" t="s">
        <v>15</v>
      </c>
      <c r="F407" s="5">
        <v>2020</v>
      </c>
      <c r="G407" s="5" t="s">
        <v>16</v>
      </c>
      <c r="H407" s="5">
        <v>200</v>
      </c>
      <c r="I407" s="5">
        <v>200</v>
      </c>
      <c r="J407" s="5"/>
      <c r="K407" s="5"/>
      <c r="L407" s="10">
        <v>20201118</v>
      </c>
      <c r="M407" s="36" t="str">
        <f t="shared" si="6"/>
        <v>19620510</v>
      </c>
    </row>
    <row r="408" s="1" customFormat="1" spans="1:13">
      <c r="A408" s="2">
        <v>8065</v>
      </c>
      <c r="B408" s="5" t="s">
        <v>15086</v>
      </c>
      <c r="C408" s="6" t="s">
        <v>10056</v>
      </c>
      <c r="D408" s="6" t="s">
        <v>15344</v>
      </c>
      <c r="E408" s="5" t="s">
        <v>15</v>
      </c>
      <c r="F408" s="5">
        <v>2020</v>
      </c>
      <c r="G408" s="5" t="s">
        <v>16</v>
      </c>
      <c r="H408" s="5">
        <v>200</v>
      </c>
      <c r="I408" s="5">
        <v>200</v>
      </c>
      <c r="J408" s="5"/>
      <c r="K408" s="5"/>
      <c r="L408" s="10">
        <v>20201118</v>
      </c>
      <c r="M408" s="36" t="str">
        <f t="shared" si="6"/>
        <v>19620511</v>
      </c>
    </row>
    <row r="409" s="1" customFormat="1" spans="1:13">
      <c r="A409" s="2">
        <v>1428</v>
      </c>
      <c r="B409" s="5" t="s">
        <v>3381</v>
      </c>
      <c r="C409" s="9" t="s">
        <v>3426</v>
      </c>
      <c r="D409" s="9" t="s">
        <v>3427</v>
      </c>
      <c r="E409" s="5">
        <v>2020</v>
      </c>
      <c r="F409" s="5">
        <v>2020</v>
      </c>
      <c r="G409" s="14" t="s">
        <v>16</v>
      </c>
      <c r="H409" s="6">
        <v>200</v>
      </c>
      <c r="I409" s="6">
        <v>200</v>
      </c>
      <c r="J409" s="5"/>
      <c r="K409" s="13"/>
      <c r="L409" s="10">
        <v>20201118</v>
      </c>
      <c r="M409" s="36" t="str">
        <f t="shared" si="6"/>
        <v>19620512</v>
      </c>
    </row>
    <row r="410" s="1" customFormat="1" spans="1:13">
      <c r="A410" s="2">
        <v>6478</v>
      </c>
      <c r="B410" s="5" t="s">
        <v>12263</v>
      </c>
      <c r="C410" s="5" t="s">
        <v>12959</v>
      </c>
      <c r="D410" s="5" t="s">
        <v>12960</v>
      </c>
      <c r="E410" s="5" t="s">
        <v>310</v>
      </c>
      <c r="F410" s="5">
        <v>2020</v>
      </c>
      <c r="G410" s="5" t="s">
        <v>295</v>
      </c>
      <c r="H410" s="5">
        <v>200</v>
      </c>
      <c r="I410" s="5">
        <v>2000</v>
      </c>
      <c r="J410" s="5"/>
      <c r="K410" s="5"/>
      <c r="L410" s="10">
        <v>20201118</v>
      </c>
      <c r="M410" s="36" t="str">
        <f t="shared" si="6"/>
        <v>19620512</v>
      </c>
    </row>
    <row r="411" s="1" customFormat="1" spans="1:13">
      <c r="A411" s="2">
        <v>65</v>
      </c>
      <c r="B411" s="3" t="s">
        <v>12</v>
      </c>
      <c r="C411" s="3" t="s">
        <v>145</v>
      </c>
      <c r="D411" s="3" t="s">
        <v>146</v>
      </c>
      <c r="E411" s="3" t="s">
        <v>15</v>
      </c>
      <c r="F411" s="3" t="s">
        <v>15</v>
      </c>
      <c r="G411" s="2" t="s">
        <v>16</v>
      </c>
      <c r="H411" s="3">
        <v>500</v>
      </c>
      <c r="I411" s="3">
        <v>500</v>
      </c>
      <c r="J411" s="3"/>
      <c r="K411" s="3"/>
      <c r="L411" s="10">
        <v>20201118</v>
      </c>
      <c r="M411" s="36" t="str">
        <f t="shared" si="6"/>
        <v>19620513</v>
      </c>
    </row>
    <row r="412" s="1" customFormat="1" spans="1:13">
      <c r="A412" s="2">
        <v>8061</v>
      </c>
      <c r="B412" s="5" t="s">
        <v>15086</v>
      </c>
      <c r="C412" s="6" t="s">
        <v>15341</v>
      </c>
      <c r="D412" s="6" t="s">
        <v>15342</v>
      </c>
      <c r="E412" s="5" t="s">
        <v>15</v>
      </c>
      <c r="F412" s="5">
        <v>2020</v>
      </c>
      <c r="G412" s="5" t="s">
        <v>16</v>
      </c>
      <c r="H412" s="5">
        <v>200</v>
      </c>
      <c r="I412" s="5">
        <v>200</v>
      </c>
      <c r="J412" s="5"/>
      <c r="K412" s="5"/>
      <c r="L412" s="10">
        <v>20201118</v>
      </c>
      <c r="M412" s="36" t="str">
        <f t="shared" si="6"/>
        <v>19620515</v>
      </c>
    </row>
    <row r="413" s="1" customFormat="1" spans="1:13">
      <c r="A413" s="2">
        <v>1429</v>
      </c>
      <c r="B413" s="5" t="s">
        <v>3381</v>
      </c>
      <c r="C413" s="9" t="s">
        <v>3428</v>
      </c>
      <c r="D413" s="9" t="s">
        <v>3429</v>
      </c>
      <c r="E413" s="5">
        <v>2020</v>
      </c>
      <c r="F413" s="5">
        <v>2020</v>
      </c>
      <c r="G413" s="14" t="s">
        <v>16</v>
      </c>
      <c r="H413" s="6">
        <v>200</v>
      </c>
      <c r="I413" s="6">
        <v>200</v>
      </c>
      <c r="J413" s="5"/>
      <c r="K413" s="13"/>
      <c r="L413" s="10">
        <v>20201118</v>
      </c>
      <c r="M413" s="36" t="str">
        <f t="shared" si="6"/>
        <v>19620516</v>
      </c>
    </row>
    <row r="414" s="1" customFormat="1" spans="1:13">
      <c r="A414" s="2">
        <v>3608</v>
      </c>
      <c r="B414" s="5" t="s">
        <v>7412</v>
      </c>
      <c r="C414" s="5" t="s">
        <v>7483</v>
      </c>
      <c r="D414" s="5" t="s">
        <v>7484</v>
      </c>
      <c r="E414" s="6">
        <v>2020</v>
      </c>
      <c r="F414" s="6">
        <v>2020</v>
      </c>
      <c r="G414" s="5" t="s">
        <v>3359</v>
      </c>
      <c r="H414" s="5">
        <v>200</v>
      </c>
      <c r="I414" s="5">
        <v>200</v>
      </c>
      <c r="J414" s="5"/>
      <c r="K414" s="5"/>
      <c r="L414" s="10">
        <v>20201118</v>
      </c>
      <c r="M414" s="36" t="str">
        <f t="shared" si="6"/>
        <v>19620516</v>
      </c>
    </row>
    <row r="415" s="1" customFormat="1" spans="1:13">
      <c r="A415" s="2">
        <v>6180</v>
      </c>
      <c r="B415" s="5" t="s">
        <v>12263</v>
      </c>
      <c r="C415" s="5" t="s">
        <v>12390</v>
      </c>
      <c r="D415" s="5" t="s">
        <v>12391</v>
      </c>
      <c r="E415" s="5" t="s">
        <v>10250</v>
      </c>
      <c r="F415" s="5">
        <v>2020</v>
      </c>
      <c r="G415" s="17" t="s">
        <v>3359</v>
      </c>
      <c r="H415" s="5">
        <v>300</v>
      </c>
      <c r="I415" s="5">
        <v>300</v>
      </c>
      <c r="J415" s="5"/>
      <c r="K415" s="5"/>
      <c r="L415" s="10">
        <v>20201118</v>
      </c>
      <c r="M415" s="36" t="str">
        <f t="shared" si="6"/>
        <v>19620516</v>
      </c>
    </row>
    <row r="416" s="1" customFormat="1" spans="1:13">
      <c r="A416" s="2">
        <v>1844</v>
      </c>
      <c r="B416" s="5" t="s">
        <v>4189</v>
      </c>
      <c r="C416" s="16" t="s">
        <v>4252</v>
      </c>
      <c r="D416" s="16" t="s">
        <v>4253</v>
      </c>
      <c r="E416" s="5" t="s">
        <v>15</v>
      </c>
      <c r="F416" s="5" t="s">
        <v>15</v>
      </c>
      <c r="G416" s="5" t="s">
        <v>3359</v>
      </c>
      <c r="H416" s="16">
        <v>200</v>
      </c>
      <c r="I416" s="16">
        <v>200</v>
      </c>
      <c r="J416" s="5"/>
      <c r="K416" s="10"/>
      <c r="L416" s="10">
        <v>20201118</v>
      </c>
      <c r="M416" s="36" t="str">
        <f t="shared" si="6"/>
        <v>19620518</v>
      </c>
    </row>
    <row r="417" s="1" customFormat="1" spans="1:13">
      <c r="A417" s="2">
        <v>197</v>
      </c>
      <c r="B417" s="14" t="s">
        <v>327</v>
      </c>
      <c r="C417" s="14" t="s">
        <v>479</v>
      </c>
      <c r="D417" s="14" t="s">
        <v>480</v>
      </c>
      <c r="E417" s="5">
        <v>2020</v>
      </c>
      <c r="F417" s="5">
        <v>2020</v>
      </c>
      <c r="G417" s="14" t="s">
        <v>16</v>
      </c>
      <c r="H417" s="14">
        <v>200</v>
      </c>
      <c r="I417" s="14">
        <v>200</v>
      </c>
      <c r="J417" s="14"/>
      <c r="K417" s="10"/>
      <c r="L417" s="2" t="s">
        <v>330</v>
      </c>
      <c r="M417" s="36" t="str">
        <f t="shared" si="6"/>
        <v>19620520</v>
      </c>
    </row>
    <row r="418" s="1" customFormat="1" spans="1:13">
      <c r="A418" s="2">
        <v>2546</v>
      </c>
      <c r="B418" s="32" t="s">
        <v>5602</v>
      </c>
      <c r="C418" s="9" t="s">
        <v>5630</v>
      </c>
      <c r="D418" s="9" t="s">
        <v>5631</v>
      </c>
      <c r="E418" s="32">
        <v>2020</v>
      </c>
      <c r="F418" s="32">
        <v>2020</v>
      </c>
      <c r="G418" s="32" t="s">
        <v>16</v>
      </c>
      <c r="H418" s="9">
        <v>200</v>
      </c>
      <c r="I418" s="9">
        <v>200</v>
      </c>
      <c r="J418" s="32"/>
      <c r="K418" s="52"/>
      <c r="L418" s="10">
        <v>20201118</v>
      </c>
      <c r="M418" s="36" t="str">
        <f t="shared" si="6"/>
        <v>19620520</v>
      </c>
    </row>
    <row r="419" s="1" customFormat="1" spans="1:13">
      <c r="A419" s="2">
        <v>2389</v>
      </c>
      <c r="B419" s="9" t="s">
        <v>4837</v>
      </c>
      <c r="C419" s="6" t="s">
        <v>5316</v>
      </c>
      <c r="D419" s="293" t="s">
        <v>5317</v>
      </c>
      <c r="E419" s="6" t="s">
        <v>15</v>
      </c>
      <c r="F419" s="6">
        <v>2020</v>
      </c>
      <c r="G419" s="9" t="s">
        <v>2480</v>
      </c>
      <c r="H419" s="6">
        <v>200</v>
      </c>
      <c r="I419" s="6">
        <v>200</v>
      </c>
      <c r="J419" s="6" t="s">
        <v>5315</v>
      </c>
      <c r="K419" s="10"/>
      <c r="L419" s="10">
        <v>20201118</v>
      </c>
      <c r="M419" s="36" t="str">
        <f t="shared" si="6"/>
        <v>19620523</v>
      </c>
    </row>
    <row r="420" s="1" customFormat="1" spans="1:13">
      <c r="A420" s="2">
        <v>2159</v>
      </c>
      <c r="B420" s="9" t="s">
        <v>4837</v>
      </c>
      <c r="C420" s="9" t="s">
        <v>4866</v>
      </c>
      <c r="D420" s="9" t="s">
        <v>4867</v>
      </c>
      <c r="E420" s="6" t="s">
        <v>15</v>
      </c>
      <c r="F420" s="6">
        <v>2020</v>
      </c>
      <c r="G420" s="9" t="s">
        <v>2480</v>
      </c>
      <c r="H420" s="9">
        <v>200</v>
      </c>
      <c r="I420" s="9">
        <v>200</v>
      </c>
      <c r="J420" s="6"/>
      <c r="K420" s="10"/>
      <c r="L420" s="10">
        <v>20201118</v>
      </c>
      <c r="M420" s="36" t="str">
        <f t="shared" si="6"/>
        <v>19620526</v>
      </c>
    </row>
    <row r="421" s="1" customFormat="1" spans="1:13">
      <c r="A421" s="2">
        <v>2547</v>
      </c>
      <c r="B421" s="32" t="s">
        <v>5602</v>
      </c>
      <c r="C421" s="9" t="s">
        <v>5632</v>
      </c>
      <c r="D421" s="9" t="s">
        <v>5633</v>
      </c>
      <c r="E421" s="32">
        <v>2020</v>
      </c>
      <c r="F421" s="32">
        <v>2020</v>
      </c>
      <c r="G421" s="32" t="s">
        <v>16</v>
      </c>
      <c r="H421" s="9">
        <v>500</v>
      </c>
      <c r="I421" s="9">
        <v>500</v>
      </c>
      <c r="J421" s="32"/>
      <c r="K421" s="52"/>
      <c r="L421" s="10">
        <v>20201118</v>
      </c>
      <c r="M421" s="36" t="str">
        <f t="shared" si="6"/>
        <v>19620526</v>
      </c>
    </row>
    <row r="422" s="1" customFormat="1" spans="1:13">
      <c r="A422" s="2">
        <v>3609</v>
      </c>
      <c r="B422" s="5" t="s">
        <v>7412</v>
      </c>
      <c r="C422" s="5" t="s">
        <v>7485</v>
      </c>
      <c r="D422" s="5" t="s">
        <v>7486</v>
      </c>
      <c r="E422" s="6">
        <v>2020</v>
      </c>
      <c r="F422" s="6">
        <v>2020</v>
      </c>
      <c r="G422" s="5" t="s">
        <v>3359</v>
      </c>
      <c r="H422" s="5">
        <v>500</v>
      </c>
      <c r="I422" s="5">
        <v>500</v>
      </c>
      <c r="J422" s="5"/>
      <c r="K422" s="5"/>
      <c r="L422" s="10">
        <v>20201118</v>
      </c>
      <c r="M422" s="36" t="str">
        <f t="shared" si="6"/>
        <v>19620526</v>
      </c>
    </row>
    <row r="423" s="1" customFormat="1" spans="1:13">
      <c r="A423" s="2">
        <v>1430</v>
      </c>
      <c r="B423" s="5" t="s">
        <v>3381</v>
      </c>
      <c r="C423" s="9" t="s">
        <v>3430</v>
      </c>
      <c r="D423" s="9" t="s">
        <v>3431</v>
      </c>
      <c r="E423" s="5">
        <v>2020</v>
      </c>
      <c r="F423" s="5">
        <v>2020</v>
      </c>
      <c r="G423" s="14" t="s">
        <v>16</v>
      </c>
      <c r="H423" s="6">
        <v>200</v>
      </c>
      <c r="I423" s="6">
        <v>200</v>
      </c>
      <c r="J423" s="5"/>
      <c r="K423" s="13"/>
      <c r="L423" s="10">
        <v>20201118</v>
      </c>
      <c r="M423" s="36" t="str">
        <f t="shared" si="6"/>
        <v>19620527</v>
      </c>
    </row>
    <row r="424" s="1" customFormat="1" spans="1:13">
      <c r="A424" s="2">
        <v>8063</v>
      </c>
      <c r="B424" s="5" t="s">
        <v>15086</v>
      </c>
      <c r="C424" s="6" t="s">
        <v>15343</v>
      </c>
      <c r="D424" s="6" t="str">
        <f>"152326196206026882"</f>
        <v>152326196206026882</v>
      </c>
      <c r="E424" s="5" t="s">
        <v>15</v>
      </c>
      <c r="F424" s="5">
        <v>2020</v>
      </c>
      <c r="G424" s="5" t="s">
        <v>16</v>
      </c>
      <c r="H424" s="5">
        <v>200</v>
      </c>
      <c r="I424" s="5">
        <v>200</v>
      </c>
      <c r="J424" s="5"/>
      <c r="K424" s="5"/>
      <c r="L424" s="10">
        <v>20201118</v>
      </c>
      <c r="M424" s="36" t="str">
        <f t="shared" si="6"/>
        <v>19620602</v>
      </c>
    </row>
    <row r="425" s="1" customFormat="1" spans="1:13">
      <c r="A425" s="2">
        <v>8077</v>
      </c>
      <c r="B425" s="5" t="s">
        <v>15086</v>
      </c>
      <c r="C425" s="6" t="s">
        <v>15357</v>
      </c>
      <c r="D425" s="6" t="str">
        <f>"152326196206026866"</f>
        <v>152326196206026866</v>
      </c>
      <c r="E425" s="5" t="s">
        <v>15</v>
      </c>
      <c r="F425" s="5">
        <v>2020</v>
      </c>
      <c r="G425" s="5" t="s">
        <v>16</v>
      </c>
      <c r="H425" s="5">
        <v>200</v>
      </c>
      <c r="I425" s="5">
        <v>200</v>
      </c>
      <c r="J425" s="5"/>
      <c r="K425" s="5"/>
      <c r="L425" s="10">
        <v>20201118</v>
      </c>
      <c r="M425" s="36" t="str">
        <f t="shared" si="6"/>
        <v>19620602</v>
      </c>
    </row>
    <row r="426" s="1" customFormat="1" spans="1:13">
      <c r="A426" s="2">
        <v>3610</v>
      </c>
      <c r="B426" s="5" t="s">
        <v>7412</v>
      </c>
      <c r="C426" s="5" t="s">
        <v>7487</v>
      </c>
      <c r="D426" s="5" t="s">
        <v>7488</v>
      </c>
      <c r="E426" s="6">
        <v>2020</v>
      </c>
      <c r="F426" s="6">
        <v>2020</v>
      </c>
      <c r="G426" s="5" t="s">
        <v>3359</v>
      </c>
      <c r="H426" s="5">
        <v>300</v>
      </c>
      <c r="I426" s="5">
        <v>300</v>
      </c>
      <c r="J426" s="5"/>
      <c r="K426" s="5"/>
      <c r="L426" s="10">
        <v>20201118</v>
      </c>
      <c r="M426" s="36" t="str">
        <f t="shared" si="6"/>
        <v>19620603</v>
      </c>
    </row>
    <row r="427" s="1" customFormat="1" ht="14.25" spans="1:13">
      <c r="A427" s="2">
        <v>5228</v>
      </c>
      <c r="B427" s="33" t="s">
        <v>10535</v>
      </c>
      <c r="C427" s="34" t="s">
        <v>10575</v>
      </c>
      <c r="D427" s="34" t="s">
        <v>10576</v>
      </c>
      <c r="E427" s="35">
        <v>2020</v>
      </c>
      <c r="F427" s="35">
        <v>2020</v>
      </c>
      <c r="G427" s="35" t="s">
        <v>16</v>
      </c>
      <c r="H427" s="34">
        <v>200</v>
      </c>
      <c r="I427" s="34">
        <v>200</v>
      </c>
      <c r="J427" s="49"/>
      <c r="K427" s="10"/>
      <c r="L427" s="10">
        <v>20201118</v>
      </c>
      <c r="M427" s="36" t="str">
        <f t="shared" si="6"/>
        <v>19620603</v>
      </c>
    </row>
    <row r="428" s="1" customFormat="1" spans="1:13">
      <c r="A428" s="2">
        <v>3611</v>
      </c>
      <c r="B428" s="5" t="s">
        <v>7412</v>
      </c>
      <c r="C428" s="5" t="s">
        <v>7489</v>
      </c>
      <c r="D428" s="5" t="s">
        <v>7490</v>
      </c>
      <c r="E428" s="6">
        <v>2020</v>
      </c>
      <c r="F428" s="6">
        <v>2020</v>
      </c>
      <c r="G428" s="5" t="s">
        <v>3359</v>
      </c>
      <c r="H428" s="5">
        <v>200</v>
      </c>
      <c r="I428" s="5">
        <v>200</v>
      </c>
      <c r="J428" s="5"/>
      <c r="K428" s="5"/>
      <c r="L428" s="10">
        <v>20201118</v>
      </c>
      <c r="M428" s="36" t="str">
        <f t="shared" si="6"/>
        <v>19620605</v>
      </c>
    </row>
    <row r="429" s="1" customFormat="1" ht="14.25" spans="1:13">
      <c r="A429" s="2">
        <v>5229</v>
      </c>
      <c r="B429" s="33" t="s">
        <v>10535</v>
      </c>
      <c r="C429" s="34" t="s">
        <v>10577</v>
      </c>
      <c r="D429" s="34" t="s">
        <v>10578</v>
      </c>
      <c r="E429" s="35">
        <v>2020</v>
      </c>
      <c r="F429" s="35">
        <v>2020</v>
      </c>
      <c r="G429" s="35" t="s">
        <v>16</v>
      </c>
      <c r="H429" s="34">
        <v>200</v>
      </c>
      <c r="I429" s="34">
        <v>200</v>
      </c>
      <c r="J429" s="49"/>
      <c r="K429" s="10"/>
      <c r="L429" s="10">
        <v>20201118</v>
      </c>
      <c r="M429" s="36" t="str">
        <f t="shared" si="6"/>
        <v>19620605</v>
      </c>
    </row>
    <row r="430" s="1" customFormat="1" spans="1:13">
      <c r="A430" s="2">
        <v>7352</v>
      </c>
      <c r="B430" s="5" t="s">
        <v>13908</v>
      </c>
      <c r="C430" s="5" t="s">
        <v>14334</v>
      </c>
      <c r="D430" s="5" t="s">
        <v>14335</v>
      </c>
      <c r="E430" s="5" t="s">
        <v>15</v>
      </c>
      <c r="F430" s="5" t="s">
        <v>15</v>
      </c>
      <c r="G430" s="14" t="s">
        <v>16</v>
      </c>
      <c r="H430" s="17">
        <v>200</v>
      </c>
      <c r="I430" s="17">
        <v>200</v>
      </c>
      <c r="J430" s="5"/>
      <c r="K430" s="10"/>
      <c r="L430" s="10">
        <v>20201118</v>
      </c>
      <c r="M430" s="36" t="str">
        <f t="shared" si="6"/>
        <v>19620605</v>
      </c>
    </row>
    <row r="431" s="1" customFormat="1" ht="14.25" spans="1:13">
      <c r="A431" s="2">
        <v>7820</v>
      </c>
      <c r="B431" s="5" t="s">
        <v>14875</v>
      </c>
      <c r="C431" s="13" t="s">
        <v>15082</v>
      </c>
      <c r="D431" s="314" t="s">
        <v>15083</v>
      </c>
      <c r="E431" s="13">
        <v>2011</v>
      </c>
      <c r="F431" s="6" t="s">
        <v>15</v>
      </c>
      <c r="G431" s="24" t="s">
        <v>2460</v>
      </c>
      <c r="H431" s="13">
        <v>200</v>
      </c>
      <c r="I431" s="13">
        <v>2000</v>
      </c>
      <c r="J431" s="6"/>
      <c r="K431" s="6"/>
      <c r="L431" s="10">
        <v>20201224</v>
      </c>
      <c r="M431" s="36" t="str">
        <f t="shared" si="6"/>
        <v>19620605</v>
      </c>
    </row>
    <row r="432" s="1" customFormat="1" spans="1:13">
      <c r="A432" s="2">
        <v>3093</v>
      </c>
      <c r="B432" s="3" t="s">
        <v>6671</v>
      </c>
      <c r="C432" s="9" t="s">
        <v>6710</v>
      </c>
      <c r="D432" s="9" t="s">
        <v>6711</v>
      </c>
      <c r="E432" s="3" t="s">
        <v>15</v>
      </c>
      <c r="F432" s="3" t="s">
        <v>15</v>
      </c>
      <c r="G432" s="6" t="s">
        <v>3359</v>
      </c>
      <c r="H432" s="9">
        <v>200</v>
      </c>
      <c r="I432" s="9">
        <v>200</v>
      </c>
      <c r="J432" s="6"/>
      <c r="K432" s="5"/>
      <c r="L432" s="10">
        <v>20201118</v>
      </c>
      <c r="M432" s="36" t="str">
        <f t="shared" si="6"/>
        <v>19620606</v>
      </c>
    </row>
    <row r="433" s="1" customFormat="1" spans="1:13">
      <c r="A433" s="2">
        <v>4477</v>
      </c>
      <c r="B433" s="6" t="s">
        <v>9015</v>
      </c>
      <c r="C433" s="6" t="s">
        <v>9137</v>
      </c>
      <c r="D433" s="6" t="s">
        <v>9138</v>
      </c>
      <c r="E433" s="6">
        <v>2020</v>
      </c>
      <c r="F433" s="6">
        <v>2020</v>
      </c>
      <c r="G433" s="6" t="s">
        <v>16</v>
      </c>
      <c r="H433" s="6">
        <v>200</v>
      </c>
      <c r="I433" s="6">
        <v>200</v>
      </c>
      <c r="J433" s="6"/>
      <c r="K433" s="6"/>
      <c r="L433" s="10">
        <v>20201118</v>
      </c>
      <c r="M433" s="36" t="str">
        <f t="shared" si="6"/>
        <v>19620607</v>
      </c>
    </row>
    <row r="434" s="1" customFormat="1" spans="1:13">
      <c r="A434" s="2">
        <v>5792</v>
      </c>
      <c r="B434" s="30" t="s">
        <v>11090</v>
      </c>
      <c r="C434" s="30" t="s">
        <v>11654</v>
      </c>
      <c r="D434" s="30" t="s">
        <v>11655</v>
      </c>
      <c r="E434" s="5" t="s">
        <v>15</v>
      </c>
      <c r="F434" s="5" t="s">
        <v>10250</v>
      </c>
      <c r="G434" s="6" t="s">
        <v>16</v>
      </c>
      <c r="H434" s="32">
        <v>200</v>
      </c>
      <c r="I434" s="32">
        <v>200</v>
      </c>
      <c r="J434" s="6"/>
      <c r="K434" s="48"/>
      <c r="L434" s="10">
        <v>20201118</v>
      </c>
      <c r="M434" s="36" t="str">
        <f t="shared" si="6"/>
        <v>19620607</v>
      </c>
    </row>
    <row r="435" s="1" customFormat="1" ht="14.25" spans="1:13">
      <c r="A435" s="2">
        <v>5230</v>
      </c>
      <c r="B435" s="33" t="s">
        <v>10535</v>
      </c>
      <c r="C435" s="34" t="s">
        <v>10579</v>
      </c>
      <c r="D435" s="34" t="s">
        <v>10580</v>
      </c>
      <c r="E435" s="35">
        <v>2020</v>
      </c>
      <c r="F435" s="35">
        <v>2020</v>
      </c>
      <c r="G435" s="35" t="s">
        <v>16</v>
      </c>
      <c r="H435" s="34">
        <v>200</v>
      </c>
      <c r="I435" s="34">
        <v>200</v>
      </c>
      <c r="J435" s="49"/>
      <c r="K435" s="10"/>
      <c r="L435" s="10">
        <v>20201118</v>
      </c>
      <c r="M435" s="36" t="str">
        <f t="shared" si="6"/>
        <v>19620609</v>
      </c>
    </row>
    <row r="436" s="1" customFormat="1" spans="1:13">
      <c r="A436" s="2">
        <v>5850</v>
      </c>
      <c r="B436" s="30" t="s">
        <v>11090</v>
      </c>
      <c r="C436" s="30" t="s">
        <v>11764</v>
      </c>
      <c r="D436" s="30" t="s">
        <v>11765</v>
      </c>
      <c r="E436" s="5" t="s">
        <v>15</v>
      </c>
      <c r="F436" s="5" t="s">
        <v>10250</v>
      </c>
      <c r="G436" s="6" t="s">
        <v>16</v>
      </c>
      <c r="H436" s="32">
        <v>200</v>
      </c>
      <c r="I436" s="32">
        <v>200</v>
      </c>
      <c r="J436" s="6"/>
      <c r="K436" s="48"/>
      <c r="L436" s="10">
        <v>20201118</v>
      </c>
      <c r="M436" s="36" t="str">
        <f t="shared" si="6"/>
        <v>19620609</v>
      </c>
    </row>
    <row r="437" s="1" customFormat="1" spans="1:13">
      <c r="A437" s="2">
        <v>381</v>
      </c>
      <c r="B437" s="14" t="s">
        <v>327</v>
      </c>
      <c r="C437" s="3" t="s">
        <v>1030</v>
      </c>
      <c r="D437" s="3" t="s">
        <v>1031</v>
      </c>
      <c r="E437" s="5">
        <v>2011</v>
      </c>
      <c r="F437" s="5">
        <v>2020</v>
      </c>
      <c r="G437" s="17" t="s">
        <v>1007</v>
      </c>
      <c r="H437" s="3">
        <v>200</v>
      </c>
      <c r="I437" s="3">
        <v>2000</v>
      </c>
      <c r="J437" s="3"/>
      <c r="K437" s="10"/>
      <c r="L437" s="2" t="s">
        <v>330</v>
      </c>
      <c r="M437" s="36" t="str">
        <f t="shared" si="6"/>
        <v>19620610</v>
      </c>
    </row>
    <row r="438" s="1" customFormat="1" spans="1:13">
      <c r="A438" s="2">
        <v>7211</v>
      </c>
      <c r="B438" s="5" t="s">
        <v>13908</v>
      </c>
      <c r="C438" s="5" t="s">
        <v>14070</v>
      </c>
      <c r="D438" s="5" t="s">
        <v>14071</v>
      </c>
      <c r="E438" s="5" t="s">
        <v>15</v>
      </c>
      <c r="F438" s="5" t="s">
        <v>15</v>
      </c>
      <c r="G438" s="14" t="s">
        <v>16</v>
      </c>
      <c r="H438" s="17">
        <v>200</v>
      </c>
      <c r="I438" s="17">
        <v>200</v>
      </c>
      <c r="J438" s="5"/>
      <c r="K438" s="10"/>
      <c r="L438" s="10">
        <v>20201118</v>
      </c>
      <c r="M438" s="36" t="str">
        <f t="shared" si="6"/>
        <v>19620612</v>
      </c>
    </row>
    <row r="439" s="1" customFormat="1" spans="1:13">
      <c r="A439" s="2">
        <v>8074</v>
      </c>
      <c r="B439" s="5" t="s">
        <v>15086</v>
      </c>
      <c r="C439" s="6" t="s">
        <v>3471</v>
      </c>
      <c r="D439" s="6" t="str">
        <f>"152326196206136889"</f>
        <v>152326196206136889</v>
      </c>
      <c r="E439" s="5" t="s">
        <v>15</v>
      </c>
      <c r="F439" s="5">
        <v>2020</v>
      </c>
      <c r="G439" s="5" t="s">
        <v>16</v>
      </c>
      <c r="H439" s="5">
        <v>200</v>
      </c>
      <c r="I439" s="5">
        <v>200</v>
      </c>
      <c r="J439" s="5"/>
      <c r="K439" s="5"/>
      <c r="L439" s="10">
        <v>20201118</v>
      </c>
      <c r="M439" s="36" t="str">
        <f t="shared" si="6"/>
        <v>19620613</v>
      </c>
    </row>
    <row r="440" s="1" customFormat="1" spans="1:13">
      <c r="A440" s="2">
        <v>952</v>
      </c>
      <c r="B440" s="5" t="s">
        <v>2469</v>
      </c>
      <c r="C440" s="9" t="s">
        <v>2497</v>
      </c>
      <c r="D440" s="9" t="s">
        <v>2498</v>
      </c>
      <c r="E440" s="5">
        <v>2020</v>
      </c>
      <c r="F440" s="5">
        <v>2020</v>
      </c>
      <c r="G440" s="9" t="s">
        <v>2480</v>
      </c>
      <c r="H440" s="9">
        <v>200</v>
      </c>
      <c r="I440" s="9">
        <v>200</v>
      </c>
      <c r="J440" s="5"/>
      <c r="K440" s="5"/>
      <c r="L440" s="10">
        <v>20201118</v>
      </c>
      <c r="M440" s="36" t="str">
        <f t="shared" si="6"/>
        <v>19620615</v>
      </c>
    </row>
    <row r="441" s="1" customFormat="1" spans="1:13">
      <c r="A441" s="2">
        <v>1431</v>
      </c>
      <c r="B441" s="5" t="s">
        <v>3381</v>
      </c>
      <c r="C441" s="9" t="s">
        <v>3432</v>
      </c>
      <c r="D441" s="9" t="s">
        <v>3433</v>
      </c>
      <c r="E441" s="5">
        <v>2020</v>
      </c>
      <c r="F441" s="5">
        <v>2020</v>
      </c>
      <c r="G441" s="14" t="s">
        <v>16</v>
      </c>
      <c r="H441" s="6">
        <v>200</v>
      </c>
      <c r="I441" s="6">
        <v>200</v>
      </c>
      <c r="J441" s="5"/>
      <c r="K441" s="13"/>
      <c r="L441" s="10">
        <v>20201118</v>
      </c>
      <c r="M441" s="36" t="str">
        <f t="shared" si="6"/>
        <v>19620615</v>
      </c>
    </row>
    <row r="442" s="1" customFormat="1" spans="1:13">
      <c r="A442" s="2">
        <v>4464</v>
      </c>
      <c r="B442" s="6" t="s">
        <v>9015</v>
      </c>
      <c r="C442" s="6" t="s">
        <v>9113</v>
      </c>
      <c r="D442" s="6" t="s">
        <v>9114</v>
      </c>
      <c r="E442" s="6">
        <v>2020</v>
      </c>
      <c r="F442" s="6">
        <v>2020</v>
      </c>
      <c r="G442" s="6" t="s">
        <v>16</v>
      </c>
      <c r="H442" s="6">
        <v>200</v>
      </c>
      <c r="I442" s="6">
        <v>200</v>
      </c>
      <c r="J442" s="6"/>
      <c r="K442" s="6"/>
      <c r="L442" s="10">
        <v>20201118</v>
      </c>
      <c r="M442" s="36" t="str">
        <f t="shared" si="6"/>
        <v>19620615</v>
      </c>
    </row>
    <row r="443" s="1" customFormat="1" spans="1:13">
      <c r="A443" s="2">
        <v>7263</v>
      </c>
      <c r="B443" s="5" t="s">
        <v>13908</v>
      </c>
      <c r="C443" s="5" t="s">
        <v>14168</v>
      </c>
      <c r="D443" s="5" t="s">
        <v>14169</v>
      </c>
      <c r="E443" s="5" t="s">
        <v>15</v>
      </c>
      <c r="F443" s="5" t="s">
        <v>15</v>
      </c>
      <c r="G443" s="14" t="s">
        <v>16</v>
      </c>
      <c r="H443" s="17">
        <v>200</v>
      </c>
      <c r="I443" s="17">
        <v>200</v>
      </c>
      <c r="J443" s="5"/>
      <c r="K443" s="10"/>
      <c r="L443" s="10">
        <v>20201118</v>
      </c>
      <c r="M443" s="36" t="str">
        <f t="shared" si="6"/>
        <v>19620616</v>
      </c>
    </row>
    <row r="444" s="1" customFormat="1" spans="1:13">
      <c r="A444" s="2">
        <v>3082</v>
      </c>
      <c r="B444" s="3" t="s">
        <v>6671</v>
      </c>
      <c r="C444" s="9" t="s">
        <v>6690</v>
      </c>
      <c r="D444" s="9" t="s">
        <v>6691</v>
      </c>
      <c r="E444" s="3" t="s">
        <v>15</v>
      </c>
      <c r="F444" s="3" t="s">
        <v>15</v>
      </c>
      <c r="G444" s="6" t="s">
        <v>3359</v>
      </c>
      <c r="H444" s="9">
        <v>200</v>
      </c>
      <c r="I444" s="9">
        <v>200</v>
      </c>
      <c r="J444" s="6"/>
      <c r="K444" s="5"/>
      <c r="L444" s="10">
        <v>20201118</v>
      </c>
      <c r="M444" s="36" t="str">
        <f t="shared" si="6"/>
        <v>19620617</v>
      </c>
    </row>
    <row r="445" s="1" customFormat="1" ht="14.25" spans="1:13">
      <c r="A445" s="2">
        <v>5231</v>
      </c>
      <c r="B445" s="33" t="s">
        <v>10535</v>
      </c>
      <c r="C445" s="34" t="s">
        <v>10581</v>
      </c>
      <c r="D445" s="34" t="s">
        <v>10582</v>
      </c>
      <c r="E445" s="35">
        <v>2020</v>
      </c>
      <c r="F445" s="35">
        <v>2020</v>
      </c>
      <c r="G445" s="35" t="s">
        <v>16</v>
      </c>
      <c r="H445" s="34">
        <v>200</v>
      </c>
      <c r="I445" s="34">
        <v>200</v>
      </c>
      <c r="J445" s="49"/>
      <c r="K445" s="10"/>
      <c r="L445" s="10">
        <v>20201118</v>
      </c>
      <c r="M445" s="36" t="str">
        <f t="shared" si="6"/>
        <v>19620617</v>
      </c>
    </row>
    <row r="446" s="1" customFormat="1" spans="1:13">
      <c r="A446" s="2">
        <v>1432</v>
      </c>
      <c r="B446" s="5" t="s">
        <v>3381</v>
      </c>
      <c r="C446" s="9" t="s">
        <v>3434</v>
      </c>
      <c r="D446" s="9" t="s">
        <v>3435</v>
      </c>
      <c r="E446" s="5">
        <v>2020</v>
      </c>
      <c r="F446" s="5">
        <v>2020</v>
      </c>
      <c r="G446" s="14" t="s">
        <v>16</v>
      </c>
      <c r="H446" s="6">
        <v>200</v>
      </c>
      <c r="I446" s="6">
        <v>200</v>
      </c>
      <c r="J446" s="5"/>
      <c r="K446" s="13"/>
      <c r="L446" s="10">
        <v>20201118</v>
      </c>
      <c r="M446" s="36" t="str">
        <f t="shared" si="6"/>
        <v>19620618</v>
      </c>
    </row>
    <row r="447" s="1" customFormat="1" ht="14.25" spans="1:13">
      <c r="A447" s="2">
        <v>7791</v>
      </c>
      <c r="B447" s="5" t="s">
        <v>14875</v>
      </c>
      <c r="C447" s="51" t="s">
        <v>15039</v>
      </c>
      <c r="D447" s="24" t="str">
        <f>"152326196206197120"</f>
        <v>152326196206197120</v>
      </c>
      <c r="E447" s="6" t="s">
        <v>15</v>
      </c>
      <c r="F447" s="6">
        <v>2020</v>
      </c>
      <c r="G447" s="24" t="s">
        <v>14877</v>
      </c>
      <c r="H447" s="6">
        <v>200</v>
      </c>
      <c r="I447" s="6">
        <v>200</v>
      </c>
      <c r="J447" s="6"/>
      <c r="K447" s="10"/>
      <c r="L447" s="10">
        <v>20201118</v>
      </c>
      <c r="M447" s="36" t="str">
        <f t="shared" si="6"/>
        <v>19620619</v>
      </c>
    </row>
    <row r="448" s="1" customFormat="1" spans="1:13">
      <c r="A448" s="2">
        <v>953</v>
      </c>
      <c r="B448" s="5" t="s">
        <v>2469</v>
      </c>
      <c r="C448" s="9" t="s">
        <v>2174</v>
      </c>
      <c r="D448" s="9" t="s">
        <v>2499</v>
      </c>
      <c r="E448" s="5">
        <v>2020</v>
      </c>
      <c r="F448" s="5">
        <v>2020</v>
      </c>
      <c r="G448" s="9" t="s">
        <v>2480</v>
      </c>
      <c r="H448" s="9">
        <v>200</v>
      </c>
      <c r="I448" s="9">
        <v>200</v>
      </c>
      <c r="J448" s="5"/>
      <c r="K448" s="5"/>
      <c r="L448" s="10">
        <v>20201118</v>
      </c>
      <c r="M448" s="36" t="str">
        <f t="shared" si="6"/>
        <v>19620621</v>
      </c>
    </row>
    <row r="449" s="1" customFormat="1" spans="1:13">
      <c r="A449" s="2">
        <v>5574</v>
      </c>
      <c r="B449" s="30" t="s">
        <v>11090</v>
      </c>
      <c r="C449" s="30" t="s">
        <v>11242</v>
      </c>
      <c r="D449" s="30" t="s">
        <v>11243</v>
      </c>
      <c r="E449" s="5" t="s">
        <v>15</v>
      </c>
      <c r="F449" s="5" t="s">
        <v>10250</v>
      </c>
      <c r="G449" s="6" t="s">
        <v>16</v>
      </c>
      <c r="H449" s="32">
        <v>200</v>
      </c>
      <c r="I449" s="32">
        <v>200</v>
      </c>
      <c r="J449" s="6"/>
      <c r="K449" s="48"/>
      <c r="L449" s="10">
        <v>20201118</v>
      </c>
      <c r="M449" s="36" t="str">
        <f t="shared" si="6"/>
        <v>19620621</v>
      </c>
    </row>
    <row r="450" s="1" customFormat="1" spans="1:13">
      <c r="A450" s="2">
        <v>2160</v>
      </c>
      <c r="B450" s="9" t="s">
        <v>4837</v>
      </c>
      <c r="C450" s="9" t="s">
        <v>4868</v>
      </c>
      <c r="D450" s="9" t="s">
        <v>4869</v>
      </c>
      <c r="E450" s="6" t="s">
        <v>15</v>
      </c>
      <c r="F450" s="6">
        <v>2020</v>
      </c>
      <c r="G450" s="9" t="s">
        <v>2480</v>
      </c>
      <c r="H450" s="9">
        <v>200</v>
      </c>
      <c r="I450" s="9">
        <v>200</v>
      </c>
      <c r="J450" s="6"/>
      <c r="K450" s="10"/>
      <c r="L450" s="10">
        <v>20201118</v>
      </c>
      <c r="M450" s="36" t="str">
        <f t="shared" ref="M450:M513" si="7">MID(D450,7,8)</f>
        <v>19620623</v>
      </c>
    </row>
    <row r="451" s="1" customFormat="1" spans="1:13">
      <c r="A451" s="2">
        <v>4994</v>
      </c>
      <c r="B451" s="6" t="s">
        <v>9954</v>
      </c>
      <c r="C451" s="60" t="s">
        <v>10126</v>
      </c>
      <c r="D451" s="60" t="s">
        <v>10127</v>
      </c>
      <c r="E451" s="5" t="s">
        <v>15</v>
      </c>
      <c r="F451" s="5" t="s">
        <v>15</v>
      </c>
      <c r="G451" s="14" t="s">
        <v>16</v>
      </c>
      <c r="H451" s="6">
        <v>200</v>
      </c>
      <c r="I451" s="6">
        <v>200</v>
      </c>
      <c r="J451" s="6"/>
      <c r="K451" s="6"/>
      <c r="L451" s="10">
        <v>20201118</v>
      </c>
      <c r="M451" s="36" t="str">
        <f t="shared" si="7"/>
        <v>19620624</v>
      </c>
    </row>
    <row r="452" s="1" customFormat="1" spans="1:13">
      <c r="A452" s="2">
        <v>7595</v>
      </c>
      <c r="B452" s="5" t="s">
        <v>14402</v>
      </c>
      <c r="C452" s="5" t="s">
        <v>14789</v>
      </c>
      <c r="D452" s="5" t="s">
        <v>14790</v>
      </c>
      <c r="E452" s="5">
        <v>2020</v>
      </c>
      <c r="F452" s="5">
        <v>2020</v>
      </c>
      <c r="G452" s="17" t="s">
        <v>16</v>
      </c>
      <c r="H452" s="5">
        <v>500</v>
      </c>
      <c r="I452" s="5">
        <v>500</v>
      </c>
      <c r="J452" s="5"/>
      <c r="K452" s="10"/>
      <c r="L452" s="10">
        <v>20201118</v>
      </c>
      <c r="M452" s="36" t="str">
        <f t="shared" si="7"/>
        <v>19620624</v>
      </c>
    </row>
    <row r="453" s="1" customFormat="1" spans="1:13">
      <c r="A453" s="2">
        <v>8067</v>
      </c>
      <c r="B453" s="5" t="s">
        <v>15086</v>
      </c>
      <c r="C453" s="6" t="s">
        <v>15347</v>
      </c>
      <c r="D453" s="6" t="str">
        <f>"152326196206246877"</f>
        <v>152326196206246877</v>
      </c>
      <c r="E453" s="5" t="s">
        <v>15</v>
      </c>
      <c r="F453" s="5">
        <v>2020</v>
      </c>
      <c r="G453" s="5" t="s">
        <v>16</v>
      </c>
      <c r="H453" s="5">
        <v>200</v>
      </c>
      <c r="I453" s="5">
        <v>200</v>
      </c>
      <c r="J453" s="5"/>
      <c r="K453" s="5"/>
      <c r="L453" s="10">
        <v>20201118</v>
      </c>
      <c r="M453" s="36" t="str">
        <f t="shared" si="7"/>
        <v>19620624</v>
      </c>
    </row>
    <row r="454" s="1" customFormat="1" spans="1:13">
      <c r="A454" s="2">
        <v>4472</v>
      </c>
      <c r="B454" s="6" t="s">
        <v>9015</v>
      </c>
      <c r="C454" s="6" t="s">
        <v>9128</v>
      </c>
      <c r="D454" s="6" t="s">
        <v>9129</v>
      </c>
      <c r="E454" s="6">
        <v>2020</v>
      </c>
      <c r="F454" s="6">
        <v>2020</v>
      </c>
      <c r="G454" s="6" t="s">
        <v>16</v>
      </c>
      <c r="H454" s="6">
        <v>200</v>
      </c>
      <c r="I454" s="6">
        <v>200</v>
      </c>
      <c r="J454" s="6"/>
      <c r="K454" s="6"/>
      <c r="L454" s="10">
        <v>20201118</v>
      </c>
      <c r="M454" s="36" t="str">
        <f t="shared" si="7"/>
        <v>19620625</v>
      </c>
    </row>
    <row r="455" s="1" customFormat="1" spans="1:13">
      <c r="A455" s="2">
        <v>4164</v>
      </c>
      <c r="B455" s="9" t="s">
        <v>8515</v>
      </c>
      <c r="C455" s="9" t="s">
        <v>8438</v>
      </c>
      <c r="D455" s="9" t="s">
        <v>8535</v>
      </c>
      <c r="E455" s="5" t="s">
        <v>15</v>
      </c>
      <c r="F455" s="5">
        <v>2020</v>
      </c>
      <c r="G455" s="9" t="s">
        <v>2480</v>
      </c>
      <c r="H455" s="9">
        <v>200</v>
      </c>
      <c r="I455" s="9">
        <v>200</v>
      </c>
      <c r="J455" s="9"/>
      <c r="K455" s="9"/>
      <c r="L455" s="10">
        <v>20201118</v>
      </c>
      <c r="M455" s="36" t="str">
        <f t="shared" si="7"/>
        <v>19620626</v>
      </c>
    </row>
    <row r="456" s="1" customFormat="1" spans="1:13">
      <c r="A456" s="2">
        <v>4916</v>
      </c>
      <c r="B456" s="6" t="s">
        <v>9954</v>
      </c>
      <c r="C456" s="60" t="s">
        <v>9973</v>
      </c>
      <c r="D456" s="60" t="s">
        <v>9974</v>
      </c>
      <c r="E456" s="5" t="s">
        <v>15</v>
      </c>
      <c r="F456" s="5" t="s">
        <v>15</v>
      </c>
      <c r="G456" s="14" t="s">
        <v>16</v>
      </c>
      <c r="H456" s="6">
        <v>200</v>
      </c>
      <c r="I456" s="6">
        <v>200</v>
      </c>
      <c r="J456" s="6"/>
      <c r="K456" s="6"/>
      <c r="L456" s="10">
        <v>20201118</v>
      </c>
      <c r="M456" s="36" t="str">
        <f t="shared" si="7"/>
        <v>19620626</v>
      </c>
    </row>
    <row r="457" s="1" customFormat="1" spans="1:13">
      <c r="A457" s="2">
        <v>6124</v>
      </c>
      <c r="B457" s="5" t="s">
        <v>12263</v>
      </c>
      <c r="C457" s="5" t="s">
        <v>12284</v>
      </c>
      <c r="D457" s="5" t="s">
        <v>12285</v>
      </c>
      <c r="E457" s="5" t="s">
        <v>10250</v>
      </c>
      <c r="F457" s="5">
        <v>2020</v>
      </c>
      <c r="G457" s="17" t="s">
        <v>3359</v>
      </c>
      <c r="H457" s="5">
        <v>400</v>
      </c>
      <c r="I457" s="5">
        <v>400</v>
      </c>
      <c r="J457" s="5"/>
      <c r="K457" s="5"/>
      <c r="L457" s="10">
        <v>20201118</v>
      </c>
      <c r="M457" s="36" t="str">
        <f t="shared" si="7"/>
        <v>19620627</v>
      </c>
    </row>
    <row r="458" s="1" customFormat="1" spans="1:13">
      <c r="A458" s="2">
        <v>265</v>
      </c>
      <c r="B458" s="14" t="s">
        <v>327</v>
      </c>
      <c r="C458" s="17" t="s">
        <v>681</v>
      </c>
      <c r="D458" s="17" t="s">
        <v>682</v>
      </c>
      <c r="E458" s="5">
        <v>2020</v>
      </c>
      <c r="F458" s="5">
        <v>2020</v>
      </c>
      <c r="G458" s="14" t="s">
        <v>16</v>
      </c>
      <c r="H458" s="17">
        <v>200</v>
      </c>
      <c r="I458" s="17">
        <v>200</v>
      </c>
      <c r="J458" s="17"/>
      <c r="K458" s="10"/>
      <c r="L458" s="2" t="s">
        <v>330</v>
      </c>
      <c r="M458" s="36" t="str">
        <f t="shared" si="7"/>
        <v>19620629</v>
      </c>
    </row>
    <row r="459" s="1" customFormat="1" spans="1:13">
      <c r="A459" s="2">
        <v>380</v>
      </c>
      <c r="B459" s="14" t="s">
        <v>327</v>
      </c>
      <c r="C459" s="3" t="s">
        <v>1027</v>
      </c>
      <c r="D459" s="3" t="s">
        <v>1028</v>
      </c>
      <c r="E459" s="5">
        <v>2011</v>
      </c>
      <c r="F459" s="5">
        <v>2020</v>
      </c>
      <c r="G459" s="17" t="s">
        <v>1007</v>
      </c>
      <c r="H459" s="3">
        <v>200</v>
      </c>
      <c r="I459" s="3">
        <v>2000</v>
      </c>
      <c r="J459" s="3"/>
      <c r="K459" s="10"/>
      <c r="L459" s="14" t="s">
        <v>330</v>
      </c>
      <c r="M459" s="36" t="str">
        <f t="shared" si="7"/>
        <v>19620702</v>
      </c>
    </row>
    <row r="460" s="1" customFormat="1" spans="1:13">
      <c r="A460" s="2">
        <v>4428</v>
      </c>
      <c r="B460" s="6" t="s">
        <v>9015</v>
      </c>
      <c r="C460" s="6" t="s">
        <v>9045</v>
      </c>
      <c r="D460" s="6" t="s">
        <v>9046</v>
      </c>
      <c r="E460" s="6">
        <v>2020</v>
      </c>
      <c r="F460" s="6">
        <v>2020</v>
      </c>
      <c r="G460" s="6" t="s">
        <v>16</v>
      </c>
      <c r="H460" s="6">
        <v>200</v>
      </c>
      <c r="I460" s="6">
        <v>200</v>
      </c>
      <c r="J460" s="6"/>
      <c r="K460" s="6"/>
      <c r="L460" s="10">
        <v>20201118</v>
      </c>
      <c r="M460" s="36" t="str">
        <f t="shared" si="7"/>
        <v>19620703</v>
      </c>
    </row>
    <row r="461" s="1" customFormat="1" spans="1:13">
      <c r="A461" s="2">
        <v>394</v>
      </c>
      <c r="B461" s="29" t="s">
        <v>1040</v>
      </c>
      <c r="C461" s="29" t="s">
        <v>1064</v>
      </c>
      <c r="D461" s="29" t="s">
        <v>1065</v>
      </c>
      <c r="E461" s="30">
        <v>2020</v>
      </c>
      <c r="F461" s="30">
        <v>2020</v>
      </c>
      <c r="G461" s="29" t="s">
        <v>16</v>
      </c>
      <c r="H461" s="29">
        <v>200</v>
      </c>
      <c r="I461" s="29">
        <v>200</v>
      </c>
      <c r="J461" s="29"/>
      <c r="K461" s="47"/>
      <c r="L461" s="2" t="s">
        <v>330</v>
      </c>
      <c r="M461" s="36" t="str">
        <f t="shared" si="7"/>
        <v>19620704</v>
      </c>
    </row>
    <row r="462" s="1" customFormat="1" spans="1:13">
      <c r="A462" s="2">
        <v>3612</v>
      </c>
      <c r="B462" s="5" t="s">
        <v>7412</v>
      </c>
      <c r="C462" s="5" t="s">
        <v>4981</v>
      </c>
      <c r="D462" s="5" t="s">
        <v>7491</v>
      </c>
      <c r="E462" s="6">
        <v>2020</v>
      </c>
      <c r="F462" s="6">
        <v>2020</v>
      </c>
      <c r="G462" s="5" t="s">
        <v>3359</v>
      </c>
      <c r="H462" s="5">
        <v>200</v>
      </c>
      <c r="I462" s="5">
        <v>200</v>
      </c>
      <c r="J462" s="5"/>
      <c r="K462" s="5"/>
      <c r="L462" s="10">
        <v>20201118</v>
      </c>
      <c r="M462" s="36" t="str">
        <f t="shared" si="7"/>
        <v>19620705</v>
      </c>
    </row>
    <row r="463" s="1" customFormat="1" spans="1:13">
      <c r="A463" s="2">
        <v>6327</v>
      </c>
      <c r="B463" s="5" t="s">
        <v>12263</v>
      </c>
      <c r="C463" s="5" t="s">
        <v>12671</v>
      </c>
      <c r="D463" s="5" t="s">
        <v>12672</v>
      </c>
      <c r="E463" s="5" t="s">
        <v>10250</v>
      </c>
      <c r="F463" s="5">
        <v>2020</v>
      </c>
      <c r="G463" s="17" t="s">
        <v>3359</v>
      </c>
      <c r="H463" s="5" t="s">
        <v>311</v>
      </c>
      <c r="I463" s="5">
        <v>200</v>
      </c>
      <c r="J463" s="5"/>
      <c r="K463" s="5"/>
      <c r="L463" s="10">
        <v>20201118</v>
      </c>
      <c r="M463" s="36" t="str">
        <f t="shared" si="7"/>
        <v>19620705</v>
      </c>
    </row>
    <row r="464" s="1" customFormat="1" spans="1:13">
      <c r="A464" s="2">
        <v>4165</v>
      </c>
      <c r="B464" s="9" t="s">
        <v>8515</v>
      </c>
      <c r="C464" s="9" t="s">
        <v>8536</v>
      </c>
      <c r="D464" s="9" t="s">
        <v>8537</v>
      </c>
      <c r="E464" s="5" t="s">
        <v>15</v>
      </c>
      <c r="F464" s="5">
        <v>2020</v>
      </c>
      <c r="G464" s="9" t="s">
        <v>2480</v>
      </c>
      <c r="H464" s="9">
        <v>200</v>
      </c>
      <c r="I464" s="9">
        <v>200</v>
      </c>
      <c r="J464" s="9"/>
      <c r="K464" s="9"/>
      <c r="L464" s="10">
        <v>20201118</v>
      </c>
      <c r="M464" s="36" t="str">
        <f t="shared" si="7"/>
        <v>19620707</v>
      </c>
    </row>
    <row r="465" s="1" customFormat="1" spans="1:13">
      <c r="A465" s="2">
        <v>954</v>
      </c>
      <c r="B465" s="5" t="s">
        <v>2469</v>
      </c>
      <c r="C465" s="9" t="s">
        <v>2500</v>
      </c>
      <c r="D465" s="9" t="s">
        <v>2501</v>
      </c>
      <c r="E465" s="5">
        <v>2020</v>
      </c>
      <c r="F465" s="5">
        <v>2020</v>
      </c>
      <c r="G465" s="9" t="s">
        <v>2480</v>
      </c>
      <c r="H465" s="9">
        <v>200</v>
      </c>
      <c r="I465" s="9">
        <v>200</v>
      </c>
      <c r="J465" s="5"/>
      <c r="K465" s="5"/>
      <c r="L465" s="10">
        <v>20201118</v>
      </c>
      <c r="M465" s="36" t="str">
        <f t="shared" si="7"/>
        <v>19620708</v>
      </c>
    </row>
    <row r="466" s="1" customFormat="1" spans="1:13">
      <c r="A466" s="2">
        <v>2548</v>
      </c>
      <c r="B466" s="32" t="s">
        <v>5602</v>
      </c>
      <c r="C466" s="9" t="s">
        <v>5634</v>
      </c>
      <c r="D466" s="9" t="s">
        <v>5635</v>
      </c>
      <c r="E466" s="32">
        <v>2020</v>
      </c>
      <c r="F466" s="32">
        <v>2020</v>
      </c>
      <c r="G466" s="32" t="s">
        <v>16</v>
      </c>
      <c r="H466" s="9">
        <v>200</v>
      </c>
      <c r="I466" s="9">
        <v>200</v>
      </c>
      <c r="J466" s="32"/>
      <c r="K466" s="52"/>
      <c r="L466" s="10">
        <v>20201118</v>
      </c>
      <c r="M466" s="36" t="str">
        <f t="shared" si="7"/>
        <v>19620710</v>
      </c>
    </row>
    <row r="467" s="1" customFormat="1" spans="1:13">
      <c r="A467" s="2">
        <v>5797</v>
      </c>
      <c r="B467" s="30" t="s">
        <v>11090</v>
      </c>
      <c r="C467" s="30" t="s">
        <v>11663</v>
      </c>
      <c r="D467" s="30" t="s">
        <v>11664</v>
      </c>
      <c r="E467" s="5" t="s">
        <v>15</v>
      </c>
      <c r="F467" s="5" t="s">
        <v>10250</v>
      </c>
      <c r="G467" s="6" t="s">
        <v>16</v>
      </c>
      <c r="H467" s="32">
        <v>200</v>
      </c>
      <c r="I467" s="32">
        <v>200</v>
      </c>
      <c r="J467" s="6" t="s">
        <v>6345</v>
      </c>
      <c r="K467" s="48"/>
      <c r="L467" s="10">
        <v>20201118</v>
      </c>
      <c r="M467" s="36" t="str">
        <f t="shared" si="7"/>
        <v>19620710</v>
      </c>
    </row>
    <row r="468" s="1" customFormat="1" spans="1:13">
      <c r="A468" s="2">
        <v>3501</v>
      </c>
      <c r="B468" s="5" t="s">
        <v>3375</v>
      </c>
      <c r="C468" s="6" t="s">
        <v>7290</v>
      </c>
      <c r="D468" s="6" t="str">
        <f>"152326196207136872"</f>
        <v>152326196207136872</v>
      </c>
      <c r="E468" s="5" t="s">
        <v>15</v>
      </c>
      <c r="F468" s="5">
        <v>2020</v>
      </c>
      <c r="G468" s="14" t="s">
        <v>16</v>
      </c>
      <c r="H468" s="17">
        <v>200</v>
      </c>
      <c r="I468" s="17">
        <v>200</v>
      </c>
      <c r="J468" s="6"/>
      <c r="K468" s="10"/>
      <c r="L468" s="10">
        <v>20201118</v>
      </c>
      <c r="M468" s="36" t="str">
        <f t="shared" si="7"/>
        <v>19620713</v>
      </c>
    </row>
    <row r="469" s="1" customFormat="1" spans="1:13">
      <c r="A469" s="2">
        <v>2161</v>
      </c>
      <c r="B469" s="9" t="s">
        <v>4837</v>
      </c>
      <c r="C469" s="9" t="s">
        <v>4870</v>
      </c>
      <c r="D469" s="9" t="s">
        <v>4871</v>
      </c>
      <c r="E469" s="6" t="s">
        <v>15</v>
      </c>
      <c r="F469" s="6">
        <v>2020</v>
      </c>
      <c r="G469" s="9" t="s">
        <v>2480</v>
      </c>
      <c r="H469" s="9">
        <v>200</v>
      </c>
      <c r="I469" s="9">
        <v>200</v>
      </c>
      <c r="J469" s="6"/>
      <c r="K469" s="10"/>
      <c r="L469" s="10">
        <v>20201118</v>
      </c>
      <c r="M469" s="36" t="str">
        <f t="shared" si="7"/>
        <v>19620715</v>
      </c>
    </row>
    <row r="470" s="1" customFormat="1" spans="1:13">
      <c r="A470" s="2">
        <v>4448</v>
      </c>
      <c r="B470" s="6" t="s">
        <v>9015</v>
      </c>
      <c r="C470" s="6" t="s">
        <v>9083</v>
      </c>
      <c r="D470" s="6" t="s">
        <v>9084</v>
      </c>
      <c r="E470" s="6">
        <v>2020</v>
      </c>
      <c r="F470" s="6">
        <v>2020</v>
      </c>
      <c r="G470" s="6" t="s">
        <v>16</v>
      </c>
      <c r="H470" s="6">
        <v>200</v>
      </c>
      <c r="I470" s="6">
        <v>200</v>
      </c>
      <c r="J470" s="6"/>
      <c r="K470" s="6"/>
      <c r="L470" s="10">
        <v>20201118</v>
      </c>
      <c r="M470" s="36" t="str">
        <f t="shared" si="7"/>
        <v>19620716</v>
      </c>
    </row>
    <row r="471" s="1" customFormat="1" ht="14.25" spans="1:13">
      <c r="A471" s="2">
        <v>7788</v>
      </c>
      <c r="B471" s="5" t="s">
        <v>14875</v>
      </c>
      <c r="C471" s="51" t="s">
        <v>803</v>
      </c>
      <c r="D471" s="24" t="str">
        <f>"152326196207177113"</f>
        <v>152326196207177113</v>
      </c>
      <c r="E471" s="6" t="s">
        <v>15</v>
      </c>
      <c r="F471" s="6">
        <v>2020</v>
      </c>
      <c r="G471" s="24" t="s">
        <v>14877</v>
      </c>
      <c r="H471" s="6">
        <v>200</v>
      </c>
      <c r="I471" s="6">
        <v>200</v>
      </c>
      <c r="J471" s="6"/>
      <c r="K471" s="10"/>
      <c r="L471" s="10">
        <v>20201118</v>
      </c>
      <c r="M471" s="36" t="str">
        <f t="shared" si="7"/>
        <v>19620717</v>
      </c>
    </row>
    <row r="472" s="1" customFormat="1" spans="1:13">
      <c r="A472" s="2">
        <v>2549</v>
      </c>
      <c r="B472" s="32" t="s">
        <v>5602</v>
      </c>
      <c r="C472" s="9" t="s">
        <v>5636</v>
      </c>
      <c r="D472" s="9" t="s">
        <v>5637</v>
      </c>
      <c r="E472" s="32">
        <v>2020</v>
      </c>
      <c r="F472" s="32">
        <v>2020</v>
      </c>
      <c r="G472" s="32" t="s">
        <v>16</v>
      </c>
      <c r="H472" s="9">
        <v>200</v>
      </c>
      <c r="I472" s="9">
        <v>200</v>
      </c>
      <c r="J472" s="32"/>
      <c r="K472" s="52"/>
      <c r="L472" s="10">
        <v>20201118</v>
      </c>
      <c r="M472" s="36" t="str">
        <f t="shared" si="7"/>
        <v>19620719</v>
      </c>
    </row>
    <row r="473" s="1" customFormat="1" spans="1:13">
      <c r="A473" s="2">
        <v>198</v>
      </c>
      <c r="B473" s="14" t="s">
        <v>327</v>
      </c>
      <c r="C473" s="14" t="s">
        <v>482</v>
      </c>
      <c r="D473" s="14" t="s">
        <v>483</v>
      </c>
      <c r="E473" s="5">
        <v>2020</v>
      </c>
      <c r="F473" s="5">
        <v>2020</v>
      </c>
      <c r="G473" s="14" t="s">
        <v>16</v>
      </c>
      <c r="H473" s="14">
        <v>200</v>
      </c>
      <c r="I473" s="14">
        <v>200</v>
      </c>
      <c r="J473" s="14"/>
      <c r="K473" s="10"/>
      <c r="L473" s="14" t="s">
        <v>330</v>
      </c>
      <c r="M473" s="36" t="str">
        <f t="shared" si="7"/>
        <v>19620720</v>
      </c>
    </row>
    <row r="474" s="1" customFormat="1" spans="1:13">
      <c r="A474" s="2">
        <v>1433</v>
      </c>
      <c r="B474" s="5" t="s">
        <v>3381</v>
      </c>
      <c r="C474" s="9" t="s">
        <v>3436</v>
      </c>
      <c r="D474" s="9" t="s">
        <v>3437</v>
      </c>
      <c r="E474" s="5">
        <v>2020</v>
      </c>
      <c r="F474" s="5">
        <v>2020</v>
      </c>
      <c r="G474" s="14" t="s">
        <v>16</v>
      </c>
      <c r="H474" s="6">
        <v>200</v>
      </c>
      <c r="I474" s="6">
        <v>200</v>
      </c>
      <c r="J474" s="5"/>
      <c r="K474" s="13"/>
      <c r="L474" s="10">
        <v>20201118</v>
      </c>
      <c r="M474" s="36" t="str">
        <f t="shared" si="7"/>
        <v>19620720</v>
      </c>
    </row>
    <row r="475" s="1" customFormat="1" spans="1:13">
      <c r="A475" s="2">
        <v>1434</v>
      </c>
      <c r="B475" s="5" t="s">
        <v>3381</v>
      </c>
      <c r="C475" s="9" t="s">
        <v>3438</v>
      </c>
      <c r="D475" s="9" t="s">
        <v>3439</v>
      </c>
      <c r="E475" s="5">
        <v>2020</v>
      </c>
      <c r="F475" s="5">
        <v>2020</v>
      </c>
      <c r="G475" s="14" t="s">
        <v>16</v>
      </c>
      <c r="H475" s="6">
        <v>200</v>
      </c>
      <c r="I475" s="6">
        <v>200</v>
      </c>
      <c r="J475" s="5"/>
      <c r="K475" s="13"/>
      <c r="L475" s="10">
        <v>20201118</v>
      </c>
      <c r="M475" s="36" t="str">
        <f t="shared" si="7"/>
        <v>19620721</v>
      </c>
    </row>
    <row r="476" s="1" customFormat="1" spans="1:13">
      <c r="A476" s="2">
        <v>7049</v>
      </c>
      <c r="B476" s="5" t="s">
        <v>13533</v>
      </c>
      <c r="C476" s="32" t="s">
        <v>13795</v>
      </c>
      <c r="D476" s="32" t="str">
        <f>"152326196207227125"</f>
        <v>152326196207227125</v>
      </c>
      <c r="E476" s="5">
        <v>2020</v>
      </c>
      <c r="F476" s="5">
        <v>2020</v>
      </c>
      <c r="G476" s="9" t="s">
        <v>2480</v>
      </c>
      <c r="H476" s="32">
        <v>200</v>
      </c>
      <c r="I476" s="32">
        <v>200</v>
      </c>
      <c r="J476" s="32"/>
      <c r="K476" s="10"/>
      <c r="L476" s="10">
        <v>20201118</v>
      </c>
      <c r="M476" s="36" t="str">
        <f t="shared" si="7"/>
        <v>19620722</v>
      </c>
    </row>
    <row r="477" s="1" customFormat="1" spans="1:13">
      <c r="A477" s="2">
        <v>2162</v>
      </c>
      <c r="B477" s="9" t="s">
        <v>4837</v>
      </c>
      <c r="C477" s="9" t="s">
        <v>4872</v>
      </c>
      <c r="D477" s="9" t="s">
        <v>4873</v>
      </c>
      <c r="E477" s="6" t="s">
        <v>15</v>
      </c>
      <c r="F477" s="6">
        <v>2020</v>
      </c>
      <c r="G477" s="9" t="s">
        <v>2480</v>
      </c>
      <c r="H477" s="9">
        <v>200</v>
      </c>
      <c r="I477" s="9">
        <v>200</v>
      </c>
      <c r="J477" s="6"/>
      <c r="K477" s="10"/>
      <c r="L477" s="10">
        <v>20201118</v>
      </c>
      <c r="M477" s="36" t="str">
        <f t="shared" si="7"/>
        <v>19620723</v>
      </c>
    </row>
    <row r="478" s="1" customFormat="1" spans="1:13">
      <c r="A478" s="2">
        <v>3498</v>
      </c>
      <c r="B478" s="5" t="s">
        <v>3375</v>
      </c>
      <c r="C478" s="6" t="s">
        <v>7284</v>
      </c>
      <c r="D478" s="6" t="s">
        <v>7285</v>
      </c>
      <c r="E478" s="5" t="s">
        <v>15</v>
      </c>
      <c r="F478" s="5">
        <v>2020</v>
      </c>
      <c r="G478" s="14" t="s">
        <v>16</v>
      </c>
      <c r="H478" s="17">
        <v>200</v>
      </c>
      <c r="I478" s="17">
        <v>200</v>
      </c>
      <c r="J478" s="6"/>
      <c r="K478" s="10"/>
      <c r="L478" s="10">
        <v>20201118</v>
      </c>
      <c r="M478" s="36" t="str">
        <f t="shared" si="7"/>
        <v>19620723</v>
      </c>
    </row>
    <row r="479" s="1" customFormat="1" spans="1:13">
      <c r="A479" s="2">
        <v>4166</v>
      </c>
      <c r="B479" s="9" t="s">
        <v>8515</v>
      </c>
      <c r="C479" s="9" t="s">
        <v>8538</v>
      </c>
      <c r="D479" s="9" t="s">
        <v>8539</v>
      </c>
      <c r="E479" s="5" t="s">
        <v>15</v>
      </c>
      <c r="F479" s="5">
        <v>2020</v>
      </c>
      <c r="G479" s="9" t="s">
        <v>2480</v>
      </c>
      <c r="H479" s="9">
        <v>200</v>
      </c>
      <c r="I479" s="9">
        <v>200</v>
      </c>
      <c r="J479" s="9"/>
      <c r="K479" s="9"/>
      <c r="L479" s="10">
        <v>20201118</v>
      </c>
      <c r="M479" s="36" t="str">
        <f t="shared" si="7"/>
        <v>19620723</v>
      </c>
    </row>
    <row r="480" s="1" customFormat="1" spans="1:13">
      <c r="A480" s="2">
        <v>4418</v>
      </c>
      <c r="B480" s="6" t="s">
        <v>9015</v>
      </c>
      <c r="C480" s="6" t="s">
        <v>7780</v>
      </c>
      <c r="D480" s="6" t="s">
        <v>9026</v>
      </c>
      <c r="E480" s="6">
        <v>2020</v>
      </c>
      <c r="F480" s="6">
        <v>2020</v>
      </c>
      <c r="G480" s="6" t="s">
        <v>16</v>
      </c>
      <c r="H480" s="6">
        <v>200</v>
      </c>
      <c r="I480" s="6">
        <v>200</v>
      </c>
      <c r="J480" s="6"/>
      <c r="K480" s="6"/>
      <c r="L480" s="10">
        <v>20201118</v>
      </c>
      <c r="M480" s="36" t="str">
        <f t="shared" si="7"/>
        <v>19620723</v>
      </c>
    </row>
    <row r="481" s="1" customFormat="1" spans="1:13">
      <c r="A481" s="2">
        <v>8062</v>
      </c>
      <c r="B481" s="5" t="s">
        <v>15086</v>
      </c>
      <c r="C481" s="6" t="s">
        <v>1351</v>
      </c>
      <c r="D481" s="6" t="str">
        <f>"152326196207236865"</f>
        <v>152326196207236865</v>
      </c>
      <c r="E481" s="5" t="s">
        <v>15</v>
      </c>
      <c r="F481" s="5">
        <v>2020</v>
      </c>
      <c r="G481" s="5" t="s">
        <v>16</v>
      </c>
      <c r="H481" s="5">
        <v>200</v>
      </c>
      <c r="I481" s="5">
        <v>200</v>
      </c>
      <c r="J481" s="5"/>
      <c r="K481" s="5"/>
      <c r="L481" s="10">
        <v>20201118</v>
      </c>
      <c r="M481" s="36" t="str">
        <f t="shared" si="7"/>
        <v>19620723</v>
      </c>
    </row>
    <row r="482" s="1" customFormat="1" spans="1:13">
      <c r="A482" s="2">
        <v>2773</v>
      </c>
      <c r="B482" s="6" t="s">
        <v>6075</v>
      </c>
      <c r="C482" s="63" t="s">
        <v>6076</v>
      </c>
      <c r="D482" s="63" t="s">
        <v>6077</v>
      </c>
      <c r="E482" s="5" t="s">
        <v>15</v>
      </c>
      <c r="F482" s="5">
        <v>2020</v>
      </c>
      <c r="G482" s="6" t="s">
        <v>16</v>
      </c>
      <c r="H482" s="6">
        <v>200</v>
      </c>
      <c r="I482" s="6">
        <v>200</v>
      </c>
      <c r="J482" s="6" t="s">
        <v>108</v>
      </c>
      <c r="K482" s="10"/>
      <c r="L482" s="10">
        <v>20201118</v>
      </c>
      <c r="M482" s="36" t="str">
        <f t="shared" si="7"/>
        <v>19620724</v>
      </c>
    </row>
    <row r="483" s="1" customFormat="1" spans="1:13">
      <c r="A483" s="2">
        <v>4167</v>
      </c>
      <c r="B483" s="9" t="s">
        <v>8515</v>
      </c>
      <c r="C483" s="9" t="s">
        <v>8540</v>
      </c>
      <c r="D483" s="9" t="s">
        <v>8541</v>
      </c>
      <c r="E483" s="5" t="s">
        <v>15</v>
      </c>
      <c r="F483" s="5">
        <v>2020</v>
      </c>
      <c r="G483" s="9" t="s">
        <v>2480</v>
      </c>
      <c r="H483" s="9">
        <v>200</v>
      </c>
      <c r="I483" s="9">
        <v>200</v>
      </c>
      <c r="J483" s="9"/>
      <c r="K483" s="9"/>
      <c r="L483" s="10">
        <v>20201118</v>
      </c>
      <c r="M483" s="36" t="str">
        <f t="shared" si="7"/>
        <v>19620724</v>
      </c>
    </row>
    <row r="484" s="1" customFormat="1" spans="1:13">
      <c r="A484" s="2">
        <v>4549</v>
      </c>
      <c r="B484" s="6" t="s">
        <v>9015</v>
      </c>
      <c r="C484" s="6" t="s">
        <v>773</v>
      </c>
      <c r="D484" s="6" t="s">
        <v>9278</v>
      </c>
      <c r="E484" s="6">
        <v>2020</v>
      </c>
      <c r="F484" s="6">
        <v>2020</v>
      </c>
      <c r="G484" s="6" t="s">
        <v>16</v>
      </c>
      <c r="H484" s="6">
        <v>200</v>
      </c>
      <c r="I484" s="6">
        <v>200</v>
      </c>
      <c r="J484" s="6"/>
      <c r="K484" s="6"/>
      <c r="L484" s="10">
        <v>20201118</v>
      </c>
      <c r="M484" s="36" t="str">
        <f t="shared" si="7"/>
        <v>19620724</v>
      </c>
    </row>
    <row r="485" s="1" customFormat="1" spans="1:13">
      <c r="A485" s="2">
        <v>8079</v>
      </c>
      <c r="B485" s="5" t="s">
        <v>15086</v>
      </c>
      <c r="C485" s="6" t="s">
        <v>15359</v>
      </c>
      <c r="D485" s="6" t="str">
        <f>"152326196207246887"</f>
        <v>152326196207246887</v>
      </c>
      <c r="E485" s="5" t="s">
        <v>15</v>
      </c>
      <c r="F485" s="5">
        <v>2020</v>
      </c>
      <c r="G485" s="5" t="s">
        <v>16</v>
      </c>
      <c r="H485" s="5">
        <v>1000</v>
      </c>
      <c r="I485" s="5">
        <v>1000</v>
      </c>
      <c r="J485" s="5"/>
      <c r="K485" s="5"/>
      <c r="L485" s="10">
        <v>20201118</v>
      </c>
      <c r="M485" s="36" t="str">
        <f t="shared" si="7"/>
        <v>19620724</v>
      </c>
    </row>
    <row r="486" s="1" customFormat="1" spans="1:13">
      <c r="A486" s="2">
        <v>2550</v>
      </c>
      <c r="B486" s="32" t="s">
        <v>5602</v>
      </c>
      <c r="C486" s="9" t="s">
        <v>5638</v>
      </c>
      <c r="D486" s="9" t="s">
        <v>5639</v>
      </c>
      <c r="E486" s="32">
        <v>2020</v>
      </c>
      <c r="F486" s="32">
        <v>2020</v>
      </c>
      <c r="G486" s="32" t="s">
        <v>16</v>
      </c>
      <c r="H486" s="9">
        <v>200</v>
      </c>
      <c r="I486" s="9">
        <v>200</v>
      </c>
      <c r="J486" s="32"/>
      <c r="K486" s="52"/>
      <c r="L486" s="10">
        <v>20201118</v>
      </c>
      <c r="M486" s="36" t="str">
        <f t="shared" si="7"/>
        <v>19620725</v>
      </c>
    </row>
    <row r="487" s="1" customFormat="1" spans="1:13">
      <c r="A487" s="2">
        <v>5082</v>
      </c>
      <c r="B487" s="6" t="s">
        <v>10242</v>
      </c>
      <c r="C487" s="9" t="s">
        <v>10296</v>
      </c>
      <c r="D487" s="9" t="s">
        <v>10297</v>
      </c>
      <c r="E487" s="5" t="s">
        <v>10250</v>
      </c>
      <c r="F487" s="5">
        <v>2020</v>
      </c>
      <c r="G487" s="6" t="s">
        <v>16</v>
      </c>
      <c r="H487" s="6">
        <v>200</v>
      </c>
      <c r="I487" s="6">
        <v>200</v>
      </c>
      <c r="J487" s="6"/>
      <c r="K487" s="5"/>
      <c r="L487" s="10">
        <v>20201118</v>
      </c>
      <c r="M487" s="36" t="str">
        <f t="shared" si="7"/>
        <v>19620725</v>
      </c>
    </row>
    <row r="488" s="1" customFormat="1" spans="1:13">
      <c r="A488" s="2">
        <v>955</v>
      </c>
      <c r="B488" s="5" t="s">
        <v>2469</v>
      </c>
      <c r="C488" s="9" t="s">
        <v>2502</v>
      </c>
      <c r="D488" s="9" t="s">
        <v>2503</v>
      </c>
      <c r="E488" s="5">
        <v>2020</v>
      </c>
      <c r="F488" s="5">
        <v>2020</v>
      </c>
      <c r="G488" s="9" t="s">
        <v>2480</v>
      </c>
      <c r="H488" s="9">
        <v>200</v>
      </c>
      <c r="I488" s="9">
        <v>200</v>
      </c>
      <c r="J488" s="5"/>
      <c r="K488" s="5"/>
      <c r="L488" s="10">
        <v>20201118</v>
      </c>
      <c r="M488" s="36" t="str">
        <f t="shared" si="7"/>
        <v>19620726</v>
      </c>
    </row>
    <row r="489" s="1" customFormat="1" spans="1:13">
      <c r="A489" s="2">
        <v>1401</v>
      </c>
      <c r="B489" s="5" t="s">
        <v>2469</v>
      </c>
      <c r="C489" s="9" t="s">
        <v>3364</v>
      </c>
      <c r="D489" s="9" t="s">
        <v>3365</v>
      </c>
      <c r="E489" s="5">
        <v>2011</v>
      </c>
      <c r="F489" s="5">
        <v>2020</v>
      </c>
      <c r="G489" s="9" t="s">
        <v>295</v>
      </c>
      <c r="H489" s="9">
        <v>200</v>
      </c>
      <c r="I489" s="9">
        <v>2000</v>
      </c>
      <c r="J489" s="5"/>
      <c r="K489" s="5"/>
      <c r="L489" s="10">
        <v>20201118</v>
      </c>
      <c r="M489" s="36" t="str">
        <f t="shared" si="7"/>
        <v>19620726</v>
      </c>
    </row>
    <row r="490" s="1" customFormat="1" spans="1:13">
      <c r="A490" s="2">
        <v>2388</v>
      </c>
      <c r="B490" s="9" t="s">
        <v>4837</v>
      </c>
      <c r="C490" s="6" t="s">
        <v>5313</v>
      </c>
      <c r="D490" s="293" t="s">
        <v>5314</v>
      </c>
      <c r="E490" s="6" t="s">
        <v>15</v>
      </c>
      <c r="F490" s="6">
        <v>2020</v>
      </c>
      <c r="G490" s="9" t="s">
        <v>2480</v>
      </c>
      <c r="H490" s="6">
        <v>200</v>
      </c>
      <c r="I490" s="6">
        <v>200</v>
      </c>
      <c r="J490" s="6" t="s">
        <v>5315</v>
      </c>
      <c r="K490" s="10"/>
      <c r="L490" s="10">
        <v>20201118</v>
      </c>
      <c r="M490" s="36" t="str">
        <f t="shared" si="7"/>
        <v>19620726</v>
      </c>
    </row>
    <row r="491" s="1" customFormat="1" spans="1:13">
      <c r="A491" s="2">
        <v>3613</v>
      </c>
      <c r="B491" s="5" t="s">
        <v>7412</v>
      </c>
      <c r="C491" s="5" t="s">
        <v>7492</v>
      </c>
      <c r="D491" s="5" t="s">
        <v>7493</v>
      </c>
      <c r="E491" s="6">
        <v>2020</v>
      </c>
      <c r="F491" s="6">
        <v>2020</v>
      </c>
      <c r="G491" s="5" t="s">
        <v>3359</v>
      </c>
      <c r="H491" s="5">
        <v>200</v>
      </c>
      <c r="I491" s="5">
        <v>200</v>
      </c>
      <c r="J491" s="5"/>
      <c r="K491" s="5"/>
      <c r="L491" s="10">
        <v>20201118</v>
      </c>
      <c r="M491" s="36" t="str">
        <f t="shared" si="7"/>
        <v>19620728</v>
      </c>
    </row>
    <row r="492" s="1" customFormat="1" spans="1:13">
      <c r="A492" s="2">
        <v>3503</v>
      </c>
      <c r="B492" s="5" t="s">
        <v>3375</v>
      </c>
      <c r="C492" s="6" t="s">
        <v>7292</v>
      </c>
      <c r="D492" s="6" t="str">
        <f>"152326196207296868"</f>
        <v>152326196207296868</v>
      </c>
      <c r="E492" s="5" t="s">
        <v>15</v>
      </c>
      <c r="F492" s="5">
        <v>2020</v>
      </c>
      <c r="G492" s="14" t="s">
        <v>16</v>
      </c>
      <c r="H492" s="17">
        <v>200</v>
      </c>
      <c r="I492" s="17">
        <v>200</v>
      </c>
      <c r="J492" s="6"/>
      <c r="K492" s="10"/>
      <c r="L492" s="10">
        <v>20201118</v>
      </c>
      <c r="M492" s="36" t="str">
        <f t="shared" si="7"/>
        <v>19620729</v>
      </c>
    </row>
    <row r="493" s="1" customFormat="1" spans="1:13">
      <c r="A493" s="2">
        <v>2163</v>
      </c>
      <c r="B493" s="9" t="s">
        <v>4837</v>
      </c>
      <c r="C493" s="9" t="s">
        <v>4874</v>
      </c>
      <c r="D493" s="9" t="s">
        <v>4875</v>
      </c>
      <c r="E493" s="6" t="s">
        <v>15</v>
      </c>
      <c r="F493" s="6">
        <v>2020</v>
      </c>
      <c r="G493" s="9" t="s">
        <v>2480</v>
      </c>
      <c r="H493" s="9">
        <v>200</v>
      </c>
      <c r="I493" s="9">
        <v>200</v>
      </c>
      <c r="J493" s="6"/>
      <c r="K493" s="10"/>
      <c r="L493" s="10">
        <v>20201118</v>
      </c>
      <c r="M493" s="36" t="str">
        <f t="shared" si="7"/>
        <v>19620730</v>
      </c>
    </row>
    <row r="494" s="1" customFormat="1" spans="1:13">
      <c r="A494" s="2">
        <v>2164</v>
      </c>
      <c r="B494" s="9" t="s">
        <v>4837</v>
      </c>
      <c r="C494" s="9" t="s">
        <v>4876</v>
      </c>
      <c r="D494" s="9" t="s">
        <v>4877</v>
      </c>
      <c r="E494" s="6" t="s">
        <v>15</v>
      </c>
      <c r="F494" s="6">
        <v>2020</v>
      </c>
      <c r="G494" s="9" t="s">
        <v>2480</v>
      </c>
      <c r="H494" s="9">
        <v>200</v>
      </c>
      <c r="I494" s="9">
        <v>200</v>
      </c>
      <c r="J494" s="6"/>
      <c r="K494" s="10"/>
      <c r="L494" s="10">
        <v>20201118</v>
      </c>
      <c r="M494" s="36" t="str">
        <f t="shared" si="7"/>
        <v>19620801</v>
      </c>
    </row>
    <row r="495" s="1" customFormat="1" spans="1:13">
      <c r="A495" s="2">
        <v>3614</v>
      </c>
      <c r="B495" s="5" t="s">
        <v>7412</v>
      </c>
      <c r="C495" s="5" t="s">
        <v>7494</v>
      </c>
      <c r="D495" s="5" t="s">
        <v>7495</v>
      </c>
      <c r="E495" s="6">
        <v>2020</v>
      </c>
      <c r="F495" s="6">
        <v>2020</v>
      </c>
      <c r="G495" s="5" t="s">
        <v>3359</v>
      </c>
      <c r="H495" s="5">
        <v>200</v>
      </c>
      <c r="I495" s="5">
        <v>200</v>
      </c>
      <c r="J495" s="5"/>
      <c r="K495" s="5"/>
      <c r="L495" s="10">
        <v>20201118</v>
      </c>
      <c r="M495" s="36" t="str">
        <f t="shared" si="7"/>
        <v>19620801</v>
      </c>
    </row>
    <row r="496" s="1" customFormat="1" spans="1:13">
      <c r="A496" s="2">
        <v>6256</v>
      </c>
      <c r="B496" s="5" t="s">
        <v>12263</v>
      </c>
      <c r="C496" s="5" t="s">
        <v>6491</v>
      </c>
      <c r="D496" s="5" t="s">
        <v>12534</v>
      </c>
      <c r="E496" s="5" t="s">
        <v>10250</v>
      </c>
      <c r="F496" s="5">
        <v>2020</v>
      </c>
      <c r="G496" s="17" t="s">
        <v>3359</v>
      </c>
      <c r="H496" s="5">
        <v>200</v>
      </c>
      <c r="I496" s="5">
        <v>200</v>
      </c>
      <c r="J496" s="5"/>
      <c r="K496" s="5"/>
      <c r="L496" s="10">
        <v>20201118</v>
      </c>
      <c r="M496" s="36" t="str">
        <f t="shared" si="7"/>
        <v>19620801</v>
      </c>
    </row>
    <row r="497" s="1" customFormat="1" spans="1:13">
      <c r="A497" s="2">
        <v>6313</v>
      </c>
      <c r="B497" s="5" t="s">
        <v>12263</v>
      </c>
      <c r="C497" s="5" t="s">
        <v>12643</v>
      </c>
      <c r="D497" s="5" t="s">
        <v>12644</v>
      </c>
      <c r="E497" s="5" t="s">
        <v>10250</v>
      </c>
      <c r="F497" s="5">
        <v>2020</v>
      </c>
      <c r="G497" s="17" t="s">
        <v>3359</v>
      </c>
      <c r="H497" s="5">
        <v>200</v>
      </c>
      <c r="I497" s="5">
        <v>200</v>
      </c>
      <c r="J497" s="5"/>
      <c r="K497" s="5"/>
      <c r="L497" s="10">
        <v>20201118</v>
      </c>
      <c r="M497" s="36" t="str">
        <f t="shared" si="7"/>
        <v>19620801</v>
      </c>
    </row>
    <row r="498" s="1" customFormat="1" spans="1:13">
      <c r="A498" s="2">
        <v>1435</v>
      </c>
      <c r="B498" s="5" t="s">
        <v>3381</v>
      </c>
      <c r="C498" s="9" t="s">
        <v>3440</v>
      </c>
      <c r="D498" s="9" t="s">
        <v>3441</v>
      </c>
      <c r="E498" s="5">
        <v>2020</v>
      </c>
      <c r="F498" s="5">
        <v>2020</v>
      </c>
      <c r="G498" s="14" t="s">
        <v>16</v>
      </c>
      <c r="H498" s="6">
        <v>200</v>
      </c>
      <c r="I498" s="6">
        <v>200</v>
      </c>
      <c r="J498" s="5"/>
      <c r="K498" s="13"/>
      <c r="L498" s="10">
        <v>20201118</v>
      </c>
      <c r="M498" s="36" t="str">
        <f t="shared" si="7"/>
        <v>19620802</v>
      </c>
    </row>
    <row r="499" s="1" customFormat="1" ht="14.25" spans="1:13">
      <c r="A499" s="2">
        <v>1436</v>
      </c>
      <c r="B499" s="5" t="s">
        <v>3381</v>
      </c>
      <c r="C499" s="9" t="s">
        <v>3442</v>
      </c>
      <c r="D499" s="9" t="s">
        <v>3443</v>
      </c>
      <c r="E499" s="5">
        <v>2020</v>
      </c>
      <c r="F499" s="5">
        <v>2020</v>
      </c>
      <c r="G499" s="14" t="s">
        <v>16</v>
      </c>
      <c r="H499" s="6">
        <v>200</v>
      </c>
      <c r="I499" s="6">
        <v>200</v>
      </c>
      <c r="J499" s="24" t="s">
        <v>3405</v>
      </c>
      <c r="K499" s="13"/>
      <c r="L499" s="10">
        <v>20201118</v>
      </c>
      <c r="M499" s="36" t="str">
        <f t="shared" si="7"/>
        <v>19620802</v>
      </c>
    </row>
    <row r="500" s="1" customFormat="1" spans="1:13">
      <c r="A500" s="2">
        <v>687</v>
      </c>
      <c r="B500" s="29" t="s">
        <v>1040</v>
      </c>
      <c r="C500" s="47" t="s">
        <v>1713</v>
      </c>
      <c r="D500" s="47" t="s">
        <v>1714</v>
      </c>
      <c r="E500" s="30">
        <v>2020</v>
      </c>
      <c r="F500" s="30">
        <v>2020</v>
      </c>
      <c r="G500" s="29" t="s">
        <v>16</v>
      </c>
      <c r="H500" s="29">
        <v>200</v>
      </c>
      <c r="I500" s="29">
        <v>200</v>
      </c>
      <c r="J500" s="29"/>
      <c r="K500" s="54"/>
      <c r="L500" s="14" t="s">
        <v>330</v>
      </c>
      <c r="M500" s="36" t="str">
        <f t="shared" si="7"/>
        <v>19620805</v>
      </c>
    </row>
    <row r="501" s="1" customFormat="1" spans="1:13">
      <c r="A501" s="2">
        <v>1845</v>
      </c>
      <c r="B501" s="5" t="s">
        <v>4189</v>
      </c>
      <c r="C501" s="16" t="s">
        <v>4254</v>
      </c>
      <c r="D501" s="16" t="s">
        <v>4255</v>
      </c>
      <c r="E501" s="5" t="s">
        <v>15</v>
      </c>
      <c r="F501" s="5" t="s">
        <v>15</v>
      </c>
      <c r="G501" s="5" t="s">
        <v>3359</v>
      </c>
      <c r="H501" s="16">
        <v>200</v>
      </c>
      <c r="I501" s="16">
        <v>200</v>
      </c>
      <c r="J501" s="5"/>
      <c r="K501" s="10"/>
      <c r="L501" s="10">
        <v>20201118</v>
      </c>
      <c r="M501" s="36" t="str">
        <f t="shared" si="7"/>
        <v>19620805</v>
      </c>
    </row>
    <row r="502" s="1" customFormat="1" ht="14.25" spans="1:13">
      <c r="A502" s="2">
        <v>3043</v>
      </c>
      <c r="B502" s="6" t="s">
        <v>6075</v>
      </c>
      <c r="C502" s="25" t="s">
        <v>6609</v>
      </c>
      <c r="D502" s="26" t="s">
        <v>6610</v>
      </c>
      <c r="E502" s="5" t="s">
        <v>15</v>
      </c>
      <c r="F502" s="5">
        <v>2020</v>
      </c>
      <c r="G502" s="6" t="s">
        <v>16</v>
      </c>
      <c r="H502" s="6">
        <v>200</v>
      </c>
      <c r="I502" s="6">
        <v>200</v>
      </c>
      <c r="J502" s="6"/>
      <c r="K502" s="10"/>
      <c r="L502" s="10">
        <v>20201118</v>
      </c>
      <c r="M502" s="36" t="str">
        <f t="shared" si="7"/>
        <v>19620806</v>
      </c>
    </row>
    <row r="503" s="1" customFormat="1" spans="1:13">
      <c r="A503" s="2">
        <v>5824</v>
      </c>
      <c r="B503" s="30" t="s">
        <v>11090</v>
      </c>
      <c r="C503" s="30" t="s">
        <v>11717</v>
      </c>
      <c r="D503" s="30" t="s">
        <v>11718</v>
      </c>
      <c r="E503" s="5" t="s">
        <v>15</v>
      </c>
      <c r="F503" s="5" t="s">
        <v>10250</v>
      </c>
      <c r="G503" s="6" t="s">
        <v>16</v>
      </c>
      <c r="H503" s="32">
        <v>200</v>
      </c>
      <c r="I503" s="32">
        <v>200</v>
      </c>
      <c r="J503" s="6"/>
      <c r="K503" s="48"/>
      <c r="L503" s="10">
        <v>20201118</v>
      </c>
      <c r="M503" s="36" t="str">
        <f t="shared" si="7"/>
        <v>19620806</v>
      </c>
    </row>
    <row r="504" s="1" customFormat="1" spans="1:13">
      <c r="A504" s="2">
        <v>7056</v>
      </c>
      <c r="B504" s="5" t="s">
        <v>13533</v>
      </c>
      <c r="C504" s="32" t="s">
        <v>13801</v>
      </c>
      <c r="D504" s="32" t="str">
        <f>"152326196208067119"</f>
        <v>152326196208067119</v>
      </c>
      <c r="E504" s="5">
        <v>2020</v>
      </c>
      <c r="F504" s="5">
        <v>2020</v>
      </c>
      <c r="G504" s="9" t="s">
        <v>2480</v>
      </c>
      <c r="H504" s="32">
        <v>200</v>
      </c>
      <c r="I504" s="32">
        <v>200</v>
      </c>
      <c r="J504" s="32"/>
      <c r="K504" s="10"/>
      <c r="L504" s="10">
        <v>20201118</v>
      </c>
      <c r="M504" s="36" t="str">
        <f t="shared" si="7"/>
        <v>19620806</v>
      </c>
    </row>
    <row r="505" s="1" customFormat="1" spans="1:13">
      <c r="A505" s="2">
        <v>1847</v>
      </c>
      <c r="B505" s="5" t="s">
        <v>4189</v>
      </c>
      <c r="C505" s="16" t="s">
        <v>4258</v>
      </c>
      <c r="D505" s="16" t="s">
        <v>4259</v>
      </c>
      <c r="E505" s="5" t="s">
        <v>15</v>
      </c>
      <c r="F505" s="5" t="s">
        <v>15</v>
      </c>
      <c r="G505" s="5" t="s">
        <v>3359</v>
      </c>
      <c r="H505" s="16">
        <v>200</v>
      </c>
      <c r="I505" s="16">
        <v>200</v>
      </c>
      <c r="J505" s="5"/>
      <c r="K505" s="10"/>
      <c r="L505" s="10">
        <v>20201118</v>
      </c>
      <c r="M505" s="36" t="str">
        <f t="shared" si="7"/>
        <v>19620808</v>
      </c>
    </row>
    <row r="506" s="1" customFormat="1" spans="1:13">
      <c r="A506" s="2">
        <v>4493</v>
      </c>
      <c r="B506" s="6" t="s">
        <v>9015</v>
      </c>
      <c r="C506" s="6" t="s">
        <v>9169</v>
      </c>
      <c r="D506" s="6" t="s">
        <v>9170</v>
      </c>
      <c r="E506" s="6">
        <v>2020</v>
      </c>
      <c r="F506" s="6">
        <v>2020</v>
      </c>
      <c r="G506" s="6" t="s">
        <v>16</v>
      </c>
      <c r="H506" s="6">
        <v>200</v>
      </c>
      <c r="I506" s="6">
        <v>200</v>
      </c>
      <c r="J506" s="6"/>
      <c r="K506" s="6"/>
      <c r="L506" s="10">
        <v>20201118</v>
      </c>
      <c r="M506" s="36" t="str">
        <f t="shared" si="7"/>
        <v>19620809</v>
      </c>
    </row>
    <row r="507" s="1" customFormat="1" spans="1:13">
      <c r="A507" s="2">
        <v>5836</v>
      </c>
      <c r="B507" s="30" t="s">
        <v>11090</v>
      </c>
      <c r="C507" s="30" t="s">
        <v>11738</v>
      </c>
      <c r="D507" s="30" t="s">
        <v>11739</v>
      </c>
      <c r="E507" s="5" t="s">
        <v>15</v>
      </c>
      <c r="F507" s="5" t="s">
        <v>10250</v>
      </c>
      <c r="G507" s="6" t="s">
        <v>16</v>
      </c>
      <c r="H507" s="32">
        <v>500</v>
      </c>
      <c r="I507" s="32">
        <v>500</v>
      </c>
      <c r="J507" s="6"/>
      <c r="K507" s="48"/>
      <c r="L507" s="10">
        <v>20201118</v>
      </c>
      <c r="M507" s="36" t="str">
        <f t="shared" si="7"/>
        <v>19620809</v>
      </c>
    </row>
    <row r="508" s="1" customFormat="1" spans="1:13">
      <c r="A508" s="2">
        <v>1437</v>
      </c>
      <c r="B508" s="5" t="s">
        <v>3381</v>
      </c>
      <c r="C508" s="9" t="s">
        <v>3444</v>
      </c>
      <c r="D508" s="9" t="s">
        <v>3445</v>
      </c>
      <c r="E508" s="5">
        <v>2020</v>
      </c>
      <c r="F508" s="5">
        <v>2020</v>
      </c>
      <c r="G508" s="14" t="s">
        <v>16</v>
      </c>
      <c r="H508" s="6">
        <v>200</v>
      </c>
      <c r="I508" s="6">
        <v>200</v>
      </c>
      <c r="J508" s="5"/>
      <c r="K508" s="13"/>
      <c r="L508" s="10">
        <v>20201118</v>
      </c>
      <c r="M508" s="36" t="str">
        <f t="shared" si="7"/>
        <v>19620810</v>
      </c>
    </row>
    <row r="509" s="1" customFormat="1" ht="14.25" spans="1:13">
      <c r="A509" s="2">
        <v>2967</v>
      </c>
      <c r="B509" s="6" t="s">
        <v>6075</v>
      </c>
      <c r="C509" s="25" t="s">
        <v>6459</v>
      </c>
      <c r="D509" s="26" t="s">
        <v>6460</v>
      </c>
      <c r="E509" s="5" t="s">
        <v>15</v>
      </c>
      <c r="F509" s="5">
        <v>2020</v>
      </c>
      <c r="G509" s="6" t="s">
        <v>16</v>
      </c>
      <c r="H509" s="6">
        <v>200</v>
      </c>
      <c r="I509" s="6">
        <v>200</v>
      </c>
      <c r="J509" s="6" t="s">
        <v>6097</v>
      </c>
      <c r="K509" s="10"/>
      <c r="L509" s="10">
        <v>20201118</v>
      </c>
      <c r="M509" s="36" t="str">
        <f t="shared" si="7"/>
        <v>19620810</v>
      </c>
    </row>
    <row r="510" s="1" customFormat="1" spans="1:13">
      <c r="A510" s="2">
        <v>1438</v>
      </c>
      <c r="B510" s="5" t="s">
        <v>3381</v>
      </c>
      <c r="C510" s="9" t="s">
        <v>3446</v>
      </c>
      <c r="D510" s="9" t="s">
        <v>3447</v>
      </c>
      <c r="E510" s="5">
        <v>2020</v>
      </c>
      <c r="F510" s="5">
        <v>2020</v>
      </c>
      <c r="G510" s="14" t="s">
        <v>16</v>
      </c>
      <c r="H510" s="6">
        <v>200</v>
      </c>
      <c r="I510" s="6">
        <v>200</v>
      </c>
      <c r="J510" s="5"/>
      <c r="K510" s="13"/>
      <c r="L510" s="10">
        <v>20201118</v>
      </c>
      <c r="M510" s="36" t="str">
        <f t="shared" si="7"/>
        <v>19620811</v>
      </c>
    </row>
    <row r="511" s="1" customFormat="1" spans="1:13">
      <c r="A511" s="2">
        <v>7593</v>
      </c>
      <c r="B511" s="5" t="s">
        <v>14402</v>
      </c>
      <c r="C511" s="5" t="s">
        <v>14785</v>
      </c>
      <c r="D511" s="5" t="s">
        <v>14786</v>
      </c>
      <c r="E511" s="5">
        <v>2020</v>
      </c>
      <c r="F511" s="5">
        <v>2020</v>
      </c>
      <c r="G511" s="17" t="s">
        <v>16</v>
      </c>
      <c r="H511" s="5">
        <v>200</v>
      </c>
      <c r="I511" s="5">
        <v>200</v>
      </c>
      <c r="J511" s="5"/>
      <c r="K511" s="10"/>
      <c r="L511" s="10">
        <v>20201118</v>
      </c>
      <c r="M511" s="36" t="str">
        <f t="shared" si="7"/>
        <v>19620814</v>
      </c>
    </row>
    <row r="512" s="1" customFormat="1" spans="1:13">
      <c r="A512" s="2">
        <v>393</v>
      </c>
      <c r="B512" s="29" t="s">
        <v>1040</v>
      </c>
      <c r="C512" s="29" t="s">
        <v>1062</v>
      </c>
      <c r="D512" s="29" t="s">
        <v>1063</v>
      </c>
      <c r="E512" s="30">
        <v>2020</v>
      </c>
      <c r="F512" s="30">
        <v>2020</v>
      </c>
      <c r="G512" s="29" t="s">
        <v>16</v>
      </c>
      <c r="H512" s="29">
        <v>200</v>
      </c>
      <c r="I512" s="29">
        <v>200</v>
      </c>
      <c r="J512" s="29"/>
      <c r="K512" s="47"/>
      <c r="L512" s="14" t="s">
        <v>330</v>
      </c>
      <c r="M512" s="36" t="str">
        <f t="shared" si="7"/>
        <v>19620815</v>
      </c>
    </row>
    <row r="513" s="1" customFormat="1" spans="1:13">
      <c r="A513" s="2">
        <v>3141</v>
      </c>
      <c r="B513" s="3" t="s">
        <v>6671</v>
      </c>
      <c r="C513" s="9" t="s">
        <v>6801</v>
      </c>
      <c r="D513" s="9" t="s">
        <v>6802</v>
      </c>
      <c r="E513" s="3" t="s">
        <v>15</v>
      </c>
      <c r="F513" s="3" t="s">
        <v>15</v>
      </c>
      <c r="G513" s="6" t="s">
        <v>3359</v>
      </c>
      <c r="H513" s="9">
        <v>200</v>
      </c>
      <c r="I513" s="9">
        <v>200</v>
      </c>
      <c r="J513" s="6"/>
      <c r="K513" s="5"/>
      <c r="L513" s="10">
        <v>20201118</v>
      </c>
      <c r="M513" s="36" t="str">
        <f t="shared" si="7"/>
        <v>19620815</v>
      </c>
    </row>
    <row r="514" s="1" customFormat="1" spans="1:13">
      <c r="A514" s="2">
        <v>7130</v>
      </c>
      <c r="B514" s="5" t="s">
        <v>13908</v>
      </c>
      <c r="C514" s="5" t="s">
        <v>9414</v>
      </c>
      <c r="D514" s="5" t="s">
        <v>13920</v>
      </c>
      <c r="E514" s="5" t="s">
        <v>15</v>
      </c>
      <c r="F514" s="5" t="s">
        <v>15</v>
      </c>
      <c r="G514" s="14" t="s">
        <v>16</v>
      </c>
      <c r="H514" s="17">
        <v>200</v>
      </c>
      <c r="I514" s="17">
        <v>200</v>
      </c>
      <c r="J514" s="5"/>
      <c r="K514" s="10"/>
      <c r="L514" s="10">
        <v>20201118</v>
      </c>
      <c r="M514" s="36" t="str">
        <f t="shared" ref="M514:M577" si="8">MID(D514,7,8)</f>
        <v>19620815</v>
      </c>
    </row>
    <row r="515" s="1" customFormat="1" spans="1:13">
      <c r="A515" s="2">
        <v>7266</v>
      </c>
      <c r="B515" s="5" t="s">
        <v>13908</v>
      </c>
      <c r="C515" s="5" t="s">
        <v>14174</v>
      </c>
      <c r="D515" s="5" t="s">
        <v>14175</v>
      </c>
      <c r="E515" s="5" t="s">
        <v>15</v>
      </c>
      <c r="F515" s="5" t="s">
        <v>15</v>
      </c>
      <c r="G515" s="14" t="s">
        <v>16</v>
      </c>
      <c r="H515" s="17">
        <v>200</v>
      </c>
      <c r="I515" s="17">
        <v>200</v>
      </c>
      <c r="J515" s="5"/>
      <c r="K515" s="10"/>
      <c r="L515" s="10">
        <v>20201118</v>
      </c>
      <c r="M515" s="36" t="str">
        <f t="shared" si="8"/>
        <v>19620815</v>
      </c>
    </row>
    <row r="516" s="1" customFormat="1" spans="1:13">
      <c r="A516" s="2">
        <v>7590</v>
      </c>
      <c r="B516" s="62" t="s">
        <v>14402</v>
      </c>
      <c r="C516" s="62" t="s">
        <v>14779</v>
      </c>
      <c r="D516" s="62" t="s">
        <v>14780</v>
      </c>
      <c r="E516" s="62">
        <v>2020</v>
      </c>
      <c r="F516" s="62">
        <v>2020</v>
      </c>
      <c r="G516" s="3" t="s">
        <v>16</v>
      </c>
      <c r="H516" s="62">
        <v>200</v>
      </c>
      <c r="I516" s="62">
        <v>200</v>
      </c>
      <c r="J516" s="62"/>
      <c r="K516" s="10"/>
      <c r="L516" s="10">
        <v>20201118</v>
      </c>
      <c r="M516" s="36" t="str">
        <f t="shared" si="8"/>
        <v>19620816</v>
      </c>
    </row>
    <row r="517" s="1" customFormat="1" spans="1:13">
      <c r="A517" s="2">
        <v>3142</v>
      </c>
      <c r="B517" s="3" t="s">
        <v>6671</v>
      </c>
      <c r="C517" s="9" t="s">
        <v>6803</v>
      </c>
      <c r="D517" s="9" t="s">
        <v>6804</v>
      </c>
      <c r="E517" s="3" t="s">
        <v>15</v>
      </c>
      <c r="F517" s="3" t="s">
        <v>15</v>
      </c>
      <c r="G517" s="6" t="s">
        <v>3359</v>
      </c>
      <c r="H517" s="9">
        <v>200</v>
      </c>
      <c r="I517" s="9">
        <v>200</v>
      </c>
      <c r="J517" s="6"/>
      <c r="K517" s="5"/>
      <c r="L517" s="10">
        <v>20201118</v>
      </c>
      <c r="M517" s="36" t="str">
        <f t="shared" si="8"/>
        <v>19620817</v>
      </c>
    </row>
    <row r="518" s="1" customFormat="1" spans="1:13">
      <c r="A518" s="2">
        <v>5641</v>
      </c>
      <c r="B518" s="30" t="s">
        <v>11090</v>
      </c>
      <c r="C518" s="30" t="s">
        <v>11370</v>
      </c>
      <c r="D518" s="30" t="s">
        <v>11371</v>
      </c>
      <c r="E518" s="5" t="s">
        <v>15</v>
      </c>
      <c r="F518" s="5" t="s">
        <v>10250</v>
      </c>
      <c r="G518" s="6" t="s">
        <v>16</v>
      </c>
      <c r="H518" s="32">
        <v>300</v>
      </c>
      <c r="I518" s="32">
        <v>300</v>
      </c>
      <c r="J518" s="6"/>
      <c r="K518" s="48"/>
      <c r="L518" s="10">
        <v>20201118</v>
      </c>
      <c r="M518" s="36" t="str">
        <f t="shared" si="8"/>
        <v>19620818</v>
      </c>
    </row>
    <row r="519" s="1" customFormat="1" ht="14.25" spans="1:13">
      <c r="A519" s="2">
        <v>1439</v>
      </c>
      <c r="B519" s="5" t="s">
        <v>3381</v>
      </c>
      <c r="C519" s="9" t="s">
        <v>3448</v>
      </c>
      <c r="D519" s="9" t="s">
        <v>3449</v>
      </c>
      <c r="E519" s="5">
        <v>2020</v>
      </c>
      <c r="F519" s="5">
        <v>2020</v>
      </c>
      <c r="G519" s="14" t="s">
        <v>16</v>
      </c>
      <c r="H519" s="6">
        <v>200</v>
      </c>
      <c r="I519" s="6">
        <v>200</v>
      </c>
      <c r="J519" s="24" t="s">
        <v>1242</v>
      </c>
      <c r="K519" s="13"/>
      <c r="L519" s="10">
        <v>20201118</v>
      </c>
      <c r="M519" s="36" t="str">
        <f t="shared" si="8"/>
        <v>19620822</v>
      </c>
    </row>
    <row r="520" s="1" customFormat="1" spans="1:13">
      <c r="A520" s="2">
        <v>956</v>
      </c>
      <c r="B520" s="5" t="s">
        <v>2469</v>
      </c>
      <c r="C520" s="9" t="s">
        <v>2504</v>
      </c>
      <c r="D520" s="9" t="s">
        <v>2505</v>
      </c>
      <c r="E520" s="5">
        <v>2020</v>
      </c>
      <c r="F520" s="5">
        <v>2020</v>
      </c>
      <c r="G520" s="9" t="s">
        <v>2480</v>
      </c>
      <c r="H520" s="9">
        <v>200</v>
      </c>
      <c r="I520" s="9">
        <v>200</v>
      </c>
      <c r="J520" s="5"/>
      <c r="K520" s="5"/>
      <c r="L520" s="10">
        <v>20201118</v>
      </c>
      <c r="M520" s="36" t="str">
        <f t="shared" si="8"/>
        <v>19620823</v>
      </c>
    </row>
    <row r="521" s="1" customFormat="1" spans="1:13">
      <c r="A521" s="2">
        <v>2771</v>
      </c>
      <c r="B521" s="32" t="s">
        <v>5602</v>
      </c>
      <c r="C521" s="32" t="s">
        <v>6069</v>
      </c>
      <c r="D521" s="304" t="s">
        <v>6070</v>
      </c>
      <c r="E521" s="32">
        <v>2011</v>
      </c>
      <c r="F521" s="32">
        <v>2020</v>
      </c>
      <c r="G521" s="32" t="s">
        <v>289</v>
      </c>
      <c r="H521" s="32">
        <v>200</v>
      </c>
      <c r="I521" s="32">
        <v>2000</v>
      </c>
      <c r="J521" s="40"/>
      <c r="K521" s="52"/>
      <c r="L521" s="10">
        <v>20201118</v>
      </c>
      <c r="M521" s="36" t="str">
        <f t="shared" si="8"/>
        <v>19620824</v>
      </c>
    </row>
    <row r="522" s="1" customFormat="1" spans="1:13">
      <c r="A522" s="2">
        <v>588</v>
      </c>
      <c r="B522" s="29" t="s">
        <v>1040</v>
      </c>
      <c r="C522" s="29" t="s">
        <v>1452</v>
      </c>
      <c r="D522" s="29" t="s">
        <v>1453</v>
      </c>
      <c r="E522" s="30">
        <v>2020</v>
      </c>
      <c r="F522" s="30">
        <v>2020</v>
      </c>
      <c r="G522" s="29" t="s">
        <v>16</v>
      </c>
      <c r="H522" s="29">
        <v>200</v>
      </c>
      <c r="I522" s="29">
        <v>200</v>
      </c>
      <c r="J522" s="29"/>
      <c r="K522" s="47"/>
      <c r="L522" s="2" t="s">
        <v>330</v>
      </c>
      <c r="M522" s="36" t="str">
        <f t="shared" si="8"/>
        <v>19620827</v>
      </c>
    </row>
    <row r="523" s="1" customFormat="1" spans="1:13">
      <c r="A523" s="2">
        <v>4576</v>
      </c>
      <c r="B523" s="6" t="s">
        <v>9015</v>
      </c>
      <c r="C523" s="6" t="s">
        <v>9329</v>
      </c>
      <c r="D523" s="6" t="s">
        <v>9330</v>
      </c>
      <c r="E523" s="6">
        <v>2020</v>
      </c>
      <c r="F523" s="6">
        <v>2020</v>
      </c>
      <c r="G523" s="6" t="s">
        <v>16</v>
      </c>
      <c r="H523" s="6">
        <v>200</v>
      </c>
      <c r="I523" s="6">
        <v>200</v>
      </c>
      <c r="J523" s="6"/>
      <c r="K523" s="6"/>
      <c r="L523" s="10">
        <v>20201118</v>
      </c>
      <c r="M523" s="36" t="str">
        <f t="shared" si="8"/>
        <v>19620829</v>
      </c>
    </row>
    <row r="524" s="1" customFormat="1" spans="1:13">
      <c r="A524" s="2">
        <v>6178</v>
      </c>
      <c r="B524" s="5" t="s">
        <v>12263</v>
      </c>
      <c r="C524" s="5" t="s">
        <v>12386</v>
      </c>
      <c r="D524" s="5" t="s">
        <v>12387</v>
      </c>
      <c r="E524" s="5" t="s">
        <v>10250</v>
      </c>
      <c r="F524" s="5">
        <v>2020</v>
      </c>
      <c r="G524" s="17" t="s">
        <v>3359</v>
      </c>
      <c r="H524" s="5">
        <v>300</v>
      </c>
      <c r="I524" s="5">
        <v>300</v>
      </c>
      <c r="J524" s="5"/>
      <c r="K524" s="5"/>
      <c r="L524" s="10">
        <v>20201118</v>
      </c>
      <c r="M524" s="36" t="str">
        <f t="shared" si="8"/>
        <v>19620829</v>
      </c>
    </row>
    <row r="525" s="1" customFormat="1" spans="1:13">
      <c r="A525" s="2">
        <v>7119</v>
      </c>
      <c r="B525" s="5" t="s">
        <v>13533</v>
      </c>
      <c r="C525" s="32" t="s">
        <v>13898</v>
      </c>
      <c r="D525" s="32" t="s">
        <v>13899</v>
      </c>
      <c r="E525" s="5">
        <v>2011</v>
      </c>
      <c r="F525" s="5">
        <v>2020</v>
      </c>
      <c r="G525" s="9" t="s">
        <v>289</v>
      </c>
      <c r="H525" s="32">
        <v>200</v>
      </c>
      <c r="I525" s="32">
        <v>2000</v>
      </c>
      <c r="J525" s="32"/>
      <c r="K525" s="10"/>
      <c r="L525" s="10">
        <v>20201118</v>
      </c>
      <c r="M525" s="36" t="str">
        <f t="shared" si="8"/>
        <v>19620829</v>
      </c>
    </row>
    <row r="526" s="1" customFormat="1" spans="1:13">
      <c r="A526" s="2">
        <v>7050</v>
      </c>
      <c r="B526" s="5" t="s">
        <v>13533</v>
      </c>
      <c r="C526" s="32" t="s">
        <v>13796</v>
      </c>
      <c r="D526" s="32" t="str">
        <f>"152326196209017121"</f>
        <v>152326196209017121</v>
      </c>
      <c r="E526" s="5">
        <v>2020</v>
      </c>
      <c r="F526" s="5">
        <v>2020</v>
      </c>
      <c r="G526" s="9" t="s">
        <v>2480</v>
      </c>
      <c r="H526" s="32">
        <v>200</v>
      </c>
      <c r="I526" s="32">
        <v>200</v>
      </c>
      <c r="J526" s="32"/>
      <c r="K526" s="10"/>
      <c r="L526" s="10">
        <v>20201118</v>
      </c>
      <c r="M526" s="36" t="str">
        <f t="shared" si="8"/>
        <v>19620901</v>
      </c>
    </row>
    <row r="527" s="1" customFormat="1" spans="1:13">
      <c r="A527" s="2">
        <v>3615</v>
      </c>
      <c r="B527" s="5" t="s">
        <v>7412</v>
      </c>
      <c r="C527" s="5" t="s">
        <v>7496</v>
      </c>
      <c r="D527" s="5" t="s">
        <v>7497</v>
      </c>
      <c r="E527" s="6">
        <v>2020</v>
      </c>
      <c r="F527" s="6">
        <v>2020</v>
      </c>
      <c r="G527" s="5" t="s">
        <v>3359</v>
      </c>
      <c r="H527" s="5">
        <v>1000</v>
      </c>
      <c r="I527" s="5">
        <v>1000</v>
      </c>
      <c r="J527" s="5"/>
      <c r="K527" s="5"/>
      <c r="L527" s="10">
        <v>20201118</v>
      </c>
      <c r="M527" s="36" t="str">
        <f t="shared" si="8"/>
        <v>19620902</v>
      </c>
    </row>
    <row r="528" s="1" customFormat="1" spans="1:13">
      <c r="A528" s="2">
        <v>6449</v>
      </c>
      <c r="B528" s="5" t="s">
        <v>12263</v>
      </c>
      <c r="C528" s="5" t="s">
        <v>12903</v>
      </c>
      <c r="D528" s="5" t="s">
        <v>12904</v>
      </c>
      <c r="E528" s="5" t="s">
        <v>10250</v>
      </c>
      <c r="F528" s="5">
        <v>2020</v>
      </c>
      <c r="G528" s="17" t="s">
        <v>3359</v>
      </c>
      <c r="H528" s="5">
        <v>200</v>
      </c>
      <c r="I528" s="5">
        <v>200</v>
      </c>
      <c r="J528" s="5" t="s">
        <v>108</v>
      </c>
      <c r="K528" s="5"/>
      <c r="L528" s="10">
        <v>20201118</v>
      </c>
      <c r="M528" s="36" t="str">
        <f t="shared" si="8"/>
        <v>19620904</v>
      </c>
    </row>
    <row r="529" s="1" customFormat="1" spans="1:13">
      <c r="A529" s="2">
        <v>8073</v>
      </c>
      <c r="B529" s="5" t="s">
        <v>15086</v>
      </c>
      <c r="C529" s="6" t="s">
        <v>15353</v>
      </c>
      <c r="D529" s="6" t="str">
        <f>"152326196209056876"</f>
        <v>152326196209056876</v>
      </c>
      <c r="E529" s="5" t="s">
        <v>15</v>
      </c>
      <c r="F529" s="5">
        <v>2020</v>
      </c>
      <c r="G529" s="5" t="s">
        <v>16</v>
      </c>
      <c r="H529" s="5">
        <v>200</v>
      </c>
      <c r="I529" s="5">
        <v>200</v>
      </c>
      <c r="J529" s="5"/>
      <c r="K529" s="5"/>
      <c r="L529" s="10">
        <v>20201118</v>
      </c>
      <c r="M529" s="36" t="str">
        <f t="shared" si="8"/>
        <v>19620905</v>
      </c>
    </row>
    <row r="530" s="1" customFormat="1" ht="14.25" spans="1:13">
      <c r="A530" s="2">
        <v>5232</v>
      </c>
      <c r="B530" s="33" t="s">
        <v>10535</v>
      </c>
      <c r="C530" s="34" t="s">
        <v>10583</v>
      </c>
      <c r="D530" s="34" t="s">
        <v>10584</v>
      </c>
      <c r="E530" s="35">
        <v>2020</v>
      </c>
      <c r="F530" s="35">
        <v>2020</v>
      </c>
      <c r="G530" s="35" t="s">
        <v>16</v>
      </c>
      <c r="H530" s="34">
        <v>200</v>
      </c>
      <c r="I530" s="34">
        <v>200</v>
      </c>
      <c r="J530" s="49"/>
      <c r="K530" s="10"/>
      <c r="L530" s="10">
        <v>20201118</v>
      </c>
      <c r="M530" s="36" t="str">
        <f t="shared" si="8"/>
        <v>19620906</v>
      </c>
    </row>
    <row r="531" s="1" customFormat="1" spans="1:13">
      <c r="A531" s="2">
        <v>5621</v>
      </c>
      <c r="B531" s="30" t="s">
        <v>11090</v>
      </c>
      <c r="C531" s="30" t="s">
        <v>11332</v>
      </c>
      <c r="D531" s="30" t="s">
        <v>11333</v>
      </c>
      <c r="E531" s="5" t="s">
        <v>15</v>
      </c>
      <c r="F531" s="5" t="s">
        <v>10250</v>
      </c>
      <c r="G531" s="6" t="s">
        <v>16</v>
      </c>
      <c r="H531" s="32">
        <v>200</v>
      </c>
      <c r="I531" s="32">
        <v>200</v>
      </c>
      <c r="J531" s="6" t="s">
        <v>6097</v>
      </c>
      <c r="K531" s="48"/>
      <c r="L531" s="10">
        <v>20201118</v>
      </c>
      <c r="M531" s="36" t="str">
        <f t="shared" si="8"/>
        <v>19620906</v>
      </c>
    </row>
    <row r="532" s="1" customFormat="1" spans="1:13">
      <c r="A532" s="2">
        <v>1786</v>
      </c>
      <c r="B532" s="5" t="s">
        <v>3381</v>
      </c>
      <c r="C532" s="9" t="s">
        <v>4134</v>
      </c>
      <c r="D532" s="9" t="s">
        <v>4135</v>
      </c>
      <c r="E532" s="5">
        <v>2011</v>
      </c>
      <c r="F532" s="5">
        <v>2020</v>
      </c>
      <c r="G532" s="14" t="s">
        <v>289</v>
      </c>
      <c r="H532" s="18">
        <v>200</v>
      </c>
      <c r="I532" s="6">
        <v>2000</v>
      </c>
      <c r="J532" s="5"/>
      <c r="K532" s="13"/>
      <c r="L532" s="10">
        <v>20201118</v>
      </c>
      <c r="M532" s="36" t="str">
        <f t="shared" si="8"/>
        <v>19620907</v>
      </c>
    </row>
    <row r="533" s="1" customFormat="1" ht="14.25" spans="1:13">
      <c r="A533" s="2">
        <v>2916</v>
      </c>
      <c r="B533" s="6" t="s">
        <v>6075</v>
      </c>
      <c r="C533" s="25" t="s">
        <v>6360</v>
      </c>
      <c r="D533" s="26" t="s">
        <v>6361</v>
      </c>
      <c r="E533" s="5" t="s">
        <v>15</v>
      </c>
      <c r="F533" s="5">
        <v>2020</v>
      </c>
      <c r="G533" s="6" t="s">
        <v>16</v>
      </c>
      <c r="H533" s="6">
        <v>200</v>
      </c>
      <c r="I533" s="6">
        <v>200</v>
      </c>
      <c r="J533" s="6"/>
      <c r="K533" s="10"/>
      <c r="L533" s="10">
        <v>20201118</v>
      </c>
      <c r="M533" s="36" t="str">
        <f t="shared" si="8"/>
        <v>19620907</v>
      </c>
    </row>
    <row r="534" s="1" customFormat="1" spans="1:13">
      <c r="A534" s="2">
        <v>3616</v>
      </c>
      <c r="B534" s="5" t="s">
        <v>7412</v>
      </c>
      <c r="C534" s="5" t="s">
        <v>7498</v>
      </c>
      <c r="D534" s="5" t="s">
        <v>7499</v>
      </c>
      <c r="E534" s="6">
        <v>2020</v>
      </c>
      <c r="F534" s="6">
        <v>2020</v>
      </c>
      <c r="G534" s="5" t="s">
        <v>3359</v>
      </c>
      <c r="H534" s="5">
        <v>200</v>
      </c>
      <c r="I534" s="5">
        <v>200</v>
      </c>
      <c r="J534" s="5"/>
      <c r="K534" s="5"/>
      <c r="L534" s="10">
        <v>20201118</v>
      </c>
      <c r="M534" s="36" t="str">
        <f t="shared" si="8"/>
        <v>19620909</v>
      </c>
    </row>
    <row r="535" s="1" customFormat="1" spans="1:13">
      <c r="A535" s="2">
        <v>6351</v>
      </c>
      <c r="B535" s="5" t="s">
        <v>12263</v>
      </c>
      <c r="C535" s="5" t="s">
        <v>12718</v>
      </c>
      <c r="D535" s="5" t="s">
        <v>12719</v>
      </c>
      <c r="E535" s="5" t="s">
        <v>10250</v>
      </c>
      <c r="F535" s="5">
        <v>2020</v>
      </c>
      <c r="G535" s="17" t="s">
        <v>3359</v>
      </c>
      <c r="H535" s="5" t="s">
        <v>311</v>
      </c>
      <c r="I535" s="5">
        <v>200</v>
      </c>
      <c r="J535" s="5"/>
      <c r="K535" s="5"/>
      <c r="L535" s="10">
        <v>20201118</v>
      </c>
      <c r="M535" s="36" t="str">
        <f t="shared" si="8"/>
        <v>19620909</v>
      </c>
    </row>
    <row r="536" s="1" customFormat="1" ht="14.25" spans="1:13">
      <c r="A536" s="2">
        <v>7790</v>
      </c>
      <c r="B536" s="5" t="s">
        <v>14875</v>
      </c>
      <c r="C536" s="51" t="s">
        <v>15037</v>
      </c>
      <c r="D536" s="24" t="s">
        <v>15038</v>
      </c>
      <c r="E536" s="6" t="s">
        <v>15</v>
      </c>
      <c r="F536" s="6">
        <v>2020</v>
      </c>
      <c r="G536" s="24" t="s">
        <v>14877</v>
      </c>
      <c r="H536" s="6">
        <v>200</v>
      </c>
      <c r="I536" s="6">
        <v>200</v>
      </c>
      <c r="J536" s="6" t="s">
        <v>108</v>
      </c>
      <c r="K536" s="10"/>
      <c r="L536" s="10">
        <v>20201118</v>
      </c>
      <c r="M536" s="36" t="str">
        <f t="shared" si="8"/>
        <v>19620911</v>
      </c>
    </row>
    <row r="537" s="1" customFormat="1" spans="1:13">
      <c r="A537" s="2">
        <v>8070</v>
      </c>
      <c r="B537" s="5" t="s">
        <v>15086</v>
      </c>
      <c r="C537" s="6" t="s">
        <v>15350</v>
      </c>
      <c r="D537" s="6" t="str">
        <f>"152326196209116867"</f>
        <v>152326196209116867</v>
      </c>
      <c r="E537" s="5" t="s">
        <v>15</v>
      </c>
      <c r="F537" s="5">
        <v>2020</v>
      </c>
      <c r="G537" s="5" t="s">
        <v>16</v>
      </c>
      <c r="H537" s="5">
        <v>1000</v>
      </c>
      <c r="I537" s="5">
        <v>1000</v>
      </c>
      <c r="J537" s="5"/>
      <c r="K537" s="5"/>
      <c r="L537" s="10">
        <v>20201118</v>
      </c>
      <c r="M537" s="36" t="str">
        <f t="shared" si="8"/>
        <v>19620911</v>
      </c>
    </row>
    <row r="538" s="1" customFormat="1" spans="1:13">
      <c r="A538" s="2">
        <v>6156</v>
      </c>
      <c r="B538" s="5" t="s">
        <v>12263</v>
      </c>
      <c r="C538" s="5" t="s">
        <v>12344</v>
      </c>
      <c r="D538" s="5" t="s">
        <v>12345</v>
      </c>
      <c r="E538" s="5" t="s">
        <v>10250</v>
      </c>
      <c r="F538" s="5">
        <v>2020</v>
      </c>
      <c r="G538" s="17" t="s">
        <v>3359</v>
      </c>
      <c r="H538" s="5">
        <v>200</v>
      </c>
      <c r="I538" s="5">
        <v>200</v>
      </c>
      <c r="J538" s="5"/>
      <c r="K538" s="5"/>
      <c r="L538" s="10">
        <v>20201118</v>
      </c>
      <c r="M538" s="36" t="str">
        <f t="shared" si="8"/>
        <v>19620912</v>
      </c>
    </row>
    <row r="539" s="1" customFormat="1" spans="1:13">
      <c r="A539" s="2">
        <v>957</v>
      </c>
      <c r="B539" s="5" t="s">
        <v>2469</v>
      </c>
      <c r="C539" s="9" t="s">
        <v>2506</v>
      </c>
      <c r="D539" s="9" t="s">
        <v>2507</v>
      </c>
      <c r="E539" s="5">
        <v>2020</v>
      </c>
      <c r="F539" s="5">
        <v>2020</v>
      </c>
      <c r="G539" s="9" t="s">
        <v>2480</v>
      </c>
      <c r="H539" s="9">
        <v>200</v>
      </c>
      <c r="I539" s="9">
        <v>200</v>
      </c>
      <c r="J539" s="5"/>
      <c r="K539" s="5"/>
      <c r="L539" s="10">
        <v>20201118</v>
      </c>
      <c r="M539" s="36" t="str">
        <f t="shared" si="8"/>
        <v>19620913</v>
      </c>
    </row>
    <row r="540" s="1" customFormat="1" spans="1:13">
      <c r="A540" s="2">
        <v>7059</v>
      </c>
      <c r="B540" s="5" t="s">
        <v>13533</v>
      </c>
      <c r="C540" s="32" t="s">
        <v>13804</v>
      </c>
      <c r="D540" s="32" t="str">
        <f>"152326196209137131"</f>
        <v>152326196209137131</v>
      </c>
      <c r="E540" s="5">
        <v>2020</v>
      </c>
      <c r="F540" s="5">
        <v>2020</v>
      </c>
      <c r="G540" s="9" t="s">
        <v>2480</v>
      </c>
      <c r="H540" s="32">
        <v>200</v>
      </c>
      <c r="I540" s="32">
        <v>200</v>
      </c>
      <c r="J540" s="32"/>
      <c r="K540" s="10"/>
      <c r="L540" s="10">
        <v>20201118</v>
      </c>
      <c r="M540" s="36" t="str">
        <f t="shared" si="8"/>
        <v>19620913</v>
      </c>
    </row>
    <row r="541" s="1" customFormat="1" ht="14.25" spans="1:13">
      <c r="A541" s="2">
        <v>5233</v>
      </c>
      <c r="B541" s="33" t="s">
        <v>10535</v>
      </c>
      <c r="C541" s="34" t="s">
        <v>10585</v>
      </c>
      <c r="D541" s="34" t="s">
        <v>10586</v>
      </c>
      <c r="E541" s="35">
        <v>2020</v>
      </c>
      <c r="F541" s="35">
        <v>2020</v>
      </c>
      <c r="G541" s="35" t="s">
        <v>16</v>
      </c>
      <c r="H541" s="34">
        <v>200</v>
      </c>
      <c r="I541" s="34">
        <v>200</v>
      </c>
      <c r="J541" s="49"/>
      <c r="K541" s="10"/>
      <c r="L541" s="10">
        <v>20201118</v>
      </c>
      <c r="M541" s="36" t="str">
        <f t="shared" si="8"/>
        <v>19620914</v>
      </c>
    </row>
    <row r="542" s="1" customFormat="1" spans="1:13">
      <c r="A542" s="2">
        <v>7048</v>
      </c>
      <c r="B542" s="5" t="s">
        <v>13533</v>
      </c>
      <c r="C542" s="32" t="s">
        <v>13794</v>
      </c>
      <c r="D542" s="32" t="str">
        <f>"152326196209147110"</f>
        <v>152326196209147110</v>
      </c>
      <c r="E542" s="5">
        <v>2020</v>
      </c>
      <c r="F542" s="5">
        <v>2020</v>
      </c>
      <c r="G542" s="9" t="s">
        <v>2480</v>
      </c>
      <c r="H542" s="32">
        <v>200</v>
      </c>
      <c r="I542" s="32">
        <v>200</v>
      </c>
      <c r="J542" s="32"/>
      <c r="K542" s="10"/>
      <c r="L542" s="10">
        <v>20201118</v>
      </c>
      <c r="M542" s="36" t="str">
        <f t="shared" si="8"/>
        <v>19620914</v>
      </c>
    </row>
    <row r="543" s="1" customFormat="1" spans="1:13">
      <c r="A543" s="2">
        <v>1440</v>
      </c>
      <c r="B543" s="5" t="s">
        <v>3381</v>
      </c>
      <c r="C543" s="9" t="s">
        <v>3450</v>
      </c>
      <c r="D543" s="9" t="s">
        <v>3451</v>
      </c>
      <c r="E543" s="5">
        <v>2020</v>
      </c>
      <c r="F543" s="5">
        <v>2020</v>
      </c>
      <c r="G543" s="14" t="s">
        <v>16</v>
      </c>
      <c r="H543" s="6">
        <v>200</v>
      </c>
      <c r="I543" s="6">
        <v>200</v>
      </c>
      <c r="J543" s="5"/>
      <c r="K543" s="13"/>
      <c r="L543" s="10">
        <v>20201118</v>
      </c>
      <c r="M543" s="36" t="str">
        <f t="shared" si="8"/>
        <v>19620915</v>
      </c>
    </row>
    <row r="544" s="1" customFormat="1" spans="1:13">
      <c r="A544" s="2">
        <v>3159</v>
      </c>
      <c r="B544" s="3" t="s">
        <v>6671</v>
      </c>
      <c r="C544" s="9" t="s">
        <v>6834</v>
      </c>
      <c r="D544" s="9" t="s">
        <v>6835</v>
      </c>
      <c r="E544" s="3" t="s">
        <v>15</v>
      </c>
      <c r="F544" s="3" t="s">
        <v>15</v>
      </c>
      <c r="G544" s="6" t="s">
        <v>3359</v>
      </c>
      <c r="H544" s="9">
        <v>200</v>
      </c>
      <c r="I544" s="9">
        <v>200</v>
      </c>
      <c r="J544" s="6"/>
      <c r="K544" s="5"/>
      <c r="L544" s="10">
        <v>20201118</v>
      </c>
      <c r="M544" s="36" t="str">
        <f t="shared" si="8"/>
        <v>19620915</v>
      </c>
    </row>
    <row r="545" s="1" customFormat="1" spans="1:13">
      <c r="A545" s="2">
        <v>6252</v>
      </c>
      <c r="B545" s="5" t="s">
        <v>12263</v>
      </c>
      <c r="C545" s="5" t="s">
        <v>12526</v>
      </c>
      <c r="D545" s="5" t="s">
        <v>12527</v>
      </c>
      <c r="E545" s="5" t="s">
        <v>10250</v>
      </c>
      <c r="F545" s="5">
        <v>2020</v>
      </c>
      <c r="G545" s="17" t="s">
        <v>3359</v>
      </c>
      <c r="H545" s="5">
        <v>200</v>
      </c>
      <c r="I545" s="5">
        <v>200</v>
      </c>
      <c r="J545" s="5"/>
      <c r="K545" s="5"/>
      <c r="L545" s="10">
        <v>20201118</v>
      </c>
      <c r="M545" s="36" t="str">
        <f t="shared" si="8"/>
        <v>19620915</v>
      </c>
    </row>
    <row r="546" s="1" customFormat="1" spans="1:13">
      <c r="A546" s="2">
        <v>1441</v>
      </c>
      <c r="B546" s="5" t="s">
        <v>3381</v>
      </c>
      <c r="C546" s="9" t="s">
        <v>678</v>
      </c>
      <c r="D546" s="9" t="s">
        <v>3452</v>
      </c>
      <c r="E546" s="5">
        <v>2020</v>
      </c>
      <c r="F546" s="5">
        <v>2020</v>
      </c>
      <c r="G546" s="14" t="s">
        <v>16</v>
      </c>
      <c r="H546" s="6">
        <v>200</v>
      </c>
      <c r="I546" s="6">
        <v>200</v>
      </c>
      <c r="J546" s="5"/>
      <c r="K546" s="13"/>
      <c r="L546" s="10">
        <v>20201118</v>
      </c>
      <c r="M546" s="36" t="str">
        <f t="shared" si="8"/>
        <v>19620916</v>
      </c>
    </row>
    <row r="547" s="1" customFormat="1" spans="1:13">
      <c r="A547" s="2">
        <v>2551</v>
      </c>
      <c r="B547" s="32" t="s">
        <v>5602</v>
      </c>
      <c r="C547" s="9" t="s">
        <v>5640</v>
      </c>
      <c r="D547" s="9" t="s">
        <v>5641</v>
      </c>
      <c r="E547" s="32">
        <v>2020</v>
      </c>
      <c r="F547" s="32">
        <v>2020</v>
      </c>
      <c r="G547" s="32" t="s">
        <v>16</v>
      </c>
      <c r="H547" s="9">
        <v>200</v>
      </c>
      <c r="I547" s="9">
        <v>200</v>
      </c>
      <c r="J547" s="32"/>
      <c r="K547" s="52"/>
      <c r="L547" s="10">
        <v>20201118</v>
      </c>
      <c r="M547" s="36" t="str">
        <f t="shared" si="8"/>
        <v>19620916</v>
      </c>
    </row>
    <row r="548" s="1" customFormat="1" spans="1:13">
      <c r="A548" s="2">
        <v>3617</v>
      </c>
      <c r="B548" s="5" t="s">
        <v>7412</v>
      </c>
      <c r="C548" s="5" t="s">
        <v>7500</v>
      </c>
      <c r="D548" s="5" t="s">
        <v>7501</v>
      </c>
      <c r="E548" s="6">
        <v>2020</v>
      </c>
      <c r="F548" s="6">
        <v>2020</v>
      </c>
      <c r="G548" s="5" t="s">
        <v>3359</v>
      </c>
      <c r="H548" s="5">
        <v>200</v>
      </c>
      <c r="I548" s="5">
        <v>200</v>
      </c>
      <c r="J548" s="5"/>
      <c r="K548" s="5"/>
      <c r="L548" s="10">
        <v>20201118</v>
      </c>
      <c r="M548" s="36" t="str">
        <f t="shared" si="8"/>
        <v>19620919</v>
      </c>
    </row>
    <row r="549" s="1" customFormat="1" ht="14.25" spans="1:13">
      <c r="A549" s="2">
        <v>2833</v>
      </c>
      <c r="B549" s="6" t="s">
        <v>6075</v>
      </c>
      <c r="C549" s="25" t="s">
        <v>6193</v>
      </c>
      <c r="D549" s="26" t="s">
        <v>6194</v>
      </c>
      <c r="E549" s="5" t="s">
        <v>15</v>
      </c>
      <c r="F549" s="5">
        <v>2020</v>
      </c>
      <c r="G549" s="6" t="s">
        <v>16</v>
      </c>
      <c r="H549" s="6">
        <v>200</v>
      </c>
      <c r="I549" s="6">
        <v>200</v>
      </c>
      <c r="J549" s="6"/>
      <c r="K549" s="10"/>
      <c r="L549" s="10">
        <v>20201118</v>
      </c>
      <c r="M549" s="36" t="str">
        <f t="shared" si="8"/>
        <v>19620920</v>
      </c>
    </row>
    <row r="550" s="1" customFormat="1" spans="1:13">
      <c r="A550" s="2">
        <v>5729</v>
      </c>
      <c r="B550" s="30" t="s">
        <v>11090</v>
      </c>
      <c r="C550" s="30" t="s">
        <v>11543</v>
      </c>
      <c r="D550" s="30" t="s">
        <v>11544</v>
      </c>
      <c r="E550" s="5" t="s">
        <v>15</v>
      </c>
      <c r="F550" s="5" t="s">
        <v>10250</v>
      </c>
      <c r="G550" s="6" t="s">
        <v>16</v>
      </c>
      <c r="H550" s="32">
        <v>200</v>
      </c>
      <c r="I550" s="32">
        <v>200</v>
      </c>
      <c r="J550" s="6"/>
      <c r="K550" s="48"/>
      <c r="L550" s="10">
        <v>20201118</v>
      </c>
      <c r="M550" s="36" t="str">
        <f t="shared" si="8"/>
        <v>19620920</v>
      </c>
    </row>
    <row r="551" s="1" customFormat="1" spans="1:13">
      <c r="A551" s="2">
        <v>6393</v>
      </c>
      <c r="B551" s="5" t="s">
        <v>12263</v>
      </c>
      <c r="C551" s="5" t="s">
        <v>8695</v>
      </c>
      <c r="D551" s="5" t="s">
        <v>12797</v>
      </c>
      <c r="E551" s="5" t="s">
        <v>10250</v>
      </c>
      <c r="F551" s="5">
        <v>2020</v>
      </c>
      <c r="G551" s="17" t="s">
        <v>3359</v>
      </c>
      <c r="H551" s="5" t="s">
        <v>311</v>
      </c>
      <c r="I551" s="5">
        <v>200</v>
      </c>
      <c r="J551" s="5"/>
      <c r="K551" s="5"/>
      <c r="L551" s="10">
        <v>20201118</v>
      </c>
      <c r="M551" s="36" t="str">
        <f t="shared" si="8"/>
        <v>19620922</v>
      </c>
    </row>
    <row r="552" s="1" customFormat="1" spans="1:13">
      <c r="A552" s="2">
        <v>163</v>
      </c>
      <c r="B552" s="14" t="s">
        <v>327</v>
      </c>
      <c r="C552" s="14" t="s">
        <v>377</v>
      </c>
      <c r="D552" s="14" t="s">
        <v>378</v>
      </c>
      <c r="E552" s="5">
        <v>2020</v>
      </c>
      <c r="F552" s="5">
        <v>2020</v>
      </c>
      <c r="G552" s="14" t="s">
        <v>16</v>
      </c>
      <c r="H552" s="14">
        <v>200</v>
      </c>
      <c r="I552" s="14">
        <v>200</v>
      </c>
      <c r="J552" s="14"/>
      <c r="K552" s="10"/>
      <c r="L552" s="2" t="s">
        <v>330</v>
      </c>
      <c r="M552" s="36" t="str">
        <f t="shared" si="8"/>
        <v>19620924</v>
      </c>
    </row>
    <row r="553" s="1" customFormat="1" ht="14.25" spans="1:13">
      <c r="A553" s="2">
        <v>2939</v>
      </c>
      <c r="B553" s="6" t="s">
        <v>6075</v>
      </c>
      <c r="C553" s="25" t="s">
        <v>6405</v>
      </c>
      <c r="D553" s="26" t="s">
        <v>6406</v>
      </c>
      <c r="E553" s="5" t="s">
        <v>15</v>
      </c>
      <c r="F553" s="5">
        <v>2020</v>
      </c>
      <c r="G553" s="6" t="s">
        <v>16</v>
      </c>
      <c r="H553" s="6">
        <v>200</v>
      </c>
      <c r="I553" s="6">
        <v>200</v>
      </c>
      <c r="J553" s="6"/>
      <c r="K553" s="10"/>
      <c r="L553" s="10">
        <v>20201118</v>
      </c>
      <c r="M553" s="36" t="str">
        <f t="shared" si="8"/>
        <v>19620924</v>
      </c>
    </row>
    <row r="554" s="1" customFormat="1" spans="1:13">
      <c r="A554" s="2">
        <v>3618</v>
      </c>
      <c r="B554" s="5" t="s">
        <v>7412</v>
      </c>
      <c r="C554" s="5" t="s">
        <v>7502</v>
      </c>
      <c r="D554" s="5" t="s">
        <v>7503</v>
      </c>
      <c r="E554" s="6">
        <v>2020</v>
      </c>
      <c r="F554" s="6">
        <v>2020</v>
      </c>
      <c r="G554" s="5" t="s">
        <v>3359</v>
      </c>
      <c r="H554" s="5">
        <v>200</v>
      </c>
      <c r="I554" s="5">
        <v>200</v>
      </c>
      <c r="J554" s="5"/>
      <c r="K554" s="5"/>
      <c r="L554" s="10">
        <v>20201118</v>
      </c>
      <c r="M554" s="36" t="str">
        <f t="shared" si="8"/>
        <v>19620924</v>
      </c>
    </row>
    <row r="555" s="1" customFormat="1" spans="1:13">
      <c r="A555" s="2">
        <v>4511</v>
      </c>
      <c r="B555" s="6" t="s">
        <v>9015</v>
      </c>
      <c r="C555" s="6" t="s">
        <v>9204</v>
      </c>
      <c r="D555" s="6" t="s">
        <v>9205</v>
      </c>
      <c r="E555" s="6">
        <v>2020</v>
      </c>
      <c r="F555" s="6">
        <v>2020</v>
      </c>
      <c r="G555" s="6" t="s">
        <v>16</v>
      </c>
      <c r="H555" s="6">
        <v>200</v>
      </c>
      <c r="I555" s="6">
        <v>200</v>
      </c>
      <c r="J555" s="6" t="s">
        <v>108</v>
      </c>
      <c r="K555" s="6"/>
      <c r="L555" s="10">
        <v>20201118</v>
      </c>
      <c r="M555" s="36" t="str">
        <f t="shared" si="8"/>
        <v>19620925</v>
      </c>
    </row>
    <row r="556" s="1" customFormat="1" spans="1:13">
      <c r="A556" s="2">
        <v>958</v>
      </c>
      <c r="B556" s="5" t="s">
        <v>2469</v>
      </c>
      <c r="C556" s="9" t="s">
        <v>2508</v>
      </c>
      <c r="D556" s="9" t="s">
        <v>2509</v>
      </c>
      <c r="E556" s="5">
        <v>2020</v>
      </c>
      <c r="F556" s="5">
        <v>2020</v>
      </c>
      <c r="G556" s="9" t="s">
        <v>2480</v>
      </c>
      <c r="H556" s="9">
        <v>200</v>
      </c>
      <c r="I556" s="9">
        <v>200</v>
      </c>
      <c r="J556" s="5"/>
      <c r="K556" s="5"/>
      <c r="L556" s="10">
        <v>20201118</v>
      </c>
      <c r="M556" s="36" t="str">
        <f t="shared" si="8"/>
        <v>19620926</v>
      </c>
    </row>
    <row r="557" s="1" customFormat="1" ht="14.25" spans="1:13">
      <c r="A557" s="2">
        <v>2982</v>
      </c>
      <c r="B557" s="6" t="s">
        <v>6075</v>
      </c>
      <c r="C557" s="25" t="s">
        <v>6489</v>
      </c>
      <c r="D557" s="26" t="s">
        <v>6490</v>
      </c>
      <c r="E557" s="5" t="s">
        <v>15</v>
      </c>
      <c r="F557" s="5">
        <v>2020</v>
      </c>
      <c r="G557" s="6" t="s">
        <v>16</v>
      </c>
      <c r="H557" s="6">
        <v>200</v>
      </c>
      <c r="I557" s="6">
        <v>200</v>
      </c>
      <c r="J557" s="6"/>
      <c r="K557" s="10"/>
      <c r="L557" s="10">
        <v>20201118</v>
      </c>
      <c r="M557" s="36" t="str">
        <f t="shared" si="8"/>
        <v>19620927</v>
      </c>
    </row>
    <row r="558" s="1" customFormat="1" spans="1:13">
      <c r="A558" s="2">
        <v>2409</v>
      </c>
      <c r="B558" s="5" t="s">
        <v>5328</v>
      </c>
      <c r="C558" s="16" t="s">
        <v>5359</v>
      </c>
      <c r="D558" s="16" t="s">
        <v>5360</v>
      </c>
      <c r="E558" s="5" t="s">
        <v>15</v>
      </c>
      <c r="F558" s="5" t="s">
        <v>15</v>
      </c>
      <c r="G558" s="14" t="s">
        <v>16</v>
      </c>
      <c r="H558" s="6">
        <v>200</v>
      </c>
      <c r="I558" s="6">
        <v>200</v>
      </c>
      <c r="J558" s="5"/>
      <c r="K558" s="5"/>
      <c r="L558" s="10">
        <v>20201118</v>
      </c>
      <c r="M558" s="36" t="str">
        <f t="shared" si="8"/>
        <v>19620928</v>
      </c>
    </row>
    <row r="559" s="1" customFormat="1" spans="1:13">
      <c r="A559" s="2">
        <v>3497</v>
      </c>
      <c r="B559" s="5" t="s">
        <v>3375</v>
      </c>
      <c r="C559" s="6" t="s">
        <v>7282</v>
      </c>
      <c r="D559" s="6" t="s">
        <v>7283</v>
      </c>
      <c r="E559" s="5" t="s">
        <v>15</v>
      </c>
      <c r="F559" s="5">
        <v>2020</v>
      </c>
      <c r="G559" s="14" t="s">
        <v>16</v>
      </c>
      <c r="H559" s="17">
        <v>200</v>
      </c>
      <c r="I559" s="17">
        <v>200</v>
      </c>
      <c r="J559" s="6"/>
      <c r="K559" s="10"/>
      <c r="L559" s="10">
        <v>20201118</v>
      </c>
      <c r="M559" s="36" t="str">
        <f t="shared" si="8"/>
        <v>19620928</v>
      </c>
    </row>
    <row r="560" s="1" customFormat="1" spans="1:13">
      <c r="A560" s="2">
        <v>1442</v>
      </c>
      <c r="B560" s="5" t="s">
        <v>3381</v>
      </c>
      <c r="C560" s="9" t="s">
        <v>3453</v>
      </c>
      <c r="D560" s="9" t="s">
        <v>3454</v>
      </c>
      <c r="E560" s="5">
        <v>2020</v>
      </c>
      <c r="F560" s="5">
        <v>2020</v>
      </c>
      <c r="G560" s="14" t="s">
        <v>16</v>
      </c>
      <c r="H560" s="6">
        <v>200</v>
      </c>
      <c r="I560" s="6">
        <v>200</v>
      </c>
      <c r="J560" s="5"/>
      <c r="K560" s="13"/>
      <c r="L560" s="10">
        <v>20201118</v>
      </c>
      <c r="M560" s="36" t="str">
        <f t="shared" si="8"/>
        <v>19620929</v>
      </c>
    </row>
    <row r="561" s="1" customFormat="1" spans="1:13">
      <c r="A561" s="2">
        <v>4541</v>
      </c>
      <c r="B561" s="6" t="s">
        <v>9015</v>
      </c>
      <c r="C561" s="6" t="s">
        <v>9262</v>
      </c>
      <c r="D561" s="6" t="s">
        <v>9263</v>
      </c>
      <c r="E561" s="6">
        <v>2020</v>
      </c>
      <c r="F561" s="6">
        <v>2020</v>
      </c>
      <c r="G561" s="6" t="s">
        <v>16</v>
      </c>
      <c r="H561" s="6">
        <v>200</v>
      </c>
      <c r="I561" s="6">
        <v>200</v>
      </c>
      <c r="J561" s="6"/>
      <c r="K561" s="6"/>
      <c r="L561" s="10">
        <v>20201118</v>
      </c>
      <c r="M561" s="36" t="str">
        <f t="shared" si="8"/>
        <v>19620929</v>
      </c>
    </row>
    <row r="562" s="1" customFormat="1" spans="1:13">
      <c r="A562" s="2">
        <v>33</v>
      </c>
      <c r="B562" s="31" t="s">
        <v>12</v>
      </c>
      <c r="C562" s="17" t="s">
        <v>80</v>
      </c>
      <c r="D562" s="17" t="s">
        <v>81</v>
      </c>
      <c r="E562" s="3" t="s">
        <v>15</v>
      </c>
      <c r="F562" s="3" t="s">
        <v>15</v>
      </c>
      <c r="G562" s="2" t="s">
        <v>16</v>
      </c>
      <c r="H562" s="17">
        <v>200</v>
      </c>
      <c r="I562" s="17">
        <v>200</v>
      </c>
      <c r="J562" s="31"/>
      <c r="K562" s="17"/>
      <c r="L562" s="10">
        <v>20201118</v>
      </c>
      <c r="M562" s="36" t="str">
        <f t="shared" si="8"/>
        <v>19621001</v>
      </c>
    </row>
    <row r="563" s="1" customFormat="1" spans="1:13">
      <c r="A563" s="2">
        <v>6253</v>
      </c>
      <c r="B563" s="5" t="s">
        <v>12263</v>
      </c>
      <c r="C563" s="5" t="s">
        <v>12528</v>
      </c>
      <c r="D563" s="5" t="s">
        <v>12529</v>
      </c>
      <c r="E563" s="5" t="s">
        <v>10250</v>
      </c>
      <c r="F563" s="5">
        <v>2020</v>
      </c>
      <c r="G563" s="17" t="s">
        <v>3359</v>
      </c>
      <c r="H563" s="5">
        <v>200</v>
      </c>
      <c r="I563" s="5">
        <v>200</v>
      </c>
      <c r="J563" s="5"/>
      <c r="K563" s="5"/>
      <c r="L563" s="10">
        <v>20201118</v>
      </c>
      <c r="M563" s="36" t="str">
        <f t="shared" si="8"/>
        <v>19621001</v>
      </c>
    </row>
    <row r="564" s="1" customFormat="1" spans="1:13">
      <c r="A564" s="2">
        <v>4465</v>
      </c>
      <c r="B564" s="6" t="s">
        <v>9015</v>
      </c>
      <c r="C564" s="6" t="s">
        <v>9115</v>
      </c>
      <c r="D564" s="6" t="s">
        <v>9116</v>
      </c>
      <c r="E564" s="6">
        <v>2020</v>
      </c>
      <c r="F564" s="6">
        <v>2020</v>
      </c>
      <c r="G564" s="6" t="s">
        <v>16</v>
      </c>
      <c r="H564" s="6">
        <v>200</v>
      </c>
      <c r="I564" s="6">
        <v>200</v>
      </c>
      <c r="J564" s="6"/>
      <c r="K564" s="6"/>
      <c r="L564" s="10">
        <v>20201118</v>
      </c>
      <c r="M564" s="36" t="str">
        <f t="shared" si="8"/>
        <v>19621002</v>
      </c>
    </row>
    <row r="565" s="1" customFormat="1" ht="14.25" spans="1:13">
      <c r="A565" s="2">
        <v>5234</v>
      </c>
      <c r="B565" s="33" t="s">
        <v>10535</v>
      </c>
      <c r="C565" s="34" t="s">
        <v>10587</v>
      </c>
      <c r="D565" s="64" t="s">
        <v>10588</v>
      </c>
      <c r="E565" s="35">
        <v>2020</v>
      </c>
      <c r="F565" s="35">
        <v>2020</v>
      </c>
      <c r="G565" s="35" t="s">
        <v>16</v>
      </c>
      <c r="H565" s="34">
        <v>200</v>
      </c>
      <c r="I565" s="34">
        <v>200</v>
      </c>
      <c r="J565" s="49"/>
      <c r="K565" s="10"/>
      <c r="L565" s="10">
        <v>20201118</v>
      </c>
      <c r="M565" s="36" t="str">
        <f t="shared" si="8"/>
        <v>19621002</v>
      </c>
    </row>
    <row r="566" s="1" customFormat="1" spans="1:13">
      <c r="A566" s="2">
        <v>8078</v>
      </c>
      <c r="B566" s="5" t="s">
        <v>15086</v>
      </c>
      <c r="C566" s="6" t="s">
        <v>15358</v>
      </c>
      <c r="D566" s="6" t="str">
        <f>"152326196210026869"</f>
        <v>152326196210026869</v>
      </c>
      <c r="E566" s="5" t="s">
        <v>15</v>
      </c>
      <c r="F566" s="5">
        <v>2020</v>
      </c>
      <c r="G566" s="5" t="s">
        <v>16</v>
      </c>
      <c r="H566" s="5">
        <v>200</v>
      </c>
      <c r="I566" s="5">
        <v>200</v>
      </c>
      <c r="J566" s="5"/>
      <c r="K566" s="5"/>
      <c r="L566" s="10">
        <v>20201118</v>
      </c>
      <c r="M566" s="36" t="str">
        <f t="shared" si="8"/>
        <v>19621002</v>
      </c>
    </row>
    <row r="567" s="1" customFormat="1" spans="1:13">
      <c r="A567" s="2">
        <v>2165</v>
      </c>
      <c r="B567" s="9" t="s">
        <v>4837</v>
      </c>
      <c r="C567" s="9" t="s">
        <v>4878</v>
      </c>
      <c r="D567" s="9" t="s">
        <v>4879</v>
      </c>
      <c r="E567" s="6" t="s">
        <v>15</v>
      </c>
      <c r="F567" s="6">
        <v>2020</v>
      </c>
      <c r="G567" s="9" t="s">
        <v>2480</v>
      </c>
      <c r="H567" s="9">
        <v>200</v>
      </c>
      <c r="I567" s="9">
        <v>200</v>
      </c>
      <c r="J567" s="6"/>
      <c r="K567" s="10"/>
      <c r="L567" s="10">
        <v>20201118</v>
      </c>
      <c r="M567" s="36" t="str">
        <f t="shared" si="8"/>
        <v>19621003</v>
      </c>
    </row>
    <row r="568" s="1" customFormat="1" spans="1:13">
      <c r="A568" s="2">
        <v>6237</v>
      </c>
      <c r="B568" s="5" t="s">
        <v>12263</v>
      </c>
      <c r="C568" s="5" t="s">
        <v>12498</v>
      </c>
      <c r="D568" s="5" t="s">
        <v>12499</v>
      </c>
      <c r="E568" s="5" t="s">
        <v>10250</v>
      </c>
      <c r="F568" s="5">
        <v>2020</v>
      </c>
      <c r="G568" s="17" t="s">
        <v>3359</v>
      </c>
      <c r="H568" s="5">
        <v>200</v>
      </c>
      <c r="I568" s="5">
        <v>200</v>
      </c>
      <c r="J568" s="5"/>
      <c r="K568" s="5"/>
      <c r="L568" s="10">
        <v>20201118</v>
      </c>
      <c r="M568" s="36" t="str">
        <f t="shared" si="8"/>
        <v>19621003</v>
      </c>
    </row>
    <row r="569" s="1" customFormat="1" spans="1:13">
      <c r="A569" s="2">
        <v>6531</v>
      </c>
      <c r="B569" s="5" t="s">
        <v>13027</v>
      </c>
      <c r="C569" s="15" t="s">
        <v>13059</v>
      </c>
      <c r="D569" s="15" t="s">
        <v>13060</v>
      </c>
      <c r="E569" s="5">
        <v>2020</v>
      </c>
      <c r="F569" s="5">
        <v>2020</v>
      </c>
      <c r="G569" s="14" t="s">
        <v>16</v>
      </c>
      <c r="H569" s="15">
        <v>200</v>
      </c>
      <c r="I569" s="15">
        <v>200</v>
      </c>
      <c r="J569" s="5"/>
      <c r="K569" s="10"/>
      <c r="L569" s="10">
        <v>20201118</v>
      </c>
      <c r="M569" s="36" t="str">
        <f t="shared" si="8"/>
        <v>19621005</v>
      </c>
    </row>
    <row r="570" s="1" customFormat="1" spans="1:13">
      <c r="A570" s="2">
        <v>7210</v>
      </c>
      <c r="B570" s="5" t="s">
        <v>13908</v>
      </c>
      <c r="C570" s="5" t="s">
        <v>14068</v>
      </c>
      <c r="D570" s="5" t="s">
        <v>14069</v>
      </c>
      <c r="E570" s="5" t="s">
        <v>15</v>
      </c>
      <c r="F570" s="5" t="s">
        <v>15</v>
      </c>
      <c r="G570" s="14" t="s">
        <v>16</v>
      </c>
      <c r="H570" s="17">
        <v>200</v>
      </c>
      <c r="I570" s="17">
        <v>200</v>
      </c>
      <c r="J570" s="5"/>
      <c r="K570" s="10"/>
      <c r="L570" s="10">
        <v>20201118</v>
      </c>
      <c r="M570" s="36" t="str">
        <f t="shared" si="8"/>
        <v>19621005</v>
      </c>
    </row>
    <row r="571" s="1" customFormat="1" ht="14.25" spans="1:13">
      <c r="A571" s="2">
        <v>7787</v>
      </c>
      <c r="B571" s="5" t="s">
        <v>14875</v>
      </c>
      <c r="C571" s="51" t="s">
        <v>15034</v>
      </c>
      <c r="D571" s="24" t="s">
        <v>15035</v>
      </c>
      <c r="E571" s="6" t="s">
        <v>15</v>
      </c>
      <c r="F571" s="6">
        <v>2020</v>
      </c>
      <c r="G571" s="24" t="s">
        <v>14877</v>
      </c>
      <c r="H571" s="6">
        <v>200</v>
      </c>
      <c r="I571" s="6">
        <v>200</v>
      </c>
      <c r="J571" s="6" t="s">
        <v>5331</v>
      </c>
      <c r="K571" s="10"/>
      <c r="L571" s="10">
        <v>20201118</v>
      </c>
      <c r="M571" s="36" t="str">
        <f t="shared" si="8"/>
        <v>19621005</v>
      </c>
    </row>
    <row r="572" s="1" customFormat="1" ht="14.25" spans="1:13">
      <c r="A572" s="2">
        <v>5235</v>
      </c>
      <c r="B572" s="33" t="s">
        <v>10535</v>
      </c>
      <c r="C572" s="34" t="s">
        <v>5359</v>
      </c>
      <c r="D572" s="64" t="s">
        <v>10589</v>
      </c>
      <c r="E572" s="35">
        <v>2020</v>
      </c>
      <c r="F572" s="35">
        <v>2020</v>
      </c>
      <c r="G572" s="35" t="s">
        <v>16</v>
      </c>
      <c r="H572" s="34">
        <v>200</v>
      </c>
      <c r="I572" s="34">
        <v>200</v>
      </c>
      <c r="J572" s="49"/>
      <c r="K572" s="10"/>
      <c r="L572" s="10">
        <v>20201118</v>
      </c>
      <c r="M572" s="36" t="str">
        <f t="shared" si="8"/>
        <v>19621006</v>
      </c>
    </row>
    <row r="573" s="1" customFormat="1" ht="14.25" spans="1:13">
      <c r="A573" s="2">
        <v>5236</v>
      </c>
      <c r="B573" s="33" t="s">
        <v>10535</v>
      </c>
      <c r="C573" s="34" t="s">
        <v>10590</v>
      </c>
      <c r="D573" s="64" t="s">
        <v>10591</v>
      </c>
      <c r="E573" s="35">
        <v>2020</v>
      </c>
      <c r="F573" s="35">
        <v>2020</v>
      </c>
      <c r="G573" s="35" t="s">
        <v>16</v>
      </c>
      <c r="H573" s="34">
        <v>200</v>
      </c>
      <c r="I573" s="34">
        <v>200</v>
      </c>
      <c r="J573" s="49"/>
      <c r="K573" s="10"/>
      <c r="L573" s="10">
        <v>20201118</v>
      </c>
      <c r="M573" s="36" t="str">
        <f t="shared" si="8"/>
        <v>19621006</v>
      </c>
    </row>
    <row r="574" s="1" customFormat="1" spans="1:13">
      <c r="A574" s="2">
        <v>8121</v>
      </c>
      <c r="B574" s="5" t="s">
        <v>15406</v>
      </c>
      <c r="C574" s="6" t="s">
        <v>15435</v>
      </c>
      <c r="D574" s="6" t="s">
        <v>15436</v>
      </c>
      <c r="E574" s="5" t="s">
        <v>15</v>
      </c>
      <c r="F574" s="5">
        <v>2020</v>
      </c>
      <c r="G574" s="14" t="s">
        <v>16</v>
      </c>
      <c r="H574" s="6">
        <v>200</v>
      </c>
      <c r="I574" s="6">
        <v>200</v>
      </c>
      <c r="J574" s="5"/>
      <c r="K574" s="10"/>
      <c r="L574" s="10">
        <v>20201118</v>
      </c>
      <c r="M574" s="36" t="str">
        <f t="shared" si="8"/>
        <v>19621006</v>
      </c>
    </row>
    <row r="575" s="1" customFormat="1" spans="1:13">
      <c r="A575" s="2">
        <v>2552</v>
      </c>
      <c r="B575" s="32" t="s">
        <v>5602</v>
      </c>
      <c r="C575" s="9" t="s">
        <v>5642</v>
      </c>
      <c r="D575" s="9" t="s">
        <v>5643</v>
      </c>
      <c r="E575" s="32">
        <v>2020</v>
      </c>
      <c r="F575" s="32">
        <v>2020</v>
      </c>
      <c r="G575" s="32" t="s">
        <v>16</v>
      </c>
      <c r="H575" s="9">
        <v>200</v>
      </c>
      <c r="I575" s="9">
        <v>200</v>
      </c>
      <c r="J575" s="32"/>
      <c r="K575" s="52"/>
      <c r="L575" s="10">
        <v>20201118</v>
      </c>
      <c r="M575" s="36" t="str">
        <f t="shared" si="8"/>
        <v>19621007</v>
      </c>
    </row>
    <row r="576" s="1" customFormat="1" spans="1:13">
      <c r="A576" s="2">
        <v>8122</v>
      </c>
      <c r="B576" s="5" t="s">
        <v>15406</v>
      </c>
      <c r="C576" s="6" t="s">
        <v>15437</v>
      </c>
      <c r="D576" s="6" t="s">
        <v>15438</v>
      </c>
      <c r="E576" s="5" t="s">
        <v>15</v>
      </c>
      <c r="F576" s="5">
        <v>2020</v>
      </c>
      <c r="G576" s="14" t="s">
        <v>16</v>
      </c>
      <c r="H576" s="6">
        <v>200</v>
      </c>
      <c r="I576" s="6">
        <v>200</v>
      </c>
      <c r="J576" s="5"/>
      <c r="K576" s="10"/>
      <c r="L576" s="10">
        <v>20201118</v>
      </c>
      <c r="M576" s="36" t="str">
        <f t="shared" si="8"/>
        <v>19621008</v>
      </c>
    </row>
    <row r="577" s="1" customFormat="1" spans="1:13">
      <c r="A577" s="2">
        <v>7187</v>
      </c>
      <c r="B577" s="5" t="s">
        <v>13908</v>
      </c>
      <c r="C577" s="5" t="s">
        <v>14025</v>
      </c>
      <c r="D577" s="5" t="s">
        <v>14026</v>
      </c>
      <c r="E577" s="5" t="s">
        <v>15</v>
      </c>
      <c r="F577" s="5" t="s">
        <v>15</v>
      </c>
      <c r="G577" s="14" t="s">
        <v>16</v>
      </c>
      <c r="H577" s="17">
        <v>200</v>
      </c>
      <c r="I577" s="17">
        <v>200</v>
      </c>
      <c r="J577" s="5" t="s">
        <v>14027</v>
      </c>
      <c r="K577" s="10"/>
      <c r="L577" s="10">
        <v>20201118</v>
      </c>
      <c r="M577" s="36" t="str">
        <f t="shared" si="8"/>
        <v>19621009</v>
      </c>
    </row>
    <row r="578" s="1" customFormat="1" spans="1:13">
      <c r="A578" s="2">
        <v>7635</v>
      </c>
      <c r="B578" s="5" t="s">
        <v>14402</v>
      </c>
      <c r="C578" s="5" t="s">
        <v>14866</v>
      </c>
      <c r="D578" s="5" t="s">
        <v>14867</v>
      </c>
      <c r="E578" s="5">
        <v>2020</v>
      </c>
      <c r="F578" s="5">
        <v>2020</v>
      </c>
      <c r="G578" s="17" t="s">
        <v>16</v>
      </c>
      <c r="H578" s="5">
        <v>200</v>
      </c>
      <c r="I578" s="5">
        <v>200</v>
      </c>
      <c r="J578" s="5"/>
      <c r="K578" s="10"/>
      <c r="L578" s="10">
        <v>20201118</v>
      </c>
      <c r="M578" s="36" t="str">
        <f t="shared" ref="M578:M641" si="9">MID(D578,7,8)</f>
        <v>19621010</v>
      </c>
    </row>
    <row r="579" s="1" customFormat="1" spans="1:13">
      <c r="A579" s="2">
        <v>8060</v>
      </c>
      <c r="B579" s="5" t="s">
        <v>15086</v>
      </c>
      <c r="C579" s="6" t="s">
        <v>5504</v>
      </c>
      <c r="D579" s="6" t="str">
        <f>"152326196210106869"</f>
        <v>152326196210106869</v>
      </c>
      <c r="E579" s="5" t="s">
        <v>15</v>
      </c>
      <c r="F579" s="5">
        <v>2020</v>
      </c>
      <c r="G579" s="5" t="s">
        <v>16</v>
      </c>
      <c r="H579" s="5">
        <v>200</v>
      </c>
      <c r="I579" s="5">
        <v>200</v>
      </c>
      <c r="J579" s="5"/>
      <c r="K579" s="5"/>
      <c r="L579" s="10">
        <v>20201118</v>
      </c>
      <c r="M579" s="36" t="str">
        <f t="shared" si="9"/>
        <v>19621010</v>
      </c>
    </row>
    <row r="580" s="1" customFormat="1" spans="1:13">
      <c r="A580" s="2">
        <v>8064</v>
      </c>
      <c r="B580" s="5" t="s">
        <v>15086</v>
      </c>
      <c r="C580" s="6" t="s">
        <v>7776</v>
      </c>
      <c r="D580" s="6" t="str">
        <f>"152326196210106885"</f>
        <v>152326196210106885</v>
      </c>
      <c r="E580" s="5" t="s">
        <v>15</v>
      </c>
      <c r="F580" s="5">
        <v>2020</v>
      </c>
      <c r="G580" s="5" t="s">
        <v>16</v>
      </c>
      <c r="H580" s="5">
        <v>200</v>
      </c>
      <c r="I580" s="5">
        <v>200</v>
      </c>
      <c r="J580" s="5"/>
      <c r="K580" s="5"/>
      <c r="L580" s="10">
        <v>20201118</v>
      </c>
      <c r="M580" s="36" t="str">
        <f t="shared" si="9"/>
        <v>19621010</v>
      </c>
    </row>
    <row r="581" s="1" customFormat="1" spans="1:13">
      <c r="A581" s="2">
        <v>8156</v>
      </c>
      <c r="B581" s="5" t="s">
        <v>15406</v>
      </c>
      <c r="C581" s="6" t="s">
        <v>15504</v>
      </c>
      <c r="D581" s="6" t="s">
        <v>15505</v>
      </c>
      <c r="E581" s="5" t="s">
        <v>15</v>
      </c>
      <c r="F581" s="5">
        <v>2020</v>
      </c>
      <c r="G581" s="14" t="s">
        <v>16</v>
      </c>
      <c r="H581" s="6">
        <v>200</v>
      </c>
      <c r="I581" s="6">
        <v>200</v>
      </c>
      <c r="J581" s="5"/>
      <c r="K581" s="10"/>
      <c r="L581" s="10">
        <v>20201118</v>
      </c>
      <c r="M581" s="36" t="str">
        <f t="shared" si="9"/>
        <v>19621010</v>
      </c>
    </row>
    <row r="582" s="1" customFormat="1" spans="1:13">
      <c r="A582" s="2">
        <v>122</v>
      </c>
      <c r="B582" s="3" t="s">
        <v>12</v>
      </c>
      <c r="C582" s="6" t="s">
        <v>260</v>
      </c>
      <c r="D582" s="6" t="s">
        <v>261</v>
      </c>
      <c r="E582" s="3" t="s">
        <v>15</v>
      </c>
      <c r="F582" s="3" t="s">
        <v>15</v>
      </c>
      <c r="G582" s="3" t="s">
        <v>189</v>
      </c>
      <c r="H582" s="3">
        <v>200</v>
      </c>
      <c r="I582" s="3">
        <v>200</v>
      </c>
      <c r="J582" s="3"/>
      <c r="K582" s="3"/>
      <c r="L582" s="10">
        <v>20201118</v>
      </c>
      <c r="M582" s="36" t="str">
        <f t="shared" si="9"/>
        <v>19621011</v>
      </c>
    </row>
    <row r="583" s="1" customFormat="1" spans="1:13">
      <c r="A583" s="2">
        <v>6352</v>
      </c>
      <c r="B583" s="5" t="s">
        <v>12263</v>
      </c>
      <c r="C583" s="5" t="s">
        <v>12720</v>
      </c>
      <c r="D583" s="5" t="s">
        <v>12721</v>
      </c>
      <c r="E583" s="5" t="s">
        <v>10250</v>
      </c>
      <c r="F583" s="5">
        <v>2020</v>
      </c>
      <c r="G583" s="17" t="s">
        <v>3359</v>
      </c>
      <c r="H583" s="5" t="s">
        <v>311</v>
      </c>
      <c r="I583" s="5">
        <v>200</v>
      </c>
      <c r="J583" s="5"/>
      <c r="K583" s="5"/>
      <c r="L583" s="10">
        <v>20201118</v>
      </c>
      <c r="M583" s="36" t="str">
        <f t="shared" si="9"/>
        <v>19621011</v>
      </c>
    </row>
    <row r="584" s="1" customFormat="1" spans="1:13">
      <c r="A584" s="2">
        <v>8076</v>
      </c>
      <c r="B584" s="5" t="s">
        <v>15086</v>
      </c>
      <c r="C584" s="6" t="s">
        <v>15356</v>
      </c>
      <c r="D584" s="6" t="str">
        <f>"152326196210116880"</f>
        <v>152326196210116880</v>
      </c>
      <c r="E584" s="5" t="s">
        <v>15</v>
      </c>
      <c r="F584" s="5">
        <v>2020</v>
      </c>
      <c r="G584" s="5" t="s">
        <v>16</v>
      </c>
      <c r="H584" s="5">
        <v>200</v>
      </c>
      <c r="I584" s="5">
        <v>200</v>
      </c>
      <c r="J584" s="5"/>
      <c r="K584" s="5"/>
      <c r="L584" s="10">
        <v>20201118</v>
      </c>
      <c r="M584" s="36" t="str">
        <f t="shared" si="9"/>
        <v>19621011</v>
      </c>
    </row>
    <row r="585" s="1" customFormat="1" spans="1:13">
      <c r="A585" s="2">
        <v>2410</v>
      </c>
      <c r="B585" s="5" t="s">
        <v>5328</v>
      </c>
      <c r="C585" s="16" t="s">
        <v>5361</v>
      </c>
      <c r="D585" s="16" t="s">
        <v>5362</v>
      </c>
      <c r="E585" s="5" t="s">
        <v>15</v>
      </c>
      <c r="F585" s="5" t="s">
        <v>15</v>
      </c>
      <c r="G585" s="14" t="s">
        <v>16</v>
      </c>
      <c r="H585" s="6">
        <v>200</v>
      </c>
      <c r="I585" s="6">
        <v>200</v>
      </c>
      <c r="J585" s="5"/>
      <c r="K585" s="5"/>
      <c r="L585" s="10">
        <v>20201118</v>
      </c>
      <c r="M585" s="36" t="str">
        <f t="shared" si="9"/>
        <v>19621012</v>
      </c>
    </row>
    <row r="586" s="1" customFormat="1" spans="1:13">
      <c r="A586" s="2">
        <v>4447</v>
      </c>
      <c r="B586" s="6" t="s">
        <v>9015</v>
      </c>
      <c r="C586" s="6" t="s">
        <v>9081</v>
      </c>
      <c r="D586" s="6" t="s">
        <v>9082</v>
      </c>
      <c r="E586" s="6">
        <v>2020</v>
      </c>
      <c r="F586" s="6">
        <v>2020</v>
      </c>
      <c r="G586" s="6" t="s">
        <v>16</v>
      </c>
      <c r="H586" s="6">
        <v>200</v>
      </c>
      <c r="I586" s="6">
        <v>200</v>
      </c>
      <c r="J586" s="6"/>
      <c r="K586" s="6"/>
      <c r="L586" s="10">
        <v>20201118</v>
      </c>
      <c r="M586" s="36" t="str">
        <f t="shared" si="9"/>
        <v>19621012</v>
      </c>
    </row>
    <row r="587" s="1" customFormat="1" spans="1:13">
      <c r="A587" s="2">
        <v>3090</v>
      </c>
      <c r="B587" s="3" t="s">
        <v>6671</v>
      </c>
      <c r="C587" s="9" t="s">
        <v>6704</v>
      </c>
      <c r="D587" s="9" t="s">
        <v>6705</v>
      </c>
      <c r="E587" s="3" t="s">
        <v>15</v>
      </c>
      <c r="F587" s="3" t="s">
        <v>15</v>
      </c>
      <c r="G587" s="6" t="s">
        <v>3359</v>
      </c>
      <c r="H587" s="9">
        <v>200</v>
      </c>
      <c r="I587" s="9">
        <v>200</v>
      </c>
      <c r="J587" s="6"/>
      <c r="K587" s="5"/>
      <c r="L587" s="10">
        <v>20201118</v>
      </c>
      <c r="M587" s="36" t="str">
        <f t="shared" si="9"/>
        <v>19621013</v>
      </c>
    </row>
    <row r="588" s="1" customFormat="1" spans="1:13">
      <c r="A588" s="2">
        <v>7124</v>
      </c>
      <c r="B588" s="5" t="s">
        <v>13908</v>
      </c>
      <c r="C588" s="17" t="s">
        <v>13909</v>
      </c>
      <c r="D588" s="17" t="s">
        <v>13910</v>
      </c>
      <c r="E588" s="5" t="s">
        <v>15</v>
      </c>
      <c r="F588" s="5" t="s">
        <v>15</v>
      </c>
      <c r="G588" s="14" t="s">
        <v>16</v>
      </c>
      <c r="H588" s="17">
        <v>200</v>
      </c>
      <c r="I588" s="17">
        <v>200</v>
      </c>
      <c r="J588" s="17"/>
      <c r="K588" s="10"/>
      <c r="L588" s="10">
        <v>20201118</v>
      </c>
      <c r="M588" s="36" t="str">
        <f t="shared" si="9"/>
        <v>19621013</v>
      </c>
    </row>
    <row r="589" s="1" customFormat="1" spans="1:13">
      <c r="A589" s="2">
        <v>3504</v>
      </c>
      <c r="B589" s="5" t="s">
        <v>3375</v>
      </c>
      <c r="C589" s="6" t="s">
        <v>7293</v>
      </c>
      <c r="D589" s="6" t="str">
        <f>"152326196210156866"</f>
        <v>152326196210156866</v>
      </c>
      <c r="E589" s="5" t="s">
        <v>15</v>
      </c>
      <c r="F589" s="5">
        <v>2020</v>
      </c>
      <c r="G589" s="14" t="s">
        <v>16</v>
      </c>
      <c r="H589" s="17">
        <v>200</v>
      </c>
      <c r="I589" s="17">
        <v>200</v>
      </c>
      <c r="J589" s="6"/>
      <c r="K589" s="10"/>
      <c r="L589" s="10">
        <v>20201118</v>
      </c>
      <c r="M589" s="36" t="str">
        <f t="shared" si="9"/>
        <v>19621015</v>
      </c>
    </row>
    <row r="590" s="1" customFormat="1" spans="1:13">
      <c r="A590" s="2">
        <v>3619</v>
      </c>
      <c r="B590" s="5" t="s">
        <v>7412</v>
      </c>
      <c r="C590" s="5" t="s">
        <v>7504</v>
      </c>
      <c r="D590" s="5" t="s">
        <v>7505</v>
      </c>
      <c r="E590" s="6">
        <v>2020</v>
      </c>
      <c r="F590" s="6">
        <v>2020</v>
      </c>
      <c r="G590" s="5" t="s">
        <v>3359</v>
      </c>
      <c r="H590" s="5">
        <v>200</v>
      </c>
      <c r="I590" s="5">
        <v>200</v>
      </c>
      <c r="J590" s="5" t="s">
        <v>1242</v>
      </c>
      <c r="K590" s="5"/>
      <c r="L590" s="10">
        <v>20201118</v>
      </c>
      <c r="M590" s="36" t="str">
        <f t="shared" si="9"/>
        <v>19621015</v>
      </c>
    </row>
    <row r="591" s="1" customFormat="1" spans="1:13">
      <c r="A591" s="2">
        <v>7597</v>
      </c>
      <c r="B591" s="5" t="s">
        <v>14402</v>
      </c>
      <c r="C591" s="5" t="s">
        <v>14793</v>
      </c>
      <c r="D591" s="5" t="s">
        <v>14794</v>
      </c>
      <c r="E591" s="5">
        <v>2020</v>
      </c>
      <c r="F591" s="5">
        <v>2020</v>
      </c>
      <c r="G591" s="17" t="s">
        <v>16</v>
      </c>
      <c r="H591" s="5">
        <v>1000</v>
      </c>
      <c r="I591" s="5">
        <v>1000</v>
      </c>
      <c r="J591" s="5" t="s">
        <v>749</v>
      </c>
      <c r="K591" s="10"/>
      <c r="L591" s="10">
        <v>20201118</v>
      </c>
      <c r="M591" s="36" t="str">
        <f t="shared" si="9"/>
        <v>19621015</v>
      </c>
    </row>
    <row r="592" s="1" customFormat="1" spans="1:13">
      <c r="A592" s="2">
        <v>959</v>
      </c>
      <c r="B592" s="5" t="s">
        <v>2469</v>
      </c>
      <c r="C592" s="9" t="s">
        <v>2510</v>
      </c>
      <c r="D592" s="9" t="s">
        <v>2511</v>
      </c>
      <c r="E592" s="5">
        <v>2020</v>
      </c>
      <c r="F592" s="5">
        <v>2020</v>
      </c>
      <c r="G592" s="9" t="s">
        <v>2480</v>
      </c>
      <c r="H592" s="9">
        <v>200</v>
      </c>
      <c r="I592" s="9">
        <v>200</v>
      </c>
      <c r="J592" s="5"/>
      <c r="K592" s="5"/>
      <c r="L592" s="10">
        <v>20201118</v>
      </c>
      <c r="M592" s="36" t="str">
        <f t="shared" si="9"/>
        <v>19621016</v>
      </c>
    </row>
    <row r="593" s="1" customFormat="1" spans="1:13">
      <c r="A593" s="2">
        <v>1443</v>
      </c>
      <c r="B593" s="5" t="s">
        <v>3381</v>
      </c>
      <c r="C593" s="9" t="s">
        <v>3455</v>
      </c>
      <c r="D593" s="9" t="s">
        <v>3456</v>
      </c>
      <c r="E593" s="5">
        <v>2020</v>
      </c>
      <c r="F593" s="5">
        <v>2020</v>
      </c>
      <c r="G593" s="14" t="s">
        <v>16</v>
      </c>
      <c r="H593" s="6">
        <v>200</v>
      </c>
      <c r="I593" s="6">
        <v>200</v>
      </c>
      <c r="J593" s="5"/>
      <c r="K593" s="13"/>
      <c r="L593" s="10">
        <v>20201118</v>
      </c>
      <c r="M593" s="36" t="str">
        <f t="shared" si="9"/>
        <v>19621017</v>
      </c>
    </row>
    <row r="594" s="1" customFormat="1" spans="1:13">
      <c r="A594" s="2">
        <v>6263</v>
      </c>
      <c r="B594" s="5" t="s">
        <v>12263</v>
      </c>
      <c r="C594" s="5" t="s">
        <v>12547</v>
      </c>
      <c r="D594" s="5" t="s">
        <v>12548</v>
      </c>
      <c r="E594" s="5" t="s">
        <v>10250</v>
      </c>
      <c r="F594" s="5">
        <v>2020</v>
      </c>
      <c r="G594" s="17" t="s">
        <v>3359</v>
      </c>
      <c r="H594" s="5">
        <v>200</v>
      </c>
      <c r="I594" s="5">
        <v>200</v>
      </c>
      <c r="J594" s="5"/>
      <c r="K594" s="5" t="s">
        <v>12549</v>
      </c>
      <c r="L594" s="10">
        <v>20201118</v>
      </c>
      <c r="M594" s="36" t="str">
        <f t="shared" si="9"/>
        <v>19621017</v>
      </c>
    </row>
    <row r="595" s="1" customFormat="1" spans="1:13">
      <c r="A595" s="2">
        <v>6512</v>
      </c>
      <c r="B595" s="13" t="s">
        <v>12263</v>
      </c>
      <c r="C595" s="13" t="s">
        <v>12547</v>
      </c>
      <c r="D595" s="314" t="s">
        <v>12548</v>
      </c>
      <c r="E595" s="13">
        <v>2020</v>
      </c>
      <c r="F595" s="13">
        <v>2020</v>
      </c>
      <c r="G595" s="17" t="s">
        <v>3359</v>
      </c>
      <c r="H595" s="13">
        <v>200</v>
      </c>
      <c r="I595" s="13">
        <v>200</v>
      </c>
      <c r="J595" s="5"/>
      <c r="K595" s="5"/>
      <c r="L595" s="10">
        <v>20201224</v>
      </c>
      <c r="M595" s="36" t="str">
        <f t="shared" si="9"/>
        <v>19621017</v>
      </c>
    </row>
    <row r="596" s="1" customFormat="1" spans="1:13">
      <c r="A596" s="2">
        <v>6348</v>
      </c>
      <c r="B596" s="5" t="s">
        <v>12263</v>
      </c>
      <c r="C596" s="5" t="s">
        <v>12712</v>
      </c>
      <c r="D596" s="5" t="s">
        <v>12713</v>
      </c>
      <c r="E596" s="5" t="s">
        <v>10250</v>
      </c>
      <c r="F596" s="5">
        <v>2020</v>
      </c>
      <c r="G596" s="17" t="s">
        <v>3359</v>
      </c>
      <c r="H596" s="5" t="s">
        <v>311</v>
      </c>
      <c r="I596" s="5">
        <v>200</v>
      </c>
      <c r="J596" s="5"/>
      <c r="K596" s="5"/>
      <c r="L596" s="10">
        <v>20201118</v>
      </c>
      <c r="M596" s="36" t="str">
        <f t="shared" si="9"/>
        <v>19621018</v>
      </c>
    </row>
    <row r="597" s="1" customFormat="1" spans="1:13">
      <c r="A597" s="2">
        <v>7051</v>
      </c>
      <c r="B597" s="5" t="s">
        <v>13533</v>
      </c>
      <c r="C597" s="32" t="s">
        <v>13797</v>
      </c>
      <c r="D597" s="32" t="str">
        <f>"152326196210207141"</f>
        <v>152326196210207141</v>
      </c>
      <c r="E597" s="5">
        <v>2020</v>
      </c>
      <c r="F597" s="5">
        <v>2020</v>
      </c>
      <c r="G597" s="9" t="s">
        <v>2480</v>
      </c>
      <c r="H597" s="32">
        <v>200</v>
      </c>
      <c r="I597" s="32">
        <v>200</v>
      </c>
      <c r="J597" s="32"/>
      <c r="K597" s="10"/>
      <c r="L597" s="10">
        <v>20201118</v>
      </c>
      <c r="M597" s="36" t="str">
        <f t="shared" si="9"/>
        <v>19621020</v>
      </c>
    </row>
    <row r="598" s="1" customFormat="1" spans="1:13">
      <c r="A598" s="2">
        <v>8066</v>
      </c>
      <c r="B598" s="5" t="s">
        <v>15086</v>
      </c>
      <c r="C598" s="6" t="s">
        <v>15345</v>
      </c>
      <c r="D598" s="6" t="s">
        <v>15346</v>
      </c>
      <c r="E598" s="5" t="s">
        <v>15</v>
      </c>
      <c r="F598" s="5">
        <v>2020</v>
      </c>
      <c r="G598" s="5" t="s">
        <v>16</v>
      </c>
      <c r="H598" s="5">
        <v>200</v>
      </c>
      <c r="I598" s="5">
        <v>200</v>
      </c>
      <c r="J598" s="5"/>
      <c r="K598" s="5"/>
      <c r="L598" s="10">
        <v>20201118</v>
      </c>
      <c r="M598" s="36" t="str">
        <f t="shared" si="9"/>
        <v>19621020</v>
      </c>
    </row>
    <row r="599" s="1" customFormat="1" spans="1:13">
      <c r="A599" s="2">
        <v>5709</v>
      </c>
      <c r="B599" s="30" t="s">
        <v>11090</v>
      </c>
      <c r="C599" s="30" t="s">
        <v>11503</v>
      </c>
      <c r="D599" s="30" t="s">
        <v>11504</v>
      </c>
      <c r="E599" s="5" t="s">
        <v>15</v>
      </c>
      <c r="F599" s="5" t="s">
        <v>10250</v>
      </c>
      <c r="G599" s="6" t="s">
        <v>16</v>
      </c>
      <c r="H599" s="32">
        <v>200</v>
      </c>
      <c r="I599" s="32">
        <v>200</v>
      </c>
      <c r="J599" s="6" t="s">
        <v>6097</v>
      </c>
      <c r="K599" s="48"/>
      <c r="L599" s="10">
        <v>20201118</v>
      </c>
      <c r="M599" s="36" t="str">
        <f t="shared" si="9"/>
        <v>19621023</v>
      </c>
    </row>
    <row r="600" s="1" customFormat="1" spans="1:13">
      <c r="A600" s="2">
        <v>6532</v>
      </c>
      <c r="B600" s="5" t="s">
        <v>13027</v>
      </c>
      <c r="C600" s="15" t="s">
        <v>13061</v>
      </c>
      <c r="D600" s="15" t="s">
        <v>13062</v>
      </c>
      <c r="E600" s="5">
        <v>2020</v>
      </c>
      <c r="F600" s="5">
        <v>2020</v>
      </c>
      <c r="G600" s="14" t="s">
        <v>16</v>
      </c>
      <c r="H600" s="15">
        <v>200</v>
      </c>
      <c r="I600" s="15">
        <v>200</v>
      </c>
      <c r="J600" s="5"/>
      <c r="K600" s="10"/>
      <c r="L600" s="10">
        <v>20201118</v>
      </c>
      <c r="M600" s="36" t="str">
        <f t="shared" si="9"/>
        <v>19621025</v>
      </c>
    </row>
    <row r="601" s="1" customFormat="1" spans="1:13">
      <c r="A601" s="2">
        <v>8080</v>
      </c>
      <c r="B601" s="5" t="s">
        <v>15086</v>
      </c>
      <c r="C601" s="6" t="s">
        <v>15360</v>
      </c>
      <c r="D601" s="6" t="str">
        <f>"152326196210256891"</f>
        <v>152326196210256891</v>
      </c>
      <c r="E601" s="5" t="s">
        <v>15</v>
      </c>
      <c r="F601" s="5">
        <v>2020</v>
      </c>
      <c r="G601" s="5" t="s">
        <v>16</v>
      </c>
      <c r="H601" s="5">
        <v>1000</v>
      </c>
      <c r="I601" s="5">
        <v>1000</v>
      </c>
      <c r="J601" s="5"/>
      <c r="K601" s="5"/>
      <c r="L601" s="10">
        <v>20201118</v>
      </c>
      <c r="M601" s="36" t="str">
        <f t="shared" si="9"/>
        <v>19621025</v>
      </c>
    </row>
    <row r="602" s="1" customFormat="1" spans="1:13">
      <c r="A602" s="2">
        <v>6533</v>
      </c>
      <c r="B602" s="5" t="s">
        <v>13027</v>
      </c>
      <c r="C602" s="15" t="s">
        <v>13063</v>
      </c>
      <c r="D602" s="15" t="s">
        <v>13064</v>
      </c>
      <c r="E602" s="5">
        <v>2020</v>
      </c>
      <c r="F602" s="5">
        <v>2020</v>
      </c>
      <c r="G602" s="14" t="s">
        <v>16</v>
      </c>
      <c r="H602" s="15">
        <v>200</v>
      </c>
      <c r="I602" s="15">
        <v>200</v>
      </c>
      <c r="J602" s="5"/>
      <c r="K602" s="10"/>
      <c r="L602" s="10">
        <v>20201118</v>
      </c>
      <c r="M602" s="36" t="str">
        <f t="shared" si="9"/>
        <v>19621026</v>
      </c>
    </row>
    <row r="603" s="1" customFormat="1" spans="1:13">
      <c r="A603" s="2">
        <v>1444</v>
      </c>
      <c r="B603" s="5" t="s">
        <v>3381</v>
      </c>
      <c r="C603" s="9" t="s">
        <v>3457</v>
      </c>
      <c r="D603" s="9" t="s">
        <v>3458</v>
      </c>
      <c r="E603" s="5">
        <v>2020</v>
      </c>
      <c r="F603" s="5">
        <v>2020</v>
      </c>
      <c r="G603" s="14" t="s">
        <v>16</v>
      </c>
      <c r="H603" s="6">
        <v>200</v>
      </c>
      <c r="I603" s="6">
        <v>200</v>
      </c>
      <c r="J603" s="5"/>
      <c r="K603" s="13"/>
      <c r="L603" s="10">
        <v>20201118</v>
      </c>
      <c r="M603" s="36" t="str">
        <f t="shared" si="9"/>
        <v>19621029</v>
      </c>
    </row>
    <row r="604" s="1" customFormat="1" spans="1:13">
      <c r="A604" s="2">
        <v>4485</v>
      </c>
      <c r="B604" s="6" t="s">
        <v>9015</v>
      </c>
      <c r="C604" s="6" t="s">
        <v>9153</v>
      </c>
      <c r="D604" s="6" t="s">
        <v>9154</v>
      </c>
      <c r="E604" s="6">
        <v>2020</v>
      </c>
      <c r="F604" s="6">
        <v>2020</v>
      </c>
      <c r="G604" s="6" t="s">
        <v>16</v>
      </c>
      <c r="H604" s="6">
        <v>200</v>
      </c>
      <c r="I604" s="6">
        <v>200</v>
      </c>
      <c r="J604" s="6"/>
      <c r="K604" s="6"/>
      <c r="L604" s="10">
        <v>20201118</v>
      </c>
      <c r="M604" s="36" t="str">
        <f t="shared" si="9"/>
        <v>19621029</v>
      </c>
    </row>
    <row r="605" s="1" customFormat="1" spans="1:13">
      <c r="A605" s="2">
        <v>4417</v>
      </c>
      <c r="B605" s="6" t="s">
        <v>9015</v>
      </c>
      <c r="C605" s="6" t="s">
        <v>9024</v>
      </c>
      <c r="D605" s="6" t="s">
        <v>9025</v>
      </c>
      <c r="E605" s="6">
        <v>2020</v>
      </c>
      <c r="F605" s="6">
        <v>2020</v>
      </c>
      <c r="G605" s="6" t="s">
        <v>16</v>
      </c>
      <c r="H605" s="6">
        <v>200</v>
      </c>
      <c r="I605" s="6">
        <v>200</v>
      </c>
      <c r="J605" s="6"/>
      <c r="K605" s="6"/>
      <c r="L605" s="10">
        <v>20201118</v>
      </c>
      <c r="M605" s="36" t="str">
        <f t="shared" si="9"/>
        <v>19621101</v>
      </c>
    </row>
    <row r="606" s="1" customFormat="1" spans="1:13">
      <c r="A606" s="2">
        <v>6150</v>
      </c>
      <c r="B606" s="5" t="s">
        <v>12263</v>
      </c>
      <c r="C606" s="5" t="s">
        <v>12333</v>
      </c>
      <c r="D606" s="5" t="s">
        <v>12334</v>
      </c>
      <c r="E606" s="5" t="s">
        <v>10250</v>
      </c>
      <c r="F606" s="5">
        <v>2020</v>
      </c>
      <c r="G606" s="17" t="s">
        <v>3359</v>
      </c>
      <c r="H606" s="5">
        <v>200</v>
      </c>
      <c r="I606" s="5">
        <v>200</v>
      </c>
      <c r="J606" s="5"/>
      <c r="K606" s="5"/>
      <c r="L606" s="10">
        <v>20201118</v>
      </c>
      <c r="M606" s="36" t="str">
        <f t="shared" si="9"/>
        <v>19621101</v>
      </c>
    </row>
    <row r="607" s="1" customFormat="1" spans="1:13">
      <c r="A607" s="2">
        <v>2166</v>
      </c>
      <c r="B607" s="9" t="s">
        <v>4837</v>
      </c>
      <c r="C607" s="9" t="s">
        <v>4880</v>
      </c>
      <c r="D607" s="9" t="s">
        <v>4881</v>
      </c>
      <c r="E607" s="6" t="s">
        <v>15</v>
      </c>
      <c r="F607" s="6">
        <v>2020</v>
      </c>
      <c r="G607" s="9" t="s">
        <v>2480</v>
      </c>
      <c r="H607" s="9">
        <v>200</v>
      </c>
      <c r="I607" s="9">
        <v>200</v>
      </c>
      <c r="J607" s="6"/>
      <c r="K607" s="10"/>
      <c r="L607" s="10">
        <v>20201118</v>
      </c>
      <c r="M607" s="36" t="str">
        <f t="shared" si="9"/>
        <v>19621104</v>
      </c>
    </row>
    <row r="608" s="1" customFormat="1" ht="14.25" spans="1:13">
      <c r="A608" s="2">
        <v>2927</v>
      </c>
      <c r="B608" s="6" t="s">
        <v>6075</v>
      </c>
      <c r="C608" s="25" t="s">
        <v>6381</v>
      </c>
      <c r="D608" s="26" t="s">
        <v>6382</v>
      </c>
      <c r="E608" s="5" t="s">
        <v>15</v>
      </c>
      <c r="F608" s="5">
        <v>2020</v>
      </c>
      <c r="G608" s="6" t="s">
        <v>16</v>
      </c>
      <c r="H608" s="6">
        <v>200</v>
      </c>
      <c r="I608" s="6">
        <v>200</v>
      </c>
      <c r="J608" s="6"/>
      <c r="K608" s="10"/>
      <c r="L608" s="10">
        <v>20201118</v>
      </c>
      <c r="M608" s="36" t="str">
        <f t="shared" si="9"/>
        <v>19621104</v>
      </c>
    </row>
    <row r="609" s="1" customFormat="1" spans="1:13">
      <c r="A609" s="2">
        <v>4168</v>
      </c>
      <c r="B609" s="9" t="s">
        <v>8515</v>
      </c>
      <c r="C609" s="9" t="s">
        <v>8542</v>
      </c>
      <c r="D609" s="9" t="s">
        <v>8543</v>
      </c>
      <c r="E609" s="5" t="s">
        <v>15</v>
      </c>
      <c r="F609" s="5">
        <v>2020</v>
      </c>
      <c r="G609" s="9" t="s">
        <v>2480</v>
      </c>
      <c r="H609" s="9">
        <v>200</v>
      </c>
      <c r="I609" s="9">
        <v>200</v>
      </c>
      <c r="J609" s="9"/>
      <c r="K609" s="9"/>
      <c r="L609" s="10">
        <v>20201118</v>
      </c>
      <c r="M609" s="36" t="str">
        <f t="shared" si="9"/>
        <v>19621105</v>
      </c>
    </row>
    <row r="610" s="1" customFormat="1" spans="1:13">
      <c r="A610" s="2">
        <v>6297</v>
      </c>
      <c r="B610" s="5" t="s">
        <v>12263</v>
      </c>
      <c r="C610" s="5" t="s">
        <v>12613</v>
      </c>
      <c r="D610" s="5" t="s">
        <v>12614</v>
      </c>
      <c r="E610" s="5" t="s">
        <v>10250</v>
      </c>
      <c r="F610" s="5">
        <v>2020</v>
      </c>
      <c r="G610" s="17" t="s">
        <v>3359</v>
      </c>
      <c r="H610" s="5">
        <v>200</v>
      </c>
      <c r="I610" s="5">
        <v>200</v>
      </c>
      <c r="J610" s="5" t="s">
        <v>108</v>
      </c>
      <c r="K610" s="5"/>
      <c r="L610" s="10">
        <v>20201118</v>
      </c>
      <c r="M610" s="36" t="str">
        <f t="shared" si="9"/>
        <v>19621105</v>
      </c>
    </row>
    <row r="611" s="1" customFormat="1" spans="1:13">
      <c r="A611" s="2">
        <v>246</v>
      </c>
      <c r="B611" s="14" t="s">
        <v>327</v>
      </c>
      <c r="C611" s="14" t="s">
        <v>624</v>
      </c>
      <c r="D611" s="14" t="s">
        <v>625</v>
      </c>
      <c r="E611" s="5">
        <v>2020</v>
      </c>
      <c r="F611" s="5">
        <v>2020</v>
      </c>
      <c r="G611" s="14" t="s">
        <v>16</v>
      </c>
      <c r="H611" s="14">
        <v>200</v>
      </c>
      <c r="I611" s="14">
        <v>200</v>
      </c>
      <c r="J611" s="17"/>
      <c r="K611" s="10"/>
      <c r="L611" s="14" t="s">
        <v>330</v>
      </c>
      <c r="M611" s="36" t="str">
        <f t="shared" si="9"/>
        <v>19621106</v>
      </c>
    </row>
    <row r="612" s="1" customFormat="1" spans="1:13">
      <c r="A612" s="2">
        <v>960</v>
      </c>
      <c r="B612" s="5" t="s">
        <v>2469</v>
      </c>
      <c r="C612" s="9" t="s">
        <v>2512</v>
      </c>
      <c r="D612" s="9" t="s">
        <v>2513</v>
      </c>
      <c r="E612" s="5">
        <v>2020</v>
      </c>
      <c r="F612" s="5">
        <v>2020</v>
      </c>
      <c r="G612" s="9" t="s">
        <v>2480</v>
      </c>
      <c r="H612" s="9">
        <v>200</v>
      </c>
      <c r="I612" s="9">
        <v>200</v>
      </c>
      <c r="J612" s="5"/>
      <c r="K612" s="5"/>
      <c r="L612" s="10">
        <v>20201118</v>
      </c>
      <c r="M612" s="36" t="str">
        <f t="shared" si="9"/>
        <v>19621106</v>
      </c>
    </row>
    <row r="613" s="1" customFormat="1" spans="1:13">
      <c r="A613" s="2">
        <v>1445</v>
      </c>
      <c r="B613" s="5" t="s">
        <v>3381</v>
      </c>
      <c r="C613" s="9" t="s">
        <v>3459</v>
      </c>
      <c r="D613" s="9" t="s">
        <v>3460</v>
      </c>
      <c r="E613" s="5">
        <v>2020</v>
      </c>
      <c r="F613" s="5">
        <v>2020</v>
      </c>
      <c r="G613" s="14" t="s">
        <v>16</v>
      </c>
      <c r="H613" s="6">
        <v>200</v>
      </c>
      <c r="I613" s="6">
        <v>200</v>
      </c>
      <c r="J613" s="5"/>
      <c r="K613" s="13"/>
      <c r="L613" s="10">
        <v>20201118</v>
      </c>
      <c r="M613" s="36" t="str">
        <f t="shared" si="9"/>
        <v>19621106</v>
      </c>
    </row>
    <row r="614" s="1" customFormat="1" spans="1:13">
      <c r="A614" s="2">
        <v>156</v>
      </c>
      <c r="B614" s="14" t="s">
        <v>327</v>
      </c>
      <c r="C614" s="14" t="s">
        <v>356</v>
      </c>
      <c r="D614" s="14" t="s">
        <v>357</v>
      </c>
      <c r="E614" s="5">
        <v>2020</v>
      </c>
      <c r="F614" s="5">
        <v>2020</v>
      </c>
      <c r="G614" s="14" t="s">
        <v>16</v>
      </c>
      <c r="H614" s="14">
        <v>200</v>
      </c>
      <c r="I614" s="14">
        <v>200</v>
      </c>
      <c r="J614" s="14"/>
      <c r="K614" s="10"/>
      <c r="L614" s="14" t="s">
        <v>330</v>
      </c>
      <c r="M614" s="36" t="str">
        <f t="shared" si="9"/>
        <v>19621108</v>
      </c>
    </row>
    <row r="615" s="1" customFormat="1" spans="1:13">
      <c r="A615" s="2">
        <v>6311</v>
      </c>
      <c r="B615" s="5" t="s">
        <v>12263</v>
      </c>
      <c r="C615" s="5" t="s">
        <v>12639</v>
      </c>
      <c r="D615" s="5" t="s">
        <v>12640</v>
      </c>
      <c r="E615" s="5" t="s">
        <v>10250</v>
      </c>
      <c r="F615" s="5">
        <v>2020</v>
      </c>
      <c r="G615" s="17" t="s">
        <v>3359</v>
      </c>
      <c r="H615" s="5">
        <v>200</v>
      </c>
      <c r="I615" s="5">
        <v>200</v>
      </c>
      <c r="J615" s="5"/>
      <c r="K615" s="5"/>
      <c r="L615" s="10">
        <v>20201118</v>
      </c>
      <c r="M615" s="36" t="str">
        <f t="shared" si="9"/>
        <v>19621108</v>
      </c>
    </row>
    <row r="616" s="1" customFormat="1" spans="1:13">
      <c r="A616" s="2">
        <v>4169</v>
      </c>
      <c r="B616" s="9" t="s">
        <v>8515</v>
      </c>
      <c r="C616" s="9" t="s">
        <v>8544</v>
      </c>
      <c r="D616" s="9" t="s">
        <v>8545</v>
      </c>
      <c r="E616" s="5" t="s">
        <v>15</v>
      </c>
      <c r="F616" s="5">
        <v>2020</v>
      </c>
      <c r="G616" s="9" t="s">
        <v>2480</v>
      </c>
      <c r="H616" s="9">
        <v>200</v>
      </c>
      <c r="I616" s="9">
        <v>200</v>
      </c>
      <c r="J616" s="9"/>
      <c r="K616" s="9"/>
      <c r="L616" s="10">
        <v>20201118</v>
      </c>
      <c r="M616" s="36" t="str">
        <f t="shared" si="9"/>
        <v>19621110</v>
      </c>
    </row>
    <row r="617" s="1" customFormat="1" spans="1:13">
      <c r="A617" s="2">
        <v>1849</v>
      </c>
      <c r="B617" s="5" t="s">
        <v>4189</v>
      </c>
      <c r="C617" s="16" t="s">
        <v>4262</v>
      </c>
      <c r="D617" s="16" t="s">
        <v>4263</v>
      </c>
      <c r="E617" s="5" t="s">
        <v>15</v>
      </c>
      <c r="F617" s="5" t="s">
        <v>15</v>
      </c>
      <c r="G617" s="5" t="s">
        <v>3359</v>
      </c>
      <c r="H617" s="16">
        <v>200</v>
      </c>
      <c r="I617" s="16">
        <v>200</v>
      </c>
      <c r="J617" s="5"/>
      <c r="K617" s="10"/>
      <c r="L617" s="10">
        <v>20201118</v>
      </c>
      <c r="M617" s="36" t="str">
        <f t="shared" si="9"/>
        <v>19621112</v>
      </c>
    </row>
    <row r="618" s="1" customFormat="1" ht="14.25" spans="1:13">
      <c r="A618" s="2">
        <v>2959</v>
      </c>
      <c r="B618" s="6" t="s">
        <v>6075</v>
      </c>
      <c r="C618" s="25" t="s">
        <v>6444</v>
      </c>
      <c r="D618" s="26" t="s">
        <v>6445</v>
      </c>
      <c r="E618" s="5" t="s">
        <v>15</v>
      </c>
      <c r="F618" s="5">
        <v>2020</v>
      </c>
      <c r="G618" s="6" t="s">
        <v>16</v>
      </c>
      <c r="H618" s="6">
        <v>200</v>
      </c>
      <c r="I618" s="6">
        <v>200</v>
      </c>
      <c r="J618" s="6"/>
      <c r="K618" s="10"/>
      <c r="L618" s="10">
        <v>20201118</v>
      </c>
      <c r="M618" s="36" t="str">
        <f t="shared" si="9"/>
        <v>19621112</v>
      </c>
    </row>
    <row r="619" s="1" customFormat="1" spans="1:13">
      <c r="A619" s="2">
        <v>6473</v>
      </c>
      <c r="B619" s="5" t="s">
        <v>12263</v>
      </c>
      <c r="C619" s="5" t="s">
        <v>12949</v>
      </c>
      <c r="D619" s="5" t="s">
        <v>12950</v>
      </c>
      <c r="E619" s="5" t="s">
        <v>310</v>
      </c>
      <c r="F619" s="5">
        <v>2020</v>
      </c>
      <c r="G619" s="5" t="s">
        <v>295</v>
      </c>
      <c r="H619" s="5">
        <v>200</v>
      </c>
      <c r="I619" s="5">
        <v>2000</v>
      </c>
      <c r="J619" s="5"/>
      <c r="K619" s="5"/>
      <c r="L619" s="10">
        <v>20201118</v>
      </c>
      <c r="M619" s="36" t="str">
        <f t="shared" si="9"/>
        <v>19621112</v>
      </c>
    </row>
    <row r="620" s="1" customFormat="1" spans="1:13">
      <c r="A620" s="2">
        <v>8154</v>
      </c>
      <c r="B620" s="5" t="s">
        <v>15406</v>
      </c>
      <c r="C620" s="6" t="s">
        <v>15500</v>
      </c>
      <c r="D620" s="6" t="s">
        <v>15501</v>
      </c>
      <c r="E620" s="5" t="s">
        <v>15</v>
      </c>
      <c r="F620" s="5">
        <v>2020</v>
      </c>
      <c r="G620" s="14" t="s">
        <v>16</v>
      </c>
      <c r="H620" s="6">
        <v>200</v>
      </c>
      <c r="I620" s="6">
        <v>200</v>
      </c>
      <c r="J620" s="5"/>
      <c r="K620" s="10"/>
      <c r="L620" s="10">
        <v>20201118</v>
      </c>
      <c r="M620" s="36" t="str">
        <f t="shared" si="9"/>
        <v>19621112</v>
      </c>
    </row>
    <row r="621" s="1" customFormat="1" spans="1:13">
      <c r="A621" s="2">
        <v>2045</v>
      </c>
      <c r="B621" s="5" t="s">
        <v>4189</v>
      </c>
      <c r="C621" s="9" t="s">
        <v>4645</v>
      </c>
      <c r="D621" s="9" t="s">
        <v>4646</v>
      </c>
      <c r="E621" s="5" t="s">
        <v>15</v>
      </c>
      <c r="F621" s="5" t="s">
        <v>15</v>
      </c>
      <c r="G621" s="5" t="s">
        <v>3359</v>
      </c>
      <c r="H621" s="16">
        <v>200</v>
      </c>
      <c r="I621" s="16">
        <v>200</v>
      </c>
      <c r="J621" s="5"/>
      <c r="K621" s="10"/>
      <c r="L621" s="10">
        <v>20201118</v>
      </c>
      <c r="M621" s="36" t="str">
        <f t="shared" si="9"/>
        <v>19621113</v>
      </c>
    </row>
    <row r="622" s="1" customFormat="1" spans="1:13">
      <c r="A622" s="2">
        <v>1446</v>
      </c>
      <c r="B622" s="5" t="s">
        <v>3381</v>
      </c>
      <c r="C622" s="9" t="s">
        <v>3461</v>
      </c>
      <c r="D622" s="9" t="s">
        <v>3462</v>
      </c>
      <c r="E622" s="5">
        <v>2020</v>
      </c>
      <c r="F622" s="5">
        <v>2020</v>
      </c>
      <c r="G622" s="14" t="s">
        <v>16</v>
      </c>
      <c r="H622" s="6">
        <v>200</v>
      </c>
      <c r="I622" s="6">
        <v>200</v>
      </c>
      <c r="J622" s="5"/>
      <c r="K622" s="13"/>
      <c r="L622" s="10">
        <v>20201118</v>
      </c>
      <c r="M622" s="36" t="str">
        <f t="shared" si="9"/>
        <v>19621114</v>
      </c>
    </row>
    <row r="623" s="1" customFormat="1" ht="14.25" spans="1:13">
      <c r="A623" s="2">
        <v>2875</v>
      </c>
      <c r="B623" s="6" t="s">
        <v>6075</v>
      </c>
      <c r="C623" s="25" t="s">
        <v>6279</v>
      </c>
      <c r="D623" s="26" t="s">
        <v>6280</v>
      </c>
      <c r="E623" s="5" t="s">
        <v>15</v>
      </c>
      <c r="F623" s="5">
        <v>2020</v>
      </c>
      <c r="G623" s="6" t="s">
        <v>16</v>
      </c>
      <c r="H623" s="6">
        <v>200</v>
      </c>
      <c r="I623" s="6">
        <v>200</v>
      </c>
      <c r="J623" s="6" t="s">
        <v>108</v>
      </c>
      <c r="K623" s="10"/>
      <c r="L623" s="10">
        <v>20201118</v>
      </c>
      <c r="M623" s="36" t="str">
        <f t="shared" si="9"/>
        <v>19621117</v>
      </c>
    </row>
    <row r="624" s="1" customFormat="1" spans="1:13">
      <c r="A624" s="2">
        <v>4657</v>
      </c>
      <c r="B624" s="6" t="s">
        <v>9015</v>
      </c>
      <c r="C624" s="6" t="s">
        <v>9478</v>
      </c>
      <c r="D624" s="6" t="s">
        <v>9479</v>
      </c>
      <c r="E624" s="6">
        <v>2020</v>
      </c>
      <c r="F624" s="6">
        <v>2020</v>
      </c>
      <c r="G624" s="6" t="s">
        <v>16</v>
      </c>
      <c r="H624" s="6">
        <v>200</v>
      </c>
      <c r="I624" s="6">
        <v>200</v>
      </c>
      <c r="J624" s="6"/>
      <c r="K624" s="6"/>
      <c r="L624" s="10">
        <v>20201118</v>
      </c>
      <c r="M624" s="36" t="str">
        <f t="shared" si="9"/>
        <v>19621117</v>
      </c>
    </row>
    <row r="625" s="1" customFormat="1" spans="1:13">
      <c r="A625" s="2">
        <v>5003</v>
      </c>
      <c r="B625" s="6" t="s">
        <v>9954</v>
      </c>
      <c r="C625" s="32" t="s">
        <v>10144</v>
      </c>
      <c r="D625" s="32" t="s">
        <v>10145</v>
      </c>
      <c r="E625" s="5" t="s">
        <v>15</v>
      </c>
      <c r="F625" s="5" t="s">
        <v>15</v>
      </c>
      <c r="G625" s="14" t="s">
        <v>16</v>
      </c>
      <c r="H625" s="6">
        <v>200</v>
      </c>
      <c r="I625" s="6">
        <v>200</v>
      </c>
      <c r="J625" s="6"/>
      <c r="K625" s="6"/>
      <c r="L625" s="10">
        <v>20201118</v>
      </c>
      <c r="M625" s="36" t="str">
        <f t="shared" si="9"/>
        <v>19621117</v>
      </c>
    </row>
    <row r="626" s="1" customFormat="1" spans="1:13">
      <c r="A626" s="2">
        <v>6305</v>
      </c>
      <c r="B626" s="5" t="s">
        <v>12263</v>
      </c>
      <c r="C626" s="5" t="s">
        <v>12628</v>
      </c>
      <c r="D626" s="5" t="s">
        <v>12629</v>
      </c>
      <c r="E626" s="5" t="s">
        <v>10250</v>
      </c>
      <c r="F626" s="5">
        <v>2020</v>
      </c>
      <c r="G626" s="17" t="s">
        <v>3359</v>
      </c>
      <c r="H626" s="5">
        <v>200</v>
      </c>
      <c r="I626" s="5">
        <v>200</v>
      </c>
      <c r="J626" s="5"/>
      <c r="K626" s="5"/>
      <c r="L626" s="10">
        <v>20201118</v>
      </c>
      <c r="M626" s="36" t="str">
        <f t="shared" si="9"/>
        <v>19621118</v>
      </c>
    </row>
    <row r="627" s="1" customFormat="1" ht="14.25" spans="1:13">
      <c r="A627" s="2">
        <v>2136</v>
      </c>
      <c r="B627" s="5" t="s">
        <v>4189</v>
      </c>
      <c r="C627" s="17" t="s">
        <v>4821</v>
      </c>
      <c r="D627" s="318" t="s">
        <v>4822</v>
      </c>
      <c r="E627" s="5" t="s">
        <v>310</v>
      </c>
      <c r="F627" s="5" t="s">
        <v>15</v>
      </c>
      <c r="G627" s="5" t="s">
        <v>289</v>
      </c>
      <c r="H627" s="6" t="s">
        <v>311</v>
      </c>
      <c r="I627" s="6">
        <v>2000</v>
      </c>
      <c r="J627" s="6"/>
      <c r="K627" s="10"/>
      <c r="L627" s="10">
        <v>20201118</v>
      </c>
      <c r="M627" s="36" t="str">
        <f t="shared" si="9"/>
        <v>19621119</v>
      </c>
    </row>
    <row r="628" s="1" customFormat="1" spans="1:13">
      <c r="A628" s="2">
        <v>7060</v>
      </c>
      <c r="B628" s="5" t="s">
        <v>13533</v>
      </c>
      <c r="C628" s="32" t="s">
        <v>13805</v>
      </c>
      <c r="D628" s="32" t="str">
        <f>"152326196211197117"</f>
        <v>152326196211197117</v>
      </c>
      <c r="E628" s="5">
        <v>2020</v>
      </c>
      <c r="F628" s="5">
        <v>2020</v>
      </c>
      <c r="G628" s="9" t="s">
        <v>2480</v>
      </c>
      <c r="H628" s="32">
        <v>200</v>
      </c>
      <c r="I628" s="32">
        <v>200</v>
      </c>
      <c r="J628" s="32"/>
      <c r="K628" s="10"/>
      <c r="L628" s="10">
        <v>20201118</v>
      </c>
      <c r="M628" s="36" t="str">
        <f t="shared" si="9"/>
        <v>19621119</v>
      </c>
    </row>
    <row r="629" s="1" customFormat="1" spans="1:13">
      <c r="A629" s="2">
        <v>1850</v>
      </c>
      <c r="B629" s="5" t="s">
        <v>4189</v>
      </c>
      <c r="C629" s="16" t="s">
        <v>4264</v>
      </c>
      <c r="D629" s="16" t="s">
        <v>4265</v>
      </c>
      <c r="E629" s="5" t="s">
        <v>15</v>
      </c>
      <c r="F629" s="5" t="s">
        <v>15</v>
      </c>
      <c r="G629" s="5" t="s">
        <v>3359</v>
      </c>
      <c r="H629" s="16">
        <v>200</v>
      </c>
      <c r="I629" s="16">
        <v>200</v>
      </c>
      <c r="J629" s="5"/>
      <c r="K629" s="10"/>
      <c r="L629" s="10">
        <v>20201118</v>
      </c>
      <c r="M629" s="36" t="str">
        <f t="shared" si="9"/>
        <v>19621121</v>
      </c>
    </row>
    <row r="630" s="1" customFormat="1" spans="1:13">
      <c r="A630" s="2">
        <v>5726</v>
      </c>
      <c r="B630" s="30" t="s">
        <v>11090</v>
      </c>
      <c r="C630" s="30" t="s">
        <v>11537</v>
      </c>
      <c r="D630" s="30" t="s">
        <v>11538</v>
      </c>
      <c r="E630" s="5" t="s">
        <v>15</v>
      </c>
      <c r="F630" s="5" t="s">
        <v>10250</v>
      </c>
      <c r="G630" s="6" t="s">
        <v>16</v>
      </c>
      <c r="H630" s="32">
        <v>200</v>
      </c>
      <c r="I630" s="32">
        <v>200</v>
      </c>
      <c r="J630" s="6"/>
      <c r="K630" s="48"/>
      <c r="L630" s="10">
        <v>20201118</v>
      </c>
      <c r="M630" s="36" t="str">
        <f t="shared" si="9"/>
        <v>19621121</v>
      </c>
    </row>
    <row r="631" s="1" customFormat="1" spans="1:13">
      <c r="A631" s="2">
        <v>2167</v>
      </c>
      <c r="B631" s="9" t="s">
        <v>4837</v>
      </c>
      <c r="C631" s="9" t="s">
        <v>4882</v>
      </c>
      <c r="D631" s="9" t="s">
        <v>4883</v>
      </c>
      <c r="E631" s="6" t="s">
        <v>15</v>
      </c>
      <c r="F631" s="6">
        <v>2020</v>
      </c>
      <c r="G631" s="9" t="s">
        <v>2480</v>
      </c>
      <c r="H631" s="9">
        <v>200</v>
      </c>
      <c r="I631" s="9">
        <v>200</v>
      </c>
      <c r="J631" s="6"/>
      <c r="K631" s="10"/>
      <c r="L631" s="10">
        <v>20201118</v>
      </c>
      <c r="M631" s="36" t="str">
        <f t="shared" si="9"/>
        <v>19621123</v>
      </c>
    </row>
    <row r="632" s="1" customFormat="1" ht="14.25" spans="1:13">
      <c r="A632" s="2">
        <v>2935</v>
      </c>
      <c r="B632" s="6" t="s">
        <v>6075</v>
      </c>
      <c r="C632" s="25" t="s">
        <v>6396</v>
      </c>
      <c r="D632" s="26" t="s">
        <v>6397</v>
      </c>
      <c r="E632" s="5" t="s">
        <v>15</v>
      </c>
      <c r="F632" s="5">
        <v>2020</v>
      </c>
      <c r="G632" s="6" t="s">
        <v>16</v>
      </c>
      <c r="H632" s="6">
        <v>200</v>
      </c>
      <c r="I632" s="6">
        <v>200</v>
      </c>
      <c r="J632" s="6"/>
      <c r="K632" s="10"/>
      <c r="L632" s="10">
        <v>20201118</v>
      </c>
      <c r="M632" s="36" t="str">
        <f t="shared" si="9"/>
        <v>19621123</v>
      </c>
    </row>
    <row r="633" s="1" customFormat="1" spans="1:13">
      <c r="A633" s="2">
        <v>7596</v>
      </c>
      <c r="B633" s="5" t="s">
        <v>14402</v>
      </c>
      <c r="C633" s="5" t="s">
        <v>14791</v>
      </c>
      <c r="D633" s="5" t="s">
        <v>14792</v>
      </c>
      <c r="E633" s="5">
        <v>2020</v>
      </c>
      <c r="F633" s="5">
        <v>2020</v>
      </c>
      <c r="G633" s="17" t="s">
        <v>16</v>
      </c>
      <c r="H633" s="5">
        <v>200</v>
      </c>
      <c r="I633" s="5">
        <v>200</v>
      </c>
      <c r="J633" s="5"/>
      <c r="K633" s="10"/>
      <c r="L633" s="10">
        <v>20201118</v>
      </c>
      <c r="M633" s="36" t="str">
        <f t="shared" si="9"/>
        <v>19621123</v>
      </c>
    </row>
    <row r="634" s="1" customFormat="1" spans="1:13">
      <c r="A634" s="2">
        <v>416</v>
      </c>
      <c r="B634" s="29" t="s">
        <v>1040</v>
      </c>
      <c r="C634" s="29" t="s">
        <v>1108</v>
      </c>
      <c r="D634" s="29" t="s">
        <v>1109</v>
      </c>
      <c r="E634" s="30">
        <v>2020</v>
      </c>
      <c r="F634" s="30">
        <v>2020</v>
      </c>
      <c r="G634" s="29" t="s">
        <v>16</v>
      </c>
      <c r="H634" s="29">
        <v>200</v>
      </c>
      <c r="I634" s="29">
        <v>200</v>
      </c>
      <c r="J634" s="29"/>
      <c r="K634" s="47"/>
      <c r="L634" s="2" t="s">
        <v>330</v>
      </c>
      <c r="M634" s="36" t="str">
        <f t="shared" si="9"/>
        <v>19621125</v>
      </c>
    </row>
    <row r="635" s="1" customFormat="1" spans="1:13">
      <c r="A635" s="2">
        <v>5723</v>
      </c>
      <c r="B635" s="30" t="s">
        <v>11090</v>
      </c>
      <c r="C635" s="30" t="s">
        <v>11531</v>
      </c>
      <c r="D635" s="30" t="s">
        <v>11532</v>
      </c>
      <c r="E635" s="5" t="s">
        <v>15</v>
      </c>
      <c r="F635" s="5" t="s">
        <v>10250</v>
      </c>
      <c r="G635" s="6" t="s">
        <v>16</v>
      </c>
      <c r="H635" s="32">
        <v>200</v>
      </c>
      <c r="I635" s="32">
        <v>200</v>
      </c>
      <c r="J635" s="6" t="s">
        <v>108</v>
      </c>
      <c r="K635" s="48"/>
      <c r="L635" s="10">
        <v>20201118</v>
      </c>
      <c r="M635" s="36" t="str">
        <f t="shared" si="9"/>
        <v>19621127</v>
      </c>
    </row>
    <row r="636" s="1" customFormat="1" spans="1:13">
      <c r="A636" s="2">
        <v>2083</v>
      </c>
      <c r="B636" s="5" t="s">
        <v>4189</v>
      </c>
      <c r="C636" s="16" t="s">
        <v>4717</v>
      </c>
      <c r="D636" s="16" t="s">
        <v>4718</v>
      </c>
      <c r="E636" s="5" t="s">
        <v>15</v>
      </c>
      <c r="F636" s="5" t="s">
        <v>15</v>
      </c>
      <c r="G636" s="5" t="s">
        <v>3359</v>
      </c>
      <c r="H636" s="16">
        <v>200</v>
      </c>
      <c r="I636" s="16">
        <v>200</v>
      </c>
      <c r="J636" s="5"/>
      <c r="K636" s="10"/>
      <c r="L636" s="10">
        <v>20201118</v>
      </c>
      <c r="M636" s="36" t="str">
        <f t="shared" si="9"/>
        <v>19621128</v>
      </c>
    </row>
    <row r="637" s="1" customFormat="1" spans="1:13">
      <c r="A637" s="2">
        <v>7055</v>
      </c>
      <c r="B637" s="5" t="s">
        <v>13533</v>
      </c>
      <c r="C637" s="32" t="s">
        <v>13800</v>
      </c>
      <c r="D637" s="32" t="str">
        <f>"152326196211297126"</f>
        <v>152326196211297126</v>
      </c>
      <c r="E637" s="5">
        <v>2020</v>
      </c>
      <c r="F637" s="5">
        <v>2020</v>
      </c>
      <c r="G637" s="9" t="s">
        <v>2480</v>
      </c>
      <c r="H637" s="32">
        <v>200</v>
      </c>
      <c r="I637" s="32">
        <v>200</v>
      </c>
      <c r="J637" s="32"/>
      <c r="K637" s="10"/>
      <c r="L637" s="10">
        <v>20201118</v>
      </c>
      <c r="M637" s="36" t="str">
        <f t="shared" si="9"/>
        <v>19621129</v>
      </c>
    </row>
    <row r="638" s="1" customFormat="1" spans="1:13">
      <c r="A638" s="2">
        <v>7592</v>
      </c>
      <c r="B638" s="5" t="s">
        <v>14402</v>
      </c>
      <c r="C638" s="5" t="s">
        <v>14783</v>
      </c>
      <c r="D638" s="5" t="s">
        <v>14784</v>
      </c>
      <c r="E638" s="5">
        <v>2020</v>
      </c>
      <c r="F638" s="5">
        <v>2020</v>
      </c>
      <c r="G638" s="17" t="s">
        <v>16</v>
      </c>
      <c r="H638" s="5">
        <v>200</v>
      </c>
      <c r="I638" s="5">
        <v>200</v>
      </c>
      <c r="J638" s="5" t="s">
        <v>749</v>
      </c>
      <c r="K638" s="10"/>
      <c r="L638" s="10">
        <v>20201118</v>
      </c>
      <c r="M638" s="36" t="str">
        <f t="shared" si="9"/>
        <v>19621129</v>
      </c>
    </row>
    <row r="639" s="1" customFormat="1" spans="1:13">
      <c r="A639" s="2">
        <v>8069</v>
      </c>
      <c r="B639" s="5" t="s">
        <v>15086</v>
      </c>
      <c r="C639" s="6" t="s">
        <v>15349</v>
      </c>
      <c r="D639" s="6" t="str">
        <f>"152326196211296860"</f>
        <v>152326196211296860</v>
      </c>
      <c r="E639" s="5" t="s">
        <v>15</v>
      </c>
      <c r="F639" s="5">
        <v>2020</v>
      </c>
      <c r="G639" s="5" t="s">
        <v>16</v>
      </c>
      <c r="H639" s="5">
        <v>200</v>
      </c>
      <c r="I639" s="5">
        <v>200</v>
      </c>
      <c r="J639" s="5"/>
      <c r="K639" s="5"/>
      <c r="L639" s="10">
        <v>20201118</v>
      </c>
      <c r="M639" s="36" t="str">
        <f t="shared" si="9"/>
        <v>19621129</v>
      </c>
    </row>
    <row r="640" s="1" customFormat="1" spans="1:13">
      <c r="A640" s="2">
        <v>8162</v>
      </c>
      <c r="B640" s="5" t="s">
        <v>15406</v>
      </c>
      <c r="C640" s="6" t="s">
        <v>15516</v>
      </c>
      <c r="D640" s="6" t="s">
        <v>15517</v>
      </c>
      <c r="E640" s="5" t="s">
        <v>15</v>
      </c>
      <c r="F640" s="5">
        <v>2020</v>
      </c>
      <c r="G640" s="14" t="s">
        <v>16</v>
      </c>
      <c r="H640" s="6">
        <v>200</v>
      </c>
      <c r="I640" s="6">
        <v>200</v>
      </c>
      <c r="J640" s="5"/>
      <c r="K640" s="10"/>
      <c r="L640" s="10">
        <v>20201118</v>
      </c>
      <c r="M640" s="36" t="str">
        <f t="shared" si="9"/>
        <v>19621130</v>
      </c>
    </row>
    <row r="641" s="1" customFormat="1" spans="1:13">
      <c r="A641" s="2">
        <v>4470</v>
      </c>
      <c r="B641" s="6" t="s">
        <v>9015</v>
      </c>
      <c r="C641" s="6" t="s">
        <v>9124</v>
      </c>
      <c r="D641" s="6" t="s">
        <v>9125</v>
      </c>
      <c r="E641" s="6">
        <v>2020</v>
      </c>
      <c r="F641" s="6">
        <v>2020</v>
      </c>
      <c r="G641" s="6" t="s">
        <v>16</v>
      </c>
      <c r="H641" s="6">
        <v>200</v>
      </c>
      <c r="I641" s="6">
        <v>200</v>
      </c>
      <c r="J641" s="6"/>
      <c r="K641" s="6"/>
      <c r="L641" s="10">
        <v>20201118</v>
      </c>
      <c r="M641" s="36" t="str">
        <f t="shared" si="9"/>
        <v>19621201</v>
      </c>
    </row>
    <row r="642" s="1" customFormat="1" spans="1:13">
      <c r="A642" s="2">
        <v>4492</v>
      </c>
      <c r="B642" s="6" t="s">
        <v>9015</v>
      </c>
      <c r="C642" s="6" t="s">
        <v>9167</v>
      </c>
      <c r="D642" s="6" t="s">
        <v>9168</v>
      </c>
      <c r="E642" s="6">
        <v>2020</v>
      </c>
      <c r="F642" s="6">
        <v>2020</v>
      </c>
      <c r="G642" s="6" t="s">
        <v>16</v>
      </c>
      <c r="H642" s="6">
        <v>200</v>
      </c>
      <c r="I642" s="6">
        <v>200</v>
      </c>
      <c r="J642" s="6"/>
      <c r="K642" s="6"/>
      <c r="L642" s="10">
        <v>20201118</v>
      </c>
      <c r="M642" s="36" t="str">
        <f t="shared" ref="M642:M705" si="10">MID(D642,7,8)</f>
        <v>19621201</v>
      </c>
    </row>
    <row r="643" s="1" customFormat="1" ht="14.25" spans="1:13">
      <c r="A643" s="2">
        <v>2798</v>
      </c>
      <c r="B643" s="6" t="s">
        <v>6075</v>
      </c>
      <c r="C643" s="25" t="s">
        <v>374</v>
      </c>
      <c r="D643" s="26" t="s">
        <v>6126</v>
      </c>
      <c r="E643" s="5" t="s">
        <v>15</v>
      </c>
      <c r="F643" s="5">
        <v>2020</v>
      </c>
      <c r="G643" s="6" t="s">
        <v>16</v>
      </c>
      <c r="H643" s="6">
        <v>200</v>
      </c>
      <c r="I643" s="6">
        <v>200</v>
      </c>
      <c r="J643" s="6" t="s">
        <v>6097</v>
      </c>
      <c r="K643" s="10"/>
      <c r="L643" s="10">
        <v>20201118</v>
      </c>
      <c r="M643" s="36" t="str">
        <f t="shared" si="10"/>
        <v>19621204</v>
      </c>
    </row>
    <row r="644" s="1" customFormat="1" spans="1:13">
      <c r="A644" s="2">
        <v>1447</v>
      </c>
      <c r="B644" s="5" t="s">
        <v>3381</v>
      </c>
      <c r="C644" s="9" t="s">
        <v>3463</v>
      </c>
      <c r="D644" s="9" t="s">
        <v>3464</v>
      </c>
      <c r="E644" s="5">
        <v>2020</v>
      </c>
      <c r="F644" s="5">
        <v>2020</v>
      </c>
      <c r="G644" s="14" t="s">
        <v>16</v>
      </c>
      <c r="H644" s="6">
        <v>200</v>
      </c>
      <c r="I644" s="6">
        <v>200</v>
      </c>
      <c r="J644" s="5"/>
      <c r="K644" s="13"/>
      <c r="L644" s="10">
        <v>20201118</v>
      </c>
      <c r="M644" s="36" t="str">
        <f t="shared" si="10"/>
        <v>19621206</v>
      </c>
    </row>
    <row r="645" s="1" customFormat="1" spans="1:13">
      <c r="A645" s="2">
        <v>1448</v>
      </c>
      <c r="B645" s="5" t="s">
        <v>3381</v>
      </c>
      <c r="C645" s="9" t="s">
        <v>3465</v>
      </c>
      <c r="D645" s="9" t="s">
        <v>3466</v>
      </c>
      <c r="E645" s="5">
        <v>2020</v>
      </c>
      <c r="F645" s="5">
        <v>2020</v>
      </c>
      <c r="G645" s="14" t="s">
        <v>16</v>
      </c>
      <c r="H645" s="6">
        <v>200</v>
      </c>
      <c r="I645" s="6">
        <v>200</v>
      </c>
      <c r="J645" s="5"/>
      <c r="K645" s="13"/>
      <c r="L645" s="10">
        <v>20201118</v>
      </c>
      <c r="M645" s="36" t="str">
        <f t="shared" si="10"/>
        <v>19621206</v>
      </c>
    </row>
    <row r="646" s="1" customFormat="1" spans="1:13">
      <c r="A646" s="2">
        <v>554</v>
      </c>
      <c r="B646" s="29" t="s">
        <v>1040</v>
      </c>
      <c r="C646" s="29" t="s">
        <v>1385</v>
      </c>
      <c r="D646" s="29" t="s">
        <v>1386</v>
      </c>
      <c r="E646" s="30">
        <v>2020</v>
      </c>
      <c r="F646" s="30">
        <v>2020</v>
      </c>
      <c r="G646" s="29" t="s">
        <v>16</v>
      </c>
      <c r="H646" s="29">
        <v>200</v>
      </c>
      <c r="I646" s="29">
        <v>200</v>
      </c>
      <c r="J646" s="29"/>
      <c r="K646" s="47"/>
      <c r="L646" s="2" t="s">
        <v>330</v>
      </c>
      <c r="M646" s="36" t="str">
        <f t="shared" si="10"/>
        <v>19621207</v>
      </c>
    </row>
    <row r="647" s="1" customFormat="1" spans="1:13">
      <c r="A647" s="2">
        <v>3135</v>
      </c>
      <c r="B647" s="3" t="s">
        <v>6671</v>
      </c>
      <c r="C647" s="9" t="s">
        <v>6790</v>
      </c>
      <c r="D647" s="9" t="s">
        <v>6791</v>
      </c>
      <c r="E647" s="3" t="s">
        <v>15</v>
      </c>
      <c r="F647" s="3" t="s">
        <v>15</v>
      </c>
      <c r="G647" s="6" t="s">
        <v>3359</v>
      </c>
      <c r="H647" s="9">
        <v>200</v>
      </c>
      <c r="I647" s="9">
        <v>200</v>
      </c>
      <c r="J647" s="6"/>
      <c r="K647" s="5"/>
      <c r="L647" s="10">
        <v>20201118</v>
      </c>
      <c r="M647" s="36" t="str">
        <f t="shared" si="10"/>
        <v>19621207</v>
      </c>
    </row>
    <row r="648" s="1" customFormat="1" spans="1:13">
      <c r="A648" s="2">
        <v>443</v>
      </c>
      <c r="B648" s="29" t="s">
        <v>1040</v>
      </c>
      <c r="C648" s="29" t="s">
        <v>1162</v>
      </c>
      <c r="D648" s="29" t="s">
        <v>1163</v>
      </c>
      <c r="E648" s="30">
        <v>2020</v>
      </c>
      <c r="F648" s="30">
        <v>2020</v>
      </c>
      <c r="G648" s="29" t="s">
        <v>16</v>
      </c>
      <c r="H648" s="29">
        <v>200</v>
      </c>
      <c r="I648" s="29">
        <v>200</v>
      </c>
      <c r="J648" s="29"/>
      <c r="K648" s="47"/>
      <c r="L648" s="14" t="s">
        <v>330</v>
      </c>
      <c r="M648" s="36" t="str">
        <f t="shared" si="10"/>
        <v>19621209</v>
      </c>
    </row>
    <row r="649" s="1" customFormat="1" spans="1:13">
      <c r="A649" s="2">
        <v>153</v>
      </c>
      <c r="B649" s="14" t="s">
        <v>327</v>
      </c>
      <c r="C649" s="14" t="s">
        <v>347</v>
      </c>
      <c r="D649" s="14" t="s">
        <v>348</v>
      </c>
      <c r="E649" s="5">
        <v>2020</v>
      </c>
      <c r="F649" s="5">
        <v>2020</v>
      </c>
      <c r="G649" s="14" t="s">
        <v>16</v>
      </c>
      <c r="H649" s="14">
        <v>200</v>
      </c>
      <c r="I649" s="14">
        <v>200</v>
      </c>
      <c r="J649" s="14"/>
      <c r="K649" s="10"/>
      <c r="L649" s="2" t="s">
        <v>330</v>
      </c>
      <c r="M649" s="36" t="str">
        <f t="shared" si="10"/>
        <v>19621210</v>
      </c>
    </row>
    <row r="650" s="1" customFormat="1" spans="1:13">
      <c r="A650" s="2">
        <v>961</v>
      </c>
      <c r="B650" s="5" t="s">
        <v>2469</v>
      </c>
      <c r="C650" s="9" t="s">
        <v>2514</v>
      </c>
      <c r="D650" s="9" t="s">
        <v>2515</v>
      </c>
      <c r="E650" s="5">
        <v>2020</v>
      </c>
      <c r="F650" s="5">
        <v>2020</v>
      </c>
      <c r="G650" s="9" t="s">
        <v>2480</v>
      </c>
      <c r="H650" s="9">
        <v>200</v>
      </c>
      <c r="I650" s="9">
        <v>200</v>
      </c>
      <c r="J650" s="5"/>
      <c r="K650" s="5"/>
      <c r="L650" s="10">
        <v>20201118</v>
      </c>
      <c r="M650" s="36" t="str">
        <f t="shared" si="10"/>
        <v>19621211</v>
      </c>
    </row>
    <row r="651" s="1" customFormat="1" spans="1:13">
      <c r="A651" s="2">
        <v>7058</v>
      </c>
      <c r="B651" s="5" t="s">
        <v>13533</v>
      </c>
      <c r="C651" s="32" t="s">
        <v>13803</v>
      </c>
      <c r="D651" s="32" t="str">
        <f>"152326196212117115"</f>
        <v>152326196212117115</v>
      </c>
      <c r="E651" s="5">
        <v>2020</v>
      </c>
      <c r="F651" s="5">
        <v>2020</v>
      </c>
      <c r="G651" s="9" t="s">
        <v>2480</v>
      </c>
      <c r="H651" s="32">
        <v>200</v>
      </c>
      <c r="I651" s="32">
        <v>200</v>
      </c>
      <c r="J651" s="32"/>
      <c r="K651" s="10"/>
      <c r="L651" s="10">
        <v>20201118</v>
      </c>
      <c r="M651" s="36" t="str">
        <f t="shared" si="10"/>
        <v>19621211</v>
      </c>
    </row>
    <row r="652" s="1" customFormat="1" spans="1:13">
      <c r="A652" s="2">
        <v>535</v>
      </c>
      <c r="B652" s="29" t="s">
        <v>1040</v>
      </c>
      <c r="C652" s="29" t="s">
        <v>1347</v>
      </c>
      <c r="D652" s="29" t="s">
        <v>1348</v>
      </c>
      <c r="E652" s="30">
        <v>2020</v>
      </c>
      <c r="F652" s="30">
        <v>2020</v>
      </c>
      <c r="G652" s="29" t="s">
        <v>16</v>
      </c>
      <c r="H652" s="29">
        <v>200</v>
      </c>
      <c r="I652" s="29">
        <v>200</v>
      </c>
      <c r="J652" s="29"/>
      <c r="K652" s="47"/>
      <c r="L652" s="14" t="s">
        <v>330</v>
      </c>
      <c r="M652" s="36" t="str">
        <f t="shared" si="10"/>
        <v>19621212</v>
      </c>
    </row>
    <row r="653" s="1" customFormat="1" spans="1:13">
      <c r="A653" s="2">
        <v>5779</v>
      </c>
      <c r="B653" s="30" t="s">
        <v>11090</v>
      </c>
      <c r="C653" s="30" t="s">
        <v>11632</v>
      </c>
      <c r="D653" s="30" t="s">
        <v>11633</v>
      </c>
      <c r="E653" s="5" t="s">
        <v>15</v>
      </c>
      <c r="F653" s="5" t="s">
        <v>10250</v>
      </c>
      <c r="G653" s="6" t="s">
        <v>16</v>
      </c>
      <c r="H653" s="32">
        <v>500</v>
      </c>
      <c r="I653" s="32">
        <v>500</v>
      </c>
      <c r="J653" s="6"/>
      <c r="K653" s="48"/>
      <c r="L653" s="10">
        <v>20201118</v>
      </c>
      <c r="M653" s="36" t="str">
        <f t="shared" si="10"/>
        <v>19621212</v>
      </c>
    </row>
    <row r="654" s="1" customFormat="1" spans="1:13">
      <c r="A654" s="2">
        <v>3083</v>
      </c>
      <c r="B654" s="3" t="s">
        <v>6671</v>
      </c>
      <c r="C654" s="9" t="s">
        <v>6692</v>
      </c>
      <c r="D654" s="9" t="s">
        <v>6693</v>
      </c>
      <c r="E654" s="3" t="s">
        <v>15</v>
      </c>
      <c r="F654" s="3" t="s">
        <v>15</v>
      </c>
      <c r="G654" s="6" t="s">
        <v>3359</v>
      </c>
      <c r="H654" s="9">
        <v>200</v>
      </c>
      <c r="I654" s="9">
        <v>200</v>
      </c>
      <c r="J654" s="6"/>
      <c r="K654" s="5"/>
      <c r="L654" s="10">
        <v>20201118</v>
      </c>
      <c r="M654" s="36" t="str">
        <f t="shared" si="10"/>
        <v>19621214</v>
      </c>
    </row>
    <row r="655" s="1" customFormat="1" spans="1:13">
      <c r="A655" s="2">
        <v>3620</v>
      </c>
      <c r="B655" s="5" t="s">
        <v>7412</v>
      </c>
      <c r="C655" s="5" t="s">
        <v>7506</v>
      </c>
      <c r="D655" s="5" t="s">
        <v>7507</v>
      </c>
      <c r="E655" s="6">
        <v>2020</v>
      </c>
      <c r="F655" s="6">
        <v>2020</v>
      </c>
      <c r="G655" s="5" t="s">
        <v>3359</v>
      </c>
      <c r="H655" s="5">
        <v>200</v>
      </c>
      <c r="I655" s="5">
        <v>200</v>
      </c>
      <c r="J655" s="5"/>
      <c r="K655" s="5"/>
      <c r="L655" s="10">
        <v>20201118</v>
      </c>
      <c r="M655" s="36" t="str">
        <f t="shared" si="10"/>
        <v>19621215</v>
      </c>
    </row>
    <row r="656" s="1" customFormat="1" spans="1:13">
      <c r="A656" s="2">
        <v>4170</v>
      </c>
      <c r="B656" s="9" t="s">
        <v>8515</v>
      </c>
      <c r="C656" s="9" t="s">
        <v>8546</v>
      </c>
      <c r="D656" s="9" t="s">
        <v>8547</v>
      </c>
      <c r="E656" s="5" t="s">
        <v>15</v>
      </c>
      <c r="F656" s="5">
        <v>2020</v>
      </c>
      <c r="G656" s="9" t="s">
        <v>2480</v>
      </c>
      <c r="H656" s="9">
        <v>200</v>
      </c>
      <c r="I656" s="9">
        <v>200</v>
      </c>
      <c r="J656" s="9"/>
      <c r="K656" s="9"/>
      <c r="L656" s="10">
        <v>20201118</v>
      </c>
      <c r="M656" s="36" t="str">
        <f t="shared" si="10"/>
        <v>19621215</v>
      </c>
    </row>
    <row r="657" s="1" customFormat="1" spans="1:13">
      <c r="A657" s="2">
        <v>6427</v>
      </c>
      <c r="B657" s="5" t="s">
        <v>12263</v>
      </c>
      <c r="C657" s="5" t="s">
        <v>12859</v>
      </c>
      <c r="D657" s="5" t="s">
        <v>12860</v>
      </c>
      <c r="E657" s="5" t="s">
        <v>10250</v>
      </c>
      <c r="F657" s="5">
        <v>2020</v>
      </c>
      <c r="G657" s="17" t="s">
        <v>3359</v>
      </c>
      <c r="H657" s="5">
        <v>200</v>
      </c>
      <c r="I657" s="5">
        <v>200</v>
      </c>
      <c r="J657" s="5"/>
      <c r="K657" s="5"/>
      <c r="L657" s="10">
        <v>20201118</v>
      </c>
      <c r="M657" s="36" t="str">
        <f t="shared" si="10"/>
        <v>19621215</v>
      </c>
    </row>
    <row r="658" s="1" customFormat="1" spans="1:13">
      <c r="A658" s="2">
        <v>214</v>
      </c>
      <c r="B658" s="14" t="s">
        <v>327</v>
      </c>
      <c r="C658" s="14" t="s">
        <v>528</v>
      </c>
      <c r="D658" s="14" t="s">
        <v>529</v>
      </c>
      <c r="E658" s="5">
        <v>2020</v>
      </c>
      <c r="F658" s="5">
        <v>2020</v>
      </c>
      <c r="G658" s="14" t="s">
        <v>16</v>
      </c>
      <c r="H658" s="28">
        <v>200</v>
      </c>
      <c r="I658" s="14">
        <v>200</v>
      </c>
      <c r="J658" s="14"/>
      <c r="K658" s="10"/>
      <c r="L658" s="14" t="s">
        <v>330</v>
      </c>
      <c r="M658" s="36" t="str">
        <f t="shared" si="10"/>
        <v>19621216</v>
      </c>
    </row>
    <row r="659" s="1" customFormat="1" spans="1:13">
      <c r="A659" s="2">
        <v>7057</v>
      </c>
      <c r="B659" s="5" t="s">
        <v>13533</v>
      </c>
      <c r="C659" s="32" t="s">
        <v>13802</v>
      </c>
      <c r="D659" s="32" t="str">
        <f>"152326196212167139"</f>
        <v>152326196212167139</v>
      </c>
      <c r="E659" s="5">
        <v>2020</v>
      </c>
      <c r="F659" s="5">
        <v>2020</v>
      </c>
      <c r="G659" s="9" t="s">
        <v>2480</v>
      </c>
      <c r="H659" s="32">
        <v>200</v>
      </c>
      <c r="I659" s="32">
        <v>200</v>
      </c>
      <c r="J659" s="32"/>
      <c r="K659" s="10"/>
      <c r="L659" s="10">
        <v>20201118</v>
      </c>
      <c r="M659" s="36" t="str">
        <f t="shared" si="10"/>
        <v>19621216</v>
      </c>
    </row>
    <row r="660" s="1" customFormat="1" ht="14.25" spans="1:13">
      <c r="A660" s="2">
        <v>1449</v>
      </c>
      <c r="B660" s="5" t="s">
        <v>3381</v>
      </c>
      <c r="C660" s="9" t="s">
        <v>3467</v>
      </c>
      <c r="D660" s="9" t="s">
        <v>3468</v>
      </c>
      <c r="E660" s="5">
        <v>2020</v>
      </c>
      <c r="F660" s="5">
        <v>2020</v>
      </c>
      <c r="G660" s="14" t="s">
        <v>16</v>
      </c>
      <c r="H660" s="6">
        <v>200</v>
      </c>
      <c r="I660" s="6">
        <v>200</v>
      </c>
      <c r="J660" s="24" t="s">
        <v>1242</v>
      </c>
      <c r="K660" s="13"/>
      <c r="L660" s="10">
        <v>20201118</v>
      </c>
      <c r="M660" s="36" t="str">
        <f t="shared" si="10"/>
        <v>19621217</v>
      </c>
    </row>
    <row r="661" s="1" customFormat="1" spans="1:13">
      <c r="A661" s="2">
        <v>4452</v>
      </c>
      <c r="B661" s="6" t="s">
        <v>9015</v>
      </c>
      <c r="C661" s="6" t="s">
        <v>9091</v>
      </c>
      <c r="D661" s="6" t="s">
        <v>9092</v>
      </c>
      <c r="E661" s="6">
        <v>2020</v>
      </c>
      <c r="F661" s="6">
        <v>2020</v>
      </c>
      <c r="G661" s="6" t="s">
        <v>16</v>
      </c>
      <c r="H661" s="6">
        <v>200</v>
      </c>
      <c r="I661" s="6">
        <v>200</v>
      </c>
      <c r="J661" s="6"/>
      <c r="K661" s="6"/>
      <c r="L661" s="10">
        <v>20201118</v>
      </c>
      <c r="M661" s="36" t="str">
        <f t="shared" si="10"/>
        <v>19621217</v>
      </c>
    </row>
    <row r="662" s="1" customFormat="1" spans="1:13">
      <c r="A662" s="2">
        <v>6534</v>
      </c>
      <c r="B662" s="5" t="s">
        <v>13027</v>
      </c>
      <c r="C662" s="15" t="s">
        <v>13065</v>
      </c>
      <c r="D662" s="15" t="s">
        <v>13066</v>
      </c>
      <c r="E662" s="5">
        <v>2020</v>
      </c>
      <c r="F662" s="5">
        <v>2020</v>
      </c>
      <c r="G662" s="14" t="s">
        <v>16</v>
      </c>
      <c r="H662" s="15">
        <v>200</v>
      </c>
      <c r="I662" s="15">
        <v>200</v>
      </c>
      <c r="J662" s="5"/>
      <c r="K662" s="10"/>
      <c r="L662" s="10">
        <v>20201118</v>
      </c>
      <c r="M662" s="36" t="str">
        <f t="shared" si="10"/>
        <v>19621221</v>
      </c>
    </row>
    <row r="663" s="1" customFormat="1" ht="14.25" spans="1:13">
      <c r="A663" s="2">
        <v>3034</v>
      </c>
      <c r="B663" s="6" t="s">
        <v>6075</v>
      </c>
      <c r="C663" s="25" t="s">
        <v>6591</v>
      </c>
      <c r="D663" s="26" t="s">
        <v>6592</v>
      </c>
      <c r="E663" s="5" t="s">
        <v>15</v>
      </c>
      <c r="F663" s="5">
        <v>2020</v>
      </c>
      <c r="G663" s="6" t="s">
        <v>16</v>
      </c>
      <c r="H663" s="6">
        <v>200</v>
      </c>
      <c r="I663" s="6">
        <v>200</v>
      </c>
      <c r="J663" s="6"/>
      <c r="K663" s="10"/>
      <c r="L663" s="10">
        <v>20201118</v>
      </c>
      <c r="M663" s="36" t="str">
        <f t="shared" si="10"/>
        <v>19621223</v>
      </c>
    </row>
    <row r="664" s="1" customFormat="1" spans="1:13">
      <c r="A664" s="2">
        <v>3621</v>
      </c>
      <c r="B664" s="5" t="s">
        <v>7412</v>
      </c>
      <c r="C664" s="5" t="s">
        <v>7508</v>
      </c>
      <c r="D664" s="5" t="s">
        <v>7509</v>
      </c>
      <c r="E664" s="6">
        <v>2020</v>
      </c>
      <c r="F664" s="6">
        <v>2020</v>
      </c>
      <c r="G664" s="5" t="s">
        <v>3359</v>
      </c>
      <c r="H664" s="5">
        <v>200</v>
      </c>
      <c r="I664" s="5">
        <v>200</v>
      </c>
      <c r="J664" s="5"/>
      <c r="K664" s="5"/>
      <c r="L664" s="10">
        <v>20201118</v>
      </c>
      <c r="M664" s="36" t="str">
        <f t="shared" si="10"/>
        <v>19621223</v>
      </c>
    </row>
    <row r="665" s="1" customFormat="1" ht="14.25" spans="1:13">
      <c r="A665" s="2">
        <v>2803</v>
      </c>
      <c r="B665" s="6" t="s">
        <v>6075</v>
      </c>
      <c r="C665" s="25" t="s">
        <v>6135</v>
      </c>
      <c r="D665" s="26" t="s">
        <v>6136</v>
      </c>
      <c r="E665" s="5" t="s">
        <v>15</v>
      </c>
      <c r="F665" s="5">
        <v>2020</v>
      </c>
      <c r="G665" s="6" t="s">
        <v>16</v>
      </c>
      <c r="H665" s="6">
        <v>200</v>
      </c>
      <c r="I665" s="6">
        <v>200</v>
      </c>
      <c r="J665" s="6"/>
      <c r="K665" s="10"/>
      <c r="L665" s="10">
        <v>20201118</v>
      </c>
      <c r="M665" s="36" t="str">
        <f t="shared" si="10"/>
        <v>19621224</v>
      </c>
    </row>
    <row r="666" s="1" customFormat="1" spans="1:13">
      <c r="A666" s="2">
        <v>6436</v>
      </c>
      <c r="B666" s="5" t="s">
        <v>12263</v>
      </c>
      <c r="C666" s="5" t="s">
        <v>12877</v>
      </c>
      <c r="D666" s="5" t="s">
        <v>12878</v>
      </c>
      <c r="E666" s="5" t="s">
        <v>10250</v>
      </c>
      <c r="F666" s="5">
        <v>2020</v>
      </c>
      <c r="G666" s="17" t="s">
        <v>3359</v>
      </c>
      <c r="H666" s="5">
        <v>200</v>
      </c>
      <c r="I666" s="5">
        <v>200</v>
      </c>
      <c r="J666" s="5"/>
      <c r="K666" s="5"/>
      <c r="L666" s="10">
        <v>20201118</v>
      </c>
      <c r="M666" s="36" t="str">
        <f t="shared" si="10"/>
        <v>19621224</v>
      </c>
    </row>
    <row r="667" s="1" customFormat="1" spans="1:13">
      <c r="A667" s="2">
        <v>4479</v>
      </c>
      <c r="B667" s="6" t="s">
        <v>9015</v>
      </c>
      <c r="C667" s="6" t="s">
        <v>9141</v>
      </c>
      <c r="D667" s="6" t="s">
        <v>9142</v>
      </c>
      <c r="E667" s="6">
        <v>2020</v>
      </c>
      <c r="F667" s="6">
        <v>2020</v>
      </c>
      <c r="G667" s="6" t="s">
        <v>16</v>
      </c>
      <c r="H667" s="6">
        <v>200</v>
      </c>
      <c r="I667" s="6">
        <v>200</v>
      </c>
      <c r="J667" s="6"/>
      <c r="K667" s="6"/>
      <c r="L667" s="10">
        <v>20201118</v>
      </c>
      <c r="M667" s="36" t="str">
        <f t="shared" si="10"/>
        <v>19621226</v>
      </c>
    </row>
    <row r="668" s="1" customFormat="1" spans="1:13">
      <c r="A668" s="2">
        <v>7636</v>
      </c>
      <c r="B668" s="5" t="s">
        <v>14402</v>
      </c>
      <c r="C668" s="5" t="s">
        <v>14868</v>
      </c>
      <c r="D668" s="5" t="s">
        <v>14869</v>
      </c>
      <c r="E668" s="5">
        <v>2020</v>
      </c>
      <c r="F668" s="5">
        <v>2020</v>
      </c>
      <c r="G668" s="17" t="s">
        <v>16</v>
      </c>
      <c r="H668" s="5">
        <v>200</v>
      </c>
      <c r="I668" s="5">
        <v>200</v>
      </c>
      <c r="J668" s="5"/>
      <c r="K668" s="10"/>
      <c r="L668" s="10">
        <v>20201118</v>
      </c>
      <c r="M668" s="36" t="str">
        <f t="shared" si="10"/>
        <v>19621226</v>
      </c>
    </row>
    <row r="669" s="1" customFormat="1" spans="1:13">
      <c r="A669" s="2">
        <v>2168</v>
      </c>
      <c r="B669" s="9" t="s">
        <v>4837</v>
      </c>
      <c r="C669" s="9" t="s">
        <v>4884</v>
      </c>
      <c r="D669" s="9" t="s">
        <v>4885</v>
      </c>
      <c r="E669" s="6" t="s">
        <v>15</v>
      </c>
      <c r="F669" s="6">
        <v>2020</v>
      </c>
      <c r="G669" s="9" t="s">
        <v>2480</v>
      </c>
      <c r="H669" s="9">
        <v>200</v>
      </c>
      <c r="I669" s="9">
        <v>200</v>
      </c>
      <c r="J669" s="6" t="s">
        <v>108</v>
      </c>
      <c r="K669" s="10"/>
      <c r="L669" s="10">
        <v>20201118</v>
      </c>
      <c r="M669" s="36" t="str">
        <f t="shared" si="10"/>
        <v>19621227</v>
      </c>
    </row>
    <row r="670" s="1" customFormat="1" ht="14.25" spans="1:13">
      <c r="A670" s="2">
        <v>2785</v>
      </c>
      <c r="B670" s="6" t="s">
        <v>6075</v>
      </c>
      <c r="C670" s="25" t="s">
        <v>6100</v>
      </c>
      <c r="D670" s="26" t="s">
        <v>6101</v>
      </c>
      <c r="E670" s="5" t="s">
        <v>15</v>
      </c>
      <c r="F670" s="5">
        <v>2020</v>
      </c>
      <c r="G670" s="6" t="s">
        <v>16</v>
      </c>
      <c r="H670" s="6">
        <v>200</v>
      </c>
      <c r="I670" s="6">
        <v>200</v>
      </c>
      <c r="J670" s="6"/>
      <c r="K670" s="10"/>
      <c r="L670" s="10">
        <v>20201118</v>
      </c>
      <c r="M670" s="36" t="str">
        <f t="shared" si="10"/>
        <v>19621227</v>
      </c>
    </row>
    <row r="671" s="1" customFormat="1" spans="1:13">
      <c r="A671" s="2">
        <v>5201</v>
      </c>
      <c r="B671" s="6" t="s">
        <v>10242</v>
      </c>
      <c r="C671" s="9" t="s">
        <v>10523</v>
      </c>
      <c r="D671" s="9" t="s">
        <v>10524</v>
      </c>
      <c r="E671" s="5" t="s">
        <v>10250</v>
      </c>
      <c r="F671" s="5">
        <v>2020</v>
      </c>
      <c r="G671" s="6" t="s">
        <v>16</v>
      </c>
      <c r="H671" s="6">
        <v>200</v>
      </c>
      <c r="I671" s="6">
        <v>200</v>
      </c>
      <c r="J671" s="6"/>
      <c r="K671" s="5"/>
      <c r="L671" s="10">
        <v>20201118</v>
      </c>
      <c r="M671" s="36" t="str">
        <f t="shared" si="10"/>
        <v>19621228</v>
      </c>
    </row>
    <row r="672" s="1" customFormat="1" spans="1:13">
      <c r="A672" s="2">
        <v>6417</v>
      </c>
      <c r="B672" s="5" t="s">
        <v>12263</v>
      </c>
      <c r="C672" s="5" t="s">
        <v>12841</v>
      </c>
      <c r="D672" s="5" t="s">
        <v>12842</v>
      </c>
      <c r="E672" s="5" t="s">
        <v>10250</v>
      </c>
      <c r="F672" s="5">
        <v>2020</v>
      </c>
      <c r="G672" s="17" t="s">
        <v>3359</v>
      </c>
      <c r="H672" s="5">
        <v>300</v>
      </c>
      <c r="I672" s="5">
        <v>300</v>
      </c>
      <c r="J672" s="5"/>
      <c r="K672" s="5"/>
      <c r="L672" s="10">
        <v>20201118</v>
      </c>
      <c r="M672" s="36" t="str">
        <f t="shared" si="10"/>
        <v>19621228</v>
      </c>
    </row>
    <row r="673" s="1" customFormat="1" ht="14.25" spans="1:13">
      <c r="A673" s="2">
        <v>2971</v>
      </c>
      <c r="B673" s="6" t="s">
        <v>6075</v>
      </c>
      <c r="C673" s="25" t="s">
        <v>6467</v>
      </c>
      <c r="D673" s="26" t="s">
        <v>6468</v>
      </c>
      <c r="E673" s="5" t="s">
        <v>15</v>
      </c>
      <c r="F673" s="5">
        <v>2020</v>
      </c>
      <c r="G673" s="6" t="s">
        <v>16</v>
      </c>
      <c r="H673" s="6">
        <v>200</v>
      </c>
      <c r="I673" s="6">
        <v>200</v>
      </c>
      <c r="J673" s="6"/>
      <c r="K673" s="10"/>
      <c r="L673" s="10">
        <v>20201118</v>
      </c>
      <c r="M673" s="36" t="str">
        <f t="shared" si="10"/>
        <v>19621229</v>
      </c>
    </row>
    <row r="674" s="1" customFormat="1" spans="1:13">
      <c r="A674" s="2">
        <v>7236</v>
      </c>
      <c r="B674" s="5" t="s">
        <v>13908</v>
      </c>
      <c r="C674" s="5" t="s">
        <v>14116</v>
      </c>
      <c r="D674" s="5" t="s">
        <v>14117</v>
      </c>
      <c r="E674" s="5" t="s">
        <v>15</v>
      </c>
      <c r="F674" s="5" t="s">
        <v>15</v>
      </c>
      <c r="G674" s="14" t="s">
        <v>16</v>
      </c>
      <c r="H674" s="17">
        <v>200</v>
      </c>
      <c r="I674" s="17">
        <v>200</v>
      </c>
      <c r="J674" s="5"/>
      <c r="K674" s="10"/>
      <c r="L674" s="10">
        <v>20201118</v>
      </c>
      <c r="M674" s="36" t="str">
        <f t="shared" si="10"/>
        <v>19630101</v>
      </c>
    </row>
    <row r="675" s="1" customFormat="1" spans="1:13">
      <c r="A675" s="2">
        <v>2085</v>
      </c>
      <c r="B675" s="5" t="s">
        <v>4189</v>
      </c>
      <c r="C675" s="16" t="s">
        <v>4721</v>
      </c>
      <c r="D675" s="16" t="s">
        <v>4722</v>
      </c>
      <c r="E675" s="5" t="s">
        <v>15</v>
      </c>
      <c r="F675" s="5" t="s">
        <v>15</v>
      </c>
      <c r="G675" s="5" t="s">
        <v>3359</v>
      </c>
      <c r="H675" s="16">
        <v>200</v>
      </c>
      <c r="I675" s="16">
        <v>200</v>
      </c>
      <c r="J675" s="5"/>
      <c r="K675" s="10"/>
      <c r="L675" s="10">
        <v>20201118</v>
      </c>
      <c r="M675" s="36" t="str">
        <f t="shared" si="10"/>
        <v>19630102</v>
      </c>
    </row>
    <row r="676" s="1" customFormat="1" spans="1:13">
      <c r="A676" s="2">
        <v>7045</v>
      </c>
      <c r="B676" s="5" t="s">
        <v>13533</v>
      </c>
      <c r="C676" s="32" t="s">
        <v>13790</v>
      </c>
      <c r="D676" s="32" t="str">
        <f>"152326196301027111"</f>
        <v>152326196301027111</v>
      </c>
      <c r="E676" s="5">
        <v>2020</v>
      </c>
      <c r="F676" s="5">
        <v>2020</v>
      </c>
      <c r="G676" s="9" t="s">
        <v>2480</v>
      </c>
      <c r="H676" s="32">
        <v>200</v>
      </c>
      <c r="I676" s="32">
        <v>200</v>
      </c>
      <c r="J676" s="32"/>
      <c r="K676" s="10"/>
      <c r="L676" s="10">
        <v>20201118</v>
      </c>
      <c r="M676" s="36" t="str">
        <f t="shared" si="10"/>
        <v>19630102</v>
      </c>
    </row>
    <row r="677" s="1" customFormat="1" spans="1:13">
      <c r="A677" s="2">
        <v>5845</v>
      </c>
      <c r="B677" s="30" t="s">
        <v>11090</v>
      </c>
      <c r="C677" s="30" t="s">
        <v>11756</v>
      </c>
      <c r="D677" s="30" t="s">
        <v>11757</v>
      </c>
      <c r="E677" s="5" t="s">
        <v>15</v>
      </c>
      <c r="F677" s="5" t="s">
        <v>10250</v>
      </c>
      <c r="G677" s="6" t="s">
        <v>16</v>
      </c>
      <c r="H677" s="32">
        <v>1000</v>
      </c>
      <c r="I677" s="32">
        <v>1000</v>
      </c>
      <c r="J677" s="6"/>
      <c r="K677" s="48"/>
      <c r="L677" s="10">
        <v>20201118</v>
      </c>
      <c r="M677" s="36" t="str">
        <f t="shared" si="10"/>
        <v>19630106</v>
      </c>
    </row>
    <row r="678" s="1" customFormat="1" spans="1:13">
      <c r="A678" s="2">
        <v>3493</v>
      </c>
      <c r="B678" s="5" t="s">
        <v>3375</v>
      </c>
      <c r="C678" s="6" t="s">
        <v>5730</v>
      </c>
      <c r="D678" s="6" t="s">
        <v>7277</v>
      </c>
      <c r="E678" s="5" t="s">
        <v>15</v>
      </c>
      <c r="F678" s="5">
        <v>2020</v>
      </c>
      <c r="G678" s="14" t="s">
        <v>16</v>
      </c>
      <c r="H678" s="17">
        <v>200</v>
      </c>
      <c r="I678" s="17">
        <v>200</v>
      </c>
      <c r="J678" s="6" t="s">
        <v>3647</v>
      </c>
      <c r="K678" s="10"/>
      <c r="L678" s="10">
        <v>20201118</v>
      </c>
      <c r="M678" s="36" t="str">
        <f t="shared" si="10"/>
        <v>19630107</v>
      </c>
    </row>
    <row r="679" s="1" customFormat="1" spans="1:13">
      <c r="A679" s="2">
        <v>1450</v>
      </c>
      <c r="B679" s="5" t="s">
        <v>3381</v>
      </c>
      <c r="C679" s="9" t="s">
        <v>3469</v>
      </c>
      <c r="D679" s="9" t="s">
        <v>3470</v>
      </c>
      <c r="E679" s="5">
        <v>2020</v>
      </c>
      <c r="F679" s="5">
        <v>2020</v>
      </c>
      <c r="G679" s="14" t="s">
        <v>16</v>
      </c>
      <c r="H679" s="6">
        <v>200</v>
      </c>
      <c r="I679" s="6">
        <v>200</v>
      </c>
      <c r="J679" s="5"/>
      <c r="K679" s="13"/>
      <c r="L679" s="10">
        <v>20201118</v>
      </c>
      <c r="M679" s="36" t="str">
        <f t="shared" si="10"/>
        <v>19630109</v>
      </c>
    </row>
    <row r="680" s="1" customFormat="1" spans="1:13">
      <c r="A680" s="2">
        <v>6329</v>
      </c>
      <c r="B680" s="5" t="s">
        <v>12263</v>
      </c>
      <c r="C680" s="5" t="s">
        <v>12674</v>
      </c>
      <c r="D680" s="5" t="s">
        <v>12675</v>
      </c>
      <c r="E680" s="5" t="s">
        <v>10250</v>
      </c>
      <c r="F680" s="5">
        <v>2020</v>
      </c>
      <c r="G680" s="17" t="s">
        <v>3359</v>
      </c>
      <c r="H680" s="5" t="s">
        <v>311</v>
      </c>
      <c r="I680" s="5">
        <v>200</v>
      </c>
      <c r="J680" s="5"/>
      <c r="K680" s="5"/>
      <c r="L680" s="10">
        <v>20201118</v>
      </c>
      <c r="M680" s="36" t="str">
        <f t="shared" si="10"/>
        <v>19630110</v>
      </c>
    </row>
    <row r="681" s="1" customFormat="1" spans="1:13">
      <c r="A681" s="2">
        <v>583</v>
      </c>
      <c r="B681" s="29" t="s">
        <v>1040</v>
      </c>
      <c r="C681" s="29" t="s">
        <v>1442</v>
      </c>
      <c r="D681" s="29" t="s">
        <v>1443</v>
      </c>
      <c r="E681" s="30">
        <v>2020</v>
      </c>
      <c r="F681" s="30">
        <v>2020</v>
      </c>
      <c r="G681" s="29" t="s">
        <v>16</v>
      </c>
      <c r="H681" s="29">
        <v>200</v>
      </c>
      <c r="I681" s="29">
        <v>200</v>
      </c>
      <c r="J681" s="29"/>
      <c r="K681" s="47"/>
      <c r="L681" s="14" t="s">
        <v>330</v>
      </c>
      <c r="M681" s="36" t="str">
        <f t="shared" si="10"/>
        <v>19630113</v>
      </c>
    </row>
    <row r="682" s="1" customFormat="1" spans="1:13">
      <c r="A682" s="2">
        <v>6264</v>
      </c>
      <c r="B682" s="5" t="s">
        <v>12263</v>
      </c>
      <c r="C682" s="5" t="s">
        <v>12550</v>
      </c>
      <c r="D682" s="5" t="s">
        <v>12551</v>
      </c>
      <c r="E682" s="5" t="s">
        <v>10250</v>
      </c>
      <c r="F682" s="5">
        <v>2020</v>
      </c>
      <c r="G682" s="17" t="s">
        <v>3359</v>
      </c>
      <c r="H682" s="5">
        <v>200</v>
      </c>
      <c r="I682" s="5">
        <v>200</v>
      </c>
      <c r="J682" s="5"/>
      <c r="K682" s="5" t="s">
        <v>12552</v>
      </c>
      <c r="L682" s="10">
        <v>20201118</v>
      </c>
      <c r="M682" s="36" t="str">
        <f t="shared" si="10"/>
        <v>19630113</v>
      </c>
    </row>
    <row r="683" s="1" customFormat="1" spans="1:13">
      <c r="A683" s="2">
        <v>6513</v>
      </c>
      <c r="B683" s="13" t="s">
        <v>12263</v>
      </c>
      <c r="C683" s="13" t="s">
        <v>12550</v>
      </c>
      <c r="D683" s="314" t="s">
        <v>12551</v>
      </c>
      <c r="E683" s="13">
        <v>2020</v>
      </c>
      <c r="F683" s="13">
        <v>2020</v>
      </c>
      <c r="G683" s="17" t="s">
        <v>3359</v>
      </c>
      <c r="H683" s="13">
        <v>200</v>
      </c>
      <c r="I683" s="13">
        <v>200</v>
      </c>
      <c r="J683" s="5"/>
      <c r="K683" s="5"/>
      <c r="L683" s="10">
        <v>20201224</v>
      </c>
      <c r="M683" s="36" t="str">
        <f t="shared" si="10"/>
        <v>19630113</v>
      </c>
    </row>
    <row r="684" s="1" customFormat="1" spans="1:13">
      <c r="A684" s="2">
        <v>99</v>
      </c>
      <c r="B684" s="3" t="s">
        <v>12</v>
      </c>
      <c r="C684" s="6" t="s">
        <v>214</v>
      </c>
      <c r="D684" s="6" t="s">
        <v>215</v>
      </c>
      <c r="E684" s="3" t="s">
        <v>15</v>
      </c>
      <c r="F684" s="3" t="s">
        <v>15</v>
      </c>
      <c r="G684" s="3" t="s">
        <v>189</v>
      </c>
      <c r="H684" s="3">
        <v>200</v>
      </c>
      <c r="I684" s="3">
        <v>200</v>
      </c>
      <c r="J684" s="3"/>
      <c r="K684" s="3"/>
      <c r="L684" s="10">
        <v>20201118</v>
      </c>
      <c r="M684" s="36" t="str">
        <f t="shared" si="10"/>
        <v>19630114</v>
      </c>
    </row>
    <row r="685" s="1" customFormat="1" spans="1:13">
      <c r="A685" s="2">
        <v>1451</v>
      </c>
      <c r="B685" s="5" t="s">
        <v>3381</v>
      </c>
      <c r="C685" s="9" t="s">
        <v>3471</v>
      </c>
      <c r="D685" s="9" t="s">
        <v>3472</v>
      </c>
      <c r="E685" s="5">
        <v>2020</v>
      </c>
      <c r="F685" s="5">
        <v>2020</v>
      </c>
      <c r="G685" s="14" t="s">
        <v>16</v>
      </c>
      <c r="H685" s="6">
        <v>200</v>
      </c>
      <c r="I685" s="6">
        <v>200</v>
      </c>
      <c r="J685" s="5"/>
      <c r="K685" s="13"/>
      <c r="L685" s="10">
        <v>20201118</v>
      </c>
      <c r="M685" s="36" t="str">
        <f t="shared" si="10"/>
        <v>19630116</v>
      </c>
    </row>
    <row r="686" s="1" customFormat="1" spans="1:13">
      <c r="A686" s="2">
        <v>3622</v>
      </c>
      <c r="B686" s="5" t="s">
        <v>7412</v>
      </c>
      <c r="C686" s="5" t="s">
        <v>7510</v>
      </c>
      <c r="D686" s="5" t="s">
        <v>7511</v>
      </c>
      <c r="E686" s="6">
        <v>2020</v>
      </c>
      <c r="F686" s="6">
        <v>2020</v>
      </c>
      <c r="G686" s="5" t="s">
        <v>3359</v>
      </c>
      <c r="H686" s="5">
        <v>200</v>
      </c>
      <c r="I686" s="5">
        <v>200</v>
      </c>
      <c r="J686" s="5"/>
      <c r="K686" s="5"/>
      <c r="L686" s="10">
        <v>20201118</v>
      </c>
      <c r="M686" s="36" t="str">
        <f t="shared" si="10"/>
        <v>19630116</v>
      </c>
    </row>
    <row r="687" s="1" customFormat="1" spans="1:13">
      <c r="A687" s="2">
        <v>2169</v>
      </c>
      <c r="B687" s="9" t="s">
        <v>4837</v>
      </c>
      <c r="C687" s="9" t="s">
        <v>4886</v>
      </c>
      <c r="D687" s="9" t="s">
        <v>4887</v>
      </c>
      <c r="E687" s="6" t="s">
        <v>15</v>
      </c>
      <c r="F687" s="6">
        <v>2020</v>
      </c>
      <c r="G687" s="9" t="s">
        <v>2480</v>
      </c>
      <c r="H687" s="9">
        <v>200</v>
      </c>
      <c r="I687" s="9">
        <v>200</v>
      </c>
      <c r="J687" s="6" t="s">
        <v>108</v>
      </c>
      <c r="K687" s="10"/>
      <c r="L687" s="10">
        <v>20201118</v>
      </c>
      <c r="M687" s="36" t="str">
        <f t="shared" si="10"/>
        <v>19630117</v>
      </c>
    </row>
    <row r="688" s="1" customFormat="1" spans="1:13">
      <c r="A688" s="2">
        <v>5823</v>
      </c>
      <c r="B688" s="30" t="s">
        <v>11090</v>
      </c>
      <c r="C688" s="30" t="s">
        <v>11715</v>
      </c>
      <c r="D688" s="30" t="s">
        <v>11716</v>
      </c>
      <c r="E688" s="5" t="s">
        <v>15</v>
      </c>
      <c r="F688" s="5" t="s">
        <v>10250</v>
      </c>
      <c r="G688" s="6" t="s">
        <v>16</v>
      </c>
      <c r="H688" s="32">
        <v>200</v>
      </c>
      <c r="I688" s="32">
        <v>200</v>
      </c>
      <c r="J688" s="6"/>
      <c r="K688" s="48"/>
      <c r="L688" s="10">
        <v>20201118</v>
      </c>
      <c r="M688" s="36" t="str">
        <f t="shared" si="10"/>
        <v>19630118</v>
      </c>
    </row>
    <row r="689" s="1" customFormat="1" spans="1:13">
      <c r="A689" s="2">
        <v>6226</v>
      </c>
      <c r="B689" s="5" t="s">
        <v>12263</v>
      </c>
      <c r="C689" s="5" t="s">
        <v>12478</v>
      </c>
      <c r="D689" s="5" t="s">
        <v>12479</v>
      </c>
      <c r="E689" s="5" t="s">
        <v>10250</v>
      </c>
      <c r="F689" s="5">
        <v>2020</v>
      </c>
      <c r="G689" s="17" t="s">
        <v>3359</v>
      </c>
      <c r="H689" s="5">
        <v>200</v>
      </c>
      <c r="I689" s="5">
        <v>200</v>
      </c>
      <c r="J689" s="5"/>
      <c r="K689" s="5"/>
      <c r="L689" s="10">
        <v>20201118</v>
      </c>
      <c r="M689" s="36" t="str">
        <f t="shared" si="10"/>
        <v>19630118</v>
      </c>
    </row>
    <row r="690" s="1" customFormat="1" spans="1:13">
      <c r="A690" s="2">
        <v>2553</v>
      </c>
      <c r="B690" s="32" t="s">
        <v>5602</v>
      </c>
      <c r="C690" s="9" t="s">
        <v>5644</v>
      </c>
      <c r="D690" s="9" t="s">
        <v>5645</v>
      </c>
      <c r="E690" s="32">
        <v>2020</v>
      </c>
      <c r="F690" s="32">
        <v>2020</v>
      </c>
      <c r="G690" s="32" t="s">
        <v>16</v>
      </c>
      <c r="H690" s="9">
        <v>200</v>
      </c>
      <c r="I690" s="9">
        <v>200</v>
      </c>
      <c r="J690" s="32"/>
      <c r="K690" s="52"/>
      <c r="L690" s="10">
        <v>20201118</v>
      </c>
      <c r="M690" s="36" t="str">
        <f t="shared" si="10"/>
        <v>19630119</v>
      </c>
    </row>
    <row r="691" s="1" customFormat="1" ht="14.25" spans="1:13">
      <c r="A691" s="2">
        <v>5237</v>
      </c>
      <c r="B691" s="33" t="s">
        <v>10535</v>
      </c>
      <c r="C691" s="34" t="s">
        <v>10592</v>
      </c>
      <c r="D691" s="34" t="s">
        <v>10593</v>
      </c>
      <c r="E691" s="35">
        <v>2020</v>
      </c>
      <c r="F691" s="35">
        <v>2020</v>
      </c>
      <c r="G691" s="35" t="s">
        <v>16</v>
      </c>
      <c r="H691" s="34">
        <v>1000</v>
      </c>
      <c r="I691" s="34">
        <v>1000</v>
      </c>
      <c r="J691" s="49"/>
      <c r="K691" s="10"/>
      <c r="L691" s="10">
        <v>20201118</v>
      </c>
      <c r="M691" s="36" t="str">
        <f t="shared" si="10"/>
        <v>19630120</v>
      </c>
    </row>
    <row r="692" s="1" customFormat="1" spans="1:13">
      <c r="A692" s="2">
        <v>574</v>
      </c>
      <c r="B692" s="29" t="s">
        <v>1040</v>
      </c>
      <c r="C692" s="29" t="s">
        <v>1424</v>
      </c>
      <c r="D692" s="29" t="s">
        <v>1425</v>
      </c>
      <c r="E692" s="30">
        <v>2020</v>
      </c>
      <c r="F692" s="30">
        <v>2020</v>
      </c>
      <c r="G692" s="29" t="s">
        <v>16</v>
      </c>
      <c r="H692" s="29">
        <v>200</v>
      </c>
      <c r="I692" s="29">
        <v>200</v>
      </c>
      <c r="J692" s="29"/>
      <c r="K692" s="47"/>
      <c r="L692" s="2" t="s">
        <v>330</v>
      </c>
      <c r="M692" s="36" t="str">
        <f t="shared" si="10"/>
        <v>19630122</v>
      </c>
    </row>
    <row r="693" s="1" customFormat="1" spans="1:13">
      <c r="A693" s="2">
        <v>3253</v>
      </c>
      <c r="B693" s="3" t="s">
        <v>6671</v>
      </c>
      <c r="C693" s="9" t="s">
        <v>6817</v>
      </c>
      <c r="D693" s="287" t="s">
        <v>7009</v>
      </c>
      <c r="E693" s="3" t="s">
        <v>310</v>
      </c>
      <c r="F693" s="3" t="s">
        <v>15</v>
      </c>
      <c r="G693" s="6" t="s">
        <v>2460</v>
      </c>
      <c r="H693" s="9">
        <v>200</v>
      </c>
      <c r="I693" s="9">
        <v>2000</v>
      </c>
      <c r="J693" s="6"/>
      <c r="K693" s="5"/>
      <c r="L693" s="10">
        <v>20201118</v>
      </c>
      <c r="M693" s="36" t="str">
        <f t="shared" si="10"/>
        <v>19630122</v>
      </c>
    </row>
    <row r="694" s="1" customFormat="1" spans="1:13">
      <c r="A694" s="2">
        <v>5780</v>
      </c>
      <c r="B694" s="30" t="s">
        <v>11090</v>
      </c>
      <c r="C694" s="30" t="s">
        <v>2814</v>
      </c>
      <c r="D694" s="30" t="s">
        <v>11634</v>
      </c>
      <c r="E694" s="5" t="s">
        <v>15</v>
      </c>
      <c r="F694" s="5" t="s">
        <v>10250</v>
      </c>
      <c r="G694" s="6" t="s">
        <v>16</v>
      </c>
      <c r="H694" s="32">
        <v>200</v>
      </c>
      <c r="I694" s="32">
        <v>200</v>
      </c>
      <c r="J694" s="6"/>
      <c r="K694" s="48"/>
      <c r="L694" s="10">
        <v>20201118</v>
      </c>
      <c r="M694" s="36" t="str">
        <f t="shared" si="10"/>
        <v>19630122</v>
      </c>
    </row>
    <row r="695" s="1" customFormat="1" spans="1:13">
      <c r="A695" s="2">
        <v>747</v>
      </c>
      <c r="B695" s="29" t="s">
        <v>1040</v>
      </c>
      <c r="C695" s="5" t="s">
        <v>1891</v>
      </c>
      <c r="D695" s="317" t="s">
        <v>1892</v>
      </c>
      <c r="E695" s="30">
        <v>2020</v>
      </c>
      <c r="F695" s="30">
        <v>2020</v>
      </c>
      <c r="G695" s="29" t="s">
        <v>16</v>
      </c>
      <c r="H695" s="29">
        <v>200</v>
      </c>
      <c r="I695" s="29">
        <v>200</v>
      </c>
      <c r="J695" s="32"/>
      <c r="K695" s="32"/>
      <c r="L695" s="14" t="s">
        <v>330</v>
      </c>
      <c r="M695" s="36" t="str">
        <f t="shared" si="10"/>
        <v>19630124</v>
      </c>
    </row>
    <row r="696" s="1" customFormat="1" ht="14.25" spans="1:13">
      <c r="A696" s="2">
        <v>7786</v>
      </c>
      <c r="B696" s="5" t="s">
        <v>14875</v>
      </c>
      <c r="C696" s="51" t="s">
        <v>15033</v>
      </c>
      <c r="D696" s="24" t="str">
        <f>"152326196301247114"</f>
        <v>152326196301247114</v>
      </c>
      <c r="E696" s="6" t="s">
        <v>15</v>
      </c>
      <c r="F696" s="6">
        <v>2020</v>
      </c>
      <c r="G696" s="24" t="s">
        <v>14877</v>
      </c>
      <c r="H696" s="6">
        <v>200</v>
      </c>
      <c r="I696" s="6">
        <v>200</v>
      </c>
      <c r="J696" s="6"/>
      <c r="K696" s="10"/>
      <c r="L696" s="10">
        <v>20201118</v>
      </c>
      <c r="M696" s="36" t="str">
        <f t="shared" si="10"/>
        <v>19630124</v>
      </c>
    </row>
    <row r="697" s="1" customFormat="1" spans="1:13">
      <c r="A697" s="2">
        <v>4414</v>
      </c>
      <c r="B697" s="6" t="s">
        <v>9015</v>
      </c>
      <c r="C697" s="6" t="s">
        <v>9018</v>
      </c>
      <c r="D697" s="6" t="s">
        <v>9019</v>
      </c>
      <c r="E697" s="6">
        <v>2020</v>
      </c>
      <c r="F697" s="6">
        <v>2020</v>
      </c>
      <c r="G697" s="6" t="s">
        <v>16</v>
      </c>
      <c r="H697" s="6">
        <v>200</v>
      </c>
      <c r="I697" s="6">
        <v>200</v>
      </c>
      <c r="J697" s="6"/>
      <c r="K697" s="6"/>
      <c r="L697" s="10">
        <v>20201118</v>
      </c>
      <c r="M697" s="36" t="str">
        <f t="shared" si="10"/>
        <v>19630125</v>
      </c>
    </row>
    <row r="698" s="1" customFormat="1" spans="1:13">
      <c r="A698" s="2">
        <v>6480</v>
      </c>
      <c r="B698" s="5" t="s">
        <v>12263</v>
      </c>
      <c r="C698" s="5" t="s">
        <v>12963</v>
      </c>
      <c r="D698" s="5" t="s">
        <v>12964</v>
      </c>
      <c r="E698" s="5" t="s">
        <v>10250</v>
      </c>
      <c r="F698" s="5">
        <v>2020</v>
      </c>
      <c r="G698" s="5" t="s">
        <v>295</v>
      </c>
      <c r="H698" s="5">
        <v>200</v>
      </c>
      <c r="I698" s="5">
        <v>2000</v>
      </c>
      <c r="J698" s="5"/>
      <c r="K698" s="5"/>
      <c r="L698" s="10">
        <v>20201118</v>
      </c>
      <c r="M698" s="36" t="str">
        <f t="shared" si="10"/>
        <v>19630125</v>
      </c>
    </row>
    <row r="699" s="1" customFormat="1" spans="1:13">
      <c r="A699" s="2">
        <v>7204</v>
      </c>
      <c r="B699" s="5" t="s">
        <v>13908</v>
      </c>
      <c r="C699" s="5" t="s">
        <v>14057</v>
      </c>
      <c r="D699" s="5" t="s">
        <v>14058</v>
      </c>
      <c r="E699" s="5" t="s">
        <v>15</v>
      </c>
      <c r="F699" s="5" t="s">
        <v>15</v>
      </c>
      <c r="G699" s="14" t="s">
        <v>16</v>
      </c>
      <c r="H699" s="17">
        <v>200</v>
      </c>
      <c r="I699" s="17">
        <v>200</v>
      </c>
      <c r="J699" s="5"/>
      <c r="K699" s="10"/>
      <c r="L699" s="10">
        <v>20201118</v>
      </c>
      <c r="M699" s="36" t="str">
        <f t="shared" si="10"/>
        <v>19630125</v>
      </c>
    </row>
    <row r="700" s="1" customFormat="1" spans="1:13">
      <c r="A700" s="2">
        <v>6535</v>
      </c>
      <c r="B700" s="5" t="s">
        <v>13027</v>
      </c>
      <c r="C700" s="15" t="s">
        <v>13067</v>
      </c>
      <c r="D700" s="15" t="s">
        <v>13068</v>
      </c>
      <c r="E700" s="5">
        <v>2020</v>
      </c>
      <c r="F700" s="5">
        <v>2020</v>
      </c>
      <c r="G700" s="14" t="s">
        <v>16</v>
      </c>
      <c r="H700" s="15">
        <v>200</v>
      </c>
      <c r="I700" s="15">
        <v>200</v>
      </c>
      <c r="J700" s="5"/>
      <c r="K700" s="10"/>
      <c r="L700" s="10">
        <v>20201118</v>
      </c>
      <c r="M700" s="36" t="str">
        <f t="shared" si="10"/>
        <v>19630126</v>
      </c>
    </row>
    <row r="701" s="1" customFormat="1" ht="14.25" spans="1:13">
      <c r="A701" s="2">
        <v>5238</v>
      </c>
      <c r="B701" s="33" t="s">
        <v>10535</v>
      </c>
      <c r="C701" s="34" t="s">
        <v>10594</v>
      </c>
      <c r="D701" s="34" t="s">
        <v>10595</v>
      </c>
      <c r="E701" s="35">
        <v>2020</v>
      </c>
      <c r="F701" s="35">
        <v>2020</v>
      </c>
      <c r="G701" s="35" t="s">
        <v>16</v>
      </c>
      <c r="H701" s="34">
        <v>200</v>
      </c>
      <c r="I701" s="34">
        <v>200</v>
      </c>
      <c r="J701" s="49"/>
      <c r="K701" s="10"/>
      <c r="L701" s="10">
        <v>20201118</v>
      </c>
      <c r="M701" s="36" t="str">
        <f t="shared" si="10"/>
        <v>19630128</v>
      </c>
    </row>
    <row r="702" s="1" customFormat="1" spans="1:13">
      <c r="A702" s="2">
        <v>2411</v>
      </c>
      <c r="B702" s="5" t="s">
        <v>5328</v>
      </c>
      <c r="C702" s="16" t="s">
        <v>5363</v>
      </c>
      <c r="D702" s="16" t="s">
        <v>5364</v>
      </c>
      <c r="E702" s="5" t="s">
        <v>15</v>
      </c>
      <c r="F702" s="5" t="s">
        <v>15</v>
      </c>
      <c r="G702" s="14" t="s">
        <v>16</v>
      </c>
      <c r="H702" s="6">
        <v>200</v>
      </c>
      <c r="I702" s="6">
        <v>200</v>
      </c>
      <c r="J702" s="5"/>
      <c r="K702" s="5"/>
      <c r="L702" s="10">
        <v>20201118</v>
      </c>
      <c r="M702" s="36" t="str">
        <f t="shared" si="10"/>
        <v>19630201</v>
      </c>
    </row>
    <row r="703" s="1" customFormat="1" spans="1:13">
      <c r="A703" s="2">
        <v>4171</v>
      </c>
      <c r="B703" s="9" t="s">
        <v>8515</v>
      </c>
      <c r="C703" s="9" t="s">
        <v>8548</v>
      </c>
      <c r="D703" s="9" t="s">
        <v>8549</v>
      </c>
      <c r="E703" s="5" t="s">
        <v>15</v>
      </c>
      <c r="F703" s="5">
        <v>2020</v>
      </c>
      <c r="G703" s="9" t="s">
        <v>2480</v>
      </c>
      <c r="H703" s="9">
        <v>200</v>
      </c>
      <c r="I703" s="9">
        <v>200</v>
      </c>
      <c r="J703" s="9"/>
      <c r="K703" s="9"/>
      <c r="L703" s="10">
        <v>20201118</v>
      </c>
      <c r="M703" s="36" t="str">
        <f t="shared" si="10"/>
        <v>19630201</v>
      </c>
    </row>
    <row r="704" s="1" customFormat="1" spans="1:13">
      <c r="A704" s="2">
        <v>4816</v>
      </c>
      <c r="B704" s="6" t="s">
        <v>9015</v>
      </c>
      <c r="C704" s="6" t="s">
        <v>9780</v>
      </c>
      <c r="D704" s="293" t="s">
        <v>9781</v>
      </c>
      <c r="E704" s="6">
        <v>2020</v>
      </c>
      <c r="F704" s="6">
        <v>2020</v>
      </c>
      <c r="G704" s="6" t="s">
        <v>16</v>
      </c>
      <c r="H704" s="6">
        <v>300</v>
      </c>
      <c r="I704" s="6">
        <v>300</v>
      </c>
      <c r="J704" s="6"/>
      <c r="K704" s="6"/>
      <c r="L704" s="10">
        <v>20201118</v>
      </c>
      <c r="M704" s="36" t="str">
        <f t="shared" si="10"/>
        <v>19630202</v>
      </c>
    </row>
    <row r="705" s="1" customFormat="1" spans="1:13">
      <c r="A705" s="2">
        <v>962</v>
      </c>
      <c r="B705" s="5" t="s">
        <v>2469</v>
      </c>
      <c r="C705" s="9" t="s">
        <v>2516</v>
      </c>
      <c r="D705" s="9" t="s">
        <v>2517</v>
      </c>
      <c r="E705" s="5">
        <v>2020</v>
      </c>
      <c r="F705" s="5">
        <v>2020</v>
      </c>
      <c r="G705" s="9" t="s">
        <v>2480</v>
      </c>
      <c r="H705" s="9">
        <v>200</v>
      </c>
      <c r="I705" s="9">
        <v>200</v>
      </c>
      <c r="J705" s="5"/>
      <c r="K705" s="5"/>
      <c r="L705" s="10">
        <v>20201118</v>
      </c>
      <c r="M705" s="36" t="str">
        <f t="shared" si="10"/>
        <v>19630203</v>
      </c>
    </row>
    <row r="706" s="1" customFormat="1" spans="1:13">
      <c r="A706" s="2">
        <v>3623</v>
      </c>
      <c r="B706" s="5" t="s">
        <v>7412</v>
      </c>
      <c r="C706" s="5" t="s">
        <v>1731</v>
      </c>
      <c r="D706" s="5" t="s">
        <v>7512</v>
      </c>
      <c r="E706" s="6">
        <v>2020</v>
      </c>
      <c r="F706" s="6">
        <v>2020</v>
      </c>
      <c r="G706" s="5" t="s">
        <v>3359</v>
      </c>
      <c r="H706" s="5">
        <v>200</v>
      </c>
      <c r="I706" s="5">
        <v>200</v>
      </c>
      <c r="J706" s="5"/>
      <c r="K706" s="5"/>
      <c r="L706" s="10">
        <v>20201118</v>
      </c>
      <c r="M706" s="36" t="str">
        <f t="shared" ref="M706:M769" si="11">MID(D706,7,8)</f>
        <v>19630203</v>
      </c>
    </row>
    <row r="707" s="1" customFormat="1" ht="14.25" spans="1:13">
      <c r="A707" s="2">
        <v>2887</v>
      </c>
      <c r="B707" s="6" t="s">
        <v>6075</v>
      </c>
      <c r="C707" s="25" t="s">
        <v>6303</v>
      </c>
      <c r="D707" s="26" t="s">
        <v>6304</v>
      </c>
      <c r="E707" s="5" t="s">
        <v>15</v>
      </c>
      <c r="F707" s="5">
        <v>2020</v>
      </c>
      <c r="G707" s="6" t="s">
        <v>16</v>
      </c>
      <c r="H707" s="6">
        <v>200</v>
      </c>
      <c r="I707" s="6">
        <v>200</v>
      </c>
      <c r="J707" s="6" t="s">
        <v>6097</v>
      </c>
      <c r="K707" s="10"/>
      <c r="L707" s="10">
        <v>20201118</v>
      </c>
      <c r="M707" s="36" t="str">
        <f t="shared" si="11"/>
        <v>19630204</v>
      </c>
    </row>
    <row r="708" s="1" customFormat="1" spans="1:13">
      <c r="A708" s="2">
        <v>1452</v>
      </c>
      <c r="B708" s="5" t="s">
        <v>3381</v>
      </c>
      <c r="C708" s="9" t="s">
        <v>3473</v>
      </c>
      <c r="D708" s="9" t="s">
        <v>3474</v>
      </c>
      <c r="E708" s="5">
        <v>2020</v>
      </c>
      <c r="F708" s="5">
        <v>2020</v>
      </c>
      <c r="G708" s="14" t="s">
        <v>16</v>
      </c>
      <c r="H708" s="6">
        <v>200</v>
      </c>
      <c r="I708" s="6">
        <v>200</v>
      </c>
      <c r="J708" s="5"/>
      <c r="K708" s="13"/>
      <c r="L708" s="10">
        <v>20201118</v>
      </c>
      <c r="M708" s="36" t="str">
        <f t="shared" si="11"/>
        <v>19630205</v>
      </c>
    </row>
    <row r="709" s="1" customFormat="1" spans="1:13">
      <c r="A709" s="2">
        <v>2412</v>
      </c>
      <c r="B709" s="5" t="s">
        <v>5328</v>
      </c>
      <c r="C709" s="16" t="s">
        <v>5365</v>
      </c>
      <c r="D709" s="16" t="s">
        <v>5366</v>
      </c>
      <c r="E709" s="5" t="s">
        <v>15</v>
      </c>
      <c r="F709" s="5" t="s">
        <v>15</v>
      </c>
      <c r="G709" s="14" t="s">
        <v>16</v>
      </c>
      <c r="H709" s="6">
        <v>200</v>
      </c>
      <c r="I709" s="6">
        <v>200</v>
      </c>
      <c r="J709" s="5"/>
      <c r="K709" s="5"/>
      <c r="L709" s="10">
        <v>20201118</v>
      </c>
      <c r="M709" s="36" t="str">
        <f t="shared" si="11"/>
        <v>19630205</v>
      </c>
    </row>
    <row r="710" s="1" customFormat="1" spans="1:13">
      <c r="A710" s="2">
        <v>3624</v>
      </c>
      <c r="B710" s="5" t="s">
        <v>7412</v>
      </c>
      <c r="C710" s="5" t="s">
        <v>7513</v>
      </c>
      <c r="D710" s="5" t="s">
        <v>7514</v>
      </c>
      <c r="E710" s="6">
        <v>2020</v>
      </c>
      <c r="F710" s="6">
        <v>2020</v>
      </c>
      <c r="G710" s="5" t="s">
        <v>3359</v>
      </c>
      <c r="H710" s="5">
        <v>200</v>
      </c>
      <c r="I710" s="5">
        <v>200</v>
      </c>
      <c r="J710" s="5"/>
      <c r="K710" s="5"/>
      <c r="L710" s="10">
        <v>20201118</v>
      </c>
      <c r="M710" s="36" t="str">
        <f t="shared" si="11"/>
        <v>19630205</v>
      </c>
    </row>
    <row r="711" s="1" customFormat="1" spans="1:13">
      <c r="A711" s="2">
        <v>3625</v>
      </c>
      <c r="B711" s="5" t="s">
        <v>7412</v>
      </c>
      <c r="C711" s="5" t="s">
        <v>7515</v>
      </c>
      <c r="D711" s="5" t="s">
        <v>7516</v>
      </c>
      <c r="E711" s="6">
        <v>2020</v>
      </c>
      <c r="F711" s="6">
        <v>2020</v>
      </c>
      <c r="G711" s="5" t="s">
        <v>3359</v>
      </c>
      <c r="H711" s="5">
        <v>200</v>
      </c>
      <c r="I711" s="5">
        <v>200</v>
      </c>
      <c r="J711" s="5"/>
      <c r="K711" s="5"/>
      <c r="L711" s="10">
        <v>20201118</v>
      </c>
      <c r="M711" s="36" t="str">
        <f t="shared" si="11"/>
        <v>19630205</v>
      </c>
    </row>
    <row r="712" s="1" customFormat="1" ht="14.25" spans="1:13">
      <c r="A712" s="2">
        <v>5239</v>
      </c>
      <c r="B712" s="33" t="s">
        <v>10535</v>
      </c>
      <c r="C712" s="34" t="s">
        <v>10596</v>
      </c>
      <c r="D712" s="34" t="s">
        <v>10597</v>
      </c>
      <c r="E712" s="35">
        <v>2020</v>
      </c>
      <c r="F712" s="35">
        <v>2020</v>
      </c>
      <c r="G712" s="35" t="s">
        <v>16</v>
      </c>
      <c r="H712" s="34">
        <v>200</v>
      </c>
      <c r="I712" s="34">
        <v>200</v>
      </c>
      <c r="J712" s="49"/>
      <c r="K712" s="10"/>
      <c r="L712" s="10">
        <v>20201118</v>
      </c>
      <c r="M712" s="36" t="str">
        <f t="shared" si="11"/>
        <v>19630205</v>
      </c>
    </row>
    <row r="713" s="1" customFormat="1" spans="1:13">
      <c r="A713" s="2">
        <v>6536</v>
      </c>
      <c r="B713" s="5" t="s">
        <v>13027</v>
      </c>
      <c r="C713" s="15" t="s">
        <v>13069</v>
      </c>
      <c r="D713" s="15" t="s">
        <v>13070</v>
      </c>
      <c r="E713" s="5">
        <v>2020</v>
      </c>
      <c r="F713" s="5">
        <v>2020</v>
      </c>
      <c r="G713" s="14" t="s">
        <v>16</v>
      </c>
      <c r="H713" s="15">
        <v>200</v>
      </c>
      <c r="I713" s="15">
        <v>200</v>
      </c>
      <c r="J713" s="5"/>
      <c r="K713" s="10"/>
      <c r="L713" s="10">
        <v>20201118</v>
      </c>
      <c r="M713" s="36" t="str">
        <f t="shared" si="11"/>
        <v>19630205</v>
      </c>
    </row>
    <row r="714" s="1" customFormat="1" spans="1:13">
      <c r="A714" s="2">
        <v>3485</v>
      </c>
      <c r="B714" s="5" t="s">
        <v>3375</v>
      </c>
      <c r="C714" s="6" t="s">
        <v>7268</v>
      </c>
      <c r="D714" s="6" t="str">
        <f>"152326196302066868"</f>
        <v>152326196302066868</v>
      </c>
      <c r="E714" s="5" t="s">
        <v>15</v>
      </c>
      <c r="F714" s="5">
        <v>2020</v>
      </c>
      <c r="G714" s="14" t="s">
        <v>16</v>
      </c>
      <c r="H714" s="17">
        <v>200</v>
      </c>
      <c r="I714" s="17">
        <v>200</v>
      </c>
      <c r="J714" s="6"/>
      <c r="K714" s="10"/>
      <c r="L714" s="10">
        <v>20201118</v>
      </c>
      <c r="M714" s="36" t="str">
        <f t="shared" si="11"/>
        <v>19630206</v>
      </c>
    </row>
    <row r="715" s="1" customFormat="1" spans="1:13">
      <c r="A715" s="2">
        <v>6451</v>
      </c>
      <c r="B715" s="5" t="s">
        <v>12263</v>
      </c>
      <c r="C715" s="5" t="s">
        <v>62</v>
      </c>
      <c r="D715" s="5" t="s">
        <v>12907</v>
      </c>
      <c r="E715" s="5" t="s">
        <v>10250</v>
      </c>
      <c r="F715" s="5">
        <v>2020</v>
      </c>
      <c r="G715" s="17" t="s">
        <v>3359</v>
      </c>
      <c r="H715" s="5">
        <v>200</v>
      </c>
      <c r="I715" s="5">
        <v>200</v>
      </c>
      <c r="J715" s="5" t="s">
        <v>5331</v>
      </c>
      <c r="K715" s="5"/>
      <c r="L715" s="10">
        <v>20201118</v>
      </c>
      <c r="M715" s="36" t="str">
        <f t="shared" si="11"/>
        <v>19630206</v>
      </c>
    </row>
    <row r="716" s="1" customFormat="1" spans="1:13">
      <c r="A716" s="2">
        <v>8054</v>
      </c>
      <c r="B716" s="5" t="s">
        <v>15086</v>
      </c>
      <c r="C716" s="6" t="s">
        <v>15334</v>
      </c>
      <c r="D716" s="6" t="str">
        <f>"152326196302066884"</f>
        <v>152326196302066884</v>
      </c>
      <c r="E716" s="5" t="s">
        <v>15</v>
      </c>
      <c r="F716" s="5">
        <v>2020</v>
      </c>
      <c r="G716" s="5" t="s">
        <v>16</v>
      </c>
      <c r="H716" s="5">
        <v>200</v>
      </c>
      <c r="I716" s="5">
        <v>200</v>
      </c>
      <c r="J716" s="5"/>
      <c r="K716" s="5"/>
      <c r="L716" s="10">
        <v>20201118</v>
      </c>
      <c r="M716" s="36" t="str">
        <f t="shared" si="11"/>
        <v>19630206</v>
      </c>
    </row>
    <row r="717" s="1" customFormat="1" spans="1:13">
      <c r="A717" s="2">
        <v>709</v>
      </c>
      <c r="B717" s="29" t="s">
        <v>1040</v>
      </c>
      <c r="C717" s="5" t="s">
        <v>1778</v>
      </c>
      <c r="D717" s="5" t="s">
        <v>1779</v>
      </c>
      <c r="E717" s="30">
        <v>2020</v>
      </c>
      <c r="F717" s="30">
        <v>2020</v>
      </c>
      <c r="G717" s="29" t="s">
        <v>16</v>
      </c>
      <c r="H717" s="29">
        <v>200</v>
      </c>
      <c r="I717" s="29">
        <v>200</v>
      </c>
      <c r="J717" s="29" t="s">
        <v>1082</v>
      </c>
      <c r="K717" s="54"/>
      <c r="L717" s="2" t="s">
        <v>330</v>
      </c>
      <c r="M717" s="36" t="str">
        <f t="shared" si="11"/>
        <v>19630207</v>
      </c>
    </row>
    <row r="718" s="1" customFormat="1" spans="1:13">
      <c r="A718" s="2">
        <v>963</v>
      </c>
      <c r="B718" s="5" t="s">
        <v>2469</v>
      </c>
      <c r="C718" s="9" t="s">
        <v>2518</v>
      </c>
      <c r="D718" s="9" t="s">
        <v>2519</v>
      </c>
      <c r="E718" s="5">
        <v>2020</v>
      </c>
      <c r="F718" s="5">
        <v>2020</v>
      </c>
      <c r="G718" s="9" t="s">
        <v>2480</v>
      </c>
      <c r="H718" s="9">
        <v>200</v>
      </c>
      <c r="I718" s="9">
        <v>200</v>
      </c>
      <c r="J718" s="5"/>
      <c r="K718" s="5"/>
      <c r="L718" s="10">
        <v>20201118</v>
      </c>
      <c r="M718" s="36" t="str">
        <f t="shared" si="11"/>
        <v>19630208</v>
      </c>
    </row>
    <row r="719" s="1" customFormat="1" spans="1:13">
      <c r="A719" s="2">
        <v>7582</v>
      </c>
      <c r="B719" s="5" t="s">
        <v>14402</v>
      </c>
      <c r="C719" s="5" t="s">
        <v>14763</v>
      </c>
      <c r="D719" s="5" t="s">
        <v>14764</v>
      </c>
      <c r="E719" s="5">
        <v>2020</v>
      </c>
      <c r="F719" s="5">
        <v>2020</v>
      </c>
      <c r="G719" s="17" t="s">
        <v>16</v>
      </c>
      <c r="H719" s="5">
        <v>200</v>
      </c>
      <c r="I719" s="5">
        <v>200</v>
      </c>
      <c r="J719" s="5"/>
      <c r="K719" s="10"/>
      <c r="L719" s="10">
        <v>20201118</v>
      </c>
      <c r="M719" s="36" t="str">
        <f t="shared" si="11"/>
        <v>19630208</v>
      </c>
    </row>
    <row r="720" s="1" customFormat="1" spans="1:13">
      <c r="A720" s="2">
        <v>5198</v>
      </c>
      <c r="B720" s="6" t="s">
        <v>10242</v>
      </c>
      <c r="C720" s="9" t="s">
        <v>10517</v>
      </c>
      <c r="D720" s="9" t="s">
        <v>10518</v>
      </c>
      <c r="E720" s="5" t="s">
        <v>10250</v>
      </c>
      <c r="F720" s="5">
        <v>2020</v>
      </c>
      <c r="G720" s="6" t="s">
        <v>16</v>
      </c>
      <c r="H720" s="6">
        <v>200</v>
      </c>
      <c r="I720" s="6">
        <v>200</v>
      </c>
      <c r="J720" s="6"/>
      <c r="K720" s="5"/>
      <c r="L720" s="10">
        <v>20201118</v>
      </c>
      <c r="M720" s="36" t="str">
        <f t="shared" si="11"/>
        <v>19630209</v>
      </c>
    </row>
    <row r="721" s="1" customFormat="1" spans="1:13">
      <c r="A721" s="2">
        <v>5818</v>
      </c>
      <c r="B721" s="30" t="s">
        <v>11090</v>
      </c>
      <c r="C721" s="30" t="s">
        <v>11705</v>
      </c>
      <c r="D721" s="30" t="s">
        <v>11706</v>
      </c>
      <c r="E721" s="5" t="s">
        <v>15</v>
      </c>
      <c r="F721" s="5" t="s">
        <v>10250</v>
      </c>
      <c r="G721" s="6" t="s">
        <v>16</v>
      </c>
      <c r="H721" s="32">
        <v>200</v>
      </c>
      <c r="I721" s="32">
        <v>200</v>
      </c>
      <c r="J721" s="6"/>
      <c r="K721" s="48"/>
      <c r="L721" s="10">
        <v>20201118</v>
      </c>
      <c r="M721" s="36" t="str">
        <f t="shared" si="11"/>
        <v>19630210</v>
      </c>
    </row>
    <row r="722" s="1" customFormat="1" spans="1:13">
      <c r="A722" s="2">
        <v>405</v>
      </c>
      <c r="B722" s="29" t="s">
        <v>1040</v>
      </c>
      <c r="C722" s="29" t="s">
        <v>1087</v>
      </c>
      <c r="D722" s="29" t="s">
        <v>1088</v>
      </c>
      <c r="E722" s="30">
        <v>2020</v>
      </c>
      <c r="F722" s="30">
        <v>2020</v>
      </c>
      <c r="G722" s="29" t="s">
        <v>16</v>
      </c>
      <c r="H722" s="29">
        <v>200</v>
      </c>
      <c r="I722" s="29">
        <v>200</v>
      </c>
      <c r="J722" s="29" t="s">
        <v>1082</v>
      </c>
      <c r="K722" s="47"/>
      <c r="L722" s="14" t="s">
        <v>330</v>
      </c>
      <c r="M722" s="36" t="str">
        <f t="shared" si="11"/>
        <v>19630211</v>
      </c>
    </row>
    <row r="723" s="1" customFormat="1" spans="1:13">
      <c r="A723" s="2">
        <v>1453</v>
      </c>
      <c r="B723" s="5" t="s">
        <v>3381</v>
      </c>
      <c r="C723" s="9" t="s">
        <v>3475</v>
      </c>
      <c r="D723" s="9" t="s">
        <v>3476</v>
      </c>
      <c r="E723" s="5">
        <v>2020</v>
      </c>
      <c r="F723" s="5">
        <v>2020</v>
      </c>
      <c r="G723" s="14" t="s">
        <v>16</v>
      </c>
      <c r="H723" s="6">
        <v>200</v>
      </c>
      <c r="I723" s="6">
        <v>200</v>
      </c>
      <c r="J723" s="5"/>
      <c r="K723" s="13"/>
      <c r="L723" s="10">
        <v>20201118</v>
      </c>
      <c r="M723" s="36" t="str">
        <f t="shared" si="11"/>
        <v>19630212</v>
      </c>
    </row>
    <row r="724" s="1" customFormat="1" spans="1:13">
      <c r="A724" s="2">
        <v>6141</v>
      </c>
      <c r="B724" s="5" t="s">
        <v>12263</v>
      </c>
      <c r="C724" s="5" t="s">
        <v>7999</v>
      </c>
      <c r="D724" s="5" t="s">
        <v>12317</v>
      </c>
      <c r="E724" s="5" t="s">
        <v>10250</v>
      </c>
      <c r="F724" s="5">
        <v>2020</v>
      </c>
      <c r="G724" s="17" t="s">
        <v>3359</v>
      </c>
      <c r="H724" s="5">
        <v>200</v>
      </c>
      <c r="I724" s="5">
        <v>200</v>
      </c>
      <c r="J724" s="5"/>
      <c r="K724" s="5"/>
      <c r="L724" s="10">
        <v>20201118</v>
      </c>
      <c r="M724" s="36" t="str">
        <f t="shared" si="11"/>
        <v>19630212</v>
      </c>
    </row>
    <row r="725" s="1" customFormat="1" spans="1:13">
      <c r="A725" s="2">
        <v>7583</v>
      </c>
      <c r="B725" s="5" t="s">
        <v>14402</v>
      </c>
      <c r="C725" s="5" t="s">
        <v>14765</v>
      </c>
      <c r="D725" s="5" t="s">
        <v>14766</v>
      </c>
      <c r="E725" s="5">
        <v>2020</v>
      </c>
      <c r="F725" s="5">
        <v>2020</v>
      </c>
      <c r="G725" s="17" t="s">
        <v>16</v>
      </c>
      <c r="H725" s="5">
        <v>200</v>
      </c>
      <c r="I725" s="5">
        <v>200</v>
      </c>
      <c r="J725" s="5"/>
      <c r="K725" s="10"/>
      <c r="L725" s="10">
        <v>20201118</v>
      </c>
      <c r="M725" s="36" t="str">
        <f t="shared" si="11"/>
        <v>19630213</v>
      </c>
    </row>
    <row r="726" s="1" customFormat="1" spans="1:13">
      <c r="A726" s="2">
        <v>8058</v>
      </c>
      <c r="B726" s="5" t="s">
        <v>15086</v>
      </c>
      <c r="C726" s="6" t="s">
        <v>15339</v>
      </c>
      <c r="D726" s="6" t="str">
        <f>"152326196302146876"</f>
        <v>152326196302146876</v>
      </c>
      <c r="E726" s="5" t="s">
        <v>15</v>
      </c>
      <c r="F726" s="5">
        <v>2020</v>
      </c>
      <c r="G726" s="5" t="s">
        <v>16</v>
      </c>
      <c r="H726" s="5">
        <v>200</v>
      </c>
      <c r="I726" s="5">
        <v>200</v>
      </c>
      <c r="J726" s="5"/>
      <c r="K726" s="5"/>
      <c r="L726" s="10">
        <v>20201118</v>
      </c>
      <c r="M726" s="36" t="str">
        <f t="shared" si="11"/>
        <v>19630214</v>
      </c>
    </row>
    <row r="727" s="1" customFormat="1" spans="1:13">
      <c r="A727" s="2">
        <v>2170</v>
      </c>
      <c r="B727" s="9" t="s">
        <v>4837</v>
      </c>
      <c r="C727" s="9" t="s">
        <v>4888</v>
      </c>
      <c r="D727" s="9" t="s">
        <v>4889</v>
      </c>
      <c r="E727" s="6" t="s">
        <v>15</v>
      </c>
      <c r="F727" s="6">
        <v>2020</v>
      </c>
      <c r="G727" s="9" t="s">
        <v>2480</v>
      </c>
      <c r="H727" s="9">
        <v>500</v>
      </c>
      <c r="I727" s="9">
        <v>500</v>
      </c>
      <c r="J727" s="6"/>
      <c r="K727" s="10"/>
      <c r="L727" s="10">
        <v>20201118</v>
      </c>
      <c r="M727" s="36" t="str">
        <f t="shared" si="11"/>
        <v>19630215</v>
      </c>
    </row>
    <row r="728" s="1" customFormat="1" spans="1:13">
      <c r="A728" s="2">
        <v>3494</v>
      </c>
      <c r="B728" s="5" t="s">
        <v>3375</v>
      </c>
      <c r="C728" s="6" t="s">
        <v>7278</v>
      </c>
      <c r="D728" s="6" t="str">
        <f>"152326196302156871"</f>
        <v>152326196302156871</v>
      </c>
      <c r="E728" s="5" t="s">
        <v>15</v>
      </c>
      <c r="F728" s="5">
        <v>2020</v>
      </c>
      <c r="G728" s="14" t="s">
        <v>16</v>
      </c>
      <c r="H728" s="17">
        <v>200</v>
      </c>
      <c r="I728" s="17">
        <v>200</v>
      </c>
      <c r="J728" s="6"/>
      <c r="K728" s="10"/>
      <c r="L728" s="10">
        <v>20201118</v>
      </c>
      <c r="M728" s="36" t="str">
        <f t="shared" si="11"/>
        <v>19630215</v>
      </c>
    </row>
    <row r="729" s="1" customFormat="1" spans="1:13">
      <c r="A729" s="2">
        <v>3626</v>
      </c>
      <c r="B729" s="5" t="s">
        <v>7412</v>
      </c>
      <c r="C729" s="5" t="s">
        <v>7517</v>
      </c>
      <c r="D729" s="5" t="s">
        <v>7518</v>
      </c>
      <c r="E729" s="6">
        <v>2020</v>
      </c>
      <c r="F729" s="6">
        <v>2020</v>
      </c>
      <c r="G729" s="5" t="s">
        <v>3359</v>
      </c>
      <c r="H729" s="5">
        <v>200</v>
      </c>
      <c r="I729" s="5">
        <v>200</v>
      </c>
      <c r="J729" s="5"/>
      <c r="K729" s="5"/>
      <c r="L729" s="10">
        <v>20201118</v>
      </c>
      <c r="M729" s="36" t="str">
        <f t="shared" si="11"/>
        <v>19630215</v>
      </c>
    </row>
    <row r="730" s="1" customFormat="1" spans="1:13">
      <c r="A730" s="2">
        <v>1821</v>
      </c>
      <c r="B730" s="5" t="s">
        <v>4189</v>
      </c>
      <c r="C730" s="16" t="s">
        <v>4207</v>
      </c>
      <c r="D730" s="16" t="s">
        <v>4208</v>
      </c>
      <c r="E730" s="5" t="s">
        <v>15</v>
      </c>
      <c r="F730" s="5" t="s">
        <v>15</v>
      </c>
      <c r="G730" s="5" t="s">
        <v>3359</v>
      </c>
      <c r="H730" s="16">
        <v>3000</v>
      </c>
      <c r="I730" s="16">
        <v>3000</v>
      </c>
      <c r="J730" s="5"/>
      <c r="K730" s="10"/>
      <c r="L730" s="10">
        <v>20201118</v>
      </c>
      <c r="M730" s="36" t="str">
        <f t="shared" si="11"/>
        <v>19630216</v>
      </c>
    </row>
    <row r="731" s="1" customFormat="1" ht="14.25" spans="1:13">
      <c r="A731" s="2">
        <v>5240</v>
      </c>
      <c r="B731" s="33" t="s">
        <v>10535</v>
      </c>
      <c r="C731" s="34" t="s">
        <v>10598</v>
      </c>
      <c r="D731" s="34" t="s">
        <v>10599</v>
      </c>
      <c r="E731" s="35">
        <v>2020</v>
      </c>
      <c r="F731" s="35">
        <v>2020</v>
      </c>
      <c r="G731" s="35" t="s">
        <v>16</v>
      </c>
      <c r="H731" s="34">
        <v>200</v>
      </c>
      <c r="I731" s="34">
        <v>200</v>
      </c>
      <c r="J731" s="49"/>
      <c r="K731" s="10"/>
      <c r="L731" s="10">
        <v>20201118</v>
      </c>
      <c r="M731" s="36" t="str">
        <f t="shared" si="11"/>
        <v>19630216</v>
      </c>
    </row>
    <row r="732" s="1" customFormat="1" spans="1:13">
      <c r="A732" s="2">
        <v>6408</v>
      </c>
      <c r="B732" s="5" t="s">
        <v>12263</v>
      </c>
      <c r="C732" s="5" t="s">
        <v>12823</v>
      </c>
      <c r="D732" s="5" t="s">
        <v>12824</v>
      </c>
      <c r="E732" s="5" t="s">
        <v>10250</v>
      </c>
      <c r="F732" s="5">
        <v>2020</v>
      </c>
      <c r="G732" s="17" t="s">
        <v>3359</v>
      </c>
      <c r="H732" s="5" t="s">
        <v>311</v>
      </c>
      <c r="I732" s="5">
        <v>200</v>
      </c>
      <c r="J732" s="5"/>
      <c r="K732" s="5"/>
      <c r="L732" s="10">
        <v>20201118</v>
      </c>
      <c r="M732" s="36" t="str">
        <f t="shared" si="11"/>
        <v>19630216</v>
      </c>
    </row>
    <row r="733" s="1" customFormat="1" spans="1:13">
      <c r="A733" s="2">
        <v>102</v>
      </c>
      <c r="B733" s="3" t="s">
        <v>12</v>
      </c>
      <c r="C733" s="6" t="s">
        <v>220</v>
      </c>
      <c r="D733" s="6" t="s">
        <v>221</v>
      </c>
      <c r="E733" s="3" t="s">
        <v>15</v>
      </c>
      <c r="F733" s="3" t="s">
        <v>15</v>
      </c>
      <c r="G733" s="3" t="s">
        <v>189</v>
      </c>
      <c r="H733" s="3">
        <v>500</v>
      </c>
      <c r="I733" s="3">
        <v>500</v>
      </c>
      <c r="J733" s="3"/>
      <c r="K733" s="3"/>
      <c r="L733" s="10">
        <v>20201118</v>
      </c>
      <c r="M733" s="36" t="str">
        <f t="shared" si="11"/>
        <v>19630217</v>
      </c>
    </row>
    <row r="734" s="1" customFormat="1" spans="1:13">
      <c r="A734" s="2">
        <v>7319</v>
      </c>
      <c r="B734" s="5" t="s">
        <v>13908</v>
      </c>
      <c r="C734" s="5" t="s">
        <v>14274</v>
      </c>
      <c r="D734" s="5" t="s">
        <v>14275</v>
      </c>
      <c r="E734" s="5" t="s">
        <v>15</v>
      </c>
      <c r="F734" s="5" t="s">
        <v>15</v>
      </c>
      <c r="G734" s="14" t="s">
        <v>16</v>
      </c>
      <c r="H734" s="17">
        <v>200</v>
      </c>
      <c r="I734" s="17">
        <v>200</v>
      </c>
      <c r="J734" s="5"/>
      <c r="K734" s="10"/>
      <c r="L734" s="10">
        <v>20201118</v>
      </c>
      <c r="M734" s="36" t="str">
        <f t="shared" si="11"/>
        <v>19630217</v>
      </c>
    </row>
    <row r="735" s="1" customFormat="1" spans="1:13">
      <c r="A735" s="2">
        <v>3169</v>
      </c>
      <c r="B735" s="3" t="s">
        <v>6671</v>
      </c>
      <c r="C735" s="9" t="s">
        <v>6852</v>
      </c>
      <c r="D735" s="9" t="s">
        <v>6853</v>
      </c>
      <c r="E735" s="3" t="s">
        <v>15</v>
      </c>
      <c r="F735" s="3" t="s">
        <v>15</v>
      </c>
      <c r="G735" s="6" t="s">
        <v>3359</v>
      </c>
      <c r="H735" s="9">
        <v>200</v>
      </c>
      <c r="I735" s="9">
        <v>200</v>
      </c>
      <c r="J735" s="6"/>
      <c r="K735" s="5"/>
      <c r="L735" s="10">
        <v>20201118</v>
      </c>
      <c r="M735" s="36" t="str">
        <f t="shared" si="11"/>
        <v>19630220</v>
      </c>
    </row>
    <row r="736" s="1" customFormat="1" spans="1:13">
      <c r="A736" s="2">
        <v>4172</v>
      </c>
      <c r="B736" s="9" t="s">
        <v>8515</v>
      </c>
      <c r="C736" s="9" t="s">
        <v>8550</v>
      </c>
      <c r="D736" s="9" t="s">
        <v>8551</v>
      </c>
      <c r="E736" s="5" t="s">
        <v>15</v>
      </c>
      <c r="F736" s="5">
        <v>2020</v>
      </c>
      <c r="G736" s="9" t="s">
        <v>2480</v>
      </c>
      <c r="H736" s="9">
        <v>200</v>
      </c>
      <c r="I736" s="9">
        <v>200</v>
      </c>
      <c r="J736" s="9"/>
      <c r="K736" s="9"/>
      <c r="L736" s="10">
        <v>20201118</v>
      </c>
      <c r="M736" s="36" t="str">
        <f t="shared" si="11"/>
        <v>19630222</v>
      </c>
    </row>
    <row r="737" s="1" customFormat="1" spans="1:13">
      <c r="A737" s="2">
        <v>964</v>
      </c>
      <c r="B737" s="5" t="s">
        <v>2469</v>
      </c>
      <c r="C737" s="9" t="s">
        <v>2520</v>
      </c>
      <c r="D737" s="9" t="s">
        <v>2521</v>
      </c>
      <c r="E737" s="5">
        <v>2020</v>
      </c>
      <c r="F737" s="5">
        <v>2020</v>
      </c>
      <c r="G737" s="9" t="s">
        <v>2480</v>
      </c>
      <c r="H737" s="9">
        <v>200</v>
      </c>
      <c r="I737" s="9">
        <v>200</v>
      </c>
      <c r="J737" s="5"/>
      <c r="K737" s="5"/>
      <c r="L737" s="10">
        <v>20201118</v>
      </c>
      <c r="M737" s="36" t="str">
        <f t="shared" si="11"/>
        <v>19630224</v>
      </c>
    </row>
    <row r="738" s="1" customFormat="1" spans="1:13">
      <c r="A738" s="2">
        <v>4957</v>
      </c>
      <c r="B738" s="6" t="s">
        <v>9954</v>
      </c>
      <c r="C738" s="60" t="s">
        <v>10054</v>
      </c>
      <c r="D738" s="60" t="s">
        <v>10055</v>
      </c>
      <c r="E738" s="5" t="s">
        <v>15</v>
      </c>
      <c r="F738" s="5" t="s">
        <v>15</v>
      </c>
      <c r="G738" s="14" t="s">
        <v>16</v>
      </c>
      <c r="H738" s="6">
        <v>200</v>
      </c>
      <c r="I738" s="6">
        <v>200</v>
      </c>
      <c r="J738" s="6"/>
      <c r="K738" s="6"/>
      <c r="L738" s="10">
        <v>20201118</v>
      </c>
      <c r="M738" s="36" t="str">
        <f t="shared" si="11"/>
        <v>19630224</v>
      </c>
    </row>
    <row r="739" s="1" customFormat="1" ht="14.25" spans="1:13">
      <c r="A739" s="2">
        <v>7796</v>
      </c>
      <c r="B739" s="5" t="s">
        <v>14875</v>
      </c>
      <c r="C739" s="6" t="s">
        <v>15043</v>
      </c>
      <c r="D739" s="6" t="s">
        <v>15044</v>
      </c>
      <c r="E739" s="6" t="s">
        <v>15</v>
      </c>
      <c r="F739" s="6">
        <v>2020</v>
      </c>
      <c r="G739" s="24" t="s">
        <v>14877</v>
      </c>
      <c r="H739" s="6">
        <v>200</v>
      </c>
      <c r="I739" s="6">
        <v>200</v>
      </c>
      <c r="J739" s="6"/>
      <c r="K739" s="10"/>
      <c r="L739" s="10">
        <v>20201118</v>
      </c>
      <c r="M739" s="36" t="str">
        <f t="shared" si="11"/>
        <v>19630224</v>
      </c>
    </row>
    <row r="740" s="1" customFormat="1" spans="1:13">
      <c r="A740" s="2">
        <v>4931</v>
      </c>
      <c r="B740" s="6" t="s">
        <v>9954</v>
      </c>
      <c r="C740" s="60" t="s">
        <v>10003</v>
      </c>
      <c r="D740" s="60" t="s">
        <v>10004</v>
      </c>
      <c r="E740" s="5" t="s">
        <v>15</v>
      </c>
      <c r="F740" s="5" t="s">
        <v>15</v>
      </c>
      <c r="G740" s="14" t="s">
        <v>16</v>
      </c>
      <c r="H740" s="6">
        <v>200</v>
      </c>
      <c r="I740" s="6">
        <v>200</v>
      </c>
      <c r="J740" s="6"/>
      <c r="K740" s="6"/>
      <c r="L740" s="10">
        <v>20201118</v>
      </c>
      <c r="M740" s="36" t="str">
        <f t="shared" si="11"/>
        <v>19630226</v>
      </c>
    </row>
    <row r="741" s="1" customFormat="1" spans="1:13">
      <c r="A741" s="2">
        <v>6450</v>
      </c>
      <c r="B741" s="5" t="s">
        <v>12263</v>
      </c>
      <c r="C741" s="5" t="s">
        <v>12905</v>
      </c>
      <c r="D741" s="5" t="s">
        <v>12906</v>
      </c>
      <c r="E741" s="5" t="s">
        <v>10250</v>
      </c>
      <c r="F741" s="5">
        <v>2020</v>
      </c>
      <c r="G741" s="17" t="s">
        <v>3359</v>
      </c>
      <c r="H741" s="5">
        <v>200</v>
      </c>
      <c r="I741" s="5">
        <v>200</v>
      </c>
      <c r="J741" s="5" t="s">
        <v>108</v>
      </c>
      <c r="K741" s="5"/>
      <c r="L741" s="10">
        <v>20201118</v>
      </c>
      <c r="M741" s="36" t="str">
        <f t="shared" si="11"/>
        <v>19630227</v>
      </c>
    </row>
    <row r="742" s="1" customFormat="1" spans="1:13">
      <c r="A742" s="2">
        <v>127</v>
      </c>
      <c r="B742" s="3" t="s">
        <v>12</v>
      </c>
      <c r="C742" s="6" t="s">
        <v>270</v>
      </c>
      <c r="D742" s="6" t="s">
        <v>271</v>
      </c>
      <c r="E742" s="3" t="s">
        <v>15</v>
      </c>
      <c r="F742" s="3" t="s">
        <v>15</v>
      </c>
      <c r="G742" s="3" t="s">
        <v>189</v>
      </c>
      <c r="H742" s="3">
        <v>200</v>
      </c>
      <c r="I742" s="3">
        <v>200</v>
      </c>
      <c r="J742" s="3"/>
      <c r="K742" s="3"/>
      <c r="L742" s="10">
        <v>20201118</v>
      </c>
      <c r="M742" s="36" t="str">
        <f t="shared" si="11"/>
        <v>19630228</v>
      </c>
    </row>
    <row r="743" s="1" customFormat="1" spans="1:13">
      <c r="A743" s="2">
        <v>2413</v>
      </c>
      <c r="B743" s="5" t="s">
        <v>5328</v>
      </c>
      <c r="C743" s="16" t="s">
        <v>5367</v>
      </c>
      <c r="D743" s="16" t="s">
        <v>5368</v>
      </c>
      <c r="E743" s="5" t="s">
        <v>15</v>
      </c>
      <c r="F743" s="5" t="s">
        <v>15</v>
      </c>
      <c r="G743" s="14" t="s">
        <v>16</v>
      </c>
      <c r="H743" s="6">
        <v>200</v>
      </c>
      <c r="I743" s="6">
        <v>200</v>
      </c>
      <c r="J743" s="5"/>
      <c r="K743" s="5"/>
      <c r="L743" s="10">
        <v>20201118</v>
      </c>
      <c r="M743" s="36" t="str">
        <f t="shared" si="11"/>
        <v>19630228</v>
      </c>
    </row>
    <row r="744" s="1" customFormat="1" spans="1:13">
      <c r="A744" s="2">
        <v>3627</v>
      </c>
      <c r="B744" s="5" t="s">
        <v>7412</v>
      </c>
      <c r="C744" s="5" t="s">
        <v>7519</v>
      </c>
      <c r="D744" s="5" t="s">
        <v>7520</v>
      </c>
      <c r="E744" s="6">
        <v>2020</v>
      </c>
      <c r="F744" s="6">
        <v>2020</v>
      </c>
      <c r="G744" s="5" t="s">
        <v>3359</v>
      </c>
      <c r="H744" s="5">
        <v>200</v>
      </c>
      <c r="I744" s="5">
        <v>200</v>
      </c>
      <c r="J744" s="5"/>
      <c r="K744" s="5"/>
      <c r="L744" s="10">
        <v>20201118</v>
      </c>
      <c r="M744" s="36" t="str">
        <f t="shared" si="11"/>
        <v>19630228</v>
      </c>
    </row>
    <row r="745" s="1" customFormat="1" spans="1:13">
      <c r="A745" s="2">
        <v>192</v>
      </c>
      <c r="B745" s="14" t="s">
        <v>327</v>
      </c>
      <c r="C745" s="14" t="s">
        <v>464</v>
      </c>
      <c r="D745" s="14" t="s">
        <v>465</v>
      </c>
      <c r="E745" s="5">
        <v>2020</v>
      </c>
      <c r="F745" s="5">
        <v>2020</v>
      </c>
      <c r="G745" s="14" t="s">
        <v>16</v>
      </c>
      <c r="H745" s="14">
        <v>200</v>
      </c>
      <c r="I745" s="14">
        <v>200</v>
      </c>
      <c r="J745" s="14"/>
      <c r="K745" s="10"/>
      <c r="L745" s="14" t="s">
        <v>330</v>
      </c>
      <c r="M745" s="36" t="str">
        <f t="shared" si="11"/>
        <v>19630301</v>
      </c>
    </row>
    <row r="746" s="1" customFormat="1" spans="1:13">
      <c r="A746" s="2">
        <v>1454</v>
      </c>
      <c r="B746" s="5" t="s">
        <v>3381</v>
      </c>
      <c r="C746" s="9" t="s">
        <v>3477</v>
      </c>
      <c r="D746" s="9" t="s">
        <v>3478</v>
      </c>
      <c r="E746" s="5">
        <v>2020</v>
      </c>
      <c r="F746" s="5">
        <v>2020</v>
      </c>
      <c r="G746" s="14" t="s">
        <v>16</v>
      </c>
      <c r="H746" s="6">
        <v>500</v>
      </c>
      <c r="I746" s="6">
        <v>500</v>
      </c>
      <c r="J746" s="5"/>
      <c r="K746" s="13"/>
      <c r="L746" s="10">
        <v>20201118</v>
      </c>
      <c r="M746" s="36" t="str">
        <f t="shared" si="11"/>
        <v>19630301</v>
      </c>
    </row>
    <row r="747" s="1" customFormat="1" spans="1:13">
      <c r="A747" s="2">
        <v>4580</v>
      </c>
      <c r="B747" s="6" t="s">
        <v>9015</v>
      </c>
      <c r="C747" s="6" t="s">
        <v>9337</v>
      </c>
      <c r="D747" s="6" t="s">
        <v>9338</v>
      </c>
      <c r="E747" s="6">
        <v>2020</v>
      </c>
      <c r="F747" s="6">
        <v>2020</v>
      </c>
      <c r="G747" s="6" t="s">
        <v>16</v>
      </c>
      <c r="H747" s="6">
        <v>200</v>
      </c>
      <c r="I747" s="6">
        <v>200</v>
      </c>
      <c r="J747" s="6"/>
      <c r="K747" s="6"/>
      <c r="L747" s="10">
        <v>20201118</v>
      </c>
      <c r="M747" s="36" t="str">
        <f t="shared" si="11"/>
        <v>19630301</v>
      </c>
    </row>
    <row r="748" s="1" customFormat="1" ht="14.25" spans="1:13">
      <c r="A748" s="2">
        <v>3035</v>
      </c>
      <c r="B748" s="6" t="s">
        <v>6075</v>
      </c>
      <c r="C748" s="25" t="s">
        <v>6593</v>
      </c>
      <c r="D748" s="26" t="s">
        <v>6594</v>
      </c>
      <c r="E748" s="5" t="s">
        <v>15</v>
      </c>
      <c r="F748" s="5">
        <v>2020</v>
      </c>
      <c r="G748" s="6" t="s">
        <v>16</v>
      </c>
      <c r="H748" s="6">
        <v>200</v>
      </c>
      <c r="I748" s="6">
        <v>200</v>
      </c>
      <c r="J748" s="6"/>
      <c r="K748" s="10"/>
      <c r="L748" s="10">
        <v>20201118</v>
      </c>
      <c r="M748" s="36" t="str">
        <f t="shared" si="11"/>
        <v>19630302</v>
      </c>
    </row>
    <row r="749" s="1" customFormat="1" spans="1:13">
      <c r="A749" s="2">
        <v>4173</v>
      </c>
      <c r="B749" s="9" t="s">
        <v>8515</v>
      </c>
      <c r="C749" s="9" t="s">
        <v>8552</v>
      </c>
      <c r="D749" s="9" t="s">
        <v>8553</v>
      </c>
      <c r="E749" s="5" t="s">
        <v>15</v>
      </c>
      <c r="F749" s="5">
        <v>2020</v>
      </c>
      <c r="G749" s="9" t="s">
        <v>2480</v>
      </c>
      <c r="H749" s="9">
        <v>200</v>
      </c>
      <c r="I749" s="9">
        <v>200</v>
      </c>
      <c r="J749" s="9"/>
      <c r="K749" s="9"/>
      <c r="L749" s="10">
        <v>20201118</v>
      </c>
      <c r="M749" s="36" t="str">
        <f t="shared" si="11"/>
        <v>19630302</v>
      </c>
    </row>
    <row r="750" s="1" customFormat="1" spans="1:13">
      <c r="A750" s="2">
        <v>249</v>
      </c>
      <c r="B750" s="14" t="s">
        <v>327</v>
      </c>
      <c r="C750" s="14" t="s">
        <v>633</v>
      </c>
      <c r="D750" s="14" t="s">
        <v>634</v>
      </c>
      <c r="E750" s="5">
        <v>2020</v>
      </c>
      <c r="F750" s="5">
        <v>2020</v>
      </c>
      <c r="G750" s="14" t="s">
        <v>16</v>
      </c>
      <c r="H750" s="14">
        <v>200</v>
      </c>
      <c r="I750" s="14">
        <v>200</v>
      </c>
      <c r="J750" s="17"/>
      <c r="K750" s="10"/>
      <c r="L750" s="2" t="s">
        <v>330</v>
      </c>
      <c r="M750" s="36" t="str">
        <f t="shared" si="11"/>
        <v>19630303</v>
      </c>
    </row>
    <row r="751" s="1" customFormat="1" spans="1:13">
      <c r="A751" s="2">
        <v>3628</v>
      </c>
      <c r="B751" s="5" t="s">
        <v>7412</v>
      </c>
      <c r="C751" s="5" t="s">
        <v>7521</v>
      </c>
      <c r="D751" s="5" t="s">
        <v>7522</v>
      </c>
      <c r="E751" s="6">
        <v>2020</v>
      </c>
      <c r="F751" s="6">
        <v>2020</v>
      </c>
      <c r="G751" s="5" t="s">
        <v>3359</v>
      </c>
      <c r="H751" s="5">
        <v>200</v>
      </c>
      <c r="I751" s="5">
        <v>200</v>
      </c>
      <c r="J751" s="5"/>
      <c r="K751" s="5"/>
      <c r="L751" s="10">
        <v>20201118</v>
      </c>
      <c r="M751" s="36" t="str">
        <f t="shared" si="11"/>
        <v>19630303</v>
      </c>
    </row>
    <row r="752" s="1" customFormat="1" spans="1:13">
      <c r="A752" s="2">
        <v>3629</v>
      </c>
      <c r="B752" s="5" t="s">
        <v>7412</v>
      </c>
      <c r="C752" s="5" t="s">
        <v>7523</v>
      </c>
      <c r="D752" s="5" t="s">
        <v>7524</v>
      </c>
      <c r="E752" s="6">
        <v>2020</v>
      </c>
      <c r="F752" s="6">
        <v>2020</v>
      </c>
      <c r="G752" s="5" t="s">
        <v>3359</v>
      </c>
      <c r="H752" s="5">
        <v>200</v>
      </c>
      <c r="I752" s="5">
        <v>200</v>
      </c>
      <c r="J752" s="5"/>
      <c r="K752" s="5"/>
      <c r="L752" s="10">
        <v>20201118</v>
      </c>
      <c r="M752" s="36" t="str">
        <f t="shared" si="11"/>
        <v>19630303</v>
      </c>
    </row>
    <row r="753" s="1" customFormat="1" spans="1:13">
      <c r="A753" s="2">
        <v>6172</v>
      </c>
      <c r="B753" s="5" t="s">
        <v>12263</v>
      </c>
      <c r="C753" s="5" t="s">
        <v>12375</v>
      </c>
      <c r="D753" s="5" t="s">
        <v>12376</v>
      </c>
      <c r="E753" s="5" t="s">
        <v>10250</v>
      </c>
      <c r="F753" s="5">
        <v>2020</v>
      </c>
      <c r="G753" s="17" t="s">
        <v>3359</v>
      </c>
      <c r="H753" s="5">
        <v>200</v>
      </c>
      <c r="I753" s="5">
        <v>200</v>
      </c>
      <c r="J753" s="5"/>
      <c r="K753" s="5"/>
      <c r="L753" s="10">
        <v>20201118</v>
      </c>
      <c r="M753" s="36" t="str">
        <f t="shared" si="11"/>
        <v>19630303</v>
      </c>
    </row>
    <row r="754" s="1" customFormat="1" spans="1:13">
      <c r="A754" s="2">
        <v>373</v>
      </c>
      <c r="B754" s="14" t="s">
        <v>327</v>
      </c>
      <c r="C754" s="17" t="s">
        <v>1005</v>
      </c>
      <c r="D754" s="17" t="s">
        <v>1006</v>
      </c>
      <c r="E754" s="5">
        <v>2011</v>
      </c>
      <c r="F754" s="5">
        <v>2020</v>
      </c>
      <c r="G754" s="17" t="s">
        <v>1007</v>
      </c>
      <c r="H754" s="17">
        <v>200</v>
      </c>
      <c r="I754" s="17">
        <v>2000</v>
      </c>
      <c r="J754" s="17"/>
      <c r="K754" s="10"/>
      <c r="L754" s="2" t="s">
        <v>330</v>
      </c>
      <c r="M754" s="36" t="str">
        <f t="shared" si="11"/>
        <v>19630304</v>
      </c>
    </row>
    <row r="755" s="1" customFormat="1" spans="1:13">
      <c r="A755" s="2">
        <v>4174</v>
      </c>
      <c r="B755" s="9" t="s">
        <v>8515</v>
      </c>
      <c r="C755" s="9" t="s">
        <v>8554</v>
      </c>
      <c r="D755" s="9" t="s">
        <v>8555</v>
      </c>
      <c r="E755" s="5" t="s">
        <v>15</v>
      </c>
      <c r="F755" s="5">
        <v>2020</v>
      </c>
      <c r="G755" s="9" t="s">
        <v>2480</v>
      </c>
      <c r="H755" s="9">
        <v>200</v>
      </c>
      <c r="I755" s="9">
        <v>200</v>
      </c>
      <c r="J755" s="9"/>
      <c r="K755" s="9"/>
      <c r="L755" s="10">
        <v>20201118</v>
      </c>
      <c r="M755" s="36" t="str">
        <f t="shared" si="11"/>
        <v>19630305</v>
      </c>
    </row>
    <row r="756" s="1" customFormat="1" spans="1:13">
      <c r="A756" s="2">
        <v>6537</v>
      </c>
      <c r="B756" s="5" t="s">
        <v>13027</v>
      </c>
      <c r="C756" s="15" t="s">
        <v>13071</v>
      </c>
      <c r="D756" s="15" t="s">
        <v>13072</v>
      </c>
      <c r="E756" s="5">
        <v>2020</v>
      </c>
      <c r="F756" s="5">
        <v>2020</v>
      </c>
      <c r="G756" s="14" t="s">
        <v>16</v>
      </c>
      <c r="H756" s="15">
        <v>200</v>
      </c>
      <c r="I756" s="15">
        <v>200</v>
      </c>
      <c r="J756" s="5"/>
      <c r="K756" s="10"/>
      <c r="L756" s="10">
        <v>20201118</v>
      </c>
      <c r="M756" s="36" t="str">
        <f t="shared" si="11"/>
        <v>19630305</v>
      </c>
    </row>
    <row r="757" s="1" customFormat="1" spans="1:13">
      <c r="A757" s="2">
        <v>965</v>
      </c>
      <c r="B757" s="5" t="s">
        <v>2469</v>
      </c>
      <c r="C757" s="9" t="s">
        <v>2522</v>
      </c>
      <c r="D757" s="9" t="s">
        <v>2523</v>
      </c>
      <c r="E757" s="5">
        <v>2020</v>
      </c>
      <c r="F757" s="5">
        <v>2020</v>
      </c>
      <c r="G757" s="9" t="s">
        <v>2480</v>
      </c>
      <c r="H757" s="9">
        <v>200</v>
      </c>
      <c r="I757" s="9">
        <v>200</v>
      </c>
      <c r="J757" s="5"/>
      <c r="K757" s="5"/>
      <c r="L757" s="10">
        <v>20201118</v>
      </c>
      <c r="M757" s="36" t="str">
        <f t="shared" si="11"/>
        <v>19630306</v>
      </c>
    </row>
    <row r="758" s="1" customFormat="1" spans="1:13">
      <c r="A758" s="2">
        <v>2528</v>
      </c>
      <c r="B758" s="5" t="s">
        <v>5328</v>
      </c>
      <c r="C758" s="66" t="s">
        <v>5590</v>
      </c>
      <c r="D758" s="66" t="s">
        <v>5591</v>
      </c>
      <c r="E758" s="5" t="s">
        <v>310</v>
      </c>
      <c r="F758" s="5" t="s">
        <v>15</v>
      </c>
      <c r="G758" s="14" t="s">
        <v>289</v>
      </c>
      <c r="H758" s="6">
        <v>200</v>
      </c>
      <c r="I758" s="6">
        <v>2000</v>
      </c>
      <c r="J758" s="5"/>
      <c r="K758" s="13"/>
      <c r="L758" s="10">
        <v>20201118</v>
      </c>
      <c r="M758" s="36" t="str">
        <f t="shared" si="11"/>
        <v>19630306</v>
      </c>
    </row>
    <row r="759" s="1" customFormat="1" ht="14.25" spans="1:13">
      <c r="A759" s="2">
        <v>2907</v>
      </c>
      <c r="B759" s="6" t="s">
        <v>6075</v>
      </c>
      <c r="C759" s="25" t="s">
        <v>6341</v>
      </c>
      <c r="D759" s="26" t="s">
        <v>6342</v>
      </c>
      <c r="E759" s="5" t="s">
        <v>15</v>
      </c>
      <c r="F759" s="5">
        <v>2020</v>
      </c>
      <c r="G759" s="6" t="s">
        <v>16</v>
      </c>
      <c r="H759" s="6">
        <v>200</v>
      </c>
      <c r="I759" s="6">
        <v>200</v>
      </c>
      <c r="J759" s="6"/>
      <c r="K759" s="10"/>
      <c r="L759" s="10">
        <v>20201118</v>
      </c>
      <c r="M759" s="36" t="str">
        <f t="shared" si="11"/>
        <v>19630306</v>
      </c>
    </row>
    <row r="760" s="1" customFormat="1" spans="1:13">
      <c r="A760" s="2">
        <v>3630</v>
      </c>
      <c r="B760" s="5" t="s">
        <v>7412</v>
      </c>
      <c r="C760" s="5" t="s">
        <v>7525</v>
      </c>
      <c r="D760" s="5" t="s">
        <v>7526</v>
      </c>
      <c r="E760" s="6">
        <v>2020</v>
      </c>
      <c r="F760" s="6">
        <v>2020</v>
      </c>
      <c r="G760" s="5" t="s">
        <v>3359</v>
      </c>
      <c r="H760" s="5">
        <v>200</v>
      </c>
      <c r="I760" s="5">
        <v>200</v>
      </c>
      <c r="J760" s="5"/>
      <c r="K760" s="5"/>
      <c r="L760" s="10">
        <v>20201118</v>
      </c>
      <c r="M760" s="36" t="str">
        <f t="shared" si="11"/>
        <v>19630306</v>
      </c>
    </row>
    <row r="761" s="1" customFormat="1" spans="1:13">
      <c r="A761" s="2">
        <v>3151</v>
      </c>
      <c r="B761" s="3" t="s">
        <v>6671</v>
      </c>
      <c r="C761" s="9" t="s">
        <v>2200</v>
      </c>
      <c r="D761" s="9" t="s">
        <v>6820</v>
      </c>
      <c r="E761" s="3" t="s">
        <v>15</v>
      </c>
      <c r="F761" s="3" t="s">
        <v>15</v>
      </c>
      <c r="G761" s="6" t="s">
        <v>3359</v>
      </c>
      <c r="H761" s="9">
        <v>200</v>
      </c>
      <c r="I761" s="9">
        <v>200</v>
      </c>
      <c r="J761" s="6"/>
      <c r="K761" s="5"/>
      <c r="L761" s="10">
        <v>20201118</v>
      </c>
      <c r="M761" s="36" t="str">
        <f t="shared" si="11"/>
        <v>19630308</v>
      </c>
    </row>
    <row r="762" s="1" customFormat="1" spans="1:13">
      <c r="A762" s="2">
        <v>3631</v>
      </c>
      <c r="B762" s="5" t="s">
        <v>7412</v>
      </c>
      <c r="C762" s="5" t="s">
        <v>7527</v>
      </c>
      <c r="D762" s="5" t="s">
        <v>7528</v>
      </c>
      <c r="E762" s="6">
        <v>2020</v>
      </c>
      <c r="F762" s="6">
        <v>2020</v>
      </c>
      <c r="G762" s="5" t="s">
        <v>3359</v>
      </c>
      <c r="H762" s="5">
        <v>200</v>
      </c>
      <c r="I762" s="5">
        <v>200</v>
      </c>
      <c r="J762" s="5"/>
      <c r="K762" s="5"/>
      <c r="L762" s="10">
        <v>20201118</v>
      </c>
      <c r="M762" s="36" t="str">
        <f t="shared" si="11"/>
        <v>19630308</v>
      </c>
    </row>
    <row r="763" s="1" customFormat="1" spans="1:13">
      <c r="A763" s="2">
        <v>1455</v>
      </c>
      <c r="B763" s="5" t="s">
        <v>3381</v>
      </c>
      <c r="C763" s="9" t="s">
        <v>3479</v>
      </c>
      <c r="D763" s="9" t="s">
        <v>3480</v>
      </c>
      <c r="E763" s="5">
        <v>2020</v>
      </c>
      <c r="F763" s="5">
        <v>2020</v>
      </c>
      <c r="G763" s="14" t="s">
        <v>16</v>
      </c>
      <c r="H763" s="6">
        <v>200</v>
      </c>
      <c r="I763" s="6">
        <v>200</v>
      </c>
      <c r="J763" s="5"/>
      <c r="K763" s="13"/>
      <c r="L763" s="10">
        <v>20201118</v>
      </c>
      <c r="M763" s="36" t="str">
        <f t="shared" si="11"/>
        <v>19630309</v>
      </c>
    </row>
    <row r="764" s="1" customFormat="1" spans="1:13">
      <c r="A764" s="2">
        <v>3488</v>
      </c>
      <c r="B764" s="5" t="s">
        <v>3375</v>
      </c>
      <c r="C764" s="6" t="s">
        <v>7270</v>
      </c>
      <c r="D764" s="6" t="str">
        <f>"152326196303096890"</f>
        <v>152326196303096890</v>
      </c>
      <c r="E764" s="5" t="s">
        <v>15</v>
      </c>
      <c r="F764" s="5">
        <v>2020</v>
      </c>
      <c r="G764" s="14" t="s">
        <v>16</v>
      </c>
      <c r="H764" s="17">
        <v>200</v>
      </c>
      <c r="I764" s="17">
        <v>200</v>
      </c>
      <c r="J764" s="6"/>
      <c r="K764" s="10"/>
      <c r="L764" s="10">
        <v>20201118</v>
      </c>
      <c r="M764" s="36" t="str">
        <f t="shared" si="11"/>
        <v>19630309</v>
      </c>
    </row>
    <row r="765" s="1" customFormat="1" spans="1:13">
      <c r="A765" s="2">
        <v>2171</v>
      </c>
      <c r="B765" s="9" t="s">
        <v>4837</v>
      </c>
      <c r="C765" s="9" t="s">
        <v>4890</v>
      </c>
      <c r="D765" s="9" t="s">
        <v>4891</v>
      </c>
      <c r="E765" s="6" t="s">
        <v>15</v>
      </c>
      <c r="F765" s="6">
        <v>2020</v>
      </c>
      <c r="G765" s="9" t="s">
        <v>2480</v>
      </c>
      <c r="H765" s="9">
        <v>200</v>
      </c>
      <c r="I765" s="9">
        <v>200</v>
      </c>
      <c r="J765" s="6"/>
      <c r="K765" s="10"/>
      <c r="L765" s="10">
        <v>20201118</v>
      </c>
      <c r="M765" s="36" t="str">
        <f t="shared" si="11"/>
        <v>19630310</v>
      </c>
    </row>
    <row r="766" s="1" customFormat="1" spans="1:13">
      <c r="A766" s="2">
        <v>2554</v>
      </c>
      <c r="B766" s="32" t="s">
        <v>5602</v>
      </c>
      <c r="C766" s="9" t="s">
        <v>5646</v>
      </c>
      <c r="D766" s="9" t="s">
        <v>5647</v>
      </c>
      <c r="E766" s="32">
        <v>2020</v>
      </c>
      <c r="F766" s="32">
        <v>2020</v>
      </c>
      <c r="G766" s="32" t="s">
        <v>16</v>
      </c>
      <c r="H766" s="9">
        <v>200</v>
      </c>
      <c r="I766" s="9">
        <v>200</v>
      </c>
      <c r="J766" s="32"/>
      <c r="K766" s="52"/>
      <c r="L766" s="10">
        <v>20201118</v>
      </c>
      <c r="M766" s="36" t="str">
        <f t="shared" si="11"/>
        <v>19630311</v>
      </c>
    </row>
    <row r="767" s="1" customFormat="1" spans="1:13">
      <c r="A767" s="2">
        <v>2172</v>
      </c>
      <c r="B767" s="9" t="s">
        <v>4837</v>
      </c>
      <c r="C767" s="9" t="s">
        <v>4892</v>
      </c>
      <c r="D767" s="9" t="s">
        <v>4893</v>
      </c>
      <c r="E767" s="6" t="s">
        <v>15</v>
      </c>
      <c r="F767" s="6">
        <v>2020</v>
      </c>
      <c r="G767" s="9" t="s">
        <v>2480</v>
      </c>
      <c r="H767" s="9">
        <v>200</v>
      </c>
      <c r="I767" s="9">
        <v>200</v>
      </c>
      <c r="J767" s="6"/>
      <c r="K767" s="10"/>
      <c r="L767" s="10">
        <v>20201118</v>
      </c>
      <c r="M767" s="36" t="str">
        <f t="shared" si="11"/>
        <v>19630312</v>
      </c>
    </row>
    <row r="768" s="1" customFormat="1" spans="1:13">
      <c r="A768" s="2">
        <v>4175</v>
      </c>
      <c r="B768" s="9" t="s">
        <v>8515</v>
      </c>
      <c r="C768" s="9" t="s">
        <v>8556</v>
      </c>
      <c r="D768" s="9" t="s">
        <v>8557</v>
      </c>
      <c r="E768" s="5" t="s">
        <v>15</v>
      </c>
      <c r="F768" s="5">
        <v>2020</v>
      </c>
      <c r="G768" s="9" t="s">
        <v>2480</v>
      </c>
      <c r="H768" s="9">
        <v>200</v>
      </c>
      <c r="I768" s="9">
        <v>200</v>
      </c>
      <c r="J768" s="9"/>
      <c r="K768" s="9"/>
      <c r="L768" s="10">
        <v>20201118</v>
      </c>
      <c r="M768" s="36" t="str">
        <f t="shared" si="11"/>
        <v>19630312</v>
      </c>
    </row>
    <row r="769" s="1" customFormat="1" spans="1:13">
      <c r="A769" s="2">
        <v>4972</v>
      </c>
      <c r="B769" s="6" t="s">
        <v>9954</v>
      </c>
      <c r="C769" s="60" t="s">
        <v>10083</v>
      </c>
      <c r="D769" s="60" t="s">
        <v>10084</v>
      </c>
      <c r="E769" s="5" t="s">
        <v>15</v>
      </c>
      <c r="F769" s="5" t="s">
        <v>15</v>
      </c>
      <c r="G769" s="14" t="s">
        <v>16</v>
      </c>
      <c r="H769" s="6">
        <v>200</v>
      </c>
      <c r="I769" s="6">
        <v>200</v>
      </c>
      <c r="J769" s="6"/>
      <c r="K769" s="6"/>
      <c r="L769" s="10">
        <v>20201118</v>
      </c>
      <c r="M769" s="36" t="str">
        <f t="shared" si="11"/>
        <v>19630312</v>
      </c>
    </row>
    <row r="770" s="1" customFormat="1" spans="1:13">
      <c r="A770" s="2">
        <v>4562</v>
      </c>
      <c r="B770" s="6" t="s">
        <v>9015</v>
      </c>
      <c r="C770" s="6" t="s">
        <v>5359</v>
      </c>
      <c r="D770" s="6" t="s">
        <v>9303</v>
      </c>
      <c r="E770" s="6">
        <v>2020</v>
      </c>
      <c r="F770" s="6">
        <v>2020</v>
      </c>
      <c r="G770" s="6" t="s">
        <v>16</v>
      </c>
      <c r="H770" s="6">
        <v>200</v>
      </c>
      <c r="I770" s="6">
        <v>200</v>
      </c>
      <c r="J770" s="6"/>
      <c r="K770" s="6"/>
      <c r="L770" s="10">
        <v>20201118</v>
      </c>
      <c r="M770" s="36" t="str">
        <f t="shared" ref="M770:M833" si="12">MID(D770,7,8)</f>
        <v>19630314</v>
      </c>
    </row>
    <row r="771" s="1" customFormat="1" ht="14.25" spans="1:13">
      <c r="A771" s="2">
        <v>5241</v>
      </c>
      <c r="B771" s="33" t="s">
        <v>10535</v>
      </c>
      <c r="C771" s="34" t="s">
        <v>10600</v>
      </c>
      <c r="D771" s="34" t="s">
        <v>10601</v>
      </c>
      <c r="E771" s="35">
        <v>2020</v>
      </c>
      <c r="F771" s="35">
        <v>2020</v>
      </c>
      <c r="G771" s="35" t="s">
        <v>16</v>
      </c>
      <c r="H771" s="34">
        <v>200</v>
      </c>
      <c r="I771" s="34">
        <v>200</v>
      </c>
      <c r="J771" s="49"/>
      <c r="K771" s="10"/>
      <c r="L771" s="10">
        <v>20201118</v>
      </c>
      <c r="M771" s="36" t="str">
        <f t="shared" si="12"/>
        <v>19630314</v>
      </c>
    </row>
    <row r="772" s="1" customFormat="1" spans="1:13">
      <c r="A772" s="2">
        <v>6379</v>
      </c>
      <c r="B772" s="5" t="s">
        <v>12263</v>
      </c>
      <c r="C772" s="5" t="s">
        <v>12771</v>
      </c>
      <c r="D772" s="5" t="s">
        <v>12772</v>
      </c>
      <c r="E772" s="5" t="s">
        <v>10250</v>
      </c>
      <c r="F772" s="5">
        <v>2020</v>
      </c>
      <c r="G772" s="17" t="s">
        <v>3359</v>
      </c>
      <c r="H772" s="5" t="s">
        <v>311</v>
      </c>
      <c r="I772" s="5">
        <v>200</v>
      </c>
      <c r="J772" s="5"/>
      <c r="K772" s="5"/>
      <c r="L772" s="10">
        <v>20201118</v>
      </c>
      <c r="M772" s="36" t="str">
        <f t="shared" si="12"/>
        <v>19630314</v>
      </c>
    </row>
    <row r="773" s="1" customFormat="1" spans="1:13">
      <c r="A773" s="2">
        <v>7035</v>
      </c>
      <c r="B773" s="5" t="s">
        <v>13533</v>
      </c>
      <c r="C773" s="32" t="s">
        <v>13782</v>
      </c>
      <c r="D773" s="32" t="str">
        <f>"152326196303147168"</f>
        <v>152326196303147168</v>
      </c>
      <c r="E773" s="5">
        <v>2020</v>
      </c>
      <c r="F773" s="5">
        <v>2020</v>
      </c>
      <c r="G773" s="9" t="s">
        <v>2480</v>
      </c>
      <c r="H773" s="32">
        <v>200</v>
      </c>
      <c r="I773" s="32">
        <v>200</v>
      </c>
      <c r="J773" s="32"/>
      <c r="K773" s="10"/>
      <c r="L773" s="10">
        <v>20201118</v>
      </c>
      <c r="M773" s="36" t="str">
        <f t="shared" si="12"/>
        <v>19630314</v>
      </c>
    </row>
    <row r="774" s="1" customFormat="1" spans="1:13">
      <c r="A774" s="2">
        <v>162</v>
      </c>
      <c r="B774" s="14" t="s">
        <v>327</v>
      </c>
      <c r="C774" s="14" t="s">
        <v>374</v>
      </c>
      <c r="D774" s="14" t="s">
        <v>375</v>
      </c>
      <c r="E774" s="5">
        <v>2020</v>
      </c>
      <c r="F774" s="5">
        <v>2020</v>
      </c>
      <c r="G774" s="14" t="s">
        <v>16</v>
      </c>
      <c r="H774" s="14">
        <v>200</v>
      </c>
      <c r="I774" s="14">
        <v>200</v>
      </c>
      <c r="J774" s="14"/>
      <c r="K774" s="10"/>
      <c r="L774" s="14" t="s">
        <v>330</v>
      </c>
      <c r="M774" s="36" t="str">
        <f t="shared" si="12"/>
        <v>19630315</v>
      </c>
    </row>
    <row r="775" s="1" customFormat="1" spans="1:13">
      <c r="A775" s="2">
        <v>2173</v>
      </c>
      <c r="B775" s="9" t="s">
        <v>4837</v>
      </c>
      <c r="C775" s="9" t="s">
        <v>4894</v>
      </c>
      <c r="D775" s="9" t="s">
        <v>4895</v>
      </c>
      <c r="E775" s="6" t="s">
        <v>15</v>
      </c>
      <c r="F775" s="6">
        <v>2020</v>
      </c>
      <c r="G775" s="9" t="s">
        <v>2480</v>
      </c>
      <c r="H775" s="9">
        <v>200</v>
      </c>
      <c r="I775" s="9">
        <v>200</v>
      </c>
      <c r="J775" s="6"/>
      <c r="K775" s="10"/>
      <c r="L775" s="10">
        <v>20201118</v>
      </c>
      <c r="M775" s="36" t="str">
        <f t="shared" si="12"/>
        <v>19630315</v>
      </c>
    </row>
    <row r="776" s="1" customFormat="1" spans="1:13">
      <c r="A776" s="2">
        <v>2527</v>
      </c>
      <c r="B776" s="5" t="s">
        <v>5328</v>
      </c>
      <c r="C776" s="66" t="s">
        <v>5588</v>
      </c>
      <c r="D776" s="66" t="s">
        <v>5589</v>
      </c>
      <c r="E776" s="5" t="s">
        <v>310</v>
      </c>
      <c r="F776" s="5" t="s">
        <v>15</v>
      </c>
      <c r="G776" s="14" t="s">
        <v>289</v>
      </c>
      <c r="H776" s="6">
        <v>200</v>
      </c>
      <c r="I776" s="6">
        <v>2000</v>
      </c>
      <c r="J776" s="5"/>
      <c r="K776" s="13"/>
      <c r="L776" s="10">
        <v>20201118</v>
      </c>
      <c r="M776" s="36" t="str">
        <f t="shared" si="12"/>
        <v>19630316</v>
      </c>
    </row>
    <row r="777" s="1" customFormat="1" spans="1:13">
      <c r="A777" s="2">
        <v>2109</v>
      </c>
      <c r="B777" s="5" t="s">
        <v>4189</v>
      </c>
      <c r="C777" s="9" t="s">
        <v>4769</v>
      </c>
      <c r="D777" s="9" t="s">
        <v>4770</v>
      </c>
      <c r="E777" s="5" t="s">
        <v>15</v>
      </c>
      <c r="F777" s="5" t="s">
        <v>15</v>
      </c>
      <c r="G777" s="5" t="s">
        <v>3359</v>
      </c>
      <c r="H777" s="16">
        <v>200</v>
      </c>
      <c r="I777" s="16">
        <v>200</v>
      </c>
      <c r="J777" s="5"/>
      <c r="K777" s="10"/>
      <c r="L777" s="10">
        <v>20201118</v>
      </c>
      <c r="M777" s="36" t="str">
        <f t="shared" si="12"/>
        <v>19630318</v>
      </c>
    </row>
    <row r="778" s="1" customFormat="1" ht="14.25" spans="1:13">
      <c r="A778" s="2">
        <v>5242</v>
      </c>
      <c r="B778" s="33" t="s">
        <v>10535</v>
      </c>
      <c r="C778" s="34" t="s">
        <v>10602</v>
      </c>
      <c r="D778" s="34" t="s">
        <v>10603</v>
      </c>
      <c r="E778" s="35">
        <v>2020</v>
      </c>
      <c r="F778" s="35">
        <v>2020</v>
      </c>
      <c r="G778" s="35" t="s">
        <v>16</v>
      </c>
      <c r="H778" s="34">
        <v>200</v>
      </c>
      <c r="I778" s="34">
        <v>200</v>
      </c>
      <c r="J778" s="49"/>
      <c r="K778" s="10"/>
      <c r="L778" s="10">
        <v>20201118</v>
      </c>
      <c r="M778" s="36" t="str">
        <f t="shared" si="12"/>
        <v>19630318</v>
      </c>
    </row>
    <row r="779" s="1" customFormat="1" spans="1:13">
      <c r="A779" s="2">
        <v>4176</v>
      </c>
      <c r="B779" s="9" t="s">
        <v>8515</v>
      </c>
      <c r="C779" s="9" t="s">
        <v>8558</v>
      </c>
      <c r="D779" s="9" t="s">
        <v>8559</v>
      </c>
      <c r="E779" s="5" t="s">
        <v>15</v>
      </c>
      <c r="F779" s="5">
        <v>2020</v>
      </c>
      <c r="G779" s="9" t="s">
        <v>2480</v>
      </c>
      <c r="H779" s="9">
        <v>200</v>
      </c>
      <c r="I779" s="9">
        <v>200</v>
      </c>
      <c r="J779" s="9"/>
      <c r="K779" s="9"/>
      <c r="L779" s="10">
        <v>20201118</v>
      </c>
      <c r="M779" s="36" t="str">
        <f t="shared" si="12"/>
        <v>19630319</v>
      </c>
    </row>
    <row r="780" s="1" customFormat="1" spans="1:13">
      <c r="A780" s="2">
        <v>587</v>
      </c>
      <c r="B780" s="29" t="s">
        <v>1040</v>
      </c>
      <c r="C780" s="29" t="s">
        <v>1450</v>
      </c>
      <c r="D780" s="29" t="s">
        <v>1451</v>
      </c>
      <c r="E780" s="30">
        <v>2020</v>
      </c>
      <c r="F780" s="30">
        <v>2020</v>
      </c>
      <c r="G780" s="29" t="s">
        <v>16</v>
      </c>
      <c r="H780" s="29">
        <v>200</v>
      </c>
      <c r="I780" s="29">
        <v>200</v>
      </c>
      <c r="J780" s="29"/>
      <c r="K780" s="47"/>
      <c r="L780" s="14" t="s">
        <v>330</v>
      </c>
      <c r="M780" s="36" t="str">
        <f t="shared" si="12"/>
        <v>19630320</v>
      </c>
    </row>
    <row r="781" s="1" customFormat="1" spans="1:13">
      <c r="A781" s="2">
        <v>3487</v>
      </c>
      <c r="B781" s="5" t="s">
        <v>3375</v>
      </c>
      <c r="C781" s="6" t="s">
        <v>3808</v>
      </c>
      <c r="D781" s="6" t="str">
        <f>"152326196303206906"</f>
        <v>152326196303206906</v>
      </c>
      <c r="E781" s="5" t="s">
        <v>15</v>
      </c>
      <c r="F781" s="5">
        <v>2020</v>
      </c>
      <c r="G781" s="14" t="s">
        <v>16</v>
      </c>
      <c r="H781" s="17">
        <v>200</v>
      </c>
      <c r="I781" s="17">
        <v>200</v>
      </c>
      <c r="J781" s="6"/>
      <c r="K781" s="10"/>
      <c r="L781" s="10">
        <v>20201118</v>
      </c>
      <c r="M781" s="36" t="str">
        <f t="shared" si="12"/>
        <v>19630320</v>
      </c>
    </row>
    <row r="782" s="1" customFormat="1" spans="1:13">
      <c r="A782" s="2">
        <v>3632</v>
      </c>
      <c r="B782" s="5" t="s">
        <v>7412</v>
      </c>
      <c r="C782" s="5" t="s">
        <v>7529</v>
      </c>
      <c r="D782" s="5" t="s">
        <v>7530</v>
      </c>
      <c r="E782" s="6">
        <v>2020</v>
      </c>
      <c r="F782" s="6">
        <v>2020</v>
      </c>
      <c r="G782" s="5" t="s">
        <v>3359</v>
      </c>
      <c r="H782" s="5">
        <v>200</v>
      </c>
      <c r="I782" s="5">
        <v>200</v>
      </c>
      <c r="J782" s="5"/>
      <c r="K782" s="5"/>
      <c r="L782" s="10">
        <v>20201118</v>
      </c>
      <c r="M782" s="36" t="str">
        <f t="shared" si="12"/>
        <v>19630320</v>
      </c>
    </row>
    <row r="783" s="1" customFormat="1" spans="1:13">
      <c r="A783" s="2">
        <v>4937</v>
      </c>
      <c r="B783" s="6" t="s">
        <v>9954</v>
      </c>
      <c r="C783" s="60" t="s">
        <v>10015</v>
      </c>
      <c r="D783" s="67" t="s">
        <v>10016</v>
      </c>
      <c r="E783" s="5" t="s">
        <v>15</v>
      </c>
      <c r="F783" s="5" t="s">
        <v>15</v>
      </c>
      <c r="G783" s="14" t="s">
        <v>16</v>
      </c>
      <c r="H783" s="6">
        <v>200</v>
      </c>
      <c r="I783" s="6">
        <v>200</v>
      </c>
      <c r="J783" s="6"/>
      <c r="K783" s="6"/>
      <c r="L783" s="10">
        <v>20201118</v>
      </c>
      <c r="M783" s="36" t="str">
        <f t="shared" si="12"/>
        <v>19630320</v>
      </c>
    </row>
    <row r="784" s="1" customFormat="1" spans="1:13">
      <c r="A784" s="2">
        <v>4929</v>
      </c>
      <c r="B784" s="6" t="s">
        <v>9954</v>
      </c>
      <c r="C784" s="60" t="s">
        <v>9999</v>
      </c>
      <c r="D784" s="60" t="s">
        <v>10000</v>
      </c>
      <c r="E784" s="5" t="s">
        <v>15</v>
      </c>
      <c r="F784" s="5" t="s">
        <v>15</v>
      </c>
      <c r="G784" s="14" t="s">
        <v>16</v>
      </c>
      <c r="H784" s="6">
        <v>200</v>
      </c>
      <c r="I784" s="6">
        <v>200</v>
      </c>
      <c r="J784" s="6"/>
      <c r="K784" s="6"/>
      <c r="L784" s="10">
        <v>20201118</v>
      </c>
      <c r="M784" s="36" t="str">
        <f t="shared" si="12"/>
        <v>19630323</v>
      </c>
    </row>
    <row r="785" s="1" customFormat="1" spans="1:13">
      <c r="A785" s="2">
        <v>3174</v>
      </c>
      <c r="B785" s="3" t="s">
        <v>6671</v>
      </c>
      <c r="C785" s="9" t="s">
        <v>6861</v>
      </c>
      <c r="D785" s="9" t="s">
        <v>6862</v>
      </c>
      <c r="E785" s="3" t="s">
        <v>15</v>
      </c>
      <c r="F785" s="3" t="s">
        <v>15</v>
      </c>
      <c r="G785" s="6" t="s">
        <v>3359</v>
      </c>
      <c r="H785" s="9">
        <v>200</v>
      </c>
      <c r="I785" s="9">
        <v>200</v>
      </c>
      <c r="J785" s="6"/>
      <c r="K785" s="5"/>
      <c r="L785" s="10">
        <v>20201118</v>
      </c>
      <c r="M785" s="36" t="str">
        <f t="shared" si="12"/>
        <v>19630325</v>
      </c>
    </row>
    <row r="786" s="1" customFormat="1" spans="1:13">
      <c r="A786" s="2">
        <v>2086</v>
      </c>
      <c r="B786" s="5" t="s">
        <v>4189</v>
      </c>
      <c r="C786" s="16" t="s">
        <v>4723</v>
      </c>
      <c r="D786" s="16" t="s">
        <v>4724</v>
      </c>
      <c r="E786" s="5" t="s">
        <v>15</v>
      </c>
      <c r="F786" s="5" t="s">
        <v>15</v>
      </c>
      <c r="G786" s="5" t="s">
        <v>3359</v>
      </c>
      <c r="H786" s="16">
        <v>200</v>
      </c>
      <c r="I786" s="16">
        <v>200</v>
      </c>
      <c r="J786" s="5"/>
      <c r="K786" s="10"/>
      <c r="L786" s="10">
        <v>20201118</v>
      </c>
      <c r="M786" s="36" t="str">
        <f t="shared" si="12"/>
        <v>19630326</v>
      </c>
    </row>
    <row r="787" s="1" customFormat="1" spans="1:13">
      <c r="A787" s="2">
        <v>3633</v>
      </c>
      <c r="B787" s="5" t="s">
        <v>7412</v>
      </c>
      <c r="C787" s="5" t="s">
        <v>7531</v>
      </c>
      <c r="D787" s="5" t="s">
        <v>7532</v>
      </c>
      <c r="E787" s="6">
        <v>2020</v>
      </c>
      <c r="F787" s="6">
        <v>2020</v>
      </c>
      <c r="G787" s="5" t="s">
        <v>3359</v>
      </c>
      <c r="H787" s="5">
        <v>200</v>
      </c>
      <c r="I787" s="5">
        <v>200</v>
      </c>
      <c r="J787" s="5"/>
      <c r="K787" s="5"/>
      <c r="L787" s="10">
        <v>20201118</v>
      </c>
      <c r="M787" s="36" t="str">
        <f t="shared" si="12"/>
        <v>19630326</v>
      </c>
    </row>
    <row r="788" s="1" customFormat="1" spans="1:13">
      <c r="A788" s="2">
        <v>2174</v>
      </c>
      <c r="B788" s="9" t="s">
        <v>4837</v>
      </c>
      <c r="C788" s="9" t="s">
        <v>4896</v>
      </c>
      <c r="D788" s="9" t="s">
        <v>4897</v>
      </c>
      <c r="E788" s="6" t="s">
        <v>15</v>
      </c>
      <c r="F788" s="6">
        <v>2020</v>
      </c>
      <c r="G788" s="9" t="s">
        <v>2480</v>
      </c>
      <c r="H788" s="9">
        <v>200</v>
      </c>
      <c r="I788" s="9">
        <v>200</v>
      </c>
      <c r="J788" s="6" t="s">
        <v>108</v>
      </c>
      <c r="K788" s="10"/>
      <c r="L788" s="10">
        <v>20201118</v>
      </c>
      <c r="M788" s="36" t="str">
        <f t="shared" si="12"/>
        <v>19630328</v>
      </c>
    </row>
    <row r="789" s="1" customFormat="1" spans="1:13">
      <c r="A789" s="2">
        <v>3634</v>
      </c>
      <c r="B789" s="5" t="s">
        <v>7412</v>
      </c>
      <c r="C789" s="5" t="s">
        <v>7533</v>
      </c>
      <c r="D789" s="5" t="s">
        <v>7534</v>
      </c>
      <c r="E789" s="6">
        <v>2020</v>
      </c>
      <c r="F789" s="6">
        <v>2020</v>
      </c>
      <c r="G789" s="5" t="s">
        <v>3359</v>
      </c>
      <c r="H789" s="5">
        <v>200</v>
      </c>
      <c r="I789" s="5">
        <v>200</v>
      </c>
      <c r="J789" s="5"/>
      <c r="K789" s="5"/>
      <c r="L789" s="10">
        <v>20201118</v>
      </c>
      <c r="M789" s="36" t="str">
        <f t="shared" si="12"/>
        <v>19630328</v>
      </c>
    </row>
    <row r="790" s="1" customFormat="1" spans="1:13">
      <c r="A790" s="2">
        <v>3635</v>
      </c>
      <c r="B790" s="5" t="s">
        <v>7412</v>
      </c>
      <c r="C790" s="5" t="s">
        <v>6112</v>
      </c>
      <c r="D790" s="5" t="s">
        <v>7535</v>
      </c>
      <c r="E790" s="6">
        <v>2020</v>
      </c>
      <c r="F790" s="6">
        <v>2020</v>
      </c>
      <c r="G790" s="5" t="s">
        <v>3359</v>
      </c>
      <c r="H790" s="5">
        <v>200</v>
      </c>
      <c r="I790" s="5">
        <v>200</v>
      </c>
      <c r="J790" s="5"/>
      <c r="K790" s="5"/>
      <c r="L790" s="10">
        <v>20201118</v>
      </c>
      <c r="M790" s="36" t="str">
        <f t="shared" si="12"/>
        <v>19630328</v>
      </c>
    </row>
    <row r="791" s="1" customFormat="1" spans="1:13">
      <c r="A791" s="2">
        <v>6173</v>
      </c>
      <c r="B791" s="5" t="s">
        <v>12263</v>
      </c>
      <c r="C791" s="5" t="s">
        <v>12377</v>
      </c>
      <c r="D791" s="5" t="s">
        <v>12378</v>
      </c>
      <c r="E791" s="5" t="s">
        <v>10250</v>
      </c>
      <c r="F791" s="5">
        <v>2020</v>
      </c>
      <c r="G791" s="17" t="s">
        <v>3359</v>
      </c>
      <c r="H791" s="5">
        <v>200</v>
      </c>
      <c r="I791" s="5">
        <v>200</v>
      </c>
      <c r="J791" s="5"/>
      <c r="K791" s="5"/>
      <c r="L791" s="10">
        <v>20201118</v>
      </c>
      <c r="M791" s="36" t="str">
        <f t="shared" si="12"/>
        <v>19630329</v>
      </c>
    </row>
    <row r="792" s="1" customFormat="1" ht="14.25" spans="1:13">
      <c r="A792" s="2">
        <v>7819</v>
      </c>
      <c r="B792" s="5" t="s">
        <v>14875</v>
      </c>
      <c r="C792" s="13" t="s">
        <v>15080</v>
      </c>
      <c r="D792" s="314" t="s">
        <v>15081</v>
      </c>
      <c r="E792" s="13">
        <v>2011</v>
      </c>
      <c r="F792" s="6" t="s">
        <v>15</v>
      </c>
      <c r="G792" s="24" t="s">
        <v>2460</v>
      </c>
      <c r="H792" s="13">
        <v>200</v>
      </c>
      <c r="I792" s="13">
        <v>2000</v>
      </c>
      <c r="J792" s="6"/>
      <c r="K792" s="6"/>
      <c r="L792" s="10">
        <v>20201224</v>
      </c>
      <c r="M792" s="36" t="str">
        <f t="shared" si="12"/>
        <v>19630329</v>
      </c>
    </row>
    <row r="793" s="1" customFormat="1" spans="1:13">
      <c r="A793" s="2">
        <v>3636</v>
      </c>
      <c r="B793" s="5" t="s">
        <v>7412</v>
      </c>
      <c r="C793" s="5" t="s">
        <v>7536</v>
      </c>
      <c r="D793" s="5" t="s">
        <v>7537</v>
      </c>
      <c r="E793" s="6">
        <v>2020</v>
      </c>
      <c r="F793" s="6">
        <v>2020</v>
      </c>
      <c r="G793" s="5" t="s">
        <v>3359</v>
      </c>
      <c r="H793" s="5">
        <v>200</v>
      </c>
      <c r="I793" s="5">
        <v>200</v>
      </c>
      <c r="J793" s="5"/>
      <c r="K793" s="5"/>
      <c r="L793" s="10">
        <v>20201118</v>
      </c>
      <c r="M793" s="36" t="str">
        <f t="shared" si="12"/>
        <v>19630330</v>
      </c>
    </row>
    <row r="794" s="1" customFormat="1" spans="1:13">
      <c r="A794" s="2">
        <v>8056</v>
      </c>
      <c r="B794" s="5" t="s">
        <v>15086</v>
      </c>
      <c r="C794" s="6" t="s">
        <v>15336</v>
      </c>
      <c r="D794" s="6" t="str">
        <f>"152326196304016872"</f>
        <v>152326196304016872</v>
      </c>
      <c r="E794" s="5" t="s">
        <v>15</v>
      </c>
      <c r="F794" s="5">
        <v>2020</v>
      </c>
      <c r="G794" s="5" t="s">
        <v>16</v>
      </c>
      <c r="H794" s="5">
        <v>200</v>
      </c>
      <c r="I794" s="5">
        <v>200</v>
      </c>
      <c r="J794" s="5"/>
      <c r="K794" s="5"/>
      <c r="L794" s="10">
        <v>20201118</v>
      </c>
      <c r="M794" s="36" t="str">
        <f t="shared" si="12"/>
        <v>19630401</v>
      </c>
    </row>
    <row r="795" s="1" customFormat="1" spans="1:13">
      <c r="A795" s="2">
        <v>3637</v>
      </c>
      <c r="B795" s="5" t="s">
        <v>7412</v>
      </c>
      <c r="C795" s="5" t="s">
        <v>7538</v>
      </c>
      <c r="D795" s="5" t="s">
        <v>7539</v>
      </c>
      <c r="E795" s="6">
        <v>2020</v>
      </c>
      <c r="F795" s="6">
        <v>2020</v>
      </c>
      <c r="G795" s="5" t="s">
        <v>3359</v>
      </c>
      <c r="H795" s="5">
        <v>1000</v>
      </c>
      <c r="I795" s="5">
        <v>1000</v>
      </c>
      <c r="J795" s="5"/>
      <c r="K795" s="5"/>
      <c r="L795" s="10">
        <v>20201118</v>
      </c>
      <c r="M795" s="36" t="str">
        <f t="shared" si="12"/>
        <v>19630402</v>
      </c>
    </row>
    <row r="796" s="1" customFormat="1" spans="1:13">
      <c r="A796" s="2">
        <v>966</v>
      </c>
      <c r="B796" s="5" t="s">
        <v>2469</v>
      </c>
      <c r="C796" s="9" t="s">
        <v>2524</v>
      </c>
      <c r="D796" s="9" t="s">
        <v>2525</v>
      </c>
      <c r="E796" s="5">
        <v>2020</v>
      </c>
      <c r="F796" s="5">
        <v>2020</v>
      </c>
      <c r="G796" s="9" t="s">
        <v>2480</v>
      </c>
      <c r="H796" s="9">
        <v>200</v>
      </c>
      <c r="I796" s="9">
        <v>200</v>
      </c>
      <c r="J796" s="5"/>
      <c r="K796" s="5"/>
      <c r="L796" s="10">
        <v>20201118</v>
      </c>
      <c r="M796" s="36" t="str">
        <f t="shared" si="12"/>
        <v>19630403</v>
      </c>
    </row>
    <row r="797" s="1" customFormat="1" spans="1:13">
      <c r="A797" s="2">
        <v>6300</v>
      </c>
      <c r="B797" s="5" t="s">
        <v>12263</v>
      </c>
      <c r="C797" s="5" t="s">
        <v>12619</v>
      </c>
      <c r="D797" s="5" t="s">
        <v>12620</v>
      </c>
      <c r="E797" s="5" t="s">
        <v>10250</v>
      </c>
      <c r="F797" s="5">
        <v>2020</v>
      </c>
      <c r="G797" s="17" t="s">
        <v>3359</v>
      </c>
      <c r="H797" s="5">
        <v>200</v>
      </c>
      <c r="I797" s="5">
        <v>200</v>
      </c>
      <c r="J797" s="5" t="s">
        <v>108</v>
      </c>
      <c r="K797" s="5"/>
      <c r="L797" s="10">
        <v>20201118</v>
      </c>
      <c r="M797" s="36" t="str">
        <f t="shared" si="12"/>
        <v>19630403</v>
      </c>
    </row>
    <row r="798" s="1" customFormat="1" spans="1:13">
      <c r="A798" s="2">
        <v>1851</v>
      </c>
      <c r="B798" s="5" t="s">
        <v>4189</v>
      </c>
      <c r="C798" s="16" t="s">
        <v>4266</v>
      </c>
      <c r="D798" s="16" t="s">
        <v>4267</v>
      </c>
      <c r="E798" s="5" t="s">
        <v>15</v>
      </c>
      <c r="F798" s="5" t="s">
        <v>15</v>
      </c>
      <c r="G798" s="5" t="s">
        <v>3359</v>
      </c>
      <c r="H798" s="16">
        <v>200</v>
      </c>
      <c r="I798" s="16">
        <v>200</v>
      </c>
      <c r="J798" s="5"/>
      <c r="K798" s="10"/>
      <c r="L798" s="10">
        <v>20201118</v>
      </c>
      <c r="M798" s="36" t="str">
        <f t="shared" si="12"/>
        <v>19630404</v>
      </c>
    </row>
    <row r="799" s="1" customFormat="1" spans="1:13">
      <c r="A799" s="2">
        <v>5506</v>
      </c>
      <c r="B799" s="30" t="s">
        <v>11090</v>
      </c>
      <c r="C799" s="30" t="s">
        <v>11107</v>
      </c>
      <c r="D799" s="30" t="s">
        <v>11108</v>
      </c>
      <c r="E799" s="5" t="s">
        <v>15</v>
      </c>
      <c r="F799" s="5" t="s">
        <v>10250</v>
      </c>
      <c r="G799" s="6" t="s">
        <v>16</v>
      </c>
      <c r="H799" s="32">
        <v>200</v>
      </c>
      <c r="I799" s="32">
        <v>200</v>
      </c>
      <c r="J799" s="6"/>
      <c r="K799" s="48"/>
      <c r="L799" s="10">
        <v>20201118</v>
      </c>
      <c r="M799" s="36" t="str">
        <f t="shared" si="12"/>
        <v>19630404</v>
      </c>
    </row>
    <row r="800" s="1" customFormat="1" spans="1:13">
      <c r="A800" s="2">
        <v>7587</v>
      </c>
      <c r="B800" s="5" t="s">
        <v>14402</v>
      </c>
      <c r="C800" s="5" t="s">
        <v>14773</v>
      </c>
      <c r="D800" s="5" t="s">
        <v>14774</v>
      </c>
      <c r="E800" s="5">
        <v>2020</v>
      </c>
      <c r="F800" s="5">
        <v>2020</v>
      </c>
      <c r="G800" s="17" t="s">
        <v>16</v>
      </c>
      <c r="H800" s="5">
        <v>200</v>
      </c>
      <c r="I800" s="5">
        <v>200</v>
      </c>
      <c r="J800" s="5"/>
      <c r="K800" s="10"/>
      <c r="L800" s="10">
        <v>20201118</v>
      </c>
      <c r="M800" s="36" t="str">
        <f t="shared" si="12"/>
        <v>19630404</v>
      </c>
    </row>
    <row r="801" s="1" customFormat="1" spans="1:13">
      <c r="A801" s="2">
        <v>1456</v>
      </c>
      <c r="B801" s="5" t="s">
        <v>3381</v>
      </c>
      <c r="C801" s="9" t="s">
        <v>3481</v>
      </c>
      <c r="D801" s="9" t="s">
        <v>3482</v>
      </c>
      <c r="E801" s="5">
        <v>2020</v>
      </c>
      <c r="F801" s="5">
        <v>2020</v>
      </c>
      <c r="G801" s="14" t="s">
        <v>16</v>
      </c>
      <c r="H801" s="6">
        <v>200</v>
      </c>
      <c r="I801" s="6">
        <v>200</v>
      </c>
      <c r="J801" s="5"/>
      <c r="K801" s="13"/>
      <c r="L801" s="10">
        <v>20201118</v>
      </c>
      <c r="M801" s="36" t="str">
        <f t="shared" si="12"/>
        <v>19630405</v>
      </c>
    </row>
    <row r="802" s="1" customFormat="1" spans="1:13">
      <c r="A802" s="2">
        <v>842</v>
      </c>
      <c r="B802" s="29" t="s">
        <v>1040</v>
      </c>
      <c r="C802" s="29" t="s">
        <v>2174</v>
      </c>
      <c r="D802" s="29" t="s">
        <v>2175</v>
      </c>
      <c r="E802" s="30">
        <v>2020</v>
      </c>
      <c r="F802" s="30">
        <v>2020</v>
      </c>
      <c r="G802" s="29" t="s">
        <v>16</v>
      </c>
      <c r="H802" s="29">
        <v>200</v>
      </c>
      <c r="I802" s="29">
        <v>200</v>
      </c>
      <c r="J802" s="32"/>
      <c r="K802" s="32"/>
      <c r="L802" s="2" t="s">
        <v>330</v>
      </c>
      <c r="M802" s="36" t="str">
        <f t="shared" si="12"/>
        <v>19630406</v>
      </c>
    </row>
    <row r="803" s="1" customFormat="1" spans="1:13">
      <c r="A803" s="2">
        <v>6388</v>
      </c>
      <c r="B803" s="5" t="s">
        <v>12263</v>
      </c>
      <c r="C803" s="5" t="s">
        <v>12788</v>
      </c>
      <c r="D803" s="5" t="s">
        <v>12789</v>
      </c>
      <c r="E803" s="5" t="s">
        <v>10250</v>
      </c>
      <c r="F803" s="5">
        <v>2020</v>
      </c>
      <c r="G803" s="17" t="s">
        <v>3359</v>
      </c>
      <c r="H803" s="5" t="s">
        <v>311</v>
      </c>
      <c r="I803" s="5">
        <v>200</v>
      </c>
      <c r="J803" s="5"/>
      <c r="K803" s="5"/>
      <c r="L803" s="10">
        <v>20201118</v>
      </c>
      <c r="M803" s="36" t="str">
        <f t="shared" si="12"/>
        <v>19630406</v>
      </c>
    </row>
    <row r="804" s="1" customFormat="1" ht="14.25" spans="1:13">
      <c r="A804" s="2">
        <v>2993</v>
      </c>
      <c r="B804" s="6" t="s">
        <v>6075</v>
      </c>
      <c r="C804" s="25" t="s">
        <v>6511</v>
      </c>
      <c r="D804" s="26" t="s">
        <v>6512</v>
      </c>
      <c r="E804" s="5" t="s">
        <v>15</v>
      </c>
      <c r="F804" s="5">
        <v>2020</v>
      </c>
      <c r="G804" s="6" t="s">
        <v>16</v>
      </c>
      <c r="H804" s="6">
        <v>200</v>
      </c>
      <c r="I804" s="6">
        <v>200</v>
      </c>
      <c r="J804" s="6"/>
      <c r="K804" s="10"/>
      <c r="L804" s="10">
        <v>20201118</v>
      </c>
      <c r="M804" s="36" t="str">
        <f t="shared" si="12"/>
        <v>19630407</v>
      </c>
    </row>
    <row r="805" s="1" customFormat="1" spans="1:13">
      <c r="A805" s="2">
        <v>1853</v>
      </c>
      <c r="B805" s="5" t="s">
        <v>4189</v>
      </c>
      <c r="C805" s="16" t="s">
        <v>4270</v>
      </c>
      <c r="D805" s="16" t="s">
        <v>4271</v>
      </c>
      <c r="E805" s="5" t="s">
        <v>15</v>
      </c>
      <c r="F805" s="5" t="s">
        <v>15</v>
      </c>
      <c r="G805" s="5" t="s">
        <v>3359</v>
      </c>
      <c r="H805" s="16">
        <v>200</v>
      </c>
      <c r="I805" s="16">
        <v>200</v>
      </c>
      <c r="J805" s="5"/>
      <c r="K805" s="10"/>
      <c r="L805" s="10">
        <v>20201118</v>
      </c>
      <c r="M805" s="36" t="str">
        <f t="shared" si="12"/>
        <v>19630408</v>
      </c>
    </row>
    <row r="806" s="1" customFormat="1" spans="1:13">
      <c r="A806" s="2">
        <v>4177</v>
      </c>
      <c r="B806" s="9" t="s">
        <v>8515</v>
      </c>
      <c r="C806" s="9" t="s">
        <v>8560</v>
      </c>
      <c r="D806" s="9" t="s">
        <v>8561</v>
      </c>
      <c r="E806" s="5" t="s">
        <v>15</v>
      </c>
      <c r="F806" s="5">
        <v>2020</v>
      </c>
      <c r="G806" s="9" t="s">
        <v>2480</v>
      </c>
      <c r="H806" s="9">
        <v>200</v>
      </c>
      <c r="I806" s="9">
        <v>200</v>
      </c>
      <c r="J806" s="9" t="s">
        <v>1242</v>
      </c>
      <c r="K806" s="9"/>
      <c r="L806" s="10">
        <v>20201118</v>
      </c>
      <c r="M806" s="36" t="str">
        <f t="shared" si="12"/>
        <v>19630408</v>
      </c>
    </row>
    <row r="807" s="1" customFormat="1" ht="14.25" spans="1:13">
      <c r="A807" s="2">
        <v>5243</v>
      </c>
      <c r="B807" s="33" t="s">
        <v>10535</v>
      </c>
      <c r="C807" s="34" t="s">
        <v>10604</v>
      </c>
      <c r="D807" s="34" t="s">
        <v>10605</v>
      </c>
      <c r="E807" s="35">
        <v>2020</v>
      </c>
      <c r="F807" s="35">
        <v>2020</v>
      </c>
      <c r="G807" s="35" t="s">
        <v>16</v>
      </c>
      <c r="H807" s="34">
        <v>200</v>
      </c>
      <c r="I807" s="34">
        <v>200</v>
      </c>
      <c r="J807" s="49"/>
      <c r="K807" s="10"/>
      <c r="L807" s="10">
        <v>20201118</v>
      </c>
      <c r="M807" s="36" t="str">
        <f t="shared" si="12"/>
        <v>19630408</v>
      </c>
    </row>
    <row r="808" s="1" customFormat="1" spans="1:13">
      <c r="A808" s="2">
        <v>4996</v>
      </c>
      <c r="B808" s="6" t="s">
        <v>9954</v>
      </c>
      <c r="C808" s="68" t="s">
        <v>10130</v>
      </c>
      <c r="D808" s="68" t="s">
        <v>10131</v>
      </c>
      <c r="E808" s="5" t="s">
        <v>15</v>
      </c>
      <c r="F808" s="5" t="s">
        <v>15</v>
      </c>
      <c r="G808" s="14" t="s">
        <v>16</v>
      </c>
      <c r="H808" s="6">
        <v>200</v>
      </c>
      <c r="I808" s="6">
        <v>200</v>
      </c>
      <c r="J808" s="6"/>
      <c r="K808" s="6"/>
      <c r="L808" s="10">
        <v>20201118</v>
      </c>
      <c r="M808" s="36" t="str">
        <f t="shared" si="12"/>
        <v>19630409</v>
      </c>
    </row>
    <row r="809" s="1" customFormat="1" spans="1:13">
      <c r="A809" s="2">
        <v>4502</v>
      </c>
      <c r="B809" s="6" t="s">
        <v>9015</v>
      </c>
      <c r="C809" s="6" t="s">
        <v>9187</v>
      </c>
      <c r="D809" s="6" t="s">
        <v>9188</v>
      </c>
      <c r="E809" s="6">
        <v>2020</v>
      </c>
      <c r="F809" s="6">
        <v>2020</v>
      </c>
      <c r="G809" s="6" t="s">
        <v>16</v>
      </c>
      <c r="H809" s="6">
        <v>200</v>
      </c>
      <c r="I809" s="6">
        <v>200</v>
      </c>
      <c r="J809" s="6"/>
      <c r="K809" s="6"/>
      <c r="L809" s="10">
        <v>20201118</v>
      </c>
      <c r="M809" s="36" t="str">
        <f t="shared" si="12"/>
        <v>19630410</v>
      </c>
    </row>
    <row r="810" s="1" customFormat="1" spans="1:13">
      <c r="A810" s="2">
        <v>6426</v>
      </c>
      <c r="B810" s="5" t="s">
        <v>12263</v>
      </c>
      <c r="C810" s="5" t="s">
        <v>7867</v>
      </c>
      <c r="D810" s="5" t="s">
        <v>12858</v>
      </c>
      <c r="E810" s="5" t="s">
        <v>10250</v>
      </c>
      <c r="F810" s="5">
        <v>2020</v>
      </c>
      <c r="G810" s="17" t="s">
        <v>3359</v>
      </c>
      <c r="H810" s="5">
        <v>200</v>
      </c>
      <c r="I810" s="5">
        <v>200</v>
      </c>
      <c r="J810" s="5"/>
      <c r="K810" s="5"/>
      <c r="L810" s="10">
        <v>20201118</v>
      </c>
      <c r="M810" s="36" t="str">
        <f t="shared" si="12"/>
        <v>19630410</v>
      </c>
    </row>
    <row r="811" s="1" customFormat="1" spans="1:13">
      <c r="A811" s="2">
        <v>3638</v>
      </c>
      <c r="B811" s="5" t="s">
        <v>7412</v>
      </c>
      <c r="C811" s="5" t="s">
        <v>7540</v>
      </c>
      <c r="D811" s="5" t="s">
        <v>7541</v>
      </c>
      <c r="E811" s="6">
        <v>2020</v>
      </c>
      <c r="F811" s="6">
        <v>2020</v>
      </c>
      <c r="G811" s="5" t="s">
        <v>3359</v>
      </c>
      <c r="H811" s="5">
        <v>200</v>
      </c>
      <c r="I811" s="5">
        <v>200</v>
      </c>
      <c r="J811" s="5" t="s">
        <v>1242</v>
      </c>
      <c r="K811" s="5"/>
      <c r="L811" s="10">
        <v>20201118</v>
      </c>
      <c r="M811" s="36" t="str">
        <f t="shared" si="12"/>
        <v>19630412</v>
      </c>
    </row>
    <row r="812" s="1" customFormat="1" spans="1:13">
      <c r="A812" s="2">
        <v>215</v>
      </c>
      <c r="B812" s="14" t="s">
        <v>327</v>
      </c>
      <c r="C812" s="14" t="s">
        <v>531</v>
      </c>
      <c r="D812" s="14" t="s">
        <v>532</v>
      </c>
      <c r="E812" s="5">
        <v>2020</v>
      </c>
      <c r="F812" s="5">
        <v>2020</v>
      </c>
      <c r="G812" s="14" t="s">
        <v>16</v>
      </c>
      <c r="H812" s="28">
        <v>200</v>
      </c>
      <c r="I812" s="14">
        <v>200</v>
      </c>
      <c r="J812" s="14"/>
      <c r="K812" s="10"/>
      <c r="L812" s="2" t="s">
        <v>330</v>
      </c>
      <c r="M812" s="36" t="str">
        <f t="shared" si="12"/>
        <v>19630413</v>
      </c>
    </row>
    <row r="813" s="1" customFormat="1" spans="1:13">
      <c r="A813" s="2">
        <v>68</v>
      </c>
      <c r="B813" s="3" t="s">
        <v>12</v>
      </c>
      <c r="C813" s="3" t="s">
        <v>151</v>
      </c>
      <c r="D813" s="3" t="s">
        <v>152</v>
      </c>
      <c r="E813" s="3" t="s">
        <v>15</v>
      </c>
      <c r="F813" s="3" t="s">
        <v>15</v>
      </c>
      <c r="G813" s="2" t="s">
        <v>16</v>
      </c>
      <c r="H813" s="3">
        <v>200</v>
      </c>
      <c r="I813" s="3">
        <v>200</v>
      </c>
      <c r="J813" s="3"/>
      <c r="K813" s="3"/>
      <c r="L813" s="10">
        <v>20201118</v>
      </c>
      <c r="M813" s="36" t="str">
        <f t="shared" si="12"/>
        <v>19630414</v>
      </c>
    </row>
    <row r="814" s="1" customFormat="1" ht="14.25" spans="1:13">
      <c r="A814" s="2">
        <v>7784</v>
      </c>
      <c r="B814" s="5" t="s">
        <v>14875</v>
      </c>
      <c r="C814" s="51" t="s">
        <v>15031</v>
      </c>
      <c r="D814" s="24" t="str">
        <f>"152326196304147135"</f>
        <v>152326196304147135</v>
      </c>
      <c r="E814" s="6" t="s">
        <v>15</v>
      </c>
      <c r="F814" s="6">
        <v>2020</v>
      </c>
      <c r="G814" s="24" t="s">
        <v>14877</v>
      </c>
      <c r="H814" s="6">
        <v>200</v>
      </c>
      <c r="I814" s="6">
        <v>200</v>
      </c>
      <c r="J814" s="6"/>
      <c r="K814" s="10"/>
      <c r="L814" s="10">
        <v>20201118</v>
      </c>
      <c r="M814" s="36" t="str">
        <f t="shared" si="12"/>
        <v>19630414</v>
      </c>
    </row>
    <row r="815" s="1" customFormat="1" spans="1:13">
      <c r="A815" s="2">
        <v>3639</v>
      </c>
      <c r="B815" s="5" t="s">
        <v>7412</v>
      </c>
      <c r="C815" s="5" t="s">
        <v>7542</v>
      </c>
      <c r="D815" s="5" t="s">
        <v>7543</v>
      </c>
      <c r="E815" s="6">
        <v>2020</v>
      </c>
      <c r="F815" s="6">
        <v>2020</v>
      </c>
      <c r="G815" s="5" t="s">
        <v>3359</v>
      </c>
      <c r="H815" s="5">
        <v>200</v>
      </c>
      <c r="I815" s="5">
        <v>200</v>
      </c>
      <c r="J815" s="5"/>
      <c r="K815" s="5"/>
      <c r="L815" s="10">
        <v>20201118</v>
      </c>
      <c r="M815" s="36" t="str">
        <f t="shared" si="12"/>
        <v>19630415</v>
      </c>
    </row>
    <row r="816" s="1" customFormat="1" spans="1:13">
      <c r="A816" s="2">
        <v>5826</v>
      </c>
      <c r="B816" s="30" t="s">
        <v>11090</v>
      </c>
      <c r="C816" s="30" t="s">
        <v>11720</v>
      </c>
      <c r="D816" s="30" t="s">
        <v>11721</v>
      </c>
      <c r="E816" s="5" t="s">
        <v>15</v>
      </c>
      <c r="F816" s="5" t="s">
        <v>10250</v>
      </c>
      <c r="G816" s="6" t="s">
        <v>16</v>
      </c>
      <c r="H816" s="32">
        <v>200</v>
      </c>
      <c r="I816" s="32">
        <v>200</v>
      </c>
      <c r="J816" s="6"/>
      <c r="K816" s="48"/>
      <c r="L816" s="10">
        <v>20201118</v>
      </c>
      <c r="M816" s="36" t="str">
        <f t="shared" si="12"/>
        <v>19630415</v>
      </c>
    </row>
    <row r="817" s="1" customFormat="1" spans="1:13">
      <c r="A817" s="2">
        <v>7586</v>
      </c>
      <c r="B817" s="5" t="s">
        <v>14402</v>
      </c>
      <c r="C817" s="5" t="s">
        <v>14771</v>
      </c>
      <c r="D817" s="5" t="s">
        <v>14772</v>
      </c>
      <c r="E817" s="5">
        <v>2020</v>
      </c>
      <c r="F817" s="5">
        <v>2020</v>
      </c>
      <c r="G817" s="17" t="s">
        <v>16</v>
      </c>
      <c r="H817" s="5">
        <v>200</v>
      </c>
      <c r="I817" s="5">
        <v>200</v>
      </c>
      <c r="J817" s="5"/>
      <c r="K817" s="10"/>
      <c r="L817" s="10">
        <v>20201118</v>
      </c>
      <c r="M817" s="36" t="str">
        <f t="shared" si="12"/>
        <v>19630415</v>
      </c>
    </row>
    <row r="818" s="1" customFormat="1" spans="1:13">
      <c r="A818" s="2">
        <v>3640</v>
      </c>
      <c r="B818" s="5" t="s">
        <v>7412</v>
      </c>
      <c r="C818" s="5" t="s">
        <v>7544</v>
      </c>
      <c r="D818" s="5" t="s">
        <v>7545</v>
      </c>
      <c r="E818" s="6">
        <v>2020</v>
      </c>
      <c r="F818" s="6">
        <v>2020</v>
      </c>
      <c r="G818" s="5" t="s">
        <v>3359</v>
      </c>
      <c r="H818" s="5">
        <v>200</v>
      </c>
      <c r="I818" s="5">
        <v>200</v>
      </c>
      <c r="J818" s="5"/>
      <c r="K818" s="5"/>
      <c r="L818" s="10">
        <v>20201118</v>
      </c>
      <c r="M818" s="36" t="str">
        <f t="shared" si="12"/>
        <v>19630417</v>
      </c>
    </row>
    <row r="819" s="1" customFormat="1" ht="14.25" spans="1:13">
      <c r="A819" s="2">
        <v>5965</v>
      </c>
      <c r="B819" s="30" t="s">
        <v>11090</v>
      </c>
      <c r="C819" s="32" t="s">
        <v>11977</v>
      </c>
      <c r="D819" s="12" t="s">
        <v>11978</v>
      </c>
      <c r="E819" s="5" t="s">
        <v>15</v>
      </c>
      <c r="F819" s="5" t="s">
        <v>10250</v>
      </c>
      <c r="G819" s="6" t="s">
        <v>16</v>
      </c>
      <c r="H819" s="32">
        <v>200</v>
      </c>
      <c r="I819" s="32">
        <v>200</v>
      </c>
      <c r="J819" s="6"/>
      <c r="K819" s="48"/>
      <c r="L819" s="10">
        <v>20201118</v>
      </c>
      <c r="M819" s="36" t="str">
        <f t="shared" si="12"/>
        <v>19630417</v>
      </c>
    </row>
    <row r="820" s="1" customFormat="1" spans="1:13">
      <c r="A820" s="2">
        <v>7038</v>
      </c>
      <c r="B820" s="5" t="s">
        <v>13533</v>
      </c>
      <c r="C820" s="32" t="s">
        <v>13784</v>
      </c>
      <c r="D820" s="32" t="s">
        <v>13785</v>
      </c>
      <c r="E820" s="5">
        <v>2020</v>
      </c>
      <c r="F820" s="5">
        <v>2020</v>
      </c>
      <c r="G820" s="9" t="s">
        <v>2480</v>
      </c>
      <c r="H820" s="32">
        <v>200</v>
      </c>
      <c r="I820" s="32">
        <v>200</v>
      </c>
      <c r="J820" s="32"/>
      <c r="K820" s="10"/>
      <c r="L820" s="10">
        <v>20201118</v>
      </c>
      <c r="M820" s="36" t="str">
        <f t="shared" si="12"/>
        <v>19630417</v>
      </c>
    </row>
    <row r="821" s="1" customFormat="1" spans="1:13">
      <c r="A821" s="2">
        <v>967</v>
      </c>
      <c r="B821" s="5" t="s">
        <v>2469</v>
      </c>
      <c r="C821" s="9" t="s">
        <v>2526</v>
      </c>
      <c r="D821" s="9" t="s">
        <v>2527</v>
      </c>
      <c r="E821" s="5">
        <v>2020</v>
      </c>
      <c r="F821" s="5">
        <v>2020</v>
      </c>
      <c r="G821" s="9" t="s">
        <v>2480</v>
      </c>
      <c r="H821" s="9">
        <v>200</v>
      </c>
      <c r="I821" s="9">
        <v>200</v>
      </c>
      <c r="J821" s="5"/>
      <c r="K821" s="5"/>
      <c r="L821" s="10">
        <v>20201118</v>
      </c>
      <c r="M821" s="36" t="str">
        <f t="shared" si="12"/>
        <v>19630419</v>
      </c>
    </row>
    <row r="822" s="1" customFormat="1" spans="1:13">
      <c r="A822" s="2">
        <v>1457</v>
      </c>
      <c r="B822" s="5" t="s">
        <v>3381</v>
      </c>
      <c r="C822" s="9" t="s">
        <v>512</v>
      </c>
      <c r="D822" s="9" t="s">
        <v>3483</v>
      </c>
      <c r="E822" s="5">
        <v>2020</v>
      </c>
      <c r="F822" s="5">
        <v>2020</v>
      </c>
      <c r="G822" s="14" t="s">
        <v>16</v>
      </c>
      <c r="H822" s="6">
        <v>200</v>
      </c>
      <c r="I822" s="6">
        <v>200</v>
      </c>
      <c r="J822" s="5"/>
      <c r="K822" s="13"/>
      <c r="L822" s="10">
        <v>20201118</v>
      </c>
      <c r="M822" s="36" t="str">
        <f t="shared" si="12"/>
        <v>19630419</v>
      </c>
    </row>
    <row r="823" s="1" customFormat="1" spans="1:13">
      <c r="A823" s="2">
        <v>7046</v>
      </c>
      <c r="B823" s="5" t="s">
        <v>13533</v>
      </c>
      <c r="C823" s="32" t="s">
        <v>13791</v>
      </c>
      <c r="D823" s="32" t="str">
        <f>"152326196304197116"</f>
        <v>152326196304197116</v>
      </c>
      <c r="E823" s="5">
        <v>2020</v>
      </c>
      <c r="F823" s="5">
        <v>2020</v>
      </c>
      <c r="G823" s="9" t="s">
        <v>2480</v>
      </c>
      <c r="H823" s="32">
        <v>200</v>
      </c>
      <c r="I823" s="32">
        <v>200</v>
      </c>
      <c r="J823" s="32"/>
      <c r="K823" s="10"/>
      <c r="L823" s="10">
        <v>20201118</v>
      </c>
      <c r="M823" s="36" t="str">
        <f t="shared" si="12"/>
        <v>19630419</v>
      </c>
    </row>
    <row r="824" s="1" customFormat="1" spans="1:13">
      <c r="A824" s="2">
        <v>7315</v>
      </c>
      <c r="B824" s="5" t="s">
        <v>13908</v>
      </c>
      <c r="C824" s="5" t="s">
        <v>8324</v>
      </c>
      <c r="D824" s="5" t="s">
        <v>14267</v>
      </c>
      <c r="E824" s="5" t="s">
        <v>15</v>
      </c>
      <c r="F824" s="5" t="s">
        <v>15</v>
      </c>
      <c r="G824" s="14" t="s">
        <v>16</v>
      </c>
      <c r="H824" s="17">
        <v>200</v>
      </c>
      <c r="I824" s="17">
        <v>200</v>
      </c>
      <c r="J824" s="5"/>
      <c r="K824" s="10"/>
      <c r="L824" s="10">
        <v>20201118</v>
      </c>
      <c r="M824" s="36" t="str">
        <f t="shared" si="12"/>
        <v>19630419</v>
      </c>
    </row>
    <row r="825" s="1" customFormat="1" spans="1:13">
      <c r="A825" s="2">
        <v>478</v>
      </c>
      <c r="B825" s="29" t="s">
        <v>1040</v>
      </c>
      <c r="C825" s="29" t="s">
        <v>1232</v>
      </c>
      <c r="D825" s="29" t="s">
        <v>1233</v>
      </c>
      <c r="E825" s="30">
        <v>2020</v>
      </c>
      <c r="F825" s="30">
        <v>2020</v>
      </c>
      <c r="G825" s="29" t="s">
        <v>16</v>
      </c>
      <c r="H825" s="29">
        <v>200</v>
      </c>
      <c r="I825" s="29">
        <v>200</v>
      </c>
      <c r="J825" s="29"/>
      <c r="K825" s="47"/>
      <c r="L825" s="2" t="s">
        <v>330</v>
      </c>
      <c r="M825" s="36" t="str">
        <f t="shared" si="12"/>
        <v>19630420</v>
      </c>
    </row>
    <row r="826" s="1" customFormat="1" spans="1:13">
      <c r="A826" s="2">
        <v>3484</v>
      </c>
      <c r="B826" s="5" t="s">
        <v>3375</v>
      </c>
      <c r="C826" s="6" t="s">
        <v>7267</v>
      </c>
      <c r="D826" s="6" t="str">
        <f>"152326196304206879"</f>
        <v>152326196304206879</v>
      </c>
      <c r="E826" s="5" t="s">
        <v>15</v>
      </c>
      <c r="F826" s="5">
        <v>2020</v>
      </c>
      <c r="G826" s="14" t="s">
        <v>16</v>
      </c>
      <c r="H826" s="17">
        <v>200</v>
      </c>
      <c r="I826" s="17">
        <v>200</v>
      </c>
      <c r="J826" s="6"/>
      <c r="K826" s="10"/>
      <c r="L826" s="10">
        <v>20201118</v>
      </c>
      <c r="M826" s="36" t="str">
        <f t="shared" si="12"/>
        <v>19630420</v>
      </c>
    </row>
    <row r="827" s="1" customFormat="1" spans="1:13">
      <c r="A827" s="2">
        <v>2414</v>
      </c>
      <c r="B827" s="5" t="s">
        <v>5328</v>
      </c>
      <c r="C827" s="16" t="s">
        <v>5369</v>
      </c>
      <c r="D827" s="16" t="s">
        <v>5370</v>
      </c>
      <c r="E827" s="5" t="s">
        <v>15</v>
      </c>
      <c r="F827" s="5" t="s">
        <v>15</v>
      </c>
      <c r="G827" s="14" t="s">
        <v>16</v>
      </c>
      <c r="H827" s="6">
        <v>200</v>
      </c>
      <c r="I827" s="6">
        <v>200</v>
      </c>
      <c r="J827" s="5"/>
      <c r="K827" s="5"/>
      <c r="L827" s="10">
        <v>20201118</v>
      </c>
      <c r="M827" s="36" t="str">
        <f t="shared" si="12"/>
        <v>19630421</v>
      </c>
    </row>
    <row r="828" s="1" customFormat="1" spans="1:13">
      <c r="A828" s="2">
        <v>112</v>
      </c>
      <c r="B828" s="3" t="s">
        <v>12</v>
      </c>
      <c r="C828" s="6" t="s">
        <v>240</v>
      </c>
      <c r="D828" s="6" t="s">
        <v>241</v>
      </c>
      <c r="E828" s="3" t="s">
        <v>15</v>
      </c>
      <c r="F828" s="3" t="s">
        <v>15</v>
      </c>
      <c r="G828" s="3" t="s">
        <v>189</v>
      </c>
      <c r="H828" s="3">
        <v>200</v>
      </c>
      <c r="I828" s="3">
        <v>200</v>
      </c>
      <c r="J828" s="3"/>
      <c r="K828" s="3"/>
      <c r="L828" s="10">
        <v>20201118</v>
      </c>
      <c r="M828" s="36" t="str">
        <f t="shared" si="12"/>
        <v>19630422</v>
      </c>
    </row>
    <row r="829" s="1" customFormat="1" spans="1:13">
      <c r="A829" s="2">
        <v>3641</v>
      </c>
      <c r="B829" s="5" t="s">
        <v>7412</v>
      </c>
      <c r="C829" s="5" t="s">
        <v>7546</v>
      </c>
      <c r="D829" s="5" t="s">
        <v>7547</v>
      </c>
      <c r="E829" s="6">
        <v>2020</v>
      </c>
      <c r="F829" s="6">
        <v>2020</v>
      </c>
      <c r="G829" s="5" t="s">
        <v>3359</v>
      </c>
      <c r="H829" s="5">
        <v>500</v>
      </c>
      <c r="I829" s="5">
        <v>500</v>
      </c>
      <c r="J829" s="5"/>
      <c r="K829" s="5"/>
      <c r="L829" s="10">
        <v>20201118</v>
      </c>
      <c r="M829" s="36" t="str">
        <f t="shared" si="12"/>
        <v>19630422</v>
      </c>
    </row>
    <row r="830" s="1" customFormat="1" spans="1:13">
      <c r="A830" s="2">
        <v>6538</v>
      </c>
      <c r="B830" s="5" t="s">
        <v>13027</v>
      </c>
      <c r="C830" s="15" t="s">
        <v>13073</v>
      </c>
      <c r="D830" s="15" t="s">
        <v>13074</v>
      </c>
      <c r="E830" s="5">
        <v>2020</v>
      </c>
      <c r="F830" s="5">
        <v>2020</v>
      </c>
      <c r="G830" s="14" t="s">
        <v>16</v>
      </c>
      <c r="H830" s="15">
        <v>200</v>
      </c>
      <c r="I830" s="15">
        <v>200</v>
      </c>
      <c r="J830" s="5"/>
      <c r="K830" s="10"/>
      <c r="L830" s="10">
        <v>20201118</v>
      </c>
      <c r="M830" s="36" t="str">
        <f t="shared" si="12"/>
        <v>19630422</v>
      </c>
    </row>
    <row r="831" s="1" customFormat="1" ht="14.25" spans="1:13">
      <c r="A831" s="2">
        <v>3058</v>
      </c>
      <c r="B831" s="6" t="s">
        <v>6075</v>
      </c>
      <c r="C831" s="6" t="s">
        <v>6638</v>
      </c>
      <c r="D831" s="26" t="s">
        <v>6639</v>
      </c>
      <c r="E831" s="5" t="s">
        <v>15</v>
      </c>
      <c r="F831" s="5">
        <v>2020</v>
      </c>
      <c r="G831" s="6" t="s">
        <v>16</v>
      </c>
      <c r="H831" s="6">
        <v>200</v>
      </c>
      <c r="I831" s="6">
        <v>200</v>
      </c>
      <c r="J831" s="6"/>
      <c r="K831" s="10"/>
      <c r="L831" s="10">
        <v>20201118</v>
      </c>
      <c r="M831" s="36" t="str">
        <f t="shared" si="12"/>
        <v>19630423</v>
      </c>
    </row>
    <row r="832" s="1" customFormat="1" spans="1:13">
      <c r="A832" s="2">
        <v>3642</v>
      </c>
      <c r="B832" s="5" t="s">
        <v>7412</v>
      </c>
      <c r="C832" s="5" t="s">
        <v>7548</v>
      </c>
      <c r="D832" s="5" t="s">
        <v>7549</v>
      </c>
      <c r="E832" s="6">
        <v>2020</v>
      </c>
      <c r="F832" s="6">
        <v>2020</v>
      </c>
      <c r="G832" s="5" t="s">
        <v>3359</v>
      </c>
      <c r="H832" s="5">
        <v>200</v>
      </c>
      <c r="I832" s="5">
        <v>200</v>
      </c>
      <c r="J832" s="5"/>
      <c r="K832" s="5"/>
      <c r="L832" s="10">
        <v>20201118</v>
      </c>
      <c r="M832" s="36" t="str">
        <f t="shared" si="12"/>
        <v>19630423</v>
      </c>
    </row>
    <row r="833" s="1" customFormat="1" spans="1:13">
      <c r="A833" s="2">
        <v>3643</v>
      </c>
      <c r="B833" s="5" t="s">
        <v>7412</v>
      </c>
      <c r="C833" s="5" t="s">
        <v>7550</v>
      </c>
      <c r="D833" s="5" t="s">
        <v>7551</v>
      </c>
      <c r="E833" s="6">
        <v>2020</v>
      </c>
      <c r="F833" s="6">
        <v>2020</v>
      </c>
      <c r="G833" s="5" t="s">
        <v>3359</v>
      </c>
      <c r="H833" s="5">
        <v>200</v>
      </c>
      <c r="I833" s="5">
        <v>200</v>
      </c>
      <c r="J833" s="5"/>
      <c r="K833" s="5"/>
      <c r="L833" s="10">
        <v>20201118</v>
      </c>
      <c r="M833" s="36" t="str">
        <f t="shared" si="12"/>
        <v>19630423</v>
      </c>
    </row>
    <row r="834" s="1" customFormat="1" spans="1:13">
      <c r="A834" s="2">
        <v>1458</v>
      </c>
      <c r="B834" s="5" t="s">
        <v>3381</v>
      </c>
      <c r="C834" s="9" t="s">
        <v>3484</v>
      </c>
      <c r="D834" s="9" t="s">
        <v>3485</v>
      </c>
      <c r="E834" s="5">
        <v>2020</v>
      </c>
      <c r="F834" s="5">
        <v>2020</v>
      </c>
      <c r="G834" s="14" t="s">
        <v>16</v>
      </c>
      <c r="H834" s="6">
        <v>200</v>
      </c>
      <c r="I834" s="6">
        <v>200</v>
      </c>
      <c r="J834" s="5"/>
      <c r="K834" s="13"/>
      <c r="L834" s="10">
        <v>20201118</v>
      </c>
      <c r="M834" s="36" t="str">
        <f t="shared" ref="M834:M897" si="13">MID(D834,7,8)</f>
        <v>19630424</v>
      </c>
    </row>
    <row r="835" s="1" customFormat="1" ht="14.25" spans="1:13">
      <c r="A835" s="2">
        <v>5244</v>
      </c>
      <c r="B835" s="33" t="s">
        <v>10535</v>
      </c>
      <c r="C835" s="34" t="s">
        <v>10606</v>
      </c>
      <c r="D835" s="34" t="s">
        <v>10607</v>
      </c>
      <c r="E835" s="35">
        <v>2020</v>
      </c>
      <c r="F835" s="35">
        <v>2020</v>
      </c>
      <c r="G835" s="35" t="s">
        <v>16</v>
      </c>
      <c r="H835" s="34">
        <v>200</v>
      </c>
      <c r="I835" s="34">
        <v>200</v>
      </c>
      <c r="J835" s="49"/>
      <c r="K835" s="10"/>
      <c r="L835" s="10">
        <v>20201118</v>
      </c>
      <c r="M835" s="36" t="str">
        <f t="shared" si="13"/>
        <v>19630425</v>
      </c>
    </row>
    <row r="836" s="1" customFormat="1" spans="1:13">
      <c r="A836" s="2">
        <v>3644</v>
      </c>
      <c r="B836" s="5" t="s">
        <v>7412</v>
      </c>
      <c r="C836" s="5" t="s">
        <v>7552</v>
      </c>
      <c r="D836" s="5" t="s">
        <v>7553</v>
      </c>
      <c r="E836" s="6">
        <v>2020</v>
      </c>
      <c r="F836" s="6">
        <v>2020</v>
      </c>
      <c r="G836" s="5" t="s">
        <v>3359</v>
      </c>
      <c r="H836" s="5">
        <v>200</v>
      </c>
      <c r="I836" s="5">
        <v>200</v>
      </c>
      <c r="J836" s="5"/>
      <c r="K836" s="5"/>
      <c r="L836" s="10">
        <v>20201118</v>
      </c>
      <c r="M836" s="36" t="str">
        <f t="shared" si="13"/>
        <v>19630426</v>
      </c>
    </row>
    <row r="837" s="1" customFormat="1" spans="1:13">
      <c r="A837" s="2">
        <v>4178</v>
      </c>
      <c r="B837" s="9" t="s">
        <v>8515</v>
      </c>
      <c r="C837" s="9" t="s">
        <v>8562</v>
      </c>
      <c r="D837" s="9" t="s">
        <v>8563</v>
      </c>
      <c r="E837" s="5" t="s">
        <v>15</v>
      </c>
      <c r="F837" s="5">
        <v>2020</v>
      </c>
      <c r="G837" s="9" t="s">
        <v>2480</v>
      </c>
      <c r="H837" s="9">
        <v>200</v>
      </c>
      <c r="I837" s="9">
        <v>200</v>
      </c>
      <c r="J837" s="9"/>
      <c r="K837" s="9"/>
      <c r="L837" s="10">
        <v>20201118</v>
      </c>
      <c r="M837" s="36" t="str">
        <f t="shared" si="13"/>
        <v>19630426</v>
      </c>
    </row>
    <row r="838" s="1" customFormat="1" spans="1:13">
      <c r="A838" s="2">
        <v>7342</v>
      </c>
      <c r="B838" s="5" t="s">
        <v>13908</v>
      </c>
      <c r="C838" s="5" t="s">
        <v>14315</v>
      </c>
      <c r="D838" s="5" t="s">
        <v>14316</v>
      </c>
      <c r="E838" s="5" t="s">
        <v>15</v>
      </c>
      <c r="F838" s="5" t="s">
        <v>15</v>
      </c>
      <c r="G838" s="14" t="s">
        <v>16</v>
      </c>
      <c r="H838" s="17">
        <v>200</v>
      </c>
      <c r="I838" s="17">
        <v>200</v>
      </c>
      <c r="J838" s="5"/>
      <c r="K838" s="10"/>
      <c r="L838" s="10">
        <v>20201118</v>
      </c>
      <c r="M838" s="36" t="str">
        <f t="shared" si="13"/>
        <v>19630428</v>
      </c>
    </row>
    <row r="839" s="1" customFormat="1" spans="1:13">
      <c r="A839" s="2">
        <v>1459</v>
      </c>
      <c r="B839" s="5" t="s">
        <v>3381</v>
      </c>
      <c r="C839" s="9" t="s">
        <v>3486</v>
      </c>
      <c r="D839" s="9" t="s">
        <v>3487</v>
      </c>
      <c r="E839" s="5">
        <v>2020</v>
      </c>
      <c r="F839" s="5">
        <v>2020</v>
      </c>
      <c r="G839" s="14" t="s">
        <v>16</v>
      </c>
      <c r="H839" s="6">
        <v>200</v>
      </c>
      <c r="I839" s="6">
        <v>200</v>
      </c>
      <c r="J839" s="5"/>
      <c r="K839" s="13"/>
      <c r="L839" s="10">
        <v>20201118</v>
      </c>
      <c r="M839" s="36" t="str">
        <f t="shared" si="13"/>
        <v>19630429</v>
      </c>
    </row>
    <row r="840" s="1" customFormat="1" ht="14.25" spans="1:13">
      <c r="A840" s="2">
        <v>5245</v>
      </c>
      <c r="B840" s="33" t="s">
        <v>10535</v>
      </c>
      <c r="C840" s="34" t="s">
        <v>10608</v>
      </c>
      <c r="D840" s="34" t="s">
        <v>10609</v>
      </c>
      <c r="E840" s="35">
        <v>2020</v>
      </c>
      <c r="F840" s="35">
        <v>2020</v>
      </c>
      <c r="G840" s="35" t="s">
        <v>16</v>
      </c>
      <c r="H840" s="34">
        <v>200</v>
      </c>
      <c r="I840" s="34">
        <v>200</v>
      </c>
      <c r="J840" s="49"/>
      <c r="K840" s="10"/>
      <c r="L840" s="10">
        <v>20201118</v>
      </c>
      <c r="M840" s="36" t="str">
        <f t="shared" si="13"/>
        <v>19630429</v>
      </c>
    </row>
    <row r="841" s="1" customFormat="1" ht="14.25" spans="1:13">
      <c r="A841" s="2">
        <v>3002</v>
      </c>
      <c r="B841" s="6" t="s">
        <v>6075</v>
      </c>
      <c r="C841" s="25" t="s">
        <v>6529</v>
      </c>
      <c r="D841" s="26" t="s">
        <v>6530</v>
      </c>
      <c r="E841" s="5" t="s">
        <v>15</v>
      </c>
      <c r="F841" s="5">
        <v>2020</v>
      </c>
      <c r="G841" s="6" t="s">
        <v>16</v>
      </c>
      <c r="H841" s="6">
        <v>200</v>
      </c>
      <c r="I841" s="6">
        <v>200</v>
      </c>
      <c r="J841" s="6"/>
      <c r="K841" s="10"/>
      <c r="L841" s="10">
        <v>20201118</v>
      </c>
      <c r="M841" s="36" t="str">
        <f t="shared" si="13"/>
        <v>19630501</v>
      </c>
    </row>
    <row r="842" s="1" customFormat="1" spans="1:13">
      <c r="A842" s="2">
        <v>6295</v>
      </c>
      <c r="B842" s="5" t="s">
        <v>12263</v>
      </c>
      <c r="C842" s="5" t="s">
        <v>12609</v>
      </c>
      <c r="D842" s="5" t="s">
        <v>12610</v>
      </c>
      <c r="E842" s="5" t="s">
        <v>10250</v>
      </c>
      <c r="F842" s="5">
        <v>2020</v>
      </c>
      <c r="G842" s="17" t="s">
        <v>3359</v>
      </c>
      <c r="H842" s="5">
        <v>200</v>
      </c>
      <c r="I842" s="5">
        <v>200</v>
      </c>
      <c r="J842" s="5"/>
      <c r="K842" s="5"/>
      <c r="L842" s="10">
        <v>20201118</v>
      </c>
      <c r="M842" s="36" t="str">
        <f t="shared" si="13"/>
        <v>19630501</v>
      </c>
    </row>
    <row r="843" s="1" customFormat="1" spans="1:13">
      <c r="A843" s="2">
        <v>6321</v>
      </c>
      <c r="B843" s="5" t="s">
        <v>12263</v>
      </c>
      <c r="C843" s="5" t="s">
        <v>12659</v>
      </c>
      <c r="D843" s="5" t="s">
        <v>12660</v>
      </c>
      <c r="E843" s="5" t="s">
        <v>10250</v>
      </c>
      <c r="F843" s="5">
        <v>2020</v>
      </c>
      <c r="G843" s="17" t="s">
        <v>3359</v>
      </c>
      <c r="H843" s="5" t="s">
        <v>311</v>
      </c>
      <c r="I843" s="5">
        <v>200</v>
      </c>
      <c r="J843" s="5"/>
      <c r="K843" s="5"/>
      <c r="L843" s="10">
        <v>20201118</v>
      </c>
      <c r="M843" s="36" t="str">
        <f t="shared" si="13"/>
        <v>19630501</v>
      </c>
    </row>
    <row r="844" s="1" customFormat="1" spans="1:13">
      <c r="A844" s="2">
        <v>6310</v>
      </c>
      <c r="B844" s="5" t="s">
        <v>12263</v>
      </c>
      <c r="C844" s="5" t="s">
        <v>12637</v>
      </c>
      <c r="D844" s="5" t="s">
        <v>12638</v>
      </c>
      <c r="E844" s="5" t="s">
        <v>10250</v>
      </c>
      <c r="F844" s="5">
        <v>2020</v>
      </c>
      <c r="G844" s="17" t="s">
        <v>3359</v>
      </c>
      <c r="H844" s="5">
        <v>200</v>
      </c>
      <c r="I844" s="5">
        <v>200</v>
      </c>
      <c r="J844" s="5"/>
      <c r="K844" s="5"/>
      <c r="L844" s="10">
        <v>20201118</v>
      </c>
      <c r="M844" s="36" t="str">
        <f t="shared" si="13"/>
        <v>19630502</v>
      </c>
    </row>
    <row r="845" s="1" customFormat="1" spans="1:13">
      <c r="A845" s="2">
        <v>297</v>
      </c>
      <c r="B845" s="14" t="s">
        <v>327</v>
      </c>
      <c r="C845" s="17" t="s">
        <v>779</v>
      </c>
      <c r="D845" s="306" t="s">
        <v>780</v>
      </c>
      <c r="E845" s="5">
        <v>2020</v>
      </c>
      <c r="F845" s="5">
        <v>2020</v>
      </c>
      <c r="G845" s="14" t="s">
        <v>16</v>
      </c>
      <c r="H845" s="17">
        <v>200</v>
      </c>
      <c r="I845" s="17">
        <v>200</v>
      </c>
      <c r="J845" s="17"/>
      <c r="K845" s="10"/>
      <c r="L845" s="2" t="s">
        <v>330</v>
      </c>
      <c r="M845" s="36" t="str">
        <f t="shared" si="13"/>
        <v>19630505</v>
      </c>
    </row>
    <row r="846" s="1" customFormat="1" spans="1:13">
      <c r="A846" s="2">
        <v>3114</v>
      </c>
      <c r="B846" s="3" t="s">
        <v>6671</v>
      </c>
      <c r="C846" s="9" t="s">
        <v>6749</v>
      </c>
      <c r="D846" s="9" t="s">
        <v>6750</v>
      </c>
      <c r="E846" s="3" t="s">
        <v>15</v>
      </c>
      <c r="F846" s="3" t="s">
        <v>15</v>
      </c>
      <c r="G846" s="6" t="s">
        <v>3359</v>
      </c>
      <c r="H846" s="9">
        <v>200</v>
      </c>
      <c r="I846" s="9">
        <v>200</v>
      </c>
      <c r="J846" s="6"/>
      <c r="K846" s="5"/>
      <c r="L846" s="10">
        <v>20201118</v>
      </c>
      <c r="M846" s="36" t="str">
        <f t="shared" si="13"/>
        <v>19630506</v>
      </c>
    </row>
    <row r="847" s="1" customFormat="1" spans="1:13">
      <c r="A847" s="2">
        <v>8159</v>
      </c>
      <c r="B847" s="5" t="s">
        <v>15406</v>
      </c>
      <c r="C847" s="6" t="s">
        <v>15510</v>
      </c>
      <c r="D847" s="6" t="s">
        <v>15511</v>
      </c>
      <c r="E847" s="5" t="s">
        <v>15</v>
      </c>
      <c r="F847" s="5">
        <v>2020</v>
      </c>
      <c r="G847" s="14" t="s">
        <v>16</v>
      </c>
      <c r="H847" s="6" t="s">
        <v>311</v>
      </c>
      <c r="I847" s="6">
        <v>200</v>
      </c>
      <c r="J847" s="5"/>
      <c r="K847" s="10"/>
      <c r="L847" s="10">
        <v>20201118</v>
      </c>
      <c r="M847" s="36" t="str">
        <f t="shared" si="13"/>
        <v>19630506</v>
      </c>
    </row>
    <row r="848" s="1" customFormat="1" spans="1:13">
      <c r="A848" s="2">
        <v>406</v>
      </c>
      <c r="B848" s="29" t="s">
        <v>1040</v>
      </c>
      <c r="C848" s="29" t="s">
        <v>1089</v>
      </c>
      <c r="D848" s="29" t="s">
        <v>1090</v>
      </c>
      <c r="E848" s="30">
        <v>2020</v>
      </c>
      <c r="F848" s="30">
        <v>2020</v>
      </c>
      <c r="G848" s="29" t="s">
        <v>16</v>
      </c>
      <c r="H848" s="29">
        <v>200</v>
      </c>
      <c r="I848" s="29">
        <v>200</v>
      </c>
      <c r="J848" s="29"/>
      <c r="K848" s="47"/>
      <c r="L848" s="2" t="s">
        <v>330</v>
      </c>
      <c r="M848" s="36" t="str">
        <f t="shared" si="13"/>
        <v>19630510</v>
      </c>
    </row>
    <row r="849" s="1" customFormat="1" spans="1:13">
      <c r="A849" s="2">
        <v>3160</v>
      </c>
      <c r="B849" s="3" t="s">
        <v>6671</v>
      </c>
      <c r="C849" s="9" t="s">
        <v>6836</v>
      </c>
      <c r="D849" s="9" t="s">
        <v>6837</v>
      </c>
      <c r="E849" s="3" t="s">
        <v>15</v>
      </c>
      <c r="F849" s="3" t="s">
        <v>15</v>
      </c>
      <c r="G849" s="6" t="s">
        <v>3359</v>
      </c>
      <c r="H849" s="9">
        <v>200</v>
      </c>
      <c r="I849" s="9">
        <v>200</v>
      </c>
      <c r="J849" s="6"/>
      <c r="K849" s="5"/>
      <c r="L849" s="10">
        <v>20201118</v>
      </c>
      <c r="M849" s="36" t="str">
        <f t="shared" si="13"/>
        <v>19630514</v>
      </c>
    </row>
    <row r="850" s="1" customFormat="1" spans="1:13">
      <c r="A850" s="2">
        <v>8057</v>
      </c>
      <c r="B850" s="5" t="s">
        <v>15086</v>
      </c>
      <c r="C850" s="6" t="s">
        <v>15337</v>
      </c>
      <c r="D850" s="6" t="s">
        <v>15338</v>
      </c>
      <c r="E850" s="5" t="s">
        <v>15</v>
      </c>
      <c r="F850" s="5">
        <v>2020</v>
      </c>
      <c r="G850" s="5" t="s">
        <v>16</v>
      </c>
      <c r="H850" s="5">
        <v>500</v>
      </c>
      <c r="I850" s="5">
        <v>500</v>
      </c>
      <c r="J850" s="5"/>
      <c r="K850" s="5"/>
      <c r="L850" s="10">
        <v>20201118</v>
      </c>
      <c r="M850" s="36" t="str">
        <f t="shared" si="13"/>
        <v>19630514</v>
      </c>
    </row>
    <row r="851" s="1" customFormat="1" spans="1:13">
      <c r="A851" s="2">
        <v>1460</v>
      </c>
      <c r="B851" s="5" t="s">
        <v>3381</v>
      </c>
      <c r="C851" s="9" t="s">
        <v>3488</v>
      </c>
      <c r="D851" s="9" t="s">
        <v>3489</v>
      </c>
      <c r="E851" s="5">
        <v>2020</v>
      </c>
      <c r="F851" s="5">
        <v>2020</v>
      </c>
      <c r="G851" s="14" t="s">
        <v>16</v>
      </c>
      <c r="H851" s="6">
        <v>200</v>
      </c>
      <c r="I851" s="6">
        <v>200</v>
      </c>
      <c r="J851" s="5"/>
      <c r="K851" s="13"/>
      <c r="L851" s="10">
        <v>20201118</v>
      </c>
      <c r="M851" s="36" t="str">
        <f t="shared" si="13"/>
        <v>19630516</v>
      </c>
    </row>
    <row r="852" s="1" customFormat="1" spans="1:13">
      <c r="A852" s="2">
        <v>4476</v>
      </c>
      <c r="B852" s="6" t="s">
        <v>9015</v>
      </c>
      <c r="C852" s="6" t="s">
        <v>9135</v>
      </c>
      <c r="D852" s="6" t="s">
        <v>9136</v>
      </c>
      <c r="E852" s="6">
        <v>2020</v>
      </c>
      <c r="F852" s="6">
        <v>2020</v>
      </c>
      <c r="G852" s="6" t="s">
        <v>16</v>
      </c>
      <c r="H852" s="6">
        <v>200</v>
      </c>
      <c r="I852" s="6">
        <v>200</v>
      </c>
      <c r="J852" s="6" t="s">
        <v>108</v>
      </c>
      <c r="K852" s="6"/>
      <c r="L852" s="10">
        <v>20201118</v>
      </c>
      <c r="M852" s="36" t="str">
        <f t="shared" si="13"/>
        <v>19630516</v>
      </c>
    </row>
    <row r="853" s="1" customFormat="1" spans="1:13">
      <c r="A853" s="2">
        <v>1461</v>
      </c>
      <c r="B853" s="5" t="s">
        <v>3381</v>
      </c>
      <c r="C853" s="9" t="s">
        <v>3490</v>
      </c>
      <c r="D853" s="9" t="s">
        <v>3491</v>
      </c>
      <c r="E853" s="5">
        <v>2020</v>
      </c>
      <c r="F853" s="5">
        <v>2020</v>
      </c>
      <c r="G853" s="14" t="s">
        <v>16</v>
      </c>
      <c r="H853" s="6">
        <v>200</v>
      </c>
      <c r="I853" s="6">
        <v>200</v>
      </c>
      <c r="J853" s="5"/>
      <c r="K853" s="13"/>
      <c r="L853" s="10">
        <v>20201118</v>
      </c>
      <c r="M853" s="36" t="str">
        <f t="shared" si="13"/>
        <v>19630520</v>
      </c>
    </row>
    <row r="854" s="1" customFormat="1" ht="14.25" spans="1:13">
      <c r="A854" s="2">
        <v>2928</v>
      </c>
      <c r="B854" s="6" t="s">
        <v>6075</v>
      </c>
      <c r="C854" s="25" t="s">
        <v>6383</v>
      </c>
      <c r="D854" s="26" t="s">
        <v>6384</v>
      </c>
      <c r="E854" s="5" t="s">
        <v>15</v>
      </c>
      <c r="F854" s="5">
        <v>2020</v>
      </c>
      <c r="G854" s="6" t="s">
        <v>16</v>
      </c>
      <c r="H854" s="6">
        <v>200</v>
      </c>
      <c r="I854" s="6">
        <v>200</v>
      </c>
      <c r="J854" s="6"/>
      <c r="K854" s="10"/>
      <c r="L854" s="10">
        <v>20201118</v>
      </c>
      <c r="M854" s="36" t="str">
        <f t="shared" si="13"/>
        <v>19630520</v>
      </c>
    </row>
    <row r="855" s="1" customFormat="1" spans="1:13">
      <c r="A855" s="2">
        <v>3136</v>
      </c>
      <c r="B855" s="3" t="s">
        <v>6671</v>
      </c>
      <c r="C855" s="9" t="s">
        <v>6792</v>
      </c>
      <c r="D855" s="9" t="s">
        <v>6793</v>
      </c>
      <c r="E855" s="3" t="s">
        <v>15</v>
      </c>
      <c r="F855" s="3" t="s">
        <v>15</v>
      </c>
      <c r="G855" s="6" t="s">
        <v>3359</v>
      </c>
      <c r="H855" s="9">
        <v>200</v>
      </c>
      <c r="I855" s="9">
        <v>200</v>
      </c>
      <c r="J855" s="6"/>
      <c r="K855" s="5"/>
      <c r="L855" s="10">
        <v>20201118</v>
      </c>
      <c r="M855" s="36" t="str">
        <f t="shared" si="13"/>
        <v>19630520</v>
      </c>
    </row>
    <row r="856" s="1" customFormat="1" spans="1:13">
      <c r="A856" s="2">
        <v>4575</v>
      </c>
      <c r="B856" s="6" t="s">
        <v>9015</v>
      </c>
      <c r="C856" s="6" t="s">
        <v>9327</v>
      </c>
      <c r="D856" s="6" t="s">
        <v>9328</v>
      </c>
      <c r="E856" s="6">
        <v>2020</v>
      </c>
      <c r="F856" s="6">
        <v>2020</v>
      </c>
      <c r="G856" s="6" t="s">
        <v>16</v>
      </c>
      <c r="H856" s="6">
        <v>200</v>
      </c>
      <c r="I856" s="6">
        <v>200</v>
      </c>
      <c r="J856" s="6"/>
      <c r="K856" s="6"/>
      <c r="L856" s="10">
        <v>20201118</v>
      </c>
      <c r="M856" s="36" t="str">
        <f t="shared" si="13"/>
        <v>19630520</v>
      </c>
    </row>
    <row r="857" s="1" customFormat="1" spans="1:13">
      <c r="A857" s="2">
        <v>5814</v>
      </c>
      <c r="B857" s="30" t="s">
        <v>11090</v>
      </c>
      <c r="C857" s="30" t="s">
        <v>11697</v>
      </c>
      <c r="D857" s="30" t="s">
        <v>11698</v>
      </c>
      <c r="E857" s="5" t="s">
        <v>15</v>
      </c>
      <c r="F857" s="5" t="s">
        <v>10250</v>
      </c>
      <c r="G857" s="6" t="s">
        <v>16</v>
      </c>
      <c r="H857" s="32">
        <v>200</v>
      </c>
      <c r="I857" s="32">
        <v>200</v>
      </c>
      <c r="J857" s="6" t="s">
        <v>6097</v>
      </c>
      <c r="K857" s="48"/>
      <c r="L857" s="10">
        <v>20201118</v>
      </c>
      <c r="M857" s="36" t="str">
        <f t="shared" si="13"/>
        <v>19630520</v>
      </c>
    </row>
    <row r="858" s="1" customFormat="1" spans="1:13">
      <c r="A858" s="2">
        <v>6385</v>
      </c>
      <c r="B858" s="5" t="s">
        <v>12263</v>
      </c>
      <c r="C858" s="5" t="s">
        <v>12782</v>
      </c>
      <c r="D858" s="5" t="s">
        <v>12783</v>
      </c>
      <c r="E858" s="5" t="s">
        <v>10250</v>
      </c>
      <c r="F858" s="5">
        <v>2020</v>
      </c>
      <c r="G858" s="17" t="s">
        <v>3359</v>
      </c>
      <c r="H858" s="5" t="s">
        <v>311</v>
      </c>
      <c r="I858" s="5">
        <v>200</v>
      </c>
      <c r="J858" s="5"/>
      <c r="K858" s="5"/>
      <c r="L858" s="10">
        <v>20201118</v>
      </c>
      <c r="M858" s="36" t="str">
        <f t="shared" si="13"/>
        <v>19630521</v>
      </c>
    </row>
    <row r="859" s="1" customFormat="1" spans="1:13">
      <c r="A859" s="2">
        <v>242</v>
      </c>
      <c r="B859" s="14" t="s">
        <v>327</v>
      </c>
      <c r="C859" s="14" t="s">
        <v>612</v>
      </c>
      <c r="D859" s="14" t="s">
        <v>613</v>
      </c>
      <c r="E859" s="5">
        <v>2020</v>
      </c>
      <c r="F859" s="5">
        <v>2020</v>
      </c>
      <c r="G859" s="14" t="s">
        <v>16</v>
      </c>
      <c r="H859" s="14">
        <v>200</v>
      </c>
      <c r="I859" s="14">
        <v>200</v>
      </c>
      <c r="J859" s="14"/>
      <c r="K859" s="10"/>
      <c r="L859" s="14" t="s">
        <v>330</v>
      </c>
      <c r="M859" s="36" t="str">
        <f t="shared" si="13"/>
        <v>19630522</v>
      </c>
    </row>
    <row r="860" s="1" customFormat="1" spans="1:13">
      <c r="A860" s="2">
        <v>1855</v>
      </c>
      <c r="B860" s="5" t="s">
        <v>4189</v>
      </c>
      <c r="C860" s="16" t="s">
        <v>4274</v>
      </c>
      <c r="D860" s="16" t="s">
        <v>4275</v>
      </c>
      <c r="E860" s="5" t="s">
        <v>15</v>
      </c>
      <c r="F860" s="5" t="s">
        <v>15</v>
      </c>
      <c r="G860" s="5" t="s">
        <v>3359</v>
      </c>
      <c r="H860" s="16">
        <v>200</v>
      </c>
      <c r="I860" s="16">
        <v>200</v>
      </c>
      <c r="J860" s="5"/>
      <c r="K860" s="10"/>
      <c r="L860" s="10">
        <v>20201118</v>
      </c>
      <c r="M860" s="36" t="str">
        <f t="shared" si="13"/>
        <v>19630522</v>
      </c>
    </row>
    <row r="861" s="1" customFormat="1" spans="1:13">
      <c r="A861" s="2">
        <v>3645</v>
      </c>
      <c r="B861" s="5" t="s">
        <v>7412</v>
      </c>
      <c r="C861" s="5" t="s">
        <v>3471</v>
      </c>
      <c r="D861" s="5" t="s">
        <v>7554</v>
      </c>
      <c r="E861" s="6">
        <v>2020</v>
      </c>
      <c r="F861" s="6">
        <v>2020</v>
      </c>
      <c r="G861" s="5" t="s">
        <v>3359</v>
      </c>
      <c r="H861" s="5">
        <v>200</v>
      </c>
      <c r="I861" s="5">
        <v>200</v>
      </c>
      <c r="J861" s="5"/>
      <c r="K861" s="5"/>
      <c r="L861" s="10">
        <v>20201118</v>
      </c>
      <c r="M861" s="36" t="str">
        <f t="shared" si="13"/>
        <v>19630523</v>
      </c>
    </row>
    <row r="862" s="1" customFormat="1" spans="1:13">
      <c r="A862" s="2">
        <v>216</v>
      </c>
      <c r="B862" s="14" t="s">
        <v>327</v>
      </c>
      <c r="C862" s="14" t="s">
        <v>534</v>
      </c>
      <c r="D862" s="14" t="s">
        <v>535</v>
      </c>
      <c r="E862" s="5">
        <v>2020</v>
      </c>
      <c r="F862" s="5">
        <v>2020</v>
      </c>
      <c r="G862" s="14" t="s">
        <v>16</v>
      </c>
      <c r="H862" s="14">
        <v>400</v>
      </c>
      <c r="I862" s="14">
        <v>400</v>
      </c>
      <c r="J862" s="14"/>
      <c r="K862" s="10"/>
      <c r="L862" s="14" t="s">
        <v>330</v>
      </c>
      <c r="M862" s="36" t="str">
        <f t="shared" si="13"/>
        <v>19630525</v>
      </c>
    </row>
    <row r="863" s="1" customFormat="1" spans="1:13">
      <c r="A863" s="2">
        <v>3646</v>
      </c>
      <c r="B863" s="5" t="s">
        <v>7412</v>
      </c>
      <c r="C863" s="5" t="s">
        <v>7555</v>
      </c>
      <c r="D863" s="5" t="s">
        <v>7556</v>
      </c>
      <c r="E863" s="6">
        <v>2020</v>
      </c>
      <c r="F863" s="6">
        <v>2020</v>
      </c>
      <c r="G863" s="5" t="s">
        <v>3359</v>
      </c>
      <c r="H863" s="5">
        <v>200</v>
      </c>
      <c r="I863" s="5">
        <v>200</v>
      </c>
      <c r="J863" s="5"/>
      <c r="K863" s="5"/>
      <c r="L863" s="10">
        <v>20201118</v>
      </c>
      <c r="M863" s="36" t="str">
        <f t="shared" si="13"/>
        <v>19630526</v>
      </c>
    </row>
    <row r="864" s="1" customFormat="1" spans="1:13">
      <c r="A864" s="2">
        <v>5695</v>
      </c>
      <c r="B864" s="30" t="s">
        <v>11090</v>
      </c>
      <c r="C864" s="30" t="s">
        <v>11475</v>
      </c>
      <c r="D864" s="30" t="s">
        <v>11476</v>
      </c>
      <c r="E864" s="5" t="s">
        <v>15</v>
      </c>
      <c r="F864" s="5" t="s">
        <v>10250</v>
      </c>
      <c r="G864" s="6" t="s">
        <v>16</v>
      </c>
      <c r="H864" s="32">
        <v>200</v>
      </c>
      <c r="I864" s="32">
        <v>200</v>
      </c>
      <c r="J864" s="6"/>
      <c r="K864" s="48"/>
      <c r="L864" s="10">
        <v>20201118</v>
      </c>
      <c r="M864" s="36" t="str">
        <f t="shared" si="13"/>
        <v>19630526</v>
      </c>
    </row>
    <row r="865" s="1" customFormat="1" spans="1:13">
      <c r="A865" s="2">
        <v>384</v>
      </c>
      <c r="B865" s="21" t="s">
        <v>1040</v>
      </c>
      <c r="C865" s="21" t="s">
        <v>1041</v>
      </c>
      <c r="D865" s="22" t="s">
        <v>1042</v>
      </c>
      <c r="E865" s="10">
        <v>2020</v>
      </c>
      <c r="F865" s="2" t="s">
        <v>15</v>
      </c>
      <c r="G865" s="21" t="s">
        <v>16</v>
      </c>
      <c r="H865" s="21">
        <v>200</v>
      </c>
      <c r="I865" s="21">
        <v>200</v>
      </c>
      <c r="J865" s="44"/>
      <c r="K865" s="45"/>
      <c r="L865" s="2" t="s">
        <v>325</v>
      </c>
      <c r="M865" s="36" t="str">
        <f t="shared" si="13"/>
        <v>19630530</v>
      </c>
    </row>
    <row r="866" s="1" customFormat="1" spans="1:13">
      <c r="A866" s="2">
        <v>8168</v>
      </c>
      <c r="B866" s="5" t="s">
        <v>15406</v>
      </c>
      <c r="C866" s="6" t="s">
        <v>6823</v>
      </c>
      <c r="D866" s="69" t="s">
        <v>15526</v>
      </c>
      <c r="E866" s="5" t="s">
        <v>15</v>
      </c>
      <c r="F866" s="5">
        <v>2020</v>
      </c>
      <c r="G866" s="14" t="s">
        <v>16</v>
      </c>
      <c r="H866" s="6">
        <v>200</v>
      </c>
      <c r="I866" s="6">
        <v>200</v>
      </c>
      <c r="J866" s="5"/>
      <c r="K866" s="10"/>
      <c r="L866" s="10">
        <v>20201118</v>
      </c>
      <c r="M866" s="36" t="str">
        <f t="shared" si="13"/>
        <v>19630603</v>
      </c>
    </row>
    <row r="867" s="1" customFormat="1" spans="1:13">
      <c r="A867" s="2">
        <v>3495</v>
      </c>
      <c r="B867" s="5" t="s">
        <v>3375</v>
      </c>
      <c r="C867" s="6" t="s">
        <v>7279</v>
      </c>
      <c r="D867" s="6" t="str">
        <f>"152326196306076887"</f>
        <v>152326196306076887</v>
      </c>
      <c r="E867" s="5" t="s">
        <v>15</v>
      </c>
      <c r="F867" s="5">
        <v>2020</v>
      </c>
      <c r="G867" s="14" t="s">
        <v>16</v>
      </c>
      <c r="H867" s="17">
        <v>200</v>
      </c>
      <c r="I867" s="17">
        <v>200</v>
      </c>
      <c r="J867" s="6"/>
      <c r="K867" s="10"/>
      <c r="L867" s="10">
        <v>20201118</v>
      </c>
      <c r="M867" s="36" t="str">
        <f t="shared" si="13"/>
        <v>19630607</v>
      </c>
    </row>
    <row r="868" s="1" customFormat="1" spans="1:13">
      <c r="A868" s="2">
        <v>6161</v>
      </c>
      <c r="B868" s="5" t="s">
        <v>12263</v>
      </c>
      <c r="C868" s="5" t="s">
        <v>12354</v>
      </c>
      <c r="D868" s="5" t="s">
        <v>12355</v>
      </c>
      <c r="E868" s="5" t="s">
        <v>10250</v>
      </c>
      <c r="F868" s="5">
        <v>2020</v>
      </c>
      <c r="G868" s="17" t="s">
        <v>3359</v>
      </c>
      <c r="H868" s="5">
        <v>200</v>
      </c>
      <c r="I868" s="5">
        <v>200</v>
      </c>
      <c r="J868" s="5"/>
      <c r="K868" s="5"/>
      <c r="L868" s="10">
        <v>20201118</v>
      </c>
      <c r="M868" s="36" t="str">
        <f t="shared" si="13"/>
        <v>19630607</v>
      </c>
    </row>
    <row r="869" s="1" customFormat="1" spans="1:13">
      <c r="A869" s="2">
        <v>3647</v>
      </c>
      <c r="B869" s="5" t="s">
        <v>7412</v>
      </c>
      <c r="C869" s="5" t="s">
        <v>7557</v>
      </c>
      <c r="D869" s="5" t="s">
        <v>7558</v>
      </c>
      <c r="E869" s="6">
        <v>2020</v>
      </c>
      <c r="F869" s="6">
        <v>2020</v>
      </c>
      <c r="G869" s="5" t="s">
        <v>3359</v>
      </c>
      <c r="H869" s="5">
        <v>200</v>
      </c>
      <c r="I869" s="5">
        <v>200</v>
      </c>
      <c r="J869" s="5"/>
      <c r="K869" s="5"/>
      <c r="L869" s="10">
        <v>20201118</v>
      </c>
      <c r="M869" s="36" t="str">
        <f t="shared" si="13"/>
        <v>19630608</v>
      </c>
    </row>
    <row r="870" s="1" customFormat="1" spans="1:13">
      <c r="A870" s="2">
        <v>4978</v>
      </c>
      <c r="B870" s="6" t="s">
        <v>9954</v>
      </c>
      <c r="C870" s="60" t="s">
        <v>10095</v>
      </c>
      <c r="D870" s="60" t="s">
        <v>10096</v>
      </c>
      <c r="E870" s="5" t="s">
        <v>15</v>
      </c>
      <c r="F870" s="5" t="s">
        <v>15</v>
      </c>
      <c r="G870" s="14" t="s">
        <v>16</v>
      </c>
      <c r="H870" s="6">
        <v>1000</v>
      </c>
      <c r="I870" s="6">
        <v>1000</v>
      </c>
      <c r="J870" s="6"/>
      <c r="K870" s="6"/>
      <c r="L870" s="10">
        <v>20201118</v>
      </c>
      <c r="M870" s="36" t="str">
        <f t="shared" si="13"/>
        <v>19630609</v>
      </c>
    </row>
    <row r="871" s="1" customFormat="1" ht="14.25" spans="1:13">
      <c r="A871" s="2">
        <v>6091</v>
      </c>
      <c r="B871" s="30" t="s">
        <v>11090</v>
      </c>
      <c r="C871" s="32" t="s">
        <v>12220</v>
      </c>
      <c r="D871" s="12" t="s">
        <v>12221</v>
      </c>
      <c r="E871" s="5" t="s">
        <v>15</v>
      </c>
      <c r="F871" s="5" t="s">
        <v>10250</v>
      </c>
      <c r="G871" s="6" t="s">
        <v>16</v>
      </c>
      <c r="H871" s="32">
        <v>200</v>
      </c>
      <c r="I871" s="32">
        <v>200</v>
      </c>
      <c r="J871" s="5"/>
      <c r="K871" s="48"/>
      <c r="L871" s="10">
        <v>20201118</v>
      </c>
      <c r="M871" s="36" t="str">
        <f t="shared" si="13"/>
        <v>19630609</v>
      </c>
    </row>
    <row r="872" s="1" customFormat="1" spans="1:13">
      <c r="A872" s="2">
        <v>538</v>
      </c>
      <c r="B872" s="29" t="s">
        <v>1040</v>
      </c>
      <c r="C872" s="29" t="s">
        <v>1353</v>
      </c>
      <c r="D872" s="29" t="s">
        <v>1354</v>
      </c>
      <c r="E872" s="30">
        <v>2020</v>
      </c>
      <c r="F872" s="30">
        <v>2020</v>
      </c>
      <c r="G872" s="29" t="s">
        <v>16</v>
      </c>
      <c r="H872" s="29">
        <v>200</v>
      </c>
      <c r="I872" s="29">
        <v>200</v>
      </c>
      <c r="J872" s="29"/>
      <c r="K872" s="47"/>
      <c r="L872" s="2" t="s">
        <v>330</v>
      </c>
      <c r="M872" s="36" t="str">
        <f t="shared" si="13"/>
        <v>19630610</v>
      </c>
    </row>
    <row r="873" s="1" customFormat="1" spans="1:13">
      <c r="A873" s="2">
        <v>2555</v>
      </c>
      <c r="B873" s="32" t="s">
        <v>5602</v>
      </c>
      <c r="C873" s="9" t="s">
        <v>5648</v>
      </c>
      <c r="D873" s="9" t="s">
        <v>5649</v>
      </c>
      <c r="E873" s="32">
        <v>2020</v>
      </c>
      <c r="F873" s="32">
        <v>2020</v>
      </c>
      <c r="G873" s="32" t="s">
        <v>16</v>
      </c>
      <c r="H873" s="9">
        <v>200</v>
      </c>
      <c r="I873" s="9">
        <v>200</v>
      </c>
      <c r="J873" s="32"/>
      <c r="K873" s="52"/>
      <c r="L873" s="10">
        <v>20201118</v>
      </c>
      <c r="M873" s="36" t="str">
        <f t="shared" si="13"/>
        <v>19630610</v>
      </c>
    </row>
    <row r="874" s="1" customFormat="1" spans="1:13">
      <c r="A874" s="2">
        <v>4506</v>
      </c>
      <c r="B874" s="6" t="s">
        <v>9015</v>
      </c>
      <c r="C874" s="6" t="s">
        <v>9194</v>
      </c>
      <c r="D874" s="6" t="s">
        <v>9195</v>
      </c>
      <c r="E874" s="6">
        <v>2020</v>
      </c>
      <c r="F874" s="6">
        <v>2020</v>
      </c>
      <c r="G874" s="6" t="s">
        <v>16</v>
      </c>
      <c r="H874" s="6">
        <v>200</v>
      </c>
      <c r="I874" s="6">
        <v>200</v>
      </c>
      <c r="J874" s="6"/>
      <c r="K874" s="6"/>
      <c r="L874" s="10">
        <v>20201118</v>
      </c>
      <c r="M874" s="36" t="str">
        <f t="shared" si="13"/>
        <v>19630612</v>
      </c>
    </row>
    <row r="875" s="1" customFormat="1" spans="1:13">
      <c r="A875" s="2">
        <v>6539</v>
      </c>
      <c r="B875" s="5" t="s">
        <v>13027</v>
      </c>
      <c r="C875" s="15" t="s">
        <v>13075</v>
      </c>
      <c r="D875" s="15" t="s">
        <v>13076</v>
      </c>
      <c r="E875" s="5">
        <v>2020</v>
      </c>
      <c r="F875" s="5">
        <v>2020</v>
      </c>
      <c r="G875" s="14" t="s">
        <v>16</v>
      </c>
      <c r="H875" s="15">
        <v>200</v>
      </c>
      <c r="I875" s="15">
        <v>200</v>
      </c>
      <c r="J875" s="5"/>
      <c r="K875" s="10"/>
      <c r="L875" s="10">
        <v>20201118</v>
      </c>
      <c r="M875" s="36" t="str">
        <f t="shared" si="13"/>
        <v>19630612</v>
      </c>
    </row>
    <row r="876" s="1" customFormat="1" spans="1:13">
      <c r="A876" s="2">
        <v>4179</v>
      </c>
      <c r="B876" s="9" t="s">
        <v>8515</v>
      </c>
      <c r="C876" s="9" t="s">
        <v>8564</v>
      </c>
      <c r="D876" s="9" t="s">
        <v>8565</v>
      </c>
      <c r="E876" s="5" t="s">
        <v>15</v>
      </c>
      <c r="F876" s="5">
        <v>2020</v>
      </c>
      <c r="G876" s="9" t="s">
        <v>2480</v>
      </c>
      <c r="H876" s="9">
        <v>200</v>
      </c>
      <c r="I876" s="9">
        <v>200</v>
      </c>
      <c r="J876" s="9"/>
      <c r="K876" s="9"/>
      <c r="L876" s="10">
        <v>20201118</v>
      </c>
      <c r="M876" s="36" t="str">
        <f t="shared" si="13"/>
        <v>19630613</v>
      </c>
    </row>
    <row r="877" s="1" customFormat="1" spans="1:13">
      <c r="A877" s="2">
        <v>1462</v>
      </c>
      <c r="B877" s="5" t="s">
        <v>3381</v>
      </c>
      <c r="C877" s="9" t="s">
        <v>3492</v>
      </c>
      <c r="D877" s="9" t="s">
        <v>3493</v>
      </c>
      <c r="E877" s="5">
        <v>2020</v>
      </c>
      <c r="F877" s="5">
        <v>2020</v>
      </c>
      <c r="G877" s="14" t="s">
        <v>16</v>
      </c>
      <c r="H877" s="6">
        <v>200</v>
      </c>
      <c r="I877" s="6">
        <v>200</v>
      </c>
      <c r="J877" s="5"/>
      <c r="K877" s="13"/>
      <c r="L877" s="10">
        <v>20201118</v>
      </c>
      <c r="M877" s="36" t="str">
        <f t="shared" si="13"/>
        <v>19630616</v>
      </c>
    </row>
    <row r="878" s="1" customFormat="1" spans="1:13">
      <c r="A878" s="2">
        <v>5816</v>
      </c>
      <c r="B878" s="30" t="s">
        <v>11090</v>
      </c>
      <c r="C878" s="30" t="s">
        <v>11701</v>
      </c>
      <c r="D878" s="30" t="s">
        <v>11702</v>
      </c>
      <c r="E878" s="5" t="s">
        <v>15</v>
      </c>
      <c r="F878" s="5" t="s">
        <v>10250</v>
      </c>
      <c r="G878" s="6" t="s">
        <v>16</v>
      </c>
      <c r="H878" s="32">
        <v>200</v>
      </c>
      <c r="I878" s="32">
        <v>200</v>
      </c>
      <c r="J878" s="6"/>
      <c r="K878" s="48"/>
      <c r="L878" s="10">
        <v>20201118</v>
      </c>
      <c r="M878" s="36" t="str">
        <f t="shared" si="13"/>
        <v>19630619</v>
      </c>
    </row>
    <row r="879" s="1" customFormat="1" ht="14.25" spans="1:13">
      <c r="A879" s="2">
        <v>6038</v>
      </c>
      <c r="B879" s="30" t="s">
        <v>11090</v>
      </c>
      <c r="C879" s="32" t="s">
        <v>12119</v>
      </c>
      <c r="D879" s="12" t="s">
        <v>12120</v>
      </c>
      <c r="E879" s="5" t="s">
        <v>15</v>
      </c>
      <c r="F879" s="5" t="s">
        <v>10250</v>
      </c>
      <c r="G879" s="6" t="s">
        <v>16</v>
      </c>
      <c r="H879" s="32">
        <v>200</v>
      </c>
      <c r="I879" s="32">
        <v>200</v>
      </c>
      <c r="J879" s="5"/>
      <c r="K879" s="48"/>
      <c r="L879" s="10">
        <v>20201118</v>
      </c>
      <c r="M879" s="36" t="str">
        <f t="shared" si="13"/>
        <v>19630619</v>
      </c>
    </row>
    <row r="880" s="1" customFormat="1" spans="1:13">
      <c r="A880" s="2">
        <v>1857</v>
      </c>
      <c r="B880" s="5" t="s">
        <v>4189</v>
      </c>
      <c r="C880" s="16" t="s">
        <v>4278</v>
      </c>
      <c r="D880" s="16" t="s">
        <v>4279</v>
      </c>
      <c r="E880" s="5" t="s">
        <v>15</v>
      </c>
      <c r="F880" s="5" t="s">
        <v>15</v>
      </c>
      <c r="G880" s="5" t="s">
        <v>3359</v>
      </c>
      <c r="H880" s="16">
        <v>200</v>
      </c>
      <c r="I880" s="16">
        <v>200</v>
      </c>
      <c r="J880" s="5"/>
      <c r="K880" s="10"/>
      <c r="L880" s="10">
        <v>20201118</v>
      </c>
      <c r="M880" s="36" t="str">
        <f t="shared" si="13"/>
        <v>19630620</v>
      </c>
    </row>
    <row r="881" s="1" customFormat="1" spans="1:13">
      <c r="A881" s="2">
        <v>4475</v>
      </c>
      <c r="B881" s="6" t="s">
        <v>9015</v>
      </c>
      <c r="C881" s="6" t="s">
        <v>151</v>
      </c>
      <c r="D881" s="6" t="s">
        <v>9134</v>
      </c>
      <c r="E881" s="6">
        <v>2020</v>
      </c>
      <c r="F881" s="6">
        <v>2020</v>
      </c>
      <c r="G881" s="6" t="s">
        <v>16</v>
      </c>
      <c r="H881" s="6">
        <v>200</v>
      </c>
      <c r="I881" s="6">
        <v>200</v>
      </c>
      <c r="J881" s="6" t="s">
        <v>108</v>
      </c>
      <c r="K881" s="6"/>
      <c r="L881" s="10">
        <v>20201118</v>
      </c>
      <c r="M881" s="36" t="str">
        <f t="shared" si="13"/>
        <v>19630701</v>
      </c>
    </row>
    <row r="882" s="1" customFormat="1" spans="1:13">
      <c r="A882" s="2">
        <v>1858</v>
      </c>
      <c r="B882" s="5" t="s">
        <v>4189</v>
      </c>
      <c r="C882" s="16" t="s">
        <v>4280</v>
      </c>
      <c r="D882" s="16" t="s">
        <v>4281</v>
      </c>
      <c r="E882" s="5" t="s">
        <v>15</v>
      </c>
      <c r="F882" s="5" t="s">
        <v>15</v>
      </c>
      <c r="G882" s="5" t="s">
        <v>3359</v>
      </c>
      <c r="H882" s="16">
        <v>200</v>
      </c>
      <c r="I882" s="16">
        <v>200</v>
      </c>
      <c r="J882" s="5"/>
      <c r="K882" s="10"/>
      <c r="L882" s="10">
        <v>20201118</v>
      </c>
      <c r="M882" s="36" t="str">
        <f t="shared" si="13"/>
        <v>19630702</v>
      </c>
    </row>
    <row r="883" s="1" customFormat="1" spans="1:13">
      <c r="A883" s="2">
        <v>7032</v>
      </c>
      <c r="B883" s="5" t="s">
        <v>13533</v>
      </c>
      <c r="C883" s="32" t="s">
        <v>13778</v>
      </c>
      <c r="D883" s="32" t="str">
        <f>"152326196307027139"</f>
        <v>152326196307027139</v>
      </c>
      <c r="E883" s="5">
        <v>2020</v>
      </c>
      <c r="F883" s="5">
        <v>2020</v>
      </c>
      <c r="G883" s="9" t="s">
        <v>2480</v>
      </c>
      <c r="H883" s="32">
        <v>200</v>
      </c>
      <c r="I883" s="32">
        <v>200</v>
      </c>
      <c r="J883" s="32"/>
      <c r="K883" s="10"/>
      <c r="L883" s="10">
        <v>20201118</v>
      </c>
      <c r="M883" s="36" t="str">
        <f t="shared" si="13"/>
        <v>19630702</v>
      </c>
    </row>
    <row r="884" s="1" customFormat="1" spans="1:13">
      <c r="A884" s="2">
        <v>968</v>
      </c>
      <c r="B884" s="5" t="s">
        <v>2469</v>
      </c>
      <c r="C884" s="9" t="s">
        <v>2528</v>
      </c>
      <c r="D884" s="9" t="s">
        <v>2529</v>
      </c>
      <c r="E884" s="5">
        <v>2020</v>
      </c>
      <c r="F884" s="5">
        <v>2020</v>
      </c>
      <c r="G884" s="9" t="s">
        <v>2480</v>
      </c>
      <c r="H884" s="9">
        <v>200</v>
      </c>
      <c r="I884" s="9">
        <v>200</v>
      </c>
      <c r="J884" s="5"/>
      <c r="K884" s="5"/>
      <c r="L884" s="10">
        <v>20201118</v>
      </c>
      <c r="M884" s="36" t="str">
        <f t="shared" si="13"/>
        <v>19630703</v>
      </c>
    </row>
    <row r="885" s="1" customFormat="1" spans="1:13">
      <c r="A885" s="2">
        <v>1859</v>
      </c>
      <c r="B885" s="5" t="s">
        <v>4189</v>
      </c>
      <c r="C885" s="16" t="s">
        <v>4282</v>
      </c>
      <c r="D885" s="16" t="s">
        <v>4283</v>
      </c>
      <c r="E885" s="5" t="s">
        <v>15</v>
      </c>
      <c r="F885" s="5" t="s">
        <v>15</v>
      </c>
      <c r="G885" s="5" t="s">
        <v>3359</v>
      </c>
      <c r="H885" s="16">
        <v>200</v>
      </c>
      <c r="I885" s="16">
        <v>200</v>
      </c>
      <c r="J885" s="5"/>
      <c r="K885" s="10"/>
      <c r="L885" s="10">
        <v>20201118</v>
      </c>
      <c r="M885" s="36" t="str">
        <f t="shared" si="13"/>
        <v>19630704</v>
      </c>
    </row>
    <row r="886" s="1" customFormat="1" spans="1:13">
      <c r="A886" s="2">
        <v>1889</v>
      </c>
      <c r="B886" s="5" t="s">
        <v>4189</v>
      </c>
      <c r="C886" s="16" t="s">
        <v>4341</v>
      </c>
      <c r="D886" s="16" t="s">
        <v>4342</v>
      </c>
      <c r="E886" s="5" t="s">
        <v>15</v>
      </c>
      <c r="F886" s="5" t="s">
        <v>15</v>
      </c>
      <c r="G886" s="5" t="s">
        <v>3359</v>
      </c>
      <c r="H886" s="16">
        <v>200</v>
      </c>
      <c r="I886" s="16">
        <v>200</v>
      </c>
      <c r="J886" s="5"/>
      <c r="K886" s="10"/>
      <c r="L886" s="10">
        <v>20201118</v>
      </c>
      <c r="M886" s="36" t="str">
        <f t="shared" si="13"/>
        <v>19630705</v>
      </c>
    </row>
    <row r="887" s="1" customFormat="1" spans="1:13">
      <c r="A887" s="2">
        <v>5762</v>
      </c>
      <c r="B887" s="30" t="s">
        <v>11090</v>
      </c>
      <c r="C887" s="30" t="s">
        <v>7131</v>
      </c>
      <c r="D887" s="30" t="s">
        <v>11602</v>
      </c>
      <c r="E887" s="5" t="s">
        <v>15</v>
      </c>
      <c r="F887" s="5" t="s">
        <v>10250</v>
      </c>
      <c r="G887" s="6" t="s">
        <v>16</v>
      </c>
      <c r="H887" s="32">
        <v>200</v>
      </c>
      <c r="I887" s="32">
        <v>200</v>
      </c>
      <c r="J887" s="6"/>
      <c r="K887" s="48"/>
      <c r="L887" s="10">
        <v>20201118</v>
      </c>
      <c r="M887" s="36" t="str">
        <f t="shared" si="13"/>
        <v>19630705</v>
      </c>
    </row>
    <row r="888" s="1" customFormat="1" spans="1:13">
      <c r="A888" s="2">
        <v>6344</v>
      </c>
      <c r="B888" s="5" t="s">
        <v>12263</v>
      </c>
      <c r="C888" s="5" t="s">
        <v>12704</v>
      </c>
      <c r="D888" s="5" t="s">
        <v>12705</v>
      </c>
      <c r="E888" s="5" t="s">
        <v>10250</v>
      </c>
      <c r="F888" s="5">
        <v>2020</v>
      </c>
      <c r="G888" s="17" t="s">
        <v>3359</v>
      </c>
      <c r="H888" s="5" t="s">
        <v>311</v>
      </c>
      <c r="I888" s="5">
        <v>200</v>
      </c>
      <c r="J888" s="5"/>
      <c r="K888" s="5"/>
      <c r="L888" s="10">
        <v>20201118</v>
      </c>
      <c r="M888" s="36" t="str">
        <f t="shared" si="13"/>
        <v>19630705</v>
      </c>
    </row>
    <row r="889" s="1" customFormat="1" ht="14.25" spans="1:13">
      <c r="A889" s="2">
        <v>2882</v>
      </c>
      <c r="B889" s="6" t="s">
        <v>6075</v>
      </c>
      <c r="C889" s="25" t="s">
        <v>6293</v>
      </c>
      <c r="D889" s="26" t="s">
        <v>6294</v>
      </c>
      <c r="E889" s="5" t="s">
        <v>15</v>
      </c>
      <c r="F889" s="5">
        <v>2020</v>
      </c>
      <c r="G889" s="6" t="s">
        <v>16</v>
      </c>
      <c r="H889" s="6">
        <v>200</v>
      </c>
      <c r="I889" s="6">
        <v>200</v>
      </c>
      <c r="J889" s="6" t="s">
        <v>6097</v>
      </c>
      <c r="K889" s="10"/>
      <c r="L889" s="10">
        <v>20201118</v>
      </c>
      <c r="M889" s="36" t="str">
        <f t="shared" si="13"/>
        <v>19630707</v>
      </c>
    </row>
    <row r="890" s="1" customFormat="1" spans="1:13">
      <c r="A890" s="2">
        <v>969</v>
      </c>
      <c r="B890" s="5" t="s">
        <v>2469</v>
      </c>
      <c r="C890" s="9" t="s">
        <v>2530</v>
      </c>
      <c r="D890" s="9" t="s">
        <v>2531</v>
      </c>
      <c r="E890" s="5">
        <v>2020</v>
      </c>
      <c r="F890" s="5">
        <v>2020</v>
      </c>
      <c r="G890" s="9" t="s">
        <v>2480</v>
      </c>
      <c r="H890" s="9">
        <v>200</v>
      </c>
      <c r="I890" s="9">
        <v>200</v>
      </c>
      <c r="J890" s="5"/>
      <c r="K890" s="5"/>
      <c r="L890" s="10">
        <v>20201118</v>
      </c>
      <c r="M890" s="36" t="str">
        <f t="shared" si="13"/>
        <v>19630708</v>
      </c>
    </row>
    <row r="891" s="1" customFormat="1" spans="1:13">
      <c r="A891" s="2">
        <v>7040</v>
      </c>
      <c r="B891" s="5" t="s">
        <v>13533</v>
      </c>
      <c r="C891" s="32" t="s">
        <v>13787</v>
      </c>
      <c r="D891" s="32" t="str">
        <f>"152326196307107112"</f>
        <v>152326196307107112</v>
      </c>
      <c r="E891" s="5">
        <v>2020</v>
      </c>
      <c r="F891" s="5">
        <v>2020</v>
      </c>
      <c r="G891" s="9" t="s">
        <v>2480</v>
      </c>
      <c r="H891" s="32">
        <v>200</v>
      </c>
      <c r="I891" s="32">
        <v>200</v>
      </c>
      <c r="J891" s="32"/>
      <c r="K891" s="10"/>
      <c r="L891" s="10">
        <v>20201118</v>
      </c>
      <c r="M891" s="36" t="str">
        <f t="shared" si="13"/>
        <v>19630710</v>
      </c>
    </row>
    <row r="892" s="1" customFormat="1" spans="1:13">
      <c r="A892" s="2">
        <v>152</v>
      </c>
      <c r="B892" s="14" t="s">
        <v>327</v>
      </c>
      <c r="C892" s="14" t="s">
        <v>344</v>
      </c>
      <c r="D892" s="14" t="s">
        <v>345</v>
      </c>
      <c r="E892" s="5">
        <v>2020</v>
      </c>
      <c r="F892" s="5">
        <v>2020</v>
      </c>
      <c r="G892" s="14" t="s">
        <v>16</v>
      </c>
      <c r="H892" s="14">
        <v>200</v>
      </c>
      <c r="I892" s="14">
        <v>200</v>
      </c>
      <c r="J892" s="14"/>
      <c r="K892" s="10"/>
      <c r="L892" s="14" t="s">
        <v>330</v>
      </c>
      <c r="M892" s="36" t="str">
        <f t="shared" si="13"/>
        <v>19630712</v>
      </c>
    </row>
    <row r="893" s="1" customFormat="1" ht="14.25" spans="1:13">
      <c r="A893" s="2">
        <v>5246</v>
      </c>
      <c r="B893" s="33" t="s">
        <v>10535</v>
      </c>
      <c r="C893" s="34" t="s">
        <v>7463</v>
      </c>
      <c r="D893" s="34" t="s">
        <v>10610</v>
      </c>
      <c r="E893" s="35">
        <v>2020</v>
      </c>
      <c r="F893" s="35">
        <v>2020</v>
      </c>
      <c r="G893" s="35" t="s">
        <v>16</v>
      </c>
      <c r="H893" s="34">
        <v>200</v>
      </c>
      <c r="I893" s="34">
        <v>200</v>
      </c>
      <c r="J893" s="49"/>
      <c r="K893" s="10"/>
      <c r="L893" s="10">
        <v>20201118</v>
      </c>
      <c r="M893" s="36" t="str">
        <f t="shared" si="13"/>
        <v>19630712</v>
      </c>
    </row>
    <row r="894" s="1" customFormat="1" spans="1:13">
      <c r="A894" s="2">
        <v>970</v>
      </c>
      <c r="B894" s="5" t="s">
        <v>2469</v>
      </c>
      <c r="C894" s="9" t="s">
        <v>2532</v>
      </c>
      <c r="D894" s="9" t="s">
        <v>2533</v>
      </c>
      <c r="E894" s="5">
        <v>2020</v>
      </c>
      <c r="F894" s="5">
        <v>2020</v>
      </c>
      <c r="G894" s="9" t="s">
        <v>2480</v>
      </c>
      <c r="H894" s="9">
        <v>200</v>
      </c>
      <c r="I894" s="9">
        <v>200</v>
      </c>
      <c r="J894" s="5"/>
      <c r="K894" s="5"/>
      <c r="L894" s="10">
        <v>20201118</v>
      </c>
      <c r="M894" s="36" t="str">
        <f t="shared" si="13"/>
        <v>19630713</v>
      </c>
    </row>
    <row r="895" s="1" customFormat="1" spans="1:13">
      <c r="A895" s="2">
        <v>1463</v>
      </c>
      <c r="B895" s="5" t="s">
        <v>3381</v>
      </c>
      <c r="C895" s="9" t="s">
        <v>3494</v>
      </c>
      <c r="D895" s="9" t="s">
        <v>3495</v>
      </c>
      <c r="E895" s="5">
        <v>2020</v>
      </c>
      <c r="F895" s="5">
        <v>2020</v>
      </c>
      <c r="G895" s="14" t="s">
        <v>16</v>
      </c>
      <c r="H895" s="6">
        <v>200</v>
      </c>
      <c r="I895" s="6">
        <v>200</v>
      </c>
      <c r="J895" s="5"/>
      <c r="K895" s="13"/>
      <c r="L895" s="10">
        <v>20201118</v>
      </c>
      <c r="M895" s="36" t="str">
        <f t="shared" si="13"/>
        <v>19630713</v>
      </c>
    </row>
    <row r="896" s="1" customFormat="1" spans="1:13">
      <c r="A896" s="2">
        <v>1854</v>
      </c>
      <c r="B896" s="5" t="s">
        <v>4189</v>
      </c>
      <c r="C896" s="16" t="s">
        <v>4272</v>
      </c>
      <c r="D896" s="16" t="s">
        <v>4273</v>
      </c>
      <c r="E896" s="5" t="s">
        <v>15</v>
      </c>
      <c r="F896" s="5" t="s">
        <v>15</v>
      </c>
      <c r="G896" s="5" t="s">
        <v>3359</v>
      </c>
      <c r="H896" s="16">
        <v>200</v>
      </c>
      <c r="I896" s="16">
        <v>200</v>
      </c>
      <c r="J896" s="5"/>
      <c r="K896" s="10"/>
      <c r="L896" s="10">
        <v>20201118</v>
      </c>
      <c r="M896" s="36" t="str">
        <f t="shared" si="13"/>
        <v>19630714</v>
      </c>
    </row>
    <row r="897" s="1" customFormat="1" spans="1:13">
      <c r="A897" s="2">
        <v>2415</v>
      </c>
      <c r="B897" s="5" t="s">
        <v>5328</v>
      </c>
      <c r="C897" s="16" t="s">
        <v>5371</v>
      </c>
      <c r="D897" s="16" t="s">
        <v>5372</v>
      </c>
      <c r="E897" s="5" t="s">
        <v>15</v>
      </c>
      <c r="F897" s="5" t="s">
        <v>15</v>
      </c>
      <c r="G897" s="14" t="s">
        <v>16</v>
      </c>
      <c r="H897" s="6">
        <v>200</v>
      </c>
      <c r="I897" s="6">
        <v>200</v>
      </c>
      <c r="J897" s="5"/>
      <c r="K897" s="5"/>
      <c r="L897" s="10">
        <v>20201118</v>
      </c>
      <c r="M897" s="36" t="str">
        <f t="shared" si="13"/>
        <v>19630714</v>
      </c>
    </row>
    <row r="898" s="1" customFormat="1" spans="1:13">
      <c r="A898" s="2">
        <v>1770</v>
      </c>
      <c r="B898" s="5" t="s">
        <v>3381</v>
      </c>
      <c r="C898" s="9" t="s">
        <v>4101</v>
      </c>
      <c r="D898" s="287" t="s">
        <v>4102</v>
      </c>
      <c r="E898" s="5">
        <v>2011</v>
      </c>
      <c r="F898" s="5">
        <v>2020</v>
      </c>
      <c r="G898" s="14" t="s">
        <v>289</v>
      </c>
      <c r="H898" s="18">
        <v>200</v>
      </c>
      <c r="I898" s="6">
        <v>2000</v>
      </c>
      <c r="J898" s="5"/>
      <c r="K898" s="13"/>
      <c r="L898" s="10">
        <v>20201118</v>
      </c>
      <c r="M898" s="36" t="str">
        <f t="shared" ref="M898:M961" si="14">MID(D898,7,8)</f>
        <v>19630719</v>
      </c>
    </row>
    <row r="899" s="1" customFormat="1" spans="1:13">
      <c r="A899" s="2">
        <v>6188</v>
      </c>
      <c r="B899" s="5" t="s">
        <v>12263</v>
      </c>
      <c r="C899" s="5" t="s">
        <v>12405</v>
      </c>
      <c r="D899" s="5" t="s">
        <v>12406</v>
      </c>
      <c r="E899" s="5" t="s">
        <v>10250</v>
      </c>
      <c r="F899" s="5">
        <v>2020</v>
      </c>
      <c r="G899" s="17" t="s">
        <v>3359</v>
      </c>
      <c r="H899" s="5">
        <v>200</v>
      </c>
      <c r="I899" s="5">
        <v>200</v>
      </c>
      <c r="J899" s="5"/>
      <c r="K899" s="5"/>
      <c r="L899" s="10">
        <v>20201118</v>
      </c>
      <c r="M899" s="36" t="str">
        <f t="shared" si="14"/>
        <v>19630719</v>
      </c>
    </row>
    <row r="900" s="1" customFormat="1" spans="1:13">
      <c r="A900" s="2">
        <v>8119</v>
      </c>
      <c r="B900" s="5" t="s">
        <v>15406</v>
      </c>
      <c r="C900" s="6" t="s">
        <v>15431</v>
      </c>
      <c r="D900" s="293" t="s">
        <v>15432</v>
      </c>
      <c r="E900" s="5" t="s">
        <v>15</v>
      </c>
      <c r="F900" s="5">
        <v>2020</v>
      </c>
      <c r="G900" s="14" t="s">
        <v>16</v>
      </c>
      <c r="H900" s="6">
        <v>200</v>
      </c>
      <c r="I900" s="6">
        <v>200</v>
      </c>
      <c r="J900" s="5"/>
      <c r="K900" s="10"/>
      <c r="L900" s="10">
        <v>20201118</v>
      </c>
      <c r="M900" s="36" t="str">
        <f t="shared" si="14"/>
        <v>19630720</v>
      </c>
    </row>
    <row r="901" s="1" customFormat="1" spans="1:13">
      <c r="A901" s="2">
        <v>5631</v>
      </c>
      <c r="B901" s="30" t="s">
        <v>11090</v>
      </c>
      <c r="C901" s="30" t="s">
        <v>11351</v>
      </c>
      <c r="D901" s="30" t="s">
        <v>11352</v>
      </c>
      <c r="E901" s="5" t="s">
        <v>15</v>
      </c>
      <c r="F901" s="5" t="s">
        <v>10250</v>
      </c>
      <c r="G901" s="6" t="s">
        <v>16</v>
      </c>
      <c r="H901" s="32">
        <v>1000</v>
      </c>
      <c r="I901" s="32">
        <v>1000</v>
      </c>
      <c r="J901" s="6"/>
      <c r="K901" s="48"/>
      <c r="L901" s="10">
        <v>20201118</v>
      </c>
      <c r="M901" s="36" t="str">
        <f t="shared" si="14"/>
        <v>19630721</v>
      </c>
    </row>
    <row r="902" s="1" customFormat="1" spans="1:13">
      <c r="A902" s="2">
        <v>3490</v>
      </c>
      <c r="B902" s="5" t="s">
        <v>3375</v>
      </c>
      <c r="C902" s="6" t="s">
        <v>7272</v>
      </c>
      <c r="D902" s="6" t="s">
        <v>7273</v>
      </c>
      <c r="E902" s="5" t="s">
        <v>15</v>
      </c>
      <c r="F902" s="5">
        <v>2020</v>
      </c>
      <c r="G902" s="14" t="s">
        <v>16</v>
      </c>
      <c r="H902" s="17">
        <v>200</v>
      </c>
      <c r="I902" s="17">
        <v>200</v>
      </c>
      <c r="J902" s="6" t="s">
        <v>4064</v>
      </c>
      <c r="K902" s="10"/>
      <c r="L902" s="10">
        <v>20201118</v>
      </c>
      <c r="M902" s="36" t="str">
        <f t="shared" si="14"/>
        <v>19630722</v>
      </c>
    </row>
    <row r="903" s="1" customFormat="1" spans="1:13">
      <c r="A903" s="2">
        <v>2123</v>
      </c>
      <c r="B903" s="5" t="s">
        <v>4189</v>
      </c>
      <c r="C903" s="9" t="s">
        <v>4796</v>
      </c>
      <c r="D903" s="9" t="s">
        <v>4797</v>
      </c>
      <c r="E903" s="5" t="s">
        <v>15</v>
      </c>
      <c r="F903" s="5" t="s">
        <v>15</v>
      </c>
      <c r="G903" s="5" t="s">
        <v>3359</v>
      </c>
      <c r="H903" s="16">
        <v>200</v>
      </c>
      <c r="I903" s="16">
        <v>200</v>
      </c>
      <c r="J903" s="5"/>
      <c r="K903" s="10"/>
      <c r="L903" s="10">
        <v>20201118</v>
      </c>
      <c r="M903" s="36" t="str">
        <f t="shared" si="14"/>
        <v>19630728</v>
      </c>
    </row>
    <row r="904" s="1" customFormat="1" ht="14.25" spans="1:13">
      <c r="A904" s="2">
        <v>5247</v>
      </c>
      <c r="B904" s="33" t="s">
        <v>10535</v>
      </c>
      <c r="C904" s="34" t="s">
        <v>10611</v>
      </c>
      <c r="D904" s="34" t="s">
        <v>10612</v>
      </c>
      <c r="E904" s="35">
        <v>2020</v>
      </c>
      <c r="F904" s="35">
        <v>2020</v>
      </c>
      <c r="G904" s="35" t="s">
        <v>16</v>
      </c>
      <c r="H904" s="34">
        <v>200</v>
      </c>
      <c r="I904" s="34">
        <v>200</v>
      </c>
      <c r="J904" s="49"/>
      <c r="K904" s="10"/>
      <c r="L904" s="10">
        <v>20201118</v>
      </c>
      <c r="M904" s="36" t="str">
        <f t="shared" si="14"/>
        <v>19630729</v>
      </c>
    </row>
    <row r="905" s="1" customFormat="1" spans="1:13">
      <c r="A905" s="2">
        <v>6244</v>
      </c>
      <c r="B905" s="5" t="s">
        <v>12263</v>
      </c>
      <c r="C905" s="5" t="s">
        <v>12510</v>
      </c>
      <c r="D905" s="5" t="s">
        <v>12511</v>
      </c>
      <c r="E905" s="5" t="s">
        <v>10250</v>
      </c>
      <c r="F905" s="5">
        <v>2020</v>
      </c>
      <c r="G905" s="17" t="s">
        <v>3359</v>
      </c>
      <c r="H905" s="5">
        <v>200</v>
      </c>
      <c r="I905" s="5">
        <v>200</v>
      </c>
      <c r="J905" s="5"/>
      <c r="K905" s="5"/>
      <c r="L905" s="10">
        <v>20201118</v>
      </c>
      <c r="M905" s="36" t="str">
        <f t="shared" si="14"/>
        <v>19630801</v>
      </c>
    </row>
    <row r="906" s="1" customFormat="1" spans="1:13">
      <c r="A906" s="2">
        <v>1464</v>
      </c>
      <c r="B906" s="5" t="s">
        <v>3381</v>
      </c>
      <c r="C906" s="9" t="s">
        <v>3496</v>
      </c>
      <c r="D906" s="9" t="s">
        <v>3497</v>
      </c>
      <c r="E906" s="5">
        <v>2020</v>
      </c>
      <c r="F906" s="5">
        <v>2020</v>
      </c>
      <c r="G906" s="14" t="s">
        <v>16</v>
      </c>
      <c r="H906" s="6">
        <v>200</v>
      </c>
      <c r="I906" s="6">
        <v>200</v>
      </c>
      <c r="J906" s="5"/>
      <c r="K906" s="13"/>
      <c r="L906" s="10">
        <v>20201118</v>
      </c>
      <c r="M906" s="36" t="str">
        <f t="shared" si="14"/>
        <v>19630804</v>
      </c>
    </row>
    <row r="907" s="1" customFormat="1" spans="1:13">
      <c r="A907" s="2">
        <v>1784</v>
      </c>
      <c r="B907" s="5" t="s">
        <v>3381</v>
      </c>
      <c r="C907" s="9" t="s">
        <v>4130</v>
      </c>
      <c r="D907" s="9" t="s">
        <v>4131</v>
      </c>
      <c r="E907" s="5">
        <v>2011</v>
      </c>
      <c r="F907" s="5">
        <v>2020</v>
      </c>
      <c r="G907" s="14" t="s">
        <v>289</v>
      </c>
      <c r="H907" s="18">
        <v>200</v>
      </c>
      <c r="I907" s="6">
        <v>2000</v>
      </c>
      <c r="J907" s="5"/>
      <c r="K907" s="13"/>
      <c r="L907" s="10">
        <v>20201118</v>
      </c>
      <c r="M907" s="36" t="str">
        <f t="shared" si="14"/>
        <v>19630804</v>
      </c>
    </row>
    <row r="908" s="1" customFormat="1" spans="1:13">
      <c r="A908" s="2">
        <v>4180</v>
      </c>
      <c r="B908" s="9" t="s">
        <v>8515</v>
      </c>
      <c r="C908" s="9" t="s">
        <v>8566</v>
      </c>
      <c r="D908" s="9" t="s">
        <v>8567</v>
      </c>
      <c r="E908" s="5" t="s">
        <v>15</v>
      </c>
      <c r="F908" s="5">
        <v>2020</v>
      </c>
      <c r="G908" s="9" t="s">
        <v>2480</v>
      </c>
      <c r="H908" s="9">
        <v>200</v>
      </c>
      <c r="I908" s="9">
        <v>200</v>
      </c>
      <c r="J908" s="9"/>
      <c r="K908" s="9"/>
      <c r="L908" s="10">
        <v>20201118</v>
      </c>
      <c r="M908" s="36" t="str">
        <f t="shared" si="14"/>
        <v>19630804</v>
      </c>
    </row>
    <row r="909" s="1" customFormat="1" spans="1:13">
      <c r="A909" s="2">
        <v>428</v>
      </c>
      <c r="B909" s="29" t="s">
        <v>1040</v>
      </c>
      <c r="C909" s="29" t="s">
        <v>1132</v>
      </c>
      <c r="D909" s="29" t="s">
        <v>1133</v>
      </c>
      <c r="E909" s="30">
        <v>2020</v>
      </c>
      <c r="F909" s="30">
        <v>2020</v>
      </c>
      <c r="G909" s="29" t="s">
        <v>16</v>
      </c>
      <c r="H909" s="29">
        <v>200</v>
      </c>
      <c r="I909" s="29">
        <v>200</v>
      </c>
      <c r="J909" s="29"/>
      <c r="K909" s="47"/>
      <c r="L909" s="2" t="s">
        <v>330</v>
      </c>
      <c r="M909" s="36" t="str">
        <f t="shared" si="14"/>
        <v>19630805</v>
      </c>
    </row>
    <row r="910" s="1" customFormat="1" spans="1:13">
      <c r="A910" s="2">
        <v>971</v>
      </c>
      <c r="B910" s="5" t="s">
        <v>2469</v>
      </c>
      <c r="C910" s="9" t="s">
        <v>2534</v>
      </c>
      <c r="D910" s="9" t="s">
        <v>2535</v>
      </c>
      <c r="E910" s="5">
        <v>2020</v>
      </c>
      <c r="F910" s="5">
        <v>2020</v>
      </c>
      <c r="G910" s="9" t="s">
        <v>2480</v>
      </c>
      <c r="H910" s="9">
        <v>200</v>
      </c>
      <c r="I910" s="9">
        <v>200</v>
      </c>
      <c r="J910" s="5"/>
      <c r="K910" s="5"/>
      <c r="L910" s="10">
        <v>20201118</v>
      </c>
      <c r="M910" s="36" t="str">
        <f t="shared" si="14"/>
        <v>19630806</v>
      </c>
    </row>
    <row r="911" s="1" customFormat="1" spans="1:13">
      <c r="A911" s="2">
        <v>3648</v>
      </c>
      <c r="B911" s="5" t="s">
        <v>7412</v>
      </c>
      <c r="C911" s="5" t="s">
        <v>7559</v>
      </c>
      <c r="D911" s="5" t="s">
        <v>7560</v>
      </c>
      <c r="E911" s="6">
        <v>2020</v>
      </c>
      <c r="F911" s="6">
        <v>2020</v>
      </c>
      <c r="G911" s="5" t="s">
        <v>3359</v>
      </c>
      <c r="H911" s="5">
        <v>200</v>
      </c>
      <c r="I911" s="5">
        <v>200</v>
      </c>
      <c r="J911" s="5"/>
      <c r="K911" s="5"/>
      <c r="L911" s="10">
        <v>20201118</v>
      </c>
      <c r="M911" s="36" t="str">
        <f t="shared" si="14"/>
        <v>19630806</v>
      </c>
    </row>
    <row r="912" s="1" customFormat="1" spans="1:13">
      <c r="A912" s="2">
        <v>444</v>
      </c>
      <c r="B912" s="29" t="s">
        <v>1040</v>
      </c>
      <c r="C912" s="29" t="s">
        <v>1164</v>
      </c>
      <c r="D912" s="29" t="s">
        <v>1165</v>
      </c>
      <c r="E912" s="30">
        <v>2020</v>
      </c>
      <c r="F912" s="30">
        <v>2020</v>
      </c>
      <c r="G912" s="29" t="s">
        <v>16</v>
      </c>
      <c r="H912" s="29">
        <v>200</v>
      </c>
      <c r="I912" s="29">
        <v>200</v>
      </c>
      <c r="J912" s="29"/>
      <c r="K912" s="47"/>
      <c r="L912" s="2" t="s">
        <v>330</v>
      </c>
      <c r="M912" s="36" t="str">
        <f t="shared" si="14"/>
        <v>19630807</v>
      </c>
    </row>
    <row r="913" s="1" customFormat="1" spans="1:13">
      <c r="A913" s="2">
        <v>1856</v>
      </c>
      <c r="B913" s="5" t="s">
        <v>4189</v>
      </c>
      <c r="C913" s="16" t="s">
        <v>4276</v>
      </c>
      <c r="D913" s="16" t="s">
        <v>4277</v>
      </c>
      <c r="E913" s="5" t="s">
        <v>15</v>
      </c>
      <c r="F913" s="5" t="s">
        <v>15</v>
      </c>
      <c r="G913" s="5" t="s">
        <v>3359</v>
      </c>
      <c r="H913" s="16">
        <v>200</v>
      </c>
      <c r="I913" s="16">
        <v>200</v>
      </c>
      <c r="J913" s="5"/>
      <c r="K913" s="10"/>
      <c r="L913" s="10">
        <v>20201118</v>
      </c>
      <c r="M913" s="36" t="str">
        <f t="shared" si="14"/>
        <v>19630807</v>
      </c>
    </row>
    <row r="914" s="1" customFormat="1" spans="1:13">
      <c r="A914" s="2">
        <v>3491</v>
      </c>
      <c r="B914" s="5" t="s">
        <v>3375</v>
      </c>
      <c r="C914" s="6" t="s">
        <v>7274</v>
      </c>
      <c r="D914" s="6" t="s">
        <v>7275</v>
      </c>
      <c r="E914" s="5" t="s">
        <v>15</v>
      </c>
      <c r="F914" s="5">
        <v>2020</v>
      </c>
      <c r="G914" s="14" t="s">
        <v>16</v>
      </c>
      <c r="H914" s="17">
        <v>200</v>
      </c>
      <c r="I914" s="17">
        <v>200</v>
      </c>
      <c r="J914" s="6" t="s">
        <v>4064</v>
      </c>
      <c r="K914" s="10"/>
      <c r="L914" s="10">
        <v>20201118</v>
      </c>
      <c r="M914" s="36" t="str">
        <f t="shared" si="14"/>
        <v>19630807</v>
      </c>
    </row>
    <row r="915" s="1" customFormat="1" spans="1:13">
      <c r="A915" s="2">
        <v>1465</v>
      </c>
      <c r="B915" s="5" t="s">
        <v>3381</v>
      </c>
      <c r="C915" s="9" t="s">
        <v>3498</v>
      </c>
      <c r="D915" s="9" t="s">
        <v>3499</v>
      </c>
      <c r="E915" s="5">
        <v>2020</v>
      </c>
      <c r="F915" s="5">
        <v>2020</v>
      </c>
      <c r="G915" s="14" t="s">
        <v>16</v>
      </c>
      <c r="H915" s="6">
        <v>200</v>
      </c>
      <c r="I915" s="6">
        <v>200</v>
      </c>
      <c r="J915" s="5"/>
      <c r="K915" s="13"/>
      <c r="L915" s="10">
        <v>20201118</v>
      </c>
      <c r="M915" s="36" t="str">
        <f t="shared" si="14"/>
        <v>19630808</v>
      </c>
    </row>
    <row r="916" s="1" customFormat="1" spans="1:13">
      <c r="A916" s="2">
        <v>2556</v>
      </c>
      <c r="B916" s="32" t="s">
        <v>5602</v>
      </c>
      <c r="C916" s="9" t="s">
        <v>5650</v>
      </c>
      <c r="D916" s="9" t="s">
        <v>5651</v>
      </c>
      <c r="E916" s="32">
        <v>2020</v>
      </c>
      <c r="F916" s="32">
        <v>2020</v>
      </c>
      <c r="G916" s="32" t="s">
        <v>16</v>
      </c>
      <c r="H916" s="9">
        <v>200</v>
      </c>
      <c r="I916" s="9">
        <v>200</v>
      </c>
      <c r="J916" s="32"/>
      <c r="K916" s="52"/>
      <c r="L916" s="10">
        <v>20201118</v>
      </c>
      <c r="M916" s="36" t="str">
        <f t="shared" si="14"/>
        <v>19630809</v>
      </c>
    </row>
    <row r="917" s="1" customFormat="1" spans="1:13">
      <c r="A917" s="2">
        <v>3649</v>
      </c>
      <c r="B917" s="5" t="s">
        <v>7412</v>
      </c>
      <c r="C917" s="5" t="s">
        <v>7561</v>
      </c>
      <c r="D917" s="5" t="s">
        <v>7562</v>
      </c>
      <c r="E917" s="6">
        <v>2020</v>
      </c>
      <c r="F917" s="6">
        <v>2020</v>
      </c>
      <c r="G917" s="5" t="s">
        <v>3359</v>
      </c>
      <c r="H917" s="5">
        <v>200</v>
      </c>
      <c r="I917" s="5">
        <v>200</v>
      </c>
      <c r="J917" s="5" t="s">
        <v>1242</v>
      </c>
      <c r="K917" s="5"/>
      <c r="L917" s="10">
        <v>20201118</v>
      </c>
      <c r="M917" s="36" t="str">
        <f t="shared" si="14"/>
        <v>19630810</v>
      </c>
    </row>
    <row r="918" s="1" customFormat="1" spans="1:13">
      <c r="A918" s="2">
        <v>8153</v>
      </c>
      <c r="B918" s="5" t="s">
        <v>15406</v>
      </c>
      <c r="C918" s="6" t="s">
        <v>15498</v>
      </c>
      <c r="D918" s="6" t="s">
        <v>15499</v>
      </c>
      <c r="E918" s="5" t="s">
        <v>15</v>
      </c>
      <c r="F918" s="5">
        <v>2020</v>
      </c>
      <c r="G918" s="14" t="s">
        <v>16</v>
      </c>
      <c r="H918" s="6">
        <v>200</v>
      </c>
      <c r="I918" s="6">
        <v>200</v>
      </c>
      <c r="J918" s="5"/>
      <c r="K918" s="10"/>
      <c r="L918" s="10">
        <v>20201118</v>
      </c>
      <c r="M918" s="36" t="str">
        <f t="shared" si="14"/>
        <v>19630810</v>
      </c>
    </row>
    <row r="919" s="1" customFormat="1" spans="1:13">
      <c r="A919" s="2">
        <v>6540</v>
      </c>
      <c r="B919" s="5" t="s">
        <v>13027</v>
      </c>
      <c r="C919" s="15" t="s">
        <v>13077</v>
      </c>
      <c r="D919" s="15" t="s">
        <v>13078</v>
      </c>
      <c r="E919" s="5">
        <v>2020</v>
      </c>
      <c r="F919" s="5">
        <v>2020</v>
      </c>
      <c r="G919" s="14" t="s">
        <v>16</v>
      </c>
      <c r="H919" s="15">
        <v>200</v>
      </c>
      <c r="I919" s="15">
        <v>200</v>
      </c>
      <c r="J919" s="5"/>
      <c r="K919" s="10"/>
      <c r="L919" s="10">
        <v>20201118</v>
      </c>
      <c r="M919" s="36" t="str">
        <f t="shared" si="14"/>
        <v>19630814</v>
      </c>
    </row>
    <row r="920" s="1" customFormat="1" spans="1:13">
      <c r="A920" s="2">
        <v>7280</v>
      </c>
      <c r="B920" s="5" t="s">
        <v>13908</v>
      </c>
      <c r="C920" s="5" t="s">
        <v>3764</v>
      </c>
      <c r="D920" s="5" t="s">
        <v>14200</v>
      </c>
      <c r="E920" s="5" t="s">
        <v>15</v>
      </c>
      <c r="F920" s="5" t="s">
        <v>15</v>
      </c>
      <c r="G920" s="14" t="s">
        <v>16</v>
      </c>
      <c r="H920" s="17">
        <v>200</v>
      </c>
      <c r="I920" s="17">
        <v>200</v>
      </c>
      <c r="J920" s="5"/>
      <c r="K920" s="10"/>
      <c r="L920" s="10">
        <v>20201118</v>
      </c>
      <c r="M920" s="36" t="str">
        <f t="shared" si="14"/>
        <v>19630814</v>
      </c>
    </row>
    <row r="921" s="1" customFormat="1" spans="1:13">
      <c r="A921" s="2">
        <v>2175</v>
      </c>
      <c r="B921" s="9" t="s">
        <v>4837</v>
      </c>
      <c r="C921" s="9" t="s">
        <v>4898</v>
      </c>
      <c r="D921" s="9" t="s">
        <v>4899</v>
      </c>
      <c r="E921" s="6" t="s">
        <v>15</v>
      </c>
      <c r="F921" s="6">
        <v>2020</v>
      </c>
      <c r="G921" s="9" t="s">
        <v>2480</v>
      </c>
      <c r="H921" s="9">
        <v>200</v>
      </c>
      <c r="I921" s="9">
        <v>200</v>
      </c>
      <c r="J921" s="6"/>
      <c r="K921" s="10"/>
      <c r="L921" s="10">
        <v>20201118</v>
      </c>
      <c r="M921" s="36" t="str">
        <f t="shared" si="14"/>
        <v>19630815</v>
      </c>
    </row>
    <row r="922" s="1" customFormat="1" spans="1:13">
      <c r="A922" s="2">
        <v>4548</v>
      </c>
      <c r="B922" s="6" t="s">
        <v>9015</v>
      </c>
      <c r="C922" s="6" t="s">
        <v>9276</v>
      </c>
      <c r="D922" s="6" t="s">
        <v>9277</v>
      </c>
      <c r="E922" s="6">
        <v>2020</v>
      </c>
      <c r="F922" s="6">
        <v>2020</v>
      </c>
      <c r="G922" s="6" t="s">
        <v>16</v>
      </c>
      <c r="H922" s="6">
        <v>200</v>
      </c>
      <c r="I922" s="6">
        <v>200</v>
      </c>
      <c r="J922" s="6"/>
      <c r="K922" s="6"/>
      <c r="L922" s="10">
        <v>20201118</v>
      </c>
      <c r="M922" s="36" t="str">
        <f t="shared" si="14"/>
        <v>19630815</v>
      </c>
    </row>
    <row r="923" s="1" customFormat="1" spans="1:13">
      <c r="A923" s="2">
        <v>6312</v>
      </c>
      <c r="B923" s="5" t="s">
        <v>12263</v>
      </c>
      <c r="C923" s="5" t="s">
        <v>12641</v>
      </c>
      <c r="D923" s="5" t="s">
        <v>12642</v>
      </c>
      <c r="E923" s="5" t="s">
        <v>10250</v>
      </c>
      <c r="F923" s="5">
        <v>2020</v>
      </c>
      <c r="G923" s="17" t="s">
        <v>3359</v>
      </c>
      <c r="H923" s="5">
        <v>200</v>
      </c>
      <c r="I923" s="5">
        <v>200</v>
      </c>
      <c r="J923" s="5"/>
      <c r="K923" s="5"/>
      <c r="L923" s="10">
        <v>20201118</v>
      </c>
      <c r="M923" s="36" t="str">
        <f t="shared" si="14"/>
        <v>19630815</v>
      </c>
    </row>
    <row r="924" s="1" customFormat="1" spans="1:13">
      <c r="A924" s="2">
        <v>1860</v>
      </c>
      <c r="B924" s="5" t="s">
        <v>4189</v>
      </c>
      <c r="C924" s="16" t="s">
        <v>4284</v>
      </c>
      <c r="D924" s="16" t="s">
        <v>4285</v>
      </c>
      <c r="E924" s="5" t="s">
        <v>15</v>
      </c>
      <c r="F924" s="5" t="s">
        <v>15</v>
      </c>
      <c r="G924" s="5" t="s">
        <v>3359</v>
      </c>
      <c r="H924" s="16">
        <v>200</v>
      </c>
      <c r="I924" s="16">
        <v>200</v>
      </c>
      <c r="J924" s="5"/>
      <c r="K924" s="10"/>
      <c r="L924" s="10">
        <v>20201118</v>
      </c>
      <c r="M924" s="36" t="str">
        <f t="shared" si="14"/>
        <v>19630816</v>
      </c>
    </row>
    <row r="925" s="1" customFormat="1" spans="1:13">
      <c r="A925" s="2">
        <v>6407</v>
      </c>
      <c r="B925" s="5" t="s">
        <v>12263</v>
      </c>
      <c r="C925" s="5" t="s">
        <v>12821</v>
      </c>
      <c r="D925" s="5" t="s">
        <v>12822</v>
      </c>
      <c r="E925" s="5" t="s">
        <v>10250</v>
      </c>
      <c r="F925" s="5">
        <v>2020</v>
      </c>
      <c r="G925" s="17" t="s">
        <v>3359</v>
      </c>
      <c r="H925" s="5" t="s">
        <v>311</v>
      </c>
      <c r="I925" s="5">
        <v>200</v>
      </c>
      <c r="J925" s="5"/>
      <c r="K925" s="5"/>
      <c r="L925" s="10">
        <v>20201118</v>
      </c>
      <c r="M925" s="36" t="str">
        <f t="shared" si="14"/>
        <v>19630817</v>
      </c>
    </row>
    <row r="926" s="1" customFormat="1" spans="1:13">
      <c r="A926" s="2">
        <v>3482</v>
      </c>
      <c r="B926" s="5" t="s">
        <v>3375</v>
      </c>
      <c r="C926" s="6" t="s">
        <v>7266</v>
      </c>
      <c r="D926" s="6" t="str">
        <f>"152326196308186879"</f>
        <v>152326196308186879</v>
      </c>
      <c r="E926" s="5" t="s">
        <v>15</v>
      </c>
      <c r="F926" s="5">
        <v>2020</v>
      </c>
      <c r="G926" s="14" t="s">
        <v>16</v>
      </c>
      <c r="H926" s="17">
        <v>200</v>
      </c>
      <c r="I926" s="17">
        <v>200</v>
      </c>
      <c r="J926" s="6"/>
      <c r="K926" s="10"/>
      <c r="L926" s="10">
        <v>20201118</v>
      </c>
      <c r="M926" s="36" t="str">
        <f t="shared" si="14"/>
        <v>19630818</v>
      </c>
    </row>
    <row r="927" s="1" customFormat="1" spans="1:13">
      <c r="A927" s="2">
        <v>972</v>
      </c>
      <c r="B927" s="5" t="s">
        <v>2469</v>
      </c>
      <c r="C927" s="9" t="s">
        <v>2536</v>
      </c>
      <c r="D927" s="9" t="s">
        <v>2537</v>
      </c>
      <c r="E927" s="5">
        <v>2020</v>
      </c>
      <c r="F927" s="5">
        <v>2020</v>
      </c>
      <c r="G927" s="9" t="s">
        <v>2480</v>
      </c>
      <c r="H927" s="9">
        <v>200</v>
      </c>
      <c r="I927" s="9">
        <v>200</v>
      </c>
      <c r="J927" s="5"/>
      <c r="K927" s="5"/>
      <c r="L927" s="10">
        <v>20201118</v>
      </c>
      <c r="M927" s="36" t="str">
        <f t="shared" si="14"/>
        <v>19630820</v>
      </c>
    </row>
    <row r="928" s="1" customFormat="1" spans="1:13">
      <c r="A928" s="2">
        <v>838</v>
      </c>
      <c r="B928" s="29" t="s">
        <v>1040</v>
      </c>
      <c r="C928" s="29" t="s">
        <v>2163</v>
      </c>
      <c r="D928" s="29" t="s">
        <v>2164</v>
      </c>
      <c r="E928" s="30">
        <v>2020</v>
      </c>
      <c r="F928" s="30">
        <v>2020</v>
      </c>
      <c r="G928" s="29" t="s">
        <v>16</v>
      </c>
      <c r="H928" s="29">
        <v>200</v>
      </c>
      <c r="I928" s="29">
        <v>200</v>
      </c>
      <c r="J928" s="32"/>
      <c r="K928" s="32"/>
      <c r="L928" s="14" t="s">
        <v>330</v>
      </c>
      <c r="M928" s="36" t="str">
        <f t="shared" si="14"/>
        <v>19630822</v>
      </c>
    </row>
    <row r="929" s="1" customFormat="1" spans="1:13">
      <c r="A929" s="2">
        <v>4508</v>
      </c>
      <c r="B929" s="6" t="s">
        <v>9015</v>
      </c>
      <c r="C929" s="6" t="s">
        <v>9198</v>
      </c>
      <c r="D929" s="6" t="s">
        <v>9199</v>
      </c>
      <c r="E929" s="6">
        <v>2020</v>
      </c>
      <c r="F929" s="6">
        <v>2020</v>
      </c>
      <c r="G929" s="6" t="s">
        <v>16</v>
      </c>
      <c r="H929" s="6">
        <v>200</v>
      </c>
      <c r="I929" s="6">
        <v>200</v>
      </c>
      <c r="J929" s="6"/>
      <c r="K929" s="6"/>
      <c r="L929" s="10">
        <v>20201118</v>
      </c>
      <c r="M929" s="36" t="str">
        <f t="shared" si="14"/>
        <v>19630823</v>
      </c>
    </row>
    <row r="930" s="1" customFormat="1" spans="1:13">
      <c r="A930" s="2">
        <v>6492</v>
      </c>
      <c r="B930" s="5" t="s">
        <v>12263</v>
      </c>
      <c r="C930" s="5" t="s">
        <v>12987</v>
      </c>
      <c r="D930" s="5" t="s">
        <v>12988</v>
      </c>
      <c r="E930" s="5" t="s">
        <v>4184</v>
      </c>
      <c r="F930" s="5">
        <v>2020</v>
      </c>
      <c r="G930" s="5" t="s">
        <v>289</v>
      </c>
      <c r="H930" s="5">
        <v>200</v>
      </c>
      <c r="I930" s="5">
        <v>600</v>
      </c>
      <c r="J930" s="5"/>
      <c r="K930" s="5"/>
      <c r="L930" s="10">
        <v>20201118</v>
      </c>
      <c r="M930" s="36" t="str">
        <f t="shared" si="14"/>
        <v>19630824</v>
      </c>
    </row>
    <row r="931" s="1" customFormat="1" spans="1:13">
      <c r="A931" s="2">
        <v>973</v>
      </c>
      <c r="B931" s="5" t="s">
        <v>2469</v>
      </c>
      <c r="C931" s="9" t="s">
        <v>2538</v>
      </c>
      <c r="D931" s="9" t="s">
        <v>2539</v>
      </c>
      <c r="E931" s="5">
        <v>2020</v>
      </c>
      <c r="F931" s="5">
        <v>2020</v>
      </c>
      <c r="G931" s="9" t="s">
        <v>2480</v>
      </c>
      <c r="H931" s="9">
        <v>200</v>
      </c>
      <c r="I931" s="9">
        <v>200</v>
      </c>
      <c r="J931" s="5"/>
      <c r="K931" s="5"/>
      <c r="L931" s="10">
        <v>20201118</v>
      </c>
      <c r="M931" s="36" t="str">
        <f t="shared" si="14"/>
        <v>19630825</v>
      </c>
    </row>
    <row r="932" s="1" customFormat="1" spans="1:13">
      <c r="A932" s="2">
        <v>1466</v>
      </c>
      <c r="B932" s="5" t="s">
        <v>3381</v>
      </c>
      <c r="C932" s="9" t="s">
        <v>3500</v>
      </c>
      <c r="D932" s="9" t="s">
        <v>3501</v>
      </c>
      <c r="E932" s="5">
        <v>2020</v>
      </c>
      <c r="F932" s="5">
        <v>2020</v>
      </c>
      <c r="G932" s="14" t="s">
        <v>16</v>
      </c>
      <c r="H932" s="6">
        <v>200</v>
      </c>
      <c r="I932" s="6">
        <v>200</v>
      </c>
      <c r="J932" s="5"/>
      <c r="K932" s="13"/>
      <c r="L932" s="10">
        <v>20201118</v>
      </c>
      <c r="M932" s="36" t="str">
        <f t="shared" si="14"/>
        <v>19630828</v>
      </c>
    </row>
    <row r="933" s="1" customFormat="1" spans="1:13">
      <c r="A933" s="2">
        <v>1467</v>
      </c>
      <c r="B933" s="5" t="s">
        <v>3381</v>
      </c>
      <c r="C933" s="9" t="s">
        <v>3502</v>
      </c>
      <c r="D933" s="9" t="s">
        <v>3503</v>
      </c>
      <c r="E933" s="5">
        <v>2020</v>
      </c>
      <c r="F933" s="5">
        <v>2020</v>
      </c>
      <c r="G933" s="14" t="s">
        <v>16</v>
      </c>
      <c r="H933" s="6">
        <v>200</v>
      </c>
      <c r="I933" s="6">
        <v>200</v>
      </c>
      <c r="J933" s="5"/>
      <c r="K933" s="13"/>
      <c r="L933" s="10">
        <v>20201118</v>
      </c>
      <c r="M933" s="36" t="str">
        <f t="shared" si="14"/>
        <v>19630901</v>
      </c>
    </row>
    <row r="934" s="1" customFormat="1" spans="1:13">
      <c r="A934" s="2">
        <v>3650</v>
      </c>
      <c r="B934" s="5" t="s">
        <v>7412</v>
      </c>
      <c r="C934" s="5" t="s">
        <v>7563</v>
      </c>
      <c r="D934" s="5" t="s">
        <v>7564</v>
      </c>
      <c r="E934" s="6">
        <v>2020</v>
      </c>
      <c r="F934" s="6">
        <v>2020</v>
      </c>
      <c r="G934" s="5" t="s">
        <v>3359</v>
      </c>
      <c r="H934" s="5">
        <v>200</v>
      </c>
      <c r="I934" s="5">
        <v>200</v>
      </c>
      <c r="J934" s="5"/>
      <c r="K934" s="5"/>
      <c r="L934" s="10">
        <v>20201118</v>
      </c>
      <c r="M934" s="36" t="str">
        <f t="shared" si="14"/>
        <v>19630901</v>
      </c>
    </row>
    <row r="935" s="1" customFormat="1" spans="1:13">
      <c r="A935" s="2">
        <v>3651</v>
      </c>
      <c r="B935" s="5" t="s">
        <v>7412</v>
      </c>
      <c r="C935" s="5" t="s">
        <v>7565</v>
      </c>
      <c r="D935" s="5" t="s">
        <v>7566</v>
      </c>
      <c r="E935" s="6">
        <v>2020</v>
      </c>
      <c r="F935" s="6">
        <v>2020</v>
      </c>
      <c r="G935" s="5" t="s">
        <v>3359</v>
      </c>
      <c r="H935" s="5">
        <v>1000</v>
      </c>
      <c r="I935" s="5">
        <v>1000</v>
      </c>
      <c r="J935" s="5"/>
      <c r="K935" s="5"/>
      <c r="L935" s="10">
        <v>20201118</v>
      </c>
      <c r="M935" s="36" t="str">
        <f t="shared" si="14"/>
        <v>19630902</v>
      </c>
    </row>
    <row r="936" s="1" customFormat="1" spans="1:13">
      <c r="A936" s="2">
        <v>611</v>
      </c>
      <c r="B936" s="29" t="s">
        <v>1040</v>
      </c>
      <c r="C936" s="29" t="s">
        <v>1498</v>
      </c>
      <c r="D936" s="29" t="s">
        <v>1499</v>
      </c>
      <c r="E936" s="30">
        <v>2020</v>
      </c>
      <c r="F936" s="30">
        <v>2020</v>
      </c>
      <c r="G936" s="29" t="s">
        <v>16</v>
      </c>
      <c r="H936" s="29">
        <v>200</v>
      </c>
      <c r="I936" s="29">
        <v>200</v>
      </c>
      <c r="J936" s="29"/>
      <c r="K936" s="47"/>
      <c r="L936" s="14" t="s">
        <v>330</v>
      </c>
      <c r="M936" s="36" t="str">
        <f t="shared" si="14"/>
        <v>19630904</v>
      </c>
    </row>
    <row r="937" s="1" customFormat="1" spans="1:13">
      <c r="A937" s="2">
        <v>4181</v>
      </c>
      <c r="B937" s="9" t="s">
        <v>8515</v>
      </c>
      <c r="C937" s="9" t="s">
        <v>8568</v>
      </c>
      <c r="D937" s="9" t="s">
        <v>8569</v>
      </c>
      <c r="E937" s="5" t="s">
        <v>15</v>
      </c>
      <c r="F937" s="5">
        <v>2020</v>
      </c>
      <c r="G937" s="9" t="s">
        <v>2480</v>
      </c>
      <c r="H937" s="9">
        <v>200</v>
      </c>
      <c r="I937" s="9">
        <v>200</v>
      </c>
      <c r="J937" s="9"/>
      <c r="K937" s="9"/>
      <c r="L937" s="10">
        <v>20201118</v>
      </c>
      <c r="M937" s="36" t="str">
        <f t="shared" si="14"/>
        <v>19630904</v>
      </c>
    </row>
    <row r="938" s="1" customFormat="1" spans="1:13">
      <c r="A938" s="2">
        <v>4182</v>
      </c>
      <c r="B938" s="9" t="s">
        <v>8515</v>
      </c>
      <c r="C938" s="9" t="s">
        <v>8570</v>
      </c>
      <c r="D938" s="9" t="s">
        <v>8571</v>
      </c>
      <c r="E938" s="5" t="s">
        <v>15</v>
      </c>
      <c r="F938" s="5">
        <v>2020</v>
      </c>
      <c r="G938" s="9" t="s">
        <v>2480</v>
      </c>
      <c r="H938" s="9">
        <v>200</v>
      </c>
      <c r="I938" s="9">
        <v>200</v>
      </c>
      <c r="J938" s="9"/>
      <c r="K938" s="9"/>
      <c r="L938" s="10">
        <v>20201118</v>
      </c>
      <c r="M938" s="36" t="str">
        <f t="shared" si="14"/>
        <v>19630904</v>
      </c>
    </row>
    <row r="939" s="1" customFormat="1" spans="1:13">
      <c r="A939" s="2">
        <v>26</v>
      </c>
      <c r="B939" s="31" t="s">
        <v>12</v>
      </c>
      <c r="C939" s="17" t="s">
        <v>66</v>
      </c>
      <c r="D939" s="17" t="s">
        <v>67</v>
      </c>
      <c r="E939" s="3" t="s">
        <v>15</v>
      </c>
      <c r="F939" s="3" t="s">
        <v>15</v>
      </c>
      <c r="G939" s="2" t="s">
        <v>16</v>
      </c>
      <c r="H939" s="17">
        <v>200</v>
      </c>
      <c r="I939" s="17">
        <v>200</v>
      </c>
      <c r="J939" s="31"/>
      <c r="K939" s="17"/>
      <c r="L939" s="10">
        <v>20201118</v>
      </c>
      <c r="M939" s="36" t="str">
        <f t="shared" si="14"/>
        <v>19630905</v>
      </c>
    </row>
    <row r="940" s="1" customFormat="1" spans="1:13">
      <c r="A940" s="2">
        <v>1468</v>
      </c>
      <c r="B940" s="5" t="s">
        <v>3381</v>
      </c>
      <c r="C940" s="9" t="s">
        <v>3504</v>
      </c>
      <c r="D940" s="9" t="s">
        <v>3505</v>
      </c>
      <c r="E940" s="5">
        <v>2020</v>
      </c>
      <c r="F940" s="5">
        <v>2020</v>
      </c>
      <c r="G940" s="14" t="s">
        <v>16</v>
      </c>
      <c r="H940" s="6">
        <v>200</v>
      </c>
      <c r="I940" s="6">
        <v>200</v>
      </c>
      <c r="J940" s="5"/>
      <c r="K940" s="13"/>
      <c r="L940" s="10">
        <v>20201118</v>
      </c>
      <c r="M940" s="36" t="str">
        <f t="shared" si="14"/>
        <v>19630905</v>
      </c>
    </row>
    <row r="941" s="1" customFormat="1" spans="1:13">
      <c r="A941" s="2">
        <v>3113</v>
      </c>
      <c r="B941" s="3" t="s">
        <v>6671</v>
      </c>
      <c r="C941" s="9" t="s">
        <v>6747</v>
      </c>
      <c r="D941" s="9" t="s">
        <v>6748</v>
      </c>
      <c r="E941" s="3" t="s">
        <v>15</v>
      </c>
      <c r="F941" s="3" t="s">
        <v>15</v>
      </c>
      <c r="G941" s="6" t="s">
        <v>3359</v>
      </c>
      <c r="H941" s="9">
        <v>200</v>
      </c>
      <c r="I941" s="9">
        <v>200</v>
      </c>
      <c r="J941" s="6"/>
      <c r="K941" s="5"/>
      <c r="L941" s="10">
        <v>20201118</v>
      </c>
      <c r="M941" s="36" t="str">
        <f t="shared" si="14"/>
        <v>19630905</v>
      </c>
    </row>
    <row r="942" s="1" customFormat="1" spans="1:13">
      <c r="A942" s="2">
        <v>7258</v>
      </c>
      <c r="B942" s="5" t="s">
        <v>13908</v>
      </c>
      <c r="C942" s="5" t="s">
        <v>14158</v>
      </c>
      <c r="D942" s="5" t="s">
        <v>14159</v>
      </c>
      <c r="E942" s="5" t="s">
        <v>15</v>
      </c>
      <c r="F942" s="5" t="s">
        <v>15</v>
      </c>
      <c r="G942" s="14" t="s">
        <v>16</v>
      </c>
      <c r="H942" s="17">
        <v>200</v>
      </c>
      <c r="I942" s="17">
        <v>200</v>
      </c>
      <c r="J942" s="5"/>
      <c r="K942" s="10"/>
      <c r="L942" s="10">
        <v>20201118</v>
      </c>
      <c r="M942" s="36" t="str">
        <f t="shared" si="14"/>
        <v>19630905</v>
      </c>
    </row>
    <row r="943" s="1" customFormat="1" spans="1:13">
      <c r="A943" s="2">
        <v>7041</v>
      </c>
      <c r="B943" s="5" t="s">
        <v>13533</v>
      </c>
      <c r="C943" s="32" t="s">
        <v>13788</v>
      </c>
      <c r="D943" s="32" t="str">
        <f>"152326196309067118"</f>
        <v>152326196309067118</v>
      </c>
      <c r="E943" s="5">
        <v>2020</v>
      </c>
      <c r="F943" s="5">
        <v>2020</v>
      </c>
      <c r="G943" s="9" t="s">
        <v>2480</v>
      </c>
      <c r="H943" s="32">
        <v>200</v>
      </c>
      <c r="I943" s="32">
        <v>200</v>
      </c>
      <c r="J943" s="32"/>
      <c r="K943" s="10"/>
      <c r="L943" s="10">
        <v>20201118</v>
      </c>
      <c r="M943" s="36" t="str">
        <f t="shared" si="14"/>
        <v>19630906</v>
      </c>
    </row>
    <row r="944" s="1" customFormat="1" spans="1:13">
      <c r="A944" s="2">
        <v>3486</v>
      </c>
      <c r="B944" s="5" t="s">
        <v>3375</v>
      </c>
      <c r="C944" s="6" t="s">
        <v>7269</v>
      </c>
      <c r="D944" s="6" t="str">
        <f>"152326196309086861"</f>
        <v>152326196309086861</v>
      </c>
      <c r="E944" s="5" t="s">
        <v>15</v>
      </c>
      <c r="F944" s="5">
        <v>2020</v>
      </c>
      <c r="G944" s="14" t="s">
        <v>16</v>
      </c>
      <c r="H944" s="17">
        <v>200</v>
      </c>
      <c r="I944" s="17">
        <v>200</v>
      </c>
      <c r="J944" s="6"/>
      <c r="K944" s="10"/>
      <c r="L944" s="10">
        <v>20201118</v>
      </c>
      <c r="M944" s="36" t="str">
        <f t="shared" si="14"/>
        <v>19630908</v>
      </c>
    </row>
    <row r="945" s="1" customFormat="1" spans="1:13">
      <c r="A945" s="2">
        <v>2176</v>
      </c>
      <c r="B945" s="9" t="s">
        <v>4837</v>
      </c>
      <c r="C945" s="9" t="s">
        <v>4900</v>
      </c>
      <c r="D945" s="9" t="s">
        <v>4901</v>
      </c>
      <c r="E945" s="6" t="s">
        <v>15</v>
      </c>
      <c r="F945" s="6">
        <v>2020</v>
      </c>
      <c r="G945" s="9" t="s">
        <v>2480</v>
      </c>
      <c r="H945" s="9">
        <v>200</v>
      </c>
      <c r="I945" s="9">
        <v>200</v>
      </c>
      <c r="J945" s="6"/>
      <c r="K945" s="10"/>
      <c r="L945" s="10">
        <v>20201118</v>
      </c>
      <c r="M945" s="36" t="str">
        <f t="shared" si="14"/>
        <v>19630909</v>
      </c>
    </row>
    <row r="946" s="1" customFormat="1" spans="1:13">
      <c r="A946" s="2">
        <v>5651</v>
      </c>
      <c r="B946" s="30" t="s">
        <v>11090</v>
      </c>
      <c r="C946" s="30" t="s">
        <v>11389</v>
      </c>
      <c r="D946" s="30" t="s">
        <v>11390</v>
      </c>
      <c r="E946" s="5" t="s">
        <v>15</v>
      </c>
      <c r="F946" s="5" t="s">
        <v>10250</v>
      </c>
      <c r="G946" s="6" t="s">
        <v>16</v>
      </c>
      <c r="H946" s="32">
        <v>500</v>
      </c>
      <c r="I946" s="32">
        <v>500</v>
      </c>
      <c r="J946" s="6"/>
      <c r="K946" s="48"/>
      <c r="L946" s="10">
        <v>20201118</v>
      </c>
      <c r="M946" s="36" t="str">
        <f t="shared" si="14"/>
        <v>19630909</v>
      </c>
    </row>
    <row r="947" s="1" customFormat="1" spans="1:13">
      <c r="A947" s="2">
        <v>5781</v>
      </c>
      <c r="B947" s="30" t="s">
        <v>11090</v>
      </c>
      <c r="C947" s="30" t="s">
        <v>11635</v>
      </c>
      <c r="D947" s="30" t="s">
        <v>11636</v>
      </c>
      <c r="E947" s="5" t="s">
        <v>15</v>
      </c>
      <c r="F947" s="5" t="s">
        <v>10250</v>
      </c>
      <c r="G947" s="6" t="s">
        <v>16</v>
      </c>
      <c r="H947" s="32">
        <v>200</v>
      </c>
      <c r="I947" s="32">
        <v>200</v>
      </c>
      <c r="J947" s="6"/>
      <c r="K947" s="48"/>
      <c r="L947" s="10">
        <v>20201118</v>
      </c>
      <c r="M947" s="36" t="str">
        <f t="shared" si="14"/>
        <v>19630909</v>
      </c>
    </row>
    <row r="948" s="1" customFormat="1" ht="14.25" spans="1:13">
      <c r="A948" s="2">
        <v>7783</v>
      </c>
      <c r="B948" s="5" t="s">
        <v>14875</v>
      </c>
      <c r="C948" s="51" t="s">
        <v>15029</v>
      </c>
      <c r="D948" s="24" t="s">
        <v>15030</v>
      </c>
      <c r="E948" s="6" t="s">
        <v>15</v>
      </c>
      <c r="F948" s="6">
        <v>2020</v>
      </c>
      <c r="G948" s="24" t="s">
        <v>14877</v>
      </c>
      <c r="H948" s="6">
        <v>200</v>
      </c>
      <c r="I948" s="6">
        <v>200</v>
      </c>
      <c r="J948" s="6" t="s">
        <v>768</v>
      </c>
      <c r="K948" s="10"/>
      <c r="L948" s="10">
        <v>20201118</v>
      </c>
      <c r="M948" s="36" t="str">
        <f t="shared" si="14"/>
        <v>19630909</v>
      </c>
    </row>
    <row r="949" s="1" customFormat="1" spans="1:13">
      <c r="A949" s="2">
        <v>1469</v>
      </c>
      <c r="B949" s="5" t="s">
        <v>3381</v>
      </c>
      <c r="C949" s="9" t="s">
        <v>3506</v>
      </c>
      <c r="D949" s="9" t="s">
        <v>3507</v>
      </c>
      <c r="E949" s="5">
        <v>2020</v>
      </c>
      <c r="F949" s="5">
        <v>2020</v>
      </c>
      <c r="G949" s="14" t="s">
        <v>16</v>
      </c>
      <c r="H949" s="6">
        <v>200</v>
      </c>
      <c r="I949" s="6">
        <v>200</v>
      </c>
      <c r="J949" s="5"/>
      <c r="K949" s="13"/>
      <c r="L949" s="10">
        <v>20201118</v>
      </c>
      <c r="M949" s="36" t="str">
        <f t="shared" si="14"/>
        <v>19630910</v>
      </c>
    </row>
    <row r="950" s="1" customFormat="1" spans="1:13">
      <c r="A950" s="2">
        <v>6176</v>
      </c>
      <c r="B950" s="5" t="s">
        <v>12263</v>
      </c>
      <c r="C950" s="5" t="s">
        <v>12382</v>
      </c>
      <c r="D950" s="5" t="s">
        <v>12383</v>
      </c>
      <c r="E950" s="5" t="s">
        <v>10250</v>
      </c>
      <c r="F950" s="5">
        <v>2020</v>
      </c>
      <c r="G950" s="17" t="s">
        <v>3359</v>
      </c>
      <c r="H950" s="5">
        <v>200</v>
      </c>
      <c r="I950" s="5">
        <v>200</v>
      </c>
      <c r="J950" s="5"/>
      <c r="K950" s="5"/>
      <c r="L950" s="10">
        <v>20201118</v>
      </c>
      <c r="M950" s="36" t="str">
        <f t="shared" si="14"/>
        <v>19630911</v>
      </c>
    </row>
    <row r="951" s="1" customFormat="1" spans="1:13">
      <c r="A951" s="2">
        <v>8140</v>
      </c>
      <c r="B951" s="5" t="s">
        <v>15406</v>
      </c>
      <c r="C951" s="6" t="s">
        <v>15473</v>
      </c>
      <c r="D951" s="6" t="s">
        <v>15474</v>
      </c>
      <c r="E951" s="5" t="s">
        <v>15</v>
      </c>
      <c r="F951" s="5">
        <v>2020</v>
      </c>
      <c r="G951" s="14" t="s">
        <v>16</v>
      </c>
      <c r="H951" s="6">
        <v>200</v>
      </c>
      <c r="I951" s="6">
        <v>200</v>
      </c>
      <c r="J951" s="5"/>
      <c r="K951" s="10"/>
      <c r="L951" s="10">
        <v>20201118</v>
      </c>
      <c r="M951" s="36" t="str">
        <f t="shared" si="14"/>
        <v>19630911</v>
      </c>
    </row>
    <row r="952" s="1" customFormat="1" spans="1:13">
      <c r="A952" s="2">
        <v>262</v>
      </c>
      <c r="B952" s="14" t="s">
        <v>327</v>
      </c>
      <c r="C952" s="17" t="s">
        <v>672</v>
      </c>
      <c r="D952" s="17" t="s">
        <v>673</v>
      </c>
      <c r="E952" s="5">
        <v>2020</v>
      </c>
      <c r="F952" s="5">
        <v>2020</v>
      </c>
      <c r="G952" s="14" t="s">
        <v>16</v>
      </c>
      <c r="H952" s="17">
        <v>200</v>
      </c>
      <c r="I952" s="17">
        <v>200</v>
      </c>
      <c r="J952" s="17"/>
      <c r="K952" s="10"/>
      <c r="L952" s="14" t="s">
        <v>330</v>
      </c>
      <c r="M952" s="36" t="str">
        <f t="shared" si="14"/>
        <v>19630913</v>
      </c>
    </row>
    <row r="953" s="1" customFormat="1" spans="1:13">
      <c r="A953" s="2">
        <v>1848</v>
      </c>
      <c r="B953" s="5" t="s">
        <v>4189</v>
      </c>
      <c r="C953" s="16" t="s">
        <v>4260</v>
      </c>
      <c r="D953" s="16" t="s">
        <v>4261</v>
      </c>
      <c r="E953" s="5" t="s">
        <v>15</v>
      </c>
      <c r="F953" s="5" t="s">
        <v>15</v>
      </c>
      <c r="G953" s="5" t="s">
        <v>3359</v>
      </c>
      <c r="H953" s="16">
        <v>200</v>
      </c>
      <c r="I953" s="16">
        <v>200</v>
      </c>
      <c r="J953" s="5"/>
      <c r="K953" s="10"/>
      <c r="L953" s="10">
        <v>20201118</v>
      </c>
      <c r="M953" s="36" t="str">
        <f t="shared" si="14"/>
        <v>19630913</v>
      </c>
    </row>
    <row r="954" s="1" customFormat="1" spans="1:13">
      <c r="A954" s="2">
        <v>6298</v>
      </c>
      <c r="B954" s="5" t="s">
        <v>12263</v>
      </c>
      <c r="C954" s="5" t="s">
        <v>12615</v>
      </c>
      <c r="D954" s="5" t="s">
        <v>12616</v>
      </c>
      <c r="E954" s="5" t="s">
        <v>10250</v>
      </c>
      <c r="F954" s="5">
        <v>2020</v>
      </c>
      <c r="G954" s="17" t="s">
        <v>3359</v>
      </c>
      <c r="H954" s="5">
        <v>200</v>
      </c>
      <c r="I954" s="5">
        <v>200</v>
      </c>
      <c r="J954" s="5" t="s">
        <v>108</v>
      </c>
      <c r="K954" s="5"/>
      <c r="L954" s="10">
        <v>20201118</v>
      </c>
      <c r="M954" s="36" t="str">
        <f t="shared" si="14"/>
        <v>19630915</v>
      </c>
    </row>
    <row r="955" s="1" customFormat="1" spans="1:13">
      <c r="A955" s="2">
        <v>637</v>
      </c>
      <c r="B955" s="29" t="s">
        <v>1040</v>
      </c>
      <c r="C955" s="29" t="s">
        <v>1564</v>
      </c>
      <c r="D955" s="29" t="s">
        <v>1565</v>
      </c>
      <c r="E955" s="30">
        <v>2020</v>
      </c>
      <c r="F955" s="30">
        <v>2020</v>
      </c>
      <c r="G955" s="29" t="s">
        <v>16</v>
      </c>
      <c r="H955" s="29">
        <v>200</v>
      </c>
      <c r="I955" s="29">
        <v>200</v>
      </c>
      <c r="J955" s="29"/>
      <c r="K955" s="47"/>
      <c r="L955" s="2" t="s">
        <v>330</v>
      </c>
      <c r="M955" s="36" t="str">
        <f t="shared" si="14"/>
        <v>19630916</v>
      </c>
    </row>
    <row r="956" s="1" customFormat="1" spans="1:13">
      <c r="A956" s="2">
        <v>7033</v>
      </c>
      <c r="B956" s="5" t="s">
        <v>13533</v>
      </c>
      <c r="C956" s="32" t="s">
        <v>13779</v>
      </c>
      <c r="D956" s="32" t="str">
        <f>"152326196309167127"</f>
        <v>152326196309167127</v>
      </c>
      <c r="E956" s="5">
        <v>2020</v>
      </c>
      <c r="F956" s="5">
        <v>2020</v>
      </c>
      <c r="G956" s="9" t="s">
        <v>2480</v>
      </c>
      <c r="H956" s="32">
        <v>200</v>
      </c>
      <c r="I956" s="32">
        <v>200</v>
      </c>
      <c r="J956" s="32"/>
      <c r="K956" s="10"/>
      <c r="L956" s="10">
        <v>20201118</v>
      </c>
      <c r="M956" s="36" t="str">
        <f t="shared" si="14"/>
        <v>19630916</v>
      </c>
    </row>
    <row r="957" s="1" customFormat="1" spans="1:13">
      <c r="A957" s="2">
        <v>4645</v>
      </c>
      <c r="B957" s="6" t="s">
        <v>9015</v>
      </c>
      <c r="C957" s="6" t="s">
        <v>9454</v>
      </c>
      <c r="D957" s="6" t="s">
        <v>9455</v>
      </c>
      <c r="E957" s="6">
        <v>2020</v>
      </c>
      <c r="F957" s="6">
        <v>2020</v>
      </c>
      <c r="G957" s="6" t="s">
        <v>16</v>
      </c>
      <c r="H957" s="6">
        <v>200</v>
      </c>
      <c r="I957" s="6">
        <v>200</v>
      </c>
      <c r="J957" s="6"/>
      <c r="K957" s="6"/>
      <c r="L957" s="10">
        <v>20201118</v>
      </c>
      <c r="M957" s="36" t="str">
        <f t="shared" si="14"/>
        <v>19630917</v>
      </c>
    </row>
    <row r="958" s="1" customFormat="1" spans="1:13">
      <c r="A958" s="2">
        <v>526</v>
      </c>
      <c r="B958" s="29" t="s">
        <v>1040</v>
      </c>
      <c r="C958" s="29" t="s">
        <v>1329</v>
      </c>
      <c r="D958" s="29" t="s">
        <v>1330</v>
      </c>
      <c r="E958" s="30">
        <v>2020</v>
      </c>
      <c r="F958" s="30">
        <v>2020</v>
      </c>
      <c r="G958" s="29" t="s">
        <v>16</v>
      </c>
      <c r="H958" s="29">
        <v>200</v>
      </c>
      <c r="I958" s="29">
        <v>200</v>
      </c>
      <c r="J958" s="29"/>
      <c r="K958" s="47"/>
      <c r="L958" s="2" t="s">
        <v>330</v>
      </c>
      <c r="M958" s="36" t="str">
        <f t="shared" si="14"/>
        <v>19630919</v>
      </c>
    </row>
    <row r="959" s="1" customFormat="1" ht="14.25" spans="1:13">
      <c r="A959" s="2">
        <v>2807</v>
      </c>
      <c r="B959" s="6" t="s">
        <v>6075</v>
      </c>
      <c r="C959" s="25" t="s">
        <v>6142</v>
      </c>
      <c r="D959" s="26" t="s">
        <v>6143</v>
      </c>
      <c r="E959" s="5" t="s">
        <v>15</v>
      </c>
      <c r="F959" s="5">
        <v>2020</v>
      </c>
      <c r="G959" s="6" t="s">
        <v>16</v>
      </c>
      <c r="H959" s="6">
        <v>200</v>
      </c>
      <c r="I959" s="6">
        <v>200</v>
      </c>
      <c r="J959" s="6" t="s">
        <v>6097</v>
      </c>
      <c r="K959" s="10"/>
      <c r="L959" s="10">
        <v>20201118</v>
      </c>
      <c r="M959" s="36" t="str">
        <f t="shared" si="14"/>
        <v>19630920</v>
      </c>
    </row>
    <row r="960" s="1" customFormat="1" spans="1:13">
      <c r="A960" s="2">
        <v>3175</v>
      </c>
      <c r="B960" s="3" t="s">
        <v>6671</v>
      </c>
      <c r="C960" s="9" t="s">
        <v>6863</v>
      </c>
      <c r="D960" s="9" t="s">
        <v>6864</v>
      </c>
      <c r="E960" s="3" t="s">
        <v>15</v>
      </c>
      <c r="F960" s="3" t="s">
        <v>15</v>
      </c>
      <c r="G960" s="6" t="s">
        <v>3359</v>
      </c>
      <c r="H960" s="9">
        <v>200</v>
      </c>
      <c r="I960" s="9">
        <v>200</v>
      </c>
      <c r="J960" s="6"/>
      <c r="K960" s="5"/>
      <c r="L960" s="10">
        <v>20201118</v>
      </c>
      <c r="M960" s="36" t="str">
        <f t="shared" si="14"/>
        <v>19630920</v>
      </c>
    </row>
    <row r="961" s="1" customFormat="1" spans="1:13">
      <c r="A961" s="2">
        <v>5083</v>
      </c>
      <c r="B961" s="6" t="s">
        <v>10242</v>
      </c>
      <c r="C961" s="9" t="s">
        <v>10298</v>
      </c>
      <c r="D961" s="9" t="s">
        <v>10299</v>
      </c>
      <c r="E961" s="5" t="s">
        <v>10250</v>
      </c>
      <c r="F961" s="5">
        <v>2020</v>
      </c>
      <c r="G961" s="6" t="s">
        <v>16</v>
      </c>
      <c r="H961" s="6">
        <v>200</v>
      </c>
      <c r="I961" s="6">
        <v>200</v>
      </c>
      <c r="J961" s="6"/>
      <c r="K961" s="5"/>
      <c r="L961" s="10">
        <v>20201118</v>
      </c>
      <c r="M961" s="36" t="str">
        <f t="shared" si="14"/>
        <v>19630920</v>
      </c>
    </row>
    <row r="962" s="1" customFormat="1" ht="14.25" spans="1:13">
      <c r="A962" s="2">
        <v>7785</v>
      </c>
      <c r="B962" s="5" t="s">
        <v>14875</v>
      </c>
      <c r="C962" s="51" t="s">
        <v>15032</v>
      </c>
      <c r="D962" s="24" t="str">
        <f>"152326196309207125"</f>
        <v>152326196309207125</v>
      </c>
      <c r="E962" s="6" t="s">
        <v>15</v>
      </c>
      <c r="F962" s="6">
        <v>2020</v>
      </c>
      <c r="G962" s="24" t="s">
        <v>14877</v>
      </c>
      <c r="H962" s="6">
        <v>200</v>
      </c>
      <c r="I962" s="6">
        <v>200</v>
      </c>
      <c r="J962" s="6"/>
      <c r="K962" s="10"/>
      <c r="L962" s="10">
        <v>20201118</v>
      </c>
      <c r="M962" s="36" t="str">
        <f t="shared" ref="M962:M1025" si="15">MID(D962,7,8)</f>
        <v>19630920</v>
      </c>
    </row>
    <row r="963" s="1" customFormat="1" spans="1:13">
      <c r="A963" s="2">
        <v>974</v>
      </c>
      <c r="B963" s="5" t="s">
        <v>2469</v>
      </c>
      <c r="C963" s="9" t="s">
        <v>2540</v>
      </c>
      <c r="D963" s="9" t="s">
        <v>2541</v>
      </c>
      <c r="E963" s="5">
        <v>2020</v>
      </c>
      <c r="F963" s="5">
        <v>2020</v>
      </c>
      <c r="G963" s="9" t="s">
        <v>2480</v>
      </c>
      <c r="H963" s="9">
        <v>200</v>
      </c>
      <c r="I963" s="9">
        <v>200</v>
      </c>
      <c r="J963" s="5"/>
      <c r="K963" s="5"/>
      <c r="L963" s="10">
        <v>20201118</v>
      </c>
      <c r="M963" s="36" t="str">
        <f t="shared" si="15"/>
        <v>19630923</v>
      </c>
    </row>
    <row r="964" s="1" customFormat="1" spans="1:13">
      <c r="A964" s="2">
        <v>4640</v>
      </c>
      <c r="B964" s="6" t="s">
        <v>9015</v>
      </c>
      <c r="C964" s="6" t="s">
        <v>7206</v>
      </c>
      <c r="D964" s="6" t="s">
        <v>9446</v>
      </c>
      <c r="E964" s="6">
        <v>2020</v>
      </c>
      <c r="F964" s="6">
        <v>2020</v>
      </c>
      <c r="G964" s="6" t="s">
        <v>16</v>
      </c>
      <c r="H964" s="6">
        <v>200</v>
      </c>
      <c r="I964" s="6">
        <v>200</v>
      </c>
      <c r="J964" s="6"/>
      <c r="K964" s="6"/>
      <c r="L964" s="10">
        <v>20201118</v>
      </c>
      <c r="M964" s="36" t="str">
        <f t="shared" si="15"/>
        <v>19630923</v>
      </c>
    </row>
    <row r="965" s="1" customFormat="1" spans="1:13">
      <c r="A965" s="2">
        <v>1470</v>
      </c>
      <c r="B965" s="5" t="s">
        <v>3381</v>
      </c>
      <c r="C965" s="9" t="s">
        <v>3508</v>
      </c>
      <c r="D965" s="9" t="s">
        <v>3509</v>
      </c>
      <c r="E965" s="5">
        <v>2020</v>
      </c>
      <c r="F965" s="5">
        <v>2020</v>
      </c>
      <c r="G965" s="14" t="s">
        <v>16</v>
      </c>
      <c r="H965" s="6">
        <v>200</v>
      </c>
      <c r="I965" s="6">
        <v>200</v>
      </c>
      <c r="J965" s="5"/>
      <c r="K965" s="13"/>
      <c r="L965" s="10">
        <v>20201118</v>
      </c>
      <c r="M965" s="36" t="str">
        <f t="shared" si="15"/>
        <v>19630925</v>
      </c>
    </row>
    <row r="966" s="1" customFormat="1" spans="1:13">
      <c r="A966" s="2">
        <v>1471</v>
      </c>
      <c r="B966" s="5" t="s">
        <v>3381</v>
      </c>
      <c r="C966" s="9" t="s">
        <v>3510</v>
      </c>
      <c r="D966" s="9" t="s">
        <v>3511</v>
      </c>
      <c r="E966" s="5">
        <v>2020</v>
      </c>
      <c r="F966" s="5">
        <v>2020</v>
      </c>
      <c r="G966" s="14" t="s">
        <v>16</v>
      </c>
      <c r="H966" s="6">
        <v>200</v>
      </c>
      <c r="I966" s="6">
        <v>200</v>
      </c>
      <c r="J966" s="5"/>
      <c r="K966" s="13"/>
      <c r="L966" s="10">
        <v>20201118</v>
      </c>
      <c r="M966" s="36" t="str">
        <f t="shared" si="15"/>
        <v>19630925</v>
      </c>
    </row>
    <row r="967" s="1" customFormat="1" spans="1:13">
      <c r="A967" s="2">
        <v>6236</v>
      </c>
      <c r="B967" s="5" t="s">
        <v>12263</v>
      </c>
      <c r="C967" s="5" t="s">
        <v>12496</v>
      </c>
      <c r="D967" s="5" t="s">
        <v>12497</v>
      </c>
      <c r="E967" s="5" t="s">
        <v>10250</v>
      </c>
      <c r="F967" s="5">
        <v>2020</v>
      </c>
      <c r="G967" s="17" t="s">
        <v>3359</v>
      </c>
      <c r="H967" s="5">
        <v>200</v>
      </c>
      <c r="I967" s="5">
        <v>200</v>
      </c>
      <c r="J967" s="5"/>
      <c r="K967" s="5"/>
      <c r="L967" s="10">
        <v>20201118</v>
      </c>
      <c r="M967" s="36" t="str">
        <f t="shared" si="15"/>
        <v>19630925</v>
      </c>
    </row>
    <row r="968" s="1" customFormat="1" spans="1:13">
      <c r="A968" s="2">
        <v>7584</v>
      </c>
      <c r="B968" s="62" t="s">
        <v>14402</v>
      </c>
      <c r="C968" s="62" t="s">
        <v>14767</v>
      </c>
      <c r="D968" s="62" t="s">
        <v>14768</v>
      </c>
      <c r="E968" s="62">
        <v>2020</v>
      </c>
      <c r="F968" s="62">
        <v>2020</v>
      </c>
      <c r="G968" s="3" t="s">
        <v>16</v>
      </c>
      <c r="H968" s="62">
        <v>200</v>
      </c>
      <c r="I968" s="62">
        <v>200</v>
      </c>
      <c r="J968" s="62"/>
      <c r="K968" s="10"/>
      <c r="L968" s="10">
        <v>20201118</v>
      </c>
      <c r="M968" s="36" t="str">
        <f t="shared" si="15"/>
        <v>19630925</v>
      </c>
    </row>
    <row r="969" s="1" customFormat="1" spans="1:13">
      <c r="A969" s="2">
        <v>351</v>
      </c>
      <c r="B969" s="14" t="s">
        <v>327</v>
      </c>
      <c r="C969" s="17" t="s">
        <v>940</v>
      </c>
      <c r="D969" s="17" t="s">
        <v>941</v>
      </c>
      <c r="E969" s="5">
        <v>2020</v>
      </c>
      <c r="F969" s="5">
        <v>2020</v>
      </c>
      <c r="G969" s="14" t="s">
        <v>16</v>
      </c>
      <c r="H969" s="17">
        <v>200</v>
      </c>
      <c r="I969" s="17">
        <v>200</v>
      </c>
      <c r="J969" s="17"/>
      <c r="K969" s="10"/>
      <c r="L969" s="2" t="s">
        <v>330</v>
      </c>
      <c r="M969" s="36" t="str">
        <f t="shared" si="15"/>
        <v>19630926</v>
      </c>
    </row>
    <row r="970" s="1" customFormat="1" ht="14.25" spans="1:13">
      <c r="A970" s="2">
        <v>2902</v>
      </c>
      <c r="B970" s="6" t="s">
        <v>6075</v>
      </c>
      <c r="C970" s="25" t="s">
        <v>6331</v>
      </c>
      <c r="D970" s="26" t="s">
        <v>6332</v>
      </c>
      <c r="E970" s="5" t="s">
        <v>15</v>
      </c>
      <c r="F970" s="5">
        <v>2020</v>
      </c>
      <c r="G970" s="6" t="s">
        <v>16</v>
      </c>
      <c r="H970" s="6">
        <v>200</v>
      </c>
      <c r="I970" s="6">
        <v>200</v>
      </c>
      <c r="J970" s="6"/>
      <c r="K970" s="10"/>
      <c r="L970" s="10">
        <v>20201118</v>
      </c>
      <c r="M970" s="36" t="str">
        <f t="shared" si="15"/>
        <v>19630926</v>
      </c>
    </row>
    <row r="971" s="1" customFormat="1" spans="1:13">
      <c r="A971" s="2">
        <v>975</v>
      </c>
      <c r="B971" s="5" t="s">
        <v>2469</v>
      </c>
      <c r="C971" s="9" t="s">
        <v>2542</v>
      </c>
      <c r="D971" s="9" t="s">
        <v>2543</v>
      </c>
      <c r="E971" s="5">
        <v>2020</v>
      </c>
      <c r="F971" s="5">
        <v>2020</v>
      </c>
      <c r="G971" s="9" t="s">
        <v>2480</v>
      </c>
      <c r="H971" s="9">
        <v>200</v>
      </c>
      <c r="I971" s="9">
        <v>200</v>
      </c>
      <c r="J971" s="5"/>
      <c r="K971" s="5"/>
      <c r="L971" s="10">
        <v>20201118</v>
      </c>
      <c r="M971" s="36" t="str">
        <f t="shared" si="15"/>
        <v>19630928</v>
      </c>
    </row>
    <row r="972" s="1" customFormat="1" ht="14.25" spans="1:13">
      <c r="A972" s="2">
        <v>2809</v>
      </c>
      <c r="B972" s="6" t="s">
        <v>6075</v>
      </c>
      <c r="C972" s="25" t="s">
        <v>6146</v>
      </c>
      <c r="D972" s="26" t="s">
        <v>6147</v>
      </c>
      <c r="E972" s="5" t="s">
        <v>15</v>
      </c>
      <c r="F972" s="5">
        <v>2020</v>
      </c>
      <c r="G972" s="6" t="s">
        <v>16</v>
      </c>
      <c r="H972" s="6">
        <v>200</v>
      </c>
      <c r="I972" s="6">
        <v>200</v>
      </c>
      <c r="J972" s="6"/>
      <c r="K972" s="10"/>
      <c r="L972" s="10">
        <v>20201118</v>
      </c>
      <c r="M972" s="36" t="str">
        <f t="shared" si="15"/>
        <v>19630928</v>
      </c>
    </row>
    <row r="973" s="1" customFormat="1" spans="1:13">
      <c r="A973" s="2">
        <v>2557</v>
      </c>
      <c r="B973" s="32" t="s">
        <v>5602</v>
      </c>
      <c r="C973" s="9" t="s">
        <v>5652</v>
      </c>
      <c r="D973" s="9" t="s">
        <v>5653</v>
      </c>
      <c r="E973" s="32">
        <v>2020</v>
      </c>
      <c r="F973" s="32">
        <v>2020</v>
      </c>
      <c r="G973" s="32" t="s">
        <v>16</v>
      </c>
      <c r="H973" s="9">
        <v>200</v>
      </c>
      <c r="I973" s="9">
        <v>200</v>
      </c>
      <c r="J973" s="32"/>
      <c r="K973" s="52"/>
      <c r="L973" s="10">
        <v>20201118</v>
      </c>
      <c r="M973" s="36" t="str">
        <f t="shared" si="15"/>
        <v>19630929</v>
      </c>
    </row>
    <row r="974" s="1" customFormat="1" spans="1:13">
      <c r="A974" s="2">
        <v>2558</v>
      </c>
      <c r="B974" s="32" t="s">
        <v>5602</v>
      </c>
      <c r="C974" s="9" t="s">
        <v>5654</v>
      </c>
      <c r="D974" s="9" t="s">
        <v>5655</v>
      </c>
      <c r="E974" s="32">
        <v>2020</v>
      </c>
      <c r="F974" s="32">
        <v>2020</v>
      </c>
      <c r="G974" s="32" t="s">
        <v>16</v>
      </c>
      <c r="H974" s="9">
        <v>200</v>
      </c>
      <c r="I974" s="9">
        <v>200</v>
      </c>
      <c r="J974" s="32"/>
      <c r="K974" s="52"/>
      <c r="L974" s="10">
        <v>20201118</v>
      </c>
      <c r="M974" s="36" t="str">
        <f t="shared" si="15"/>
        <v>19631001</v>
      </c>
    </row>
    <row r="975" s="1" customFormat="1" spans="1:13">
      <c r="A975" s="2">
        <v>7313</v>
      </c>
      <c r="B975" s="5" t="s">
        <v>13908</v>
      </c>
      <c r="C975" s="5" t="s">
        <v>2200</v>
      </c>
      <c r="D975" s="5" t="s">
        <v>14264</v>
      </c>
      <c r="E975" s="5" t="s">
        <v>15</v>
      </c>
      <c r="F975" s="5" t="s">
        <v>15</v>
      </c>
      <c r="G975" s="14" t="s">
        <v>16</v>
      </c>
      <c r="H975" s="17">
        <v>200</v>
      </c>
      <c r="I975" s="17">
        <v>200</v>
      </c>
      <c r="J975" s="5"/>
      <c r="K975" s="10"/>
      <c r="L975" s="10">
        <v>20201118</v>
      </c>
      <c r="M975" s="36" t="str">
        <f t="shared" si="15"/>
        <v>19631001</v>
      </c>
    </row>
    <row r="976" s="1" customFormat="1" spans="1:13">
      <c r="A976" s="2">
        <v>7309</v>
      </c>
      <c r="B976" s="5" t="s">
        <v>13908</v>
      </c>
      <c r="C976" s="5" t="s">
        <v>14256</v>
      </c>
      <c r="D976" s="5" t="s">
        <v>14257</v>
      </c>
      <c r="E976" s="5" t="s">
        <v>15</v>
      </c>
      <c r="F976" s="5" t="s">
        <v>15</v>
      </c>
      <c r="G976" s="14" t="s">
        <v>16</v>
      </c>
      <c r="H976" s="17">
        <v>200</v>
      </c>
      <c r="I976" s="17">
        <v>200</v>
      </c>
      <c r="J976" s="5"/>
      <c r="K976" s="10"/>
      <c r="L976" s="10">
        <v>20201118</v>
      </c>
      <c r="M976" s="36" t="str">
        <f t="shared" si="15"/>
        <v>19631005</v>
      </c>
    </row>
    <row r="977" s="1" customFormat="1" spans="1:13">
      <c r="A977" s="2">
        <v>7037</v>
      </c>
      <c r="B977" s="5" t="s">
        <v>13533</v>
      </c>
      <c r="C977" s="32" t="s">
        <v>13767</v>
      </c>
      <c r="D977" s="32" t="s">
        <v>13783</v>
      </c>
      <c r="E977" s="5">
        <v>2020</v>
      </c>
      <c r="F977" s="5">
        <v>2020</v>
      </c>
      <c r="G977" s="9" t="s">
        <v>2480</v>
      </c>
      <c r="H977" s="32">
        <v>200</v>
      </c>
      <c r="I977" s="32">
        <v>200</v>
      </c>
      <c r="J977" s="32"/>
      <c r="K977" s="10"/>
      <c r="L977" s="10">
        <v>20201118</v>
      </c>
      <c r="M977" s="36" t="str">
        <f t="shared" si="15"/>
        <v>19631006</v>
      </c>
    </row>
    <row r="978" s="1" customFormat="1" spans="1:13">
      <c r="A978" s="2">
        <v>7589</v>
      </c>
      <c r="B978" s="5" t="s">
        <v>14402</v>
      </c>
      <c r="C978" s="5" t="s">
        <v>14777</v>
      </c>
      <c r="D978" s="5" t="s">
        <v>14778</v>
      </c>
      <c r="E978" s="5">
        <v>2020</v>
      </c>
      <c r="F978" s="5">
        <v>2020</v>
      </c>
      <c r="G978" s="17" t="s">
        <v>16</v>
      </c>
      <c r="H978" s="5">
        <v>200</v>
      </c>
      <c r="I978" s="5">
        <v>200</v>
      </c>
      <c r="J978" s="5"/>
      <c r="K978" s="10"/>
      <c r="L978" s="10">
        <v>20201118</v>
      </c>
      <c r="M978" s="36" t="str">
        <f t="shared" si="15"/>
        <v>19631006</v>
      </c>
    </row>
    <row r="979" s="1" customFormat="1" spans="1:13">
      <c r="A979" s="2">
        <v>1878</v>
      </c>
      <c r="B979" s="5" t="s">
        <v>4189</v>
      </c>
      <c r="C979" s="16" t="s">
        <v>4319</v>
      </c>
      <c r="D979" s="16" t="s">
        <v>4320</v>
      </c>
      <c r="E979" s="5" t="s">
        <v>15</v>
      </c>
      <c r="F979" s="5" t="s">
        <v>15</v>
      </c>
      <c r="G979" s="5" t="s">
        <v>3359</v>
      </c>
      <c r="H979" s="16">
        <v>200</v>
      </c>
      <c r="I979" s="16">
        <v>200</v>
      </c>
      <c r="J979" s="5"/>
      <c r="K979" s="10"/>
      <c r="L979" s="10">
        <v>20201118</v>
      </c>
      <c r="M979" s="36" t="str">
        <f t="shared" si="15"/>
        <v>19631009</v>
      </c>
    </row>
    <row r="980" s="1" customFormat="1" spans="1:13">
      <c r="A980" s="2">
        <v>4503</v>
      </c>
      <c r="B980" s="6" t="s">
        <v>9015</v>
      </c>
      <c r="C980" s="6" t="s">
        <v>2898</v>
      </c>
      <c r="D980" s="6" t="s">
        <v>9189</v>
      </c>
      <c r="E980" s="6">
        <v>2020</v>
      </c>
      <c r="F980" s="6">
        <v>2020</v>
      </c>
      <c r="G980" s="6" t="s">
        <v>16</v>
      </c>
      <c r="H980" s="6">
        <v>200</v>
      </c>
      <c r="I980" s="6">
        <v>200</v>
      </c>
      <c r="J980" s="6" t="s">
        <v>108</v>
      </c>
      <c r="K980" s="6"/>
      <c r="L980" s="10">
        <v>20201118</v>
      </c>
      <c r="M980" s="36" t="str">
        <f t="shared" si="15"/>
        <v>19631009</v>
      </c>
    </row>
    <row r="981" s="1" customFormat="1" spans="1:13">
      <c r="A981" s="2">
        <v>3489</v>
      </c>
      <c r="B981" s="5" t="s">
        <v>3375</v>
      </c>
      <c r="C981" s="6" t="s">
        <v>7271</v>
      </c>
      <c r="D981" s="6" t="str">
        <f>"152326196310106866"</f>
        <v>152326196310106866</v>
      </c>
      <c r="E981" s="5" t="s">
        <v>15</v>
      </c>
      <c r="F981" s="5">
        <v>2020</v>
      </c>
      <c r="G981" s="14" t="s">
        <v>16</v>
      </c>
      <c r="H981" s="17">
        <v>200</v>
      </c>
      <c r="I981" s="17">
        <v>200</v>
      </c>
      <c r="J981" s="6"/>
      <c r="K981" s="10"/>
      <c r="L981" s="10">
        <v>20201118</v>
      </c>
      <c r="M981" s="36" t="str">
        <f t="shared" si="15"/>
        <v>19631010</v>
      </c>
    </row>
    <row r="982" s="1" customFormat="1" spans="1:13">
      <c r="A982" s="2">
        <v>6541</v>
      </c>
      <c r="B982" s="5" t="s">
        <v>13027</v>
      </c>
      <c r="C982" s="15" t="s">
        <v>13079</v>
      </c>
      <c r="D982" s="15" t="s">
        <v>13080</v>
      </c>
      <c r="E982" s="5">
        <v>2020</v>
      </c>
      <c r="F982" s="5">
        <v>2020</v>
      </c>
      <c r="G982" s="14" t="s">
        <v>16</v>
      </c>
      <c r="H982" s="15">
        <v>200</v>
      </c>
      <c r="I982" s="15">
        <v>200</v>
      </c>
      <c r="J982" s="5"/>
      <c r="K982" s="10"/>
      <c r="L982" s="10">
        <v>20201118</v>
      </c>
      <c r="M982" s="36" t="str">
        <f t="shared" si="15"/>
        <v>19631010</v>
      </c>
    </row>
    <row r="983" s="1" customFormat="1" spans="1:13">
      <c r="A983" s="2">
        <v>123</v>
      </c>
      <c r="B983" s="3" t="s">
        <v>12</v>
      </c>
      <c r="C983" s="6" t="s">
        <v>262</v>
      </c>
      <c r="D983" s="6" t="s">
        <v>263</v>
      </c>
      <c r="E983" s="3" t="s">
        <v>15</v>
      </c>
      <c r="F983" s="3" t="s">
        <v>15</v>
      </c>
      <c r="G983" s="3" t="s">
        <v>189</v>
      </c>
      <c r="H983" s="3">
        <v>200</v>
      </c>
      <c r="I983" s="3">
        <v>200</v>
      </c>
      <c r="J983" s="3"/>
      <c r="K983" s="3"/>
      <c r="L983" s="10">
        <v>20201118</v>
      </c>
      <c r="M983" s="36" t="str">
        <f t="shared" si="15"/>
        <v>19631011</v>
      </c>
    </row>
    <row r="984" s="1" customFormat="1" spans="1:13">
      <c r="A984" s="2">
        <v>3652</v>
      </c>
      <c r="B984" s="5" t="s">
        <v>7412</v>
      </c>
      <c r="C984" s="5" t="s">
        <v>7567</v>
      </c>
      <c r="D984" s="5" t="s">
        <v>7568</v>
      </c>
      <c r="E984" s="6">
        <v>2020</v>
      </c>
      <c r="F984" s="6">
        <v>2020</v>
      </c>
      <c r="G984" s="5" t="s">
        <v>3359</v>
      </c>
      <c r="H984" s="5">
        <v>200</v>
      </c>
      <c r="I984" s="5">
        <v>200</v>
      </c>
      <c r="J984" s="5"/>
      <c r="K984" s="5"/>
      <c r="L984" s="10">
        <v>20201118</v>
      </c>
      <c r="M984" s="36" t="str">
        <f t="shared" si="15"/>
        <v>19631014</v>
      </c>
    </row>
    <row r="985" s="1" customFormat="1" spans="1:13">
      <c r="A985" s="2">
        <v>3653</v>
      </c>
      <c r="B985" s="5" t="s">
        <v>7412</v>
      </c>
      <c r="C985" s="5" t="s">
        <v>270</v>
      </c>
      <c r="D985" s="5" t="s">
        <v>7569</v>
      </c>
      <c r="E985" s="6">
        <v>2020</v>
      </c>
      <c r="F985" s="6">
        <v>2020</v>
      </c>
      <c r="G985" s="5" t="s">
        <v>3359</v>
      </c>
      <c r="H985" s="5">
        <v>200</v>
      </c>
      <c r="I985" s="5">
        <v>200</v>
      </c>
      <c r="J985" s="5"/>
      <c r="K985" s="5"/>
      <c r="L985" s="10">
        <v>20201118</v>
      </c>
      <c r="M985" s="36" t="str">
        <f t="shared" si="15"/>
        <v>19631016</v>
      </c>
    </row>
    <row r="986" s="1" customFormat="1" spans="1:13">
      <c r="A986" s="2">
        <v>7043</v>
      </c>
      <c r="B986" s="5" t="s">
        <v>13533</v>
      </c>
      <c r="C986" s="32" t="s">
        <v>4069</v>
      </c>
      <c r="D986" s="32" t="str">
        <f>"152326196310167140"</f>
        <v>152326196310167140</v>
      </c>
      <c r="E986" s="5">
        <v>2020</v>
      </c>
      <c r="F986" s="5">
        <v>2020</v>
      </c>
      <c r="G986" s="9" t="s">
        <v>2480</v>
      </c>
      <c r="H986" s="32">
        <v>200</v>
      </c>
      <c r="I986" s="32">
        <v>200</v>
      </c>
      <c r="J986" s="32"/>
      <c r="K986" s="10"/>
      <c r="L986" s="10">
        <v>20201118</v>
      </c>
      <c r="M986" s="36" t="str">
        <f t="shared" si="15"/>
        <v>19631016</v>
      </c>
    </row>
    <row r="987" s="1" customFormat="1" spans="1:13">
      <c r="A987" s="2">
        <v>4584</v>
      </c>
      <c r="B987" s="6" t="s">
        <v>9015</v>
      </c>
      <c r="C987" s="6" t="s">
        <v>3102</v>
      </c>
      <c r="D987" s="6" t="s">
        <v>9345</v>
      </c>
      <c r="E987" s="6">
        <v>2020</v>
      </c>
      <c r="F987" s="6">
        <v>2020</v>
      </c>
      <c r="G987" s="6" t="s">
        <v>16</v>
      </c>
      <c r="H987" s="6">
        <v>200</v>
      </c>
      <c r="I987" s="6">
        <v>200</v>
      </c>
      <c r="J987" s="6"/>
      <c r="K987" s="6"/>
      <c r="L987" s="10">
        <v>20201118</v>
      </c>
      <c r="M987" s="36" t="str">
        <f t="shared" si="15"/>
        <v>19631017</v>
      </c>
    </row>
    <row r="988" s="1" customFormat="1" spans="1:13">
      <c r="A988" s="2">
        <v>3121</v>
      </c>
      <c r="B988" s="3" t="s">
        <v>6671</v>
      </c>
      <c r="C988" s="9" t="s">
        <v>6764</v>
      </c>
      <c r="D988" s="9" t="s">
        <v>6765</v>
      </c>
      <c r="E988" s="3" t="s">
        <v>15</v>
      </c>
      <c r="F988" s="3" t="s">
        <v>15</v>
      </c>
      <c r="G988" s="6" t="s">
        <v>3359</v>
      </c>
      <c r="H988" s="9">
        <v>200</v>
      </c>
      <c r="I988" s="9">
        <v>200</v>
      </c>
      <c r="J988" s="6"/>
      <c r="K988" s="5"/>
      <c r="L988" s="10">
        <v>20201118</v>
      </c>
      <c r="M988" s="36" t="str">
        <f t="shared" si="15"/>
        <v>19631023</v>
      </c>
    </row>
    <row r="989" s="1" customFormat="1" spans="1:13">
      <c r="A989" s="2">
        <v>3492</v>
      </c>
      <c r="B989" s="5" t="s">
        <v>3375</v>
      </c>
      <c r="C989" s="6" t="s">
        <v>7276</v>
      </c>
      <c r="D989" s="6" t="str">
        <f>"152326196310236871"</f>
        <v>152326196310236871</v>
      </c>
      <c r="E989" s="5" t="s">
        <v>15</v>
      </c>
      <c r="F989" s="5">
        <v>2020</v>
      </c>
      <c r="G989" s="14" t="s">
        <v>16</v>
      </c>
      <c r="H989" s="17">
        <v>200</v>
      </c>
      <c r="I989" s="17">
        <v>200</v>
      </c>
      <c r="J989" s="6"/>
      <c r="K989" s="10"/>
      <c r="L989" s="10">
        <v>20201118</v>
      </c>
      <c r="M989" s="36" t="str">
        <f t="shared" si="15"/>
        <v>19631023</v>
      </c>
    </row>
    <row r="990" s="1" customFormat="1" spans="1:13">
      <c r="A990" s="2">
        <v>7036</v>
      </c>
      <c r="B990" s="5" t="s">
        <v>13533</v>
      </c>
      <c r="C990" s="32" t="s">
        <v>11844</v>
      </c>
      <c r="D990" s="32" t="str">
        <f>"152326196310237110"</f>
        <v>152326196310237110</v>
      </c>
      <c r="E990" s="5">
        <v>2020</v>
      </c>
      <c r="F990" s="5">
        <v>2020</v>
      </c>
      <c r="G990" s="9" t="s">
        <v>2480</v>
      </c>
      <c r="H990" s="32">
        <v>200</v>
      </c>
      <c r="I990" s="32">
        <v>200</v>
      </c>
      <c r="J990" s="32"/>
      <c r="K990" s="10"/>
      <c r="L990" s="10">
        <v>20201118</v>
      </c>
      <c r="M990" s="36" t="str">
        <f t="shared" si="15"/>
        <v>19631023</v>
      </c>
    </row>
    <row r="991" s="1" customFormat="1" spans="1:13">
      <c r="A991" s="2">
        <v>6542</v>
      </c>
      <c r="B991" s="5" t="s">
        <v>13027</v>
      </c>
      <c r="C991" s="15" t="s">
        <v>13081</v>
      </c>
      <c r="D991" s="15" t="s">
        <v>13082</v>
      </c>
      <c r="E991" s="5">
        <v>2020</v>
      </c>
      <c r="F991" s="5">
        <v>2020</v>
      </c>
      <c r="G991" s="14" t="s">
        <v>16</v>
      </c>
      <c r="H991" s="15">
        <v>200</v>
      </c>
      <c r="I991" s="15">
        <v>200</v>
      </c>
      <c r="J991" s="5" t="s">
        <v>1242</v>
      </c>
      <c r="K991" s="10"/>
      <c r="L991" s="10">
        <v>20201118</v>
      </c>
      <c r="M991" s="36" t="str">
        <f t="shared" si="15"/>
        <v>19631024</v>
      </c>
    </row>
    <row r="992" s="1" customFormat="1" spans="1:13">
      <c r="A992" s="2">
        <v>8055</v>
      </c>
      <c r="B992" s="5" t="s">
        <v>15086</v>
      </c>
      <c r="C992" s="6" t="s">
        <v>15335</v>
      </c>
      <c r="D992" s="6" t="str">
        <f>"152326196310256872"</f>
        <v>152326196310256872</v>
      </c>
      <c r="E992" s="5" t="s">
        <v>15</v>
      </c>
      <c r="F992" s="5">
        <v>2020</v>
      </c>
      <c r="G992" s="5" t="s">
        <v>16</v>
      </c>
      <c r="H992" s="5">
        <v>200</v>
      </c>
      <c r="I992" s="5">
        <v>200</v>
      </c>
      <c r="J992" s="5"/>
      <c r="K992" s="5"/>
      <c r="L992" s="10">
        <v>20201118</v>
      </c>
      <c r="M992" s="36" t="str">
        <f t="shared" si="15"/>
        <v>19631025</v>
      </c>
    </row>
    <row r="993" s="1" customFormat="1" spans="1:13">
      <c r="A993" s="2">
        <v>2177</v>
      </c>
      <c r="B993" s="9" t="s">
        <v>4837</v>
      </c>
      <c r="C993" s="9" t="s">
        <v>4902</v>
      </c>
      <c r="D993" s="9" t="s">
        <v>4903</v>
      </c>
      <c r="E993" s="6" t="s">
        <v>15</v>
      </c>
      <c r="F993" s="6">
        <v>2020</v>
      </c>
      <c r="G993" s="9" t="s">
        <v>2480</v>
      </c>
      <c r="H993" s="9">
        <v>200</v>
      </c>
      <c r="I993" s="9">
        <v>200</v>
      </c>
      <c r="J993" s="6"/>
      <c r="K993" s="10"/>
      <c r="L993" s="10">
        <v>20201118</v>
      </c>
      <c r="M993" s="36" t="str">
        <f t="shared" si="15"/>
        <v>19631026</v>
      </c>
    </row>
    <row r="994" s="1" customFormat="1" ht="14.25" spans="1:13">
      <c r="A994" s="2">
        <v>2989</v>
      </c>
      <c r="B994" s="6" t="s">
        <v>6075</v>
      </c>
      <c r="C994" s="25" t="s">
        <v>6503</v>
      </c>
      <c r="D994" s="26" t="s">
        <v>6504</v>
      </c>
      <c r="E994" s="5" t="s">
        <v>15</v>
      </c>
      <c r="F994" s="5">
        <v>2020</v>
      </c>
      <c r="G994" s="6" t="s">
        <v>16</v>
      </c>
      <c r="H994" s="6">
        <v>200</v>
      </c>
      <c r="I994" s="6">
        <v>200</v>
      </c>
      <c r="J994" s="6" t="s">
        <v>6097</v>
      </c>
      <c r="K994" s="10"/>
      <c r="L994" s="10">
        <v>20201118</v>
      </c>
      <c r="M994" s="36" t="str">
        <f t="shared" si="15"/>
        <v>19631026</v>
      </c>
    </row>
    <row r="995" s="1" customFormat="1" spans="1:13">
      <c r="A995" s="2">
        <v>551</v>
      </c>
      <c r="B995" s="29" t="s">
        <v>1040</v>
      </c>
      <c r="C995" s="29" t="s">
        <v>1379</v>
      </c>
      <c r="D995" s="29" t="s">
        <v>1380</v>
      </c>
      <c r="E995" s="30">
        <v>2020</v>
      </c>
      <c r="F995" s="30">
        <v>2020</v>
      </c>
      <c r="G995" s="29" t="s">
        <v>16</v>
      </c>
      <c r="H995" s="29">
        <v>200</v>
      </c>
      <c r="I995" s="29">
        <v>200</v>
      </c>
      <c r="J995" s="29"/>
      <c r="K995" s="47"/>
      <c r="L995" s="14" t="s">
        <v>330</v>
      </c>
      <c r="M995" s="36" t="str">
        <f t="shared" si="15"/>
        <v>19631027</v>
      </c>
    </row>
    <row r="996" s="1" customFormat="1" spans="1:13">
      <c r="A996" s="2">
        <v>1472</v>
      </c>
      <c r="B996" s="5" t="s">
        <v>3381</v>
      </c>
      <c r="C996" s="9" t="s">
        <v>3512</v>
      </c>
      <c r="D996" s="9" t="s">
        <v>3513</v>
      </c>
      <c r="E996" s="5">
        <v>2020</v>
      </c>
      <c r="F996" s="5">
        <v>2020</v>
      </c>
      <c r="G996" s="14" t="s">
        <v>16</v>
      </c>
      <c r="H996" s="6">
        <v>200</v>
      </c>
      <c r="I996" s="6">
        <v>200</v>
      </c>
      <c r="J996" s="5"/>
      <c r="K996" s="13"/>
      <c r="L996" s="10">
        <v>20201118</v>
      </c>
      <c r="M996" s="36" t="str">
        <f t="shared" si="15"/>
        <v>19631027</v>
      </c>
    </row>
    <row r="997" s="1" customFormat="1" spans="1:13">
      <c r="A997" s="2">
        <v>5901</v>
      </c>
      <c r="B997" s="30" t="s">
        <v>11090</v>
      </c>
      <c r="C997" s="30" t="s">
        <v>9051</v>
      </c>
      <c r="D997" s="30" t="s">
        <v>11854</v>
      </c>
      <c r="E997" s="5" t="s">
        <v>15</v>
      </c>
      <c r="F997" s="5" t="s">
        <v>10250</v>
      </c>
      <c r="G997" s="6" t="s">
        <v>16</v>
      </c>
      <c r="H997" s="32">
        <v>200</v>
      </c>
      <c r="I997" s="32">
        <v>200</v>
      </c>
      <c r="J997" s="6"/>
      <c r="K997" s="48"/>
      <c r="L997" s="10">
        <v>20201118</v>
      </c>
      <c r="M997" s="36" t="str">
        <f t="shared" si="15"/>
        <v>19631027</v>
      </c>
    </row>
    <row r="998" s="1" customFormat="1" spans="1:13">
      <c r="A998" s="2">
        <v>6216</v>
      </c>
      <c r="B998" s="5" t="s">
        <v>12263</v>
      </c>
      <c r="C998" s="5" t="s">
        <v>12458</v>
      </c>
      <c r="D998" s="5" t="s">
        <v>12459</v>
      </c>
      <c r="E998" s="5" t="s">
        <v>10250</v>
      </c>
      <c r="F998" s="5">
        <v>2020</v>
      </c>
      <c r="G998" s="17" t="s">
        <v>3359</v>
      </c>
      <c r="H998" s="5">
        <v>200</v>
      </c>
      <c r="I998" s="5">
        <v>200</v>
      </c>
      <c r="J998" s="5"/>
      <c r="K998" s="5"/>
      <c r="L998" s="10">
        <v>20201118</v>
      </c>
      <c r="M998" s="36" t="str">
        <f t="shared" si="15"/>
        <v>19631027</v>
      </c>
    </row>
    <row r="999" s="1" customFormat="1" spans="1:13">
      <c r="A999" s="2">
        <v>722</v>
      </c>
      <c r="B999" s="29" t="s">
        <v>1040</v>
      </c>
      <c r="C999" s="5" t="s">
        <v>1817</v>
      </c>
      <c r="D999" s="317" t="s">
        <v>1818</v>
      </c>
      <c r="E999" s="30">
        <v>2020</v>
      </c>
      <c r="F999" s="30">
        <v>2020</v>
      </c>
      <c r="G999" s="29" t="s">
        <v>16</v>
      </c>
      <c r="H999" s="29">
        <v>200</v>
      </c>
      <c r="I999" s="29">
        <v>200</v>
      </c>
      <c r="J999" s="29"/>
      <c r="K999" s="54"/>
      <c r="L999" s="14" t="s">
        <v>330</v>
      </c>
      <c r="M999" s="36" t="str">
        <f t="shared" si="15"/>
        <v>19631101</v>
      </c>
    </row>
    <row r="1000" s="1" customFormat="1" spans="1:13">
      <c r="A1000" s="2">
        <v>3654</v>
      </c>
      <c r="B1000" s="5" t="s">
        <v>7412</v>
      </c>
      <c r="C1000" s="5" t="s">
        <v>7570</v>
      </c>
      <c r="D1000" s="5" t="s">
        <v>7571</v>
      </c>
      <c r="E1000" s="6">
        <v>2020</v>
      </c>
      <c r="F1000" s="6">
        <v>2020</v>
      </c>
      <c r="G1000" s="5" t="s">
        <v>3359</v>
      </c>
      <c r="H1000" s="5">
        <v>200</v>
      </c>
      <c r="I1000" s="5">
        <v>200</v>
      </c>
      <c r="J1000" s="5"/>
      <c r="K1000" s="5"/>
      <c r="L1000" s="10">
        <v>20201118</v>
      </c>
      <c r="M1000" s="36" t="str">
        <f t="shared" si="15"/>
        <v>19631103</v>
      </c>
    </row>
    <row r="1001" s="1" customFormat="1" spans="1:13">
      <c r="A1001" s="2">
        <v>2559</v>
      </c>
      <c r="B1001" s="32" t="s">
        <v>5602</v>
      </c>
      <c r="C1001" s="9" t="s">
        <v>5656</v>
      </c>
      <c r="D1001" s="9" t="s">
        <v>5657</v>
      </c>
      <c r="E1001" s="32">
        <v>2020</v>
      </c>
      <c r="F1001" s="32">
        <v>2020</v>
      </c>
      <c r="G1001" s="32" t="s">
        <v>16</v>
      </c>
      <c r="H1001" s="9">
        <v>200</v>
      </c>
      <c r="I1001" s="9">
        <v>200</v>
      </c>
      <c r="J1001" s="32"/>
      <c r="K1001" s="52"/>
      <c r="L1001" s="10">
        <v>20201118</v>
      </c>
      <c r="M1001" s="36" t="str">
        <f t="shared" si="15"/>
        <v>19631106</v>
      </c>
    </row>
    <row r="1002" s="1" customFormat="1" spans="1:13">
      <c r="A1002" s="2">
        <v>976</v>
      </c>
      <c r="B1002" s="5" t="s">
        <v>2469</v>
      </c>
      <c r="C1002" s="9" t="s">
        <v>2544</v>
      </c>
      <c r="D1002" s="9" t="s">
        <v>2545</v>
      </c>
      <c r="E1002" s="5">
        <v>2020</v>
      </c>
      <c r="F1002" s="5">
        <v>2020</v>
      </c>
      <c r="G1002" s="9" t="s">
        <v>2480</v>
      </c>
      <c r="H1002" s="9">
        <v>200</v>
      </c>
      <c r="I1002" s="9">
        <v>200</v>
      </c>
      <c r="J1002" s="5"/>
      <c r="K1002" s="5"/>
      <c r="L1002" s="10">
        <v>20201118</v>
      </c>
      <c r="M1002" s="36" t="str">
        <f t="shared" si="15"/>
        <v>19631110</v>
      </c>
    </row>
    <row r="1003" s="1" customFormat="1" spans="1:13">
      <c r="A1003" s="2">
        <v>3086</v>
      </c>
      <c r="B1003" s="3" t="s">
        <v>6671</v>
      </c>
      <c r="C1003" s="9" t="s">
        <v>6697</v>
      </c>
      <c r="D1003" s="9" t="s">
        <v>6698</v>
      </c>
      <c r="E1003" s="3" t="s">
        <v>15</v>
      </c>
      <c r="F1003" s="3" t="s">
        <v>15</v>
      </c>
      <c r="G1003" s="6" t="s">
        <v>3359</v>
      </c>
      <c r="H1003" s="9">
        <v>200</v>
      </c>
      <c r="I1003" s="9">
        <v>200</v>
      </c>
      <c r="J1003" s="6" t="s">
        <v>768</v>
      </c>
      <c r="K1003" s="5"/>
      <c r="L1003" s="10">
        <v>20201118</v>
      </c>
      <c r="M1003" s="36" t="str">
        <f t="shared" si="15"/>
        <v>19631115</v>
      </c>
    </row>
    <row r="1004" s="1" customFormat="1" spans="1:13">
      <c r="A1004" s="2">
        <v>7585</v>
      </c>
      <c r="B1004" s="5" t="s">
        <v>14402</v>
      </c>
      <c r="C1004" s="5" t="s">
        <v>14769</v>
      </c>
      <c r="D1004" s="5" t="s">
        <v>14770</v>
      </c>
      <c r="E1004" s="5">
        <v>2020</v>
      </c>
      <c r="F1004" s="5">
        <v>2020</v>
      </c>
      <c r="G1004" s="17" t="s">
        <v>16</v>
      </c>
      <c r="H1004" s="5">
        <v>500</v>
      </c>
      <c r="I1004" s="5">
        <v>500</v>
      </c>
      <c r="J1004" s="5"/>
      <c r="K1004" s="10"/>
      <c r="L1004" s="10">
        <v>20201118</v>
      </c>
      <c r="M1004" s="36" t="str">
        <f t="shared" si="15"/>
        <v>19631115</v>
      </c>
    </row>
    <row r="1005" s="1" customFormat="1" spans="1:13">
      <c r="A1005" s="2">
        <v>3496</v>
      </c>
      <c r="B1005" s="5" t="s">
        <v>3375</v>
      </c>
      <c r="C1005" s="6" t="s">
        <v>7280</v>
      </c>
      <c r="D1005" s="6" t="s">
        <v>7281</v>
      </c>
      <c r="E1005" s="5" t="s">
        <v>15</v>
      </c>
      <c r="F1005" s="5">
        <v>2020</v>
      </c>
      <c r="G1005" s="14" t="s">
        <v>16</v>
      </c>
      <c r="H1005" s="17">
        <v>200</v>
      </c>
      <c r="I1005" s="17">
        <v>200</v>
      </c>
      <c r="J1005" s="6" t="s">
        <v>1242</v>
      </c>
      <c r="K1005" s="10"/>
      <c r="L1005" s="10">
        <v>20201118</v>
      </c>
      <c r="M1005" s="36" t="str">
        <f t="shared" si="15"/>
        <v>19631116</v>
      </c>
    </row>
    <row r="1006" s="1" customFormat="1" spans="1:13">
      <c r="A1006" s="2">
        <v>7044</v>
      </c>
      <c r="B1006" s="5" t="s">
        <v>13533</v>
      </c>
      <c r="C1006" s="32" t="s">
        <v>13789</v>
      </c>
      <c r="D1006" s="32" t="str">
        <f>"152326196311167126"</f>
        <v>152326196311167126</v>
      </c>
      <c r="E1006" s="5">
        <v>2020</v>
      </c>
      <c r="F1006" s="5">
        <v>2020</v>
      </c>
      <c r="G1006" s="9" t="s">
        <v>2480</v>
      </c>
      <c r="H1006" s="32">
        <v>200</v>
      </c>
      <c r="I1006" s="32">
        <v>200</v>
      </c>
      <c r="J1006" s="32"/>
      <c r="K1006" s="10"/>
      <c r="L1006" s="10">
        <v>20201118</v>
      </c>
      <c r="M1006" s="36" t="str">
        <f t="shared" si="15"/>
        <v>19631116</v>
      </c>
    </row>
    <row r="1007" s="1" customFormat="1" spans="1:13">
      <c r="A1007" s="2">
        <v>3483</v>
      </c>
      <c r="B1007" s="5" t="s">
        <v>3375</v>
      </c>
      <c r="C1007" s="6" t="s">
        <v>3054</v>
      </c>
      <c r="D1007" s="6" t="str">
        <f>"152326196311186861"</f>
        <v>152326196311186861</v>
      </c>
      <c r="E1007" s="5" t="s">
        <v>15</v>
      </c>
      <c r="F1007" s="5">
        <v>2020</v>
      </c>
      <c r="G1007" s="14" t="s">
        <v>16</v>
      </c>
      <c r="H1007" s="17">
        <v>200</v>
      </c>
      <c r="I1007" s="17">
        <v>200</v>
      </c>
      <c r="J1007" s="6"/>
      <c r="K1007" s="10"/>
      <c r="L1007" s="10">
        <v>20201118</v>
      </c>
      <c r="M1007" s="36" t="str">
        <f t="shared" si="15"/>
        <v>19631118</v>
      </c>
    </row>
    <row r="1008" s="1" customFormat="1" spans="1:13">
      <c r="A1008" s="2">
        <v>4441</v>
      </c>
      <c r="B1008" s="6" t="s">
        <v>9015</v>
      </c>
      <c r="C1008" s="6" t="s">
        <v>9069</v>
      </c>
      <c r="D1008" s="6" t="s">
        <v>9070</v>
      </c>
      <c r="E1008" s="6">
        <v>2020</v>
      </c>
      <c r="F1008" s="6">
        <v>2020</v>
      </c>
      <c r="G1008" s="6" t="s">
        <v>16</v>
      </c>
      <c r="H1008" s="6">
        <v>200</v>
      </c>
      <c r="I1008" s="6">
        <v>200</v>
      </c>
      <c r="J1008" s="6" t="s">
        <v>108</v>
      </c>
      <c r="K1008" s="6"/>
      <c r="L1008" s="10">
        <v>20201118</v>
      </c>
      <c r="M1008" s="36" t="str">
        <f t="shared" si="15"/>
        <v>19631118</v>
      </c>
    </row>
    <row r="1009" s="1" customFormat="1" spans="1:13">
      <c r="A1009" s="2">
        <v>4443</v>
      </c>
      <c r="B1009" s="6" t="s">
        <v>9015</v>
      </c>
      <c r="C1009" s="6" t="s">
        <v>9073</v>
      </c>
      <c r="D1009" s="6" t="s">
        <v>9074</v>
      </c>
      <c r="E1009" s="6">
        <v>2020</v>
      </c>
      <c r="F1009" s="6">
        <v>2020</v>
      </c>
      <c r="G1009" s="6" t="s">
        <v>16</v>
      </c>
      <c r="H1009" s="6">
        <v>200</v>
      </c>
      <c r="I1009" s="6">
        <v>200</v>
      </c>
      <c r="J1009" s="6" t="s">
        <v>108</v>
      </c>
      <c r="K1009" s="6"/>
      <c r="L1009" s="10">
        <v>20201118</v>
      </c>
      <c r="M1009" s="36" t="str">
        <f t="shared" si="15"/>
        <v>19631118</v>
      </c>
    </row>
    <row r="1010" s="1" customFormat="1" spans="1:13">
      <c r="A1010" s="2">
        <v>598</v>
      </c>
      <c r="B1010" s="29" t="s">
        <v>1040</v>
      </c>
      <c r="C1010" s="29" t="s">
        <v>1472</v>
      </c>
      <c r="D1010" s="29" t="s">
        <v>1473</v>
      </c>
      <c r="E1010" s="30">
        <v>2020</v>
      </c>
      <c r="F1010" s="30">
        <v>2020</v>
      </c>
      <c r="G1010" s="29" t="s">
        <v>16</v>
      </c>
      <c r="H1010" s="29">
        <v>200</v>
      </c>
      <c r="I1010" s="29">
        <v>200</v>
      </c>
      <c r="J1010" s="29"/>
      <c r="K1010" s="47"/>
      <c r="L1010" s="2" t="s">
        <v>330</v>
      </c>
      <c r="M1010" s="36" t="str">
        <f t="shared" si="15"/>
        <v>19631120</v>
      </c>
    </row>
    <row r="1011" s="1" customFormat="1" spans="1:13">
      <c r="A1011" s="2">
        <v>5084</v>
      </c>
      <c r="B1011" s="6" t="s">
        <v>10242</v>
      </c>
      <c r="C1011" s="9" t="s">
        <v>10300</v>
      </c>
      <c r="D1011" s="9" t="s">
        <v>10301</v>
      </c>
      <c r="E1011" s="5" t="s">
        <v>10250</v>
      </c>
      <c r="F1011" s="5">
        <v>2020</v>
      </c>
      <c r="G1011" s="6" t="s">
        <v>16</v>
      </c>
      <c r="H1011" s="6">
        <v>200</v>
      </c>
      <c r="I1011" s="6">
        <v>200</v>
      </c>
      <c r="J1011" s="6" t="s">
        <v>108</v>
      </c>
      <c r="K1011" s="5"/>
      <c r="L1011" s="10">
        <v>20201118</v>
      </c>
      <c r="M1011" s="36" t="str">
        <f t="shared" si="15"/>
        <v>19631122</v>
      </c>
    </row>
    <row r="1012" s="1" customFormat="1" spans="1:13">
      <c r="A1012" s="2">
        <v>1473</v>
      </c>
      <c r="B1012" s="5" t="s">
        <v>3381</v>
      </c>
      <c r="C1012" s="9" t="s">
        <v>3514</v>
      </c>
      <c r="D1012" s="9" t="s">
        <v>3515</v>
      </c>
      <c r="E1012" s="5">
        <v>2020</v>
      </c>
      <c r="F1012" s="5">
        <v>2020</v>
      </c>
      <c r="G1012" s="14" t="s">
        <v>16</v>
      </c>
      <c r="H1012" s="6">
        <v>200</v>
      </c>
      <c r="I1012" s="6">
        <v>200</v>
      </c>
      <c r="J1012" s="5"/>
      <c r="K1012" s="13"/>
      <c r="L1012" s="10">
        <v>20201118</v>
      </c>
      <c r="M1012" s="36" t="str">
        <f t="shared" si="15"/>
        <v>19631123</v>
      </c>
    </row>
    <row r="1013" s="1" customFormat="1" spans="1:13">
      <c r="A1013" s="2">
        <v>5952</v>
      </c>
      <c r="B1013" s="30" t="s">
        <v>11090</v>
      </c>
      <c r="C1013" s="6" t="s">
        <v>11951</v>
      </c>
      <c r="D1013" s="293" t="s">
        <v>11952</v>
      </c>
      <c r="E1013" s="5" t="s">
        <v>15</v>
      </c>
      <c r="F1013" s="5" t="s">
        <v>10250</v>
      </c>
      <c r="G1013" s="6" t="s">
        <v>16</v>
      </c>
      <c r="H1013" s="32">
        <v>1000</v>
      </c>
      <c r="I1013" s="32">
        <v>1000</v>
      </c>
      <c r="J1013" s="6"/>
      <c r="K1013" s="48"/>
      <c r="L1013" s="10">
        <v>20201118</v>
      </c>
      <c r="M1013" s="36" t="str">
        <f t="shared" si="15"/>
        <v>19631125</v>
      </c>
    </row>
    <row r="1014" s="1" customFormat="1" spans="1:13">
      <c r="A1014" s="2">
        <v>7042</v>
      </c>
      <c r="B1014" s="5" t="s">
        <v>13533</v>
      </c>
      <c r="C1014" s="32" t="s">
        <v>3573</v>
      </c>
      <c r="D1014" s="32" t="str">
        <f>"152326196311267135"</f>
        <v>152326196311267135</v>
      </c>
      <c r="E1014" s="5">
        <v>2020</v>
      </c>
      <c r="F1014" s="5">
        <v>2020</v>
      </c>
      <c r="G1014" s="9" t="s">
        <v>2480</v>
      </c>
      <c r="H1014" s="32">
        <v>200</v>
      </c>
      <c r="I1014" s="32">
        <v>200</v>
      </c>
      <c r="J1014" s="32"/>
      <c r="K1014" s="10"/>
      <c r="L1014" s="10">
        <v>20201118</v>
      </c>
      <c r="M1014" s="36" t="str">
        <f t="shared" si="15"/>
        <v>19631126</v>
      </c>
    </row>
    <row r="1015" s="1" customFormat="1" spans="1:13">
      <c r="A1015" s="2">
        <v>1884</v>
      </c>
      <c r="B1015" s="5" t="s">
        <v>4189</v>
      </c>
      <c r="C1015" s="16" t="s">
        <v>4331</v>
      </c>
      <c r="D1015" s="16" t="s">
        <v>4332</v>
      </c>
      <c r="E1015" s="5" t="s">
        <v>15</v>
      </c>
      <c r="F1015" s="5" t="s">
        <v>15</v>
      </c>
      <c r="G1015" s="5" t="s">
        <v>3359</v>
      </c>
      <c r="H1015" s="16">
        <v>200</v>
      </c>
      <c r="I1015" s="16">
        <v>200</v>
      </c>
      <c r="J1015" s="5"/>
      <c r="K1015" s="10"/>
      <c r="L1015" s="10">
        <v>20201118</v>
      </c>
      <c r="M1015" s="36" t="str">
        <f t="shared" si="15"/>
        <v>19631127</v>
      </c>
    </row>
    <row r="1016" s="1" customFormat="1" spans="1:13">
      <c r="A1016" s="2">
        <v>1862</v>
      </c>
      <c r="B1016" s="5" t="s">
        <v>4189</v>
      </c>
      <c r="C1016" s="16" t="s">
        <v>4288</v>
      </c>
      <c r="D1016" s="16" t="s">
        <v>4289</v>
      </c>
      <c r="E1016" s="5" t="s">
        <v>15</v>
      </c>
      <c r="F1016" s="5" t="s">
        <v>15</v>
      </c>
      <c r="G1016" s="5" t="s">
        <v>3359</v>
      </c>
      <c r="H1016" s="16">
        <v>200</v>
      </c>
      <c r="I1016" s="16">
        <v>200</v>
      </c>
      <c r="J1016" s="5"/>
      <c r="K1016" s="10"/>
      <c r="L1016" s="10">
        <v>20201118</v>
      </c>
      <c r="M1016" s="36" t="str">
        <f t="shared" si="15"/>
        <v>19631130</v>
      </c>
    </row>
    <row r="1017" s="1" customFormat="1" ht="14.25" spans="1:13">
      <c r="A1017" s="2">
        <v>3261</v>
      </c>
      <c r="B1017" s="3" t="s">
        <v>6671</v>
      </c>
      <c r="C1017" s="57" t="s">
        <v>7025</v>
      </c>
      <c r="D1017" s="20" t="s">
        <v>7026</v>
      </c>
      <c r="E1017" s="6" t="s">
        <v>4184</v>
      </c>
      <c r="F1017" s="5" t="s">
        <v>15</v>
      </c>
      <c r="G1017" s="6" t="s">
        <v>289</v>
      </c>
      <c r="H1017" s="6" t="s">
        <v>311</v>
      </c>
      <c r="I1017" s="6">
        <v>600</v>
      </c>
      <c r="J1017" s="5"/>
      <c r="K1017" s="39"/>
      <c r="L1017" s="10">
        <v>20201118</v>
      </c>
      <c r="M1017" s="36" t="str">
        <f t="shared" si="15"/>
        <v>19631201</v>
      </c>
    </row>
    <row r="1018" s="1" customFormat="1" spans="1:13">
      <c r="A1018" s="2">
        <v>4577</v>
      </c>
      <c r="B1018" s="6" t="s">
        <v>9015</v>
      </c>
      <c r="C1018" s="6" t="s">
        <v>9331</v>
      </c>
      <c r="D1018" s="6" t="s">
        <v>9332</v>
      </c>
      <c r="E1018" s="6">
        <v>2020</v>
      </c>
      <c r="F1018" s="6">
        <v>2020</v>
      </c>
      <c r="G1018" s="6" t="s">
        <v>16</v>
      </c>
      <c r="H1018" s="6">
        <v>200</v>
      </c>
      <c r="I1018" s="6">
        <v>200</v>
      </c>
      <c r="J1018" s="6"/>
      <c r="K1018" s="6"/>
      <c r="L1018" s="10">
        <v>20201118</v>
      </c>
      <c r="M1018" s="36" t="str">
        <f t="shared" si="15"/>
        <v>19631201</v>
      </c>
    </row>
    <row r="1019" s="1" customFormat="1" spans="1:13">
      <c r="A1019" s="2">
        <v>6328</v>
      </c>
      <c r="B1019" s="5" t="s">
        <v>12263</v>
      </c>
      <c r="C1019" s="5" t="s">
        <v>3874</v>
      </c>
      <c r="D1019" s="5" t="s">
        <v>12673</v>
      </c>
      <c r="E1019" s="5" t="s">
        <v>10250</v>
      </c>
      <c r="F1019" s="5">
        <v>2020</v>
      </c>
      <c r="G1019" s="17" t="s">
        <v>3359</v>
      </c>
      <c r="H1019" s="5" t="s">
        <v>311</v>
      </c>
      <c r="I1019" s="5">
        <v>200</v>
      </c>
      <c r="J1019" s="5"/>
      <c r="K1019" s="5"/>
      <c r="L1019" s="10">
        <v>20201118</v>
      </c>
      <c r="M1019" s="36" t="str">
        <f t="shared" si="15"/>
        <v>19631201</v>
      </c>
    </row>
    <row r="1020" s="1" customFormat="1" spans="1:13">
      <c r="A1020" s="2">
        <v>2416</v>
      </c>
      <c r="B1020" s="5" t="s">
        <v>5328</v>
      </c>
      <c r="C1020" s="16" t="s">
        <v>5373</v>
      </c>
      <c r="D1020" s="16" t="s">
        <v>5374</v>
      </c>
      <c r="E1020" s="5" t="s">
        <v>15</v>
      </c>
      <c r="F1020" s="5" t="s">
        <v>15</v>
      </c>
      <c r="G1020" s="14" t="s">
        <v>16</v>
      </c>
      <c r="H1020" s="6">
        <v>200</v>
      </c>
      <c r="I1020" s="6">
        <v>200</v>
      </c>
      <c r="J1020" s="5"/>
      <c r="K1020" s="5"/>
      <c r="L1020" s="10">
        <v>20201118</v>
      </c>
      <c r="M1020" s="36" t="str">
        <f t="shared" si="15"/>
        <v>19631204</v>
      </c>
    </row>
    <row r="1021" s="1" customFormat="1" spans="1:13">
      <c r="A1021" s="2">
        <v>5915</v>
      </c>
      <c r="B1021" s="30" t="s">
        <v>11090</v>
      </c>
      <c r="C1021" s="30" t="s">
        <v>7757</v>
      </c>
      <c r="D1021" s="30" t="s">
        <v>11881</v>
      </c>
      <c r="E1021" s="5" t="s">
        <v>15</v>
      </c>
      <c r="F1021" s="5" t="s">
        <v>10250</v>
      </c>
      <c r="G1021" s="6" t="s">
        <v>16</v>
      </c>
      <c r="H1021" s="32">
        <v>200</v>
      </c>
      <c r="I1021" s="32">
        <v>200</v>
      </c>
      <c r="J1021" s="6"/>
      <c r="K1021" s="48"/>
      <c r="L1021" s="10">
        <v>20201118</v>
      </c>
      <c r="M1021" s="36" t="str">
        <f t="shared" si="15"/>
        <v>19631205</v>
      </c>
    </row>
    <row r="1022" s="1" customFormat="1" spans="1:13">
      <c r="A1022" s="2">
        <v>7039</v>
      </c>
      <c r="B1022" s="5" t="s">
        <v>13533</v>
      </c>
      <c r="C1022" s="32" t="s">
        <v>13786</v>
      </c>
      <c r="D1022" s="32" t="str">
        <f>"152326196312067119"</f>
        <v>152326196312067119</v>
      </c>
      <c r="E1022" s="5">
        <v>2020</v>
      </c>
      <c r="F1022" s="5">
        <v>2020</v>
      </c>
      <c r="G1022" s="9" t="s">
        <v>2480</v>
      </c>
      <c r="H1022" s="32">
        <v>200</v>
      </c>
      <c r="I1022" s="32">
        <v>200</v>
      </c>
      <c r="J1022" s="32"/>
      <c r="K1022" s="10"/>
      <c r="L1022" s="10">
        <v>20201118</v>
      </c>
      <c r="M1022" s="36" t="str">
        <f t="shared" si="15"/>
        <v>19631206</v>
      </c>
    </row>
    <row r="1023" s="1" customFormat="1" ht="14.25" spans="1:13">
      <c r="A1023" s="2">
        <v>2879</v>
      </c>
      <c r="B1023" s="6" t="s">
        <v>6075</v>
      </c>
      <c r="C1023" s="25" t="s">
        <v>6287</v>
      </c>
      <c r="D1023" s="26" t="s">
        <v>6288</v>
      </c>
      <c r="E1023" s="5" t="s">
        <v>15</v>
      </c>
      <c r="F1023" s="5">
        <v>2020</v>
      </c>
      <c r="G1023" s="6" t="s">
        <v>16</v>
      </c>
      <c r="H1023" s="6">
        <v>200</v>
      </c>
      <c r="I1023" s="6">
        <v>200</v>
      </c>
      <c r="J1023" s="6"/>
      <c r="K1023" s="10"/>
      <c r="L1023" s="10">
        <v>20201118</v>
      </c>
      <c r="M1023" s="36" t="str">
        <f t="shared" si="15"/>
        <v>19631207</v>
      </c>
    </row>
    <row r="1024" s="1" customFormat="1" spans="1:13">
      <c r="A1024" s="2">
        <v>6439</v>
      </c>
      <c r="B1024" s="5" t="s">
        <v>12263</v>
      </c>
      <c r="C1024" s="5" t="s">
        <v>12883</v>
      </c>
      <c r="D1024" s="5" t="s">
        <v>12884</v>
      </c>
      <c r="E1024" s="5" t="s">
        <v>10250</v>
      </c>
      <c r="F1024" s="5">
        <v>2020</v>
      </c>
      <c r="G1024" s="17" t="s">
        <v>3359</v>
      </c>
      <c r="H1024" s="5">
        <v>500</v>
      </c>
      <c r="I1024" s="5">
        <v>500</v>
      </c>
      <c r="J1024" s="5"/>
      <c r="K1024" s="5"/>
      <c r="L1024" s="10">
        <v>20201118</v>
      </c>
      <c r="M1024" s="36" t="str">
        <f t="shared" si="15"/>
        <v>19631207</v>
      </c>
    </row>
    <row r="1025" s="1" customFormat="1" spans="1:13">
      <c r="A1025" s="2">
        <v>3655</v>
      </c>
      <c r="B1025" s="5" t="s">
        <v>7412</v>
      </c>
      <c r="C1025" s="5" t="s">
        <v>7572</v>
      </c>
      <c r="D1025" s="5" t="s">
        <v>7573</v>
      </c>
      <c r="E1025" s="6">
        <v>2020</v>
      </c>
      <c r="F1025" s="6">
        <v>2020</v>
      </c>
      <c r="G1025" s="5" t="s">
        <v>3359</v>
      </c>
      <c r="H1025" s="5">
        <v>200</v>
      </c>
      <c r="I1025" s="5">
        <v>200</v>
      </c>
      <c r="J1025" s="5"/>
      <c r="K1025" s="5"/>
      <c r="L1025" s="10">
        <v>20201118</v>
      </c>
      <c r="M1025" s="36" t="str">
        <f t="shared" si="15"/>
        <v>19631209</v>
      </c>
    </row>
    <row r="1026" s="1" customFormat="1" spans="1:13">
      <c r="A1026" s="2">
        <v>3204</v>
      </c>
      <c r="B1026" s="3" t="s">
        <v>6671</v>
      </c>
      <c r="C1026" s="9" t="s">
        <v>6917</v>
      </c>
      <c r="D1026" s="9" t="s">
        <v>6918</v>
      </c>
      <c r="E1026" s="3" t="s">
        <v>15</v>
      </c>
      <c r="F1026" s="3" t="s">
        <v>15</v>
      </c>
      <c r="G1026" s="6" t="s">
        <v>3359</v>
      </c>
      <c r="H1026" s="9">
        <v>200</v>
      </c>
      <c r="I1026" s="9">
        <v>200</v>
      </c>
      <c r="J1026" s="6"/>
      <c r="K1026" s="5"/>
      <c r="L1026" s="10">
        <v>20201118</v>
      </c>
      <c r="M1026" s="36" t="str">
        <f t="shared" ref="M1026:M1089" si="16">MID(D1026,7,8)</f>
        <v>19631210</v>
      </c>
    </row>
    <row r="1027" s="1" customFormat="1" spans="1:13">
      <c r="A1027" s="2">
        <v>3249</v>
      </c>
      <c r="B1027" s="3" t="s">
        <v>6671</v>
      </c>
      <c r="C1027" s="9" t="s">
        <v>7001</v>
      </c>
      <c r="D1027" s="9" t="s">
        <v>7002</v>
      </c>
      <c r="E1027" s="3" t="s">
        <v>15</v>
      </c>
      <c r="F1027" s="3" t="s">
        <v>15</v>
      </c>
      <c r="G1027" s="6" t="s">
        <v>3359</v>
      </c>
      <c r="H1027" s="9">
        <v>200</v>
      </c>
      <c r="I1027" s="9">
        <v>200</v>
      </c>
      <c r="J1027" s="6" t="s">
        <v>108</v>
      </c>
      <c r="K1027" s="5"/>
      <c r="L1027" s="10">
        <v>20201118</v>
      </c>
      <c r="M1027" s="36" t="str">
        <f t="shared" si="16"/>
        <v>19631210</v>
      </c>
    </row>
    <row r="1028" s="1" customFormat="1" spans="1:13">
      <c r="A1028" s="2">
        <v>4482</v>
      </c>
      <c r="B1028" s="6" t="s">
        <v>9015</v>
      </c>
      <c r="C1028" s="6" t="s">
        <v>9147</v>
      </c>
      <c r="D1028" s="6" t="s">
        <v>9148</v>
      </c>
      <c r="E1028" s="6">
        <v>2020</v>
      </c>
      <c r="F1028" s="6">
        <v>2020</v>
      </c>
      <c r="G1028" s="6" t="s">
        <v>16</v>
      </c>
      <c r="H1028" s="6">
        <v>200</v>
      </c>
      <c r="I1028" s="6">
        <v>200</v>
      </c>
      <c r="J1028" s="6" t="s">
        <v>1038</v>
      </c>
      <c r="K1028" s="6"/>
      <c r="L1028" s="10">
        <v>20201118</v>
      </c>
      <c r="M1028" s="36" t="str">
        <f t="shared" si="16"/>
        <v>19631210</v>
      </c>
    </row>
    <row r="1029" s="1" customFormat="1" spans="1:13">
      <c r="A1029" s="2">
        <v>4499</v>
      </c>
      <c r="B1029" s="6" t="s">
        <v>9015</v>
      </c>
      <c r="C1029" s="6" t="s">
        <v>9181</v>
      </c>
      <c r="D1029" s="6" t="s">
        <v>9182</v>
      </c>
      <c r="E1029" s="6">
        <v>2020</v>
      </c>
      <c r="F1029" s="6">
        <v>2020</v>
      </c>
      <c r="G1029" s="6" t="s">
        <v>16</v>
      </c>
      <c r="H1029" s="6">
        <v>200</v>
      </c>
      <c r="I1029" s="6">
        <v>200</v>
      </c>
      <c r="J1029" s="6"/>
      <c r="K1029" s="6"/>
      <c r="L1029" s="10">
        <v>20201118</v>
      </c>
      <c r="M1029" s="36" t="str">
        <f t="shared" si="16"/>
        <v>19631211</v>
      </c>
    </row>
    <row r="1030" s="1" customFormat="1" spans="1:13">
      <c r="A1030" s="2">
        <v>7581</v>
      </c>
      <c r="B1030" s="5" t="s">
        <v>14402</v>
      </c>
      <c r="C1030" s="5" t="s">
        <v>14761</v>
      </c>
      <c r="D1030" s="5" t="s">
        <v>14762</v>
      </c>
      <c r="E1030" s="5">
        <v>2020</v>
      </c>
      <c r="F1030" s="5">
        <v>2020</v>
      </c>
      <c r="G1030" s="17" t="s">
        <v>16</v>
      </c>
      <c r="H1030" s="5">
        <v>200</v>
      </c>
      <c r="I1030" s="5">
        <v>200</v>
      </c>
      <c r="J1030" s="5"/>
      <c r="K1030" s="10"/>
      <c r="L1030" s="10">
        <v>20201118</v>
      </c>
      <c r="M1030" s="36" t="str">
        <f t="shared" si="16"/>
        <v>19631211</v>
      </c>
    </row>
    <row r="1031" s="1" customFormat="1" spans="1:13">
      <c r="A1031" s="2">
        <v>4183</v>
      </c>
      <c r="B1031" s="9" t="s">
        <v>8515</v>
      </c>
      <c r="C1031" s="9" t="s">
        <v>7282</v>
      </c>
      <c r="D1031" s="9" t="s">
        <v>8572</v>
      </c>
      <c r="E1031" s="5" t="s">
        <v>15</v>
      </c>
      <c r="F1031" s="5">
        <v>2020</v>
      </c>
      <c r="G1031" s="9" t="s">
        <v>2480</v>
      </c>
      <c r="H1031" s="9">
        <v>200</v>
      </c>
      <c r="I1031" s="9">
        <v>200</v>
      </c>
      <c r="J1031" s="9"/>
      <c r="K1031" s="9"/>
      <c r="L1031" s="10">
        <v>20201118</v>
      </c>
      <c r="M1031" s="36" t="str">
        <f t="shared" si="16"/>
        <v>19631213</v>
      </c>
    </row>
    <row r="1032" s="1" customFormat="1" spans="1:13">
      <c r="A1032" s="2">
        <v>7031</v>
      </c>
      <c r="B1032" s="5" t="s">
        <v>13533</v>
      </c>
      <c r="C1032" s="32" t="s">
        <v>13777</v>
      </c>
      <c r="D1032" s="32" t="str">
        <f>"152326196312157122"</f>
        <v>152326196312157122</v>
      </c>
      <c r="E1032" s="5">
        <v>2020</v>
      </c>
      <c r="F1032" s="5">
        <v>2020</v>
      </c>
      <c r="G1032" s="9" t="s">
        <v>2480</v>
      </c>
      <c r="H1032" s="32">
        <v>200</v>
      </c>
      <c r="I1032" s="32">
        <v>200</v>
      </c>
      <c r="J1032" s="32"/>
      <c r="K1032" s="10"/>
      <c r="L1032" s="10">
        <v>20201118</v>
      </c>
      <c r="M1032" s="36" t="str">
        <f t="shared" si="16"/>
        <v>19631215</v>
      </c>
    </row>
    <row r="1033" s="1" customFormat="1" spans="1:13">
      <c r="A1033" s="2">
        <v>8166</v>
      </c>
      <c r="B1033" s="5" t="s">
        <v>15406</v>
      </c>
      <c r="C1033" s="6" t="s">
        <v>15522</v>
      </c>
      <c r="D1033" s="6" t="s">
        <v>15523</v>
      </c>
      <c r="E1033" s="5" t="s">
        <v>15</v>
      </c>
      <c r="F1033" s="5">
        <v>2020</v>
      </c>
      <c r="G1033" s="14" t="s">
        <v>16</v>
      </c>
      <c r="H1033" s="6">
        <v>200</v>
      </c>
      <c r="I1033" s="6">
        <v>200</v>
      </c>
      <c r="J1033" s="5"/>
      <c r="K1033" s="10"/>
      <c r="L1033" s="10">
        <v>20201118</v>
      </c>
      <c r="M1033" s="36" t="str">
        <f t="shared" si="16"/>
        <v>19631215</v>
      </c>
    </row>
    <row r="1034" s="1" customFormat="1" spans="1:13">
      <c r="A1034" s="2">
        <v>5085</v>
      </c>
      <c r="B1034" s="6" t="s">
        <v>10242</v>
      </c>
      <c r="C1034" s="9" t="s">
        <v>10302</v>
      </c>
      <c r="D1034" s="9" t="s">
        <v>10303</v>
      </c>
      <c r="E1034" s="5" t="s">
        <v>10250</v>
      </c>
      <c r="F1034" s="5">
        <v>2020</v>
      </c>
      <c r="G1034" s="6" t="s">
        <v>16</v>
      </c>
      <c r="H1034" s="6">
        <v>200</v>
      </c>
      <c r="I1034" s="6">
        <v>200</v>
      </c>
      <c r="J1034" s="6"/>
      <c r="K1034" s="5"/>
      <c r="L1034" s="10">
        <v>20201118</v>
      </c>
      <c r="M1034" s="36" t="str">
        <f t="shared" si="16"/>
        <v>19631216</v>
      </c>
    </row>
    <row r="1035" s="1" customFormat="1" spans="1:13">
      <c r="A1035" s="2">
        <v>217</v>
      </c>
      <c r="B1035" s="14" t="s">
        <v>327</v>
      </c>
      <c r="C1035" s="14" t="s">
        <v>537</v>
      </c>
      <c r="D1035" s="14" t="s">
        <v>538</v>
      </c>
      <c r="E1035" s="5">
        <v>2020</v>
      </c>
      <c r="F1035" s="5">
        <v>2020</v>
      </c>
      <c r="G1035" s="14" t="s">
        <v>16</v>
      </c>
      <c r="H1035" s="14">
        <v>500</v>
      </c>
      <c r="I1035" s="14">
        <v>500</v>
      </c>
      <c r="J1035" s="14"/>
      <c r="K1035" s="10"/>
      <c r="L1035" s="2" t="s">
        <v>330</v>
      </c>
      <c r="M1035" s="36" t="str">
        <f t="shared" si="16"/>
        <v>19631217</v>
      </c>
    </row>
    <row r="1036" s="1" customFormat="1" spans="1:13">
      <c r="A1036" s="2">
        <v>977</v>
      </c>
      <c r="B1036" s="5" t="s">
        <v>2469</v>
      </c>
      <c r="C1036" s="9" t="s">
        <v>2546</v>
      </c>
      <c r="D1036" s="9" t="s">
        <v>2547</v>
      </c>
      <c r="E1036" s="5">
        <v>2020</v>
      </c>
      <c r="F1036" s="5">
        <v>2020</v>
      </c>
      <c r="G1036" s="9" t="s">
        <v>2480</v>
      </c>
      <c r="H1036" s="9">
        <v>200</v>
      </c>
      <c r="I1036" s="9">
        <v>200</v>
      </c>
      <c r="J1036" s="5"/>
      <c r="K1036" s="5"/>
      <c r="L1036" s="10">
        <v>20201118</v>
      </c>
      <c r="M1036" s="36" t="str">
        <f t="shared" si="16"/>
        <v>19631217</v>
      </c>
    </row>
    <row r="1037" s="1" customFormat="1" spans="1:13">
      <c r="A1037" s="2">
        <v>978</v>
      </c>
      <c r="B1037" s="5" t="s">
        <v>2469</v>
      </c>
      <c r="C1037" s="9" t="s">
        <v>2548</v>
      </c>
      <c r="D1037" s="9" t="s">
        <v>2549</v>
      </c>
      <c r="E1037" s="5">
        <v>2020</v>
      </c>
      <c r="F1037" s="5">
        <v>2020</v>
      </c>
      <c r="G1037" s="9" t="s">
        <v>2480</v>
      </c>
      <c r="H1037" s="9">
        <v>200</v>
      </c>
      <c r="I1037" s="9">
        <v>200</v>
      </c>
      <c r="J1037" s="5"/>
      <c r="K1037" s="5"/>
      <c r="L1037" s="10">
        <v>20201118</v>
      </c>
      <c r="M1037" s="36" t="str">
        <f t="shared" si="16"/>
        <v>19631218</v>
      </c>
    </row>
    <row r="1038" s="1" customFormat="1" spans="1:13">
      <c r="A1038" s="2">
        <v>7588</v>
      </c>
      <c r="B1038" s="5" t="s">
        <v>14402</v>
      </c>
      <c r="C1038" s="5" t="s">
        <v>14775</v>
      </c>
      <c r="D1038" s="5" t="s">
        <v>14776</v>
      </c>
      <c r="E1038" s="5">
        <v>2020</v>
      </c>
      <c r="F1038" s="5">
        <v>2020</v>
      </c>
      <c r="G1038" s="17" t="s">
        <v>16</v>
      </c>
      <c r="H1038" s="5">
        <v>200</v>
      </c>
      <c r="I1038" s="5">
        <v>200</v>
      </c>
      <c r="J1038" s="5"/>
      <c r="K1038" s="10"/>
      <c r="L1038" s="10">
        <v>20201118</v>
      </c>
      <c r="M1038" s="36" t="str">
        <f t="shared" si="16"/>
        <v>19631218</v>
      </c>
    </row>
    <row r="1039" s="1" customFormat="1" spans="1:13">
      <c r="A1039" s="2">
        <v>263</v>
      </c>
      <c r="B1039" s="14" t="s">
        <v>327</v>
      </c>
      <c r="C1039" s="17" t="s">
        <v>675</v>
      </c>
      <c r="D1039" s="17" t="s">
        <v>676</v>
      </c>
      <c r="E1039" s="5">
        <v>2020</v>
      </c>
      <c r="F1039" s="5">
        <v>2020</v>
      </c>
      <c r="G1039" s="14" t="s">
        <v>16</v>
      </c>
      <c r="H1039" s="14">
        <v>200</v>
      </c>
      <c r="I1039" s="17">
        <v>200</v>
      </c>
      <c r="J1039" s="17"/>
      <c r="K1039" s="10"/>
      <c r="L1039" s="2" t="s">
        <v>330</v>
      </c>
      <c r="M1039" s="36" t="str">
        <f t="shared" si="16"/>
        <v>19631222</v>
      </c>
    </row>
    <row r="1040" s="1" customFormat="1" spans="1:13">
      <c r="A1040" s="2">
        <v>4184</v>
      </c>
      <c r="B1040" s="9" t="s">
        <v>8515</v>
      </c>
      <c r="C1040" s="9" t="s">
        <v>8573</v>
      </c>
      <c r="D1040" s="9" t="s">
        <v>8574</v>
      </c>
      <c r="E1040" s="5" t="s">
        <v>15</v>
      </c>
      <c r="F1040" s="5">
        <v>2020</v>
      </c>
      <c r="G1040" s="9" t="s">
        <v>2480</v>
      </c>
      <c r="H1040" s="9">
        <v>200</v>
      </c>
      <c r="I1040" s="9">
        <v>200</v>
      </c>
      <c r="J1040" s="9"/>
      <c r="K1040" s="9"/>
      <c r="L1040" s="10">
        <v>20201118</v>
      </c>
      <c r="M1040" s="36" t="str">
        <f t="shared" si="16"/>
        <v>19631222</v>
      </c>
    </row>
    <row r="1041" s="1" customFormat="1" spans="1:13">
      <c r="A1041" s="2">
        <v>429</v>
      </c>
      <c r="B1041" s="29" t="s">
        <v>1040</v>
      </c>
      <c r="C1041" s="29" t="s">
        <v>1134</v>
      </c>
      <c r="D1041" s="29" t="s">
        <v>1135</v>
      </c>
      <c r="E1041" s="30">
        <v>2020</v>
      </c>
      <c r="F1041" s="30">
        <v>2020</v>
      </c>
      <c r="G1041" s="29" t="s">
        <v>16</v>
      </c>
      <c r="H1041" s="29">
        <v>200</v>
      </c>
      <c r="I1041" s="29">
        <v>200</v>
      </c>
      <c r="J1041" s="29"/>
      <c r="K1041" s="47"/>
      <c r="L1041" s="14" t="s">
        <v>330</v>
      </c>
      <c r="M1041" s="36" t="str">
        <f t="shared" si="16"/>
        <v>19631225</v>
      </c>
    </row>
    <row r="1042" s="1" customFormat="1" spans="1:13">
      <c r="A1042" s="2">
        <v>3656</v>
      </c>
      <c r="B1042" s="5" t="s">
        <v>7412</v>
      </c>
      <c r="C1042" s="5" t="s">
        <v>7574</v>
      </c>
      <c r="D1042" s="5" t="s">
        <v>7575</v>
      </c>
      <c r="E1042" s="6">
        <v>2020</v>
      </c>
      <c r="F1042" s="6">
        <v>2020</v>
      </c>
      <c r="G1042" s="5" t="s">
        <v>3359</v>
      </c>
      <c r="H1042" s="5">
        <v>200</v>
      </c>
      <c r="I1042" s="5">
        <v>200</v>
      </c>
      <c r="J1042" s="5"/>
      <c r="K1042" s="5"/>
      <c r="L1042" s="10">
        <v>20201118</v>
      </c>
      <c r="M1042" s="36" t="str">
        <f t="shared" si="16"/>
        <v>19631225</v>
      </c>
    </row>
    <row r="1043" s="1" customFormat="1" spans="1:13">
      <c r="A1043" s="2">
        <v>613</v>
      </c>
      <c r="B1043" s="29" t="s">
        <v>1040</v>
      </c>
      <c r="C1043" s="29" t="s">
        <v>1502</v>
      </c>
      <c r="D1043" s="29" t="s">
        <v>1503</v>
      </c>
      <c r="E1043" s="30">
        <v>2020</v>
      </c>
      <c r="F1043" s="30">
        <v>2020</v>
      </c>
      <c r="G1043" s="29" t="s">
        <v>16</v>
      </c>
      <c r="H1043" s="29">
        <v>200</v>
      </c>
      <c r="I1043" s="29">
        <v>200</v>
      </c>
      <c r="J1043" s="29"/>
      <c r="K1043" s="47"/>
      <c r="L1043" s="14" t="s">
        <v>330</v>
      </c>
      <c r="M1043" s="36" t="str">
        <f t="shared" si="16"/>
        <v>19631228</v>
      </c>
    </row>
    <row r="1044" s="1" customFormat="1" spans="1:13">
      <c r="A1044" s="2">
        <v>6258</v>
      </c>
      <c r="B1044" s="5" t="s">
        <v>12263</v>
      </c>
      <c r="C1044" s="5" t="s">
        <v>12537</v>
      </c>
      <c r="D1044" s="5" t="s">
        <v>12538</v>
      </c>
      <c r="E1044" s="5" t="s">
        <v>10250</v>
      </c>
      <c r="F1044" s="5">
        <v>2020</v>
      </c>
      <c r="G1044" s="17" t="s">
        <v>3359</v>
      </c>
      <c r="H1044" s="5">
        <v>200</v>
      </c>
      <c r="I1044" s="5">
        <v>200</v>
      </c>
      <c r="J1044" s="5"/>
      <c r="K1044" s="5"/>
      <c r="L1044" s="10">
        <v>20201118</v>
      </c>
      <c r="M1044" s="36" t="str">
        <f t="shared" si="16"/>
        <v>19631229</v>
      </c>
    </row>
    <row r="1045" s="1" customFormat="1" spans="1:13">
      <c r="A1045" s="2">
        <v>4424</v>
      </c>
      <c r="B1045" s="6" t="s">
        <v>9015</v>
      </c>
      <c r="C1045" s="6" t="s">
        <v>9037</v>
      </c>
      <c r="D1045" s="6" t="s">
        <v>9038</v>
      </c>
      <c r="E1045" s="6">
        <v>2020</v>
      </c>
      <c r="F1045" s="6">
        <v>2020</v>
      </c>
      <c r="G1045" s="6" t="s">
        <v>16</v>
      </c>
      <c r="H1045" s="6">
        <v>200</v>
      </c>
      <c r="I1045" s="6">
        <v>200</v>
      </c>
      <c r="J1045" s="6"/>
      <c r="K1045" s="6"/>
      <c r="L1045" s="10">
        <v>20201118</v>
      </c>
      <c r="M1045" s="36" t="str">
        <f t="shared" si="16"/>
        <v>19640101</v>
      </c>
    </row>
    <row r="1046" s="1" customFormat="1" spans="1:13">
      <c r="A1046" s="2">
        <v>6340</v>
      </c>
      <c r="B1046" s="5" t="s">
        <v>12263</v>
      </c>
      <c r="C1046" s="5" t="s">
        <v>12696</v>
      </c>
      <c r="D1046" s="5" t="s">
        <v>12697</v>
      </c>
      <c r="E1046" s="5" t="s">
        <v>10250</v>
      </c>
      <c r="F1046" s="5">
        <v>2020</v>
      </c>
      <c r="G1046" s="17" t="s">
        <v>3359</v>
      </c>
      <c r="H1046" s="5" t="s">
        <v>311</v>
      </c>
      <c r="I1046" s="5">
        <v>200</v>
      </c>
      <c r="J1046" s="5"/>
      <c r="K1046" s="5"/>
      <c r="L1046" s="10">
        <v>20201118</v>
      </c>
      <c r="M1046" s="36" t="str">
        <f t="shared" si="16"/>
        <v>19640102</v>
      </c>
    </row>
    <row r="1047" s="1" customFormat="1" spans="1:13">
      <c r="A1047" s="2">
        <v>396</v>
      </c>
      <c r="B1047" s="29" t="s">
        <v>1040</v>
      </c>
      <c r="C1047" s="29" t="s">
        <v>1068</v>
      </c>
      <c r="D1047" s="29" t="s">
        <v>1069</v>
      </c>
      <c r="E1047" s="30">
        <v>2020</v>
      </c>
      <c r="F1047" s="30">
        <v>2020</v>
      </c>
      <c r="G1047" s="29" t="s">
        <v>16</v>
      </c>
      <c r="H1047" s="29">
        <v>200</v>
      </c>
      <c r="I1047" s="29">
        <v>200</v>
      </c>
      <c r="J1047" s="29"/>
      <c r="K1047" s="47"/>
      <c r="L1047" s="2" t="s">
        <v>330</v>
      </c>
      <c r="M1047" s="36" t="str">
        <f t="shared" si="16"/>
        <v>19640103</v>
      </c>
    </row>
    <row r="1048" s="1" customFormat="1" ht="14.25" spans="1:13">
      <c r="A1048" s="2">
        <v>2800</v>
      </c>
      <c r="B1048" s="6" t="s">
        <v>6075</v>
      </c>
      <c r="C1048" s="25" t="s">
        <v>6129</v>
      </c>
      <c r="D1048" s="26" t="s">
        <v>6130</v>
      </c>
      <c r="E1048" s="5" t="s">
        <v>15</v>
      </c>
      <c r="F1048" s="5">
        <v>2020</v>
      </c>
      <c r="G1048" s="6" t="s">
        <v>16</v>
      </c>
      <c r="H1048" s="6">
        <v>200</v>
      </c>
      <c r="I1048" s="6">
        <v>200</v>
      </c>
      <c r="J1048" s="6"/>
      <c r="K1048" s="10"/>
      <c r="L1048" s="10">
        <v>20201118</v>
      </c>
      <c r="M1048" s="36" t="str">
        <f t="shared" si="16"/>
        <v>19640103</v>
      </c>
    </row>
    <row r="1049" s="1" customFormat="1" ht="14.25" spans="1:13">
      <c r="A1049" s="2">
        <v>7781</v>
      </c>
      <c r="B1049" s="5" t="s">
        <v>14875</v>
      </c>
      <c r="C1049" s="51" t="s">
        <v>15027</v>
      </c>
      <c r="D1049" s="24" t="str">
        <f>"152326196401037130"</f>
        <v>152326196401037130</v>
      </c>
      <c r="E1049" s="6" t="s">
        <v>15</v>
      </c>
      <c r="F1049" s="6">
        <v>2020</v>
      </c>
      <c r="G1049" s="24" t="s">
        <v>14877</v>
      </c>
      <c r="H1049" s="6">
        <v>200</v>
      </c>
      <c r="I1049" s="6">
        <v>200</v>
      </c>
      <c r="J1049" s="6"/>
      <c r="K1049" s="10"/>
      <c r="L1049" s="10">
        <v>20201118</v>
      </c>
      <c r="M1049" s="36" t="str">
        <f t="shared" si="16"/>
        <v>19640103</v>
      </c>
    </row>
    <row r="1050" s="1" customFormat="1" ht="14.25" spans="1:13">
      <c r="A1050" s="2">
        <v>2802</v>
      </c>
      <c r="B1050" s="6" t="s">
        <v>6075</v>
      </c>
      <c r="C1050" s="25" t="s">
        <v>6133</v>
      </c>
      <c r="D1050" s="26" t="s">
        <v>6134</v>
      </c>
      <c r="E1050" s="5" t="s">
        <v>15</v>
      </c>
      <c r="F1050" s="5">
        <v>2020</v>
      </c>
      <c r="G1050" s="6" t="s">
        <v>16</v>
      </c>
      <c r="H1050" s="6">
        <v>200</v>
      </c>
      <c r="I1050" s="6">
        <v>200</v>
      </c>
      <c r="J1050" s="6"/>
      <c r="K1050" s="10"/>
      <c r="L1050" s="10">
        <v>20201118</v>
      </c>
      <c r="M1050" s="36" t="str">
        <f t="shared" si="16"/>
        <v>19640105</v>
      </c>
    </row>
    <row r="1051" s="1" customFormat="1" spans="1:13">
      <c r="A1051" s="2">
        <v>4461</v>
      </c>
      <c r="B1051" s="6" t="s">
        <v>9015</v>
      </c>
      <c r="C1051" s="6" t="s">
        <v>9107</v>
      </c>
      <c r="D1051" s="6" t="s">
        <v>9108</v>
      </c>
      <c r="E1051" s="6">
        <v>2020</v>
      </c>
      <c r="F1051" s="6">
        <v>2020</v>
      </c>
      <c r="G1051" s="6" t="s">
        <v>16</v>
      </c>
      <c r="H1051" s="6">
        <v>200</v>
      </c>
      <c r="I1051" s="6">
        <v>200</v>
      </c>
      <c r="J1051" s="6"/>
      <c r="K1051" s="6"/>
      <c r="L1051" s="10">
        <v>20201118</v>
      </c>
      <c r="M1051" s="36" t="str">
        <f t="shared" si="16"/>
        <v>19640106</v>
      </c>
    </row>
    <row r="1052" s="1" customFormat="1" spans="1:13">
      <c r="A1052" s="2">
        <v>7579</v>
      </c>
      <c r="B1052" s="62" t="s">
        <v>14402</v>
      </c>
      <c r="C1052" s="62" t="s">
        <v>11097</v>
      </c>
      <c r="D1052" s="62" t="s">
        <v>14759</v>
      </c>
      <c r="E1052" s="62">
        <v>2020</v>
      </c>
      <c r="F1052" s="62">
        <v>2020</v>
      </c>
      <c r="G1052" s="3" t="s">
        <v>16</v>
      </c>
      <c r="H1052" s="62">
        <v>200</v>
      </c>
      <c r="I1052" s="62">
        <v>200</v>
      </c>
      <c r="J1052" s="62"/>
      <c r="K1052" s="10"/>
      <c r="L1052" s="10">
        <v>20201118</v>
      </c>
      <c r="M1052" s="36" t="str">
        <f t="shared" si="16"/>
        <v>19640107</v>
      </c>
    </row>
    <row r="1053" s="1" customFormat="1" spans="1:13">
      <c r="A1053" s="2">
        <v>5038</v>
      </c>
      <c r="B1053" s="6" t="s">
        <v>9954</v>
      </c>
      <c r="C1053" s="6" t="s">
        <v>10209</v>
      </c>
      <c r="D1053" s="6" t="s">
        <v>10210</v>
      </c>
      <c r="E1053" s="5" t="s">
        <v>15</v>
      </c>
      <c r="F1053" s="5" t="s">
        <v>15</v>
      </c>
      <c r="G1053" s="14" t="s">
        <v>16</v>
      </c>
      <c r="H1053" s="6">
        <v>500</v>
      </c>
      <c r="I1053" s="6">
        <v>500</v>
      </c>
      <c r="J1053" s="6"/>
      <c r="K1053" s="6"/>
      <c r="L1053" s="10">
        <v>20201118</v>
      </c>
      <c r="M1053" s="36" t="str">
        <f t="shared" si="16"/>
        <v>19640108</v>
      </c>
    </row>
    <row r="1054" s="1" customFormat="1" spans="1:13">
      <c r="A1054" s="2">
        <v>7314</v>
      </c>
      <c r="B1054" s="5" t="s">
        <v>13908</v>
      </c>
      <c r="C1054" s="5" t="s">
        <v>14265</v>
      </c>
      <c r="D1054" s="5" t="s">
        <v>14266</v>
      </c>
      <c r="E1054" s="5" t="s">
        <v>15</v>
      </c>
      <c r="F1054" s="5" t="s">
        <v>15</v>
      </c>
      <c r="G1054" s="14" t="s">
        <v>16</v>
      </c>
      <c r="H1054" s="17">
        <v>200</v>
      </c>
      <c r="I1054" s="17">
        <v>200</v>
      </c>
      <c r="J1054" s="5"/>
      <c r="K1054" s="10"/>
      <c r="L1054" s="10">
        <v>20201118</v>
      </c>
      <c r="M1054" s="36" t="str">
        <f t="shared" si="16"/>
        <v>19640108</v>
      </c>
    </row>
    <row r="1055" s="1" customFormat="1" spans="1:13">
      <c r="A1055" s="2">
        <v>4932</v>
      </c>
      <c r="B1055" s="6" t="s">
        <v>9954</v>
      </c>
      <c r="C1055" s="60" t="s">
        <v>10005</v>
      </c>
      <c r="D1055" s="60" t="s">
        <v>10006</v>
      </c>
      <c r="E1055" s="5" t="s">
        <v>15</v>
      </c>
      <c r="F1055" s="5" t="s">
        <v>15</v>
      </c>
      <c r="G1055" s="14" t="s">
        <v>16</v>
      </c>
      <c r="H1055" s="6">
        <v>200</v>
      </c>
      <c r="I1055" s="6">
        <v>200</v>
      </c>
      <c r="J1055" s="6"/>
      <c r="K1055" s="6"/>
      <c r="L1055" s="10">
        <v>20201118</v>
      </c>
      <c r="M1055" s="36" t="str">
        <f t="shared" si="16"/>
        <v>19640109</v>
      </c>
    </row>
    <row r="1056" s="1" customFormat="1" spans="1:13">
      <c r="A1056" s="2">
        <v>6543</v>
      </c>
      <c r="B1056" s="5" t="s">
        <v>13027</v>
      </c>
      <c r="C1056" s="15" t="s">
        <v>13083</v>
      </c>
      <c r="D1056" s="15" t="s">
        <v>13084</v>
      </c>
      <c r="E1056" s="5">
        <v>2020</v>
      </c>
      <c r="F1056" s="5">
        <v>2020</v>
      </c>
      <c r="G1056" s="14" t="s">
        <v>16</v>
      </c>
      <c r="H1056" s="15">
        <v>200</v>
      </c>
      <c r="I1056" s="15">
        <v>200</v>
      </c>
      <c r="J1056" s="5"/>
      <c r="K1056" s="10"/>
      <c r="L1056" s="10">
        <v>20201118</v>
      </c>
      <c r="M1056" s="36" t="str">
        <f t="shared" si="16"/>
        <v>19640109</v>
      </c>
    </row>
    <row r="1057" s="1" customFormat="1" spans="1:13">
      <c r="A1057" s="2">
        <v>488</v>
      </c>
      <c r="B1057" s="29" t="s">
        <v>1040</v>
      </c>
      <c r="C1057" s="29" t="s">
        <v>1253</v>
      </c>
      <c r="D1057" s="29" t="s">
        <v>1254</v>
      </c>
      <c r="E1057" s="30">
        <v>2020</v>
      </c>
      <c r="F1057" s="30">
        <v>2020</v>
      </c>
      <c r="G1057" s="29" t="s">
        <v>16</v>
      </c>
      <c r="H1057" s="29">
        <v>200</v>
      </c>
      <c r="I1057" s="29">
        <v>200</v>
      </c>
      <c r="J1057" s="29"/>
      <c r="K1057" s="47"/>
      <c r="L1057" s="2" t="s">
        <v>330</v>
      </c>
      <c r="M1057" s="36" t="str">
        <f t="shared" si="16"/>
        <v>19640110</v>
      </c>
    </row>
    <row r="1058" s="1" customFormat="1" spans="1:13">
      <c r="A1058" s="2">
        <v>2178</v>
      </c>
      <c r="B1058" s="9" t="s">
        <v>4837</v>
      </c>
      <c r="C1058" s="9" t="s">
        <v>4904</v>
      </c>
      <c r="D1058" s="9" t="s">
        <v>4905</v>
      </c>
      <c r="E1058" s="6" t="s">
        <v>15</v>
      </c>
      <c r="F1058" s="6">
        <v>2020</v>
      </c>
      <c r="G1058" s="9" t="s">
        <v>2480</v>
      </c>
      <c r="H1058" s="9">
        <v>200</v>
      </c>
      <c r="I1058" s="9">
        <v>200</v>
      </c>
      <c r="J1058" s="6"/>
      <c r="K1058" s="10"/>
      <c r="L1058" s="10">
        <v>20201118</v>
      </c>
      <c r="M1058" s="36" t="str">
        <f t="shared" si="16"/>
        <v>19640112</v>
      </c>
    </row>
    <row r="1059" s="1" customFormat="1" spans="1:13">
      <c r="A1059" s="2">
        <v>7312</v>
      </c>
      <c r="B1059" s="5" t="s">
        <v>13908</v>
      </c>
      <c r="C1059" s="5" t="s">
        <v>14262</v>
      </c>
      <c r="D1059" s="5" t="s">
        <v>14263</v>
      </c>
      <c r="E1059" s="5" t="s">
        <v>15</v>
      </c>
      <c r="F1059" s="5" t="s">
        <v>15</v>
      </c>
      <c r="G1059" s="14" t="s">
        <v>16</v>
      </c>
      <c r="H1059" s="17">
        <v>200</v>
      </c>
      <c r="I1059" s="17">
        <v>200</v>
      </c>
      <c r="J1059" s="5"/>
      <c r="K1059" s="10"/>
      <c r="L1059" s="10">
        <v>20201118</v>
      </c>
      <c r="M1059" s="36" t="str">
        <f t="shared" si="16"/>
        <v>19640112</v>
      </c>
    </row>
    <row r="1060" s="1" customFormat="1" spans="1:13">
      <c r="A1060" s="2">
        <v>8210</v>
      </c>
      <c r="B1060" s="5" t="s">
        <v>15406</v>
      </c>
      <c r="C1060" s="6" t="s">
        <v>15603</v>
      </c>
      <c r="D1060" s="6" t="s">
        <v>15604</v>
      </c>
      <c r="E1060" s="5" t="s">
        <v>15</v>
      </c>
      <c r="F1060" s="5">
        <v>2020</v>
      </c>
      <c r="G1060" s="14" t="s">
        <v>16</v>
      </c>
      <c r="H1060" s="6" t="s">
        <v>2295</v>
      </c>
      <c r="I1060" s="6">
        <v>500</v>
      </c>
      <c r="J1060" s="5"/>
      <c r="K1060" s="10"/>
      <c r="L1060" s="10">
        <v>20201118</v>
      </c>
      <c r="M1060" s="36" t="str">
        <f t="shared" si="16"/>
        <v>19640112</v>
      </c>
    </row>
    <row r="1061" s="1" customFormat="1" spans="1:13">
      <c r="A1061" s="2">
        <v>1474</v>
      </c>
      <c r="B1061" s="5" t="s">
        <v>3381</v>
      </c>
      <c r="C1061" s="9" t="s">
        <v>3516</v>
      </c>
      <c r="D1061" s="9" t="s">
        <v>3517</v>
      </c>
      <c r="E1061" s="5">
        <v>2020</v>
      </c>
      <c r="F1061" s="5">
        <v>2020</v>
      </c>
      <c r="G1061" s="14" t="s">
        <v>16</v>
      </c>
      <c r="H1061" s="6">
        <v>200</v>
      </c>
      <c r="I1061" s="6">
        <v>200</v>
      </c>
      <c r="J1061" s="5"/>
      <c r="K1061" s="13"/>
      <c r="L1061" s="10">
        <v>20201118</v>
      </c>
      <c r="M1061" s="36" t="str">
        <f t="shared" si="16"/>
        <v>19640114</v>
      </c>
    </row>
    <row r="1062" s="1" customFormat="1" spans="1:13">
      <c r="A1062" s="2">
        <v>2179</v>
      </c>
      <c r="B1062" s="9" t="s">
        <v>4837</v>
      </c>
      <c r="C1062" s="9" t="s">
        <v>4906</v>
      </c>
      <c r="D1062" s="9" t="s">
        <v>4907</v>
      </c>
      <c r="E1062" s="6" t="s">
        <v>15</v>
      </c>
      <c r="F1062" s="6">
        <v>2020</v>
      </c>
      <c r="G1062" s="9" t="s">
        <v>2480</v>
      </c>
      <c r="H1062" s="9">
        <v>200</v>
      </c>
      <c r="I1062" s="9">
        <v>200</v>
      </c>
      <c r="J1062" s="6"/>
      <c r="K1062" s="10"/>
      <c r="L1062" s="10">
        <v>20201118</v>
      </c>
      <c r="M1062" s="36" t="str">
        <f t="shared" si="16"/>
        <v>19640115</v>
      </c>
    </row>
    <row r="1063" s="1" customFormat="1" spans="1:13">
      <c r="A1063" s="2">
        <v>1475</v>
      </c>
      <c r="B1063" s="5" t="s">
        <v>3381</v>
      </c>
      <c r="C1063" s="9" t="s">
        <v>3518</v>
      </c>
      <c r="D1063" s="9" t="s">
        <v>3519</v>
      </c>
      <c r="E1063" s="5">
        <v>2020</v>
      </c>
      <c r="F1063" s="5">
        <v>2020</v>
      </c>
      <c r="G1063" s="14" t="s">
        <v>16</v>
      </c>
      <c r="H1063" s="6">
        <v>200</v>
      </c>
      <c r="I1063" s="6">
        <v>200</v>
      </c>
      <c r="J1063" s="5"/>
      <c r="K1063" s="13"/>
      <c r="L1063" s="10">
        <v>20201118</v>
      </c>
      <c r="M1063" s="36" t="str">
        <f t="shared" si="16"/>
        <v>19640116</v>
      </c>
    </row>
    <row r="1064" s="1" customFormat="1" spans="1:13">
      <c r="A1064" s="2">
        <v>6544</v>
      </c>
      <c r="B1064" s="5" t="s">
        <v>13027</v>
      </c>
      <c r="C1064" s="15" t="s">
        <v>196</v>
      </c>
      <c r="D1064" s="15" t="s">
        <v>13085</v>
      </c>
      <c r="E1064" s="5">
        <v>2020</v>
      </c>
      <c r="F1064" s="5">
        <v>2020</v>
      </c>
      <c r="G1064" s="14" t="s">
        <v>16</v>
      </c>
      <c r="H1064" s="15">
        <v>200</v>
      </c>
      <c r="I1064" s="15">
        <v>200</v>
      </c>
      <c r="J1064" s="5" t="s">
        <v>1242</v>
      </c>
      <c r="K1064" s="10"/>
      <c r="L1064" s="10">
        <v>20201118</v>
      </c>
      <c r="M1064" s="36" t="str">
        <f t="shared" si="16"/>
        <v>19640116</v>
      </c>
    </row>
    <row r="1065" s="1" customFormat="1" spans="1:13">
      <c r="A1065" s="2">
        <v>2560</v>
      </c>
      <c r="B1065" s="32" t="s">
        <v>5602</v>
      </c>
      <c r="C1065" s="9" t="s">
        <v>5658</v>
      </c>
      <c r="D1065" s="9" t="s">
        <v>5659</v>
      </c>
      <c r="E1065" s="32">
        <v>2020</v>
      </c>
      <c r="F1065" s="32">
        <v>2020</v>
      </c>
      <c r="G1065" s="32" t="s">
        <v>16</v>
      </c>
      <c r="H1065" s="9">
        <v>200</v>
      </c>
      <c r="I1065" s="9">
        <v>200</v>
      </c>
      <c r="J1065" s="32"/>
      <c r="K1065" s="52"/>
      <c r="L1065" s="10">
        <v>20201118</v>
      </c>
      <c r="M1065" s="36" t="str">
        <f t="shared" si="16"/>
        <v>19640118</v>
      </c>
    </row>
    <row r="1066" s="1" customFormat="1" spans="1:13">
      <c r="A1066" s="2">
        <v>638</v>
      </c>
      <c r="B1066" s="29" t="s">
        <v>1040</v>
      </c>
      <c r="C1066" s="29" t="s">
        <v>1567</v>
      </c>
      <c r="D1066" s="29" t="s">
        <v>1568</v>
      </c>
      <c r="E1066" s="30">
        <v>2020</v>
      </c>
      <c r="F1066" s="30">
        <v>2020</v>
      </c>
      <c r="G1066" s="29" t="s">
        <v>16</v>
      </c>
      <c r="H1066" s="29">
        <v>200</v>
      </c>
      <c r="I1066" s="29">
        <v>200</v>
      </c>
      <c r="J1066" s="29"/>
      <c r="K1066" s="47"/>
      <c r="L1066" s="14" t="s">
        <v>330</v>
      </c>
      <c r="M1066" s="36" t="str">
        <f t="shared" si="16"/>
        <v>19640119</v>
      </c>
    </row>
    <row r="1067" s="1" customFormat="1" spans="1:13">
      <c r="A1067" s="2">
        <v>6394</v>
      </c>
      <c r="B1067" s="5" t="s">
        <v>12263</v>
      </c>
      <c r="C1067" s="5" t="s">
        <v>12798</v>
      </c>
      <c r="D1067" s="5" t="s">
        <v>12799</v>
      </c>
      <c r="E1067" s="5" t="s">
        <v>10250</v>
      </c>
      <c r="F1067" s="5">
        <v>2020</v>
      </c>
      <c r="G1067" s="17" t="s">
        <v>3359</v>
      </c>
      <c r="H1067" s="5" t="s">
        <v>311</v>
      </c>
      <c r="I1067" s="5">
        <v>200</v>
      </c>
      <c r="J1067" s="5"/>
      <c r="K1067" s="5"/>
      <c r="L1067" s="10">
        <v>20201118</v>
      </c>
      <c r="M1067" s="36" t="str">
        <f t="shared" si="16"/>
        <v>19640120</v>
      </c>
    </row>
    <row r="1068" s="1" customFormat="1" spans="1:13">
      <c r="A1068" s="2">
        <v>7183</v>
      </c>
      <c r="B1068" s="5" t="s">
        <v>13908</v>
      </c>
      <c r="C1068" s="5" t="s">
        <v>14018</v>
      </c>
      <c r="D1068" s="5" t="s">
        <v>14019</v>
      </c>
      <c r="E1068" s="5" t="s">
        <v>15</v>
      </c>
      <c r="F1068" s="5" t="s">
        <v>15</v>
      </c>
      <c r="G1068" s="14" t="s">
        <v>16</v>
      </c>
      <c r="H1068" s="17">
        <v>200</v>
      </c>
      <c r="I1068" s="17">
        <v>200</v>
      </c>
      <c r="J1068" s="5"/>
      <c r="K1068" s="10"/>
      <c r="L1068" s="10">
        <v>20201118</v>
      </c>
      <c r="M1068" s="36" t="str">
        <f t="shared" si="16"/>
        <v>19640121</v>
      </c>
    </row>
    <row r="1069" s="1" customFormat="1" spans="1:13">
      <c r="A1069" s="2">
        <v>1866</v>
      </c>
      <c r="B1069" s="5" t="s">
        <v>4189</v>
      </c>
      <c r="C1069" s="16" t="s">
        <v>4296</v>
      </c>
      <c r="D1069" s="16" t="s">
        <v>4297</v>
      </c>
      <c r="E1069" s="5" t="s">
        <v>15</v>
      </c>
      <c r="F1069" s="5" t="s">
        <v>15</v>
      </c>
      <c r="G1069" s="5" t="s">
        <v>3359</v>
      </c>
      <c r="H1069" s="16">
        <v>200</v>
      </c>
      <c r="I1069" s="16">
        <v>200</v>
      </c>
      <c r="J1069" s="5"/>
      <c r="K1069" s="10"/>
      <c r="L1069" s="10">
        <v>20201118</v>
      </c>
      <c r="M1069" s="36" t="str">
        <f t="shared" si="16"/>
        <v>19640124</v>
      </c>
    </row>
    <row r="1070" s="1" customFormat="1" spans="1:13">
      <c r="A1070" s="2">
        <v>5889</v>
      </c>
      <c r="B1070" s="30" t="s">
        <v>11090</v>
      </c>
      <c r="C1070" s="30" t="s">
        <v>11830</v>
      </c>
      <c r="D1070" s="30" t="s">
        <v>11831</v>
      </c>
      <c r="E1070" s="5" t="s">
        <v>15</v>
      </c>
      <c r="F1070" s="5" t="s">
        <v>10250</v>
      </c>
      <c r="G1070" s="6" t="s">
        <v>16</v>
      </c>
      <c r="H1070" s="32">
        <v>200</v>
      </c>
      <c r="I1070" s="32">
        <v>200</v>
      </c>
      <c r="J1070" s="6"/>
      <c r="K1070" s="48"/>
      <c r="L1070" s="10">
        <v>20201118</v>
      </c>
      <c r="M1070" s="36" t="str">
        <f t="shared" si="16"/>
        <v>19640124</v>
      </c>
    </row>
    <row r="1071" s="1" customFormat="1" ht="14.25" spans="1:13">
      <c r="A1071" s="2">
        <v>2828</v>
      </c>
      <c r="B1071" s="6" t="s">
        <v>6075</v>
      </c>
      <c r="C1071" s="25" t="s">
        <v>6183</v>
      </c>
      <c r="D1071" s="26" t="s">
        <v>6184</v>
      </c>
      <c r="E1071" s="5" t="s">
        <v>15</v>
      </c>
      <c r="F1071" s="5">
        <v>2020</v>
      </c>
      <c r="G1071" s="6" t="s">
        <v>16</v>
      </c>
      <c r="H1071" s="6">
        <v>200</v>
      </c>
      <c r="I1071" s="6">
        <v>200</v>
      </c>
      <c r="J1071" s="6"/>
      <c r="K1071" s="10"/>
      <c r="L1071" s="10">
        <v>20201118</v>
      </c>
      <c r="M1071" s="36" t="str">
        <f t="shared" si="16"/>
        <v>19640125</v>
      </c>
    </row>
    <row r="1072" s="1" customFormat="1" spans="1:13">
      <c r="A1072" s="2">
        <v>3472</v>
      </c>
      <c r="B1072" s="5" t="s">
        <v>3375</v>
      </c>
      <c r="C1072" s="6" t="s">
        <v>7254</v>
      </c>
      <c r="D1072" s="6" t="str">
        <f>"152326196401256878"</f>
        <v>152326196401256878</v>
      </c>
      <c r="E1072" s="5" t="s">
        <v>15</v>
      </c>
      <c r="F1072" s="5">
        <v>2020</v>
      </c>
      <c r="G1072" s="14" t="s">
        <v>16</v>
      </c>
      <c r="H1072" s="17">
        <v>200</v>
      </c>
      <c r="I1072" s="17">
        <v>200</v>
      </c>
      <c r="J1072" s="6"/>
      <c r="K1072" s="10"/>
      <c r="L1072" s="10">
        <v>20201118</v>
      </c>
      <c r="M1072" s="36" t="str">
        <f t="shared" si="16"/>
        <v>19640125</v>
      </c>
    </row>
    <row r="1073" s="1" customFormat="1" spans="1:13">
      <c r="A1073" s="2">
        <v>3657</v>
      </c>
      <c r="B1073" s="5" t="s">
        <v>7412</v>
      </c>
      <c r="C1073" s="5" t="s">
        <v>7576</v>
      </c>
      <c r="D1073" s="5" t="s">
        <v>7577</v>
      </c>
      <c r="E1073" s="6">
        <v>2020</v>
      </c>
      <c r="F1073" s="6">
        <v>2020</v>
      </c>
      <c r="G1073" s="5" t="s">
        <v>3359</v>
      </c>
      <c r="H1073" s="5">
        <v>1000</v>
      </c>
      <c r="I1073" s="5">
        <v>1000</v>
      </c>
      <c r="J1073" s="5"/>
      <c r="K1073" s="5"/>
      <c r="L1073" s="10">
        <v>20201118</v>
      </c>
      <c r="M1073" s="36" t="str">
        <f t="shared" si="16"/>
        <v>19640125</v>
      </c>
    </row>
    <row r="1074" s="1" customFormat="1" spans="1:13">
      <c r="A1074" s="2">
        <v>6207</v>
      </c>
      <c r="B1074" s="5" t="s">
        <v>12263</v>
      </c>
      <c r="C1074" s="5" t="s">
        <v>12442</v>
      </c>
      <c r="D1074" s="5" t="s">
        <v>12443</v>
      </c>
      <c r="E1074" s="5" t="s">
        <v>10250</v>
      </c>
      <c r="F1074" s="5">
        <v>2020</v>
      </c>
      <c r="G1074" s="17" t="s">
        <v>3359</v>
      </c>
      <c r="H1074" s="5">
        <v>200</v>
      </c>
      <c r="I1074" s="5">
        <v>200</v>
      </c>
      <c r="J1074" s="5"/>
      <c r="K1074" s="5"/>
      <c r="L1074" s="10">
        <v>20201118</v>
      </c>
      <c r="M1074" s="36" t="str">
        <f t="shared" si="16"/>
        <v>19640125</v>
      </c>
    </row>
    <row r="1075" s="1" customFormat="1" ht="14.25" spans="1:13">
      <c r="A1075" s="2">
        <v>5248</v>
      </c>
      <c r="B1075" s="33" t="s">
        <v>10535</v>
      </c>
      <c r="C1075" s="34" t="s">
        <v>10613</v>
      </c>
      <c r="D1075" s="34" t="s">
        <v>10614</v>
      </c>
      <c r="E1075" s="35">
        <v>2020</v>
      </c>
      <c r="F1075" s="35">
        <v>2020</v>
      </c>
      <c r="G1075" s="35" t="s">
        <v>16</v>
      </c>
      <c r="H1075" s="34">
        <v>200</v>
      </c>
      <c r="I1075" s="34">
        <v>200</v>
      </c>
      <c r="J1075" s="49"/>
      <c r="K1075" s="10"/>
      <c r="L1075" s="10">
        <v>20201118</v>
      </c>
      <c r="M1075" s="36" t="str">
        <f t="shared" si="16"/>
        <v>19640126</v>
      </c>
    </row>
    <row r="1076" s="1" customFormat="1" spans="1:13">
      <c r="A1076" s="2">
        <v>7022</v>
      </c>
      <c r="B1076" s="5" t="s">
        <v>13533</v>
      </c>
      <c r="C1076" s="32" t="s">
        <v>13767</v>
      </c>
      <c r="D1076" s="32" t="str">
        <f>"152326196401267120"</f>
        <v>152326196401267120</v>
      </c>
      <c r="E1076" s="5">
        <v>2020</v>
      </c>
      <c r="F1076" s="5">
        <v>2020</v>
      </c>
      <c r="G1076" s="9" t="s">
        <v>2480</v>
      </c>
      <c r="H1076" s="32">
        <v>200</v>
      </c>
      <c r="I1076" s="32">
        <v>200</v>
      </c>
      <c r="J1076" s="32"/>
      <c r="K1076" s="10"/>
      <c r="L1076" s="10">
        <v>20201118</v>
      </c>
      <c r="M1076" s="36" t="str">
        <f t="shared" si="16"/>
        <v>19640126</v>
      </c>
    </row>
    <row r="1077" s="1" customFormat="1" spans="1:13">
      <c r="A1077" s="2">
        <v>4185</v>
      </c>
      <c r="B1077" s="9" t="s">
        <v>8515</v>
      </c>
      <c r="C1077" s="9" t="s">
        <v>7867</v>
      </c>
      <c r="D1077" s="9" t="s">
        <v>8575</v>
      </c>
      <c r="E1077" s="5" t="s">
        <v>15</v>
      </c>
      <c r="F1077" s="5">
        <v>2020</v>
      </c>
      <c r="G1077" s="9" t="s">
        <v>2480</v>
      </c>
      <c r="H1077" s="9">
        <v>200</v>
      </c>
      <c r="I1077" s="9">
        <v>200</v>
      </c>
      <c r="J1077" s="9" t="s">
        <v>1242</v>
      </c>
      <c r="K1077" s="9"/>
      <c r="L1077" s="10">
        <v>20201118</v>
      </c>
      <c r="M1077" s="36" t="str">
        <f t="shared" si="16"/>
        <v>19640127</v>
      </c>
    </row>
    <row r="1078" s="1" customFormat="1" spans="1:13">
      <c r="A1078" s="2">
        <v>4881</v>
      </c>
      <c r="B1078" s="6" t="s">
        <v>9015</v>
      </c>
      <c r="C1078" s="6" t="s">
        <v>9904</v>
      </c>
      <c r="D1078" s="293" t="s">
        <v>9905</v>
      </c>
      <c r="E1078" s="6">
        <v>2020</v>
      </c>
      <c r="F1078" s="6">
        <v>2020</v>
      </c>
      <c r="G1078" s="6" t="s">
        <v>16</v>
      </c>
      <c r="H1078" s="6">
        <v>200</v>
      </c>
      <c r="I1078" s="6">
        <v>200</v>
      </c>
      <c r="J1078" s="6"/>
      <c r="K1078" s="6"/>
      <c r="L1078" s="10">
        <v>20201118</v>
      </c>
      <c r="M1078" s="36" t="str">
        <f t="shared" si="16"/>
        <v>19640128</v>
      </c>
    </row>
    <row r="1079" s="1" customFormat="1" spans="1:13">
      <c r="A1079" s="2">
        <v>6247</v>
      </c>
      <c r="B1079" s="5" t="s">
        <v>12263</v>
      </c>
      <c r="C1079" s="5" t="s">
        <v>12516</v>
      </c>
      <c r="D1079" s="5" t="s">
        <v>12517</v>
      </c>
      <c r="E1079" s="5" t="s">
        <v>10250</v>
      </c>
      <c r="F1079" s="5">
        <v>2020</v>
      </c>
      <c r="G1079" s="17" t="s">
        <v>3359</v>
      </c>
      <c r="H1079" s="5">
        <v>200</v>
      </c>
      <c r="I1079" s="5">
        <v>200</v>
      </c>
      <c r="J1079" s="5"/>
      <c r="K1079" s="5"/>
      <c r="L1079" s="10">
        <v>20201118</v>
      </c>
      <c r="M1079" s="36" t="str">
        <f t="shared" si="16"/>
        <v>19640128</v>
      </c>
    </row>
    <row r="1080" s="1" customFormat="1" spans="1:13">
      <c r="A1080" s="2">
        <v>3658</v>
      </c>
      <c r="B1080" s="5" t="s">
        <v>7412</v>
      </c>
      <c r="C1080" s="5" t="s">
        <v>7578</v>
      </c>
      <c r="D1080" s="5" t="s">
        <v>7579</v>
      </c>
      <c r="E1080" s="6">
        <v>2020</v>
      </c>
      <c r="F1080" s="6">
        <v>2020</v>
      </c>
      <c r="G1080" s="5" t="s">
        <v>3359</v>
      </c>
      <c r="H1080" s="5">
        <v>200</v>
      </c>
      <c r="I1080" s="5">
        <v>200</v>
      </c>
      <c r="J1080" s="5"/>
      <c r="K1080" s="5"/>
      <c r="L1080" s="10">
        <v>20201118</v>
      </c>
      <c r="M1080" s="36" t="str">
        <f t="shared" si="16"/>
        <v>19640201</v>
      </c>
    </row>
    <row r="1081" s="1" customFormat="1" spans="1:13">
      <c r="A1081" s="2">
        <v>3659</v>
      </c>
      <c r="B1081" s="5" t="s">
        <v>7412</v>
      </c>
      <c r="C1081" s="5" t="s">
        <v>7580</v>
      </c>
      <c r="D1081" s="5" t="s">
        <v>7581</v>
      </c>
      <c r="E1081" s="6">
        <v>2020</v>
      </c>
      <c r="F1081" s="6">
        <v>2020</v>
      </c>
      <c r="G1081" s="5" t="s">
        <v>3359</v>
      </c>
      <c r="H1081" s="5">
        <v>200</v>
      </c>
      <c r="I1081" s="5">
        <v>200</v>
      </c>
      <c r="J1081" s="5"/>
      <c r="K1081" s="5"/>
      <c r="L1081" s="10">
        <v>20201118</v>
      </c>
      <c r="M1081" s="36" t="str">
        <f t="shared" si="16"/>
        <v>19640202</v>
      </c>
    </row>
    <row r="1082" s="1" customFormat="1" spans="1:13">
      <c r="A1082" s="2">
        <v>5678</v>
      </c>
      <c r="B1082" s="30" t="s">
        <v>11090</v>
      </c>
      <c r="C1082" s="30" t="s">
        <v>11441</v>
      </c>
      <c r="D1082" s="30" t="s">
        <v>11442</v>
      </c>
      <c r="E1082" s="5" t="s">
        <v>15</v>
      </c>
      <c r="F1082" s="5" t="s">
        <v>10250</v>
      </c>
      <c r="G1082" s="6" t="s">
        <v>16</v>
      </c>
      <c r="H1082" s="32">
        <v>200</v>
      </c>
      <c r="I1082" s="32">
        <v>200</v>
      </c>
      <c r="J1082" s="6"/>
      <c r="K1082" s="48"/>
      <c r="L1082" s="10">
        <v>20201118</v>
      </c>
      <c r="M1082" s="36" t="str">
        <f t="shared" si="16"/>
        <v>19640202</v>
      </c>
    </row>
    <row r="1083" s="1" customFormat="1" spans="1:13">
      <c r="A1083" s="2">
        <v>3660</v>
      </c>
      <c r="B1083" s="5" t="s">
        <v>7412</v>
      </c>
      <c r="C1083" s="5" t="s">
        <v>7582</v>
      </c>
      <c r="D1083" s="5" t="s">
        <v>7583</v>
      </c>
      <c r="E1083" s="6">
        <v>2020</v>
      </c>
      <c r="F1083" s="6">
        <v>2020</v>
      </c>
      <c r="G1083" s="5" t="s">
        <v>3359</v>
      </c>
      <c r="H1083" s="5">
        <v>200</v>
      </c>
      <c r="I1083" s="5">
        <v>200</v>
      </c>
      <c r="J1083" s="5"/>
      <c r="K1083" s="5"/>
      <c r="L1083" s="10">
        <v>20201118</v>
      </c>
      <c r="M1083" s="36" t="str">
        <f t="shared" si="16"/>
        <v>19640203</v>
      </c>
    </row>
    <row r="1084" s="1" customFormat="1" ht="14.25" spans="1:13">
      <c r="A1084" s="2">
        <v>1476</v>
      </c>
      <c r="B1084" s="5" t="s">
        <v>3381</v>
      </c>
      <c r="C1084" s="9" t="s">
        <v>3520</v>
      </c>
      <c r="D1084" s="9" t="s">
        <v>3521</v>
      </c>
      <c r="E1084" s="5">
        <v>2020</v>
      </c>
      <c r="F1084" s="5">
        <v>2020</v>
      </c>
      <c r="G1084" s="14" t="s">
        <v>16</v>
      </c>
      <c r="H1084" s="6">
        <v>200</v>
      </c>
      <c r="I1084" s="6">
        <v>200</v>
      </c>
      <c r="J1084" s="24" t="s">
        <v>1242</v>
      </c>
      <c r="K1084" s="13"/>
      <c r="L1084" s="10">
        <v>20201118</v>
      </c>
      <c r="M1084" s="36" t="str">
        <f t="shared" si="16"/>
        <v>19640204</v>
      </c>
    </row>
    <row r="1085" s="1" customFormat="1" spans="1:13">
      <c r="A1085" s="2">
        <v>3477</v>
      </c>
      <c r="B1085" s="5" t="s">
        <v>3375</v>
      </c>
      <c r="C1085" s="6" t="s">
        <v>7260</v>
      </c>
      <c r="D1085" s="6" t="str">
        <f>"152326196402046899"</f>
        <v>152326196402046899</v>
      </c>
      <c r="E1085" s="5" t="s">
        <v>15</v>
      </c>
      <c r="F1085" s="5">
        <v>2020</v>
      </c>
      <c r="G1085" s="14" t="s">
        <v>16</v>
      </c>
      <c r="H1085" s="17">
        <v>200</v>
      </c>
      <c r="I1085" s="17">
        <v>200</v>
      </c>
      <c r="J1085" s="6"/>
      <c r="K1085" s="10"/>
      <c r="L1085" s="10">
        <v>20201118</v>
      </c>
      <c r="M1085" s="36" t="str">
        <f t="shared" si="16"/>
        <v>19640204</v>
      </c>
    </row>
    <row r="1086" s="1" customFormat="1" spans="1:13">
      <c r="A1086" s="2">
        <v>3661</v>
      </c>
      <c r="B1086" s="5" t="s">
        <v>7412</v>
      </c>
      <c r="C1086" s="5" t="s">
        <v>7584</v>
      </c>
      <c r="D1086" s="5" t="s">
        <v>7585</v>
      </c>
      <c r="E1086" s="6">
        <v>2020</v>
      </c>
      <c r="F1086" s="6">
        <v>2020</v>
      </c>
      <c r="G1086" s="5" t="s">
        <v>3359</v>
      </c>
      <c r="H1086" s="5">
        <v>200</v>
      </c>
      <c r="I1086" s="5">
        <v>200</v>
      </c>
      <c r="J1086" s="5"/>
      <c r="K1086" s="5"/>
      <c r="L1086" s="10">
        <v>20201118</v>
      </c>
      <c r="M1086" s="36" t="str">
        <f t="shared" si="16"/>
        <v>19640204</v>
      </c>
    </row>
    <row r="1087" s="1" customFormat="1" ht="14.25" spans="1:13">
      <c r="A1087" s="2">
        <v>5966</v>
      </c>
      <c r="B1087" s="30" t="s">
        <v>11090</v>
      </c>
      <c r="C1087" s="32" t="s">
        <v>11979</v>
      </c>
      <c r="D1087" s="12" t="s">
        <v>11980</v>
      </c>
      <c r="E1087" s="5" t="s">
        <v>15</v>
      </c>
      <c r="F1087" s="5" t="s">
        <v>10250</v>
      </c>
      <c r="G1087" s="6" t="s">
        <v>16</v>
      </c>
      <c r="H1087" s="32">
        <v>200</v>
      </c>
      <c r="I1087" s="32">
        <v>200</v>
      </c>
      <c r="J1087" s="6"/>
      <c r="K1087" s="48"/>
      <c r="L1087" s="10">
        <v>20201118</v>
      </c>
      <c r="M1087" s="36" t="str">
        <f t="shared" si="16"/>
        <v>19640204</v>
      </c>
    </row>
    <row r="1088" s="1" customFormat="1" spans="1:13">
      <c r="A1088" s="2">
        <v>6446</v>
      </c>
      <c r="B1088" s="5" t="s">
        <v>12263</v>
      </c>
      <c r="C1088" s="5" t="s">
        <v>12897</v>
      </c>
      <c r="D1088" s="5" t="s">
        <v>12898</v>
      </c>
      <c r="E1088" s="5" t="s">
        <v>10250</v>
      </c>
      <c r="F1088" s="5">
        <v>2020</v>
      </c>
      <c r="G1088" s="17" t="s">
        <v>3359</v>
      </c>
      <c r="H1088" s="5">
        <v>200</v>
      </c>
      <c r="I1088" s="5">
        <v>200</v>
      </c>
      <c r="J1088" s="5"/>
      <c r="K1088" s="5"/>
      <c r="L1088" s="10">
        <v>20201118</v>
      </c>
      <c r="M1088" s="36" t="str">
        <f t="shared" si="16"/>
        <v>19640205</v>
      </c>
    </row>
    <row r="1089" s="1" customFormat="1" ht="14.25" spans="1:13">
      <c r="A1089" s="2">
        <v>3244</v>
      </c>
      <c r="B1089" s="3" t="s">
        <v>6671</v>
      </c>
      <c r="C1089" s="8" t="s">
        <v>6992</v>
      </c>
      <c r="D1089" s="8" t="s">
        <v>6993</v>
      </c>
      <c r="E1089" s="3" t="s">
        <v>15</v>
      </c>
      <c r="F1089" s="3" t="s">
        <v>15</v>
      </c>
      <c r="G1089" s="6" t="s">
        <v>3359</v>
      </c>
      <c r="H1089" s="9">
        <v>200</v>
      </c>
      <c r="I1089" s="9">
        <v>200</v>
      </c>
      <c r="J1089" s="6"/>
      <c r="K1089" s="5"/>
      <c r="L1089" s="10">
        <v>20201118</v>
      </c>
      <c r="M1089" s="36" t="str">
        <f t="shared" si="16"/>
        <v>19640207</v>
      </c>
    </row>
    <row r="1090" s="1" customFormat="1" spans="1:13">
      <c r="A1090" s="2">
        <v>6545</v>
      </c>
      <c r="B1090" s="5" t="s">
        <v>13027</v>
      </c>
      <c r="C1090" s="15" t="s">
        <v>13086</v>
      </c>
      <c r="D1090" s="15" t="s">
        <v>13087</v>
      </c>
      <c r="E1090" s="5">
        <v>2020</v>
      </c>
      <c r="F1090" s="5">
        <v>2020</v>
      </c>
      <c r="G1090" s="14" t="s">
        <v>16</v>
      </c>
      <c r="H1090" s="15">
        <v>200</v>
      </c>
      <c r="I1090" s="15">
        <v>200</v>
      </c>
      <c r="J1090" s="5"/>
      <c r="K1090" s="10"/>
      <c r="L1090" s="10">
        <v>20201118</v>
      </c>
      <c r="M1090" s="36" t="str">
        <f t="shared" ref="M1090:M1153" si="17">MID(D1090,7,8)</f>
        <v>19640207</v>
      </c>
    </row>
    <row r="1091" s="1" customFormat="1" spans="1:13">
      <c r="A1091" s="2">
        <v>7030</v>
      </c>
      <c r="B1091" s="5" t="s">
        <v>13533</v>
      </c>
      <c r="C1091" s="32" t="s">
        <v>13776</v>
      </c>
      <c r="D1091" s="32" t="str">
        <f>"152326196402077126"</f>
        <v>152326196402077126</v>
      </c>
      <c r="E1091" s="5">
        <v>2020</v>
      </c>
      <c r="F1091" s="5">
        <v>2020</v>
      </c>
      <c r="G1091" s="9" t="s">
        <v>2480</v>
      </c>
      <c r="H1091" s="32" t="s">
        <v>4178</v>
      </c>
      <c r="I1091" s="32">
        <v>3000</v>
      </c>
      <c r="J1091" s="32"/>
      <c r="K1091" s="10"/>
      <c r="L1091" s="10">
        <v>20201118</v>
      </c>
      <c r="M1091" s="36" t="str">
        <f t="shared" si="17"/>
        <v>19640207</v>
      </c>
    </row>
    <row r="1092" s="1" customFormat="1" spans="1:13">
      <c r="A1092" s="2">
        <v>7019</v>
      </c>
      <c r="B1092" s="5" t="s">
        <v>13533</v>
      </c>
      <c r="C1092" s="32" t="s">
        <v>13764</v>
      </c>
      <c r="D1092" s="32" t="str">
        <f>"152326196402087121"</f>
        <v>152326196402087121</v>
      </c>
      <c r="E1092" s="5">
        <v>2020</v>
      </c>
      <c r="F1092" s="5">
        <v>2020</v>
      </c>
      <c r="G1092" s="9" t="s">
        <v>2480</v>
      </c>
      <c r="H1092" s="32">
        <v>500</v>
      </c>
      <c r="I1092" s="32">
        <v>500</v>
      </c>
      <c r="J1092" s="62"/>
      <c r="K1092" s="10"/>
      <c r="L1092" s="10">
        <v>20201118</v>
      </c>
      <c r="M1092" s="36" t="str">
        <f t="shared" si="17"/>
        <v>19640208</v>
      </c>
    </row>
    <row r="1093" s="1" customFormat="1" spans="1:13">
      <c r="A1093" s="2">
        <v>3</v>
      </c>
      <c r="B1093" s="2" t="s">
        <v>12</v>
      </c>
      <c r="C1093" s="2" t="s">
        <v>19</v>
      </c>
      <c r="D1093" s="2" t="s">
        <v>20</v>
      </c>
      <c r="E1093" s="3" t="s">
        <v>15</v>
      </c>
      <c r="F1093" s="3" t="s">
        <v>15</v>
      </c>
      <c r="G1093" s="2" t="s">
        <v>16</v>
      </c>
      <c r="H1093" s="2">
        <v>200</v>
      </c>
      <c r="I1093" s="2">
        <v>200</v>
      </c>
      <c r="J1093" s="2"/>
      <c r="K1093" s="2"/>
      <c r="L1093" s="10">
        <v>20201118</v>
      </c>
      <c r="M1093" s="36" t="str">
        <f t="shared" si="17"/>
        <v>19640209</v>
      </c>
    </row>
    <row r="1094" s="1" customFormat="1" spans="1:13">
      <c r="A1094" s="2">
        <v>3473</v>
      </c>
      <c r="B1094" s="5" t="s">
        <v>3375</v>
      </c>
      <c r="C1094" s="6" t="s">
        <v>7255</v>
      </c>
      <c r="D1094" s="6" t="s">
        <v>7256</v>
      </c>
      <c r="E1094" s="5" t="s">
        <v>15</v>
      </c>
      <c r="F1094" s="5">
        <v>2020</v>
      </c>
      <c r="G1094" s="14" t="s">
        <v>16</v>
      </c>
      <c r="H1094" s="17">
        <v>200</v>
      </c>
      <c r="I1094" s="17">
        <v>200</v>
      </c>
      <c r="J1094" s="6"/>
      <c r="K1094" s="10"/>
      <c r="L1094" s="10">
        <v>20201118</v>
      </c>
      <c r="M1094" s="36" t="str">
        <f t="shared" si="17"/>
        <v>19640209</v>
      </c>
    </row>
    <row r="1095" s="1" customFormat="1" spans="1:13">
      <c r="A1095" s="2">
        <v>3662</v>
      </c>
      <c r="B1095" s="5" t="s">
        <v>7412</v>
      </c>
      <c r="C1095" s="5" t="s">
        <v>7586</v>
      </c>
      <c r="D1095" s="5" t="s">
        <v>7587</v>
      </c>
      <c r="E1095" s="6">
        <v>2020</v>
      </c>
      <c r="F1095" s="6">
        <v>2020</v>
      </c>
      <c r="G1095" s="5" t="s">
        <v>3359</v>
      </c>
      <c r="H1095" s="5">
        <v>200</v>
      </c>
      <c r="I1095" s="5">
        <v>200</v>
      </c>
      <c r="J1095" s="5"/>
      <c r="K1095" s="5"/>
      <c r="L1095" s="10">
        <v>20201118</v>
      </c>
      <c r="M1095" s="36" t="str">
        <f t="shared" si="17"/>
        <v>19640209</v>
      </c>
    </row>
    <row r="1096" s="1" customFormat="1" spans="1:13">
      <c r="A1096" s="2">
        <v>204</v>
      </c>
      <c r="B1096" s="14" t="s">
        <v>327</v>
      </c>
      <c r="C1096" s="14" t="s">
        <v>500</v>
      </c>
      <c r="D1096" s="14" t="s">
        <v>501</v>
      </c>
      <c r="E1096" s="5">
        <v>2020</v>
      </c>
      <c r="F1096" s="5">
        <v>2020</v>
      </c>
      <c r="G1096" s="14" t="s">
        <v>16</v>
      </c>
      <c r="H1096" s="14">
        <v>200</v>
      </c>
      <c r="I1096" s="14">
        <v>200</v>
      </c>
      <c r="J1096" s="14"/>
      <c r="K1096" s="10"/>
      <c r="L1096" s="14" t="s">
        <v>330</v>
      </c>
      <c r="M1096" s="36" t="str">
        <f t="shared" si="17"/>
        <v>19640210</v>
      </c>
    </row>
    <row r="1097" s="1" customFormat="1" spans="1:13">
      <c r="A1097" s="2">
        <v>889</v>
      </c>
      <c r="B1097" s="29" t="s">
        <v>1040</v>
      </c>
      <c r="C1097" s="6" t="s">
        <v>2314</v>
      </c>
      <c r="D1097" s="6" t="s">
        <v>2315</v>
      </c>
      <c r="E1097" s="30">
        <v>2020</v>
      </c>
      <c r="F1097" s="30">
        <v>2020</v>
      </c>
      <c r="G1097" s="29" t="s">
        <v>16</v>
      </c>
      <c r="H1097" s="29">
        <v>200</v>
      </c>
      <c r="I1097" s="29">
        <v>200</v>
      </c>
      <c r="J1097" s="32"/>
      <c r="K1097" s="32"/>
      <c r="L1097" s="2" t="s">
        <v>330</v>
      </c>
      <c r="M1097" s="36" t="str">
        <f t="shared" si="17"/>
        <v>19640212</v>
      </c>
    </row>
    <row r="1098" s="1" customFormat="1" spans="1:13">
      <c r="A1098" s="2">
        <v>2180</v>
      </c>
      <c r="B1098" s="9" t="s">
        <v>4837</v>
      </c>
      <c r="C1098" s="9" t="s">
        <v>4908</v>
      </c>
      <c r="D1098" s="9" t="s">
        <v>4909</v>
      </c>
      <c r="E1098" s="6" t="s">
        <v>15</v>
      </c>
      <c r="F1098" s="6">
        <v>2020</v>
      </c>
      <c r="G1098" s="9" t="s">
        <v>2480</v>
      </c>
      <c r="H1098" s="9">
        <v>200</v>
      </c>
      <c r="I1098" s="9">
        <v>200</v>
      </c>
      <c r="J1098" s="6"/>
      <c r="K1098" s="10"/>
      <c r="L1098" s="10">
        <v>20201118</v>
      </c>
      <c r="M1098" s="36" t="str">
        <f t="shared" si="17"/>
        <v>19640212</v>
      </c>
    </row>
    <row r="1099" s="1" customFormat="1" spans="1:13">
      <c r="A1099" s="2">
        <v>6546</v>
      </c>
      <c r="B1099" s="5" t="s">
        <v>13027</v>
      </c>
      <c r="C1099" s="15" t="s">
        <v>8324</v>
      </c>
      <c r="D1099" s="15" t="s">
        <v>13088</v>
      </c>
      <c r="E1099" s="5">
        <v>2020</v>
      </c>
      <c r="F1099" s="5">
        <v>2020</v>
      </c>
      <c r="G1099" s="14" t="s">
        <v>16</v>
      </c>
      <c r="H1099" s="15">
        <v>200</v>
      </c>
      <c r="I1099" s="15">
        <v>200</v>
      </c>
      <c r="J1099" s="5"/>
      <c r="K1099" s="10"/>
      <c r="L1099" s="10">
        <v>20201118</v>
      </c>
      <c r="M1099" s="36" t="str">
        <f t="shared" si="17"/>
        <v>19640212</v>
      </c>
    </row>
    <row r="1100" s="1" customFormat="1" spans="1:13">
      <c r="A1100" s="2">
        <v>6547</v>
      </c>
      <c r="B1100" s="5" t="s">
        <v>13027</v>
      </c>
      <c r="C1100" s="15" t="s">
        <v>13089</v>
      </c>
      <c r="D1100" s="15" t="s">
        <v>13090</v>
      </c>
      <c r="E1100" s="5">
        <v>2020</v>
      </c>
      <c r="F1100" s="5">
        <v>2020</v>
      </c>
      <c r="G1100" s="14" t="s">
        <v>16</v>
      </c>
      <c r="H1100" s="15">
        <v>200</v>
      </c>
      <c r="I1100" s="15">
        <v>200</v>
      </c>
      <c r="J1100" s="5"/>
      <c r="K1100" s="10"/>
      <c r="L1100" s="10">
        <v>20201118</v>
      </c>
      <c r="M1100" s="36" t="str">
        <f t="shared" si="17"/>
        <v>19640212</v>
      </c>
    </row>
    <row r="1101" s="1" customFormat="1" spans="1:13">
      <c r="A1101" s="2">
        <v>3663</v>
      </c>
      <c r="B1101" s="5" t="s">
        <v>7412</v>
      </c>
      <c r="C1101" s="5" t="s">
        <v>7588</v>
      </c>
      <c r="D1101" s="5" t="s">
        <v>7589</v>
      </c>
      <c r="E1101" s="6">
        <v>2020</v>
      </c>
      <c r="F1101" s="6">
        <v>2020</v>
      </c>
      <c r="G1101" s="5" t="s">
        <v>3359</v>
      </c>
      <c r="H1101" s="5">
        <v>1000</v>
      </c>
      <c r="I1101" s="5">
        <v>1000</v>
      </c>
      <c r="J1101" s="5"/>
      <c r="K1101" s="5"/>
      <c r="L1101" s="10">
        <v>20201118</v>
      </c>
      <c r="M1101" s="36" t="str">
        <f t="shared" si="17"/>
        <v>19640213</v>
      </c>
    </row>
    <row r="1102" s="1" customFormat="1" spans="1:13">
      <c r="A1102" s="2">
        <v>6296</v>
      </c>
      <c r="B1102" s="5" t="s">
        <v>12263</v>
      </c>
      <c r="C1102" s="5" t="s">
        <v>12611</v>
      </c>
      <c r="D1102" s="5" t="s">
        <v>12612</v>
      </c>
      <c r="E1102" s="5" t="s">
        <v>10250</v>
      </c>
      <c r="F1102" s="5">
        <v>2020</v>
      </c>
      <c r="G1102" s="17" t="s">
        <v>3359</v>
      </c>
      <c r="H1102" s="5">
        <v>200</v>
      </c>
      <c r="I1102" s="5">
        <v>200</v>
      </c>
      <c r="J1102" s="5"/>
      <c r="K1102" s="5"/>
      <c r="L1102" s="10">
        <v>20201118</v>
      </c>
      <c r="M1102" s="36" t="str">
        <f t="shared" si="17"/>
        <v>19640213</v>
      </c>
    </row>
    <row r="1103" s="1" customFormat="1" ht="14.25" spans="1:13">
      <c r="A1103" s="2">
        <v>2801</v>
      </c>
      <c r="B1103" s="6" t="s">
        <v>6075</v>
      </c>
      <c r="C1103" s="25" t="s">
        <v>6131</v>
      </c>
      <c r="D1103" s="26" t="s">
        <v>6132</v>
      </c>
      <c r="E1103" s="5" t="s">
        <v>15</v>
      </c>
      <c r="F1103" s="5">
        <v>2020</v>
      </c>
      <c r="G1103" s="6" t="s">
        <v>16</v>
      </c>
      <c r="H1103" s="6">
        <v>200</v>
      </c>
      <c r="I1103" s="6">
        <v>200</v>
      </c>
      <c r="J1103" s="6"/>
      <c r="K1103" s="10"/>
      <c r="L1103" s="10">
        <v>20201118</v>
      </c>
      <c r="M1103" s="36" t="str">
        <f t="shared" si="17"/>
        <v>19640214</v>
      </c>
    </row>
    <row r="1104" s="1" customFormat="1" spans="1:13">
      <c r="A1104" s="2">
        <v>5907</v>
      </c>
      <c r="B1104" s="30" t="s">
        <v>11090</v>
      </c>
      <c r="C1104" s="30" t="s">
        <v>11865</v>
      </c>
      <c r="D1104" s="30" t="s">
        <v>11866</v>
      </c>
      <c r="E1104" s="5" t="s">
        <v>15</v>
      </c>
      <c r="F1104" s="5" t="s">
        <v>10250</v>
      </c>
      <c r="G1104" s="6" t="s">
        <v>16</v>
      </c>
      <c r="H1104" s="32">
        <v>500</v>
      </c>
      <c r="I1104" s="32">
        <v>500</v>
      </c>
      <c r="J1104" s="6"/>
      <c r="K1104" s="48"/>
      <c r="L1104" s="10">
        <v>20201118</v>
      </c>
      <c r="M1104" s="36" t="str">
        <f t="shared" si="17"/>
        <v>19640215</v>
      </c>
    </row>
    <row r="1105" s="1" customFormat="1" spans="1:13">
      <c r="A1105" s="2">
        <v>5536</v>
      </c>
      <c r="B1105" s="30" t="s">
        <v>11090</v>
      </c>
      <c r="C1105" s="30" t="s">
        <v>11169</v>
      </c>
      <c r="D1105" s="30" t="s">
        <v>11170</v>
      </c>
      <c r="E1105" s="5" t="s">
        <v>15</v>
      </c>
      <c r="F1105" s="5" t="s">
        <v>10250</v>
      </c>
      <c r="G1105" s="6" t="s">
        <v>16</v>
      </c>
      <c r="H1105" s="32">
        <v>200</v>
      </c>
      <c r="I1105" s="32">
        <v>200</v>
      </c>
      <c r="J1105" s="6"/>
      <c r="K1105" s="48"/>
      <c r="L1105" s="10">
        <v>20201118</v>
      </c>
      <c r="M1105" s="36" t="str">
        <f t="shared" si="17"/>
        <v>19640218</v>
      </c>
    </row>
    <row r="1106" s="1" customFormat="1" spans="1:13">
      <c r="A1106" s="2">
        <v>8048</v>
      </c>
      <c r="B1106" s="5" t="s">
        <v>15086</v>
      </c>
      <c r="C1106" s="6" t="s">
        <v>15327</v>
      </c>
      <c r="D1106" s="6" t="str">
        <f>"152326196402216878"</f>
        <v>152326196402216878</v>
      </c>
      <c r="E1106" s="5" t="s">
        <v>15</v>
      </c>
      <c r="F1106" s="5">
        <v>2020</v>
      </c>
      <c r="G1106" s="5" t="s">
        <v>16</v>
      </c>
      <c r="H1106" s="5">
        <v>200</v>
      </c>
      <c r="I1106" s="5">
        <v>200</v>
      </c>
      <c r="J1106" s="5"/>
      <c r="K1106" s="5"/>
      <c r="L1106" s="10">
        <v>20201118</v>
      </c>
      <c r="M1106" s="36" t="str">
        <f t="shared" si="17"/>
        <v>19640221</v>
      </c>
    </row>
    <row r="1107" s="1" customFormat="1" spans="1:13">
      <c r="A1107" s="2">
        <v>1477</v>
      </c>
      <c r="B1107" s="5" t="s">
        <v>3381</v>
      </c>
      <c r="C1107" s="9" t="s">
        <v>3522</v>
      </c>
      <c r="D1107" s="9" t="s">
        <v>3523</v>
      </c>
      <c r="E1107" s="5">
        <v>2020</v>
      </c>
      <c r="F1107" s="5">
        <v>2020</v>
      </c>
      <c r="G1107" s="14" t="s">
        <v>16</v>
      </c>
      <c r="H1107" s="6">
        <v>200</v>
      </c>
      <c r="I1107" s="6">
        <v>200</v>
      </c>
      <c r="J1107" s="5"/>
      <c r="K1107" s="13"/>
      <c r="L1107" s="10">
        <v>20201118</v>
      </c>
      <c r="M1107" s="36" t="str">
        <f t="shared" si="17"/>
        <v>19640222</v>
      </c>
    </row>
    <row r="1108" s="1" customFormat="1" spans="1:13">
      <c r="A1108" s="2">
        <v>4</v>
      </c>
      <c r="B1108" s="2" t="s">
        <v>12</v>
      </c>
      <c r="C1108" s="2" t="s">
        <v>21</v>
      </c>
      <c r="D1108" s="2" t="s">
        <v>22</v>
      </c>
      <c r="E1108" s="3" t="s">
        <v>15</v>
      </c>
      <c r="F1108" s="3" t="s">
        <v>15</v>
      </c>
      <c r="G1108" s="2" t="s">
        <v>16</v>
      </c>
      <c r="H1108" s="2">
        <v>500</v>
      </c>
      <c r="I1108" s="2">
        <v>500</v>
      </c>
      <c r="J1108" s="2"/>
      <c r="K1108" s="2"/>
      <c r="L1108" s="10">
        <v>20201118</v>
      </c>
      <c r="M1108" s="36" t="str">
        <f t="shared" si="17"/>
        <v>19640224</v>
      </c>
    </row>
    <row r="1109" s="1" customFormat="1" spans="1:13">
      <c r="A1109" s="2">
        <v>385</v>
      </c>
      <c r="B1109" s="21" t="s">
        <v>1040</v>
      </c>
      <c r="C1109" s="21" t="s">
        <v>1043</v>
      </c>
      <c r="D1109" s="22" t="s">
        <v>1044</v>
      </c>
      <c r="E1109" s="10">
        <v>2020</v>
      </c>
      <c r="F1109" s="2" t="s">
        <v>15</v>
      </c>
      <c r="G1109" s="21" t="s">
        <v>16</v>
      </c>
      <c r="H1109" s="21">
        <v>200</v>
      </c>
      <c r="I1109" s="21">
        <v>200</v>
      </c>
      <c r="J1109" s="44"/>
      <c r="K1109" s="45"/>
      <c r="L1109" s="2" t="s">
        <v>325</v>
      </c>
      <c r="M1109" s="36" t="str">
        <f t="shared" si="17"/>
        <v>19640225</v>
      </c>
    </row>
    <row r="1110" s="1" customFormat="1" ht="14.25" spans="1:13">
      <c r="A1110" s="2">
        <v>2923</v>
      </c>
      <c r="B1110" s="6" t="s">
        <v>6075</v>
      </c>
      <c r="C1110" s="25" t="s">
        <v>6373</v>
      </c>
      <c r="D1110" s="26" t="s">
        <v>6374</v>
      </c>
      <c r="E1110" s="5" t="s">
        <v>15</v>
      </c>
      <c r="F1110" s="5">
        <v>2020</v>
      </c>
      <c r="G1110" s="6" t="s">
        <v>16</v>
      </c>
      <c r="H1110" s="6">
        <v>200</v>
      </c>
      <c r="I1110" s="6">
        <v>200</v>
      </c>
      <c r="J1110" s="6"/>
      <c r="K1110" s="10"/>
      <c r="L1110" s="10">
        <v>20201118</v>
      </c>
      <c r="M1110" s="36" t="str">
        <f t="shared" si="17"/>
        <v>19640228</v>
      </c>
    </row>
    <row r="1111" s="1" customFormat="1" ht="14.25" spans="1:13">
      <c r="A1111" s="2">
        <v>2822</v>
      </c>
      <c r="B1111" s="6" t="s">
        <v>6075</v>
      </c>
      <c r="C1111" s="25" t="s">
        <v>6171</v>
      </c>
      <c r="D1111" s="26" t="s">
        <v>6172</v>
      </c>
      <c r="E1111" s="5" t="s">
        <v>15</v>
      </c>
      <c r="F1111" s="5">
        <v>2020</v>
      </c>
      <c r="G1111" s="6" t="s">
        <v>16</v>
      </c>
      <c r="H1111" s="6">
        <v>200</v>
      </c>
      <c r="I1111" s="6">
        <v>200</v>
      </c>
      <c r="J1111" s="6"/>
      <c r="K1111" s="10"/>
      <c r="L1111" s="10">
        <v>20201118</v>
      </c>
      <c r="M1111" s="36" t="str">
        <f t="shared" si="17"/>
        <v>19640301</v>
      </c>
    </row>
    <row r="1112" s="1" customFormat="1" spans="1:13">
      <c r="A1112" s="2">
        <v>170</v>
      </c>
      <c r="B1112" s="14" t="s">
        <v>327</v>
      </c>
      <c r="C1112" s="14" t="s">
        <v>398</v>
      </c>
      <c r="D1112" s="14" t="s">
        <v>399</v>
      </c>
      <c r="E1112" s="5">
        <v>2020</v>
      </c>
      <c r="F1112" s="5">
        <v>2020</v>
      </c>
      <c r="G1112" s="14" t="s">
        <v>16</v>
      </c>
      <c r="H1112" s="14">
        <v>200</v>
      </c>
      <c r="I1112" s="14">
        <v>200</v>
      </c>
      <c r="J1112" s="14"/>
      <c r="K1112" s="10"/>
      <c r="L1112" s="14" t="s">
        <v>330</v>
      </c>
      <c r="M1112" s="36" t="str">
        <f t="shared" si="17"/>
        <v>19640302</v>
      </c>
    </row>
    <row r="1113" s="1" customFormat="1" spans="1:13">
      <c r="A1113" s="2">
        <v>3479</v>
      </c>
      <c r="B1113" s="5" t="s">
        <v>3375</v>
      </c>
      <c r="C1113" s="6" t="s">
        <v>7262</v>
      </c>
      <c r="D1113" s="6" t="s">
        <v>7263</v>
      </c>
      <c r="E1113" s="5" t="s">
        <v>15</v>
      </c>
      <c r="F1113" s="5">
        <v>2020</v>
      </c>
      <c r="G1113" s="14" t="s">
        <v>16</v>
      </c>
      <c r="H1113" s="17">
        <v>200</v>
      </c>
      <c r="I1113" s="17">
        <v>200</v>
      </c>
      <c r="J1113" s="6" t="s">
        <v>1242</v>
      </c>
      <c r="K1113" s="10"/>
      <c r="L1113" s="10">
        <v>20201118</v>
      </c>
      <c r="M1113" s="36" t="str">
        <f t="shared" si="17"/>
        <v>19640303</v>
      </c>
    </row>
    <row r="1114" s="1" customFormat="1" spans="1:13">
      <c r="A1114" s="2">
        <v>7376</v>
      </c>
      <c r="B1114" s="5" t="s">
        <v>13908</v>
      </c>
      <c r="C1114" s="5" t="s">
        <v>4140</v>
      </c>
      <c r="D1114" s="5" t="s">
        <v>14378</v>
      </c>
      <c r="E1114" s="5" t="s">
        <v>15</v>
      </c>
      <c r="F1114" s="5" t="s">
        <v>15</v>
      </c>
      <c r="G1114" s="14" t="s">
        <v>16</v>
      </c>
      <c r="H1114" s="17">
        <v>200</v>
      </c>
      <c r="I1114" s="17">
        <v>200</v>
      </c>
      <c r="J1114" s="5"/>
      <c r="K1114" s="10"/>
      <c r="L1114" s="10">
        <v>20201118</v>
      </c>
      <c r="M1114" s="36" t="str">
        <f t="shared" si="17"/>
        <v>19640303</v>
      </c>
    </row>
    <row r="1115" s="1" customFormat="1" ht="14.25" spans="1:13">
      <c r="A1115" s="2">
        <v>7780</v>
      </c>
      <c r="B1115" s="5" t="s">
        <v>14875</v>
      </c>
      <c r="C1115" s="51" t="s">
        <v>15026</v>
      </c>
      <c r="D1115" s="24" t="str">
        <f>"152326196403037142"</f>
        <v>152326196403037142</v>
      </c>
      <c r="E1115" s="6" t="s">
        <v>15</v>
      </c>
      <c r="F1115" s="6">
        <v>2020</v>
      </c>
      <c r="G1115" s="24" t="s">
        <v>14877</v>
      </c>
      <c r="H1115" s="6">
        <v>200</v>
      </c>
      <c r="I1115" s="6">
        <v>200</v>
      </c>
      <c r="J1115" s="6"/>
      <c r="K1115" s="10"/>
      <c r="L1115" s="10">
        <v>20201118</v>
      </c>
      <c r="M1115" s="36" t="str">
        <f t="shared" si="17"/>
        <v>19640303</v>
      </c>
    </row>
    <row r="1116" s="1" customFormat="1" spans="1:13">
      <c r="A1116" s="2">
        <v>3664</v>
      </c>
      <c r="B1116" s="5" t="s">
        <v>7412</v>
      </c>
      <c r="C1116" s="5" t="s">
        <v>7590</v>
      </c>
      <c r="D1116" s="5" t="s">
        <v>7591</v>
      </c>
      <c r="E1116" s="6">
        <v>2020</v>
      </c>
      <c r="F1116" s="6">
        <v>2020</v>
      </c>
      <c r="G1116" s="5" t="s">
        <v>3359</v>
      </c>
      <c r="H1116" s="5">
        <v>200</v>
      </c>
      <c r="I1116" s="5">
        <v>200</v>
      </c>
      <c r="J1116" s="5" t="s">
        <v>1242</v>
      </c>
      <c r="K1116" s="5"/>
      <c r="L1116" s="10">
        <v>20201118</v>
      </c>
      <c r="M1116" s="36" t="str">
        <f t="shared" si="17"/>
        <v>19640304</v>
      </c>
    </row>
    <row r="1117" s="1" customFormat="1" spans="1:13">
      <c r="A1117" s="2">
        <v>6466</v>
      </c>
      <c r="B1117" s="5" t="s">
        <v>12263</v>
      </c>
      <c r="C1117" s="5" t="s">
        <v>12935</v>
      </c>
      <c r="D1117" s="5" t="s">
        <v>12936</v>
      </c>
      <c r="E1117" s="5" t="s">
        <v>10250</v>
      </c>
      <c r="F1117" s="5">
        <v>2020</v>
      </c>
      <c r="G1117" s="17" t="s">
        <v>3359</v>
      </c>
      <c r="H1117" s="5">
        <v>200</v>
      </c>
      <c r="I1117" s="5">
        <v>200</v>
      </c>
      <c r="J1117" s="5"/>
      <c r="K1117" s="5"/>
      <c r="L1117" s="10">
        <v>20201118</v>
      </c>
      <c r="M1117" s="36" t="str">
        <f t="shared" si="17"/>
        <v>19640304</v>
      </c>
    </row>
    <row r="1118" s="1" customFormat="1" spans="1:13">
      <c r="A1118" s="2">
        <v>154</v>
      </c>
      <c r="B1118" s="14" t="s">
        <v>327</v>
      </c>
      <c r="C1118" s="14" t="s">
        <v>350</v>
      </c>
      <c r="D1118" s="14" t="s">
        <v>351</v>
      </c>
      <c r="E1118" s="5">
        <v>2020</v>
      </c>
      <c r="F1118" s="5">
        <v>2020</v>
      </c>
      <c r="G1118" s="14" t="s">
        <v>16</v>
      </c>
      <c r="H1118" s="14">
        <v>200</v>
      </c>
      <c r="I1118" s="14">
        <v>200</v>
      </c>
      <c r="J1118" s="14"/>
      <c r="K1118" s="10"/>
      <c r="L1118" s="14" t="s">
        <v>330</v>
      </c>
      <c r="M1118" s="36" t="str">
        <f t="shared" si="17"/>
        <v>19640305</v>
      </c>
    </row>
    <row r="1119" s="1" customFormat="1" spans="1:13">
      <c r="A1119" s="2">
        <v>6548</v>
      </c>
      <c r="B1119" s="5" t="s">
        <v>13027</v>
      </c>
      <c r="C1119" s="15" t="s">
        <v>13091</v>
      </c>
      <c r="D1119" s="15" t="s">
        <v>13092</v>
      </c>
      <c r="E1119" s="5">
        <v>2020</v>
      </c>
      <c r="F1119" s="5">
        <v>2020</v>
      </c>
      <c r="G1119" s="14" t="s">
        <v>16</v>
      </c>
      <c r="H1119" s="15">
        <v>200</v>
      </c>
      <c r="I1119" s="15">
        <v>200</v>
      </c>
      <c r="J1119" s="5"/>
      <c r="K1119" s="10"/>
      <c r="L1119" s="10">
        <v>20201118</v>
      </c>
      <c r="M1119" s="36" t="str">
        <f t="shared" si="17"/>
        <v>19640305</v>
      </c>
    </row>
    <row r="1120" s="1" customFormat="1" spans="1:13">
      <c r="A1120" s="2">
        <v>6261</v>
      </c>
      <c r="B1120" s="5" t="s">
        <v>12263</v>
      </c>
      <c r="C1120" s="5" t="s">
        <v>12543</v>
      </c>
      <c r="D1120" s="5" t="s">
        <v>12544</v>
      </c>
      <c r="E1120" s="5" t="s">
        <v>10250</v>
      </c>
      <c r="F1120" s="5">
        <v>2020</v>
      </c>
      <c r="G1120" s="17" t="s">
        <v>3359</v>
      </c>
      <c r="H1120" s="5">
        <v>200</v>
      </c>
      <c r="I1120" s="5">
        <v>200</v>
      </c>
      <c r="J1120" s="5"/>
      <c r="K1120" s="5"/>
      <c r="L1120" s="10">
        <v>20201118</v>
      </c>
      <c r="M1120" s="36" t="str">
        <f t="shared" si="17"/>
        <v>19640307</v>
      </c>
    </row>
    <row r="1121" s="1" customFormat="1" spans="1:13">
      <c r="A1121" s="2">
        <v>6549</v>
      </c>
      <c r="B1121" s="5" t="s">
        <v>13027</v>
      </c>
      <c r="C1121" s="15" t="s">
        <v>13093</v>
      </c>
      <c r="D1121" s="15" t="s">
        <v>13094</v>
      </c>
      <c r="E1121" s="5">
        <v>2020</v>
      </c>
      <c r="F1121" s="5">
        <v>2020</v>
      </c>
      <c r="G1121" s="14" t="s">
        <v>16</v>
      </c>
      <c r="H1121" s="15">
        <v>200</v>
      </c>
      <c r="I1121" s="15">
        <v>200</v>
      </c>
      <c r="J1121" s="5"/>
      <c r="K1121" s="10"/>
      <c r="L1121" s="10">
        <v>20201118</v>
      </c>
      <c r="M1121" s="36" t="str">
        <f t="shared" si="17"/>
        <v>19640311</v>
      </c>
    </row>
    <row r="1122" s="1" customFormat="1" spans="1:13">
      <c r="A1122" s="2">
        <v>3665</v>
      </c>
      <c r="B1122" s="5" t="s">
        <v>7412</v>
      </c>
      <c r="C1122" s="5" t="s">
        <v>7592</v>
      </c>
      <c r="D1122" s="5" t="s">
        <v>7593</v>
      </c>
      <c r="E1122" s="6">
        <v>2020</v>
      </c>
      <c r="F1122" s="6">
        <v>2020</v>
      </c>
      <c r="G1122" s="5" t="s">
        <v>3359</v>
      </c>
      <c r="H1122" s="5">
        <v>200</v>
      </c>
      <c r="I1122" s="5">
        <v>200</v>
      </c>
      <c r="J1122" s="5"/>
      <c r="K1122" s="5"/>
      <c r="L1122" s="10">
        <v>20201118</v>
      </c>
      <c r="M1122" s="36" t="str">
        <f t="shared" si="17"/>
        <v>19640313</v>
      </c>
    </row>
    <row r="1123" s="1" customFormat="1" spans="1:13">
      <c r="A1123" s="2">
        <v>4186</v>
      </c>
      <c r="B1123" s="9" t="s">
        <v>8515</v>
      </c>
      <c r="C1123" s="9" t="s">
        <v>8576</v>
      </c>
      <c r="D1123" s="9" t="s">
        <v>8577</v>
      </c>
      <c r="E1123" s="5" t="s">
        <v>15</v>
      </c>
      <c r="F1123" s="5">
        <v>2020</v>
      </c>
      <c r="G1123" s="9" t="s">
        <v>2480</v>
      </c>
      <c r="H1123" s="9">
        <v>200</v>
      </c>
      <c r="I1123" s="9">
        <v>200</v>
      </c>
      <c r="J1123" s="9"/>
      <c r="K1123" s="9"/>
      <c r="L1123" s="10">
        <v>20201118</v>
      </c>
      <c r="M1123" s="36" t="str">
        <f t="shared" si="17"/>
        <v>19640313</v>
      </c>
    </row>
    <row r="1124" s="1" customFormat="1" spans="1:13">
      <c r="A1124" s="2">
        <v>6440</v>
      </c>
      <c r="B1124" s="5" t="s">
        <v>12263</v>
      </c>
      <c r="C1124" s="5" t="s">
        <v>12885</v>
      </c>
      <c r="D1124" s="5" t="s">
        <v>12886</v>
      </c>
      <c r="E1124" s="5" t="s">
        <v>10250</v>
      </c>
      <c r="F1124" s="5">
        <v>2020</v>
      </c>
      <c r="G1124" s="17" t="s">
        <v>3359</v>
      </c>
      <c r="H1124" s="5">
        <v>500</v>
      </c>
      <c r="I1124" s="5">
        <v>500</v>
      </c>
      <c r="J1124" s="5"/>
      <c r="K1124" s="5"/>
      <c r="L1124" s="10">
        <v>20201118</v>
      </c>
      <c r="M1124" s="36" t="str">
        <f t="shared" si="17"/>
        <v>19640315</v>
      </c>
    </row>
    <row r="1125" s="1" customFormat="1" spans="1:13">
      <c r="A1125" s="2">
        <v>6481</v>
      </c>
      <c r="B1125" s="5" t="s">
        <v>12263</v>
      </c>
      <c r="C1125" s="5" t="s">
        <v>12965</v>
      </c>
      <c r="D1125" s="5" t="s">
        <v>12966</v>
      </c>
      <c r="E1125" s="5" t="s">
        <v>310</v>
      </c>
      <c r="F1125" s="5">
        <v>2020</v>
      </c>
      <c r="G1125" s="5" t="s">
        <v>295</v>
      </c>
      <c r="H1125" s="5">
        <v>200</v>
      </c>
      <c r="I1125" s="5">
        <v>2000</v>
      </c>
      <c r="J1125" s="5"/>
      <c r="K1125" s="5"/>
      <c r="L1125" s="10">
        <v>20201118</v>
      </c>
      <c r="M1125" s="36" t="str">
        <f t="shared" si="17"/>
        <v>19640317</v>
      </c>
    </row>
    <row r="1126" s="1" customFormat="1" spans="1:13">
      <c r="A1126" s="2">
        <v>2181</v>
      </c>
      <c r="B1126" s="9" t="s">
        <v>4837</v>
      </c>
      <c r="C1126" s="9" t="s">
        <v>4910</v>
      </c>
      <c r="D1126" s="9" t="s">
        <v>4911</v>
      </c>
      <c r="E1126" s="6" t="s">
        <v>15</v>
      </c>
      <c r="F1126" s="6">
        <v>2020</v>
      </c>
      <c r="G1126" s="9" t="s">
        <v>2480</v>
      </c>
      <c r="H1126" s="9">
        <v>200</v>
      </c>
      <c r="I1126" s="9">
        <v>200</v>
      </c>
      <c r="J1126" s="6"/>
      <c r="K1126" s="10"/>
      <c r="L1126" s="10">
        <v>20201118</v>
      </c>
      <c r="M1126" s="36" t="str">
        <f t="shared" si="17"/>
        <v>19640318</v>
      </c>
    </row>
    <row r="1127" s="1" customFormat="1" spans="1:13">
      <c r="A1127" s="2">
        <v>6367</v>
      </c>
      <c r="B1127" s="5" t="s">
        <v>12263</v>
      </c>
      <c r="C1127" s="5" t="s">
        <v>12748</v>
      </c>
      <c r="D1127" s="5" t="s">
        <v>12749</v>
      </c>
      <c r="E1127" s="5" t="s">
        <v>10250</v>
      </c>
      <c r="F1127" s="5">
        <v>2020</v>
      </c>
      <c r="G1127" s="17" t="s">
        <v>3359</v>
      </c>
      <c r="H1127" s="5" t="s">
        <v>311</v>
      </c>
      <c r="I1127" s="5">
        <v>200</v>
      </c>
      <c r="J1127" s="5"/>
      <c r="K1127" s="5"/>
      <c r="L1127" s="10">
        <v>20201118</v>
      </c>
      <c r="M1127" s="36" t="str">
        <f t="shared" si="17"/>
        <v>19640320</v>
      </c>
    </row>
    <row r="1128" s="1" customFormat="1" spans="1:13">
      <c r="A1128" s="2">
        <v>6445</v>
      </c>
      <c r="B1128" s="5" t="s">
        <v>12263</v>
      </c>
      <c r="C1128" s="5" t="s">
        <v>12895</v>
      </c>
      <c r="D1128" s="5" t="s">
        <v>12896</v>
      </c>
      <c r="E1128" s="5" t="s">
        <v>10250</v>
      </c>
      <c r="F1128" s="5">
        <v>2020</v>
      </c>
      <c r="G1128" s="17" t="s">
        <v>3359</v>
      </c>
      <c r="H1128" s="5">
        <v>200</v>
      </c>
      <c r="I1128" s="5">
        <v>200</v>
      </c>
      <c r="J1128" s="5"/>
      <c r="K1128" s="5"/>
      <c r="L1128" s="10">
        <v>20201118</v>
      </c>
      <c r="M1128" s="36" t="str">
        <f t="shared" si="17"/>
        <v>19640320</v>
      </c>
    </row>
    <row r="1129" s="1" customFormat="1" spans="1:13">
      <c r="A1129" s="2">
        <v>2519</v>
      </c>
      <c r="B1129" s="5" t="s">
        <v>5328</v>
      </c>
      <c r="C1129" s="16" t="s">
        <v>5572</v>
      </c>
      <c r="D1129" s="16" t="s">
        <v>5573</v>
      </c>
      <c r="E1129" s="5" t="s">
        <v>15</v>
      </c>
      <c r="F1129" s="5" t="s">
        <v>15</v>
      </c>
      <c r="G1129" s="14" t="s">
        <v>16</v>
      </c>
      <c r="H1129" s="6">
        <v>200</v>
      </c>
      <c r="I1129" s="6">
        <v>200</v>
      </c>
      <c r="J1129" s="5"/>
      <c r="K1129" s="5"/>
      <c r="L1129" s="10">
        <v>20201118</v>
      </c>
      <c r="M1129" s="36" t="str">
        <f t="shared" si="17"/>
        <v>19640324</v>
      </c>
    </row>
    <row r="1130" s="1" customFormat="1" spans="1:13">
      <c r="A1130" s="2">
        <v>1478</v>
      </c>
      <c r="B1130" s="5" t="s">
        <v>3381</v>
      </c>
      <c r="C1130" s="9" t="s">
        <v>3524</v>
      </c>
      <c r="D1130" s="9" t="s">
        <v>3525</v>
      </c>
      <c r="E1130" s="5">
        <v>2020</v>
      </c>
      <c r="F1130" s="5">
        <v>2020</v>
      </c>
      <c r="G1130" s="14" t="s">
        <v>16</v>
      </c>
      <c r="H1130" s="6">
        <v>200</v>
      </c>
      <c r="I1130" s="6">
        <v>200</v>
      </c>
      <c r="J1130" s="5"/>
      <c r="K1130" s="13"/>
      <c r="L1130" s="10">
        <v>20201118</v>
      </c>
      <c r="M1130" s="36" t="str">
        <f t="shared" si="17"/>
        <v>19640325</v>
      </c>
    </row>
    <row r="1131" s="1" customFormat="1" spans="1:13">
      <c r="A1131" s="2">
        <v>2182</v>
      </c>
      <c r="B1131" s="9" t="s">
        <v>4837</v>
      </c>
      <c r="C1131" s="9" t="s">
        <v>4912</v>
      </c>
      <c r="D1131" s="9" t="s">
        <v>4913</v>
      </c>
      <c r="E1131" s="6" t="s">
        <v>15</v>
      </c>
      <c r="F1131" s="6">
        <v>2020</v>
      </c>
      <c r="G1131" s="9" t="s">
        <v>2480</v>
      </c>
      <c r="H1131" s="9">
        <v>200</v>
      </c>
      <c r="I1131" s="9">
        <v>200</v>
      </c>
      <c r="J1131" s="6"/>
      <c r="K1131" s="10"/>
      <c r="L1131" s="10">
        <v>20201118</v>
      </c>
      <c r="M1131" s="36" t="str">
        <f t="shared" si="17"/>
        <v>19640325</v>
      </c>
    </row>
    <row r="1132" s="1" customFormat="1" spans="1:13">
      <c r="A1132" s="2">
        <v>3466</v>
      </c>
      <c r="B1132" s="5" t="s">
        <v>3375</v>
      </c>
      <c r="C1132" s="6" t="s">
        <v>7246</v>
      </c>
      <c r="D1132" s="6" t="s">
        <v>7247</v>
      </c>
      <c r="E1132" s="5" t="s">
        <v>15</v>
      </c>
      <c r="F1132" s="5">
        <v>2020</v>
      </c>
      <c r="G1132" s="14" t="s">
        <v>16</v>
      </c>
      <c r="H1132" s="17">
        <v>200</v>
      </c>
      <c r="I1132" s="17">
        <v>200</v>
      </c>
      <c r="J1132" s="6"/>
      <c r="K1132" s="10"/>
      <c r="L1132" s="10">
        <v>20201118</v>
      </c>
      <c r="M1132" s="36" t="str">
        <f t="shared" si="17"/>
        <v>19640325</v>
      </c>
    </row>
    <row r="1133" s="1" customFormat="1" spans="1:13">
      <c r="A1133" s="2">
        <v>7162</v>
      </c>
      <c r="B1133" s="5" t="s">
        <v>13908</v>
      </c>
      <c r="C1133" s="5" t="s">
        <v>13981</v>
      </c>
      <c r="D1133" s="5" t="s">
        <v>13982</v>
      </c>
      <c r="E1133" s="5" t="s">
        <v>15</v>
      </c>
      <c r="F1133" s="5" t="s">
        <v>15</v>
      </c>
      <c r="G1133" s="14" t="s">
        <v>16</v>
      </c>
      <c r="H1133" s="17">
        <v>200</v>
      </c>
      <c r="I1133" s="17">
        <v>200</v>
      </c>
      <c r="J1133" s="5"/>
      <c r="K1133" s="10"/>
      <c r="L1133" s="10">
        <v>20201118</v>
      </c>
      <c r="M1133" s="36" t="str">
        <f t="shared" si="17"/>
        <v>19640326</v>
      </c>
    </row>
    <row r="1134" s="1" customFormat="1" spans="1:13">
      <c r="A1134" s="2">
        <v>1479</v>
      </c>
      <c r="B1134" s="5" t="s">
        <v>3381</v>
      </c>
      <c r="C1134" s="9" t="s">
        <v>3526</v>
      </c>
      <c r="D1134" s="9" t="s">
        <v>3527</v>
      </c>
      <c r="E1134" s="5">
        <v>2020</v>
      </c>
      <c r="F1134" s="5">
        <v>2020</v>
      </c>
      <c r="G1134" s="14" t="s">
        <v>16</v>
      </c>
      <c r="H1134" s="6">
        <v>200</v>
      </c>
      <c r="I1134" s="6">
        <v>200</v>
      </c>
      <c r="J1134" s="5"/>
      <c r="K1134" s="13"/>
      <c r="L1134" s="10">
        <v>20201118</v>
      </c>
      <c r="M1134" s="36" t="str">
        <f t="shared" si="17"/>
        <v>19640327</v>
      </c>
    </row>
    <row r="1135" s="1" customFormat="1" spans="1:13">
      <c r="A1135" s="2">
        <v>4478</v>
      </c>
      <c r="B1135" s="6" t="s">
        <v>9015</v>
      </c>
      <c r="C1135" s="6" t="s">
        <v>9139</v>
      </c>
      <c r="D1135" s="6" t="s">
        <v>9140</v>
      </c>
      <c r="E1135" s="6">
        <v>2020</v>
      </c>
      <c r="F1135" s="6">
        <v>2020</v>
      </c>
      <c r="G1135" s="6" t="s">
        <v>16</v>
      </c>
      <c r="H1135" s="6">
        <v>200</v>
      </c>
      <c r="I1135" s="6">
        <v>200</v>
      </c>
      <c r="J1135" s="6"/>
      <c r="K1135" s="6"/>
      <c r="L1135" s="10">
        <v>20201118</v>
      </c>
      <c r="M1135" s="36" t="str">
        <f t="shared" si="17"/>
        <v>19640329</v>
      </c>
    </row>
    <row r="1136" s="1" customFormat="1" spans="1:13">
      <c r="A1136" s="2">
        <v>69</v>
      </c>
      <c r="B1136" s="3" t="s">
        <v>12</v>
      </c>
      <c r="C1136" s="3" t="s">
        <v>153</v>
      </c>
      <c r="D1136" s="3" t="s">
        <v>154</v>
      </c>
      <c r="E1136" s="3" t="s">
        <v>15</v>
      </c>
      <c r="F1136" s="3" t="s">
        <v>15</v>
      </c>
      <c r="G1136" s="2" t="s">
        <v>16</v>
      </c>
      <c r="H1136" s="3">
        <v>200</v>
      </c>
      <c r="I1136" s="3">
        <v>200</v>
      </c>
      <c r="J1136" s="3"/>
      <c r="K1136" s="3"/>
      <c r="L1136" s="10">
        <v>20201118</v>
      </c>
      <c r="M1136" s="36" t="str">
        <f t="shared" si="17"/>
        <v>19640401</v>
      </c>
    </row>
    <row r="1137" s="1" customFormat="1" spans="1:13">
      <c r="A1137" s="2">
        <v>3480</v>
      </c>
      <c r="B1137" s="5" t="s">
        <v>3375</v>
      </c>
      <c r="C1137" s="6" t="s">
        <v>7264</v>
      </c>
      <c r="D1137" s="6" t="str">
        <f>"152326196404016888"</f>
        <v>152326196404016888</v>
      </c>
      <c r="E1137" s="5" t="s">
        <v>15</v>
      </c>
      <c r="F1137" s="5">
        <v>2020</v>
      </c>
      <c r="G1137" s="14" t="s">
        <v>16</v>
      </c>
      <c r="H1137" s="17">
        <v>200</v>
      </c>
      <c r="I1137" s="17">
        <v>200</v>
      </c>
      <c r="J1137" s="6"/>
      <c r="K1137" s="10"/>
      <c r="L1137" s="10">
        <v>20201118</v>
      </c>
      <c r="M1137" s="36" t="str">
        <f t="shared" si="17"/>
        <v>19640401</v>
      </c>
    </row>
    <row r="1138" s="1" customFormat="1" spans="1:13">
      <c r="A1138" s="2">
        <v>3666</v>
      </c>
      <c r="B1138" s="5" t="s">
        <v>7412</v>
      </c>
      <c r="C1138" s="5" t="s">
        <v>7594</v>
      </c>
      <c r="D1138" s="5" t="s">
        <v>7595</v>
      </c>
      <c r="E1138" s="6">
        <v>2020</v>
      </c>
      <c r="F1138" s="6">
        <v>2020</v>
      </c>
      <c r="G1138" s="5" t="s">
        <v>3359</v>
      </c>
      <c r="H1138" s="5">
        <v>200</v>
      </c>
      <c r="I1138" s="5">
        <v>200</v>
      </c>
      <c r="J1138" s="5"/>
      <c r="K1138" s="5"/>
      <c r="L1138" s="10">
        <v>20201118</v>
      </c>
      <c r="M1138" s="36" t="str">
        <f t="shared" si="17"/>
        <v>19640401</v>
      </c>
    </row>
    <row r="1139" s="1" customFormat="1" spans="1:13">
      <c r="A1139" s="2">
        <v>3667</v>
      </c>
      <c r="B1139" s="5" t="s">
        <v>7412</v>
      </c>
      <c r="C1139" s="5" t="s">
        <v>7596</v>
      </c>
      <c r="D1139" s="5" t="s">
        <v>7597</v>
      </c>
      <c r="E1139" s="6">
        <v>2020</v>
      </c>
      <c r="F1139" s="6">
        <v>2020</v>
      </c>
      <c r="G1139" s="5" t="s">
        <v>3359</v>
      </c>
      <c r="H1139" s="5">
        <v>200</v>
      </c>
      <c r="I1139" s="5">
        <v>200</v>
      </c>
      <c r="J1139" s="5"/>
      <c r="K1139" s="5"/>
      <c r="L1139" s="10">
        <v>20201118</v>
      </c>
      <c r="M1139" s="36" t="str">
        <f t="shared" si="17"/>
        <v>19640401</v>
      </c>
    </row>
    <row r="1140" s="1" customFormat="1" spans="1:13">
      <c r="A1140" s="2">
        <v>5684</v>
      </c>
      <c r="B1140" s="30" t="s">
        <v>11090</v>
      </c>
      <c r="C1140" s="30" t="s">
        <v>11453</v>
      </c>
      <c r="D1140" s="30" t="s">
        <v>11454</v>
      </c>
      <c r="E1140" s="5" t="s">
        <v>15</v>
      </c>
      <c r="F1140" s="5" t="s">
        <v>10250</v>
      </c>
      <c r="G1140" s="6" t="s">
        <v>16</v>
      </c>
      <c r="H1140" s="32">
        <v>200</v>
      </c>
      <c r="I1140" s="32">
        <v>200</v>
      </c>
      <c r="J1140" s="6"/>
      <c r="K1140" s="48"/>
      <c r="L1140" s="10">
        <v>20201118</v>
      </c>
      <c r="M1140" s="36" t="str">
        <f t="shared" si="17"/>
        <v>19640401</v>
      </c>
    </row>
    <row r="1141" s="1" customFormat="1" spans="1:13">
      <c r="A1141" s="2">
        <v>3478</v>
      </c>
      <c r="B1141" s="5" t="s">
        <v>3375</v>
      </c>
      <c r="C1141" s="6" t="s">
        <v>7261</v>
      </c>
      <c r="D1141" s="6" t="str">
        <f>"152326196404026867"</f>
        <v>152326196404026867</v>
      </c>
      <c r="E1141" s="5" t="s">
        <v>15</v>
      </c>
      <c r="F1141" s="5">
        <v>2020</v>
      </c>
      <c r="G1141" s="14" t="s">
        <v>16</v>
      </c>
      <c r="H1141" s="17">
        <v>200</v>
      </c>
      <c r="I1141" s="17">
        <v>200</v>
      </c>
      <c r="J1141" s="6"/>
      <c r="K1141" s="10"/>
      <c r="L1141" s="10">
        <v>20201118</v>
      </c>
      <c r="M1141" s="36" t="str">
        <f t="shared" si="17"/>
        <v>19640402</v>
      </c>
    </row>
    <row r="1142" s="1" customFormat="1" spans="1:13">
      <c r="A1142" s="2">
        <v>3668</v>
      </c>
      <c r="B1142" s="5" t="s">
        <v>7412</v>
      </c>
      <c r="C1142" s="5" t="s">
        <v>7598</v>
      </c>
      <c r="D1142" s="5" t="s">
        <v>7599</v>
      </c>
      <c r="E1142" s="6">
        <v>2020</v>
      </c>
      <c r="F1142" s="6">
        <v>2020</v>
      </c>
      <c r="G1142" s="5" t="s">
        <v>3359</v>
      </c>
      <c r="H1142" s="5">
        <v>1000</v>
      </c>
      <c r="I1142" s="5">
        <v>1000</v>
      </c>
      <c r="J1142" s="5"/>
      <c r="K1142" s="5"/>
      <c r="L1142" s="10">
        <v>20201118</v>
      </c>
      <c r="M1142" s="36" t="str">
        <f t="shared" si="17"/>
        <v>19640402</v>
      </c>
    </row>
    <row r="1143" s="1" customFormat="1" spans="1:13">
      <c r="A1143" s="2">
        <v>7014</v>
      </c>
      <c r="B1143" s="5" t="s">
        <v>13533</v>
      </c>
      <c r="C1143" s="32" t="s">
        <v>13760</v>
      </c>
      <c r="D1143" s="32" t="str">
        <f>"152326196404037128"</f>
        <v>152326196404037128</v>
      </c>
      <c r="E1143" s="5">
        <v>2020</v>
      </c>
      <c r="F1143" s="5">
        <v>2020</v>
      </c>
      <c r="G1143" s="9" t="s">
        <v>2480</v>
      </c>
      <c r="H1143" s="32">
        <v>200</v>
      </c>
      <c r="I1143" s="32">
        <v>200</v>
      </c>
      <c r="J1143" s="32"/>
      <c r="K1143" s="10"/>
      <c r="L1143" s="10">
        <v>20201118</v>
      </c>
      <c r="M1143" s="36" t="str">
        <f t="shared" si="17"/>
        <v>19640403</v>
      </c>
    </row>
    <row r="1144" s="1" customFormat="1" spans="1:13">
      <c r="A1144" s="2">
        <v>5597</v>
      </c>
      <c r="B1144" s="30" t="s">
        <v>11090</v>
      </c>
      <c r="C1144" s="30" t="s">
        <v>11287</v>
      </c>
      <c r="D1144" s="30" t="s">
        <v>11288</v>
      </c>
      <c r="E1144" s="5" t="s">
        <v>15</v>
      </c>
      <c r="F1144" s="5" t="s">
        <v>10250</v>
      </c>
      <c r="G1144" s="6" t="s">
        <v>16</v>
      </c>
      <c r="H1144" s="32">
        <v>200</v>
      </c>
      <c r="I1144" s="32">
        <v>200</v>
      </c>
      <c r="J1144" s="6" t="s">
        <v>1242</v>
      </c>
      <c r="K1144" s="48"/>
      <c r="L1144" s="10">
        <v>20201118</v>
      </c>
      <c r="M1144" s="36" t="str">
        <f t="shared" si="17"/>
        <v>19640404</v>
      </c>
    </row>
    <row r="1145" s="1" customFormat="1" spans="1:13">
      <c r="A1145" s="2">
        <v>4187</v>
      </c>
      <c r="B1145" s="9" t="s">
        <v>8515</v>
      </c>
      <c r="C1145" s="9" t="s">
        <v>8578</v>
      </c>
      <c r="D1145" s="9" t="s">
        <v>8579</v>
      </c>
      <c r="E1145" s="5" t="s">
        <v>15</v>
      </c>
      <c r="F1145" s="5">
        <v>2020</v>
      </c>
      <c r="G1145" s="9" t="s">
        <v>2480</v>
      </c>
      <c r="H1145" s="9">
        <v>200</v>
      </c>
      <c r="I1145" s="9">
        <v>200</v>
      </c>
      <c r="J1145" s="9"/>
      <c r="K1145" s="9"/>
      <c r="L1145" s="10">
        <v>20201118</v>
      </c>
      <c r="M1145" s="36" t="str">
        <f t="shared" si="17"/>
        <v>19640405</v>
      </c>
    </row>
    <row r="1146" s="1" customFormat="1" ht="14.25" spans="1:13">
      <c r="A1146" s="2">
        <v>2962</v>
      </c>
      <c r="B1146" s="6" t="s">
        <v>6075</v>
      </c>
      <c r="C1146" s="25" t="s">
        <v>6358</v>
      </c>
      <c r="D1146" s="26" t="s">
        <v>6450</v>
      </c>
      <c r="E1146" s="5" t="s">
        <v>15</v>
      </c>
      <c r="F1146" s="5">
        <v>2020</v>
      </c>
      <c r="G1146" s="6" t="s">
        <v>16</v>
      </c>
      <c r="H1146" s="6">
        <v>200</v>
      </c>
      <c r="I1146" s="6">
        <v>200</v>
      </c>
      <c r="J1146" s="6"/>
      <c r="K1146" s="10"/>
      <c r="L1146" s="10">
        <v>20201118</v>
      </c>
      <c r="M1146" s="36" t="str">
        <f t="shared" si="17"/>
        <v>19640407</v>
      </c>
    </row>
    <row r="1147" s="1" customFormat="1" spans="1:13">
      <c r="A1147" s="2">
        <v>5789</v>
      </c>
      <c r="B1147" s="30" t="s">
        <v>11090</v>
      </c>
      <c r="C1147" s="30" t="s">
        <v>11648</v>
      </c>
      <c r="D1147" s="30" t="s">
        <v>11649</v>
      </c>
      <c r="E1147" s="5" t="s">
        <v>15</v>
      </c>
      <c r="F1147" s="5" t="s">
        <v>10250</v>
      </c>
      <c r="G1147" s="6" t="s">
        <v>16</v>
      </c>
      <c r="H1147" s="32">
        <v>200</v>
      </c>
      <c r="I1147" s="32">
        <v>200</v>
      </c>
      <c r="J1147" s="6"/>
      <c r="K1147" s="48"/>
      <c r="L1147" s="10">
        <v>20201118</v>
      </c>
      <c r="M1147" s="36" t="str">
        <f t="shared" si="17"/>
        <v>19640408</v>
      </c>
    </row>
    <row r="1148" s="1" customFormat="1" spans="1:13">
      <c r="A1148" s="2">
        <v>2561</v>
      </c>
      <c r="B1148" s="32" t="s">
        <v>5602</v>
      </c>
      <c r="C1148" s="9" t="s">
        <v>5660</v>
      </c>
      <c r="D1148" s="9" t="s">
        <v>5661</v>
      </c>
      <c r="E1148" s="32">
        <v>2020</v>
      </c>
      <c r="F1148" s="32">
        <v>2020</v>
      </c>
      <c r="G1148" s="32" t="s">
        <v>16</v>
      </c>
      <c r="H1148" s="9">
        <v>200</v>
      </c>
      <c r="I1148" s="9">
        <v>200</v>
      </c>
      <c r="J1148" s="32"/>
      <c r="K1148" s="52"/>
      <c r="L1148" s="10">
        <v>20201118</v>
      </c>
      <c r="M1148" s="36" t="str">
        <f t="shared" si="17"/>
        <v>19640409</v>
      </c>
    </row>
    <row r="1149" s="1" customFormat="1" spans="1:13">
      <c r="A1149" s="2">
        <v>1480</v>
      </c>
      <c r="B1149" s="5" t="s">
        <v>3381</v>
      </c>
      <c r="C1149" s="9" t="s">
        <v>3528</v>
      </c>
      <c r="D1149" s="9" t="s">
        <v>3529</v>
      </c>
      <c r="E1149" s="5">
        <v>2020</v>
      </c>
      <c r="F1149" s="5">
        <v>2020</v>
      </c>
      <c r="G1149" s="14" t="s">
        <v>16</v>
      </c>
      <c r="H1149" s="6">
        <v>200</v>
      </c>
      <c r="I1149" s="6">
        <v>200</v>
      </c>
      <c r="J1149" s="5"/>
      <c r="K1149" s="13"/>
      <c r="L1149" s="10">
        <v>20201118</v>
      </c>
      <c r="M1149" s="36" t="str">
        <f t="shared" si="17"/>
        <v>19640411</v>
      </c>
    </row>
    <row r="1150" s="1" customFormat="1" spans="1:13">
      <c r="A1150" s="2">
        <v>3669</v>
      </c>
      <c r="B1150" s="5" t="s">
        <v>7412</v>
      </c>
      <c r="C1150" s="5" t="s">
        <v>7600</v>
      </c>
      <c r="D1150" s="5" t="s">
        <v>7601</v>
      </c>
      <c r="E1150" s="6">
        <v>2020</v>
      </c>
      <c r="F1150" s="6">
        <v>2020</v>
      </c>
      <c r="G1150" s="5" t="s">
        <v>3359</v>
      </c>
      <c r="H1150" s="5">
        <v>1000</v>
      </c>
      <c r="I1150" s="5">
        <v>1000</v>
      </c>
      <c r="J1150" s="5"/>
      <c r="K1150" s="5"/>
      <c r="L1150" s="10">
        <v>20201118</v>
      </c>
      <c r="M1150" s="36" t="str">
        <f t="shared" si="17"/>
        <v>19640412</v>
      </c>
    </row>
    <row r="1151" s="1" customFormat="1" spans="1:13">
      <c r="A1151" s="2">
        <v>4527</v>
      </c>
      <c r="B1151" s="6" t="s">
        <v>9015</v>
      </c>
      <c r="C1151" s="6" t="s">
        <v>9235</v>
      </c>
      <c r="D1151" s="6" t="s">
        <v>9236</v>
      </c>
      <c r="E1151" s="6">
        <v>2020</v>
      </c>
      <c r="F1151" s="6">
        <v>2020</v>
      </c>
      <c r="G1151" s="6" t="s">
        <v>16</v>
      </c>
      <c r="H1151" s="6">
        <v>200</v>
      </c>
      <c r="I1151" s="6">
        <v>200</v>
      </c>
      <c r="J1151" s="6"/>
      <c r="K1151" s="6"/>
      <c r="L1151" s="10">
        <v>20201118</v>
      </c>
      <c r="M1151" s="36" t="str">
        <f t="shared" si="17"/>
        <v>19640412</v>
      </c>
    </row>
    <row r="1152" s="1" customFormat="1" ht="14.25" spans="1:13">
      <c r="A1152" s="2">
        <v>5249</v>
      </c>
      <c r="B1152" s="33" t="s">
        <v>10535</v>
      </c>
      <c r="C1152" s="34" t="s">
        <v>10615</v>
      </c>
      <c r="D1152" s="34" t="s">
        <v>10616</v>
      </c>
      <c r="E1152" s="35">
        <v>2020</v>
      </c>
      <c r="F1152" s="35">
        <v>2020</v>
      </c>
      <c r="G1152" s="35" t="s">
        <v>16</v>
      </c>
      <c r="H1152" s="34">
        <v>200</v>
      </c>
      <c r="I1152" s="34">
        <v>200</v>
      </c>
      <c r="J1152" s="49"/>
      <c r="K1152" s="10"/>
      <c r="L1152" s="10">
        <v>20201118</v>
      </c>
      <c r="M1152" s="36" t="str">
        <f t="shared" si="17"/>
        <v>19640412</v>
      </c>
    </row>
    <row r="1153" s="1" customFormat="1" spans="1:13">
      <c r="A1153" s="2">
        <v>3670</v>
      </c>
      <c r="B1153" s="5" t="s">
        <v>7412</v>
      </c>
      <c r="C1153" s="5" t="s">
        <v>7602</v>
      </c>
      <c r="D1153" s="5" t="s">
        <v>7603</v>
      </c>
      <c r="E1153" s="6">
        <v>2020</v>
      </c>
      <c r="F1153" s="6">
        <v>2020</v>
      </c>
      <c r="G1153" s="5" t="s">
        <v>3359</v>
      </c>
      <c r="H1153" s="5">
        <v>200</v>
      </c>
      <c r="I1153" s="5">
        <v>200</v>
      </c>
      <c r="J1153" s="5"/>
      <c r="K1153" s="5"/>
      <c r="L1153" s="10">
        <v>20201118</v>
      </c>
      <c r="M1153" s="36" t="str">
        <f t="shared" si="17"/>
        <v>19640414</v>
      </c>
    </row>
    <row r="1154" s="1" customFormat="1" spans="1:13">
      <c r="A1154" s="2">
        <v>4188</v>
      </c>
      <c r="B1154" s="9" t="s">
        <v>8515</v>
      </c>
      <c r="C1154" s="9" t="s">
        <v>8580</v>
      </c>
      <c r="D1154" s="9" t="s">
        <v>8581</v>
      </c>
      <c r="E1154" s="5" t="s">
        <v>15</v>
      </c>
      <c r="F1154" s="5">
        <v>2020</v>
      </c>
      <c r="G1154" s="9" t="s">
        <v>2480</v>
      </c>
      <c r="H1154" s="9">
        <v>200</v>
      </c>
      <c r="I1154" s="9">
        <v>200</v>
      </c>
      <c r="J1154" s="9"/>
      <c r="K1154" s="9"/>
      <c r="L1154" s="10">
        <v>20201118</v>
      </c>
      <c r="M1154" s="36" t="str">
        <f t="shared" ref="M1154:M1217" si="18">MID(D1154,7,8)</f>
        <v>19640415</v>
      </c>
    </row>
    <row r="1155" s="1" customFormat="1" spans="1:13">
      <c r="A1155" s="2">
        <v>6243</v>
      </c>
      <c r="B1155" s="5" t="s">
        <v>12263</v>
      </c>
      <c r="C1155" s="5" t="s">
        <v>7519</v>
      </c>
      <c r="D1155" s="5" t="s">
        <v>12509</v>
      </c>
      <c r="E1155" s="5" t="s">
        <v>10250</v>
      </c>
      <c r="F1155" s="5">
        <v>2020</v>
      </c>
      <c r="G1155" s="17" t="s">
        <v>3359</v>
      </c>
      <c r="H1155" s="5">
        <v>200</v>
      </c>
      <c r="I1155" s="5">
        <v>200</v>
      </c>
      <c r="J1155" s="5" t="s">
        <v>5331</v>
      </c>
      <c r="K1155" s="5"/>
      <c r="L1155" s="10">
        <v>20201118</v>
      </c>
      <c r="M1155" s="36" t="str">
        <f t="shared" si="18"/>
        <v>19640416</v>
      </c>
    </row>
    <row r="1156" s="1" customFormat="1" spans="1:13">
      <c r="A1156" s="2">
        <v>608</v>
      </c>
      <c r="B1156" s="29" t="s">
        <v>1040</v>
      </c>
      <c r="C1156" s="29" t="s">
        <v>1492</v>
      </c>
      <c r="D1156" s="29" t="s">
        <v>1493</v>
      </c>
      <c r="E1156" s="30">
        <v>2020</v>
      </c>
      <c r="F1156" s="30">
        <v>2020</v>
      </c>
      <c r="G1156" s="29" t="s">
        <v>16</v>
      </c>
      <c r="H1156" s="29">
        <v>200</v>
      </c>
      <c r="I1156" s="29">
        <v>200</v>
      </c>
      <c r="J1156" s="29"/>
      <c r="K1156" s="47"/>
      <c r="L1156" s="2" t="s">
        <v>330</v>
      </c>
      <c r="M1156" s="36" t="str">
        <f t="shared" si="18"/>
        <v>19640417</v>
      </c>
    </row>
    <row r="1157" s="1" customFormat="1" spans="1:13">
      <c r="A1157" s="2">
        <v>3671</v>
      </c>
      <c r="B1157" s="5" t="s">
        <v>7412</v>
      </c>
      <c r="C1157" s="5" t="s">
        <v>7604</v>
      </c>
      <c r="D1157" s="5" t="s">
        <v>7605</v>
      </c>
      <c r="E1157" s="6">
        <v>2020</v>
      </c>
      <c r="F1157" s="6">
        <v>2020</v>
      </c>
      <c r="G1157" s="5" t="s">
        <v>3359</v>
      </c>
      <c r="H1157" s="5">
        <v>200</v>
      </c>
      <c r="I1157" s="5">
        <v>200</v>
      </c>
      <c r="J1157" s="5"/>
      <c r="K1157" s="5"/>
      <c r="L1157" s="10">
        <v>20201118</v>
      </c>
      <c r="M1157" s="36" t="str">
        <f t="shared" si="18"/>
        <v>19640421</v>
      </c>
    </row>
    <row r="1158" s="1" customFormat="1" spans="1:13">
      <c r="A1158" s="2">
        <v>5007</v>
      </c>
      <c r="B1158" s="6" t="s">
        <v>9954</v>
      </c>
      <c r="C1158" s="60" t="s">
        <v>10150</v>
      </c>
      <c r="D1158" s="60" t="s">
        <v>10151</v>
      </c>
      <c r="E1158" s="5" t="s">
        <v>15</v>
      </c>
      <c r="F1158" s="5" t="s">
        <v>15</v>
      </c>
      <c r="G1158" s="14" t="s">
        <v>16</v>
      </c>
      <c r="H1158" s="6">
        <v>200</v>
      </c>
      <c r="I1158" s="6">
        <v>200</v>
      </c>
      <c r="J1158" s="6"/>
      <c r="K1158" s="6"/>
      <c r="L1158" s="10">
        <v>20201118</v>
      </c>
      <c r="M1158" s="36" t="str">
        <f t="shared" si="18"/>
        <v>19640423</v>
      </c>
    </row>
    <row r="1159" s="1" customFormat="1" ht="14.25" spans="1:13">
      <c r="A1159" s="2">
        <v>5250</v>
      </c>
      <c r="B1159" s="33" t="s">
        <v>10535</v>
      </c>
      <c r="C1159" s="34" t="s">
        <v>10617</v>
      </c>
      <c r="D1159" s="34" t="s">
        <v>10618</v>
      </c>
      <c r="E1159" s="35">
        <v>2020</v>
      </c>
      <c r="F1159" s="35">
        <v>2020</v>
      </c>
      <c r="G1159" s="35" t="s">
        <v>16</v>
      </c>
      <c r="H1159" s="34">
        <v>200</v>
      </c>
      <c r="I1159" s="34">
        <v>200</v>
      </c>
      <c r="J1159" s="49"/>
      <c r="K1159" s="10"/>
      <c r="L1159" s="10">
        <v>20201118</v>
      </c>
      <c r="M1159" s="36" t="str">
        <f t="shared" si="18"/>
        <v>19640423</v>
      </c>
    </row>
    <row r="1160" s="1" customFormat="1" ht="14.25" spans="1:13">
      <c r="A1160" s="2">
        <v>5251</v>
      </c>
      <c r="B1160" s="33" t="s">
        <v>10535</v>
      </c>
      <c r="C1160" s="34" t="s">
        <v>10619</v>
      </c>
      <c r="D1160" s="34" t="s">
        <v>10620</v>
      </c>
      <c r="E1160" s="35">
        <v>2020</v>
      </c>
      <c r="F1160" s="35">
        <v>2020</v>
      </c>
      <c r="G1160" s="35" t="s">
        <v>16</v>
      </c>
      <c r="H1160" s="34">
        <v>200</v>
      </c>
      <c r="I1160" s="34">
        <v>200</v>
      </c>
      <c r="J1160" s="49"/>
      <c r="K1160" s="10"/>
      <c r="L1160" s="10">
        <v>20201118</v>
      </c>
      <c r="M1160" s="36" t="str">
        <f t="shared" si="18"/>
        <v>19640423</v>
      </c>
    </row>
    <row r="1161" s="1" customFormat="1" ht="14.25" spans="1:13">
      <c r="A1161" s="2">
        <v>5252</v>
      </c>
      <c r="B1161" s="33" t="s">
        <v>10535</v>
      </c>
      <c r="C1161" s="34" t="s">
        <v>10621</v>
      </c>
      <c r="D1161" s="34" t="s">
        <v>10622</v>
      </c>
      <c r="E1161" s="35">
        <v>2020</v>
      </c>
      <c r="F1161" s="35">
        <v>2020</v>
      </c>
      <c r="G1161" s="35" t="s">
        <v>16</v>
      </c>
      <c r="H1161" s="34">
        <v>200</v>
      </c>
      <c r="I1161" s="34">
        <v>200</v>
      </c>
      <c r="J1161" s="49"/>
      <c r="K1161" s="10"/>
      <c r="L1161" s="10">
        <v>20201118</v>
      </c>
      <c r="M1161" s="36" t="str">
        <f t="shared" si="18"/>
        <v>19640424</v>
      </c>
    </row>
    <row r="1162" s="1" customFormat="1" ht="14.25" spans="1:13">
      <c r="A1162" s="2">
        <v>5253</v>
      </c>
      <c r="B1162" s="33" t="s">
        <v>10535</v>
      </c>
      <c r="C1162" s="34" t="s">
        <v>10623</v>
      </c>
      <c r="D1162" s="34" t="s">
        <v>10624</v>
      </c>
      <c r="E1162" s="35">
        <v>2020</v>
      </c>
      <c r="F1162" s="35">
        <v>2020</v>
      </c>
      <c r="G1162" s="35" t="s">
        <v>16</v>
      </c>
      <c r="H1162" s="34">
        <v>200</v>
      </c>
      <c r="I1162" s="34">
        <v>200</v>
      </c>
      <c r="J1162" s="49"/>
      <c r="K1162" s="10"/>
      <c r="L1162" s="10">
        <v>20201118</v>
      </c>
      <c r="M1162" s="36" t="str">
        <f t="shared" si="18"/>
        <v>19640426</v>
      </c>
    </row>
    <row r="1163" s="1" customFormat="1" spans="1:13">
      <c r="A1163" s="2">
        <v>8163</v>
      </c>
      <c r="B1163" s="5" t="s">
        <v>15406</v>
      </c>
      <c r="C1163" s="6" t="s">
        <v>272</v>
      </c>
      <c r="D1163" s="6" t="s">
        <v>15518</v>
      </c>
      <c r="E1163" s="5" t="s">
        <v>15</v>
      </c>
      <c r="F1163" s="5">
        <v>2020</v>
      </c>
      <c r="G1163" s="14" t="s">
        <v>16</v>
      </c>
      <c r="H1163" s="6">
        <v>200</v>
      </c>
      <c r="I1163" s="6">
        <v>200</v>
      </c>
      <c r="J1163" s="5"/>
      <c r="K1163" s="10"/>
      <c r="L1163" s="10">
        <v>20201118</v>
      </c>
      <c r="M1163" s="36" t="str">
        <f t="shared" si="18"/>
        <v>19640427</v>
      </c>
    </row>
    <row r="1164" s="1" customFormat="1" ht="14.25" spans="1:13">
      <c r="A1164" s="2">
        <v>2835</v>
      </c>
      <c r="B1164" s="6" t="s">
        <v>6075</v>
      </c>
      <c r="C1164" s="25" t="s">
        <v>6197</v>
      </c>
      <c r="D1164" s="26" t="s">
        <v>6198</v>
      </c>
      <c r="E1164" s="5" t="s">
        <v>15</v>
      </c>
      <c r="F1164" s="5">
        <v>2020</v>
      </c>
      <c r="G1164" s="6" t="s">
        <v>16</v>
      </c>
      <c r="H1164" s="6">
        <v>200</v>
      </c>
      <c r="I1164" s="6">
        <v>200</v>
      </c>
      <c r="J1164" s="6"/>
      <c r="K1164" s="10"/>
      <c r="L1164" s="10">
        <v>20201118</v>
      </c>
      <c r="M1164" s="36" t="str">
        <f t="shared" si="18"/>
        <v>19640503</v>
      </c>
    </row>
    <row r="1165" s="1" customFormat="1" spans="1:13">
      <c r="A1165" s="2">
        <v>4189</v>
      </c>
      <c r="B1165" s="9" t="s">
        <v>8515</v>
      </c>
      <c r="C1165" s="9" t="s">
        <v>8582</v>
      </c>
      <c r="D1165" s="9" t="s">
        <v>8583</v>
      </c>
      <c r="E1165" s="5" t="s">
        <v>15</v>
      </c>
      <c r="F1165" s="5">
        <v>2020</v>
      </c>
      <c r="G1165" s="9" t="s">
        <v>2480</v>
      </c>
      <c r="H1165" s="9">
        <v>200</v>
      </c>
      <c r="I1165" s="9">
        <v>200</v>
      </c>
      <c r="J1165" s="9"/>
      <c r="K1165" s="9"/>
      <c r="L1165" s="10">
        <v>20201118</v>
      </c>
      <c r="M1165" s="36" t="str">
        <f t="shared" si="18"/>
        <v>19640503</v>
      </c>
    </row>
    <row r="1166" s="1" customFormat="1" spans="1:13">
      <c r="A1166" s="2">
        <v>1868</v>
      </c>
      <c r="B1166" s="5" t="s">
        <v>4189</v>
      </c>
      <c r="C1166" s="16" t="s">
        <v>4300</v>
      </c>
      <c r="D1166" s="16" t="s">
        <v>4301</v>
      </c>
      <c r="E1166" s="5" t="s">
        <v>15</v>
      </c>
      <c r="F1166" s="5" t="s">
        <v>15</v>
      </c>
      <c r="G1166" s="5" t="s">
        <v>3359</v>
      </c>
      <c r="H1166" s="16">
        <v>200</v>
      </c>
      <c r="I1166" s="16">
        <v>200</v>
      </c>
      <c r="J1166" s="5"/>
      <c r="K1166" s="10"/>
      <c r="L1166" s="10">
        <v>20201118</v>
      </c>
      <c r="M1166" s="36" t="str">
        <f t="shared" si="18"/>
        <v>19640505</v>
      </c>
    </row>
    <row r="1167" s="1" customFormat="1" spans="1:13">
      <c r="A1167" s="2">
        <v>8161</v>
      </c>
      <c r="B1167" s="5" t="s">
        <v>15406</v>
      </c>
      <c r="C1167" s="6" t="s">
        <v>15514</v>
      </c>
      <c r="D1167" s="6" t="s">
        <v>15515</v>
      </c>
      <c r="E1167" s="5" t="s">
        <v>15</v>
      </c>
      <c r="F1167" s="5">
        <v>2020</v>
      </c>
      <c r="G1167" s="14" t="s">
        <v>16</v>
      </c>
      <c r="H1167" s="6">
        <v>200</v>
      </c>
      <c r="I1167" s="6">
        <v>200</v>
      </c>
      <c r="J1167" s="5"/>
      <c r="K1167" s="10"/>
      <c r="L1167" s="10">
        <v>20201118</v>
      </c>
      <c r="M1167" s="36" t="str">
        <f t="shared" si="18"/>
        <v>19640505</v>
      </c>
    </row>
    <row r="1168" s="1" customFormat="1" spans="1:13">
      <c r="A1168" s="2">
        <v>4190</v>
      </c>
      <c r="B1168" s="9" t="s">
        <v>8515</v>
      </c>
      <c r="C1168" s="9" t="s">
        <v>8584</v>
      </c>
      <c r="D1168" s="9" t="s">
        <v>8585</v>
      </c>
      <c r="E1168" s="5" t="s">
        <v>15</v>
      </c>
      <c r="F1168" s="5">
        <v>2020</v>
      </c>
      <c r="G1168" s="9" t="s">
        <v>2480</v>
      </c>
      <c r="H1168" s="9">
        <v>200</v>
      </c>
      <c r="I1168" s="9">
        <v>200</v>
      </c>
      <c r="J1168" s="9" t="s">
        <v>1242</v>
      </c>
      <c r="K1168" s="9"/>
      <c r="L1168" s="10">
        <v>20201118</v>
      </c>
      <c r="M1168" s="36" t="str">
        <f t="shared" si="18"/>
        <v>19640506</v>
      </c>
    </row>
    <row r="1169" s="1" customFormat="1" spans="1:13">
      <c r="A1169" s="2">
        <v>8051</v>
      </c>
      <c r="B1169" s="5" t="s">
        <v>15086</v>
      </c>
      <c r="C1169" s="6" t="s">
        <v>15330</v>
      </c>
      <c r="D1169" s="6" t="s">
        <v>15331</v>
      </c>
      <c r="E1169" s="5" t="s">
        <v>15</v>
      </c>
      <c r="F1169" s="5">
        <v>2020</v>
      </c>
      <c r="G1169" s="5" t="s">
        <v>16</v>
      </c>
      <c r="H1169" s="5">
        <v>200</v>
      </c>
      <c r="I1169" s="5">
        <v>200</v>
      </c>
      <c r="J1169" s="5"/>
      <c r="K1169" s="5"/>
      <c r="L1169" s="10">
        <v>20201118</v>
      </c>
      <c r="M1169" s="36" t="str">
        <f t="shared" si="18"/>
        <v>19640508</v>
      </c>
    </row>
    <row r="1170" s="1" customFormat="1" ht="14.25" spans="1:13">
      <c r="A1170" s="2">
        <v>3052</v>
      </c>
      <c r="B1170" s="6" t="s">
        <v>6075</v>
      </c>
      <c r="C1170" s="25" t="s">
        <v>6627</v>
      </c>
      <c r="D1170" s="26" t="s">
        <v>6628</v>
      </c>
      <c r="E1170" s="5" t="s">
        <v>15</v>
      </c>
      <c r="F1170" s="5">
        <v>2020</v>
      </c>
      <c r="G1170" s="6" t="s">
        <v>16</v>
      </c>
      <c r="H1170" s="6">
        <v>200</v>
      </c>
      <c r="I1170" s="6">
        <v>200</v>
      </c>
      <c r="J1170" s="6"/>
      <c r="K1170" s="10"/>
      <c r="L1170" s="10">
        <v>20201118</v>
      </c>
      <c r="M1170" s="36" t="str">
        <f t="shared" si="18"/>
        <v>19640510</v>
      </c>
    </row>
    <row r="1171" s="1" customFormat="1" spans="1:13">
      <c r="A1171" s="2">
        <v>7018</v>
      </c>
      <c r="B1171" s="5" t="s">
        <v>13533</v>
      </c>
      <c r="C1171" s="32" t="s">
        <v>13763</v>
      </c>
      <c r="D1171" s="32" t="str">
        <f>"152326196405107124"</f>
        <v>152326196405107124</v>
      </c>
      <c r="E1171" s="5">
        <v>2020</v>
      </c>
      <c r="F1171" s="5">
        <v>2020</v>
      </c>
      <c r="G1171" s="9" t="s">
        <v>2480</v>
      </c>
      <c r="H1171" s="32">
        <v>200</v>
      </c>
      <c r="I1171" s="32">
        <v>200</v>
      </c>
      <c r="J1171" s="32"/>
      <c r="K1171" s="10"/>
      <c r="L1171" s="10">
        <v>20201118</v>
      </c>
      <c r="M1171" s="36" t="str">
        <f t="shared" si="18"/>
        <v>19640510</v>
      </c>
    </row>
    <row r="1172" s="1" customFormat="1" spans="1:13">
      <c r="A1172" s="2">
        <v>8049</v>
      </c>
      <c r="B1172" s="5" t="s">
        <v>15086</v>
      </c>
      <c r="C1172" s="6" t="s">
        <v>14955</v>
      </c>
      <c r="D1172" s="6" t="s">
        <v>15328</v>
      </c>
      <c r="E1172" s="5" t="s">
        <v>15</v>
      </c>
      <c r="F1172" s="5">
        <v>2020</v>
      </c>
      <c r="G1172" s="5" t="s">
        <v>16</v>
      </c>
      <c r="H1172" s="5">
        <v>500</v>
      </c>
      <c r="I1172" s="5">
        <v>500</v>
      </c>
      <c r="J1172" s="5"/>
      <c r="K1172" s="5"/>
      <c r="L1172" s="10">
        <v>20201118</v>
      </c>
      <c r="M1172" s="36" t="str">
        <f t="shared" si="18"/>
        <v>19640513</v>
      </c>
    </row>
    <row r="1173" s="1" customFormat="1" spans="1:13">
      <c r="A1173" s="2">
        <v>1481</v>
      </c>
      <c r="B1173" s="5" t="s">
        <v>3381</v>
      </c>
      <c r="C1173" s="9" t="s">
        <v>3530</v>
      </c>
      <c r="D1173" s="9" t="s">
        <v>3531</v>
      </c>
      <c r="E1173" s="5">
        <v>2020</v>
      </c>
      <c r="F1173" s="5">
        <v>2020</v>
      </c>
      <c r="G1173" s="14" t="s">
        <v>16</v>
      </c>
      <c r="H1173" s="6">
        <v>200</v>
      </c>
      <c r="I1173" s="6">
        <v>200</v>
      </c>
      <c r="J1173" s="5"/>
      <c r="K1173" s="13"/>
      <c r="L1173" s="10">
        <v>20201118</v>
      </c>
      <c r="M1173" s="36" t="str">
        <f t="shared" si="18"/>
        <v>19640514</v>
      </c>
    </row>
    <row r="1174" s="1" customFormat="1" spans="1:13">
      <c r="A1174" s="2">
        <v>1872</v>
      </c>
      <c r="B1174" s="5" t="s">
        <v>4189</v>
      </c>
      <c r="C1174" s="16" t="s">
        <v>2154</v>
      </c>
      <c r="D1174" s="16" t="s">
        <v>4308</v>
      </c>
      <c r="E1174" s="5" t="s">
        <v>15</v>
      </c>
      <c r="F1174" s="5" t="s">
        <v>15</v>
      </c>
      <c r="G1174" s="5" t="s">
        <v>3359</v>
      </c>
      <c r="H1174" s="16">
        <v>200</v>
      </c>
      <c r="I1174" s="16">
        <v>200</v>
      </c>
      <c r="J1174" s="5"/>
      <c r="K1174" s="10"/>
      <c r="L1174" s="10">
        <v>20201118</v>
      </c>
      <c r="M1174" s="36" t="str">
        <f t="shared" si="18"/>
        <v>19640515</v>
      </c>
    </row>
    <row r="1175" s="1" customFormat="1" spans="1:13">
      <c r="A1175" s="2">
        <v>979</v>
      </c>
      <c r="B1175" s="5" t="s">
        <v>2469</v>
      </c>
      <c r="C1175" s="9" t="s">
        <v>2550</v>
      </c>
      <c r="D1175" s="9" t="s">
        <v>2551</v>
      </c>
      <c r="E1175" s="5">
        <v>2020</v>
      </c>
      <c r="F1175" s="5">
        <v>2020</v>
      </c>
      <c r="G1175" s="9" t="s">
        <v>2480</v>
      </c>
      <c r="H1175" s="9">
        <v>200</v>
      </c>
      <c r="I1175" s="9">
        <v>200</v>
      </c>
      <c r="J1175" s="5"/>
      <c r="K1175" s="5"/>
      <c r="L1175" s="10">
        <v>20201118</v>
      </c>
      <c r="M1175" s="36" t="str">
        <f t="shared" si="18"/>
        <v>19640516</v>
      </c>
    </row>
    <row r="1176" s="1" customFormat="1" ht="14.25" spans="1:13">
      <c r="A1176" s="2">
        <v>3029</v>
      </c>
      <c r="B1176" s="6" t="s">
        <v>6075</v>
      </c>
      <c r="C1176" s="25" t="s">
        <v>6581</v>
      </c>
      <c r="D1176" s="26" t="s">
        <v>6582</v>
      </c>
      <c r="E1176" s="5" t="s">
        <v>15</v>
      </c>
      <c r="F1176" s="5">
        <v>2020</v>
      </c>
      <c r="G1176" s="6" t="s">
        <v>16</v>
      </c>
      <c r="H1176" s="6">
        <v>200</v>
      </c>
      <c r="I1176" s="6">
        <v>200</v>
      </c>
      <c r="J1176" s="6" t="s">
        <v>6097</v>
      </c>
      <c r="K1176" s="10"/>
      <c r="L1176" s="10">
        <v>20201118</v>
      </c>
      <c r="M1176" s="36" t="str">
        <f t="shared" si="18"/>
        <v>19640518</v>
      </c>
    </row>
    <row r="1177" s="1" customFormat="1" spans="1:13">
      <c r="A1177" s="2">
        <v>3672</v>
      </c>
      <c r="B1177" s="5" t="s">
        <v>7412</v>
      </c>
      <c r="C1177" s="5" t="s">
        <v>7262</v>
      </c>
      <c r="D1177" s="5" t="s">
        <v>7606</v>
      </c>
      <c r="E1177" s="6">
        <v>2020</v>
      </c>
      <c r="F1177" s="6">
        <v>2020</v>
      </c>
      <c r="G1177" s="5" t="s">
        <v>3359</v>
      </c>
      <c r="H1177" s="5">
        <v>200</v>
      </c>
      <c r="I1177" s="5">
        <v>200</v>
      </c>
      <c r="J1177" s="5"/>
      <c r="K1177" s="5"/>
      <c r="L1177" s="10">
        <v>20201118</v>
      </c>
      <c r="M1177" s="36" t="str">
        <f t="shared" si="18"/>
        <v>19640518</v>
      </c>
    </row>
    <row r="1178" s="1" customFormat="1" spans="1:13">
      <c r="A1178" s="2">
        <v>2183</v>
      </c>
      <c r="B1178" s="9" t="s">
        <v>4837</v>
      </c>
      <c r="C1178" s="9" t="s">
        <v>4914</v>
      </c>
      <c r="D1178" s="9" t="s">
        <v>4915</v>
      </c>
      <c r="E1178" s="6" t="s">
        <v>15</v>
      </c>
      <c r="F1178" s="6">
        <v>2020</v>
      </c>
      <c r="G1178" s="9" t="s">
        <v>2480</v>
      </c>
      <c r="H1178" s="9">
        <v>200</v>
      </c>
      <c r="I1178" s="9">
        <v>200</v>
      </c>
      <c r="J1178" s="6" t="s">
        <v>108</v>
      </c>
      <c r="K1178" s="10"/>
      <c r="L1178" s="10">
        <v>20201118</v>
      </c>
      <c r="M1178" s="36" t="str">
        <f t="shared" si="18"/>
        <v>19640519</v>
      </c>
    </row>
    <row r="1179" s="1" customFormat="1" spans="1:13">
      <c r="A1179" s="2">
        <v>4977</v>
      </c>
      <c r="B1179" s="6" t="s">
        <v>9954</v>
      </c>
      <c r="C1179" s="60" t="s">
        <v>10093</v>
      </c>
      <c r="D1179" s="60" t="s">
        <v>10094</v>
      </c>
      <c r="E1179" s="5" t="s">
        <v>15</v>
      </c>
      <c r="F1179" s="5" t="s">
        <v>15</v>
      </c>
      <c r="G1179" s="14" t="s">
        <v>16</v>
      </c>
      <c r="H1179" s="6">
        <v>1000</v>
      </c>
      <c r="I1179" s="6">
        <v>1000</v>
      </c>
      <c r="J1179" s="6"/>
      <c r="K1179" s="6"/>
      <c r="L1179" s="10">
        <v>20201118</v>
      </c>
      <c r="M1179" s="36" t="str">
        <f t="shared" si="18"/>
        <v>19640519</v>
      </c>
    </row>
    <row r="1180" s="1" customFormat="1" spans="1:13">
      <c r="A1180" s="2">
        <v>7023</v>
      </c>
      <c r="B1180" s="5" t="s">
        <v>13533</v>
      </c>
      <c r="C1180" s="32" t="s">
        <v>13768</v>
      </c>
      <c r="D1180" s="32" t="str">
        <f>"152326196405197131"</f>
        <v>152326196405197131</v>
      </c>
      <c r="E1180" s="5">
        <v>2020</v>
      </c>
      <c r="F1180" s="5">
        <v>2020</v>
      </c>
      <c r="G1180" s="9" t="s">
        <v>2480</v>
      </c>
      <c r="H1180" s="32">
        <v>200</v>
      </c>
      <c r="I1180" s="32">
        <v>200</v>
      </c>
      <c r="J1180" s="32"/>
      <c r="K1180" s="10"/>
      <c r="L1180" s="10">
        <v>20201118</v>
      </c>
      <c r="M1180" s="36" t="str">
        <f t="shared" si="18"/>
        <v>19640519</v>
      </c>
    </row>
    <row r="1181" s="1" customFormat="1" spans="1:13">
      <c r="A1181" s="2">
        <v>6550</v>
      </c>
      <c r="B1181" s="5" t="s">
        <v>13027</v>
      </c>
      <c r="C1181" s="15" t="s">
        <v>13095</v>
      </c>
      <c r="D1181" s="15" t="s">
        <v>13096</v>
      </c>
      <c r="E1181" s="5">
        <v>2020</v>
      </c>
      <c r="F1181" s="5">
        <v>2020</v>
      </c>
      <c r="G1181" s="14" t="s">
        <v>16</v>
      </c>
      <c r="H1181" s="15">
        <v>200</v>
      </c>
      <c r="I1181" s="15">
        <v>200</v>
      </c>
      <c r="J1181" s="5" t="s">
        <v>1242</v>
      </c>
      <c r="K1181" s="10"/>
      <c r="L1181" s="10">
        <v>20201118</v>
      </c>
      <c r="M1181" s="36" t="str">
        <f t="shared" si="18"/>
        <v>19640520</v>
      </c>
    </row>
    <row r="1182" s="1" customFormat="1" spans="1:13">
      <c r="A1182" s="2">
        <v>4191</v>
      </c>
      <c r="B1182" s="9" t="s">
        <v>8515</v>
      </c>
      <c r="C1182" s="9" t="s">
        <v>8586</v>
      </c>
      <c r="D1182" s="9" t="s">
        <v>8587</v>
      </c>
      <c r="E1182" s="5" t="s">
        <v>15</v>
      </c>
      <c r="F1182" s="5">
        <v>2020</v>
      </c>
      <c r="G1182" s="9" t="s">
        <v>2480</v>
      </c>
      <c r="H1182" s="9">
        <v>200</v>
      </c>
      <c r="I1182" s="9">
        <v>200</v>
      </c>
      <c r="J1182" s="9"/>
      <c r="K1182" s="9"/>
      <c r="L1182" s="10">
        <v>20201118</v>
      </c>
      <c r="M1182" s="36" t="str">
        <f t="shared" si="18"/>
        <v>19640521</v>
      </c>
    </row>
    <row r="1183" s="1" customFormat="1" spans="1:13">
      <c r="A1183" s="2">
        <v>115</v>
      </c>
      <c r="B1183" s="3" t="s">
        <v>12</v>
      </c>
      <c r="C1183" s="6" t="s">
        <v>246</v>
      </c>
      <c r="D1183" s="6" t="s">
        <v>247</v>
      </c>
      <c r="E1183" s="3" t="s">
        <v>15</v>
      </c>
      <c r="F1183" s="3" t="s">
        <v>15</v>
      </c>
      <c r="G1183" s="3" t="s">
        <v>189</v>
      </c>
      <c r="H1183" s="3">
        <v>200</v>
      </c>
      <c r="I1183" s="3">
        <v>200</v>
      </c>
      <c r="J1183" s="3"/>
      <c r="K1183" s="3"/>
      <c r="L1183" s="10">
        <v>20201118</v>
      </c>
      <c r="M1183" s="36" t="str">
        <f t="shared" si="18"/>
        <v>19640525</v>
      </c>
    </row>
    <row r="1184" s="1" customFormat="1" spans="1:13">
      <c r="A1184" s="2">
        <v>980</v>
      </c>
      <c r="B1184" s="5" t="s">
        <v>2469</v>
      </c>
      <c r="C1184" s="9" t="s">
        <v>2552</v>
      </c>
      <c r="D1184" s="9" t="s">
        <v>2553</v>
      </c>
      <c r="E1184" s="5">
        <v>2020</v>
      </c>
      <c r="F1184" s="5">
        <v>2020</v>
      </c>
      <c r="G1184" s="9" t="s">
        <v>2480</v>
      </c>
      <c r="H1184" s="9">
        <v>200</v>
      </c>
      <c r="I1184" s="9">
        <v>200</v>
      </c>
      <c r="J1184" s="5"/>
      <c r="K1184" s="5"/>
      <c r="L1184" s="10">
        <v>20201118</v>
      </c>
      <c r="M1184" s="36" t="str">
        <f t="shared" si="18"/>
        <v>19640525</v>
      </c>
    </row>
    <row r="1185" s="1" customFormat="1" spans="1:13">
      <c r="A1185" s="2">
        <v>981</v>
      </c>
      <c r="B1185" s="5" t="s">
        <v>2469</v>
      </c>
      <c r="C1185" s="9" t="s">
        <v>2554</v>
      </c>
      <c r="D1185" s="9" t="s">
        <v>2555</v>
      </c>
      <c r="E1185" s="5">
        <v>2020</v>
      </c>
      <c r="F1185" s="5">
        <v>2020</v>
      </c>
      <c r="G1185" s="9" t="s">
        <v>2480</v>
      </c>
      <c r="H1185" s="9">
        <v>200</v>
      </c>
      <c r="I1185" s="9">
        <v>200</v>
      </c>
      <c r="J1185" s="5"/>
      <c r="K1185" s="5"/>
      <c r="L1185" s="10">
        <v>20201118</v>
      </c>
      <c r="M1185" s="36" t="str">
        <f t="shared" si="18"/>
        <v>19640525</v>
      </c>
    </row>
    <row r="1186" s="1" customFormat="1" spans="1:13">
      <c r="A1186" s="2">
        <v>6137</v>
      </c>
      <c r="B1186" s="5" t="s">
        <v>12263</v>
      </c>
      <c r="C1186" s="5" t="s">
        <v>12309</v>
      </c>
      <c r="D1186" s="5" t="s">
        <v>12310</v>
      </c>
      <c r="E1186" s="5" t="s">
        <v>10250</v>
      </c>
      <c r="F1186" s="5">
        <v>2020</v>
      </c>
      <c r="G1186" s="17" t="s">
        <v>3359</v>
      </c>
      <c r="H1186" s="5">
        <v>200</v>
      </c>
      <c r="I1186" s="5">
        <v>200</v>
      </c>
      <c r="J1186" s="5"/>
      <c r="K1186" s="5"/>
      <c r="L1186" s="10">
        <v>20201118</v>
      </c>
      <c r="M1186" s="36" t="str">
        <f t="shared" si="18"/>
        <v>19640527</v>
      </c>
    </row>
    <row r="1187" s="1" customFormat="1" ht="14.25" spans="1:13">
      <c r="A1187" s="2">
        <v>2137</v>
      </c>
      <c r="B1187" s="5" t="s">
        <v>4189</v>
      </c>
      <c r="C1187" s="17" t="s">
        <v>4823</v>
      </c>
      <c r="D1187" s="318" t="s">
        <v>4824</v>
      </c>
      <c r="E1187" s="5" t="s">
        <v>310</v>
      </c>
      <c r="F1187" s="5" t="s">
        <v>15</v>
      </c>
      <c r="G1187" s="5" t="s">
        <v>289</v>
      </c>
      <c r="H1187" s="6" t="s">
        <v>311</v>
      </c>
      <c r="I1187" s="6">
        <v>2000</v>
      </c>
      <c r="J1187" s="6"/>
      <c r="K1187" s="10"/>
      <c r="L1187" s="10">
        <v>20201118</v>
      </c>
      <c r="M1187" s="36" t="str">
        <f t="shared" si="18"/>
        <v>19640529</v>
      </c>
    </row>
    <row r="1188" s="1" customFormat="1" spans="1:13">
      <c r="A1188" s="2">
        <v>3673</v>
      </c>
      <c r="B1188" s="5" t="s">
        <v>7412</v>
      </c>
      <c r="C1188" s="5" t="s">
        <v>7607</v>
      </c>
      <c r="D1188" s="5" t="s">
        <v>7608</v>
      </c>
      <c r="E1188" s="6">
        <v>2020</v>
      </c>
      <c r="F1188" s="6">
        <v>2020</v>
      </c>
      <c r="G1188" s="5" t="s">
        <v>3359</v>
      </c>
      <c r="H1188" s="5">
        <v>200</v>
      </c>
      <c r="I1188" s="5">
        <v>200</v>
      </c>
      <c r="J1188" s="5"/>
      <c r="K1188" s="5"/>
      <c r="L1188" s="10">
        <v>20201118</v>
      </c>
      <c r="M1188" s="36" t="str">
        <f t="shared" si="18"/>
        <v>19640601</v>
      </c>
    </row>
    <row r="1189" s="1" customFormat="1" spans="1:13">
      <c r="A1189" s="2">
        <v>982</v>
      </c>
      <c r="B1189" s="5" t="s">
        <v>2469</v>
      </c>
      <c r="C1189" s="9" t="s">
        <v>2556</v>
      </c>
      <c r="D1189" s="9" t="s">
        <v>2557</v>
      </c>
      <c r="E1189" s="5">
        <v>2020</v>
      </c>
      <c r="F1189" s="5">
        <v>2020</v>
      </c>
      <c r="G1189" s="9" t="s">
        <v>2480</v>
      </c>
      <c r="H1189" s="9">
        <v>200</v>
      </c>
      <c r="I1189" s="9">
        <v>200</v>
      </c>
      <c r="J1189" s="5"/>
      <c r="K1189" s="5"/>
      <c r="L1189" s="10">
        <v>20201118</v>
      </c>
      <c r="M1189" s="36" t="str">
        <f t="shared" si="18"/>
        <v>19640602</v>
      </c>
    </row>
    <row r="1190" s="1" customFormat="1" spans="1:13">
      <c r="A1190" s="2">
        <v>3674</v>
      </c>
      <c r="B1190" s="5" t="s">
        <v>7412</v>
      </c>
      <c r="C1190" s="5" t="s">
        <v>7609</v>
      </c>
      <c r="D1190" s="5" t="s">
        <v>7610</v>
      </c>
      <c r="E1190" s="6">
        <v>2020</v>
      </c>
      <c r="F1190" s="6">
        <v>2020</v>
      </c>
      <c r="G1190" s="5" t="s">
        <v>3359</v>
      </c>
      <c r="H1190" s="5">
        <v>200</v>
      </c>
      <c r="I1190" s="5">
        <v>200</v>
      </c>
      <c r="J1190" s="5"/>
      <c r="K1190" s="5"/>
      <c r="L1190" s="10">
        <v>20201118</v>
      </c>
      <c r="M1190" s="36" t="str">
        <f t="shared" si="18"/>
        <v>19640603</v>
      </c>
    </row>
    <row r="1191" s="1" customFormat="1" spans="1:13">
      <c r="A1191" s="2">
        <v>3119</v>
      </c>
      <c r="B1191" s="3" t="s">
        <v>6671</v>
      </c>
      <c r="C1191" s="9" t="s">
        <v>6760</v>
      </c>
      <c r="D1191" s="9" t="s">
        <v>6761</v>
      </c>
      <c r="E1191" s="3" t="s">
        <v>15</v>
      </c>
      <c r="F1191" s="3" t="s">
        <v>15</v>
      </c>
      <c r="G1191" s="6" t="s">
        <v>3359</v>
      </c>
      <c r="H1191" s="9">
        <v>200</v>
      </c>
      <c r="I1191" s="9">
        <v>200</v>
      </c>
      <c r="J1191" s="6"/>
      <c r="K1191" s="5"/>
      <c r="L1191" s="10">
        <v>20201118</v>
      </c>
      <c r="M1191" s="36" t="str">
        <f t="shared" si="18"/>
        <v>19640605</v>
      </c>
    </row>
    <row r="1192" s="1" customFormat="1" spans="1:13">
      <c r="A1192" s="2">
        <v>597</v>
      </c>
      <c r="B1192" s="29" t="s">
        <v>1040</v>
      </c>
      <c r="C1192" s="29" t="s">
        <v>1470</v>
      </c>
      <c r="D1192" s="29" t="s">
        <v>1471</v>
      </c>
      <c r="E1192" s="30">
        <v>2020</v>
      </c>
      <c r="F1192" s="30">
        <v>2020</v>
      </c>
      <c r="G1192" s="29" t="s">
        <v>16</v>
      </c>
      <c r="H1192" s="29">
        <v>200</v>
      </c>
      <c r="I1192" s="29">
        <v>200</v>
      </c>
      <c r="J1192" s="29"/>
      <c r="K1192" s="47"/>
      <c r="L1192" s="14" t="s">
        <v>330</v>
      </c>
      <c r="M1192" s="36" t="str">
        <f t="shared" si="18"/>
        <v>19640606</v>
      </c>
    </row>
    <row r="1193" s="1" customFormat="1" spans="1:13">
      <c r="A1193" s="2">
        <v>2562</v>
      </c>
      <c r="B1193" s="32" t="s">
        <v>5602</v>
      </c>
      <c r="C1193" s="9" t="s">
        <v>5662</v>
      </c>
      <c r="D1193" s="9" t="s">
        <v>5663</v>
      </c>
      <c r="E1193" s="32">
        <v>2020</v>
      </c>
      <c r="F1193" s="32">
        <v>2020</v>
      </c>
      <c r="G1193" s="32" t="s">
        <v>16</v>
      </c>
      <c r="H1193" s="9">
        <v>200</v>
      </c>
      <c r="I1193" s="9">
        <v>200</v>
      </c>
      <c r="J1193" s="32"/>
      <c r="K1193" s="52"/>
      <c r="L1193" s="10">
        <v>20201118</v>
      </c>
      <c r="M1193" s="36" t="str">
        <f t="shared" si="18"/>
        <v>19640606</v>
      </c>
    </row>
    <row r="1194" s="1" customFormat="1" spans="1:13">
      <c r="A1194" s="2">
        <v>1482</v>
      </c>
      <c r="B1194" s="5" t="s">
        <v>3381</v>
      </c>
      <c r="C1194" s="9" t="s">
        <v>3532</v>
      </c>
      <c r="D1194" s="9" t="s">
        <v>3533</v>
      </c>
      <c r="E1194" s="5">
        <v>2020</v>
      </c>
      <c r="F1194" s="5">
        <v>2020</v>
      </c>
      <c r="G1194" s="14" t="s">
        <v>16</v>
      </c>
      <c r="H1194" s="6">
        <v>200</v>
      </c>
      <c r="I1194" s="6">
        <v>200</v>
      </c>
      <c r="J1194" s="5"/>
      <c r="K1194" s="13"/>
      <c r="L1194" s="10">
        <v>20201118</v>
      </c>
      <c r="M1194" s="36" t="str">
        <f t="shared" si="18"/>
        <v>19640607</v>
      </c>
    </row>
    <row r="1195" s="1" customFormat="1" spans="1:13">
      <c r="A1195" s="2">
        <v>1869</v>
      </c>
      <c r="B1195" s="5" t="s">
        <v>4189</v>
      </c>
      <c r="C1195" s="16" t="s">
        <v>4302</v>
      </c>
      <c r="D1195" s="16" t="s">
        <v>4303</v>
      </c>
      <c r="E1195" s="5" t="s">
        <v>15</v>
      </c>
      <c r="F1195" s="5" t="s">
        <v>15</v>
      </c>
      <c r="G1195" s="5" t="s">
        <v>3359</v>
      </c>
      <c r="H1195" s="16">
        <v>200</v>
      </c>
      <c r="I1195" s="16">
        <v>200</v>
      </c>
      <c r="J1195" s="5"/>
      <c r="K1195" s="10"/>
      <c r="L1195" s="10">
        <v>20201118</v>
      </c>
      <c r="M1195" s="36" t="str">
        <f t="shared" si="18"/>
        <v>19640607</v>
      </c>
    </row>
    <row r="1196" s="1" customFormat="1" spans="1:13">
      <c r="A1196" s="2">
        <v>2184</v>
      </c>
      <c r="B1196" s="9" t="s">
        <v>4837</v>
      </c>
      <c r="C1196" s="9" t="s">
        <v>4916</v>
      </c>
      <c r="D1196" s="9" t="s">
        <v>4917</v>
      </c>
      <c r="E1196" s="6" t="s">
        <v>15</v>
      </c>
      <c r="F1196" s="6">
        <v>2020</v>
      </c>
      <c r="G1196" s="9" t="s">
        <v>2480</v>
      </c>
      <c r="H1196" s="9">
        <v>200</v>
      </c>
      <c r="I1196" s="9">
        <v>200</v>
      </c>
      <c r="J1196" s="6"/>
      <c r="K1196" s="10"/>
      <c r="L1196" s="10">
        <v>20201118</v>
      </c>
      <c r="M1196" s="36" t="str">
        <f t="shared" si="18"/>
        <v>19640610</v>
      </c>
    </row>
    <row r="1197" s="1" customFormat="1" spans="1:13">
      <c r="A1197" s="2">
        <v>3675</v>
      </c>
      <c r="B1197" s="5" t="s">
        <v>7412</v>
      </c>
      <c r="C1197" s="5" t="s">
        <v>1820</v>
      </c>
      <c r="D1197" s="5" t="s">
        <v>7611</v>
      </c>
      <c r="E1197" s="6">
        <v>2020</v>
      </c>
      <c r="F1197" s="6">
        <v>2020</v>
      </c>
      <c r="G1197" s="5" t="s">
        <v>3359</v>
      </c>
      <c r="H1197" s="5">
        <v>200</v>
      </c>
      <c r="I1197" s="5">
        <v>200</v>
      </c>
      <c r="J1197" s="5"/>
      <c r="K1197" s="5"/>
      <c r="L1197" s="10">
        <v>20201118</v>
      </c>
      <c r="M1197" s="36" t="str">
        <f t="shared" si="18"/>
        <v>19640612</v>
      </c>
    </row>
    <row r="1198" s="1" customFormat="1" spans="1:13">
      <c r="A1198" s="2">
        <v>5020</v>
      </c>
      <c r="B1198" s="6" t="s">
        <v>9954</v>
      </c>
      <c r="C1198" s="32" t="s">
        <v>10175</v>
      </c>
      <c r="D1198" s="304" t="s">
        <v>10176</v>
      </c>
      <c r="E1198" s="5" t="s">
        <v>15</v>
      </c>
      <c r="F1198" s="5" t="s">
        <v>15</v>
      </c>
      <c r="G1198" s="14" t="s">
        <v>16</v>
      </c>
      <c r="H1198" s="6">
        <v>200</v>
      </c>
      <c r="I1198" s="6">
        <v>200</v>
      </c>
      <c r="J1198" s="6"/>
      <c r="K1198" s="6"/>
      <c r="L1198" s="10">
        <v>20201118</v>
      </c>
      <c r="M1198" s="36" t="str">
        <f t="shared" si="18"/>
        <v>19640612</v>
      </c>
    </row>
    <row r="1199" s="1" customFormat="1" ht="14.25" spans="1:13">
      <c r="A1199" s="2">
        <v>1483</v>
      </c>
      <c r="B1199" s="5" t="s">
        <v>3381</v>
      </c>
      <c r="C1199" s="9" t="s">
        <v>3534</v>
      </c>
      <c r="D1199" s="9" t="s">
        <v>3535</v>
      </c>
      <c r="E1199" s="5">
        <v>2020</v>
      </c>
      <c r="F1199" s="5">
        <v>2020</v>
      </c>
      <c r="G1199" s="14" t="s">
        <v>16</v>
      </c>
      <c r="H1199" s="6">
        <v>200</v>
      </c>
      <c r="I1199" s="6">
        <v>200</v>
      </c>
      <c r="J1199" s="24" t="s">
        <v>1242</v>
      </c>
      <c r="K1199" s="13"/>
      <c r="L1199" s="10">
        <v>20201118</v>
      </c>
      <c r="M1199" s="36" t="str">
        <f t="shared" si="18"/>
        <v>19640613</v>
      </c>
    </row>
    <row r="1200" s="1" customFormat="1" spans="1:13">
      <c r="A1200" s="2">
        <v>6551</v>
      </c>
      <c r="B1200" s="5" t="s">
        <v>13027</v>
      </c>
      <c r="C1200" s="15" t="s">
        <v>7654</v>
      </c>
      <c r="D1200" s="15" t="s">
        <v>13097</v>
      </c>
      <c r="E1200" s="5">
        <v>2020</v>
      </c>
      <c r="F1200" s="5">
        <v>2020</v>
      </c>
      <c r="G1200" s="14" t="s">
        <v>16</v>
      </c>
      <c r="H1200" s="15">
        <v>200</v>
      </c>
      <c r="I1200" s="15">
        <v>200</v>
      </c>
      <c r="J1200" s="5"/>
      <c r="K1200" s="10"/>
      <c r="L1200" s="10">
        <v>20201118</v>
      </c>
      <c r="M1200" s="36" t="str">
        <f t="shared" si="18"/>
        <v>19640618</v>
      </c>
    </row>
    <row r="1201" s="1" customFormat="1" spans="1:13">
      <c r="A1201" s="2">
        <v>8052</v>
      </c>
      <c r="B1201" s="5" t="s">
        <v>15086</v>
      </c>
      <c r="C1201" s="6" t="s">
        <v>15332</v>
      </c>
      <c r="D1201" s="6" t="str">
        <f>"152326196406186864"</f>
        <v>152326196406186864</v>
      </c>
      <c r="E1201" s="5" t="s">
        <v>15</v>
      </c>
      <c r="F1201" s="5">
        <v>2020</v>
      </c>
      <c r="G1201" s="5" t="s">
        <v>16</v>
      </c>
      <c r="H1201" s="5">
        <v>200</v>
      </c>
      <c r="I1201" s="5">
        <v>200</v>
      </c>
      <c r="J1201" s="5"/>
      <c r="K1201" s="5"/>
      <c r="L1201" s="10">
        <v>20201118</v>
      </c>
      <c r="M1201" s="36" t="str">
        <f t="shared" si="18"/>
        <v>19640618</v>
      </c>
    </row>
    <row r="1202" s="1" customFormat="1" spans="1:13">
      <c r="A1202" s="2">
        <v>1484</v>
      </c>
      <c r="B1202" s="5" t="s">
        <v>3381</v>
      </c>
      <c r="C1202" s="9" t="s">
        <v>3536</v>
      </c>
      <c r="D1202" s="9" t="s">
        <v>3537</v>
      </c>
      <c r="E1202" s="5">
        <v>2020</v>
      </c>
      <c r="F1202" s="5">
        <v>2020</v>
      </c>
      <c r="G1202" s="14" t="s">
        <v>16</v>
      </c>
      <c r="H1202" s="6">
        <v>200</v>
      </c>
      <c r="I1202" s="6">
        <v>200</v>
      </c>
      <c r="J1202" s="5"/>
      <c r="K1202" s="13"/>
      <c r="L1202" s="10">
        <v>20201118</v>
      </c>
      <c r="M1202" s="36" t="str">
        <f t="shared" si="18"/>
        <v>19640619</v>
      </c>
    </row>
    <row r="1203" s="1" customFormat="1" spans="1:13">
      <c r="A1203" s="2">
        <v>2417</v>
      </c>
      <c r="B1203" s="5" t="s">
        <v>5328</v>
      </c>
      <c r="C1203" s="16" t="s">
        <v>5375</v>
      </c>
      <c r="D1203" s="16" t="s">
        <v>5376</v>
      </c>
      <c r="E1203" s="5" t="s">
        <v>15</v>
      </c>
      <c r="F1203" s="5" t="s">
        <v>15</v>
      </c>
      <c r="G1203" s="14" t="s">
        <v>16</v>
      </c>
      <c r="H1203" s="6">
        <v>200</v>
      </c>
      <c r="I1203" s="6">
        <v>200</v>
      </c>
      <c r="J1203" s="5"/>
      <c r="K1203" s="5"/>
      <c r="L1203" s="10">
        <v>20201118</v>
      </c>
      <c r="M1203" s="36" t="str">
        <f t="shared" si="18"/>
        <v>19640619</v>
      </c>
    </row>
    <row r="1204" s="1" customFormat="1" spans="1:13">
      <c r="A1204" s="2">
        <v>3676</v>
      </c>
      <c r="B1204" s="5" t="s">
        <v>7412</v>
      </c>
      <c r="C1204" s="5" t="s">
        <v>7612</v>
      </c>
      <c r="D1204" s="5" t="s">
        <v>7613</v>
      </c>
      <c r="E1204" s="6">
        <v>2020</v>
      </c>
      <c r="F1204" s="6">
        <v>2020</v>
      </c>
      <c r="G1204" s="5" t="s">
        <v>3359</v>
      </c>
      <c r="H1204" s="5">
        <v>200</v>
      </c>
      <c r="I1204" s="5">
        <v>200</v>
      </c>
      <c r="J1204" s="5"/>
      <c r="K1204" s="5"/>
      <c r="L1204" s="10">
        <v>20201118</v>
      </c>
      <c r="M1204" s="36" t="str">
        <f t="shared" si="18"/>
        <v>19640623</v>
      </c>
    </row>
    <row r="1205" s="1" customFormat="1" spans="1:13">
      <c r="A1205" s="2">
        <v>6552</v>
      </c>
      <c r="B1205" s="5" t="s">
        <v>13027</v>
      </c>
      <c r="C1205" s="15" t="s">
        <v>13098</v>
      </c>
      <c r="D1205" s="15" t="s">
        <v>13099</v>
      </c>
      <c r="E1205" s="5">
        <v>2020</v>
      </c>
      <c r="F1205" s="5">
        <v>2020</v>
      </c>
      <c r="G1205" s="14" t="s">
        <v>16</v>
      </c>
      <c r="H1205" s="15">
        <v>200</v>
      </c>
      <c r="I1205" s="15">
        <v>200</v>
      </c>
      <c r="J1205" s="5"/>
      <c r="K1205" s="10"/>
      <c r="L1205" s="10">
        <v>20201118</v>
      </c>
      <c r="M1205" s="36" t="str">
        <f t="shared" si="18"/>
        <v>19640624</v>
      </c>
    </row>
    <row r="1206" s="1" customFormat="1" spans="1:13">
      <c r="A1206" s="2">
        <v>7316</v>
      </c>
      <c r="B1206" s="5" t="s">
        <v>13908</v>
      </c>
      <c r="C1206" s="5" t="s">
        <v>14268</v>
      </c>
      <c r="D1206" s="5" t="s">
        <v>14269</v>
      </c>
      <c r="E1206" s="5" t="s">
        <v>15</v>
      </c>
      <c r="F1206" s="5" t="s">
        <v>15</v>
      </c>
      <c r="G1206" s="14" t="s">
        <v>16</v>
      </c>
      <c r="H1206" s="17">
        <v>200</v>
      </c>
      <c r="I1206" s="17">
        <v>200</v>
      </c>
      <c r="J1206" s="5"/>
      <c r="K1206" s="10"/>
      <c r="L1206" s="10">
        <v>20201118</v>
      </c>
      <c r="M1206" s="36" t="str">
        <f t="shared" si="18"/>
        <v>19640624</v>
      </c>
    </row>
    <row r="1207" s="1" customFormat="1" spans="1:13">
      <c r="A1207" s="2">
        <v>7020</v>
      </c>
      <c r="B1207" s="5" t="s">
        <v>13533</v>
      </c>
      <c r="C1207" s="32" t="s">
        <v>13765</v>
      </c>
      <c r="D1207" s="32" t="str">
        <f>"152326196406297118"</f>
        <v>152326196406297118</v>
      </c>
      <c r="E1207" s="5">
        <v>2020</v>
      </c>
      <c r="F1207" s="5">
        <v>2020</v>
      </c>
      <c r="G1207" s="9" t="s">
        <v>2480</v>
      </c>
      <c r="H1207" s="32">
        <v>200</v>
      </c>
      <c r="I1207" s="32">
        <v>200</v>
      </c>
      <c r="J1207" s="62"/>
      <c r="K1207" s="10"/>
      <c r="L1207" s="10">
        <v>20201118</v>
      </c>
      <c r="M1207" s="36" t="str">
        <f t="shared" si="18"/>
        <v>19640629</v>
      </c>
    </row>
    <row r="1208" s="1" customFormat="1" spans="1:13">
      <c r="A1208" s="2">
        <v>3677</v>
      </c>
      <c r="B1208" s="5" t="s">
        <v>7412</v>
      </c>
      <c r="C1208" s="5" t="s">
        <v>7614</v>
      </c>
      <c r="D1208" s="5" t="s">
        <v>7615</v>
      </c>
      <c r="E1208" s="6">
        <v>2020</v>
      </c>
      <c r="F1208" s="6">
        <v>2020</v>
      </c>
      <c r="G1208" s="5" t="s">
        <v>3359</v>
      </c>
      <c r="H1208" s="5">
        <v>200</v>
      </c>
      <c r="I1208" s="5">
        <v>200</v>
      </c>
      <c r="J1208" s="5"/>
      <c r="K1208" s="5"/>
      <c r="L1208" s="10">
        <v>20201118</v>
      </c>
      <c r="M1208" s="36" t="str">
        <f t="shared" si="18"/>
        <v>19640701</v>
      </c>
    </row>
    <row r="1209" s="1" customFormat="1" spans="1:13">
      <c r="A1209" s="2">
        <v>5086</v>
      </c>
      <c r="B1209" s="6" t="s">
        <v>10242</v>
      </c>
      <c r="C1209" s="9" t="s">
        <v>10304</v>
      </c>
      <c r="D1209" s="9" t="s">
        <v>10305</v>
      </c>
      <c r="E1209" s="5" t="s">
        <v>10250</v>
      </c>
      <c r="F1209" s="5">
        <v>2020</v>
      </c>
      <c r="G1209" s="6" t="s">
        <v>16</v>
      </c>
      <c r="H1209" s="6">
        <v>200</v>
      </c>
      <c r="I1209" s="6">
        <v>200</v>
      </c>
      <c r="J1209" s="6"/>
      <c r="K1209" s="5"/>
      <c r="L1209" s="10">
        <v>20201118</v>
      </c>
      <c r="M1209" s="36" t="str">
        <f t="shared" si="18"/>
        <v>19640704</v>
      </c>
    </row>
    <row r="1210" s="1" customFormat="1" spans="1:13">
      <c r="A1210" s="2">
        <v>1867</v>
      </c>
      <c r="B1210" s="5" t="s">
        <v>4189</v>
      </c>
      <c r="C1210" s="16" t="s">
        <v>4298</v>
      </c>
      <c r="D1210" s="16" t="s">
        <v>4299</v>
      </c>
      <c r="E1210" s="5" t="s">
        <v>15</v>
      </c>
      <c r="F1210" s="5" t="s">
        <v>15</v>
      </c>
      <c r="G1210" s="5" t="s">
        <v>3359</v>
      </c>
      <c r="H1210" s="16">
        <v>200</v>
      </c>
      <c r="I1210" s="16">
        <v>200</v>
      </c>
      <c r="J1210" s="5"/>
      <c r="K1210" s="10"/>
      <c r="L1210" s="10">
        <v>20201118</v>
      </c>
      <c r="M1210" s="36" t="str">
        <f t="shared" si="18"/>
        <v>19640705</v>
      </c>
    </row>
    <row r="1211" s="1" customFormat="1" spans="1:13">
      <c r="A1211" s="2">
        <v>3205</v>
      </c>
      <c r="B1211" s="3" t="s">
        <v>6671</v>
      </c>
      <c r="C1211" s="9" t="s">
        <v>6919</v>
      </c>
      <c r="D1211" s="9" t="s">
        <v>6920</v>
      </c>
      <c r="E1211" s="3" t="s">
        <v>15</v>
      </c>
      <c r="F1211" s="3" t="s">
        <v>15</v>
      </c>
      <c r="G1211" s="6" t="s">
        <v>3359</v>
      </c>
      <c r="H1211" s="9">
        <v>200</v>
      </c>
      <c r="I1211" s="9">
        <v>200</v>
      </c>
      <c r="J1211" s="6"/>
      <c r="K1211" s="5"/>
      <c r="L1211" s="10">
        <v>20201118</v>
      </c>
      <c r="M1211" s="36" t="str">
        <f t="shared" si="18"/>
        <v>19640706</v>
      </c>
    </row>
    <row r="1212" s="1" customFormat="1" spans="1:13">
      <c r="A1212" s="2">
        <v>3678</v>
      </c>
      <c r="B1212" s="5" t="s">
        <v>7412</v>
      </c>
      <c r="C1212" s="5" t="s">
        <v>7616</v>
      </c>
      <c r="D1212" s="5" t="s">
        <v>7617</v>
      </c>
      <c r="E1212" s="6">
        <v>2020</v>
      </c>
      <c r="F1212" s="6">
        <v>2020</v>
      </c>
      <c r="G1212" s="5" t="s">
        <v>3359</v>
      </c>
      <c r="H1212" s="5">
        <v>200</v>
      </c>
      <c r="I1212" s="5">
        <v>200</v>
      </c>
      <c r="J1212" s="5"/>
      <c r="K1212" s="5"/>
      <c r="L1212" s="10">
        <v>20201118</v>
      </c>
      <c r="M1212" s="36" t="str">
        <f t="shared" si="18"/>
        <v>19640706</v>
      </c>
    </row>
    <row r="1213" s="1" customFormat="1" spans="1:13">
      <c r="A1213" s="2">
        <v>4631</v>
      </c>
      <c r="B1213" s="6" t="s">
        <v>9015</v>
      </c>
      <c r="C1213" s="6" t="s">
        <v>9429</v>
      </c>
      <c r="D1213" s="6" t="s">
        <v>9430</v>
      </c>
      <c r="E1213" s="6">
        <v>2020</v>
      </c>
      <c r="F1213" s="6">
        <v>2020</v>
      </c>
      <c r="G1213" s="6" t="s">
        <v>16</v>
      </c>
      <c r="H1213" s="6">
        <v>200</v>
      </c>
      <c r="I1213" s="6">
        <v>200</v>
      </c>
      <c r="J1213" s="6"/>
      <c r="K1213" s="6"/>
      <c r="L1213" s="10">
        <v>20201118</v>
      </c>
      <c r="M1213" s="36" t="str">
        <f t="shared" si="18"/>
        <v>19640706</v>
      </c>
    </row>
    <row r="1214" s="1" customFormat="1" spans="1:13">
      <c r="A1214" s="2">
        <v>2563</v>
      </c>
      <c r="B1214" s="32" t="s">
        <v>5602</v>
      </c>
      <c r="C1214" s="9" t="s">
        <v>5664</v>
      </c>
      <c r="D1214" s="9" t="s">
        <v>5665</v>
      </c>
      <c r="E1214" s="32">
        <v>2020</v>
      </c>
      <c r="F1214" s="32">
        <v>2020</v>
      </c>
      <c r="G1214" s="32" t="s">
        <v>16</v>
      </c>
      <c r="H1214" s="9">
        <v>1000</v>
      </c>
      <c r="I1214" s="9">
        <v>1000</v>
      </c>
      <c r="J1214" s="32"/>
      <c r="K1214" s="52"/>
      <c r="L1214" s="10">
        <v>20201118</v>
      </c>
      <c r="M1214" s="36" t="str">
        <f t="shared" si="18"/>
        <v>19640707</v>
      </c>
    </row>
    <row r="1215" s="1" customFormat="1" spans="1:13">
      <c r="A1215" s="2">
        <v>3679</v>
      </c>
      <c r="B1215" s="5" t="s">
        <v>7412</v>
      </c>
      <c r="C1215" s="5" t="s">
        <v>7618</v>
      </c>
      <c r="D1215" s="5" t="s">
        <v>7619</v>
      </c>
      <c r="E1215" s="6">
        <v>2020</v>
      </c>
      <c r="F1215" s="6">
        <v>2020</v>
      </c>
      <c r="G1215" s="5" t="s">
        <v>3359</v>
      </c>
      <c r="H1215" s="5">
        <v>200</v>
      </c>
      <c r="I1215" s="5">
        <v>200</v>
      </c>
      <c r="J1215" s="5"/>
      <c r="K1215" s="5"/>
      <c r="L1215" s="10">
        <v>20201118</v>
      </c>
      <c r="M1215" s="36" t="str">
        <f t="shared" si="18"/>
        <v>19640707</v>
      </c>
    </row>
    <row r="1216" s="1" customFormat="1" spans="1:13">
      <c r="A1216" s="2">
        <v>3680</v>
      </c>
      <c r="B1216" s="5" t="s">
        <v>7412</v>
      </c>
      <c r="C1216" s="5" t="s">
        <v>7620</v>
      </c>
      <c r="D1216" s="5" t="s">
        <v>7621</v>
      </c>
      <c r="E1216" s="6">
        <v>2020</v>
      </c>
      <c r="F1216" s="6">
        <v>2020</v>
      </c>
      <c r="G1216" s="5" t="s">
        <v>3359</v>
      </c>
      <c r="H1216" s="5">
        <v>200</v>
      </c>
      <c r="I1216" s="5">
        <v>200</v>
      </c>
      <c r="J1216" s="5"/>
      <c r="K1216" s="5"/>
      <c r="L1216" s="10">
        <v>20201118</v>
      </c>
      <c r="M1216" s="36" t="str">
        <f t="shared" si="18"/>
        <v>19640707</v>
      </c>
    </row>
    <row r="1217" s="1" customFormat="1" spans="1:13">
      <c r="A1217" s="2">
        <v>983</v>
      </c>
      <c r="B1217" s="5" t="s">
        <v>2469</v>
      </c>
      <c r="C1217" s="9" t="s">
        <v>2558</v>
      </c>
      <c r="D1217" s="9" t="s">
        <v>2559</v>
      </c>
      <c r="E1217" s="5">
        <v>2020</v>
      </c>
      <c r="F1217" s="5">
        <v>2020</v>
      </c>
      <c r="G1217" s="9" t="s">
        <v>2480</v>
      </c>
      <c r="H1217" s="9">
        <v>200</v>
      </c>
      <c r="I1217" s="9">
        <v>200</v>
      </c>
      <c r="J1217" s="5"/>
      <c r="K1217" s="5"/>
      <c r="L1217" s="10">
        <v>20201118</v>
      </c>
      <c r="M1217" s="36" t="str">
        <f t="shared" si="18"/>
        <v>19640709</v>
      </c>
    </row>
    <row r="1218" s="1" customFormat="1" spans="1:13">
      <c r="A1218" s="2">
        <v>7378</v>
      </c>
      <c r="B1218" s="5" t="s">
        <v>13908</v>
      </c>
      <c r="C1218" s="5" t="s">
        <v>14381</v>
      </c>
      <c r="D1218" s="5" t="s">
        <v>14382</v>
      </c>
      <c r="E1218" s="5" t="s">
        <v>15</v>
      </c>
      <c r="F1218" s="5" t="s">
        <v>15</v>
      </c>
      <c r="G1218" s="14" t="s">
        <v>16</v>
      </c>
      <c r="H1218" s="17">
        <v>200</v>
      </c>
      <c r="I1218" s="17">
        <v>200</v>
      </c>
      <c r="J1218" s="5"/>
      <c r="K1218" s="10"/>
      <c r="L1218" s="10">
        <v>20201118</v>
      </c>
      <c r="M1218" s="36" t="str">
        <f t="shared" ref="M1218:M1281" si="19">MID(D1218,7,8)</f>
        <v>19640711</v>
      </c>
    </row>
    <row r="1219" s="1" customFormat="1" spans="1:13">
      <c r="A1219" s="2">
        <v>161</v>
      </c>
      <c r="B1219" s="14" t="s">
        <v>327</v>
      </c>
      <c r="C1219" s="14" t="s">
        <v>371</v>
      </c>
      <c r="D1219" s="14" t="s">
        <v>372</v>
      </c>
      <c r="E1219" s="5">
        <v>2020</v>
      </c>
      <c r="F1219" s="5">
        <v>2020</v>
      </c>
      <c r="G1219" s="14" t="s">
        <v>16</v>
      </c>
      <c r="H1219" s="14">
        <v>200</v>
      </c>
      <c r="I1219" s="14">
        <v>200</v>
      </c>
      <c r="J1219" s="14"/>
      <c r="K1219" s="10"/>
      <c r="L1219" s="2" t="s">
        <v>330</v>
      </c>
      <c r="M1219" s="36" t="str">
        <f t="shared" si="19"/>
        <v>19640715</v>
      </c>
    </row>
    <row r="1220" s="1" customFormat="1" spans="1:13">
      <c r="A1220" s="2">
        <v>3681</v>
      </c>
      <c r="B1220" s="5" t="s">
        <v>7412</v>
      </c>
      <c r="C1220" s="5" t="s">
        <v>7622</v>
      </c>
      <c r="D1220" s="5" t="s">
        <v>7623</v>
      </c>
      <c r="E1220" s="6">
        <v>2020</v>
      </c>
      <c r="F1220" s="6">
        <v>2020</v>
      </c>
      <c r="G1220" s="5" t="s">
        <v>3359</v>
      </c>
      <c r="H1220" s="5">
        <v>200</v>
      </c>
      <c r="I1220" s="5">
        <v>200</v>
      </c>
      <c r="J1220" s="5" t="s">
        <v>1242</v>
      </c>
      <c r="K1220" s="5"/>
      <c r="L1220" s="10">
        <v>20201118</v>
      </c>
      <c r="M1220" s="36" t="str">
        <f t="shared" si="19"/>
        <v>19640715</v>
      </c>
    </row>
    <row r="1221" s="1" customFormat="1" spans="1:13">
      <c r="A1221" s="2">
        <v>984</v>
      </c>
      <c r="B1221" s="5" t="s">
        <v>2469</v>
      </c>
      <c r="C1221" s="9" t="s">
        <v>2560</v>
      </c>
      <c r="D1221" s="9" t="s">
        <v>2561</v>
      </c>
      <c r="E1221" s="5">
        <v>2020</v>
      </c>
      <c r="F1221" s="5">
        <v>2020</v>
      </c>
      <c r="G1221" s="9" t="s">
        <v>2480</v>
      </c>
      <c r="H1221" s="9">
        <v>200</v>
      </c>
      <c r="I1221" s="9">
        <v>200</v>
      </c>
      <c r="J1221" s="5"/>
      <c r="K1221" s="5"/>
      <c r="L1221" s="10">
        <v>20201118</v>
      </c>
      <c r="M1221" s="36" t="str">
        <f t="shared" si="19"/>
        <v>19640723</v>
      </c>
    </row>
    <row r="1222" s="1" customFormat="1" spans="1:13">
      <c r="A1222" s="2">
        <v>5794</v>
      </c>
      <c r="B1222" s="30" t="s">
        <v>11090</v>
      </c>
      <c r="C1222" s="30" t="s">
        <v>11658</v>
      </c>
      <c r="D1222" s="30" t="s">
        <v>11659</v>
      </c>
      <c r="E1222" s="5" t="s">
        <v>15</v>
      </c>
      <c r="F1222" s="5" t="s">
        <v>10250</v>
      </c>
      <c r="G1222" s="6" t="s">
        <v>16</v>
      </c>
      <c r="H1222" s="32">
        <v>200</v>
      </c>
      <c r="I1222" s="32">
        <v>200</v>
      </c>
      <c r="J1222" s="6"/>
      <c r="K1222" s="48"/>
      <c r="L1222" s="10">
        <v>20201118</v>
      </c>
      <c r="M1222" s="36" t="str">
        <f t="shared" si="19"/>
        <v>19640723</v>
      </c>
    </row>
    <row r="1223" s="1" customFormat="1" spans="1:13">
      <c r="A1223" s="2">
        <v>3468</v>
      </c>
      <c r="B1223" s="5" t="s">
        <v>3375</v>
      </c>
      <c r="C1223" s="6" t="s">
        <v>7249</v>
      </c>
      <c r="D1223" s="6" t="str">
        <f>"152326196407246873"</f>
        <v>152326196407246873</v>
      </c>
      <c r="E1223" s="5" t="s">
        <v>15</v>
      </c>
      <c r="F1223" s="5">
        <v>2020</v>
      </c>
      <c r="G1223" s="14" t="s">
        <v>16</v>
      </c>
      <c r="H1223" s="17">
        <v>200</v>
      </c>
      <c r="I1223" s="17">
        <v>200</v>
      </c>
      <c r="J1223" s="6"/>
      <c r="K1223" s="10"/>
      <c r="L1223" s="10">
        <v>20201118</v>
      </c>
      <c r="M1223" s="36" t="str">
        <f t="shared" si="19"/>
        <v>19640724</v>
      </c>
    </row>
    <row r="1224" s="1" customFormat="1" spans="1:13">
      <c r="A1224" s="2">
        <v>590</v>
      </c>
      <c r="B1224" s="29" t="s">
        <v>1040</v>
      </c>
      <c r="C1224" s="29" t="s">
        <v>1456</v>
      </c>
      <c r="D1224" s="29" t="s">
        <v>1457</v>
      </c>
      <c r="E1224" s="30">
        <v>2020</v>
      </c>
      <c r="F1224" s="30">
        <v>2020</v>
      </c>
      <c r="G1224" s="29" t="s">
        <v>16</v>
      </c>
      <c r="H1224" s="29">
        <v>200</v>
      </c>
      <c r="I1224" s="29">
        <v>200</v>
      </c>
      <c r="J1224" s="29"/>
      <c r="K1224" s="47"/>
      <c r="L1224" s="2" t="s">
        <v>330</v>
      </c>
      <c r="M1224" s="36" t="str">
        <f t="shared" si="19"/>
        <v>19640801</v>
      </c>
    </row>
    <row r="1225" s="1" customFormat="1" spans="1:13">
      <c r="A1225" s="2">
        <v>985</v>
      </c>
      <c r="B1225" s="5" t="s">
        <v>2469</v>
      </c>
      <c r="C1225" s="9" t="s">
        <v>2562</v>
      </c>
      <c r="D1225" s="9" t="s">
        <v>2563</v>
      </c>
      <c r="E1225" s="5">
        <v>2020</v>
      </c>
      <c r="F1225" s="5">
        <v>2020</v>
      </c>
      <c r="G1225" s="9" t="s">
        <v>2480</v>
      </c>
      <c r="H1225" s="9">
        <v>200</v>
      </c>
      <c r="I1225" s="9">
        <v>200</v>
      </c>
      <c r="J1225" s="5"/>
      <c r="K1225" s="5"/>
      <c r="L1225" s="10">
        <v>20201118</v>
      </c>
      <c r="M1225" s="36" t="str">
        <f t="shared" si="19"/>
        <v>19640801</v>
      </c>
    </row>
    <row r="1226" s="1" customFormat="1" spans="1:13">
      <c r="A1226" s="2">
        <v>4192</v>
      </c>
      <c r="B1226" s="9" t="s">
        <v>8515</v>
      </c>
      <c r="C1226" s="9" t="s">
        <v>8588</v>
      </c>
      <c r="D1226" s="9" t="s">
        <v>8589</v>
      </c>
      <c r="E1226" s="5" t="s">
        <v>15</v>
      </c>
      <c r="F1226" s="5">
        <v>2020</v>
      </c>
      <c r="G1226" s="9" t="s">
        <v>2480</v>
      </c>
      <c r="H1226" s="9">
        <v>200</v>
      </c>
      <c r="I1226" s="9">
        <v>200</v>
      </c>
      <c r="J1226" s="9"/>
      <c r="K1226" s="9"/>
      <c r="L1226" s="10">
        <v>20201118</v>
      </c>
      <c r="M1226" s="36" t="str">
        <f t="shared" si="19"/>
        <v>19640802</v>
      </c>
    </row>
    <row r="1227" s="1" customFormat="1" spans="1:13">
      <c r="A1227" s="2">
        <v>364</v>
      </c>
      <c r="B1227" s="14" t="s">
        <v>327</v>
      </c>
      <c r="C1227" s="17" t="s">
        <v>979</v>
      </c>
      <c r="D1227" s="306" t="s">
        <v>980</v>
      </c>
      <c r="E1227" s="5">
        <v>2020</v>
      </c>
      <c r="F1227" s="5">
        <v>2020</v>
      </c>
      <c r="G1227" s="14" t="s">
        <v>16</v>
      </c>
      <c r="H1227" s="17">
        <v>200</v>
      </c>
      <c r="I1227" s="17">
        <v>200</v>
      </c>
      <c r="J1227" s="17"/>
      <c r="K1227" s="10"/>
      <c r="L1227" s="14" t="s">
        <v>330</v>
      </c>
      <c r="M1227" s="36" t="str">
        <f t="shared" si="19"/>
        <v>19640803</v>
      </c>
    </row>
    <row r="1228" s="1" customFormat="1" spans="1:13">
      <c r="A1228" s="2">
        <v>986</v>
      </c>
      <c r="B1228" s="5" t="s">
        <v>2469</v>
      </c>
      <c r="C1228" s="9" t="s">
        <v>2564</v>
      </c>
      <c r="D1228" s="9" t="s">
        <v>2565</v>
      </c>
      <c r="E1228" s="5">
        <v>2020</v>
      </c>
      <c r="F1228" s="5">
        <v>2020</v>
      </c>
      <c r="G1228" s="9" t="s">
        <v>2480</v>
      </c>
      <c r="H1228" s="9">
        <v>200</v>
      </c>
      <c r="I1228" s="9">
        <v>200</v>
      </c>
      <c r="J1228" s="5"/>
      <c r="K1228" s="5"/>
      <c r="L1228" s="10">
        <v>20201118</v>
      </c>
      <c r="M1228" s="36" t="str">
        <f t="shared" si="19"/>
        <v>19640803</v>
      </c>
    </row>
    <row r="1229" s="1" customFormat="1" spans="1:13">
      <c r="A1229" s="2">
        <v>7578</v>
      </c>
      <c r="B1229" s="5" t="s">
        <v>14402</v>
      </c>
      <c r="C1229" s="5" t="s">
        <v>14757</v>
      </c>
      <c r="D1229" s="5" t="s">
        <v>14758</v>
      </c>
      <c r="E1229" s="5">
        <v>2020</v>
      </c>
      <c r="F1229" s="5">
        <v>2020</v>
      </c>
      <c r="G1229" s="17" t="s">
        <v>16</v>
      </c>
      <c r="H1229" s="5">
        <v>200</v>
      </c>
      <c r="I1229" s="5">
        <v>200</v>
      </c>
      <c r="J1229" s="5"/>
      <c r="K1229" s="10"/>
      <c r="L1229" s="10">
        <v>20201118</v>
      </c>
      <c r="M1229" s="36" t="str">
        <f t="shared" si="19"/>
        <v>19640805</v>
      </c>
    </row>
    <row r="1230" s="1" customFormat="1" spans="1:13">
      <c r="A1230" s="2">
        <v>3474</v>
      </c>
      <c r="B1230" s="5" t="s">
        <v>3375</v>
      </c>
      <c r="C1230" s="6" t="s">
        <v>7257</v>
      </c>
      <c r="D1230" s="6" t="str">
        <f>"152326196408066874"</f>
        <v>152326196408066874</v>
      </c>
      <c r="E1230" s="5" t="s">
        <v>15</v>
      </c>
      <c r="F1230" s="5">
        <v>2020</v>
      </c>
      <c r="G1230" s="14" t="s">
        <v>16</v>
      </c>
      <c r="H1230" s="17">
        <v>200</v>
      </c>
      <c r="I1230" s="17">
        <v>200</v>
      </c>
      <c r="J1230" s="6"/>
      <c r="K1230" s="10"/>
      <c r="L1230" s="10">
        <v>20201118</v>
      </c>
      <c r="M1230" s="36" t="str">
        <f t="shared" si="19"/>
        <v>19640806</v>
      </c>
    </row>
    <row r="1231" s="1" customFormat="1" spans="1:13">
      <c r="A1231" s="2">
        <v>7021</v>
      </c>
      <c r="B1231" s="5" t="s">
        <v>13533</v>
      </c>
      <c r="C1231" s="32" t="s">
        <v>13766</v>
      </c>
      <c r="D1231" s="32" t="str">
        <f>"152326196408067113"</f>
        <v>152326196408067113</v>
      </c>
      <c r="E1231" s="5">
        <v>2020</v>
      </c>
      <c r="F1231" s="5">
        <v>2020</v>
      </c>
      <c r="G1231" s="9" t="s">
        <v>2480</v>
      </c>
      <c r="H1231" s="32">
        <v>200</v>
      </c>
      <c r="I1231" s="32">
        <v>200</v>
      </c>
      <c r="J1231" s="62"/>
      <c r="K1231" s="10"/>
      <c r="L1231" s="10">
        <v>20201118</v>
      </c>
      <c r="M1231" s="36" t="str">
        <f t="shared" si="19"/>
        <v>19640806</v>
      </c>
    </row>
    <row r="1232" s="1" customFormat="1" spans="1:13">
      <c r="A1232" s="2">
        <v>3481</v>
      </c>
      <c r="B1232" s="5" t="s">
        <v>3375</v>
      </c>
      <c r="C1232" s="6" t="s">
        <v>7265</v>
      </c>
      <c r="D1232" s="6" t="str">
        <f>"152326196408086875"</f>
        <v>152326196408086875</v>
      </c>
      <c r="E1232" s="5" t="s">
        <v>15</v>
      </c>
      <c r="F1232" s="5">
        <v>2020</v>
      </c>
      <c r="G1232" s="14" t="s">
        <v>16</v>
      </c>
      <c r="H1232" s="17">
        <v>200</v>
      </c>
      <c r="I1232" s="17">
        <v>200</v>
      </c>
      <c r="J1232" s="6"/>
      <c r="K1232" s="10"/>
      <c r="L1232" s="10">
        <v>20201118</v>
      </c>
      <c r="M1232" s="36" t="str">
        <f t="shared" si="19"/>
        <v>19640808</v>
      </c>
    </row>
    <row r="1233" s="1" customFormat="1" spans="1:13">
      <c r="A1233" s="2">
        <v>6332</v>
      </c>
      <c r="B1233" s="5" t="s">
        <v>12263</v>
      </c>
      <c r="C1233" s="5" t="s">
        <v>12680</v>
      </c>
      <c r="D1233" s="5" t="s">
        <v>12681</v>
      </c>
      <c r="E1233" s="5" t="s">
        <v>10250</v>
      </c>
      <c r="F1233" s="5">
        <v>2020</v>
      </c>
      <c r="G1233" s="17" t="s">
        <v>3359</v>
      </c>
      <c r="H1233" s="5" t="s">
        <v>311</v>
      </c>
      <c r="I1233" s="5">
        <v>200</v>
      </c>
      <c r="J1233" s="5"/>
      <c r="K1233" s="5"/>
      <c r="L1233" s="10">
        <v>20201118</v>
      </c>
      <c r="M1233" s="36" t="str">
        <f t="shared" si="19"/>
        <v>19640809</v>
      </c>
    </row>
    <row r="1234" s="1" customFormat="1" spans="1:13">
      <c r="A1234" s="2">
        <v>7024</v>
      </c>
      <c r="B1234" s="5" t="s">
        <v>13533</v>
      </c>
      <c r="C1234" s="32" t="s">
        <v>13398</v>
      </c>
      <c r="D1234" s="32" t="s">
        <v>13769</v>
      </c>
      <c r="E1234" s="5">
        <v>2020</v>
      </c>
      <c r="F1234" s="5">
        <v>2020</v>
      </c>
      <c r="G1234" s="9" t="s">
        <v>2480</v>
      </c>
      <c r="H1234" s="32">
        <v>200</v>
      </c>
      <c r="I1234" s="32">
        <v>200</v>
      </c>
      <c r="J1234" s="32"/>
      <c r="K1234" s="10"/>
      <c r="L1234" s="10">
        <v>20201118</v>
      </c>
      <c r="M1234" s="36" t="str">
        <f t="shared" si="19"/>
        <v>19640809</v>
      </c>
    </row>
    <row r="1235" s="1" customFormat="1" spans="1:13">
      <c r="A1235" s="2">
        <v>2564</v>
      </c>
      <c r="B1235" s="32" t="s">
        <v>5602</v>
      </c>
      <c r="C1235" s="9" t="s">
        <v>5666</v>
      </c>
      <c r="D1235" s="9" t="s">
        <v>5667</v>
      </c>
      <c r="E1235" s="32">
        <v>2020</v>
      </c>
      <c r="F1235" s="32">
        <v>2020</v>
      </c>
      <c r="G1235" s="32" t="s">
        <v>16</v>
      </c>
      <c r="H1235" s="9">
        <v>200</v>
      </c>
      <c r="I1235" s="9">
        <v>200</v>
      </c>
      <c r="J1235" s="32"/>
      <c r="K1235" s="52"/>
      <c r="L1235" s="10">
        <v>20201118</v>
      </c>
      <c r="M1235" s="36" t="str">
        <f t="shared" si="19"/>
        <v>19640810</v>
      </c>
    </row>
    <row r="1236" s="1" customFormat="1" spans="1:13">
      <c r="A1236" s="2">
        <v>4615</v>
      </c>
      <c r="B1236" s="6" t="s">
        <v>9015</v>
      </c>
      <c r="C1236" s="6" t="s">
        <v>9400</v>
      </c>
      <c r="D1236" s="6" t="s">
        <v>9401</v>
      </c>
      <c r="E1236" s="6">
        <v>2020</v>
      </c>
      <c r="F1236" s="6">
        <v>2020</v>
      </c>
      <c r="G1236" s="6" t="s">
        <v>16</v>
      </c>
      <c r="H1236" s="6">
        <v>200</v>
      </c>
      <c r="I1236" s="6">
        <v>200</v>
      </c>
      <c r="J1236" s="6"/>
      <c r="K1236" s="6"/>
      <c r="L1236" s="10">
        <v>20201118</v>
      </c>
      <c r="M1236" s="36" t="str">
        <f t="shared" si="19"/>
        <v>19640810</v>
      </c>
    </row>
    <row r="1237" s="1" customFormat="1" spans="1:13">
      <c r="A1237" s="2">
        <v>3682</v>
      </c>
      <c r="B1237" s="5" t="s">
        <v>7412</v>
      </c>
      <c r="C1237" s="5" t="s">
        <v>7624</v>
      </c>
      <c r="D1237" s="5" t="s">
        <v>7625</v>
      </c>
      <c r="E1237" s="6">
        <v>2020</v>
      </c>
      <c r="F1237" s="6">
        <v>2020</v>
      </c>
      <c r="G1237" s="5" t="s">
        <v>3359</v>
      </c>
      <c r="H1237" s="5">
        <v>200</v>
      </c>
      <c r="I1237" s="5">
        <v>200</v>
      </c>
      <c r="J1237" s="5" t="s">
        <v>1242</v>
      </c>
      <c r="K1237" s="5"/>
      <c r="L1237" s="10">
        <v>20201118</v>
      </c>
      <c r="M1237" s="36" t="str">
        <f t="shared" si="19"/>
        <v>19640811</v>
      </c>
    </row>
    <row r="1238" s="1" customFormat="1" spans="1:13">
      <c r="A1238" s="2">
        <v>8164</v>
      </c>
      <c r="B1238" s="5" t="s">
        <v>15406</v>
      </c>
      <c r="C1238" s="6" t="s">
        <v>15519</v>
      </c>
      <c r="D1238" s="6" t="s">
        <v>15520</v>
      </c>
      <c r="E1238" s="5" t="s">
        <v>15</v>
      </c>
      <c r="F1238" s="5">
        <v>2020</v>
      </c>
      <c r="G1238" s="14" t="s">
        <v>16</v>
      </c>
      <c r="H1238" s="6">
        <v>200</v>
      </c>
      <c r="I1238" s="6">
        <v>200</v>
      </c>
      <c r="J1238" s="5"/>
      <c r="K1238" s="10"/>
      <c r="L1238" s="10">
        <v>20201118</v>
      </c>
      <c r="M1238" s="36" t="str">
        <f t="shared" si="19"/>
        <v>19640811</v>
      </c>
    </row>
    <row r="1239" s="1" customFormat="1" spans="1:13">
      <c r="A1239" s="2">
        <v>3475</v>
      </c>
      <c r="B1239" s="5" t="s">
        <v>3375</v>
      </c>
      <c r="C1239" s="6" t="s">
        <v>7258</v>
      </c>
      <c r="D1239" s="6" t="str">
        <f>"152326196408136895"</f>
        <v>152326196408136895</v>
      </c>
      <c r="E1239" s="5" t="s">
        <v>15</v>
      </c>
      <c r="F1239" s="5">
        <v>2020</v>
      </c>
      <c r="G1239" s="14" t="s">
        <v>16</v>
      </c>
      <c r="H1239" s="17">
        <v>200</v>
      </c>
      <c r="I1239" s="17">
        <v>200</v>
      </c>
      <c r="J1239" s="6"/>
      <c r="K1239" s="10"/>
      <c r="L1239" s="10">
        <v>20201118</v>
      </c>
      <c r="M1239" s="36" t="str">
        <f t="shared" si="19"/>
        <v>19640813</v>
      </c>
    </row>
    <row r="1240" s="1" customFormat="1" spans="1:13">
      <c r="A1240" s="2">
        <v>178</v>
      </c>
      <c r="B1240" s="14" t="s">
        <v>327</v>
      </c>
      <c r="C1240" s="14" t="s">
        <v>422</v>
      </c>
      <c r="D1240" s="14" t="s">
        <v>423</v>
      </c>
      <c r="E1240" s="5">
        <v>2020</v>
      </c>
      <c r="F1240" s="5">
        <v>2020</v>
      </c>
      <c r="G1240" s="14" t="s">
        <v>16</v>
      </c>
      <c r="H1240" s="14">
        <v>200</v>
      </c>
      <c r="I1240" s="14">
        <v>200</v>
      </c>
      <c r="J1240" s="14"/>
      <c r="K1240" s="10"/>
      <c r="L1240" s="14" t="s">
        <v>330</v>
      </c>
      <c r="M1240" s="36" t="str">
        <f t="shared" si="19"/>
        <v>19640815</v>
      </c>
    </row>
    <row r="1241" s="1" customFormat="1" spans="1:13">
      <c r="A1241" s="2">
        <v>4453</v>
      </c>
      <c r="B1241" s="6" t="s">
        <v>9015</v>
      </c>
      <c r="C1241" s="6" t="s">
        <v>9093</v>
      </c>
      <c r="D1241" s="6" t="s">
        <v>9094</v>
      </c>
      <c r="E1241" s="6">
        <v>2020</v>
      </c>
      <c r="F1241" s="6">
        <v>2020</v>
      </c>
      <c r="G1241" s="6" t="s">
        <v>16</v>
      </c>
      <c r="H1241" s="6">
        <v>200</v>
      </c>
      <c r="I1241" s="6">
        <v>200</v>
      </c>
      <c r="J1241" s="6"/>
      <c r="K1241" s="6"/>
      <c r="L1241" s="10">
        <v>20201118</v>
      </c>
      <c r="M1241" s="36" t="str">
        <f t="shared" si="19"/>
        <v>19640815</v>
      </c>
    </row>
    <row r="1242" s="1" customFormat="1" spans="1:13">
      <c r="A1242" s="2">
        <v>3683</v>
      </c>
      <c r="B1242" s="5" t="s">
        <v>7412</v>
      </c>
      <c r="C1242" s="5" t="s">
        <v>2266</v>
      </c>
      <c r="D1242" s="5" t="s">
        <v>7626</v>
      </c>
      <c r="E1242" s="6">
        <v>2020</v>
      </c>
      <c r="F1242" s="6">
        <v>2020</v>
      </c>
      <c r="G1242" s="5" t="s">
        <v>3359</v>
      </c>
      <c r="H1242" s="5">
        <v>200</v>
      </c>
      <c r="I1242" s="5">
        <v>200</v>
      </c>
      <c r="J1242" s="5"/>
      <c r="K1242" s="5"/>
      <c r="L1242" s="10">
        <v>20201118</v>
      </c>
      <c r="M1242" s="36" t="str">
        <f t="shared" si="19"/>
        <v>19640816</v>
      </c>
    </row>
    <row r="1243" s="1" customFormat="1" spans="1:13">
      <c r="A1243" s="2">
        <v>4193</v>
      </c>
      <c r="B1243" s="9" t="s">
        <v>8515</v>
      </c>
      <c r="C1243" s="9" t="s">
        <v>8590</v>
      </c>
      <c r="D1243" s="9" t="s">
        <v>8591</v>
      </c>
      <c r="E1243" s="5" t="s">
        <v>15</v>
      </c>
      <c r="F1243" s="5">
        <v>2020</v>
      </c>
      <c r="G1243" s="9" t="s">
        <v>2480</v>
      </c>
      <c r="H1243" s="9">
        <v>200</v>
      </c>
      <c r="I1243" s="9">
        <v>200</v>
      </c>
      <c r="J1243" s="9"/>
      <c r="K1243" s="9"/>
      <c r="L1243" s="10">
        <v>20201118</v>
      </c>
      <c r="M1243" s="36" t="str">
        <f t="shared" si="19"/>
        <v>19640821</v>
      </c>
    </row>
    <row r="1244" s="1" customFormat="1" spans="1:13">
      <c r="A1244" s="2">
        <v>7015</v>
      </c>
      <c r="B1244" s="5" t="s">
        <v>13533</v>
      </c>
      <c r="C1244" s="32" t="s">
        <v>13761</v>
      </c>
      <c r="D1244" s="32" t="str">
        <f>"152326196408227113"</f>
        <v>152326196408227113</v>
      </c>
      <c r="E1244" s="5">
        <v>2020</v>
      </c>
      <c r="F1244" s="5">
        <v>2020</v>
      </c>
      <c r="G1244" s="9" t="s">
        <v>2480</v>
      </c>
      <c r="H1244" s="32">
        <v>200</v>
      </c>
      <c r="I1244" s="32">
        <v>200</v>
      </c>
      <c r="J1244" s="32"/>
      <c r="K1244" s="10"/>
      <c r="L1244" s="10">
        <v>20201118</v>
      </c>
      <c r="M1244" s="36" t="str">
        <f t="shared" si="19"/>
        <v>19640822</v>
      </c>
    </row>
    <row r="1245" s="1" customFormat="1" spans="1:13">
      <c r="A1245" s="2">
        <v>3469</v>
      </c>
      <c r="B1245" s="5" t="s">
        <v>3375</v>
      </c>
      <c r="C1245" s="6" t="s">
        <v>7250</v>
      </c>
      <c r="D1245" s="6" t="str">
        <f>"152326196408236861"</f>
        <v>152326196408236861</v>
      </c>
      <c r="E1245" s="5" t="s">
        <v>15</v>
      </c>
      <c r="F1245" s="5">
        <v>2020</v>
      </c>
      <c r="G1245" s="14" t="s">
        <v>16</v>
      </c>
      <c r="H1245" s="17">
        <v>200</v>
      </c>
      <c r="I1245" s="17">
        <v>200</v>
      </c>
      <c r="J1245" s="6"/>
      <c r="K1245" s="10"/>
      <c r="L1245" s="10">
        <v>20201118</v>
      </c>
      <c r="M1245" s="36" t="str">
        <f t="shared" si="19"/>
        <v>19640823</v>
      </c>
    </row>
    <row r="1246" s="1" customFormat="1" spans="1:13">
      <c r="A1246" s="2">
        <v>3684</v>
      </c>
      <c r="B1246" s="5" t="s">
        <v>7412</v>
      </c>
      <c r="C1246" s="5" t="s">
        <v>7627</v>
      </c>
      <c r="D1246" s="5" t="s">
        <v>7628</v>
      </c>
      <c r="E1246" s="6">
        <v>2020</v>
      </c>
      <c r="F1246" s="6">
        <v>2020</v>
      </c>
      <c r="G1246" s="5" t="s">
        <v>3359</v>
      </c>
      <c r="H1246" s="5">
        <v>200</v>
      </c>
      <c r="I1246" s="5">
        <v>200</v>
      </c>
      <c r="J1246" s="5"/>
      <c r="K1246" s="5"/>
      <c r="L1246" s="10">
        <v>20201118</v>
      </c>
      <c r="M1246" s="36" t="str">
        <f t="shared" si="19"/>
        <v>19640824</v>
      </c>
    </row>
    <row r="1247" s="1" customFormat="1" spans="1:13">
      <c r="A1247" s="2">
        <v>2185</v>
      </c>
      <c r="B1247" s="9" t="s">
        <v>4837</v>
      </c>
      <c r="C1247" s="9" t="s">
        <v>4918</v>
      </c>
      <c r="D1247" s="9" t="s">
        <v>4919</v>
      </c>
      <c r="E1247" s="6" t="s">
        <v>15</v>
      </c>
      <c r="F1247" s="6">
        <v>2020</v>
      </c>
      <c r="G1247" s="9" t="s">
        <v>2480</v>
      </c>
      <c r="H1247" s="9">
        <v>200</v>
      </c>
      <c r="I1247" s="9">
        <v>200</v>
      </c>
      <c r="J1247" s="6"/>
      <c r="K1247" s="10"/>
      <c r="L1247" s="10">
        <v>20201118</v>
      </c>
      <c r="M1247" s="36" t="str">
        <f t="shared" si="19"/>
        <v>19640825</v>
      </c>
    </row>
    <row r="1248" s="1" customFormat="1" spans="1:13">
      <c r="A1248" s="2">
        <v>4194</v>
      </c>
      <c r="B1248" s="9" t="s">
        <v>8515</v>
      </c>
      <c r="C1248" s="9" t="s">
        <v>8592</v>
      </c>
      <c r="D1248" s="9" t="s">
        <v>8593</v>
      </c>
      <c r="E1248" s="5" t="s">
        <v>15</v>
      </c>
      <c r="F1248" s="5">
        <v>2020</v>
      </c>
      <c r="G1248" s="9" t="s">
        <v>2480</v>
      </c>
      <c r="H1248" s="9">
        <v>200</v>
      </c>
      <c r="I1248" s="9">
        <v>200</v>
      </c>
      <c r="J1248" s="9"/>
      <c r="K1248" s="9"/>
      <c r="L1248" s="10">
        <v>20201118</v>
      </c>
      <c r="M1248" s="36" t="str">
        <f t="shared" si="19"/>
        <v>19640829</v>
      </c>
    </row>
    <row r="1249" s="1" customFormat="1" spans="1:13">
      <c r="A1249" s="2">
        <v>987</v>
      </c>
      <c r="B1249" s="5" t="s">
        <v>2469</v>
      </c>
      <c r="C1249" s="9" t="s">
        <v>2566</v>
      </c>
      <c r="D1249" s="9" t="s">
        <v>2567</v>
      </c>
      <c r="E1249" s="5">
        <v>2020</v>
      </c>
      <c r="F1249" s="5">
        <v>2020</v>
      </c>
      <c r="G1249" s="9" t="s">
        <v>2480</v>
      </c>
      <c r="H1249" s="9">
        <v>200</v>
      </c>
      <c r="I1249" s="9">
        <v>200</v>
      </c>
      <c r="J1249" s="5"/>
      <c r="K1249" s="5"/>
      <c r="L1249" s="10">
        <v>20201118</v>
      </c>
      <c r="M1249" s="36" t="str">
        <f t="shared" si="19"/>
        <v>19640830</v>
      </c>
    </row>
    <row r="1250" s="1" customFormat="1" spans="1:13">
      <c r="A1250" s="2">
        <v>1870</v>
      </c>
      <c r="B1250" s="5" t="s">
        <v>4189</v>
      </c>
      <c r="C1250" s="16" t="s">
        <v>4304</v>
      </c>
      <c r="D1250" s="16" t="s">
        <v>4305</v>
      </c>
      <c r="E1250" s="5" t="s">
        <v>15</v>
      </c>
      <c r="F1250" s="5" t="s">
        <v>15</v>
      </c>
      <c r="G1250" s="5" t="s">
        <v>3359</v>
      </c>
      <c r="H1250" s="16">
        <v>200</v>
      </c>
      <c r="I1250" s="16">
        <v>200</v>
      </c>
      <c r="J1250" s="5"/>
      <c r="K1250" s="10"/>
      <c r="L1250" s="10">
        <v>20201118</v>
      </c>
      <c r="M1250" s="36" t="str">
        <f t="shared" si="19"/>
        <v>19640830</v>
      </c>
    </row>
    <row r="1251" s="1" customFormat="1" spans="1:13">
      <c r="A1251" s="2">
        <v>1485</v>
      </c>
      <c r="B1251" s="5" t="s">
        <v>3381</v>
      </c>
      <c r="C1251" s="9" t="s">
        <v>3538</v>
      </c>
      <c r="D1251" s="9" t="s">
        <v>3539</v>
      </c>
      <c r="E1251" s="5">
        <v>2020</v>
      </c>
      <c r="F1251" s="5">
        <v>2020</v>
      </c>
      <c r="G1251" s="14" t="s">
        <v>16</v>
      </c>
      <c r="H1251" s="6">
        <v>200</v>
      </c>
      <c r="I1251" s="6">
        <v>200</v>
      </c>
      <c r="J1251" s="5"/>
      <c r="K1251" s="13"/>
      <c r="L1251" s="10">
        <v>20201118</v>
      </c>
      <c r="M1251" s="36" t="str">
        <f t="shared" si="19"/>
        <v>19640902</v>
      </c>
    </row>
    <row r="1252" s="1" customFormat="1" spans="1:13">
      <c r="A1252" s="2">
        <v>2186</v>
      </c>
      <c r="B1252" s="9" t="s">
        <v>4837</v>
      </c>
      <c r="C1252" s="9" t="s">
        <v>4920</v>
      </c>
      <c r="D1252" s="9" t="s">
        <v>4921</v>
      </c>
      <c r="E1252" s="6" t="s">
        <v>15</v>
      </c>
      <c r="F1252" s="6">
        <v>2020</v>
      </c>
      <c r="G1252" s="9" t="s">
        <v>2480</v>
      </c>
      <c r="H1252" s="9">
        <v>200</v>
      </c>
      <c r="I1252" s="9">
        <v>200</v>
      </c>
      <c r="J1252" s="6"/>
      <c r="K1252" s="10"/>
      <c r="L1252" s="10">
        <v>20201118</v>
      </c>
      <c r="M1252" s="36" t="str">
        <f t="shared" si="19"/>
        <v>19640902</v>
      </c>
    </row>
    <row r="1253" s="1" customFormat="1" spans="1:13">
      <c r="A1253" s="2">
        <v>4195</v>
      </c>
      <c r="B1253" s="9" t="s">
        <v>8515</v>
      </c>
      <c r="C1253" s="9" t="s">
        <v>8594</v>
      </c>
      <c r="D1253" s="9" t="s">
        <v>8595</v>
      </c>
      <c r="E1253" s="5" t="s">
        <v>15</v>
      </c>
      <c r="F1253" s="5">
        <v>2020</v>
      </c>
      <c r="G1253" s="9" t="s">
        <v>2480</v>
      </c>
      <c r="H1253" s="9">
        <v>200</v>
      </c>
      <c r="I1253" s="9">
        <v>200</v>
      </c>
      <c r="J1253" s="9"/>
      <c r="K1253" s="9"/>
      <c r="L1253" s="10">
        <v>20201118</v>
      </c>
      <c r="M1253" s="36" t="str">
        <f t="shared" si="19"/>
        <v>19640902</v>
      </c>
    </row>
    <row r="1254" s="1" customFormat="1" spans="1:13">
      <c r="A1254" s="2">
        <v>3164</v>
      </c>
      <c r="B1254" s="3" t="s">
        <v>6671</v>
      </c>
      <c r="C1254" s="9" t="s">
        <v>6843</v>
      </c>
      <c r="D1254" s="9" t="s">
        <v>6844</v>
      </c>
      <c r="E1254" s="3" t="s">
        <v>15</v>
      </c>
      <c r="F1254" s="3" t="s">
        <v>15</v>
      </c>
      <c r="G1254" s="6" t="s">
        <v>3359</v>
      </c>
      <c r="H1254" s="9">
        <v>200</v>
      </c>
      <c r="I1254" s="9">
        <v>200</v>
      </c>
      <c r="J1254" s="6"/>
      <c r="K1254" s="5"/>
      <c r="L1254" s="10">
        <v>20201118</v>
      </c>
      <c r="M1254" s="36" t="str">
        <f t="shared" si="19"/>
        <v>19640905</v>
      </c>
    </row>
    <row r="1255" s="1" customFormat="1" ht="14.25" spans="1:13">
      <c r="A1255" s="2">
        <v>6088</v>
      </c>
      <c r="B1255" s="30" t="s">
        <v>11090</v>
      </c>
      <c r="C1255" s="6" t="s">
        <v>12214</v>
      </c>
      <c r="D1255" s="12" t="s">
        <v>12215</v>
      </c>
      <c r="E1255" s="5" t="s">
        <v>15</v>
      </c>
      <c r="F1255" s="5" t="s">
        <v>10250</v>
      </c>
      <c r="G1255" s="6" t="s">
        <v>16</v>
      </c>
      <c r="H1255" s="32">
        <v>200</v>
      </c>
      <c r="I1255" s="32">
        <v>200</v>
      </c>
      <c r="J1255" s="5"/>
      <c r="K1255" s="48"/>
      <c r="L1255" s="10">
        <v>20201118</v>
      </c>
      <c r="M1255" s="36" t="str">
        <f t="shared" si="19"/>
        <v>19640905</v>
      </c>
    </row>
    <row r="1256" s="1" customFormat="1" spans="1:13">
      <c r="A1256" s="2">
        <v>4481</v>
      </c>
      <c r="B1256" s="6" t="s">
        <v>9015</v>
      </c>
      <c r="C1256" s="6" t="s">
        <v>9145</v>
      </c>
      <c r="D1256" s="6" t="s">
        <v>9146</v>
      </c>
      <c r="E1256" s="6">
        <v>2020</v>
      </c>
      <c r="F1256" s="6">
        <v>2020</v>
      </c>
      <c r="G1256" s="6" t="s">
        <v>16</v>
      </c>
      <c r="H1256" s="6">
        <v>200</v>
      </c>
      <c r="I1256" s="6">
        <v>200</v>
      </c>
      <c r="J1256" s="6"/>
      <c r="K1256" s="6"/>
      <c r="L1256" s="10">
        <v>20201118</v>
      </c>
      <c r="M1256" s="36" t="str">
        <f t="shared" si="19"/>
        <v>19640906</v>
      </c>
    </row>
    <row r="1257" s="1" customFormat="1" spans="1:13">
      <c r="A1257" s="2">
        <v>6260</v>
      </c>
      <c r="B1257" s="5" t="s">
        <v>12263</v>
      </c>
      <c r="C1257" s="5" t="s">
        <v>12541</v>
      </c>
      <c r="D1257" s="5" t="s">
        <v>12542</v>
      </c>
      <c r="E1257" s="5" t="s">
        <v>10250</v>
      </c>
      <c r="F1257" s="5">
        <v>2020</v>
      </c>
      <c r="G1257" s="17" t="s">
        <v>3359</v>
      </c>
      <c r="H1257" s="5">
        <v>200</v>
      </c>
      <c r="I1257" s="5">
        <v>200</v>
      </c>
      <c r="J1257" s="5"/>
      <c r="K1257" s="5"/>
      <c r="L1257" s="10">
        <v>20201118</v>
      </c>
      <c r="M1257" s="36" t="str">
        <f t="shared" si="19"/>
        <v>19640906</v>
      </c>
    </row>
    <row r="1258" s="1" customFormat="1" spans="1:13">
      <c r="A1258" s="2">
        <v>468</v>
      </c>
      <c r="B1258" s="29" t="s">
        <v>1040</v>
      </c>
      <c r="C1258" s="29" t="s">
        <v>1212</v>
      </c>
      <c r="D1258" s="29" t="s">
        <v>1213</v>
      </c>
      <c r="E1258" s="30">
        <v>2020</v>
      </c>
      <c r="F1258" s="30">
        <v>2020</v>
      </c>
      <c r="G1258" s="29" t="s">
        <v>16</v>
      </c>
      <c r="H1258" s="29">
        <v>200</v>
      </c>
      <c r="I1258" s="29">
        <v>200</v>
      </c>
      <c r="J1258" s="29"/>
      <c r="K1258" s="47"/>
      <c r="L1258" s="2" t="s">
        <v>330</v>
      </c>
      <c r="M1258" s="36" t="str">
        <f t="shared" si="19"/>
        <v>19640907</v>
      </c>
    </row>
    <row r="1259" s="1" customFormat="1" spans="1:13">
      <c r="A1259" s="2">
        <v>6553</v>
      </c>
      <c r="B1259" s="5" t="s">
        <v>13027</v>
      </c>
      <c r="C1259" s="15" t="s">
        <v>13100</v>
      </c>
      <c r="D1259" s="15" t="s">
        <v>13101</v>
      </c>
      <c r="E1259" s="5">
        <v>2020</v>
      </c>
      <c r="F1259" s="5">
        <v>2020</v>
      </c>
      <c r="G1259" s="14" t="s">
        <v>16</v>
      </c>
      <c r="H1259" s="15">
        <v>200</v>
      </c>
      <c r="I1259" s="15">
        <v>200</v>
      </c>
      <c r="J1259" s="5"/>
      <c r="K1259" s="10"/>
      <c r="L1259" s="10">
        <v>20201118</v>
      </c>
      <c r="M1259" s="36" t="str">
        <f t="shared" si="19"/>
        <v>19640908</v>
      </c>
    </row>
    <row r="1260" s="1" customFormat="1" spans="1:13">
      <c r="A1260" s="2">
        <v>4196</v>
      </c>
      <c r="B1260" s="9" t="s">
        <v>8515</v>
      </c>
      <c r="C1260" s="9" t="s">
        <v>8596</v>
      </c>
      <c r="D1260" s="9" t="s">
        <v>8597</v>
      </c>
      <c r="E1260" s="5" t="s">
        <v>15</v>
      </c>
      <c r="F1260" s="5">
        <v>2020</v>
      </c>
      <c r="G1260" s="9" t="s">
        <v>2480</v>
      </c>
      <c r="H1260" s="9">
        <v>200</v>
      </c>
      <c r="I1260" s="9">
        <v>200</v>
      </c>
      <c r="J1260" s="9" t="s">
        <v>1242</v>
      </c>
      <c r="K1260" s="9"/>
      <c r="L1260" s="10">
        <v>20201118</v>
      </c>
      <c r="M1260" s="36" t="str">
        <f t="shared" si="19"/>
        <v>19640910</v>
      </c>
    </row>
    <row r="1261" s="1" customFormat="1" spans="1:13">
      <c r="A1261" s="2">
        <v>514</v>
      </c>
      <c r="B1261" s="29" t="s">
        <v>1040</v>
      </c>
      <c r="C1261" s="29" t="s">
        <v>1305</v>
      </c>
      <c r="D1261" s="29" t="s">
        <v>1306</v>
      </c>
      <c r="E1261" s="30">
        <v>2020</v>
      </c>
      <c r="F1261" s="30">
        <v>2020</v>
      </c>
      <c r="G1261" s="29" t="s">
        <v>16</v>
      </c>
      <c r="H1261" s="29">
        <v>200</v>
      </c>
      <c r="I1261" s="29">
        <v>200</v>
      </c>
      <c r="J1261" s="29"/>
      <c r="K1261" s="47"/>
      <c r="L1261" s="2" t="s">
        <v>330</v>
      </c>
      <c r="M1261" s="36" t="str">
        <f t="shared" si="19"/>
        <v>19640911</v>
      </c>
    </row>
    <row r="1262" s="1" customFormat="1" spans="1:13">
      <c r="A1262" s="2">
        <v>1486</v>
      </c>
      <c r="B1262" s="5" t="s">
        <v>3381</v>
      </c>
      <c r="C1262" s="9" t="s">
        <v>3540</v>
      </c>
      <c r="D1262" s="9" t="s">
        <v>3541</v>
      </c>
      <c r="E1262" s="5">
        <v>2020</v>
      </c>
      <c r="F1262" s="5">
        <v>2020</v>
      </c>
      <c r="G1262" s="14" t="s">
        <v>16</v>
      </c>
      <c r="H1262" s="6">
        <v>200</v>
      </c>
      <c r="I1262" s="6">
        <v>200</v>
      </c>
      <c r="J1262" s="5"/>
      <c r="K1262" s="13"/>
      <c r="L1262" s="10">
        <v>20201118</v>
      </c>
      <c r="M1262" s="36" t="str">
        <f t="shared" si="19"/>
        <v>19640912</v>
      </c>
    </row>
    <row r="1263" s="1" customFormat="1" spans="1:13">
      <c r="A1263" s="2">
        <v>988</v>
      </c>
      <c r="B1263" s="5" t="s">
        <v>2469</v>
      </c>
      <c r="C1263" s="9" t="s">
        <v>2568</v>
      </c>
      <c r="D1263" s="9" t="s">
        <v>2569</v>
      </c>
      <c r="E1263" s="5">
        <v>2020</v>
      </c>
      <c r="F1263" s="5">
        <v>2020</v>
      </c>
      <c r="G1263" s="9" t="s">
        <v>2480</v>
      </c>
      <c r="H1263" s="9">
        <v>200</v>
      </c>
      <c r="I1263" s="9">
        <v>200</v>
      </c>
      <c r="J1263" s="5"/>
      <c r="K1263" s="5"/>
      <c r="L1263" s="10">
        <v>20201118</v>
      </c>
      <c r="M1263" s="36" t="str">
        <f t="shared" si="19"/>
        <v>19640913</v>
      </c>
    </row>
    <row r="1264" s="1" customFormat="1" spans="1:13">
      <c r="A1264" s="2">
        <v>5519</v>
      </c>
      <c r="B1264" s="30" t="s">
        <v>11090</v>
      </c>
      <c r="C1264" s="30" t="s">
        <v>11133</v>
      </c>
      <c r="D1264" s="30" t="s">
        <v>11134</v>
      </c>
      <c r="E1264" s="5" t="s">
        <v>15</v>
      </c>
      <c r="F1264" s="5" t="s">
        <v>10250</v>
      </c>
      <c r="G1264" s="6" t="s">
        <v>16</v>
      </c>
      <c r="H1264" s="32">
        <v>200</v>
      </c>
      <c r="I1264" s="32">
        <v>200</v>
      </c>
      <c r="J1264" s="6" t="s">
        <v>11135</v>
      </c>
      <c r="K1264" s="48"/>
      <c r="L1264" s="10">
        <v>20201118</v>
      </c>
      <c r="M1264" s="36" t="str">
        <f t="shared" si="19"/>
        <v>19640913</v>
      </c>
    </row>
    <row r="1265" s="1" customFormat="1" spans="1:13">
      <c r="A1265" s="2">
        <v>7028</v>
      </c>
      <c r="B1265" s="5" t="s">
        <v>13533</v>
      </c>
      <c r="C1265" s="32" t="s">
        <v>13773</v>
      </c>
      <c r="D1265" s="32" t="s">
        <v>13774</v>
      </c>
      <c r="E1265" s="5">
        <v>2020</v>
      </c>
      <c r="F1265" s="5">
        <v>2020</v>
      </c>
      <c r="G1265" s="9" t="s">
        <v>2480</v>
      </c>
      <c r="H1265" s="32">
        <v>1000</v>
      </c>
      <c r="I1265" s="32">
        <v>1000</v>
      </c>
      <c r="J1265" s="32"/>
      <c r="K1265" s="10"/>
      <c r="L1265" s="10">
        <v>20201118</v>
      </c>
      <c r="M1265" s="36" t="str">
        <f t="shared" si="19"/>
        <v>19640913</v>
      </c>
    </row>
    <row r="1266" s="1" customFormat="1" ht="14.25" spans="1:13">
      <c r="A1266" s="2">
        <v>7779</v>
      </c>
      <c r="B1266" s="5" t="s">
        <v>14875</v>
      </c>
      <c r="C1266" s="51" t="s">
        <v>15025</v>
      </c>
      <c r="D1266" s="24" t="str">
        <f>"152326196409157110"</f>
        <v>152326196409157110</v>
      </c>
      <c r="E1266" s="6" t="s">
        <v>15</v>
      </c>
      <c r="F1266" s="6">
        <v>2020</v>
      </c>
      <c r="G1266" s="24" t="s">
        <v>14877</v>
      </c>
      <c r="H1266" s="6">
        <v>200</v>
      </c>
      <c r="I1266" s="6">
        <v>200</v>
      </c>
      <c r="J1266" s="6"/>
      <c r="K1266" s="10"/>
      <c r="L1266" s="10">
        <v>20201118</v>
      </c>
      <c r="M1266" s="36" t="str">
        <f t="shared" si="19"/>
        <v>19640915</v>
      </c>
    </row>
    <row r="1267" s="1" customFormat="1" spans="1:13">
      <c r="A1267" s="2">
        <v>6125</v>
      </c>
      <c r="B1267" s="5" t="s">
        <v>12263</v>
      </c>
      <c r="C1267" s="5" t="s">
        <v>12286</v>
      </c>
      <c r="D1267" s="5" t="s">
        <v>12287</v>
      </c>
      <c r="E1267" s="5" t="s">
        <v>10250</v>
      </c>
      <c r="F1267" s="5">
        <v>2020</v>
      </c>
      <c r="G1267" s="17" t="s">
        <v>3359</v>
      </c>
      <c r="H1267" s="5">
        <v>200</v>
      </c>
      <c r="I1267" s="5">
        <v>200</v>
      </c>
      <c r="J1267" s="5"/>
      <c r="K1267" s="5"/>
      <c r="L1267" s="10">
        <v>20201118</v>
      </c>
      <c r="M1267" s="36" t="str">
        <f t="shared" si="19"/>
        <v>19640916</v>
      </c>
    </row>
    <row r="1268" s="1" customFormat="1" ht="14.25" spans="1:13">
      <c r="A1268" s="2">
        <v>5254</v>
      </c>
      <c r="B1268" s="33" t="s">
        <v>10535</v>
      </c>
      <c r="C1268" s="34" t="s">
        <v>10625</v>
      </c>
      <c r="D1268" s="34" t="s">
        <v>10626</v>
      </c>
      <c r="E1268" s="35">
        <v>2020</v>
      </c>
      <c r="F1268" s="35">
        <v>2020</v>
      </c>
      <c r="G1268" s="35" t="s">
        <v>16</v>
      </c>
      <c r="H1268" s="34">
        <v>200</v>
      </c>
      <c r="I1268" s="34">
        <v>200</v>
      </c>
      <c r="J1268" s="49"/>
      <c r="K1268" s="10"/>
      <c r="L1268" s="10">
        <v>20201118</v>
      </c>
      <c r="M1268" s="36" t="str">
        <f t="shared" si="19"/>
        <v>19640917</v>
      </c>
    </row>
    <row r="1269" s="1" customFormat="1" spans="1:13">
      <c r="A1269" s="2">
        <v>5732</v>
      </c>
      <c r="B1269" s="30" t="s">
        <v>11090</v>
      </c>
      <c r="C1269" s="30" t="s">
        <v>11548</v>
      </c>
      <c r="D1269" s="30" t="s">
        <v>11549</v>
      </c>
      <c r="E1269" s="5" t="s">
        <v>15</v>
      </c>
      <c r="F1269" s="5" t="s">
        <v>10250</v>
      </c>
      <c r="G1269" s="6" t="s">
        <v>16</v>
      </c>
      <c r="H1269" s="32">
        <v>200</v>
      </c>
      <c r="I1269" s="32">
        <v>200</v>
      </c>
      <c r="J1269" s="6" t="s">
        <v>6097</v>
      </c>
      <c r="K1269" s="48"/>
      <c r="L1269" s="10">
        <v>20201118</v>
      </c>
      <c r="M1269" s="36" t="str">
        <f t="shared" si="19"/>
        <v>19640918</v>
      </c>
    </row>
    <row r="1270" s="1" customFormat="1" spans="1:13">
      <c r="A1270" s="2">
        <v>4197</v>
      </c>
      <c r="B1270" s="9" t="s">
        <v>8515</v>
      </c>
      <c r="C1270" s="9" t="s">
        <v>8598</v>
      </c>
      <c r="D1270" s="9" t="s">
        <v>8599</v>
      </c>
      <c r="E1270" s="5" t="s">
        <v>15</v>
      </c>
      <c r="F1270" s="5">
        <v>2020</v>
      </c>
      <c r="G1270" s="9" t="s">
        <v>2480</v>
      </c>
      <c r="H1270" s="9">
        <v>200</v>
      </c>
      <c r="I1270" s="9">
        <v>200</v>
      </c>
      <c r="J1270" s="9"/>
      <c r="K1270" s="9"/>
      <c r="L1270" s="10">
        <v>20201118</v>
      </c>
      <c r="M1270" s="36" t="str">
        <f t="shared" si="19"/>
        <v>19640919</v>
      </c>
    </row>
    <row r="1271" s="1" customFormat="1" ht="14.25" spans="1:13">
      <c r="A1271" s="2">
        <v>5255</v>
      </c>
      <c r="B1271" s="33" t="s">
        <v>10535</v>
      </c>
      <c r="C1271" s="34" t="s">
        <v>10627</v>
      </c>
      <c r="D1271" s="34" t="s">
        <v>10628</v>
      </c>
      <c r="E1271" s="35">
        <v>2020</v>
      </c>
      <c r="F1271" s="35">
        <v>2020</v>
      </c>
      <c r="G1271" s="35" t="s">
        <v>16</v>
      </c>
      <c r="H1271" s="34">
        <v>200</v>
      </c>
      <c r="I1271" s="34">
        <v>200</v>
      </c>
      <c r="J1271" s="49"/>
      <c r="K1271" s="10"/>
      <c r="L1271" s="10">
        <v>20201118</v>
      </c>
      <c r="M1271" s="36" t="str">
        <f t="shared" si="19"/>
        <v>19640919</v>
      </c>
    </row>
    <row r="1272" s="1" customFormat="1" spans="1:13">
      <c r="A1272" s="2">
        <v>7252</v>
      </c>
      <c r="B1272" s="5" t="s">
        <v>13908</v>
      </c>
      <c r="C1272" s="5" t="s">
        <v>14146</v>
      </c>
      <c r="D1272" s="5" t="s">
        <v>14147</v>
      </c>
      <c r="E1272" s="5" t="s">
        <v>15</v>
      </c>
      <c r="F1272" s="5" t="s">
        <v>15</v>
      </c>
      <c r="G1272" s="14" t="s">
        <v>16</v>
      </c>
      <c r="H1272" s="17">
        <v>200</v>
      </c>
      <c r="I1272" s="17">
        <v>200</v>
      </c>
      <c r="J1272" s="5"/>
      <c r="K1272" s="10"/>
      <c r="L1272" s="10">
        <v>20201118</v>
      </c>
      <c r="M1272" s="36" t="str">
        <f t="shared" si="19"/>
        <v>19640921</v>
      </c>
    </row>
    <row r="1273" s="1" customFormat="1" spans="1:13">
      <c r="A1273" s="2">
        <v>7026</v>
      </c>
      <c r="B1273" s="5" t="s">
        <v>13533</v>
      </c>
      <c r="C1273" s="32" t="s">
        <v>13771</v>
      </c>
      <c r="D1273" s="32" t="str">
        <f>"152326196409227123"</f>
        <v>152326196409227123</v>
      </c>
      <c r="E1273" s="5">
        <v>2020</v>
      </c>
      <c r="F1273" s="5">
        <v>2020</v>
      </c>
      <c r="G1273" s="9" t="s">
        <v>2480</v>
      </c>
      <c r="H1273" s="32">
        <v>200</v>
      </c>
      <c r="I1273" s="32">
        <v>200</v>
      </c>
      <c r="J1273" s="32"/>
      <c r="K1273" s="10"/>
      <c r="L1273" s="10">
        <v>20201118</v>
      </c>
      <c r="M1273" s="36" t="str">
        <f t="shared" si="19"/>
        <v>19640922</v>
      </c>
    </row>
    <row r="1274" s="1" customFormat="1" spans="1:13">
      <c r="A1274" s="2">
        <v>4471</v>
      </c>
      <c r="B1274" s="6" t="s">
        <v>9015</v>
      </c>
      <c r="C1274" s="6" t="s">
        <v>9126</v>
      </c>
      <c r="D1274" s="6" t="s">
        <v>9127</v>
      </c>
      <c r="E1274" s="6">
        <v>2020</v>
      </c>
      <c r="F1274" s="6">
        <v>2020</v>
      </c>
      <c r="G1274" s="6" t="s">
        <v>16</v>
      </c>
      <c r="H1274" s="6">
        <v>200</v>
      </c>
      <c r="I1274" s="6">
        <v>200</v>
      </c>
      <c r="J1274" s="6"/>
      <c r="K1274" s="6"/>
      <c r="L1274" s="10">
        <v>20201118</v>
      </c>
      <c r="M1274" s="36" t="str">
        <f t="shared" si="19"/>
        <v>19640923</v>
      </c>
    </row>
    <row r="1275" s="1" customFormat="1" spans="1:13">
      <c r="A1275" s="2">
        <v>2520</v>
      </c>
      <c r="B1275" s="5" t="s">
        <v>5328</v>
      </c>
      <c r="C1275" s="16" t="s">
        <v>5574</v>
      </c>
      <c r="D1275" s="16" t="s">
        <v>5575</v>
      </c>
      <c r="E1275" s="5" t="s">
        <v>15</v>
      </c>
      <c r="F1275" s="5" t="s">
        <v>15</v>
      </c>
      <c r="G1275" s="14" t="s">
        <v>16</v>
      </c>
      <c r="H1275" s="6">
        <v>200</v>
      </c>
      <c r="I1275" s="6">
        <v>200</v>
      </c>
      <c r="J1275" s="5"/>
      <c r="K1275" s="5"/>
      <c r="L1275" s="10">
        <v>20201118</v>
      </c>
      <c r="M1275" s="36" t="str">
        <f t="shared" si="19"/>
        <v>19640924</v>
      </c>
    </row>
    <row r="1276" s="1" customFormat="1" spans="1:13">
      <c r="A1276" s="2">
        <v>2521</v>
      </c>
      <c r="B1276" s="5" t="s">
        <v>5328</v>
      </c>
      <c r="C1276" s="16" t="s">
        <v>5576</v>
      </c>
      <c r="D1276" s="16" t="s">
        <v>5577</v>
      </c>
      <c r="E1276" s="5" t="s">
        <v>15</v>
      </c>
      <c r="F1276" s="5" t="s">
        <v>15</v>
      </c>
      <c r="G1276" s="14" t="s">
        <v>16</v>
      </c>
      <c r="H1276" s="6">
        <v>200</v>
      </c>
      <c r="I1276" s="6">
        <v>200</v>
      </c>
      <c r="J1276" s="5"/>
      <c r="K1276" s="5"/>
      <c r="L1276" s="10">
        <v>20201118</v>
      </c>
      <c r="M1276" s="36" t="str">
        <f t="shared" si="19"/>
        <v>19640924</v>
      </c>
    </row>
    <row r="1277" s="1" customFormat="1" spans="1:13">
      <c r="A1277" s="2">
        <v>8053</v>
      </c>
      <c r="B1277" s="5" t="s">
        <v>15086</v>
      </c>
      <c r="C1277" s="6" t="s">
        <v>15333</v>
      </c>
      <c r="D1277" s="6" t="str">
        <f>"152326196409246885"</f>
        <v>152326196409246885</v>
      </c>
      <c r="E1277" s="5" t="s">
        <v>15</v>
      </c>
      <c r="F1277" s="5">
        <v>2020</v>
      </c>
      <c r="G1277" s="5" t="s">
        <v>16</v>
      </c>
      <c r="H1277" s="5">
        <v>200</v>
      </c>
      <c r="I1277" s="5">
        <v>200</v>
      </c>
      <c r="J1277" s="5"/>
      <c r="K1277" s="5"/>
      <c r="L1277" s="10">
        <v>20201118</v>
      </c>
      <c r="M1277" s="36" t="str">
        <f t="shared" si="19"/>
        <v>19640924</v>
      </c>
    </row>
    <row r="1278" s="1" customFormat="1" spans="1:13">
      <c r="A1278" s="2">
        <v>989</v>
      </c>
      <c r="B1278" s="5" t="s">
        <v>2469</v>
      </c>
      <c r="C1278" s="9" t="s">
        <v>2570</v>
      </c>
      <c r="D1278" s="9" t="s">
        <v>2571</v>
      </c>
      <c r="E1278" s="5">
        <v>2020</v>
      </c>
      <c r="F1278" s="5">
        <v>2020</v>
      </c>
      <c r="G1278" s="9" t="s">
        <v>2480</v>
      </c>
      <c r="H1278" s="9">
        <v>200</v>
      </c>
      <c r="I1278" s="9">
        <v>200</v>
      </c>
      <c r="J1278" s="5"/>
      <c r="K1278" s="5"/>
      <c r="L1278" s="10">
        <v>20201118</v>
      </c>
      <c r="M1278" s="36" t="str">
        <f t="shared" si="19"/>
        <v>19640925</v>
      </c>
    </row>
    <row r="1279" s="1" customFormat="1" spans="1:13">
      <c r="A1279" s="2">
        <v>3685</v>
      </c>
      <c r="B1279" s="5" t="s">
        <v>7412</v>
      </c>
      <c r="C1279" s="5" t="s">
        <v>7629</v>
      </c>
      <c r="D1279" s="5" t="s">
        <v>7630</v>
      </c>
      <c r="E1279" s="6">
        <v>2020</v>
      </c>
      <c r="F1279" s="6">
        <v>2020</v>
      </c>
      <c r="G1279" s="5" t="s">
        <v>3359</v>
      </c>
      <c r="H1279" s="5">
        <v>1000</v>
      </c>
      <c r="I1279" s="5">
        <v>1000</v>
      </c>
      <c r="J1279" s="5"/>
      <c r="K1279" s="5"/>
      <c r="L1279" s="10">
        <v>20201118</v>
      </c>
      <c r="M1279" s="36" t="str">
        <f t="shared" si="19"/>
        <v>19640926</v>
      </c>
    </row>
    <row r="1280" s="1" customFormat="1" spans="1:13">
      <c r="A1280" s="2">
        <v>5087</v>
      </c>
      <c r="B1280" s="6" t="s">
        <v>10242</v>
      </c>
      <c r="C1280" s="9" t="s">
        <v>10306</v>
      </c>
      <c r="D1280" s="9" t="s">
        <v>10307</v>
      </c>
      <c r="E1280" s="5" t="s">
        <v>10250</v>
      </c>
      <c r="F1280" s="5">
        <v>2020</v>
      </c>
      <c r="G1280" s="6" t="s">
        <v>16</v>
      </c>
      <c r="H1280" s="6">
        <v>200</v>
      </c>
      <c r="I1280" s="6">
        <v>200</v>
      </c>
      <c r="J1280" s="6"/>
      <c r="K1280" s="5"/>
      <c r="L1280" s="10">
        <v>20201118</v>
      </c>
      <c r="M1280" s="36" t="str">
        <f t="shared" si="19"/>
        <v>19640926</v>
      </c>
    </row>
    <row r="1281" s="1" customFormat="1" spans="1:13">
      <c r="A1281" s="2">
        <v>614</v>
      </c>
      <c r="B1281" s="29" t="s">
        <v>1040</v>
      </c>
      <c r="C1281" s="29" t="s">
        <v>1504</v>
      </c>
      <c r="D1281" s="29" t="s">
        <v>1505</v>
      </c>
      <c r="E1281" s="30">
        <v>2020</v>
      </c>
      <c r="F1281" s="30">
        <v>2020</v>
      </c>
      <c r="G1281" s="29" t="s">
        <v>16</v>
      </c>
      <c r="H1281" s="29">
        <v>200</v>
      </c>
      <c r="I1281" s="29">
        <v>200</v>
      </c>
      <c r="J1281" s="29"/>
      <c r="K1281" s="47"/>
      <c r="L1281" s="2" t="s">
        <v>330</v>
      </c>
      <c r="M1281" s="36" t="str">
        <f t="shared" si="19"/>
        <v>19640929</v>
      </c>
    </row>
    <row r="1282" s="1" customFormat="1" spans="1:13">
      <c r="A1282" s="2">
        <v>4198</v>
      </c>
      <c r="B1282" s="9" t="s">
        <v>8515</v>
      </c>
      <c r="C1282" s="9" t="s">
        <v>8600</v>
      </c>
      <c r="D1282" s="9" t="s">
        <v>8601</v>
      </c>
      <c r="E1282" s="5" t="s">
        <v>15</v>
      </c>
      <c r="F1282" s="5">
        <v>2020</v>
      </c>
      <c r="G1282" s="9" t="s">
        <v>2480</v>
      </c>
      <c r="H1282" s="9">
        <v>200</v>
      </c>
      <c r="I1282" s="9">
        <v>200</v>
      </c>
      <c r="J1282" s="9"/>
      <c r="K1282" s="9"/>
      <c r="L1282" s="10">
        <v>20201118</v>
      </c>
      <c r="M1282" s="36" t="str">
        <f t="shared" ref="M1282:M1345" si="20">MID(D1282,7,8)</f>
        <v>19640929</v>
      </c>
    </row>
    <row r="1283" s="1" customFormat="1" spans="1:13">
      <c r="A1283" s="2">
        <v>615</v>
      </c>
      <c r="B1283" s="29" t="s">
        <v>1040</v>
      </c>
      <c r="C1283" s="29" t="s">
        <v>1506</v>
      </c>
      <c r="D1283" s="29" t="s">
        <v>1507</v>
      </c>
      <c r="E1283" s="30">
        <v>2020</v>
      </c>
      <c r="F1283" s="30">
        <v>2020</v>
      </c>
      <c r="G1283" s="29" t="s">
        <v>16</v>
      </c>
      <c r="H1283" s="29">
        <v>200</v>
      </c>
      <c r="I1283" s="29">
        <v>200</v>
      </c>
      <c r="J1283" s="29"/>
      <c r="K1283" s="47"/>
      <c r="L1283" s="14" t="s">
        <v>330</v>
      </c>
      <c r="M1283" s="36" t="str">
        <f t="shared" si="20"/>
        <v>19641001</v>
      </c>
    </row>
    <row r="1284" s="1" customFormat="1" spans="1:13">
      <c r="A1284" s="2">
        <v>3091</v>
      </c>
      <c r="B1284" s="3" t="s">
        <v>6671</v>
      </c>
      <c r="C1284" s="9" t="s">
        <v>6706</v>
      </c>
      <c r="D1284" s="9" t="s">
        <v>6707</v>
      </c>
      <c r="E1284" s="3" t="s">
        <v>15</v>
      </c>
      <c r="F1284" s="3" t="s">
        <v>15</v>
      </c>
      <c r="G1284" s="6" t="s">
        <v>3359</v>
      </c>
      <c r="H1284" s="9">
        <v>200</v>
      </c>
      <c r="I1284" s="9">
        <v>200</v>
      </c>
      <c r="J1284" s="6"/>
      <c r="K1284" s="5"/>
      <c r="L1284" s="10">
        <v>20201118</v>
      </c>
      <c r="M1284" s="36" t="str">
        <f t="shared" si="20"/>
        <v>19641001</v>
      </c>
    </row>
    <row r="1285" s="1" customFormat="1" spans="1:13">
      <c r="A1285" s="2">
        <v>7359</v>
      </c>
      <c r="B1285" s="5" t="s">
        <v>13908</v>
      </c>
      <c r="C1285" s="5" t="s">
        <v>14347</v>
      </c>
      <c r="D1285" s="5" t="s">
        <v>14348</v>
      </c>
      <c r="E1285" s="5" t="s">
        <v>15</v>
      </c>
      <c r="F1285" s="5" t="s">
        <v>15</v>
      </c>
      <c r="G1285" s="14" t="s">
        <v>16</v>
      </c>
      <c r="H1285" s="17">
        <v>200</v>
      </c>
      <c r="I1285" s="17">
        <v>200</v>
      </c>
      <c r="J1285" s="5" t="s">
        <v>108</v>
      </c>
      <c r="K1285" s="10"/>
      <c r="L1285" s="10">
        <v>20201118</v>
      </c>
      <c r="M1285" s="36" t="str">
        <f t="shared" si="20"/>
        <v>19641002</v>
      </c>
    </row>
    <row r="1286" s="1" customFormat="1" ht="14.25" spans="1:13">
      <c r="A1286" s="2">
        <v>7782</v>
      </c>
      <c r="B1286" s="5" t="s">
        <v>14875</v>
      </c>
      <c r="C1286" s="51" t="s">
        <v>15028</v>
      </c>
      <c r="D1286" s="24" t="str">
        <f>"152326196410027110"</f>
        <v>152326196410027110</v>
      </c>
      <c r="E1286" s="6" t="s">
        <v>15</v>
      </c>
      <c r="F1286" s="6">
        <v>2020</v>
      </c>
      <c r="G1286" s="24" t="s">
        <v>14877</v>
      </c>
      <c r="H1286" s="6">
        <v>200</v>
      </c>
      <c r="I1286" s="6">
        <v>200</v>
      </c>
      <c r="J1286" s="6"/>
      <c r="K1286" s="10"/>
      <c r="L1286" s="10">
        <v>20201118</v>
      </c>
      <c r="M1286" s="36" t="str">
        <f t="shared" si="20"/>
        <v>19641002</v>
      </c>
    </row>
    <row r="1287" s="1" customFormat="1" spans="1:13">
      <c r="A1287" s="2">
        <v>6554</v>
      </c>
      <c r="B1287" s="5" t="s">
        <v>13027</v>
      </c>
      <c r="C1287" s="15" t="s">
        <v>13102</v>
      </c>
      <c r="D1287" s="15" t="s">
        <v>13103</v>
      </c>
      <c r="E1287" s="5">
        <v>2020</v>
      </c>
      <c r="F1287" s="5">
        <v>2020</v>
      </c>
      <c r="G1287" s="14" t="s">
        <v>16</v>
      </c>
      <c r="H1287" s="15">
        <v>200</v>
      </c>
      <c r="I1287" s="15">
        <v>200</v>
      </c>
      <c r="J1287" s="5"/>
      <c r="K1287" s="10"/>
      <c r="L1287" s="10">
        <v>20201118</v>
      </c>
      <c r="M1287" s="36" t="str">
        <f t="shared" si="20"/>
        <v>19641003</v>
      </c>
    </row>
    <row r="1288" s="1" customFormat="1" spans="1:13">
      <c r="A1288" s="2">
        <v>990</v>
      </c>
      <c r="B1288" s="5" t="s">
        <v>2469</v>
      </c>
      <c r="C1288" s="9" t="s">
        <v>2572</v>
      </c>
      <c r="D1288" s="9" t="s">
        <v>2573</v>
      </c>
      <c r="E1288" s="5">
        <v>2020</v>
      </c>
      <c r="F1288" s="5">
        <v>2020</v>
      </c>
      <c r="G1288" s="9" t="s">
        <v>2480</v>
      </c>
      <c r="H1288" s="9">
        <v>200</v>
      </c>
      <c r="I1288" s="9">
        <v>200</v>
      </c>
      <c r="J1288" s="5"/>
      <c r="K1288" s="5"/>
      <c r="L1288" s="10">
        <v>20201118</v>
      </c>
      <c r="M1288" s="36" t="str">
        <f t="shared" si="20"/>
        <v>19641004</v>
      </c>
    </row>
    <row r="1289" s="1" customFormat="1" spans="1:13">
      <c r="A1289" s="2">
        <v>1487</v>
      </c>
      <c r="B1289" s="5" t="s">
        <v>3381</v>
      </c>
      <c r="C1289" s="9" t="s">
        <v>3542</v>
      </c>
      <c r="D1289" s="9" t="s">
        <v>3543</v>
      </c>
      <c r="E1289" s="5">
        <v>2020</v>
      </c>
      <c r="F1289" s="5">
        <v>2020</v>
      </c>
      <c r="G1289" s="14" t="s">
        <v>16</v>
      </c>
      <c r="H1289" s="6">
        <v>200</v>
      </c>
      <c r="I1289" s="6">
        <v>200</v>
      </c>
      <c r="J1289" s="5"/>
      <c r="K1289" s="13"/>
      <c r="L1289" s="10">
        <v>20201118</v>
      </c>
      <c r="M1289" s="36" t="str">
        <f t="shared" si="20"/>
        <v>19641004</v>
      </c>
    </row>
    <row r="1290" s="1" customFormat="1" spans="1:13">
      <c r="A1290" s="2">
        <v>688</v>
      </c>
      <c r="B1290" s="29" t="s">
        <v>1040</v>
      </c>
      <c r="C1290" s="47" t="s">
        <v>1716</v>
      </c>
      <c r="D1290" s="47" t="s">
        <v>1717</v>
      </c>
      <c r="E1290" s="30">
        <v>2020</v>
      </c>
      <c r="F1290" s="30">
        <v>2020</v>
      </c>
      <c r="G1290" s="29" t="s">
        <v>16</v>
      </c>
      <c r="H1290" s="29">
        <v>200</v>
      </c>
      <c r="I1290" s="29">
        <v>200</v>
      </c>
      <c r="J1290" s="29"/>
      <c r="K1290" s="54"/>
      <c r="L1290" s="2" t="s">
        <v>330</v>
      </c>
      <c r="M1290" s="36" t="str">
        <f t="shared" si="20"/>
        <v>19641005</v>
      </c>
    </row>
    <row r="1291" s="1" customFormat="1" ht="14.25" spans="1:13">
      <c r="A1291" s="2">
        <v>2877</v>
      </c>
      <c r="B1291" s="6" t="s">
        <v>6075</v>
      </c>
      <c r="C1291" s="25" t="s">
        <v>6283</v>
      </c>
      <c r="D1291" s="26" t="s">
        <v>6284</v>
      </c>
      <c r="E1291" s="5" t="s">
        <v>15</v>
      </c>
      <c r="F1291" s="5">
        <v>2020</v>
      </c>
      <c r="G1291" s="6" t="s">
        <v>16</v>
      </c>
      <c r="H1291" s="6">
        <v>200</v>
      </c>
      <c r="I1291" s="6">
        <v>200</v>
      </c>
      <c r="J1291" s="6" t="s">
        <v>6097</v>
      </c>
      <c r="K1291" s="10"/>
      <c r="L1291" s="10">
        <v>20201118</v>
      </c>
      <c r="M1291" s="36" t="str">
        <f t="shared" si="20"/>
        <v>19641005</v>
      </c>
    </row>
    <row r="1292" s="1" customFormat="1" spans="1:13">
      <c r="A1292" s="2">
        <v>7017</v>
      </c>
      <c r="B1292" s="5" t="s">
        <v>13533</v>
      </c>
      <c r="C1292" s="32" t="s">
        <v>8531</v>
      </c>
      <c r="D1292" s="32" t="str">
        <f>"152326196410067147"</f>
        <v>152326196410067147</v>
      </c>
      <c r="E1292" s="5">
        <v>2020</v>
      </c>
      <c r="F1292" s="5">
        <v>2020</v>
      </c>
      <c r="G1292" s="9" t="s">
        <v>2480</v>
      </c>
      <c r="H1292" s="32">
        <v>200</v>
      </c>
      <c r="I1292" s="32">
        <v>200</v>
      </c>
      <c r="J1292" s="32"/>
      <c r="K1292" s="10"/>
      <c r="L1292" s="10">
        <v>20201118</v>
      </c>
      <c r="M1292" s="36" t="str">
        <f t="shared" si="20"/>
        <v>19641006</v>
      </c>
    </row>
    <row r="1293" s="1" customFormat="1" spans="1:13">
      <c r="A1293" s="2">
        <v>8044</v>
      </c>
      <c r="B1293" s="5" t="s">
        <v>15086</v>
      </c>
      <c r="C1293" s="6" t="s">
        <v>15322</v>
      </c>
      <c r="D1293" s="6" t="str">
        <f>"152326196410066873"</f>
        <v>152326196410066873</v>
      </c>
      <c r="E1293" s="5" t="s">
        <v>15</v>
      </c>
      <c r="F1293" s="5">
        <v>2020</v>
      </c>
      <c r="G1293" s="5" t="s">
        <v>16</v>
      </c>
      <c r="H1293" s="5">
        <v>200</v>
      </c>
      <c r="I1293" s="5">
        <v>200</v>
      </c>
      <c r="J1293" s="5"/>
      <c r="K1293" s="5"/>
      <c r="L1293" s="10">
        <v>20201118</v>
      </c>
      <c r="M1293" s="36" t="str">
        <f t="shared" si="20"/>
        <v>19641006</v>
      </c>
    </row>
    <row r="1294" s="1" customFormat="1" spans="1:13">
      <c r="A1294" s="2">
        <v>5001</v>
      </c>
      <c r="B1294" s="6" t="s">
        <v>9954</v>
      </c>
      <c r="C1294" s="60" t="s">
        <v>10140</v>
      </c>
      <c r="D1294" s="60" t="s">
        <v>10141</v>
      </c>
      <c r="E1294" s="5" t="s">
        <v>15</v>
      </c>
      <c r="F1294" s="5" t="s">
        <v>15</v>
      </c>
      <c r="G1294" s="14" t="s">
        <v>16</v>
      </c>
      <c r="H1294" s="6">
        <v>500</v>
      </c>
      <c r="I1294" s="6">
        <v>500</v>
      </c>
      <c r="J1294" s="6"/>
      <c r="K1294" s="6"/>
      <c r="L1294" s="10">
        <v>20201118</v>
      </c>
      <c r="M1294" s="36" t="str">
        <f t="shared" si="20"/>
        <v>19641007</v>
      </c>
    </row>
    <row r="1295" s="1" customFormat="1" spans="1:13">
      <c r="A1295" s="2">
        <v>4199</v>
      </c>
      <c r="B1295" s="9" t="s">
        <v>8515</v>
      </c>
      <c r="C1295" s="9" t="s">
        <v>8602</v>
      </c>
      <c r="D1295" s="9" t="s">
        <v>8603</v>
      </c>
      <c r="E1295" s="5" t="s">
        <v>15</v>
      </c>
      <c r="F1295" s="5">
        <v>2020</v>
      </c>
      <c r="G1295" s="9" t="s">
        <v>2480</v>
      </c>
      <c r="H1295" s="9">
        <v>200</v>
      </c>
      <c r="I1295" s="9">
        <v>200</v>
      </c>
      <c r="J1295" s="9"/>
      <c r="K1295" s="9"/>
      <c r="L1295" s="10">
        <v>20201118</v>
      </c>
      <c r="M1295" s="36" t="str">
        <f t="shared" si="20"/>
        <v>19641008</v>
      </c>
    </row>
    <row r="1296" s="1" customFormat="1" spans="1:13">
      <c r="A1296" s="2">
        <v>7155</v>
      </c>
      <c r="B1296" s="5" t="s">
        <v>13908</v>
      </c>
      <c r="C1296" s="5" t="s">
        <v>13968</v>
      </c>
      <c r="D1296" s="5" t="s">
        <v>13969</v>
      </c>
      <c r="E1296" s="5" t="s">
        <v>15</v>
      </c>
      <c r="F1296" s="5" t="s">
        <v>15</v>
      </c>
      <c r="G1296" s="14" t="s">
        <v>16</v>
      </c>
      <c r="H1296" s="17">
        <v>200</v>
      </c>
      <c r="I1296" s="17">
        <v>200</v>
      </c>
      <c r="J1296" s="5"/>
      <c r="K1296" s="10"/>
      <c r="L1296" s="10">
        <v>20201118</v>
      </c>
      <c r="M1296" s="36" t="str">
        <f t="shared" si="20"/>
        <v>19641008</v>
      </c>
    </row>
    <row r="1297" s="1" customFormat="1" spans="1:13">
      <c r="A1297" s="2">
        <v>266</v>
      </c>
      <c r="B1297" s="14" t="s">
        <v>327</v>
      </c>
      <c r="C1297" s="17" t="s">
        <v>684</v>
      </c>
      <c r="D1297" s="17" t="s">
        <v>685</v>
      </c>
      <c r="E1297" s="5">
        <v>2020</v>
      </c>
      <c r="F1297" s="5">
        <v>2020</v>
      </c>
      <c r="G1297" s="14" t="s">
        <v>16</v>
      </c>
      <c r="H1297" s="17">
        <v>200</v>
      </c>
      <c r="I1297" s="17">
        <v>200</v>
      </c>
      <c r="J1297" s="17"/>
      <c r="K1297" s="10"/>
      <c r="L1297" s="14" t="s">
        <v>330</v>
      </c>
      <c r="M1297" s="36" t="str">
        <f t="shared" si="20"/>
        <v>19641010</v>
      </c>
    </row>
    <row r="1298" s="1" customFormat="1" spans="1:13">
      <c r="A1298" s="2">
        <v>3686</v>
      </c>
      <c r="B1298" s="5" t="s">
        <v>7412</v>
      </c>
      <c r="C1298" s="5" t="s">
        <v>7631</v>
      </c>
      <c r="D1298" s="5" t="s">
        <v>7632</v>
      </c>
      <c r="E1298" s="6">
        <v>2020</v>
      </c>
      <c r="F1298" s="6">
        <v>2020</v>
      </c>
      <c r="G1298" s="5" t="s">
        <v>3359</v>
      </c>
      <c r="H1298" s="5">
        <v>200</v>
      </c>
      <c r="I1298" s="5">
        <v>200</v>
      </c>
      <c r="J1298" s="5"/>
      <c r="K1298" s="5"/>
      <c r="L1298" s="10">
        <v>20201118</v>
      </c>
      <c r="M1298" s="36" t="str">
        <f t="shared" si="20"/>
        <v>19641011</v>
      </c>
    </row>
    <row r="1299" s="1" customFormat="1" spans="1:13">
      <c r="A1299" s="2">
        <v>2769</v>
      </c>
      <c r="B1299" s="32" t="s">
        <v>5602</v>
      </c>
      <c r="C1299" s="32" t="s">
        <v>6065</v>
      </c>
      <c r="D1299" s="304" t="s">
        <v>6066</v>
      </c>
      <c r="E1299" s="32">
        <v>2011</v>
      </c>
      <c r="F1299" s="32">
        <v>2020</v>
      </c>
      <c r="G1299" s="32" t="s">
        <v>289</v>
      </c>
      <c r="H1299" s="32">
        <v>200</v>
      </c>
      <c r="I1299" s="32">
        <v>2000</v>
      </c>
      <c r="J1299" s="32"/>
      <c r="K1299" s="52"/>
      <c r="L1299" s="10">
        <v>20201118</v>
      </c>
      <c r="M1299" s="36" t="str">
        <f t="shared" si="20"/>
        <v>19641012</v>
      </c>
    </row>
    <row r="1300" s="1" customFormat="1" spans="1:13">
      <c r="A1300" s="2">
        <v>6555</v>
      </c>
      <c r="B1300" s="5" t="s">
        <v>13027</v>
      </c>
      <c r="C1300" s="15" t="s">
        <v>13104</v>
      </c>
      <c r="D1300" s="15" t="s">
        <v>13105</v>
      </c>
      <c r="E1300" s="5">
        <v>2020</v>
      </c>
      <c r="F1300" s="5">
        <v>2020</v>
      </c>
      <c r="G1300" s="14" t="s">
        <v>16</v>
      </c>
      <c r="H1300" s="15">
        <v>200</v>
      </c>
      <c r="I1300" s="15">
        <v>200</v>
      </c>
      <c r="J1300" s="5"/>
      <c r="K1300" s="10"/>
      <c r="L1300" s="10">
        <v>20201118</v>
      </c>
      <c r="M1300" s="36" t="str">
        <f t="shared" si="20"/>
        <v>19641013</v>
      </c>
    </row>
    <row r="1301" s="1" customFormat="1" spans="1:13">
      <c r="A1301" s="2">
        <v>6302</v>
      </c>
      <c r="B1301" s="5" t="s">
        <v>12263</v>
      </c>
      <c r="C1301" s="5" t="s">
        <v>12623</v>
      </c>
      <c r="D1301" s="5" t="s">
        <v>12624</v>
      </c>
      <c r="E1301" s="5" t="s">
        <v>10250</v>
      </c>
      <c r="F1301" s="5">
        <v>2020</v>
      </c>
      <c r="G1301" s="17" t="s">
        <v>3359</v>
      </c>
      <c r="H1301" s="5">
        <v>200</v>
      </c>
      <c r="I1301" s="5">
        <v>200</v>
      </c>
      <c r="J1301" s="5" t="s">
        <v>108</v>
      </c>
      <c r="K1301" s="5"/>
      <c r="L1301" s="10">
        <v>20201118</v>
      </c>
      <c r="M1301" s="36" t="str">
        <f t="shared" si="20"/>
        <v>19641014</v>
      </c>
    </row>
    <row r="1302" s="1" customFormat="1" spans="1:13">
      <c r="A1302" s="2">
        <v>7016</v>
      </c>
      <c r="B1302" s="5" t="s">
        <v>13533</v>
      </c>
      <c r="C1302" s="32" t="s">
        <v>13762</v>
      </c>
      <c r="D1302" s="32" t="str">
        <f>"152326196410157126"</f>
        <v>152326196410157126</v>
      </c>
      <c r="E1302" s="5">
        <v>2020</v>
      </c>
      <c r="F1302" s="5">
        <v>2020</v>
      </c>
      <c r="G1302" s="9" t="s">
        <v>2480</v>
      </c>
      <c r="H1302" s="32">
        <v>200</v>
      </c>
      <c r="I1302" s="32">
        <v>200</v>
      </c>
      <c r="J1302" s="62"/>
      <c r="K1302" s="10"/>
      <c r="L1302" s="10">
        <v>20201118</v>
      </c>
      <c r="M1302" s="36" t="str">
        <f t="shared" si="20"/>
        <v>19641015</v>
      </c>
    </row>
    <row r="1303" s="1" customFormat="1" spans="1:13">
      <c r="A1303" s="2">
        <v>4200</v>
      </c>
      <c r="B1303" s="9" t="s">
        <v>8515</v>
      </c>
      <c r="C1303" s="9" t="s">
        <v>8604</v>
      </c>
      <c r="D1303" s="9" t="s">
        <v>8605</v>
      </c>
      <c r="E1303" s="5" t="s">
        <v>15</v>
      </c>
      <c r="F1303" s="5">
        <v>2020</v>
      </c>
      <c r="G1303" s="9" t="s">
        <v>2480</v>
      </c>
      <c r="H1303" s="9">
        <v>200</v>
      </c>
      <c r="I1303" s="9">
        <v>200</v>
      </c>
      <c r="J1303" s="9"/>
      <c r="K1303" s="9"/>
      <c r="L1303" s="10">
        <v>20201118</v>
      </c>
      <c r="M1303" s="36" t="str">
        <f t="shared" si="20"/>
        <v>19641016</v>
      </c>
    </row>
    <row r="1304" s="1" customFormat="1" spans="1:13">
      <c r="A1304" s="2">
        <v>8050</v>
      </c>
      <c r="B1304" s="5" t="s">
        <v>15086</v>
      </c>
      <c r="C1304" s="6" t="s">
        <v>15329</v>
      </c>
      <c r="D1304" s="6" t="str">
        <f>"152326196410196889"</f>
        <v>152326196410196889</v>
      </c>
      <c r="E1304" s="5" t="s">
        <v>15</v>
      </c>
      <c r="F1304" s="5">
        <v>2020</v>
      </c>
      <c r="G1304" s="5" t="s">
        <v>16</v>
      </c>
      <c r="H1304" s="5">
        <v>500</v>
      </c>
      <c r="I1304" s="5">
        <v>500</v>
      </c>
      <c r="J1304" s="5"/>
      <c r="K1304" s="5"/>
      <c r="L1304" s="10">
        <v>20201118</v>
      </c>
      <c r="M1304" s="36" t="str">
        <f t="shared" si="20"/>
        <v>19641019</v>
      </c>
    </row>
    <row r="1305" s="1" customFormat="1" spans="1:13">
      <c r="A1305" s="2">
        <v>898</v>
      </c>
      <c r="B1305" s="29" t="s">
        <v>1040</v>
      </c>
      <c r="C1305" s="6" t="s">
        <v>2341</v>
      </c>
      <c r="D1305" s="6" t="s">
        <v>2342</v>
      </c>
      <c r="E1305" s="30">
        <v>2020</v>
      </c>
      <c r="F1305" s="30">
        <v>2020</v>
      </c>
      <c r="G1305" s="29" t="s">
        <v>16</v>
      </c>
      <c r="H1305" s="6">
        <v>3000</v>
      </c>
      <c r="I1305" s="6">
        <v>3000</v>
      </c>
      <c r="J1305" s="32"/>
      <c r="K1305" s="32"/>
      <c r="L1305" s="2" t="s">
        <v>330</v>
      </c>
      <c r="M1305" s="36" t="str">
        <f t="shared" si="20"/>
        <v>19641020</v>
      </c>
    </row>
    <row r="1306" s="1" customFormat="1" spans="1:13">
      <c r="A1306" s="2">
        <v>3087</v>
      </c>
      <c r="B1306" s="3" t="s">
        <v>6671</v>
      </c>
      <c r="C1306" s="9" t="s">
        <v>6699</v>
      </c>
      <c r="D1306" s="9" t="s">
        <v>6700</v>
      </c>
      <c r="E1306" s="3" t="s">
        <v>15</v>
      </c>
      <c r="F1306" s="3" t="s">
        <v>15</v>
      </c>
      <c r="G1306" s="6" t="s">
        <v>3359</v>
      </c>
      <c r="H1306" s="9">
        <v>200</v>
      </c>
      <c r="I1306" s="9">
        <v>200</v>
      </c>
      <c r="J1306" s="6"/>
      <c r="K1306" s="5"/>
      <c r="L1306" s="10">
        <v>20201118</v>
      </c>
      <c r="M1306" s="36" t="str">
        <f t="shared" si="20"/>
        <v>19641020</v>
      </c>
    </row>
    <row r="1307" s="1" customFormat="1" spans="1:13">
      <c r="A1307" s="2">
        <v>3137</v>
      </c>
      <c r="B1307" s="3" t="s">
        <v>6671</v>
      </c>
      <c r="C1307" s="9" t="s">
        <v>6794</v>
      </c>
      <c r="D1307" s="9" t="s">
        <v>6795</v>
      </c>
      <c r="E1307" s="3" t="s">
        <v>15</v>
      </c>
      <c r="F1307" s="3" t="s">
        <v>15</v>
      </c>
      <c r="G1307" s="6" t="s">
        <v>3359</v>
      </c>
      <c r="H1307" s="9">
        <v>200</v>
      </c>
      <c r="I1307" s="9">
        <v>200</v>
      </c>
      <c r="J1307" s="6"/>
      <c r="K1307" s="5"/>
      <c r="L1307" s="10">
        <v>20201118</v>
      </c>
      <c r="M1307" s="36" t="str">
        <f t="shared" si="20"/>
        <v>19641021</v>
      </c>
    </row>
    <row r="1308" s="1" customFormat="1" spans="1:13">
      <c r="A1308" s="2">
        <v>4611</v>
      </c>
      <c r="B1308" s="6" t="s">
        <v>9015</v>
      </c>
      <c r="C1308" s="6" t="s">
        <v>9392</v>
      </c>
      <c r="D1308" s="6" t="s">
        <v>9393</v>
      </c>
      <c r="E1308" s="6">
        <v>2020</v>
      </c>
      <c r="F1308" s="6">
        <v>2020</v>
      </c>
      <c r="G1308" s="6" t="s">
        <v>16</v>
      </c>
      <c r="H1308" s="6">
        <v>200</v>
      </c>
      <c r="I1308" s="6">
        <v>200</v>
      </c>
      <c r="J1308" s="6"/>
      <c r="K1308" s="6"/>
      <c r="L1308" s="10">
        <v>20201118</v>
      </c>
      <c r="M1308" s="36" t="str">
        <f t="shared" si="20"/>
        <v>19641021</v>
      </c>
    </row>
    <row r="1309" s="1" customFormat="1" spans="1:13">
      <c r="A1309" s="2">
        <v>387</v>
      </c>
      <c r="B1309" s="21" t="s">
        <v>1040</v>
      </c>
      <c r="C1309" s="21" t="s">
        <v>1049</v>
      </c>
      <c r="D1309" s="22" t="s">
        <v>1050</v>
      </c>
      <c r="E1309" s="10">
        <v>2020</v>
      </c>
      <c r="F1309" s="2" t="s">
        <v>15</v>
      </c>
      <c r="G1309" s="21" t="s">
        <v>1051</v>
      </c>
      <c r="H1309" s="21">
        <v>200</v>
      </c>
      <c r="I1309" s="21">
        <v>200</v>
      </c>
      <c r="J1309" s="44"/>
      <c r="K1309" s="45"/>
      <c r="L1309" s="2" t="s">
        <v>325</v>
      </c>
      <c r="M1309" s="36" t="str">
        <f t="shared" si="20"/>
        <v>19641025</v>
      </c>
    </row>
    <row r="1310" s="1" customFormat="1" spans="1:13">
      <c r="A1310" s="2">
        <v>5088</v>
      </c>
      <c r="B1310" s="6" t="s">
        <v>10242</v>
      </c>
      <c r="C1310" s="9" t="s">
        <v>10308</v>
      </c>
      <c r="D1310" s="9" t="s">
        <v>10309</v>
      </c>
      <c r="E1310" s="5" t="s">
        <v>10250</v>
      </c>
      <c r="F1310" s="5">
        <v>2020</v>
      </c>
      <c r="G1310" s="6" t="s">
        <v>16</v>
      </c>
      <c r="H1310" s="6">
        <v>200</v>
      </c>
      <c r="I1310" s="6">
        <v>200</v>
      </c>
      <c r="J1310" s="6"/>
      <c r="K1310" s="5"/>
      <c r="L1310" s="10">
        <v>20201118</v>
      </c>
      <c r="M1310" s="36" t="str">
        <f t="shared" si="20"/>
        <v>19641025</v>
      </c>
    </row>
    <row r="1311" s="1" customFormat="1" spans="1:13">
      <c r="A1311" s="2">
        <v>5509</v>
      </c>
      <c r="B1311" s="30" t="s">
        <v>11090</v>
      </c>
      <c r="C1311" s="30" t="s">
        <v>11113</v>
      </c>
      <c r="D1311" s="30" t="s">
        <v>11114</v>
      </c>
      <c r="E1311" s="5" t="s">
        <v>15</v>
      </c>
      <c r="F1311" s="5" t="s">
        <v>10250</v>
      </c>
      <c r="G1311" s="6" t="s">
        <v>16</v>
      </c>
      <c r="H1311" s="32">
        <v>200</v>
      </c>
      <c r="I1311" s="32">
        <v>200</v>
      </c>
      <c r="J1311" s="6"/>
      <c r="K1311" s="48"/>
      <c r="L1311" s="10">
        <v>20201118</v>
      </c>
      <c r="M1311" s="36" t="str">
        <f t="shared" si="20"/>
        <v>19641025</v>
      </c>
    </row>
    <row r="1312" s="1" customFormat="1" spans="1:13">
      <c r="A1312" s="2">
        <v>5844</v>
      </c>
      <c r="B1312" s="30" t="s">
        <v>11090</v>
      </c>
      <c r="C1312" s="30" t="s">
        <v>11754</v>
      </c>
      <c r="D1312" s="30" t="s">
        <v>11755</v>
      </c>
      <c r="E1312" s="5" t="s">
        <v>15</v>
      </c>
      <c r="F1312" s="5" t="s">
        <v>10250</v>
      </c>
      <c r="G1312" s="6" t="s">
        <v>16</v>
      </c>
      <c r="H1312" s="32">
        <v>200</v>
      </c>
      <c r="I1312" s="32">
        <v>200</v>
      </c>
      <c r="J1312" s="6" t="s">
        <v>6097</v>
      </c>
      <c r="K1312" s="48"/>
      <c r="L1312" s="10">
        <v>20201118</v>
      </c>
      <c r="M1312" s="36" t="str">
        <f t="shared" si="20"/>
        <v>19641025</v>
      </c>
    </row>
    <row r="1313" s="1" customFormat="1" ht="14.25" spans="1:13">
      <c r="A1313" s="2">
        <v>7777</v>
      </c>
      <c r="B1313" s="5" t="s">
        <v>14875</v>
      </c>
      <c r="C1313" s="51" t="s">
        <v>15023</v>
      </c>
      <c r="D1313" s="24" t="str">
        <f>"152326196410257119"</f>
        <v>152326196410257119</v>
      </c>
      <c r="E1313" s="6" t="s">
        <v>15</v>
      </c>
      <c r="F1313" s="6">
        <v>2020</v>
      </c>
      <c r="G1313" s="24" t="s">
        <v>14877</v>
      </c>
      <c r="H1313" s="6">
        <v>200</v>
      </c>
      <c r="I1313" s="6">
        <v>200</v>
      </c>
      <c r="J1313" s="6"/>
      <c r="K1313" s="10"/>
      <c r="L1313" s="10">
        <v>20201118</v>
      </c>
      <c r="M1313" s="36" t="str">
        <f t="shared" si="20"/>
        <v>19641025</v>
      </c>
    </row>
    <row r="1314" s="1" customFormat="1" spans="1:13">
      <c r="A1314" s="2">
        <v>7029</v>
      </c>
      <c r="B1314" s="5" t="s">
        <v>13533</v>
      </c>
      <c r="C1314" s="32" t="s">
        <v>13775</v>
      </c>
      <c r="D1314" s="32" t="str">
        <f>"152326196410277128"</f>
        <v>152326196410277128</v>
      </c>
      <c r="E1314" s="5">
        <v>2020</v>
      </c>
      <c r="F1314" s="5">
        <v>2020</v>
      </c>
      <c r="G1314" s="9" t="s">
        <v>2480</v>
      </c>
      <c r="H1314" s="32">
        <v>200</v>
      </c>
      <c r="I1314" s="32">
        <v>200</v>
      </c>
      <c r="J1314" s="32"/>
      <c r="K1314" s="10"/>
      <c r="L1314" s="10">
        <v>20201118</v>
      </c>
      <c r="M1314" s="36" t="str">
        <f t="shared" si="20"/>
        <v>19641027</v>
      </c>
    </row>
    <row r="1315" s="1" customFormat="1" spans="1:13">
      <c r="A1315" s="2">
        <v>243</v>
      </c>
      <c r="B1315" s="14" t="s">
        <v>327</v>
      </c>
      <c r="C1315" s="14" t="s">
        <v>615</v>
      </c>
      <c r="D1315" s="14" t="s">
        <v>616</v>
      </c>
      <c r="E1315" s="5">
        <v>2020</v>
      </c>
      <c r="F1315" s="5">
        <v>2020</v>
      </c>
      <c r="G1315" s="14" t="s">
        <v>16</v>
      </c>
      <c r="H1315" s="14">
        <v>200</v>
      </c>
      <c r="I1315" s="14">
        <v>200</v>
      </c>
      <c r="J1315" s="14"/>
      <c r="K1315" s="10"/>
      <c r="L1315" s="2" t="s">
        <v>330</v>
      </c>
      <c r="M1315" s="36" t="str">
        <f t="shared" si="20"/>
        <v>19641028</v>
      </c>
    </row>
    <row r="1316" s="1" customFormat="1" spans="1:13">
      <c r="A1316" s="2">
        <v>586</v>
      </c>
      <c r="B1316" s="29" t="s">
        <v>1040</v>
      </c>
      <c r="C1316" s="29" t="s">
        <v>1448</v>
      </c>
      <c r="D1316" s="29" t="s">
        <v>1449</v>
      </c>
      <c r="E1316" s="30">
        <v>2020</v>
      </c>
      <c r="F1316" s="30">
        <v>2020</v>
      </c>
      <c r="G1316" s="29" t="s">
        <v>16</v>
      </c>
      <c r="H1316" s="29">
        <v>200</v>
      </c>
      <c r="I1316" s="29">
        <v>200</v>
      </c>
      <c r="J1316" s="29"/>
      <c r="K1316" s="47"/>
      <c r="L1316" s="2" t="s">
        <v>330</v>
      </c>
      <c r="M1316" s="36" t="str">
        <f t="shared" si="20"/>
        <v>19641028</v>
      </c>
    </row>
    <row r="1317" s="1" customFormat="1" spans="1:13">
      <c r="A1317" s="2">
        <v>845</v>
      </c>
      <c r="B1317" s="29" t="s">
        <v>1040</v>
      </c>
      <c r="C1317" s="29" t="s">
        <v>2182</v>
      </c>
      <c r="D1317" s="29" t="s">
        <v>2183</v>
      </c>
      <c r="E1317" s="30">
        <v>2020</v>
      </c>
      <c r="F1317" s="30">
        <v>2020</v>
      </c>
      <c r="G1317" s="29" t="s">
        <v>16</v>
      </c>
      <c r="H1317" s="29">
        <v>200</v>
      </c>
      <c r="I1317" s="29">
        <v>200</v>
      </c>
      <c r="J1317" s="32" t="s">
        <v>1082</v>
      </c>
      <c r="K1317" s="32"/>
      <c r="L1317" s="14" t="s">
        <v>330</v>
      </c>
      <c r="M1317" s="36" t="str">
        <f t="shared" si="20"/>
        <v>19641028</v>
      </c>
    </row>
    <row r="1318" s="1" customFormat="1" spans="1:13">
      <c r="A1318" s="2">
        <v>8046</v>
      </c>
      <c r="B1318" s="5" t="s">
        <v>15086</v>
      </c>
      <c r="C1318" s="6" t="s">
        <v>15324</v>
      </c>
      <c r="D1318" s="6" t="str">
        <f>"152326196410286876"</f>
        <v>152326196410286876</v>
      </c>
      <c r="E1318" s="5" t="s">
        <v>15</v>
      </c>
      <c r="F1318" s="5">
        <v>2020</v>
      </c>
      <c r="G1318" s="5" t="s">
        <v>16</v>
      </c>
      <c r="H1318" s="5">
        <v>200</v>
      </c>
      <c r="I1318" s="5">
        <v>200</v>
      </c>
      <c r="J1318" s="5"/>
      <c r="K1318" s="5"/>
      <c r="L1318" s="10">
        <v>20201118</v>
      </c>
      <c r="M1318" s="36" t="str">
        <f t="shared" si="20"/>
        <v>19641028</v>
      </c>
    </row>
    <row r="1319" s="1" customFormat="1" spans="1:13">
      <c r="A1319" s="2">
        <v>2565</v>
      </c>
      <c r="B1319" s="32" t="s">
        <v>5602</v>
      </c>
      <c r="C1319" s="9" t="s">
        <v>5668</v>
      </c>
      <c r="D1319" s="9" t="s">
        <v>5669</v>
      </c>
      <c r="E1319" s="32">
        <v>2020</v>
      </c>
      <c r="F1319" s="32">
        <v>2020</v>
      </c>
      <c r="G1319" s="32" t="s">
        <v>16</v>
      </c>
      <c r="H1319" s="9">
        <v>200</v>
      </c>
      <c r="I1319" s="9">
        <v>200</v>
      </c>
      <c r="J1319" s="32"/>
      <c r="K1319" s="52"/>
      <c r="L1319" s="10">
        <v>20201118</v>
      </c>
      <c r="M1319" s="36" t="str">
        <f t="shared" si="20"/>
        <v>19641030</v>
      </c>
    </row>
    <row r="1320" s="1" customFormat="1" spans="1:13">
      <c r="A1320" s="2">
        <v>6556</v>
      </c>
      <c r="B1320" s="5" t="s">
        <v>13027</v>
      </c>
      <c r="C1320" s="15" t="s">
        <v>13106</v>
      </c>
      <c r="D1320" s="15" t="s">
        <v>13107</v>
      </c>
      <c r="E1320" s="5">
        <v>2020</v>
      </c>
      <c r="F1320" s="5">
        <v>2020</v>
      </c>
      <c r="G1320" s="14" t="s">
        <v>16</v>
      </c>
      <c r="H1320" s="15">
        <v>200</v>
      </c>
      <c r="I1320" s="15">
        <v>200</v>
      </c>
      <c r="J1320" s="5"/>
      <c r="K1320" s="10"/>
      <c r="L1320" s="10">
        <v>20201118</v>
      </c>
      <c r="M1320" s="36" t="str">
        <f t="shared" si="20"/>
        <v>19641101</v>
      </c>
    </row>
    <row r="1321" s="1" customFormat="1" spans="1:13">
      <c r="A1321" s="2">
        <v>7202</v>
      </c>
      <c r="B1321" s="5" t="s">
        <v>13908</v>
      </c>
      <c r="C1321" s="5" t="s">
        <v>14053</v>
      </c>
      <c r="D1321" s="5" t="s">
        <v>14054</v>
      </c>
      <c r="E1321" s="5" t="s">
        <v>15</v>
      </c>
      <c r="F1321" s="5" t="s">
        <v>15</v>
      </c>
      <c r="G1321" s="14" t="s">
        <v>16</v>
      </c>
      <c r="H1321" s="17">
        <v>200</v>
      </c>
      <c r="I1321" s="17">
        <v>200</v>
      </c>
      <c r="J1321" s="5"/>
      <c r="K1321" s="10"/>
      <c r="L1321" s="10">
        <v>20201118</v>
      </c>
      <c r="M1321" s="36" t="str">
        <f t="shared" si="20"/>
        <v>19641101</v>
      </c>
    </row>
    <row r="1322" s="1" customFormat="1" spans="1:13">
      <c r="A1322" s="2">
        <v>7580</v>
      </c>
      <c r="B1322" s="5" t="s">
        <v>14402</v>
      </c>
      <c r="C1322" s="5" t="s">
        <v>6686</v>
      </c>
      <c r="D1322" s="5" t="s">
        <v>14760</v>
      </c>
      <c r="E1322" s="5">
        <v>2020</v>
      </c>
      <c r="F1322" s="5">
        <v>2020</v>
      </c>
      <c r="G1322" s="17" t="s">
        <v>16</v>
      </c>
      <c r="H1322" s="5">
        <v>200</v>
      </c>
      <c r="I1322" s="5">
        <v>200</v>
      </c>
      <c r="J1322" s="5"/>
      <c r="K1322" s="10"/>
      <c r="L1322" s="10">
        <v>20201118</v>
      </c>
      <c r="M1322" s="36" t="str">
        <f t="shared" si="20"/>
        <v>19641101</v>
      </c>
    </row>
    <row r="1323" s="1" customFormat="1" spans="1:13">
      <c r="A1323" s="2">
        <v>3471</v>
      </c>
      <c r="B1323" s="5" t="s">
        <v>3375</v>
      </c>
      <c r="C1323" s="6" t="s">
        <v>7253</v>
      </c>
      <c r="D1323" s="6" t="str">
        <f>"152326196411046866"</f>
        <v>152326196411046866</v>
      </c>
      <c r="E1323" s="5" t="s">
        <v>15</v>
      </c>
      <c r="F1323" s="5">
        <v>2020</v>
      </c>
      <c r="G1323" s="14" t="s">
        <v>16</v>
      </c>
      <c r="H1323" s="17">
        <v>200</v>
      </c>
      <c r="I1323" s="17">
        <v>200</v>
      </c>
      <c r="J1323" s="6"/>
      <c r="K1323" s="10"/>
      <c r="L1323" s="10">
        <v>20201118</v>
      </c>
      <c r="M1323" s="36" t="str">
        <f t="shared" si="20"/>
        <v>19641104</v>
      </c>
    </row>
    <row r="1324" s="1" customFormat="1" spans="1:13">
      <c r="A1324" s="2">
        <v>4201</v>
      </c>
      <c r="B1324" s="9" t="s">
        <v>8515</v>
      </c>
      <c r="C1324" s="9" t="s">
        <v>8606</v>
      </c>
      <c r="D1324" s="9" t="s">
        <v>8607</v>
      </c>
      <c r="E1324" s="5" t="s">
        <v>15</v>
      </c>
      <c r="F1324" s="5">
        <v>2020</v>
      </c>
      <c r="G1324" s="9" t="s">
        <v>2480</v>
      </c>
      <c r="H1324" s="9">
        <v>200</v>
      </c>
      <c r="I1324" s="9">
        <v>200</v>
      </c>
      <c r="J1324" s="9"/>
      <c r="K1324" s="9"/>
      <c r="L1324" s="10">
        <v>20201118</v>
      </c>
      <c r="M1324" s="36" t="str">
        <f t="shared" si="20"/>
        <v>19641104</v>
      </c>
    </row>
    <row r="1325" s="1" customFormat="1" spans="1:13">
      <c r="A1325" s="2">
        <v>7025</v>
      </c>
      <c r="B1325" s="5" t="s">
        <v>13533</v>
      </c>
      <c r="C1325" s="32" t="s">
        <v>13770</v>
      </c>
      <c r="D1325" s="32" t="str">
        <f>"152326196411057119"</f>
        <v>152326196411057119</v>
      </c>
      <c r="E1325" s="5">
        <v>2020</v>
      </c>
      <c r="F1325" s="5">
        <v>2020</v>
      </c>
      <c r="G1325" s="9" t="s">
        <v>2480</v>
      </c>
      <c r="H1325" s="32">
        <v>500</v>
      </c>
      <c r="I1325" s="32">
        <v>500</v>
      </c>
      <c r="J1325" s="62"/>
      <c r="K1325" s="10"/>
      <c r="L1325" s="10">
        <v>20201118</v>
      </c>
      <c r="M1325" s="36" t="str">
        <f t="shared" si="20"/>
        <v>19641105</v>
      </c>
    </row>
    <row r="1326" s="1" customFormat="1" spans="1:13">
      <c r="A1326" s="2">
        <v>128</v>
      </c>
      <c r="B1326" s="3" t="s">
        <v>12</v>
      </c>
      <c r="C1326" s="6" t="s">
        <v>272</v>
      </c>
      <c r="D1326" s="6" t="s">
        <v>273</v>
      </c>
      <c r="E1326" s="3" t="s">
        <v>15</v>
      </c>
      <c r="F1326" s="3" t="s">
        <v>15</v>
      </c>
      <c r="G1326" s="3" t="s">
        <v>189</v>
      </c>
      <c r="H1326" s="3">
        <v>200</v>
      </c>
      <c r="I1326" s="3">
        <v>200</v>
      </c>
      <c r="J1326" s="3"/>
      <c r="K1326" s="3"/>
      <c r="L1326" s="10">
        <v>20201118</v>
      </c>
      <c r="M1326" s="36" t="str">
        <f t="shared" si="20"/>
        <v>19641106</v>
      </c>
    </row>
    <row r="1327" s="1" customFormat="1" spans="1:13">
      <c r="A1327" s="2">
        <v>7027</v>
      </c>
      <c r="B1327" s="5" t="s">
        <v>13533</v>
      </c>
      <c r="C1327" s="32" t="s">
        <v>13772</v>
      </c>
      <c r="D1327" s="32" t="str">
        <f>"152326196411087123"</f>
        <v>152326196411087123</v>
      </c>
      <c r="E1327" s="5">
        <v>2020</v>
      </c>
      <c r="F1327" s="5">
        <v>2020</v>
      </c>
      <c r="G1327" s="9" t="s">
        <v>2480</v>
      </c>
      <c r="H1327" s="32">
        <v>200</v>
      </c>
      <c r="I1327" s="32">
        <v>200</v>
      </c>
      <c r="J1327" s="32"/>
      <c r="K1327" s="10"/>
      <c r="L1327" s="10">
        <v>20201118</v>
      </c>
      <c r="M1327" s="36" t="str">
        <f t="shared" si="20"/>
        <v>19641108</v>
      </c>
    </row>
    <row r="1328" s="1" customFormat="1" spans="1:13">
      <c r="A1328" s="2">
        <v>1488</v>
      </c>
      <c r="B1328" s="5" t="s">
        <v>3381</v>
      </c>
      <c r="C1328" s="9" t="s">
        <v>3544</v>
      </c>
      <c r="D1328" s="9" t="s">
        <v>3545</v>
      </c>
      <c r="E1328" s="5">
        <v>2020</v>
      </c>
      <c r="F1328" s="5">
        <v>2020</v>
      </c>
      <c r="G1328" s="14" t="s">
        <v>16</v>
      </c>
      <c r="H1328" s="6">
        <v>200</v>
      </c>
      <c r="I1328" s="6">
        <v>200</v>
      </c>
      <c r="J1328" s="5"/>
      <c r="K1328" s="13"/>
      <c r="L1328" s="10">
        <v>20201118</v>
      </c>
      <c r="M1328" s="36" t="str">
        <f t="shared" si="20"/>
        <v>19641109</v>
      </c>
    </row>
    <row r="1329" s="1" customFormat="1" spans="1:13">
      <c r="A1329" s="2">
        <v>6143</v>
      </c>
      <c r="B1329" s="5" t="s">
        <v>12263</v>
      </c>
      <c r="C1329" s="5" t="s">
        <v>12320</v>
      </c>
      <c r="D1329" s="5" t="s">
        <v>12321</v>
      </c>
      <c r="E1329" s="5" t="s">
        <v>10250</v>
      </c>
      <c r="F1329" s="5">
        <v>2020</v>
      </c>
      <c r="G1329" s="17" t="s">
        <v>3359</v>
      </c>
      <c r="H1329" s="5">
        <v>200</v>
      </c>
      <c r="I1329" s="5">
        <v>200</v>
      </c>
      <c r="J1329" s="5"/>
      <c r="K1329" s="5"/>
      <c r="L1329" s="10">
        <v>20201118</v>
      </c>
      <c r="M1329" s="36" t="str">
        <f t="shared" si="20"/>
        <v>19641109</v>
      </c>
    </row>
    <row r="1330" s="1" customFormat="1" spans="1:13">
      <c r="A1330" s="2">
        <v>1871</v>
      </c>
      <c r="B1330" s="5" t="s">
        <v>4189</v>
      </c>
      <c r="C1330" s="16" t="s">
        <v>4306</v>
      </c>
      <c r="D1330" s="16" t="s">
        <v>4307</v>
      </c>
      <c r="E1330" s="5" t="s">
        <v>15</v>
      </c>
      <c r="F1330" s="5" t="s">
        <v>15</v>
      </c>
      <c r="G1330" s="5" t="s">
        <v>3359</v>
      </c>
      <c r="H1330" s="16">
        <v>200</v>
      </c>
      <c r="I1330" s="16">
        <v>200</v>
      </c>
      <c r="J1330" s="5"/>
      <c r="K1330" s="10"/>
      <c r="L1330" s="10">
        <v>20201118</v>
      </c>
      <c r="M1330" s="36" t="str">
        <f t="shared" si="20"/>
        <v>19641110</v>
      </c>
    </row>
    <row r="1331" s="1" customFormat="1" spans="1:13">
      <c r="A1331" s="2">
        <v>4547</v>
      </c>
      <c r="B1331" s="6" t="s">
        <v>9015</v>
      </c>
      <c r="C1331" s="6" t="s">
        <v>9274</v>
      </c>
      <c r="D1331" s="6" t="s">
        <v>9275</v>
      </c>
      <c r="E1331" s="6">
        <v>2020</v>
      </c>
      <c r="F1331" s="6">
        <v>2020</v>
      </c>
      <c r="G1331" s="6" t="s">
        <v>16</v>
      </c>
      <c r="H1331" s="6">
        <v>200</v>
      </c>
      <c r="I1331" s="6">
        <v>200</v>
      </c>
      <c r="J1331" s="6"/>
      <c r="K1331" s="6"/>
      <c r="L1331" s="10">
        <v>20201118</v>
      </c>
      <c r="M1331" s="36" t="str">
        <f t="shared" si="20"/>
        <v>19641110</v>
      </c>
    </row>
    <row r="1332" s="1" customFormat="1" spans="1:13">
      <c r="A1332" s="2">
        <v>4734</v>
      </c>
      <c r="B1332" s="6" t="s">
        <v>9015</v>
      </c>
      <c r="C1332" s="6" t="s">
        <v>9625</v>
      </c>
      <c r="D1332" s="6" t="s">
        <v>9626</v>
      </c>
      <c r="E1332" s="6">
        <v>2020</v>
      </c>
      <c r="F1332" s="6">
        <v>2020</v>
      </c>
      <c r="G1332" s="6" t="s">
        <v>16</v>
      </c>
      <c r="H1332" s="6">
        <v>200</v>
      </c>
      <c r="I1332" s="6">
        <v>200</v>
      </c>
      <c r="J1332" s="6"/>
      <c r="K1332" s="6"/>
      <c r="L1332" s="10">
        <v>20201118</v>
      </c>
      <c r="M1332" s="36" t="str">
        <f t="shared" si="20"/>
        <v>19641110</v>
      </c>
    </row>
    <row r="1333" s="1" customFormat="1" spans="1:13">
      <c r="A1333" s="2">
        <v>8157</v>
      </c>
      <c r="B1333" s="5" t="s">
        <v>15406</v>
      </c>
      <c r="C1333" s="6" t="s">
        <v>15506</v>
      </c>
      <c r="D1333" s="6" t="s">
        <v>15507</v>
      </c>
      <c r="E1333" s="5" t="s">
        <v>15</v>
      </c>
      <c r="F1333" s="5">
        <v>2020</v>
      </c>
      <c r="G1333" s="14" t="s">
        <v>16</v>
      </c>
      <c r="H1333" s="6">
        <v>200</v>
      </c>
      <c r="I1333" s="6">
        <v>200</v>
      </c>
      <c r="J1333" s="5"/>
      <c r="K1333" s="10"/>
      <c r="L1333" s="10">
        <v>20201118</v>
      </c>
      <c r="M1333" s="36" t="str">
        <f t="shared" si="20"/>
        <v>19641111</v>
      </c>
    </row>
    <row r="1334" s="1" customFormat="1" spans="1:13">
      <c r="A1334" s="2">
        <v>3465</v>
      </c>
      <c r="B1334" s="5" t="s">
        <v>3375</v>
      </c>
      <c r="C1334" s="6" t="s">
        <v>7245</v>
      </c>
      <c r="D1334" s="6" t="str">
        <f>"152326196411126874"</f>
        <v>152326196411126874</v>
      </c>
      <c r="E1334" s="5" t="s">
        <v>15</v>
      </c>
      <c r="F1334" s="5">
        <v>2020</v>
      </c>
      <c r="G1334" s="14" t="s">
        <v>16</v>
      </c>
      <c r="H1334" s="17">
        <v>200</v>
      </c>
      <c r="I1334" s="17">
        <v>200</v>
      </c>
      <c r="J1334" s="6"/>
      <c r="K1334" s="10"/>
      <c r="L1334" s="10">
        <v>20201118</v>
      </c>
      <c r="M1334" s="36" t="str">
        <f t="shared" si="20"/>
        <v>19641112</v>
      </c>
    </row>
    <row r="1335" s="1" customFormat="1" spans="1:13">
      <c r="A1335" s="2">
        <v>6424</v>
      </c>
      <c r="B1335" s="5" t="s">
        <v>12263</v>
      </c>
      <c r="C1335" s="5" t="s">
        <v>12854</v>
      </c>
      <c r="D1335" s="5" t="s">
        <v>12855</v>
      </c>
      <c r="E1335" s="5" t="s">
        <v>10250</v>
      </c>
      <c r="F1335" s="5">
        <v>2020</v>
      </c>
      <c r="G1335" s="17" t="s">
        <v>3359</v>
      </c>
      <c r="H1335" s="5">
        <v>500</v>
      </c>
      <c r="I1335" s="5">
        <v>500</v>
      </c>
      <c r="J1335" s="5"/>
      <c r="K1335" s="5"/>
      <c r="L1335" s="10">
        <v>20201118</v>
      </c>
      <c r="M1335" s="36" t="str">
        <f t="shared" si="20"/>
        <v>19641114</v>
      </c>
    </row>
    <row r="1336" s="1" customFormat="1" spans="1:13">
      <c r="A1336" s="2">
        <v>4425</v>
      </c>
      <c r="B1336" s="6" t="s">
        <v>9015</v>
      </c>
      <c r="C1336" s="6" t="s">
        <v>9039</v>
      </c>
      <c r="D1336" s="6" t="s">
        <v>9040</v>
      </c>
      <c r="E1336" s="6">
        <v>2020</v>
      </c>
      <c r="F1336" s="6">
        <v>2020</v>
      </c>
      <c r="G1336" s="6" t="s">
        <v>16</v>
      </c>
      <c r="H1336" s="6">
        <v>200</v>
      </c>
      <c r="I1336" s="6">
        <v>200</v>
      </c>
      <c r="J1336" s="6"/>
      <c r="K1336" s="6"/>
      <c r="L1336" s="10">
        <v>20201118</v>
      </c>
      <c r="M1336" s="36" t="str">
        <f t="shared" si="20"/>
        <v>19641115</v>
      </c>
    </row>
    <row r="1337" s="1" customFormat="1" spans="1:13">
      <c r="A1337" s="2">
        <v>103</v>
      </c>
      <c r="B1337" s="3" t="s">
        <v>12</v>
      </c>
      <c r="C1337" s="6" t="s">
        <v>222</v>
      </c>
      <c r="D1337" s="6" t="s">
        <v>223</v>
      </c>
      <c r="E1337" s="3" t="s">
        <v>15</v>
      </c>
      <c r="F1337" s="3" t="s">
        <v>15</v>
      </c>
      <c r="G1337" s="3" t="s">
        <v>189</v>
      </c>
      <c r="H1337" s="3">
        <v>300</v>
      </c>
      <c r="I1337" s="3">
        <v>300</v>
      </c>
      <c r="J1337" s="3"/>
      <c r="K1337" s="3"/>
      <c r="L1337" s="10">
        <v>20201118</v>
      </c>
      <c r="M1337" s="36" t="str">
        <f t="shared" si="20"/>
        <v>19641118</v>
      </c>
    </row>
    <row r="1338" s="1" customFormat="1" spans="1:13">
      <c r="A1338" s="2">
        <v>2187</v>
      </c>
      <c r="B1338" s="9" t="s">
        <v>4837</v>
      </c>
      <c r="C1338" s="9" t="s">
        <v>4922</v>
      </c>
      <c r="D1338" s="9" t="s">
        <v>4923</v>
      </c>
      <c r="E1338" s="6" t="s">
        <v>15</v>
      </c>
      <c r="F1338" s="6">
        <v>2020</v>
      </c>
      <c r="G1338" s="9" t="s">
        <v>2480</v>
      </c>
      <c r="H1338" s="9">
        <v>200</v>
      </c>
      <c r="I1338" s="9">
        <v>200</v>
      </c>
      <c r="J1338" s="6"/>
      <c r="K1338" s="10"/>
      <c r="L1338" s="10">
        <v>20201118</v>
      </c>
      <c r="M1338" s="36" t="str">
        <f t="shared" si="20"/>
        <v>19641118</v>
      </c>
    </row>
    <row r="1339" s="1" customFormat="1" ht="14.25" spans="1:13">
      <c r="A1339" s="2">
        <v>6110</v>
      </c>
      <c r="B1339" s="30" t="s">
        <v>11090</v>
      </c>
      <c r="C1339" s="32" t="s">
        <v>12255</v>
      </c>
      <c r="D1339" s="12" t="s">
        <v>12256</v>
      </c>
      <c r="E1339" s="5" t="s">
        <v>310</v>
      </c>
      <c r="F1339" s="5" t="s">
        <v>10250</v>
      </c>
      <c r="G1339" s="32" t="s">
        <v>2460</v>
      </c>
      <c r="H1339" s="32" t="s">
        <v>311</v>
      </c>
      <c r="I1339" s="32">
        <v>2000</v>
      </c>
      <c r="J1339" s="5"/>
      <c r="K1339" s="48"/>
      <c r="L1339" s="10">
        <v>20201118</v>
      </c>
      <c r="M1339" s="36" t="str">
        <f t="shared" si="20"/>
        <v>19641118</v>
      </c>
    </row>
    <row r="1340" s="1" customFormat="1" spans="1:13">
      <c r="A1340" s="2">
        <v>710</v>
      </c>
      <c r="B1340" s="29" t="s">
        <v>1040</v>
      </c>
      <c r="C1340" s="5" t="s">
        <v>1781</v>
      </c>
      <c r="D1340" s="5" t="s">
        <v>1782</v>
      </c>
      <c r="E1340" s="30">
        <v>2020</v>
      </c>
      <c r="F1340" s="30">
        <v>2020</v>
      </c>
      <c r="G1340" s="29" t="s">
        <v>16</v>
      </c>
      <c r="H1340" s="29">
        <v>200</v>
      </c>
      <c r="I1340" s="29">
        <v>200</v>
      </c>
      <c r="J1340" s="29"/>
      <c r="K1340" s="54"/>
      <c r="L1340" s="14" t="s">
        <v>330</v>
      </c>
      <c r="M1340" s="36" t="str">
        <f t="shared" si="20"/>
        <v>19641120</v>
      </c>
    </row>
    <row r="1341" s="1" customFormat="1" spans="1:13">
      <c r="A1341" s="2">
        <v>5584</v>
      </c>
      <c r="B1341" s="30" t="s">
        <v>11090</v>
      </c>
      <c r="C1341" s="30" t="s">
        <v>11261</v>
      </c>
      <c r="D1341" s="30" t="s">
        <v>11262</v>
      </c>
      <c r="E1341" s="5" t="s">
        <v>15</v>
      </c>
      <c r="F1341" s="5" t="s">
        <v>10250</v>
      </c>
      <c r="G1341" s="6" t="s">
        <v>16</v>
      </c>
      <c r="H1341" s="32">
        <v>200</v>
      </c>
      <c r="I1341" s="32">
        <v>200</v>
      </c>
      <c r="J1341" s="6" t="s">
        <v>6097</v>
      </c>
      <c r="K1341" s="48"/>
      <c r="L1341" s="10">
        <v>20201118</v>
      </c>
      <c r="M1341" s="36" t="str">
        <f t="shared" si="20"/>
        <v>19641120</v>
      </c>
    </row>
    <row r="1342" s="1" customFormat="1" spans="1:13">
      <c r="A1342" s="2">
        <v>3470</v>
      </c>
      <c r="B1342" s="5" t="s">
        <v>3375</v>
      </c>
      <c r="C1342" s="6" t="s">
        <v>7251</v>
      </c>
      <c r="D1342" s="6" t="s">
        <v>7252</v>
      </c>
      <c r="E1342" s="5" t="s">
        <v>15</v>
      </c>
      <c r="F1342" s="5">
        <v>2020</v>
      </c>
      <c r="G1342" s="14" t="s">
        <v>16</v>
      </c>
      <c r="H1342" s="17">
        <v>200</v>
      </c>
      <c r="I1342" s="17">
        <v>200</v>
      </c>
      <c r="J1342" s="6"/>
      <c r="K1342" s="10"/>
      <c r="L1342" s="10">
        <v>20201118</v>
      </c>
      <c r="M1342" s="36" t="str">
        <f t="shared" si="20"/>
        <v>19641121</v>
      </c>
    </row>
    <row r="1343" s="1" customFormat="1" spans="1:13">
      <c r="A1343" s="2">
        <v>552</v>
      </c>
      <c r="B1343" s="29" t="s">
        <v>1040</v>
      </c>
      <c r="C1343" s="29" t="s">
        <v>1381</v>
      </c>
      <c r="D1343" s="29" t="s">
        <v>1382</v>
      </c>
      <c r="E1343" s="30">
        <v>2020</v>
      </c>
      <c r="F1343" s="30">
        <v>2020</v>
      </c>
      <c r="G1343" s="29" t="s">
        <v>16</v>
      </c>
      <c r="H1343" s="29">
        <v>200</v>
      </c>
      <c r="I1343" s="29">
        <v>200</v>
      </c>
      <c r="J1343" s="29"/>
      <c r="K1343" s="47"/>
      <c r="L1343" s="2" t="s">
        <v>330</v>
      </c>
      <c r="M1343" s="36" t="str">
        <f t="shared" si="20"/>
        <v>19641123</v>
      </c>
    </row>
    <row r="1344" s="1" customFormat="1" spans="1:13">
      <c r="A1344" s="2">
        <v>1873</v>
      </c>
      <c r="B1344" s="5" t="s">
        <v>4189</v>
      </c>
      <c r="C1344" s="16" t="s">
        <v>4309</v>
      </c>
      <c r="D1344" s="16" t="s">
        <v>4310</v>
      </c>
      <c r="E1344" s="5" t="s">
        <v>15</v>
      </c>
      <c r="F1344" s="5" t="s">
        <v>15</v>
      </c>
      <c r="G1344" s="5" t="s">
        <v>3359</v>
      </c>
      <c r="H1344" s="16">
        <v>200</v>
      </c>
      <c r="I1344" s="16">
        <v>200</v>
      </c>
      <c r="J1344" s="5"/>
      <c r="K1344" s="10"/>
      <c r="L1344" s="10">
        <v>20201118</v>
      </c>
      <c r="M1344" s="36" t="str">
        <f t="shared" si="20"/>
        <v>19641123</v>
      </c>
    </row>
    <row r="1345" s="1" customFormat="1" spans="1:13">
      <c r="A1345" s="2">
        <v>3687</v>
      </c>
      <c r="B1345" s="5" t="s">
        <v>7412</v>
      </c>
      <c r="C1345" s="5" t="s">
        <v>7633</v>
      </c>
      <c r="D1345" s="5" t="s">
        <v>7634</v>
      </c>
      <c r="E1345" s="6">
        <v>2020</v>
      </c>
      <c r="F1345" s="6">
        <v>2020</v>
      </c>
      <c r="G1345" s="5" t="s">
        <v>3359</v>
      </c>
      <c r="H1345" s="5">
        <v>200</v>
      </c>
      <c r="I1345" s="5">
        <v>200</v>
      </c>
      <c r="J1345" s="5"/>
      <c r="K1345" s="5"/>
      <c r="L1345" s="10">
        <v>20201118</v>
      </c>
      <c r="M1345" s="36" t="str">
        <f t="shared" si="20"/>
        <v>19641126</v>
      </c>
    </row>
    <row r="1346" s="1" customFormat="1" spans="1:13">
      <c r="A1346" s="2">
        <v>3688</v>
      </c>
      <c r="B1346" s="5" t="s">
        <v>7412</v>
      </c>
      <c r="C1346" s="5" t="s">
        <v>7620</v>
      </c>
      <c r="D1346" s="5" t="s">
        <v>7635</v>
      </c>
      <c r="E1346" s="6">
        <v>2020</v>
      </c>
      <c r="F1346" s="6">
        <v>2020</v>
      </c>
      <c r="G1346" s="5" t="s">
        <v>3359</v>
      </c>
      <c r="H1346" s="5">
        <v>200</v>
      </c>
      <c r="I1346" s="5">
        <v>200</v>
      </c>
      <c r="J1346" s="5"/>
      <c r="K1346" s="5"/>
      <c r="L1346" s="10">
        <v>20201118</v>
      </c>
      <c r="M1346" s="36" t="str">
        <f t="shared" ref="M1346:M1409" si="21">MID(D1346,7,8)</f>
        <v>19641126</v>
      </c>
    </row>
    <row r="1347" s="1" customFormat="1" spans="1:13">
      <c r="A1347" s="2">
        <v>3476</v>
      </c>
      <c r="B1347" s="5" t="s">
        <v>3375</v>
      </c>
      <c r="C1347" s="6" t="s">
        <v>7259</v>
      </c>
      <c r="D1347" s="6" t="str">
        <f>"152326196411276864"</f>
        <v>152326196411276864</v>
      </c>
      <c r="E1347" s="5" t="s">
        <v>15</v>
      </c>
      <c r="F1347" s="5">
        <v>2020</v>
      </c>
      <c r="G1347" s="14" t="s">
        <v>16</v>
      </c>
      <c r="H1347" s="17">
        <v>200</v>
      </c>
      <c r="I1347" s="17">
        <v>200</v>
      </c>
      <c r="J1347" s="6"/>
      <c r="K1347" s="10"/>
      <c r="L1347" s="10">
        <v>20201118</v>
      </c>
      <c r="M1347" s="36" t="str">
        <f t="shared" si="21"/>
        <v>19641127</v>
      </c>
    </row>
    <row r="1348" s="1" customFormat="1" ht="14.25" spans="1:13">
      <c r="A1348" s="2">
        <v>7778</v>
      </c>
      <c r="B1348" s="5" t="s">
        <v>14875</v>
      </c>
      <c r="C1348" s="51" t="s">
        <v>15024</v>
      </c>
      <c r="D1348" s="24" t="str">
        <f>"152326196411277111"</f>
        <v>152326196411277111</v>
      </c>
      <c r="E1348" s="6" t="s">
        <v>15</v>
      </c>
      <c r="F1348" s="6">
        <v>2020</v>
      </c>
      <c r="G1348" s="24" t="s">
        <v>14877</v>
      </c>
      <c r="H1348" s="6">
        <v>200</v>
      </c>
      <c r="I1348" s="6">
        <v>200</v>
      </c>
      <c r="J1348" s="6"/>
      <c r="K1348" s="10"/>
      <c r="L1348" s="10">
        <v>20201118</v>
      </c>
      <c r="M1348" s="36" t="str">
        <f t="shared" si="21"/>
        <v>19641127</v>
      </c>
    </row>
    <row r="1349" s="1" customFormat="1" spans="1:13">
      <c r="A1349" s="2">
        <v>8047</v>
      </c>
      <c r="B1349" s="5" t="s">
        <v>15086</v>
      </c>
      <c r="C1349" s="6" t="s">
        <v>15325</v>
      </c>
      <c r="D1349" s="6" t="s">
        <v>15326</v>
      </c>
      <c r="E1349" s="5" t="s">
        <v>15</v>
      </c>
      <c r="F1349" s="5">
        <v>2020</v>
      </c>
      <c r="G1349" s="5" t="s">
        <v>16</v>
      </c>
      <c r="H1349" s="5">
        <v>200</v>
      </c>
      <c r="I1349" s="5">
        <v>200</v>
      </c>
      <c r="J1349" s="5"/>
      <c r="K1349" s="5"/>
      <c r="L1349" s="10">
        <v>20201118</v>
      </c>
      <c r="M1349" s="36" t="str">
        <f t="shared" si="21"/>
        <v>19641128</v>
      </c>
    </row>
    <row r="1350" s="1" customFormat="1" ht="14.25" spans="1:13">
      <c r="A1350" s="2">
        <v>5256</v>
      </c>
      <c r="B1350" s="33" t="s">
        <v>10535</v>
      </c>
      <c r="C1350" s="34" t="s">
        <v>10629</v>
      </c>
      <c r="D1350" s="34" t="s">
        <v>10630</v>
      </c>
      <c r="E1350" s="35">
        <v>2020</v>
      </c>
      <c r="F1350" s="35">
        <v>2020</v>
      </c>
      <c r="G1350" s="35" t="s">
        <v>16</v>
      </c>
      <c r="H1350" s="34">
        <v>200</v>
      </c>
      <c r="I1350" s="34">
        <v>200</v>
      </c>
      <c r="J1350" s="49"/>
      <c r="K1350" s="10"/>
      <c r="L1350" s="10">
        <v>20201118</v>
      </c>
      <c r="M1350" s="36" t="str">
        <f t="shared" si="21"/>
        <v>19641201</v>
      </c>
    </row>
    <row r="1351" s="1" customFormat="1" ht="14.25" spans="1:13">
      <c r="A1351" s="2">
        <v>5257</v>
      </c>
      <c r="B1351" s="33" t="s">
        <v>10535</v>
      </c>
      <c r="C1351" s="34" t="s">
        <v>10631</v>
      </c>
      <c r="D1351" s="34" t="s">
        <v>10632</v>
      </c>
      <c r="E1351" s="35">
        <v>2020</v>
      </c>
      <c r="F1351" s="35">
        <v>2020</v>
      </c>
      <c r="G1351" s="35" t="s">
        <v>16</v>
      </c>
      <c r="H1351" s="34">
        <v>200</v>
      </c>
      <c r="I1351" s="34">
        <v>200</v>
      </c>
      <c r="J1351" s="49"/>
      <c r="K1351" s="10"/>
      <c r="L1351" s="10">
        <v>20201118</v>
      </c>
      <c r="M1351" s="36" t="str">
        <f t="shared" si="21"/>
        <v>19641201</v>
      </c>
    </row>
    <row r="1352" s="1" customFormat="1" spans="1:13">
      <c r="A1352" s="2">
        <v>422</v>
      </c>
      <c r="B1352" s="29" t="s">
        <v>1040</v>
      </c>
      <c r="C1352" s="29" t="s">
        <v>1120</v>
      </c>
      <c r="D1352" s="29" t="s">
        <v>1121</v>
      </c>
      <c r="E1352" s="30">
        <v>2020</v>
      </c>
      <c r="F1352" s="30">
        <v>2020</v>
      </c>
      <c r="G1352" s="29" t="s">
        <v>16</v>
      </c>
      <c r="H1352" s="29">
        <v>200</v>
      </c>
      <c r="I1352" s="29">
        <v>200</v>
      </c>
      <c r="J1352" s="29"/>
      <c r="K1352" s="47"/>
      <c r="L1352" s="2" t="s">
        <v>330</v>
      </c>
      <c r="M1352" s="36" t="str">
        <f t="shared" si="21"/>
        <v>19641202</v>
      </c>
    </row>
    <row r="1353" s="1" customFormat="1" spans="1:13">
      <c r="A1353" s="2">
        <v>7203</v>
      </c>
      <c r="B1353" s="5" t="s">
        <v>13908</v>
      </c>
      <c r="C1353" s="5" t="s">
        <v>14055</v>
      </c>
      <c r="D1353" s="5" t="s">
        <v>14056</v>
      </c>
      <c r="E1353" s="5" t="s">
        <v>15</v>
      </c>
      <c r="F1353" s="5" t="s">
        <v>15</v>
      </c>
      <c r="G1353" s="14" t="s">
        <v>16</v>
      </c>
      <c r="H1353" s="17">
        <v>200</v>
      </c>
      <c r="I1353" s="17">
        <v>200</v>
      </c>
      <c r="J1353" s="5"/>
      <c r="K1353" s="10"/>
      <c r="L1353" s="10">
        <v>20201118</v>
      </c>
      <c r="M1353" s="36" t="str">
        <f t="shared" si="21"/>
        <v>19641203</v>
      </c>
    </row>
    <row r="1354" s="1" customFormat="1" ht="14.25" spans="1:13">
      <c r="A1354" s="2">
        <v>2951</v>
      </c>
      <c r="B1354" s="6" t="s">
        <v>6075</v>
      </c>
      <c r="C1354" s="25" t="s">
        <v>6429</v>
      </c>
      <c r="D1354" s="26" t="s">
        <v>6430</v>
      </c>
      <c r="E1354" s="5" t="s">
        <v>15</v>
      </c>
      <c r="F1354" s="5">
        <v>2020</v>
      </c>
      <c r="G1354" s="6" t="s">
        <v>16</v>
      </c>
      <c r="H1354" s="6">
        <v>200</v>
      </c>
      <c r="I1354" s="6">
        <v>200</v>
      </c>
      <c r="J1354" s="6"/>
      <c r="K1354" s="10"/>
      <c r="L1354" s="10">
        <v>20201118</v>
      </c>
      <c r="M1354" s="36" t="str">
        <f t="shared" si="21"/>
        <v>19641208</v>
      </c>
    </row>
    <row r="1355" s="1" customFormat="1" ht="14.25" spans="1:13">
      <c r="A1355" s="2">
        <v>2850</v>
      </c>
      <c r="B1355" s="6" t="s">
        <v>6075</v>
      </c>
      <c r="C1355" s="25" t="s">
        <v>6228</v>
      </c>
      <c r="D1355" s="26" t="s">
        <v>6229</v>
      </c>
      <c r="E1355" s="5" t="s">
        <v>15</v>
      </c>
      <c r="F1355" s="5">
        <v>2020</v>
      </c>
      <c r="G1355" s="6" t="s">
        <v>16</v>
      </c>
      <c r="H1355" s="6">
        <v>200</v>
      </c>
      <c r="I1355" s="6">
        <v>200</v>
      </c>
      <c r="J1355" s="6"/>
      <c r="K1355" s="10"/>
      <c r="L1355" s="10">
        <v>20201118</v>
      </c>
      <c r="M1355" s="36" t="str">
        <f t="shared" si="21"/>
        <v>19641209</v>
      </c>
    </row>
    <row r="1356" s="1" customFormat="1" spans="1:13">
      <c r="A1356" s="2">
        <v>6491</v>
      </c>
      <c r="B1356" s="5" t="s">
        <v>12263</v>
      </c>
      <c r="C1356" s="5" t="s">
        <v>12985</v>
      </c>
      <c r="D1356" s="5" t="s">
        <v>12986</v>
      </c>
      <c r="E1356" s="5" t="s">
        <v>310</v>
      </c>
      <c r="F1356" s="5">
        <v>2020</v>
      </c>
      <c r="G1356" s="5" t="s">
        <v>289</v>
      </c>
      <c r="H1356" s="5">
        <v>200</v>
      </c>
      <c r="I1356" s="5">
        <v>2000</v>
      </c>
      <c r="J1356" s="5"/>
      <c r="K1356" s="5"/>
      <c r="L1356" s="10">
        <v>20201118</v>
      </c>
      <c r="M1356" s="36" t="str">
        <f t="shared" si="21"/>
        <v>19641212</v>
      </c>
    </row>
    <row r="1357" s="1" customFormat="1" spans="1:13">
      <c r="A1357" s="2">
        <v>6406</v>
      </c>
      <c r="B1357" s="5" t="s">
        <v>12263</v>
      </c>
      <c r="C1357" s="5" t="s">
        <v>12819</v>
      </c>
      <c r="D1357" s="5" t="s">
        <v>12820</v>
      </c>
      <c r="E1357" s="5" t="s">
        <v>10250</v>
      </c>
      <c r="F1357" s="5">
        <v>2020</v>
      </c>
      <c r="G1357" s="17" t="s">
        <v>3359</v>
      </c>
      <c r="H1357" s="5" t="s">
        <v>311</v>
      </c>
      <c r="I1357" s="5">
        <v>200</v>
      </c>
      <c r="J1357" s="5"/>
      <c r="K1357" s="5"/>
      <c r="L1357" s="10">
        <v>20201118</v>
      </c>
      <c r="M1357" s="36" t="str">
        <f t="shared" si="21"/>
        <v>19641215</v>
      </c>
    </row>
    <row r="1358" s="1" customFormat="1" ht="14.25" spans="1:13">
      <c r="A1358" s="2">
        <v>5258</v>
      </c>
      <c r="B1358" s="33" t="s">
        <v>10535</v>
      </c>
      <c r="C1358" s="34" t="s">
        <v>5209</v>
      </c>
      <c r="D1358" s="34" t="s">
        <v>10633</v>
      </c>
      <c r="E1358" s="35">
        <v>2020</v>
      </c>
      <c r="F1358" s="35">
        <v>2020</v>
      </c>
      <c r="G1358" s="35" t="s">
        <v>16</v>
      </c>
      <c r="H1358" s="34">
        <v>200</v>
      </c>
      <c r="I1358" s="34">
        <v>200</v>
      </c>
      <c r="J1358" s="49"/>
      <c r="K1358" s="10"/>
      <c r="L1358" s="10">
        <v>20201118</v>
      </c>
      <c r="M1358" s="36" t="str">
        <f t="shared" si="21"/>
        <v>19641216</v>
      </c>
    </row>
    <row r="1359" s="1" customFormat="1" spans="1:13">
      <c r="A1359" s="2">
        <v>991</v>
      </c>
      <c r="B1359" s="5" t="s">
        <v>2469</v>
      </c>
      <c r="C1359" s="9" t="s">
        <v>1273</v>
      </c>
      <c r="D1359" s="9" t="s">
        <v>2574</v>
      </c>
      <c r="E1359" s="5">
        <v>2020</v>
      </c>
      <c r="F1359" s="5">
        <v>2020</v>
      </c>
      <c r="G1359" s="9" t="s">
        <v>2480</v>
      </c>
      <c r="H1359" s="9">
        <v>200</v>
      </c>
      <c r="I1359" s="9">
        <v>200</v>
      </c>
      <c r="J1359" s="5"/>
      <c r="K1359" s="5"/>
      <c r="L1359" s="10">
        <v>20201118</v>
      </c>
      <c r="M1359" s="36" t="str">
        <f t="shared" si="21"/>
        <v>19641217</v>
      </c>
    </row>
    <row r="1360" s="1" customFormat="1" spans="1:13">
      <c r="A1360" s="2">
        <v>8045</v>
      </c>
      <c r="B1360" s="5" t="s">
        <v>15086</v>
      </c>
      <c r="C1360" s="6" t="s">
        <v>15323</v>
      </c>
      <c r="D1360" s="6" t="str">
        <f>"152326196412206876"</f>
        <v>152326196412206876</v>
      </c>
      <c r="E1360" s="5" t="s">
        <v>15</v>
      </c>
      <c r="F1360" s="5">
        <v>2020</v>
      </c>
      <c r="G1360" s="5" t="s">
        <v>16</v>
      </c>
      <c r="H1360" s="5">
        <v>200</v>
      </c>
      <c r="I1360" s="5">
        <v>200</v>
      </c>
      <c r="J1360" s="5"/>
      <c r="K1360" s="5"/>
      <c r="L1360" s="10">
        <v>20201118</v>
      </c>
      <c r="M1360" s="36" t="str">
        <f t="shared" si="21"/>
        <v>19641220</v>
      </c>
    </row>
    <row r="1361" s="1" customFormat="1" spans="1:13">
      <c r="A1361" s="2">
        <v>2188</v>
      </c>
      <c r="B1361" s="9" t="s">
        <v>4837</v>
      </c>
      <c r="C1361" s="9" t="s">
        <v>4924</v>
      </c>
      <c r="D1361" s="9" t="s">
        <v>4925</v>
      </c>
      <c r="E1361" s="6" t="s">
        <v>15</v>
      </c>
      <c r="F1361" s="6">
        <v>2020</v>
      </c>
      <c r="G1361" s="9" t="s">
        <v>2480</v>
      </c>
      <c r="H1361" s="9">
        <v>200</v>
      </c>
      <c r="I1361" s="9">
        <v>200</v>
      </c>
      <c r="J1361" s="6"/>
      <c r="K1361" s="10"/>
      <c r="L1361" s="10">
        <v>20201118</v>
      </c>
      <c r="M1361" s="36" t="str">
        <f t="shared" si="21"/>
        <v>19641221</v>
      </c>
    </row>
    <row r="1362" s="1" customFormat="1" spans="1:13">
      <c r="A1362" s="2">
        <v>3467</v>
      </c>
      <c r="B1362" s="5" t="s">
        <v>3375</v>
      </c>
      <c r="C1362" s="6" t="s">
        <v>7248</v>
      </c>
      <c r="D1362" s="6" t="str">
        <f>"152326196412226869"</f>
        <v>152326196412226869</v>
      </c>
      <c r="E1362" s="5" t="s">
        <v>15</v>
      </c>
      <c r="F1362" s="5">
        <v>2020</v>
      </c>
      <c r="G1362" s="14" t="s">
        <v>16</v>
      </c>
      <c r="H1362" s="17">
        <v>200</v>
      </c>
      <c r="I1362" s="17">
        <v>200</v>
      </c>
      <c r="J1362" s="6"/>
      <c r="K1362" s="10"/>
      <c r="L1362" s="10">
        <v>20201118</v>
      </c>
      <c r="M1362" s="36" t="str">
        <f t="shared" si="21"/>
        <v>19641222</v>
      </c>
    </row>
    <row r="1363" s="1" customFormat="1" spans="1:13">
      <c r="A1363" s="2">
        <v>3689</v>
      </c>
      <c r="B1363" s="5" t="s">
        <v>7412</v>
      </c>
      <c r="C1363" s="5" t="s">
        <v>7636</v>
      </c>
      <c r="D1363" s="5" t="s">
        <v>7637</v>
      </c>
      <c r="E1363" s="6">
        <v>2020</v>
      </c>
      <c r="F1363" s="6">
        <v>2020</v>
      </c>
      <c r="G1363" s="5" t="s">
        <v>3359</v>
      </c>
      <c r="H1363" s="5">
        <v>200</v>
      </c>
      <c r="I1363" s="5">
        <v>200</v>
      </c>
      <c r="J1363" s="5"/>
      <c r="K1363" s="5"/>
      <c r="L1363" s="10">
        <v>20201118</v>
      </c>
      <c r="M1363" s="36" t="str">
        <f t="shared" si="21"/>
        <v>19641227</v>
      </c>
    </row>
    <row r="1364" s="1" customFormat="1" spans="1:13">
      <c r="A1364" s="2">
        <v>4202</v>
      </c>
      <c r="B1364" s="9" t="s">
        <v>8515</v>
      </c>
      <c r="C1364" s="9" t="s">
        <v>8608</v>
      </c>
      <c r="D1364" s="9" t="s">
        <v>8609</v>
      </c>
      <c r="E1364" s="5" t="s">
        <v>15</v>
      </c>
      <c r="F1364" s="5">
        <v>2020</v>
      </c>
      <c r="G1364" s="9" t="s">
        <v>2480</v>
      </c>
      <c r="H1364" s="9">
        <v>200</v>
      </c>
      <c r="I1364" s="9">
        <v>200</v>
      </c>
      <c r="J1364" s="9"/>
      <c r="K1364" s="9"/>
      <c r="L1364" s="10">
        <v>20201118</v>
      </c>
      <c r="M1364" s="36" t="str">
        <f t="shared" si="21"/>
        <v>19641227</v>
      </c>
    </row>
    <row r="1365" s="1" customFormat="1" spans="1:13">
      <c r="A1365" s="2">
        <v>3092</v>
      </c>
      <c r="B1365" s="3" t="s">
        <v>6671</v>
      </c>
      <c r="C1365" s="9" t="s">
        <v>6708</v>
      </c>
      <c r="D1365" s="9" t="s">
        <v>6709</v>
      </c>
      <c r="E1365" s="3" t="s">
        <v>15</v>
      </c>
      <c r="F1365" s="3" t="s">
        <v>15</v>
      </c>
      <c r="G1365" s="6" t="s">
        <v>3359</v>
      </c>
      <c r="H1365" s="9">
        <v>200</v>
      </c>
      <c r="I1365" s="9">
        <v>200</v>
      </c>
      <c r="J1365" s="6"/>
      <c r="K1365" s="5"/>
      <c r="L1365" s="10">
        <v>20201118</v>
      </c>
      <c r="M1365" s="36" t="str">
        <f t="shared" si="21"/>
        <v>19641228</v>
      </c>
    </row>
    <row r="1366" s="1" customFormat="1" spans="1:13">
      <c r="A1366" s="2">
        <v>5623</v>
      </c>
      <c r="B1366" s="30" t="s">
        <v>11090</v>
      </c>
      <c r="C1366" s="30" t="s">
        <v>11336</v>
      </c>
      <c r="D1366" s="30" t="s">
        <v>11337</v>
      </c>
      <c r="E1366" s="5" t="s">
        <v>15</v>
      </c>
      <c r="F1366" s="5" t="s">
        <v>10250</v>
      </c>
      <c r="G1366" s="6" t="s">
        <v>16</v>
      </c>
      <c r="H1366" s="32">
        <v>200</v>
      </c>
      <c r="I1366" s="32">
        <v>200</v>
      </c>
      <c r="J1366" s="6"/>
      <c r="K1366" s="48"/>
      <c r="L1366" s="10">
        <v>20201118</v>
      </c>
      <c r="M1366" s="36" t="str">
        <f t="shared" si="21"/>
        <v>19641228</v>
      </c>
    </row>
    <row r="1367" s="1" customFormat="1" spans="1:13">
      <c r="A1367" s="2">
        <v>1489</v>
      </c>
      <c r="B1367" s="5" t="s">
        <v>3381</v>
      </c>
      <c r="C1367" s="9" t="s">
        <v>3546</v>
      </c>
      <c r="D1367" s="9" t="s">
        <v>3547</v>
      </c>
      <c r="E1367" s="5">
        <v>2020</v>
      </c>
      <c r="F1367" s="5">
        <v>2020</v>
      </c>
      <c r="G1367" s="14" t="s">
        <v>16</v>
      </c>
      <c r="H1367" s="6">
        <v>200</v>
      </c>
      <c r="I1367" s="6">
        <v>200</v>
      </c>
      <c r="J1367" s="5"/>
      <c r="K1367" s="13"/>
      <c r="L1367" s="10">
        <v>20201118</v>
      </c>
      <c r="M1367" s="36" t="str">
        <f t="shared" si="21"/>
        <v>19641230</v>
      </c>
    </row>
    <row r="1368" s="1" customFormat="1" spans="1:13">
      <c r="A1368" s="2">
        <v>3080</v>
      </c>
      <c r="B1368" s="3" t="s">
        <v>6671</v>
      </c>
      <c r="C1368" s="9" t="s">
        <v>6686</v>
      </c>
      <c r="D1368" s="9" t="s">
        <v>6687</v>
      </c>
      <c r="E1368" s="3" t="s">
        <v>15</v>
      </c>
      <c r="F1368" s="3" t="s">
        <v>15</v>
      </c>
      <c r="G1368" s="6" t="s">
        <v>3359</v>
      </c>
      <c r="H1368" s="9">
        <v>200</v>
      </c>
      <c r="I1368" s="9">
        <v>200</v>
      </c>
      <c r="J1368" s="6"/>
      <c r="K1368" s="5"/>
      <c r="L1368" s="10">
        <v>20201118</v>
      </c>
      <c r="M1368" s="36" t="str">
        <f t="shared" si="21"/>
        <v>19650101</v>
      </c>
    </row>
    <row r="1369" s="1" customFormat="1" spans="1:13">
      <c r="A1369" s="2">
        <v>3690</v>
      </c>
      <c r="B1369" s="5" t="s">
        <v>7412</v>
      </c>
      <c r="C1369" s="5" t="s">
        <v>7638</v>
      </c>
      <c r="D1369" s="5" t="s">
        <v>7639</v>
      </c>
      <c r="E1369" s="6">
        <v>2020</v>
      </c>
      <c r="F1369" s="6">
        <v>2020</v>
      </c>
      <c r="G1369" s="5" t="s">
        <v>3359</v>
      </c>
      <c r="H1369" s="5">
        <v>200</v>
      </c>
      <c r="I1369" s="5">
        <v>200</v>
      </c>
      <c r="J1369" s="5"/>
      <c r="K1369" s="5"/>
      <c r="L1369" s="10">
        <v>20201118</v>
      </c>
      <c r="M1369" s="36" t="str">
        <f t="shared" si="21"/>
        <v>19650101</v>
      </c>
    </row>
    <row r="1370" s="1" customFormat="1" spans="1:13">
      <c r="A1370" s="2">
        <v>1852</v>
      </c>
      <c r="B1370" s="5" t="s">
        <v>4189</v>
      </c>
      <c r="C1370" s="16" t="s">
        <v>4268</v>
      </c>
      <c r="D1370" s="16" t="s">
        <v>4269</v>
      </c>
      <c r="E1370" s="5" t="s">
        <v>15</v>
      </c>
      <c r="F1370" s="5" t="s">
        <v>15</v>
      </c>
      <c r="G1370" s="5" t="s">
        <v>3359</v>
      </c>
      <c r="H1370" s="16">
        <v>200</v>
      </c>
      <c r="I1370" s="16">
        <v>200</v>
      </c>
      <c r="J1370" s="5"/>
      <c r="K1370" s="10"/>
      <c r="L1370" s="10">
        <v>20201118</v>
      </c>
      <c r="M1370" s="36" t="str">
        <f t="shared" si="21"/>
        <v>19650102</v>
      </c>
    </row>
    <row r="1371" s="1" customFormat="1" spans="1:13">
      <c r="A1371" s="2">
        <v>2566</v>
      </c>
      <c r="B1371" s="32" t="s">
        <v>5602</v>
      </c>
      <c r="C1371" s="9" t="s">
        <v>5670</v>
      </c>
      <c r="D1371" s="9" t="s">
        <v>5671</v>
      </c>
      <c r="E1371" s="32">
        <v>2020</v>
      </c>
      <c r="F1371" s="32">
        <v>2020</v>
      </c>
      <c r="G1371" s="32" t="s">
        <v>16</v>
      </c>
      <c r="H1371" s="9">
        <v>200</v>
      </c>
      <c r="I1371" s="9">
        <v>200</v>
      </c>
      <c r="J1371" s="32"/>
      <c r="K1371" s="52"/>
      <c r="L1371" s="10">
        <v>20201118</v>
      </c>
      <c r="M1371" s="36" t="str">
        <f t="shared" si="21"/>
        <v>19650102</v>
      </c>
    </row>
    <row r="1372" s="1" customFormat="1" spans="1:13">
      <c r="A1372" s="2">
        <v>3691</v>
      </c>
      <c r="B1372" s="5" t="s">
        <v>7412</v>
      </c>
      <c r="C1372" s="5" t="s">
        <v>7640</v>
      </c>
      <c r="D1372" s="5" t="s">
        <v>7641</v>
      </c>
      <c r="E1372" s="6">
        <v>2020</v>
      </c>
      <c r="F1372" s="6">
        <v>2020</v>
      </c>
      <c r="G1372" s="5" t="s">
        <v>3359</v>
      </c>
      <c r="H1372" s="5">
        <v>200</v>
      </c>
      <c r="I1372" s="5">
        <v>200</v>
      </c>
      <c r="J1372" s="5"/>
      <c r="K1372" s="5"/>
      <c r="L1372" s="10">
        <v>20201118</v>
      </c>
      <c r="M1372" s="36" t="str">
        <f t="shared" si="21"/>
        <v>19650102</v>
      </c>
    </row>
    <row r="1373" s="1" customFormat="1" spans="1:13">
      <c r="A1373" s="2">
        <v>4726</v>
      </c>
      <c r="B1373" s="6" t="s">
        <v>9015</v>
      </c>
      <c r="C1373" s="6" t="s">
        <v>9609</v>
      </c>
      <c r="D1373" s="6" t="s">
        <v>9610</v>
      </c>
      <c r="E1373" s="6">
        <v>2020</v>
      </c>
      <c r="F1373" s="6">
        <v>2020</v>
      </c>
      <c r="G1373" s="6" t="s">
        <v>16</v>
      </c>
      <c r="H1373" s="6">
        <v>200</v>
      </c>
      <c r="I1373" s="6">
        <v>200</v>
      </c>
      <c r="J1373" s="6"/>
      <c r="K1373" s="6"/>
      <c r="L1373" s="10">
        <v>20201118</v>
      </c>
      <c r="M1373" s="36" t="str">
        <f t="shared" si="21"/>
        <v>19650102</v>
      </c>
    </row>
    <row r="1374" s="1" customFormat="1" spans="1:13">
      <c r="A1374" s="2">
        <v>6422</v>
      </c>
      <c r="B1374" s="5" t="s">
        <v>12263</v>
      </c>
      <c r="C1374" s="5" t="s">
        <v>12850</v>
      </c>
      <c r="D1374" s="5" t="s">
        <v>12851</v>
      </c>
      <c r="E1374" s="5" t="s">
        <v>10250</v>
      </c>
      <c r="F1374" s="5">
        <v>2020</v>
      </c>
      <c r="G1374" s="17" t="s">
        <v>3359</v>
      </c>
      <c r="H1374" s="5">
        <v>200</v>
      </c>
      <c r="I1374" s="5">
        <v>200</v>
      </c>
      <c r="J1374" s="5"/>
      <c r="K1374" s="5"/>
      <c r="L1374" s="10">
        <v>20201118</v>
      </c>
      <c r="M1374" s="36" t="str">
        <f t="shared" si="21"/>
        <v>19650103</v>
      </c>
    </row>
    <row r="1375" s="1" customFormat="1" spans="1:13">
      <c r="A1375" s="2">
        <v>5900</v>
      </c>
      <c r="B1375" s="30" t="s">
        <v>11090</v>
      </c>
      <c r="C1375" s="30" t="s">
        <v>11852</v>
      </c>
      <c r="D1375" s="30" t="s">
        <v>11853</v>
      </c>
      <c r="E1375" s="5" t="s">
        <v>15</v>
      </c>
      <c r="F1375" s="5" t="s">
        <v>10250</v>
      </c>
      <c r="G1375" s="6" t="s">
        <v>16</v>
      </c>
      <c r="H1375" s="32">
        <v>200</v>
      </c>
      <c r="I1375" s="32">
        <v>200</v>
      </c>
      <c r="J1375" s="6"/>
      <c r="K1375" s="48"/>
      <c r="L1375" s="10">
        <v>20201118</v>
      </c>
      <c r="M1375" s="36" t="str">
        <f t="shared" si="21"/>
        <v>19650104</v>
      </c>
    </row>
    <row r="1376" s="1" customFormat="1" spans="1:13">
      <c r="A1376" s="2">
        <v>1490</v>
      </c>
      <c r="B1376" s="5" t="s">
        <v>3381</v>
      </c>
      <c r="C1376" s="9" t="s">
        <v>3548</v>
      </c>
      <c r="D1376" s="9" t="s">
        <v>3549</v>
      </c>
      <c r="E1376" s="5">
        <v>2020</v>
      </c>
      <c r="F1376" s="5">
        <v>2020</v>
      </c>
      <c r="G1376" s="14" t="s">
        <v>16</v>
      </c>
      <c r="H1376" s="6">
        <v>200</v>
      </c>
      <c r="I1376" s="6">
        <v>200</v>
      </c>
      <c r="J1376" s="5"/>
      <c r="K1376" s="13"/>
      <c r="L1376" s="10">
        <v>20201118</v>
      </c>
      <c r="M1376" s="36" t="str">
        <f t="shared" si="21"/>
        <v>19650105</v>
      </c>
    </row>
    <row r="1377" s="1" customFormat="1" spans="1:13">
      <c r="A1377" s="2">
        <v>8036</v>
      </c>
      <c r="B1377" s="5" t="s">
        <v>15086</v>
      </c>
      <c r="C1377" s="6" t="s">
        <v>15313</v>
      </c>
      <c r="D1377" s="6" t="str">
        <f>"152326196501056881"</f>
        <v>152326196501056881</v>
      </c>
      <c r="E1377" s="5" t="s">
        <v>15</v>
      </c>
      <c r="F1377" s="5">
        <v>2020</v>
      </c>
      <c r="G1377" s="5" t="s">
        <v>16</v>
      </c>
      <c r="H1377" s="5">
        <v>200</v>
      </c>
      <c r="I1377" s="5">
        <v>200</v>
      </c>
      <c r="J1377" s="5"/>
      <c r="K1377" s="5"/>
      <c r="L1377" s="10">
        <v>20201118</v>
      </c>
      <c r="M1377" s="36" t="str">
        <f t="shared" si="21"/>
        <v>19650105</v>
      </c>
    </row>
    <row r="1378" s="1" customFormat="1" ht="14.25" spans="1:13">
      <c r="A1378" s="2">
        <v>6082</v>
      </c>
      <c r="B1378" s="30" t="s">
        <v>11090</v>
      </c>
      <c r="C1378" s="6" t="s">
        <v>12203</v>
      </c>
      <c r="D1378" s="12" t="s">
        <v>12204</v>
      </c>
      <c r="E1378" s="5" t="s">
        <v>15</v>
      </c>
      <c r="F1378" s="5" t="s">
        <v>10250</v>
      </c>
      <c r="G1378" s="6" t="s">
        <v>16</v>
      </c>
      <c r="H1378" s="32">
        <v>200</v>
      </c>
      <c r="I1378" s="32">
        <v>200</v>
      </c>
      <c r="J1378" s="5" t="s">
        <v>6097</v>
      </c>
      <c r="K1378" s="48"/>
      <c r="L1378" s="10">
        <v>20201118</v>
      </c>
      <c r="M1378" s="36" t="str">
        <f t="shared" si="21"/>
        <v>19650107</v>
      </c>
    </row>
    <row r="1379" s="1" customFormat="1" spans="1:13">
      <c r="A1379" s="2">
        <v>2189</v>
      </c>
      <c r="B1379" s="9" t="s">
        <v>4837</v>
      </c>
      <c r="C1379" s="9" t="s">
        <v>4926</v>
      </c>
      <c r="D1379" s="9" t="s">
        <v>4927</v>
      </c>
      <c r="E1379" s="6" t="s">
        <v>15</v>
      </c>
      <c r="F1379" s="6">
        <v>2020</v>
      </c>
      <c r="G1379" s="9" t="s">
        <v>2480</v>
      </c>
      <c r="H1379" s="9">
        <v>200</v>
      </c>
      <c r="I1379" s="9">
        <v>200</v>
      </c>
      <c r="J1379" s="6" t="s">
        <v>108</v>
      </c>
      <c r="K1379" s="10"/>
      <c r="L1379" s="10">
        <v>20201118</v>
      </c>
      <c r="M1379" s="36" t="str">
        <f t="shared" si="21"/>
        <v>19650109</v>
      </c>
    </row>
    <row r="1380" s="1" customFormat="1" spans="1:13">
      <c r="A1380" s="2">
        <v>3463</v>
      </c>
      <c r="B1380" s="5" t="s">
        <v>3375</v>
      </c>
      <c r="C1380" s="6" t="s">
        <v>7243</v>
      </c>
      <c r="D1380" s="6" t="str">
        <f>"152326196501094087"</f>
        <v>152326196501094087</v>
      </c>
      <c r="E1380" s="5" t="s">
        <v>15</v>
      </c>
      <c r="F1380" s="5">
        <v>2020</v>
      </c>
      <c r="G1380" s="14" t="s">
        <v>16</v>
      </c>
      <c r="H1380" s="17">
        <v>300</v>
      </c>
      <c r="I1380" s="17">
        <v>300</v>
      </c>
      <c r="J1380" s="6"/>
      <c r="K1380" s="10"/>
      <c r="L1380" s="10">
        <v>20201118</v>
      </c>
      <c r="M1380" s="36" t="str">
        <f t="shared" si="21"/>
        <v>19650109</v>
      </c>
    </row>
    <row r="1381" s="1" customFormat="1" spans="1:13">
      <c r="A1381" s="2">
        <v>4708</v>
      </c>
      <c r="B1381" s="6" t="s">
        <v>9015</v>
      </c>
      <c r="C1381" s="6" t="s">
        <v>9576</v>
      </c>
      <c r="D1381" s="6" t="s">
        <v>9577</v>
      </c>
      <c r="E1381" s="6">
        <v>2020</v>
      </c>
      <c r="F1381" s="6">
        <v>2020</v>
      </c>
      <c r="G1381" s="6" t="s">
        <v>16</v>
      </c>
      <c r="H1381" s="6">
        <v>200</v>
      </c>
      <c r="I1381" s="6">
        <v>200</v>
      </c>
      <c r="J1381" s="6"/>
      <c r="K1381" s="6"/>
      <c r="L1381" s="10">
        <v>20201118</v>
      </c>
      <c r="M1381" s="36" t="str">
        <f t="shared" si="21"/>
        <v>19650109</v>
      </c>
    </row>
    <row r="1382" s="1" customFormat="1" spans="1:13">
      <c r="A1382" s="2">
        <v>503</v>
      </c>
      <c r="B1382" s="29" t="s">
        <v>1040</v>
      </c>
      <c r="C1382" s="29" t="s">
        <v>1283</v>
      </c>
      <c r="D1382" s="29" t="s">
        <v>1284</v>
      </c>
      <c r="E1382" s="30">
        <v>2020</v>
      </c>
      <c r="F1382" s="30">
        <v>2020</v>
      </c>
      <c r="G1382" s="29" t="s">
        <v>16</v>
      </c>
      <c r="H1382" s="29">
        <v>200</v>
      </c>
      <c r="I1382" s="29">
        <v>200</v>
      </c>
      <c r="J1382" s="29" t="s">
        <v>1082</v>
      </c>
      <c r="K1382" s="47"/>
      <c r="L1382" s="14" t="s">
        <v>330</v>
      </c>
      <c r="M1382" s="36" t="str">
        <f t="shared" si="21"/>
        <v>19650110</v>
      </c>
    </row>
    <row r="1383" s="1" customFormat="1" spans="1:13">
      <c r="A1383" s="2">
        <v>3692</v>
      </c>
      <c r="B1383" s="5" t="s">
        <v>7412</v>
      </c>
      <c r="C1383" s="5" t="s">
        <v>7642</v>
      </c>
      <c r="D1383" s="5" t="s">
        <v>7643</v>
      </c>
      <c r="E1383" s="6">
        <v>2020</v>
      </c>
      <c r="F1383" s="6">
        <v>2020</v>
      </c>
      <c r="G1383" s="5" t="s">
        <v>3359</v>
      </c>
      <c r="H1383" s="5">
        <v>200</v>
      </c>
      <c r="I1383" s="5">
        <v>200</v>
      </c>
      <c r="J1383" s="5"/>
      <c r="K1383" s="5"/>
      <c r="L1383" s="10">
        <v>20201118</v>
      </c>
      <c r="M1383" s="36" t="str">
        <f t="shared" si="21"/>
        <v>19650110</v>
      </c>
    </row>
    <row r="1384" s="1" customFormat="1" ht="14.25" spans="1:13">
      <c r="A1384" s="2">
        <v>1491</v>
      </c>
      <c r="B1384" s="5" t="s">
        <v>3381</v>
      </c>
      <c r="C1384" s="9" t="s">
        <v>3550</v>
      </c>
      <c r="D1384" s="9" t="s">
        <v>3551</v>
      </c>
      <c r="E1384" s="5">
        <v>2020</v>
      </c>
      <c r="F1384" s="5">
        <v>2020</v>
      </c>
      <c r="G1384" s="14" t="s">
        <v>16</v>
      </c>
      <c r="H1384" s="6">
        <v>200</v>
      </c>
      <c r="I1384" s="6">
        <v>200</v>
      </c>
      <c r="J1384" s="24" t="s">
        <v>3552</v>
      </c>
      <c r="K1384" s="13"/>
      <c r="L1384" s="10">
        <v>20201118</v>
      </c>
      <c r="M1384" s="36" t="str">
        <f t="shared" si="21"/>
        <v>19650111</v>
      </c>
    </row>
    <row r="1385" s="1" customFormat="1" ht="14.25" spans="1:13">
      <c r="A1385" s="2">
        <v>2947</v>
      </c>
      <c r="B1385" s="6" t="s">
        <v>6075</v>
      </c>
      <c r="C1385" s="25" t="s">
        <v>6421</v>
      </c>
      <c r="D1385" s="26" t="s">
        <v>6422</v>
      </c>
      <c r="E1385" s="5" t="s">
        <v>15</v>
      </c>
      <c r="F1385" s="5">
        <v>2020</v>
      </c>
      <c r="G1385" s="6" t="s">
        <v>16</v>
      </c>
      <c r="H1385" s="6">
        <v>200</v>
      </c>
      <c r="I1385" s="6">
        <v>200</v>
      </c>
      <c r="J1385" s="6"/>
      <c r="K1385" s="10"/>
      <c r="L1385" s="10">
        <v>20201118</v>
      </c>
      <c r="M1385" s="36" t="str">
        <f t="shared" si="21"/>
        <v>19650112</v>
      </c>
    </row>
    <row r="1386" s="1" customFormat="1" ht="14.25" spans="1:13">
      <c r="A1386" s="2">
        <v>6101</v>
      </c>
      <c r="B1386" s="30" t="s">
        <v>11090</v>
      </c>
      <c r="C1386" s="32" t="s">
        <v>506</v>
      </c>
      <c r="D1386" s="12" t="s">
        <v>12238</v>
      </c>
      <c r="E1386" s="5" t="s">
        <v>15</v>
      </c>
      <c r="F1386" s="5" t="s">
        <v>10250</v>
      </c>
      <c r="G1386" s="6" t="s">
        <v>16</v>
      </c>
      <c r="H1386" s="32">
        <v>200</v>
      </c>
      <c r="I1386" s="32">
        <v>200</v>
      </c>
      <c r="J1386" s="5"/>
      <c r="K1386" s="48"/>
      <c r="L1386" s="10">
        <v>20201118</v>
      </c>
      <c r="M1386" s="36" t="str">
        <f t="shared" si="21"/>
        <v>19650112</v>
      </c>
    </row>
    <row r="1387" s="1" customFormat="1" spans="1:13">
      <c r="A1387" s="2">
        <v>7005</v>
      </c>
      <c r="B1387" s="5" t="s">
        <v>13533</v>
      </c>
      <c r="C1387" s="32" t="s">
        <v>13752</v>
      </c>
      <c r="D1387" s="32" t="str">
        <f>"152326196501127125"</f>
        <v>152326196501127125</v>
      </c>
      <c r="E1387" s="5">
        <v>2020</v>
      </c>
      <c r="F1387" s="5">
        <v>2020</v>
      </c>
      <c r="G1387" s="9" t="s">
        <v>2480</v>
      </c>
      <c r="H1387" s="32">
        <v>200</v>
      </c>
      <c r="I1387" s="32">
        <v>200</v>
      </c>
      <c r="J1387" s="32"/>
      <c r="K1387" s="10"/>
      <c r="L1387" s="10">
        <v>20201118</v>
      </c>
      <c r="M1387" s="36" t="str">
        <f t="shared" si="21"/>
        <v>19650112</v>
      </c>
    </row>
    <row r="1388" s="1" customFormat="1" spans="1:13">
      <c r="A1388" s="2">
        <v>16</v>
      </c>
      <c r="B1388" s="31" t="s">
        <v>12</v>
      </c>
      <c r="C1388" s="17" t="s">
        <v>46</v>
      </c>
      <c r="D1388" s="17" t="s">
        <v>47</v>
      </c>
      <c r="E1388" s="3" t="s">
        <v>15</v>
      </c>
      <c r="F1388" s="3" t="s">
        <v>15</v>
      </c>
      <c r="G1388" s="2" t="s">
        <v>16</v>
      </c>
      <c r="H1388" s="17">
        <v>200</v>
      </c>
      <c r="I1388" s="17">
        <v>200</v>
      </c>
      <c r="J1388" s="31"/>
      <c r="K1388" s="17"/>
      <c r="L1388" s="10">
        <v>20201118</v>
      </c>
      <c r="M1388" s="36" t="str">
        <f t="shared" si="21"/>
        <v>19650115</v>
      </c>
    </row>
    <row r="1389" s="1" customFormat="1" spans="1:13">
      <c r="A1389" s="2">
        <v>2190</v>
      </c>
      <c r="B1389" s="9" t="s">
        <v>4837</v>
      </c>
      <c r="C1389" s="9" t="s">
        <v>4928</v>
      </c>
      <c r="D1389" s="9" t="s">
        <v>4929</v>
      </c>
      <c r="E1389" s="6" t="s">
        <v>15</v>
      </c>
      <c r="F1389" s="6">
        <v>2020</v>
      </c>
      <c r="G1389" s="9" t="s">
        <v>2480</v>
      </c>
      <c r="H1389" s="9">
        <v>200</v>
      </c>
      <c r="I1389" s="9">
        <v>200</v>
      </c>
      <c r="J1389" s="6" t="s">
        <v>108</v>
      </c>
      <c r="K1389" s="10"/>
      <c r="L1389" s="10">
        <v>20201118</v>
      </c>
      <c r="M1389" s="36" t="str">
        <f t="shared" si="21"/>
        <v>19650115</v>
      </c>
    </row>
    <row r="1390" s="1" customFormat="1" spans="1:13">
      <c r="A1390" s="2">
        <v>1492</v>
      </c>
      <c r="B1390" s="5" t="s">
        <v>3381</v>
      </c>
      <c r="C1390" s="9" t="s">
        <v>3553</v>
      </c>
      <c r="D1390" s="9" t="s">
        <v>3554</v>
      </c>
      <c r="E1390" s="5">
        <v>2020</v>
      </c>
      <c r="F1390" s="5">
        <v>2020</v>
      </c>
      <c r="G1390" s="14" t="s">
        <v>16</v>
      </c>
      <c r="H1390" s="6">
        <v>200</v>
      </c>
      <c r="I1390" s="6">
        <v>200</v>
      </c>
      <c r="J1390" s="5"/>
      <c r="K1390" s="13"/>
      <c r="L1390" s="10">
        <v>20201118</v>
      </c>
      <c r="M1390" s="36" t="str">
        <f t="shared" si="21"/>
        <v>19650116</v>
      </c>
    </row>
    <row r="1391" s="1" customFormat="1" spans="1:13">
      <c r="A1391" s="2">
        <v>3464</v>
      </c>
      <c r="B1391" s="5" t="s">
        <v>3375</v>
      </c>
      <c r="C1391" s="6" t="s">
        <v>7244</v>
      </c>
      <c r="D1391" s="6" t="str">
        <f>"152326196501176867"</f>
        <v>152326196501176867</v>
      </c>
      <c r="E1391" s="5" t="s">
        <v>15</v>
      </c>
      <c r="F1391" s="5">
        <v>2020</v>
      </c>
      <c r="G1391" s="14" t="s">
        <v>16</v>
      </c>
      <c r="H1391" s="17">
        <v>200</v>
      </c>
      <c r="I1391" s="17">
        <v>200</v>
      </c>
      <c r="J1391" s="6"/>
      <c r="K1391" s="10"/>
      <c r="L1391" s="10">
        <v>20201118</v>
      </c>
      <c r="M1391" s="36" t="str">
        <f t="shared" si="21"/>
        <v>19650117</v>
      </c>
    </row>
    <row r="1392" s="1" customFormat="1" spans="1:13">
      <c r="A1392" s="2">
        <v>3693</v>
      </c>
      <c r="B1392" s="5" t="s">
        <v>7412</v>
      </c>
      <c r="C1392" s="5" t="s">
        <v>7644</v>
      </c>
      <c r="D1392" s="5" t="s">
        <v>7645</v>
      </c>
      <c r="E1392" s="6">
        <v>2020</v>
      </c>
      <c r="F1392" s="6">
        <v>2020</v>
      </c>
      <c r="G1392" s="5" t="s">
        <v>3359</v>
      </c>
      <c r="H1392" s="5">
        <v>200</v>
      </c>
      <c r="I1392" s="5">
        <v>200</v>
      </c>
      <c r="J1392" s="5"/>
      <c r="K1392" s="5"/>
      <c r="L1392" s="10">
        <v>20201118</v>
      </c>
      <c r="M1392" s="36" t="str">
        <f t="shared" si="21"/>
        <v>19650119</v>
      </c>
    </row>
    <row r="1393" s="1" customFormat="1" spans="1:13">
      <c r="A1393" s="2">
        <v>5568</v>
      </c>
      <c r="B1393" s="30" t="s">
        <v>11090</v>
      </c>
      <c r="C1393" s="30" t="s">
        <v>11231</v>
      </c>
      <c r="D1393" s="30" t="s">
        <v>11232</v>
      </c>
      <c r="E1393" s="5" t="s">
        <v>15</v>
      </c>
      <c r="F1393" s="5" t="s">
        <v>10250</v>
      </c>
      <c r="G1393" s="6" t="s">
        <v>16</v>
      </c>
      <c r="H1393" s="32">
        <v>200</v>
      </c>
      <c r="I1393" s="32">
        <v>200</v>
      </c>
      <c r="J1393" s="6"/>
      <c r="K1393" s="48"/>
      <c r="L1393" s="10">
        <v>20201118</v>
      </c>
      <c r="M1393" s="36" t="str">
        <f t="shared" si="21"/>
        <v>19650119</v>
      </c>
    </row>
    <row r="1394" s="1" customFormat="1" ht="14.25" spans="1:13">
      <c r="A1394" s="2">
        <v>7774</v>
      </c>
      <c r="B1394" s="5" t="s">
        <v>14875</v>
      </c>
      <c r="C1394" s="51" t="s">
        <v>15020</v>
      </c>
      <c r="D1394" s="24" t="str">
        <f>"152326196501197115"</f>
        <v>152326196501197115</v>
      </c>
      <c r="E1394" s="6" t="s">
        <v>15</v>
      </c>
      <c r="F1394" s="6">
        <v>2020</v>
      </c>
      <c r="G1394" s="24" t="s">
        <v>14877</v>
      </c>
      <c r="H1394" s="6">
        <v>200</v>
      </c>
      <c r="I1394" s="6">
        <v>200</v>
      </c>
      <c r="J1394" s="6"/>
      <c r="K1394" s="10"/>
      <c r="L1394" s="10">
        <v>20201118</v>
      </c>
      <c r="M1394" s="36" t="str">
        <f t="shared" si="21"/>
        <v>19650119</v>
      </c>
    </row>
    <row r="1395" s="1" customFormat="1" spans="1:13">
      <c r="A1395" s="2">
        <v>3152</v>
      </c>
      <c r="B1395" s="3" t="s">
        <v>6671</v>
      </c>
      <c r="C1395" s="9" t="s">
        <v>6821</v>
      </c>
      <c r="D1395" s="9" t="s">
        <v>6822</v>
      </c>
      <c r="E1395" s="3" t="s">
        <v>15</v>
      </c>
      <c r="F1395" s="3" t="s">
        <v>15</v>
      </c>
      <c r="G1395" s="6" t="s">
        <v>3359</v>
      </c>
      <c r="H1395" s="9">
        <v>200</v>
      </c>
      <c r="I1395" s="9">
        <v>200</v>
      </c>
      <c r="J1395" s="6"/>
      <c r="K1395" s="5"/>
      <c r="L1395" s="10">
        <v>20201118</v>
      </c>
      <c r="M1395" s="36" t="str">
        <f t="shared" si="21"/>
        <v>19650122</v>
      </c>
    </row>
    <row r="1396" s="1" customFormat="1" spans="1:13">
      <c r="A1396" s="2">
        <v>2567</v>
      </c>
      <c r="B1396" s="32" t="s">
        <v>5602</v>
      </c>
      <c r="C1396" s="9" t="s">
        <v>5672</v>
      </c>
      <c r="D1396" s="9" t="s">
        <v>5673</v>
      </c>
      <c r="E1396" s="32">
        <v>2020</v>
      </c>
      <c r="F1396" s="32">
        <v>2020</v>
      </c>
      <c r="G1396" s="32" t="s">
        <v>16</v>
      </c>
      <c r="H1396" s="9">
        <v>200</v>
      </c>
      <c r="I1396" s="9">
        <v>200</v>
      </c>
      <c r="J1396" s="32"/>
      <c r="K1396" s="52"/>
      <c r="L1396" s="10">
        <v>20201118</v>
      </c>
      <c r="M1396" s="36" t="str">
        <f t="shared" si="21"/>
        <v>19650123</v>
      </c>
    </row>
    <row r="1397" s="1" customFormat="1" spans="1:13">
      <c r="A1397" s="2">
        <v>7011</v>
      </c>
      <c r="B1397" s="5" t="s">
        <v>13533</v>
      </c>
      <c r="C1397" s="32" t="s">
        <v>13757</v>
      </c>
      <c r="D1397" s="32" t="str">
        <f>"152326196501237113"</f>
        <v>152326196501237113</v>
      </c>
      <c r="E1397" s="5">
        <v>2020</v>
      </c>
      <c r="F1397" s="5">
        <v>2020</v>
      </c>
      <c r="G1397" s="9" t="s">
        <v>2480</v>
      </c>
      <c r="H1397" s="32">
        <v>200</v>
      </c>
      <c r="I1397" s="32">
        <v>200</v>
      </c>
      <c r="J1397" s="62"/>
      <c r="K1397" s="10"/>
      <c r="L1397" s="10">
        <v>20201118</v>
      </c>
      <c r="M1397" s="36" t="str">
        <f t="shared" si="21"/>
        <v>19650123</v>
      </c>
    </row>
    <row r="1398" s="1" customFormat="1" ht="14.25" spans="1:13">
      <c r="A1398" s="2">
        <v>7797</v>
      </c>
      <c r="B1398" s="5" t="s">
        <v>14875</v>
      </c>
      <c r="C1398" s="70" t="s">
        <v>15045</v>
      </c>
      <c r="D1398" s="71" t="s">
        <v>15046</v>
      </c>
      <c r="E1398" s="6" t="s">
        <v>15</v>
      </c>
      <c r="F1398" s="6">
        <v>2020</v>
      </c>
      <c r="G1398" s="24" t="s">
        <v>14877</v>
      </c>
      <c r="H1398" s="6">
        <v>200</v>
      </c>
      <c r="I1398" s="6">
        <v>200</v>
      </c>
      <c r="J1398" s="6"/>
      <c r="K1398" s="10"/>
      <c r="L1398" s="10">
        <v>20201118</v>
      </c>
      <c r="M1398" s="36" t="str">
        <f t="shared" si="21"/>
        <v>19650123</v>
      </c>
    </row>
    <row r="1399" s="1" customFormat="1" ht="14.25" spans="1:13">
      <c r="A1399" s="2">
        <v>5259</v>
      </c>
      <c r="B1399" s="33" t="s">
        <v>10535</v>
      </c>
      <c r="C1399" s="34" t="s">
        <v>10634</v>
      </c>
      <c r="D1399" s="34" t="s">
        <v>10635</v>
      </c>
      <c r="E1399" s="35">
        <v>2020</v>
      </c>
      <c r="F1399" s="35">
        <v>2020</v>
      </c>
      <c r="G1399" s="35" t="s">
        <v>16</v>
      </c>
      <c r="H1399" s="34">
        <v>200</v>
      </c>
      <c r="I1399" s="34">
        <v>200</v>
      </c>
      <c r="J1399" s="49"/>
      <c r="K1399" s="10"/>
      <c r="L1399" s="10">
        <v>20201118</v>
      </c>
      <c r="M1399" s="36" t="str">
        <f t="shared" si="21"/>
        <v>19650124</v>
      </c>
    </row>
    <row r="1400" s="1" customFormat="1" ht="14.25" spans="1:13">
      <c r="A1400" s="2">
        <v>5977</v>
      </c>
      <c r="B1400" s="30" t="s">
        <v>11090</v>
      </c>
      <c r="C1400" s="32" t="s">
        <v>12000</v>
      </c>
      <c r="D1400" s="12" t="s">
        <v>12001</v>
      </c>
      <c r="E1400" s="5" t="s">
        <v>15</v>
      </c>
      <c r="F1400" s="5" t="s">
        <v>10250</v>
      </c>
      <c r="G1400" s="6" t="s">
        <v>16</v>
      </c>
      <c r="H1400" s="32">
        <v>200</v>
      </c>
      <c r="I1400" s="32">
        <v>200</v>
      </c>
      <c r="J1400" s="6"/>
      <c r="K1400" s="48"/>
      <c r="L1400" s="10">
        <v>20201118</v>
      </c>
      <c r="M1400" s="36" t="str">
        <f t="shared" si="21"/>
        <v>19650124</v>
      </c>
    </row>
    <row r="1401" s="1" customFormat="1" spans="1:13">
      <c r="A1401" s="2">
        <v>7570</v>
      </c>
      <c r="B1401" s="5" t="s">
        <v>14402</v>
      </c>
      <c r="C1401" s="5" t="s">
        <v>14741</v>
      </c>
      <c r="D1401" s="5" t="s">
        <v>14742</v>
      </c>
      <c r="E1401" s="5">
        <v>2020</v>
      </c>
      <c r="F1401" s="5">
        <v>2020</v>
      </c>
      <c r="G1401" s="17" t="s">
        <v>16</v>
      </c>
      <c r="H1401" s="5">
        <v>200</v>
      </c>
      <c r="I1401" s="5">
        <v>200</v>
      </c>
      <c r="J1401" s="5"/>
      <c r="K1401" s="10"/>
      <c r="L1401" s="10">
        <v>20201118</v>
      </c>
      <c r="M1401" s="36" t="str">
        <f t="shared" si="21"/>
        <v>19650128</v>
      </c>
    </row>
    <row r="1402" s="1" customFormat="1" spans="1:13">
      <c r="A1402" s="2">
        <v>6267</v>
      </c>
      <c r="B1402" s="5" t="s">
        <v>12263</v>
      </c>
      <c r="C1402" s="5" t="s">
        <v>12557</v>
      </c>
      <c r="D1402" s="5" t="s">
        <v>12558</v>
      </c>
      <c r="E1402" s="5" t="s">
        <v>10250</v>
      </c>
      <c r="F1402" s="5">
        <v>2020</v>
      </c>
      <c r="G1402" s="17" t="s">
        <v>3359</v>
      </c>
      <c r="H1402" s="5">
        <v>200</v>
      </c>
      <c r="I1402" s="5">
        <v>200</v>
      </c>
      <c r="J1402" s="5"/>
      <c r="K1402" s="5"/>
      <c r="L1402" s="10">
        <v>20201118</v>
      </c>
      <c r="M1402" s="36" t="str">
        <f t="shared" si="21"/>
        <v>19650130</v>
      </c>
    </row>
    <row r="1403" s="1" customFormat="1" spans="1:13">
      <c r="A1403" s="2">
        <v>4609</v>
      </c>
      <c r="B1403" s="6" t="s">
        <v>9015</v>
      </c>
      <c r="C1403" s="6" t="s">
        <v>9388</v>
      </c>
      <c r="D1403" s="6" t="s">
        <v>9389</v>
      </c>
      <c r="E1403" s="6">
        <v>2020</v>
      </c>
      <c r="F1403" s="6">
        <v>2020</v>
      </c>
      <c r="G1403" s="6" t="s">
        <v>16</v>
      </c>
      <c r="H1403" s="6">
        <v>200</v>
      </c>
      <c r="I1403" s="6">
        <v>200</v>
      </c>
      <c r="J1403" s="6" t="s">
        <v>108</v>
      </c>
      <c r="K1403" s="6"/>
      <c r="L1403" s="10">
        <v>20201118</v>
      </c>
      <c r="M1403" s="36" t="str">
        <f t="shared" si="21"/>
        <v>19650201</v>
      </c>
    </row>
    <row r="1404" s="1" customFormat="1" spans="1:13">
      <c r="A1404" s="2">
        <v>1875</v>
      </c>
      <c r="B1404" s="5" t="s">
        <v>4189</v>
      </c>
      <c r="C1404" s="16" t="s">
        <v>4313</v>
      </c>
      <c r="D1404" s="16" t="s">
        <v>4314</v>
      </c>
      <c r="E1404" s="5" t="s">
        <v>15</v>
      </c>
      <c r="F1404" s="5" t="s">
        <v>15</v>
      </c>
      <c r="G1404" s="5" t="s">
        <v>3359</v>
      </c>
      <c r="H1404" s="16">
        <v>200</v>
      </c>
      <c r="I1404" s="16">
        <v>200</v>
      </c>
      <c r="J1404" s="5"/>
      <c r="K1404" s="10"/>
      <c r="L1404" s="10">
        <v>20201118</v>
      </c>
      <c r="M1404" s="36" t="str">
        <f t="shared" si="21"/>
        <v>19650202</v>
      </c>
    </row>
    <row r="1405" s="1" customFormat="1" spans="1:13">
      <c r="A1405" s="2">
        <v>4970</v>
      </c>
      <c r="B1405" s="6" t="s">
        <v>9954</v>
      </c>
      <c r="C1405" s="60" t="s">
        <v>10080</v>
      </c>
      <c r="D1405" s="60" t="s">
        <v>10081</v>
      </c>
      <c r="E1405" s="5" t="s">
        <v>15</v>
      </c>
      <c r="F1405" s="5" t="s">
        <v>15</v>
      </c>
      <c r="G1405" s="14" t="s">
        <v>16</v>
      </c>
      <c r="H1405" s="6">
        <v>200</v>
      </c>
      <c r="I1405" s="6">
        <v>200</v>
      </c>
      <c r="J1405" s="6" t="s">
        <v>108</v>
      </c>
      <c r="K1405" s="6"/>
      <c r="L1405" s="10">
        <v>20201118</v>
      </c>
      <c r="M1405" s="36" t="str">
        <f t="shared" si="21"/>
        <v>19650202</v>
      </c>
    </row>
    <row r="1406" s="1" customFormat="1" spans="1:13">
      <c r="A1406" s="2">
        <v>5089</v>
      </c>
      <c r="B1406" s="6" t="s">
        <v>10242</v>
      </c>
      <c r="C1406" s="9" t="s">
        <v>10310</v>
      </c>
      <c r="D1406" s="9" t="s">
        <v>10311</v>
      </c>
      <c r="E1406" s="5" t="s">
        <v>10250</v>
      </c>
      <c r="F1406" s="5">
        <v>2020</v>
      </c>
      <c r="G1406" s="6" t="s">
        <v>16</v>
      </c>
      <c r="H1406" s="6">
        <v>200</v>
      </c>
      <c r="I1406" s="6">
        <v>200</v>
      </c>
      <c r="J1406" s="6"/>
      <c r="K1406" s="5"/>
      <c r="L1406" s="10">
        <v>20201118</v>
      </c>
      <c r="M1406" s="36" t="str">
        <f t="shared" si="21"/>
        <v>19650202</v>
      </c>
    </row>
    <row r="1407" s="1" customFormat="1" spans="1:13">
      <c r="A1407" s="2">
        <v>7568</v>
      </c>
      <c r="B1407" s="5" t="s">
        <v>14402</v>
      </c>
      <c r="C1407" s="5" t="s">
        <v>14737</v>
      </c>
      <c r="D1407" s="5" t="s">
        <v>14738</v>
      </c>
      <c r="E1407" s="5">
        <v>2020</v>
      </c>
      <c r="F1407" s="5">
        <v>2020</v>
      </c>
      <c r="G1407" s="17" t="s">
        <v>16</v>
      </c>
      <c r="H1407" s="5">
        <v>500</v>
      </c>
      <c r="I1407" s="5">
        <v>500</v>
      </c>
      <c r="J1407" s="5"/>
      <c r="K1407" s="10"/>
      <c r="L1407" s="10">
        <v>20201118</v>
      </c>
      <c r="M1407" s="36" t="str">
        <f t="shared" si="21"/>
        <v>19650202</v>
      </c>
    </row>
    <row r="1408" s="1" customFormat="1" spans="1:13">
      <c r="A1408" s="2">
        <v>397</v>
      </c>
      <c r="B1408" s="29" t="s">
        <v>1040</v>
      </c>
      <c r="C1408" s="29" t="s">
        <v>1070</v>
      </c>
      <c r="D1408" s="29" t="s">
        <v>1071</v>
      </c>
      <c r="E1408" s="30">
        <v>2020</v>
      </c>
      <c r="F1408" s="30">
        <v>2020</v>
      </c>
      <c r="G1408" s="29" t="s">
        <v>16</v>
      </c>
      <c r="H1408" s="29">
        <v>200</v>
      </c>
      <c r="I1408" s="29">
        <v>200</v>
      </c>
      <c r="J1408" s="29"/>
      <c r="K1408" s="47"/>
      <c r="L1408" s="14" t="s">
        <v>330</v>
      </c>
      <c r="M1408" s="36" t="str">
        <f t="shared" si="21"/>
        <v>19650204</v>
      </c>
    </row>
    <row r="1409" s="1" customFormat="1" spans="1:13">
      <c r="A1409" s="2">
        <v>1882</v>
      </c>
      <c r="B1409" s="5" t="s">
        <v>4189</v>
      </c>
      <c r="C1409" s="16" t="s">
        <v>4327</v>
      </c>
      <c r="D1409" s="16" t="s">
        <v>4328</v>
      </c>
      <c r="E1409" s="5" t="s">
        <v>15</v>
      </c>
      <c r="F1409" s="5" t="s">
        <v>15</v>
      </c>
      <c r="G1409" s="5" t="s">
        <v>3359</v>
      </c>
      <c r="H1409" s="16">
        <v>200</v>
      </c>
      <c r="I1409" s="16">
        <v>200</v>
      </c>
      <c r="J1409" s="5"/>
      <c r="K1409" s="10"/>
      <c r="L1409" s="10">
        <v>20201118</v>
      </c>
      <c r="M1409" s="36" t="str">
        <f t="shared" si="21"/>
        <v>19650204</v>
      </c>
    </row>
    <row r="1410" s="1" customFormat="1" spans="1:13">
      <c r="A1410" s="2">
        <v>3694</v>
      </c>
      <c r="B1410" s="5" t="s">
        <v>7412</v>
      </c>
      <c r="C1410" s="5" t="s">
        <v>7646</v>
      </c>
      <c r="D1410" s="5" t="s">
        <v>7647</v>
      </c>
      <c r="E1410" s="6">
        <v>2020</v>
      </c>
      <c r="F1410" s="6">
        <v>2020</v>
      </c>
      <c r="G1410" s="5" t="s">
        <v>3359</v>
      </c>
      <c r="H1410" s="5">
        <v>200</v>
      </c>
      <c r="I1410" s="5">
        <v>200</v>
      </c>
      <c r="J1410" s="5"/>
      <c r="K1410" s="5"/>
      <c r="L1410" s="10">
        <v>20201118</v>
      </c>
      <c r="M1410" s="36" t="str">
        <f t="shared" ref="M1410:M1473" si="22">MID(D1410,7,8)</f>
        <v>19650204</v>
      </c>
    </row>
    <row r="1411" s="1" customFormat="1" spans="1:13">
      <c r="A1411" s="2">
        <v>6557</v>
      </c>
      <c r="B1411" s="5" t="s">
        <v>13027</v>
      </c>
      <c r="C1411" s="15" t="s">
        <v>13108</v>
      </c>
      <c r="D1411" s="15" t="s">
        <v>13109</v>
      </c>
      <c r="E1411" s="5">
        <v>2020</v>
      </c>
      <c r="F1411" s="5">
        <v>2020</v>
      </c>
      <c r="G1411" s="14" t="s">
        <v>16</v>
      </c>
      <c r="H1411" s="15">
        <v>200</v>
      </c>
      <c r="I1411" s="15">
        <v>200</v>
      </c>
      <c r="J1411" s="5"/>
      <c r="K1411" s="10"/>
      <c r="L1411" s="10">
        <v>20201118</v>
      </c>
      <c r="M1411" s="36" t="str">
        <f t="shared" si="22"/>
        <v>19650204</v>
      </c>
    </row>
    <row r="1412" s="1" customFormat="1" spans="1:13">
      <c r="A1412" s="2">
        <v>7572</v>
      </c>
      <c r="B1412" s="5" t="s">
        <v>14402</v>
      </c>
      <c r="C1412" s="5" t="s">
        <v>14745</v>
      </c>
      <c r="D1412" s="5" t="s">
        <v>14746</v>
      </c>
      <c r="E1412" s="5">
        <v>2020</v>
      </c>
      <c r="F1412" s="5">
        <v>2020</v>
      </c>
      <c r="G1412" s="17" t="s">
        <v>16</v>
      </c>
      <c r="H1412" s="5">
        <v>200</v>
      </c>
      <c r="I1412" s="5">
        <v>200</v>
      </c>
      <c r="J1412" s="5"/>
      <c r="K1412" s="10"/>
      <c r="L1412" s="10">
        <v>20201118</v>
      </c>
      <c r="M1412" s="36" t="str">
        <f t="shared" si="22"/>
        <v>19650204</v>
      </c>
    </row>
    <row r="1413" s="1" customFormat="1" spans="1:13">
      <c r="A1413" s="2">
        <v>5822</v>
      </c>
      <c r="B1413" s="30" t="s">
        <v>11090</v>
      </c>
      <c r="C1413" s="30" t="s">
        <v>11713</v>
      </c>
      <c r="D1413" s="30" t="s">
        <v>11714</v>
      </c>
      <c r="E1413" s="5" t="s">
        <v>15</v>
      </c>
      <c r="F1413" s="5" t="s">
        <v>10250</v>
      </c>
      <c r="G1413" s="6" t="s">
        <v>16</v>
      </c>
      <c r="H1413" s="32">
        <v>200</v>
      </c>
      <c r="I1413" s="32">
        <v>200</v>
      </c>
      <c r="J1413" s="6"/>
      <c r="K1413" s="48"/>
      <c r="L1413" s="10">
        <v>20201118</v>
      </c>
      <c r="M1413" s="36" t="str">
        <f t="shared" si="22"/>
        <v>19650205</v>
      </c>
    </row>
    <row r="1414" s="1" customFormat="1" spans="1:13">
      <c r="A1414" s="2">
        <v>165</v>
      </c>
      <c r="B1414" s="14" t="s">
        <v>327</v>
      </c>
      <c r="C1414" s="14" t="s">
        <v>383</v>
      </c>
      <c r="D1414" s="14" t="s">
        <v>384</v>
      </c>
      <c r="E1414" s="5">
        <v>2020</v>
      </c>
      <c r="F1414" s="5">
        <v>2020</v>
      </c>
      <c r="G1414" s="14" t="s">
        <v>16</v>
      </c>
      <c r="H1414" s="14">
        <v>200</v>
      </c>
      <c r="I1414" s="14">
        <v>200</v>
      </c>
      <c r="J1414" s="14"/>
      <c r="K1414" s="10"/>
      <c r="L1414" s="2" t="s">
        <v>330</v>
      </c>
      <c r="M1414" s="36" t="str">
        <f t="shared" si="22"/>
        <v>19650207</v>
      </c>
    </row>
    <row r="1415" s="1" customFormat="1" spans="1:13">
      <c r="A1415" s="2">
        <v>5090</v>
      </c>
      <c r="B1415" s="6" t="s">
        <v>10242</v>
      </c>
      <c r="C1415" s="9" t="s">
        <v>10312</v>
      </c>
      <c r="D1415" s="9" t="s">
        <v>10313</v>
      </c>
      <c r="E1415" s="5" t="s">
        <v>10250</v>
      </c>
      <c r="F1415" s="5">
        <v>2020</v>
      </c>
      <c r="G1415" s="6" t="s">
        <v>16</v>
      </c>
      <c r="H1415" s="6">
        <v>200</v>
      </c>
      <c r="I1415" s="6">
        <v>200</v>
      </c>
      <c r="J1415" s="6"/>
      <c r="K1415" s="5"/>
      <c r="L1415" s="10">
        <v>20201118</v>
      </c>
      <c r="M1415" s="36" t="str">
        <f t="shared" si="22"/>
        <v>19650207</v>
      </c>
    </row>
    <row r="1416" s="1" customFormat="1" spans="1:13">
      <c r="A1416" s="2">
        <v>3695</v>
      </c>
      <c r="B1416" s="5" t="s">
        <v>7412</v>
      </c>
      <c r="C1416" s="5" t="s">
        <v>7648</v>
      </c>
      <c r="D1416" s="5" t="s">
        <v>7649</v>
      </c>
      <c r="E1416" s="6">
        <v>2020</v>
      </c>
      <c r="F1416" s="6">
        <v>2020</v>
      </c>
      <c r="G1416" s="5" t="s">
        <v>3359</v>
      </c>
      <c r="H1416" s="5">
        <v>1000</v>
      </c>
      <c r="I1416" s="5">
        <v>1000</v>
      </c>
      <c r="J1416" s="5"/>
      <c r="K1416" s="5"/>
      <c r="L1416" s="10">
        <v>20201118</v>
      </c>
      <c r="M1416" s="36" t="str">
        <f t="shared" si="22"/>
        <v>19650209</v>
      </c>
    </row>
    <row r="1417" s="1" customFormat="1" spans="1:13">
      <c r="A1417" s="2">
        <v>5662</v>
      </c>
      <c r="B1417" s="30" t="s">
        <v>11090</v>
      </c>
      <c r="C1417" s="30" t="s">
        <v>11409</v>
      </c>
      <c r="D1417" s="30" t="s">
        <v>11410</v>
      </c>
      <c r="E1417" s="5" t="s">
        <v>15</v>
      </c>
      <c r="F1417" s="5" t="s">
        <v>10250</v>
      </c>
      <c r="G1417" s="6" t="s">
        <v>16</v>
      </c>
      <c r="H1417" s="32">
        <v>200</v>
      </c>
      <c r="I1417" s="32">
        <v>200</v>
      </c>
      <c r="J1417" s="6"/>
      <c r="K1417" s="48"/>
      <c r="L1417" s="10">
        <v>20201118</v>
      </c>
      <c r="M1417" s="36" t="str">
        <f t="shared" si="22"/>
        <v>19650209</v>
      </c>
    </row>
    <row r="1418" s="1" customFormat="1" spans="1:13">
      <c r="A1418" s="2">
        <v>8039</v>
      </c>
      <c r="B1418" s="5" t="s">
        <v>15086</v>
      </c>
      <c r="C1418" s="6" t="s">
        <v>15317</v>
      </c>
      <c r="D1418" s="6" t="str">
        <f>"152326196502096877"</f>
        <v>152326196502096877</v>
      </c>
      <c r="E1418" s="5" t="s">
        <v>15</v>
      </c>
      <c r="F1418" s="5">
        <v>2020</v>
      </c>
      <c r="G1418" s="5" t="s">
        <v>16</v>
      </c>
      <c r="H1418" s="5">
        <v>200</v>
      </c>
      <c r="I1418" s="5">
        <v>200</v>
      </c>
      <c r="J1418" s="5"/>
      <c r="K1418" s="5"/>
      <c r="L1418" s="10">
        <v>20201118</v>
      </c>
      <c r="M1418" s="36" t="str">
        <f t="shared" si="22"/>
        <v>19650209</v>
      </c>
    </row>
    <row r="1419" s="1" customFormat="1" spans="1:13">
      <c r="A1419" s="2">
        <v>8038</v>
      </c>
      <c r="B1419" s="5" t="s">
        <v>15086</v>
      </c>
      <c r="C1419" s="6" t="s">
        <v>15316</v>
      </c>
      <c r="D1419" s="6" t="str">
        <f>"152326196502106879"</f>
        <v>152326196502106879</v>
      </c>
      <c r="E1419" s="5" t="s">
        <v>15</v>
      </c>
      <c r="F1419" s="5">
        <v>2020</v>
      </c>
      <c r="G1419" s="5" t="s">
        <v>16</v>
      </c>
      <c r="H1419" s="5">
        <v>200</v>
      </c>
      <c r="I1419" s="5">
        <v>200</v>
      </c>
      <c r="J1419" s="5"/>
      <c r="K1419" s="5"/>
      <c r="L1419" s="10">
        <v>20201118</v>
      </c>
      <c r="M1419" s="36" t="str">
        <f t="shared" si="22"/>
        <v>19650210</v>
      </c>
    </row>
    <row r="1420" s="1" customFormat="1" spans="1:13">
      <c r="A1420" s="2">
        <v>2191</v>
      </c>
      <c r="B1420" s="9" t="s">
        <v>4837</v>
      </c>
      <c r="C1420" s="9" t="s">
        <v>4930</v>
      </c>
      <c r="D1420" s="9" t="s">
        <v>4931</v>
      </c>
      <c r="E1420" s="6" t="s">
        <v>15</v>
      </c>
      <c r="F1420" s="6">
        <v>2020</v>
      </c>
      <c r="G1420" s="9" t="s">
        <v>2480</v>
      </c>
      <c r="H1420" s="9">
        <v>200</v>
      </c>
      <c r="I1420" s="9">
        <v>200</v>
      </c>
      <c r="J1420" s="6"/>
      <c r="K1420" s="10"/>
      <c r="L1420" s="10">
        <v>20201118</v>
      </c>
      <c r="M1420" s="36" t="str">
        <f t="shared" si="22"/>
        <v>19650212</v>
      </c>
    </row>
    <row r="1421" s="1" customFormat="1" spans="1:13">
      <c r="A1421" s="2">
        <v>6365</v>
      </c>
      <c r="B1421" s="5" t="s">
        <v>12263</v>
      </c>
      <c r="C1421" s="5" t="s">
        <v>12744</v>
      </c>
      <c r="D1421" s="5" t="s">
        <v>12745</v>
      </c>
      <c r="E1421" s="5" t="s">
        <v>10250</v>
      </c>
      <c r="F1421" s="5">
        <v>2020</v>
      </c>
      <c r="G1421" s="17" t="s">
        <v>3359</v>
      </c>
      <c r="H1421" s="5" t="s">
        <v>311</v>
      </c>
      <c r="I1421" s="5">
        <v>200</v>
      </c>
      <c r="J1421" s="5" t="s">
        <v>108</v>
      </c>
      <c r="K1421" s="5"/>
      <c r="L1421" s="10">
        <v>20201118</v>
      </c>
      <c r="M1421" s="36" t="str">
        <f t="shared" si="22"/>
        <v>19650214</v>
      </c>
    </row>
    <row r="1422" s="1" customFormat="1" spans="1:13">
      <c r="A1422" s="2">
        <v>1493</v>
      </c>
      <c r="B1422" s="5" t="s">
        <v>3381</v>
      </c>
      <c r="C1422" s="9" t="s">
        <v>3555</v>
      </c>
      <c r="D1422" s="9" t="s">
        <v>3556</v>
      </c>
      <c r="E1422" s="5">
        <v>2020</v>
      </c>
      <c r="F1422" s="5">
        <v>2020</v>
      </c>
      <c r="G1422" s="14" t="s">
        <v>16</v>
      </c>
      <c r="H1422" s="6">
        <v>200</v>
      </c>
      <c r="I1422" s="6">
        <v>200</v>
      </c>
      <c r="J1422" s="5"/>
      <c r="K1422" s="13"/>
      <c r="L1422" s="10">
        <v>20201118</v>
      </c>
      <c r="M1422" s="36" t="str">
        <f t="shared" si="22"/>
        <v>19650218</v>
      </c>
    </row>
    <row r="1423" s="1" customFormat="1" spans="1:13">
      <c r="A1423" s="2">
        <v>1494</v>
      </c>
      <c r="B1423" s="5" t="s">
        <v>3381</v>
      </c>
      <c r="C1423" s="9" t="s">
        <v>3557</v>
      </c>
      <c r="D1423" s="9" t="s">
        <v>3558</v>
      </c>
      <c r="E1423" s="5">
        <v>2020</v>
      </c>
      <c r="F1423" s="5">
        <v>2020</v>
      </c>
      <c r="G1423" s="14" t="s">
        <v>16</v>
      </c>
      <c r="H1423" s="6">
        <v>200</v>
      </c>
      <c r="I1423" s="6">
        <v>200</v>
      </c>
      <c r="J1423" s="5"/>
      <c r="K1423" s="13"/>
      <c r="L1423" s="10">
        <v>20201118</v>
      </c>
      <c r="M1423" s="36" t="str">
        <f t="shared" si="22"/>
        <v>19650218</v>
      </c>
    </row>
    <row r="1424" s="1" customFormat="1" ht="14.25" spans="1:13">
      <c r="A1424" s="2">
        <v>3182</v>
      </c>
      <c r="B1424" s="3" t="s">
        <v>6671</v>
      </c>
      <c r="C1424" s="8" t="s">
        <v>6876</v>
      </c>
      <c r="D1424" s="8" t="s">
        <v>6877</v>
      </c>
      <c r="E1424" s="3" t="s">
        <v>15</v>
      </c>
      <c r="F1424" s="3" t="s">
        <v>15</v>
      </c>
      <c r="G1424" s="6" t="s">
        <v>3359</v>
      </c>
      <c r="H1424" s="9">
        <v>200</v>
      </c>
      <c r="I1424" s="9">
        <v>200</v>
      </c>
      <c r="J1424" s="6"/>
      <c r="K1424" s="5"/>
      <c r="L1424" s="10">
        <v>20201118</v>
      </c>
      <c r="M1424" s="36" t="str">
        <f t="shared" si="22"/>
        <v>19650218</v>
      </c>
    </row>
    <row r="1425" s="1" customFormat="1" spans="1:13">
      <c r="A1425" s="2">
        <v>5018</v>
      </c>
      <c r="B1425" s="6" t="s">
        <v>9954</v>
      </c>
      <c r="C1425" s="53" t="s">
        <v>10171</v>
      </c>
      <c r="D1425" s="53" t="s">
        <v>10172</v>
      </c>
      <c r="E1425" s="5" t="s">
        <v>15</v>
      </c>
      <c r="F1425" s="5" t="s">
        <v>15</v>
      </c>
      <c r="G1425" s="14" t="s">
        <v>16</v>
      </c>
      <c r="H1425" s="6">
        <v>200</v>
      </c>
      <c r="I1425" s="6">
        <v>200</v>
      </c>
      <c r="J1425" s="6"/>
      <c r="K1425" s="6"/>
      <c r="L1425" s="10">
        <v>20201118</v>
      </c>
      <c r="M1425" s="36" t="str">
        <f t="shared" si="22"/>
        <v>19650219</v>
      </c>
    </row>
    <row r="1426" s="1" customFormat="1" spans="1:13">
      <c r="A1426" s="2">
        <v>6177</v>
      </c>
      <c r="B1426" s="5" t="s">
        <v>12263</v>
      </c>
      <c r="C1426" s="5" t="s">
        <v>12384</v>
      </c>
      <c r="D1426" s="5" t="s">
        <v>12385</v>
      </c>
      <c r="E1426" s="5" t="s">
        <v>10250</v>
      </c>
      <c r="F1426" s="5">
        <v>2020</v>
      </c>
      <c r="G1426" s="17" t="s">
        <v>3359</v>
      </c>
      <c r="H1426" s="5">
        <v>200</v>
      </c>
      <c r="I1426" s="5">
        <v>200</v>
      </c>
      <c r="J1426" s="5"/>
      <c r="K1426" s="5"/>
      <c r="L1426" s="10">
        <v>20201118</v>
      </c>
      <c r="M1426" s="36" t="str">
        <f t="shared" si="22"/>
        <v>19650219</v>
      </c>
    </row>
    <row r="1427" s="1" customFormat="1" spans="1:13">
      <c r="A1427" s="2">
        <v>6558</v>
      </c>
      <c r="B1427" s="5" t="s">
        <v>13027</v>
      </c>
      <c r="C1427" s="15" t="s">
        <v>13110</v>
      </c>
      <c r="D1427" s="15" t="s">
        <v>13111</v>
      </c>
      <c r="E1427" s="5">
        <v>2020</v>
      </c>
      <c r="F1427" s="5">
        <v>2020</v>
      </c>
      <c r="G1427" s="14" t="s">
        <v>16</v>
      </c>
      <c r="H1427" s="15">
        <v>200</v>
      </c>
      <c r="I1427" s="15">
        <v>200</v>
      </c>
      <c r="J1427" s="5"/>
      <c r="K1427" s="10"/>
      <c r="L1427" s="10">
        <v>20201118</v>
      </c>
      <c r="M1427" s="36" t="str">
        <f t="shared" si="22"/>
        <v>19650219</v>
      </c>
    </row>
    <row r="1428" s="1" customFormat="1" spans="1:13">
      <c r="A1428" s="2">
        <v>4427</v>
      </c>
      <c r="B1428" s="6" t="s">
        <v>9015</v>
      </c>
      <c r="C1428" s="6" t="s">
        <v>9043</v>
      </c>
      <c r="D1428" s="6" t="s">
        <v>9044</v>
      </c>
      <c r="E1428" s="6">
        <v>2020</v>
      </c>
      <c r="F1428" s="6">
        <v>2020</v>
      </c>
      <c r="G1428" s="6" t="s">
        <v>16</v>
      </c>
      <c r="H1428" s="6">
        <v>200</v>
      </c>
      <c r="I1428" s="6">
        <v>200</v>
      </c>
      <c r="J1428" s="6"/>
      <c r="K1428" s="6"/>
      <c r="L1428" s="10">
        <v>20201118</v>
      </c>
      <c r="M1428" s="36" t="str">
        <f t="shared" si="22"/>
        <v>19650222</v>
      </c>
    </row>
    <row r="1429" s="1" customFormat="1" spans="1:13">
      <c r="A1429" s="2">
        <v>4203</v>
      </c>
      <c r="B1429" s="9" t="s">
        <v>8515</v>
      </c>
      <c r="C1429" s="9" t="s">
        <v>8610</v>
      </c>
      <c r="D1429" s="9" t="s">
        <v>8611</v>
      </c>
      <c r="E1429" s="5" t="s">
        <v>15</v>
      </c>
      <c r="F1429" s="5">
        <v>2020</v>
      </c>
      <c r="G1429" s="9" t="s">
        <v>2480</v>
      </c>
      <c r="H1429" s="9">
        <v>200</v>
      </c>
      <c r="I1429" s="9">
        <v>200</v>
      </c>
      <c r="J1429" s="9" t="s">
        <v>1242</v>
      </c>
      <c r="K1429" s="9"/>
      <c r="L1429" s="10">
        <v>20201118</v>
      </c>
      <c r="M1429" s="36" t="str">
        <f t="shared" si="22"/>
        <v>19650224</v>
      </c>
    </row>
    <row r="1430" s="1" customFormat="1" ht="14.25" spans="1:13">
      <c r="A1430" s="2">
        <v>2851</v>
      </c>
      <c r="B1430" s="6" t="s">
        <v>6075</v>
      </c>
      <c r="C1430" s="25" t="s">
        <v>6230</v>
      </c>
      <c r="D1430" s="26" t="s">
        <v>6231</v>
      </c>
      <c r="E1430" s="5" t="s">
        <v>15</v>
      </c>
      <c r="F1430" s="5">
        <v>2020</v>
      </c>
      <c r="G1430" s="6" t="s">
        <v>16</v>
      </c>
      <c r="H1430" s="6">
        <v>200</v>
      </c>
      <c r="I1430" s="6">
        <v>200</v>
      </c>
      <c r="J1430" s="6"/>
      <c r="K1430" s="10"/>
      <c r="L1430" s="10">
        <v>20201118</v>
      </c>
      <c r="M1430" s="36" t="str">
        <f t="shared" si="22"/>
        <v>19650225</v>
      </c>
    </row>
    <row r="1431" s="1" customFormat="1" spans="1:13">
      <c r="A1431" s="2">
        <v>7569</v>
      </c>
      <c r="B1431" s="5" t="s">
        <v>14402</v>
      </c>
      <c r="C1431" s="5" t="s">
        <v>14739</v>
      </c>
      <c r="D1431" s="5" t="s">
        <v>14740</v>
      </c>
      <c r="E1431" s="5">
        <v>2020</v>
      </c>
      <c r="F1431" s="5">
        <v>2020</v>
      </c>
      <c r="G1431" s="17" t="s">
        <v>16</v>
      </c>
      <c r="H1431" s="5">
        <v>500</v>
      </c>
      <c r="I1431" s="5">
        <v>500</v>
      </c>
      <c r="J1431" s="5"/>
      <c r="K1431" s="10"/>
      <c r="L1431" s="10">
        <v>20201118</v>
      </c>
      <c r="M1431" s="36" t="str">
        <f t="shared" si="22"/>
        <v>19650225</v>
      </c>
    </row>
    <row r="1432" s="1" customFormat="1" spans="1:13">
      <c r="A1432" s="2">
        <v>8141</v>
      </c>
      <c r="B1432" s="5" t="s">
        <v>15406</v>
      </c>
      <c r="C1432" s="6" t="s">
        <v>15475</v>
      </c>
      <c r="D1432" s="293" t="s">
        <v>15476</v>
      </c>
      <c r="E1432" s="5" t="s">
        <v>15</v>
      </c>
      <c r="F1432" s="5">
        <v>2020</v>
      </c>
      <c r="G1432" s="14" t="s">
        <v>16</v>
      </c>
      <c r="H1432" s="6">
        <v>200</v>
      </c>
      <c r="I1432" s="6">
        <v>200</v>
      </c>
      <c r="J1432" s="5"/>
      <c r="K1432" s="10"/>
      <c r="L1432" s="10">
        <v>20201118</v>
      </c>
      <c r="M1432" s="36" t="str">
        <f t="shared" si="22"/>
        <v>19650226</v>
      </c>
    </row>
    <row r="1433" s="1" customFormat="1" ht="14.25" spans="1:13">
      <c r="A1433" s="2">
        <v>2924</v>
      </c>
      <c r="B1433" s="6" t="s">
        <v>6075</v>
      </c>
      <c r="C1433" s="25" t="s">
        <v>6375</v>
      </c>
      <c r="D1433" s="26" t="s">
        <v>6376</v>
      </c>
      <c r="E1433" s="5" t="s">
        <v>15</v>
      </c>
      <c r="F1433" s="5">
        <v>2020</v>
      </c>
      <c r="G1433" s="6" t="s">
        <v>16</v>
      </c>
      <c r="H1433" s="6">
        <v>200</v>
      </c>
      <c r="I1433" s="6">
        <v>200</v>
      </c>
      <c r="J1433" s="6"/>
      <c r="K1433" s="10"/>
      <c r="L1433" s="10">
        <v>20201118</v>
      </c>
      <c r="M1433" s="36" t="str">
        <f t="shared" si="22"/>
        <v>19650228</v>
      </c>
    </row>
    <row r="1434" s="1" customFormat="1" ht="14.25" spans="1:13">
      <c r="A1434" s="2">
        <v>2965</v>
      </c>
      <c r="B1434" s="6" t="s">
        <v>6075</v>
      </c>
      <c r="C1434" s="25" t="s">
        <v>6455</v>
      </c>
      <c r="D1434" s="26" t="s">
        <v>6456</v>
      </c>
      <c r="E1434" s="5" t="s">
        <v>15</v>
      </c>
      <c r="F1434" s="5">
        <v>2020</v>
      </c>
      <c r="G1434" s="6" t="s">
        <v>16</v>
      </c>
      <c r="H1434" s="6">
        <v>200</v>
      </c>
      <c r="I1434" s="6">
        <v>200</v>
      </c>
      <c r="J1434" s="6"/>
      <c r="K1434" s="10"/>
      <c r="L1434" s="10">
        <v>20201118</v>
      </c>
      <c r="M1434" s="36" t="str">
        <f t="shared" si="22"/>
        <v>19650228</v>
      </c>
    </row>
    <row r="1435" s="1" customFormat="1" spans="1:13">
      <c r="A1435" s="2">
        <v>6559</v>
      </c>
      <c r="B1435" s="5" t="s">
        <v>13027</v>
      </c>
      <c r="C1435" s="15" t="s">
        <v>13112</v>
      </c>
      <c r="D1435" s="15" t="s">
        <v>13113</v>
      </c>
      <c r="E1435" s="5">
        <v>2020</v>
      </c>
      <c r="F1435" s="5">
        <v>2020</v>
      </c>
      <c r="G1435" s="14" t="s">
        <v>16</v>
      </c>
      <c r="H1435" s="15">
        <v>200</v>
      </c>
      <c r="I1435" s="15">
        <v>200</v>
      </c>
      <c r="J1435" s="5"/>
      <c r="K1435" s="10"/>
      <c r="L1435" s="10">
        <v>20201118</v>
      </c>
      <c r="M1435" s="36" t="str">
        <f t="shared" si="22"/>
        <v>19650228</v>
      </c>
    </row>
    <row r="1436" s="1" customFormat="1" spans="1:13">
      <c r="A1436" s="2">
        <v>7163</v>
      </c>
      <c r="B1436" s="5" t="s">
        <v>13908</v>
      </c>
      <c r="C1436" s="5" t="s">
        <v>13983</v>
      </c>
      <c r="D1436" s="5" t="s">
        <v>13984</v>
      </c>
      <c r="E1436" s="5" t="s">
        <v>15</v>
      </c>
      <c r="F1436" s="5" t="s">
        <v>15</v>
      </c>
      <c r="G1436" s="14" t="s">
        <v>16</v>
      </c>
      <c r="H1436" s="17">
        <v>200</v>
      </c>
      <c r="I1436" s="17">
        <v>200</v>
      </c>
      <c r="J1436" s="5"/>
      <c r="K1436" s="10"/>
      <c r="L1436" s="10">
        <v>20201118</v>
      </c>
      <c r="M1436" s="36" t="str">
        <f t="shared" si="22"/>
        <v>19650228</v>
      </c>
    </row>
    <row r="1437" s="1" customFormat="1" spans="1:13">
      <c r="A1437" s="2">
        <v>7110</v>
      </c>
      <c r="B1437" s="5" t="s">
        <v>13533</v>
      </c>
      <c r="C1437" s="5" t="s">
        <v>13881</v>
      </c>
      <c r="D1437" s="5" t="s">
        <v>13882</v>
      </c>
      <c r="E1437" s="5">
        <v>2020</v>
      </c>
      <c r="F1437" s="5">
        <v>2020</v>
      </c>
      <c r="G1437" s="9" t="s">
        <v>2480</v>
      </c>
      <c r="H1437" s="32">
        <v>200</v>
      </c>
      <c r="I1437" s="32">
        <v>200</v>
      </c>
      <c r="J1437" s="32"/>
      <c r="K1437" s="10"/>
      <c r="L1437" s="10">
        <v>20201118</v>
      </c>
      <c r="M1437" s="36" t="str">
        <f t="shared" si="22"/>
        <v>19650301</v>
      </c>
    </row>
    <row r="1438" s="1" customFormat="1" spans="1:13">
      <c r="A1438" s="2">
        <v>612</v>
      </c>
      <c r="B1438" s="29" t="s">
        <v>1040</v>
      </c>
      <c r="C1438" s="29" t="s">
        <v>1500</v>
      </c>
      <c r="D1438" s="29" t="s">
        <v>1501</v>
      </c>
      <c r="E1438" s="30">
        <v>2020</v>
      </c>
      <c r="F1438" s="30">
        <v>2020</v>
      </c>
      <c r="G1438" s="29" t="s">
        <v>16</v>
      </c>
      <c r="H1438" s="29">
        <v>200</v>
      </c>
      <c r="I1438" s="29">
        <v>200</v>
      </c>
      <c r="J1438" s="29"/>
      <c r="K1438" s="47"/>
      <c r="L1438" s="2" t="s">
        <v>330</v>
      </c>
      <c r="M1438" s="36" t="str">
        <f t="shared" si="22"/>
        <v>19650303</v>
      </c>
    </row>
    <row r="1439" s="1" customFormat="1" spans="1:13">
      <c r="A1439" s="2">
        <v>3696</v>
      </c>
      <c r="B1439" s="5" t="s">
        <v>7412</v>
      </c>
      <c r="C1439" s="5" t="s">
        <v>7650</v>
      </c>
      <c r="D1439" s="5" t="s">
        <v>7651</v>
      </c>
      <c r="E1439" s="6">
        <v>2020</v>
      </c>
      <c r="F1439" s="6">
        <v>2020</v>
      </c>
      <c r="G1439" s="5" t="s">
        <v>3359</v>
      </c>
      <c r="H1439" s="5">
        <v>200</v>
      </c>
      <c r="I1439" s="5">
        <v>200</v>
      </c>
      <c r="J1439" s="5"/>
      <c r="K1439" s="5"/>
      <c r="L1439" s="10">
        <v>20201118</v>
      </c>
      <c r="M1439" s="36" t="str">
        <f t="shared" si="22"/>
        <v>19650303</v>
      </c>
    </row>
    <row r="1440" s="1" customFormat="1" spans="1:13">
      <c r="A1440" s="2">
        <v>6560</v>
      </c>
      <c r="B1440" s="5" t="s">
        <v>13027</v>
      </c>
      <c r="C1440" s="15" t="s">
        <v>7925</v>
      </c>
      <c r="D1440" s="15" t="s">
        <v>13114</v>
      </c>
      <c r="E1440" s="5">
        <v>2020</v>
      </c>
      <c r="F1440" s="5">
        <v>2020</v>
      </c>
      <c r="G1440" s="14" t="s">
        <v>16</v>
      </c>
      <c r="H1440" s="15">
        <v>200</v>
      </c>
      <c r="I1440" s="15">
        <v>200</v>
      </c>
      <c r="J1440" s="5"/>
      <c r="K1440" s="10"/>
      <c r="L1440" s="10">
        <v>20201118</v>
      </c>
      <c r="M1440" s="36" t="str">
        <f t="shared" si="22"/>
        <v>19650305</v>
      </c>
    </row>
    <row r="1441" s="1" customFormat="1" spans="1:13">
      <c r="A1441" s="2">
        <v>5951</v>
      </c>
      <c r="B1441" s="30" t="s">
        <v>11090</v>
      </c>
      <c r="C1441" s="6" t="s">
        <v>11949</v>
      </c>
      <c r="D1441" s="6" t="s">
        <v>11950</v>
      </c>
      <c r="E1441" s="5" t="s">
        <v>15</v>
      </c>
      <c r="F1441" s="5" t="s">
        <v>10250</v>
      </c>
      <c r="G1441" s="6" t="s">
        <v>16</v>
      </c>
      <c r="H1441" s="32">
        <v>1000</v>
      </c>
      <c r="I1441" s="32">
        <v>1000</v>
      </c>
      <c r="J1441" s="6"/>
      <c r="K1441" s="48"/>
      <c r="L1441" s="10">
        <v>20201118</v>
      </c>
      <c r="M1441" s="36" t="str">
        <f t="shared" si="22"/>
        <v>19650306</v>
      </c>
    </row>
    <row r="1442" s="1" customFormat="1" spans="1:13">
      <c r="A1442" s="2">
        <v>849</v>
      </c>
      <c r="B1442" s="29" t="s">
        <v>1040</v>
      </c>
      <c r="C1442" s="29" t="s">
        <v>2194</v>
      </c>
      <c r="D1442" s="29" t="s">
        <v>2195</v>
      </c>
      <c r="E1442" s="30">
        <v>2020</v>
      </c>
      <c r="F1442" s="30">
        <v>2020</v>
      </c>
      <c r="G1442" s="29" t="s">
        <v>16</v>
      </c>
      <c r="H1442" s="29">
        <v>200</v>
      </c>
      <c r="I1442" s="29">
        <v>200</v>
      </c>
      <c r="J1442" s="32"/>
      <c r="K1442" s="32"/>
      <c r="L1442" s="2" t="s">
        <v>330</v>
      </c>
      <c r="M1442" s="36" t="str">
        <f t="shared" si="22"/>
        <v>19650307</v>
      </c>
    </row>
    <row r="1443" s="1" customFormat="1" spans="1:13">
      <c r="A1443" s="2">
        <v>1777</v>
      </c>
      <c r="B1443" s="5" t="s">
        <v>3381</v>
      </c>
      <c r="C1443" s="9" t="s">
        <v>4115</v>
      </c>
      <c r="D1443" s="9" t="s">
        <v>4116</v>
      </c>
      <c r="E1443" s="5">
        <v>2011</v>
      </c>
      <c r="F1443" s="5">
        <v>2020</v>
      </c>
      <c r="G1443" s="14" t="s">
        <v>289</v>
      </c>
      <c r="H1443" s="18">
        <v>200</v>
      </c>
      <c r="I1443" s="6">
        <v>2000</v>
      </c>
      <c r="J1443" s="5" t="s">
        <v>3647</v>
      </c>
      <c r="K1443" s="13"/>
      <c r="L1443" s="10">
        <v>20201118</v>
      </c>
      <c r="M1443" s="36" t="str">
        <f t="shared" si="22"/>
        <v>19650309</v>
      </c>
    </row>
    <row r="1444" s="1" customFormat="1" spans="1:13">
      <c r="A1444" s="2">
        <v>1495</v>
      </c>
      <c r="B1444" s="5" t="s">
        <v>3381</v>
      </c>
      <c r="C1444" s="9" t="s">
        <v>3559</v>
      </c>
      <c r="D1444" s="9" t="s">
        <v>3560</v>
      </c>
      <c r="E1444" s="5">
        <v>2020</v>
      </c>
      <c r="F1444" s="5">
        <v>2020</v>
      </c>
      <c r="G1444" s="14" t="s">
        <v>16</v>
      </c>
      <c r="H1444" s="6">
        <v>200</v>
      </c>
      <c r="I1444" s="6">
        <v>200</v>
      </c>
      <c r="J1444" s="5"/>
      <c r="K1444" s="13"/>
      <c r="L1444" s="10">
        <v>20201118</v>
      </c>
      <c r="M1444" s="36" t="str">
        <f t="shared" si="22"/>
        <v>19650310</v>
      </c>
    </row>
    <row r="1445" s="1" customFormat="1" spans="1:13">
      <c r="A1445" s="2">
        <v>4204</v>
      </c>
      <c r="B1445" s="9" t="s">
        <v>8515</v>
      </c>
      <c r="C1445" s="9" t="s">
        <v>8612</v>
      </c>
      <c r="D1445" s="9" t="s">
        <v>8613</v>
      </c>
      <c r="E1445" s="5" t="s">
        <v>15</v>
      </c>
      <c r="F1445" s="5">
        <v>2020</v>
      </c>
      <c r="G1445" s="9" t="s">
        <v>2480</v>
      </c>
      <c r="H1445" s="9">
        <v>200</v>
      </c>
      <c r="I1445" s="9">
        <v>200</v>
      </c>
      <c r="J1445" s="9"/>
      <c r="K1445" s="9"/>
      <c r="L1445" s="10">
        <v>20201118</v>
      </c>
      <c r="M1445" s="36" t="str">
        <f t="shared" si="22"/>
        <v>19650310</v>
      </c>
    </row>
    <row r="1446" s="1" customFormat="1" spans="1:13">
      <c r="A1446" s="2">
        <v>6315</v>
      </c>
      <c r="B1446" s="5" t="s">
        <v>12263</v>
      </c>
      <c r="C1446" s="5" t="s">
        <v>12647</v>
      </c>
      <c r="D1446" s="5" t="s">
        <v>12648</v>
      </c>
      <c r="E1446" s="5" t="s">
        <v>10250</v>
      </c>
      <c r="F1446" s="5">
        <v>2020</v>
      </c>
      <c r="G1446" s="17" t="s">
        <v>3359</v>
      </c>
      <c r="H1446" s="5">
        <v>200</v>
      </c>
      <c r="I1446" s="5">
        <v>200</v>
      </c>
      <c r="J1446" s="5"/>
      <c r="K1446" s="5"/>
      <c r="L1446" s="10">
        <v>20201118</v>
      </c>
      <c r="M1446" s="36" t="str">
        <f t="shared" si="22"/>
        <v>19650312</v>
      </c>
    </row>
    <row r="1447" s="1" customFormat="1" ht="14.25" spans="1:13">
      <c r="A1447" s="2">
        <v>7770</v>
      </c>
      <c r="B1447" s="5" t="s">
        <v>14875</v>
      </c>
      <c r="C1447" s="51" t="s">
        <v>15016</v>
      </c>
      <c r="D1447" s="24" t="str">
        <f>"152326196503137124"</f>
        <v>152326196503137124</v>
      </c>
      <c r="E1447" s="6" t="s">
        <v>15</v>
      </c>
      <c r="F1447" s="6">
        <v>2020</v>
      </c>
      <c r="G1447" s="24" t="s">
        <v>14877</v>
      </c>
      <c r="H1447" s="6">
        <v>200</v>
      </c>
      <c r="I1447" s="6">
        <v>200</v>
      </c>
      <c r="J1447" s="6"/>
      <c r="K1447" s="10"/>
      <c r="L1447" s="10">
        <v>20201118</v>
      </c>
      <c r="M1447" s="36" t="str">
        <f t="shared" si="22"/>
        <v>19650313</v>
      </c>
    </row>
    <row r="1448" s="1" customFormat="1" spans="1:13">
      <c r="A1448" s="2">
        <v>8030</v>
      </c>
      <c r="B1448" s="5" t="s">
        <v>15086</v>
      </c>
      <c r="C1448" s="6" t="s">
        <v>15307</v>
      </c>
      <c r="D1448" s="6" t="s">
        <v>15308</v>
      </c>
      <c r="E1448" s="5" t="s">
        <v>15</v>
      </c>
      <c r="F1448" s="5">
        <v>2020</v>
      </c>
      <c r="G1448" s="5" t="s">
        <v>16</v>
      </c>
      <c r="H1448" s="5">
        <v>200</v>
      </c>
      <c r="I1448" s="5">
        <v>200</v>
      </c>
      <c r="J1448" s="5"/>
      <c r="K1448" s="5"/>
      <c r="L1448" s="10">
        <v>20201118</v>
      </c>
      <c r="M1448" s="36" t="str">
        <f t="shared" si="22"/>
        <v>19650315</v>
      </c>
    </row>
    <row r="1449" s="1" customFormat="1" spans="1:13">
      <c r="A1449" s="2">
        <v>2192</v>
      </c>
      <c r="B1449" s="9" t="s">
        <v>4837</v>
      </c>
      <c r="C1449" s="9" t="s">
        <v>4932</v>
      </c>
      <c r="D1449" s="9" t="s">
        <v>4933</v>
      </c>
      <c r="E1449" s="6" t="s">
        <v>15</v>
      </c>
      <c r="F1449" s="6">
        <v>2020</v>
      </c>
      <c r="G1449" s="9" t="s">
        <v>2480</v>
      </c>
      <c r="H1449" s="9">
        <v>200</v>
      </c>
      <c r="I1449" s="9">
        <v>200</v>
      </c>
      <c r="J1449" s="6"/>
      <c r="K1449" s="10"/>
      <c r="L1449" s="10">
        <v>20201118</v>
      </c>
      <c r="M1449" s="36" t="str">
        <f t="shared" si="22"/>
        <v>19650320</v>
      </c>
    </row>
    <row r="1450" s="1" customFormat="1" spans="1:13">
      <c r="A1450" s="2">
        <v>3697</v>
      </c>
      <c r="B1450" s="5" t="s">
        <v>7412</v>
      </c>
      <c r="C1450" s="5" t="s">
        <v>7652</v>
      </c>
      <c r="D1450" s="5" t="s">
        <v>7653</v>
      </c>
      <c r="E1450" s="6">
        <v>2020</v>
      </c>
      <c r="F1450" s="6">
        <v>2020</v>
      </c>
      <c r="G1450" s="5" t="s">
        <v>3359</v>
      </c>
      <c r="H1450" s="5">
        <v>200</v>
      </c>
      <c r="I1450" s="5">
        <v>200</v>
      </c>
      <c r="J1450" s="5"/>
      <c r="K1450" s="5"/>
      <c r="L1450" s="10">
        <v>20201118</v>
      </c>
      <c r="M1450" s="36" t="str">
        <f t="shared" si="22"/>
        <v>19650320</v>
      </c>
    </row>
    <row r="1451" s="1" customFormat="1" spans="1:13">
      <c r="A1451" s="2">
        <v>4459</v>
      </c>
      <c r="B1451" s="6" t="s">
        <v>9015</v>
      </c>
      <c r="C1451" s="6" t="s">
        <v>8224</v>
      </c>
      <c r="D1451" s="6" t="s">
        <v>9104</v>
      </c>
      <c r="E1451" s="6">
        <v>2020</v>
      </c>
      <c r="F1451" s="6">
        <v>2020</v>
      </c>
      <c r="G1451" s="6" t="s">
        <v>16</v>
      </c>
      <c r="H1451" s="6">
        <v>200</v>
      </c>
      <c r="I1451" s="6">
        <v>200</v>
      </c>
      <c r="J1451" s="6"/>
      <c r="K1451" s="6"/>
      <c r="L1451" s="10">
        <v>20201118</v>
      </c>
      <c r="M1451" s="36" t="str">
        <f t="shared" si="22"/>
        <v>19650320</v>
      </c>
    </row>
    <row r="1452" s="1" customFormat="1" ht="14.25" spans="1:13">
      <c r="A1452" s="2">
        <v>5260</v>
      </c>
      <c r="B1452" s="33" t="s">
        <v>10535</v>
      </c>
      <c r="C1452" s="34" t="s">
        <v>10636</v>
      </c>
      <c r="D1452" s="34" t="s">
        <v>10637</v>
      </c>
      <c r="E1452" s="35">
        <v>2020</v>
      </c>
      <c r="F1452" s="35">
        <v>2020</v>
      </c>
      <c r="G1452" s="35" t="s">
        <v>16</v>
      </c>
      <c r="H1452" s="34">
        <v>200</v>
      </c>
      <c r="I1452" s="34">
        <v>200</v>
      </c>
      <c r="J1452" s="49"/>
      <c r="K1452" s="10"/>
      <c r="L1452" s="10">
        <v>20201118</v>
      </c>
      <c r="M1452" s="36" t="str">
        <f t="shared" si="22"/>
        <v>19650320</v>
      </c>
    </row>
    <row r="1453" s="1" customFormat="1" spans="1:13">
      <c r="A1453" s="2">
        <v>616</v>
      </c>
      <c r="B1453" s="29" t="s">
        <v>1040</v>
      </c>
      <c r="C1453" s="29" t="s">
        <v>1508</v>
      </c>
      <c r="D1453" s="29" t="s">
        <v>1509</v>
      </c>
      <c r="E1453" s="30">
        <v>2020</v>
      </c>
      <c r="F1453" s="30">
        <v>2020</v>
      </c>
      <c r="G1453" s="29" t="s">
        <v>16</v>
      </c>
      <c r="H1453" s="29">
        <v>200</v>
      </c>
      <c r="I1453" s="29">
        <v>200</v>
      </c>
      <c r="J1453" s="29"/>
      <c r="K1453" s="47"/>
      <c r="L1453" s="2" t="s">
        <v>330</v>
      </c>
      <c r="M1453" s="36" t="str">
        <f t="shared" si="22"/>
        <v>19650321</v>
      </c>
    </row>
    <row r="1454" s="1" customFormat="1" ht="14.25" spans="1:13">
      <c r="A1454" s="2">
        <v>5261</v>
      </c>
      <c r="B1454" s="33" t="s">
        <v>10535</v>
      </c>
      <c r="C1454" s="34" t="s">
        <v>10638</v>
      </c>
      <c r="D1454" s="34" t="s">
        <v>10639</v>
      </c>
      <c r="E1454" s="35">
        <v>2020</v>
      </c>
      <c r="F1454" s="35">
        <v>2020</v>
      </c>
      <c r="G1454" s="35" t="s">
        <v>16</v>
      </c>
      <c r="H1454" s="34">
        <v>200</v>
      </c>
      <c r="I1454" s="34">
        <v>200</v>
      </c>
      <c r="J1454" s="49" t="s">
        <v>108</v>
      </c>
      <c r="K1454" s="10"/>
      <c r="L1454" s="10">
        <v>20201118</v>
      </c>
      <c r="M1454" s="36" t="str">
        <f t="shared" si="22"/>
        <v>19650322</v>
      </c>
    </row>
    <row r="1455" s="1" customFormat="1" spans="1:13">
      <c r="A1455" s="2">
        <v>3698</v>
      </c>
      <c r="B1455" s="5" t="s">
        <v>7412</v>
      </c>
      <c r="C1455" s="5" t="s">
        <v>7654</v>
      </c>
      <c r="D1455" s="5" t="s">
        <v>7655</v>
      </c>
      <c r="E1455" s="6">
        <v>2020</v>
      </c>
      <c r="F1455" s="6">
        <v>2020</v>
      </c>
      <c r="G1455" s="5" t="s">
        <v>3359</v>
      </c>
      <c r="H1455" s="5">
        <v>200</v>
      </c>
      <c r="I1455" s="5">
        <v>200</v>
      </c>
      <c r="J1455" s="5"/>
      <c r="K1455" s="5"/>
      <c r="L1455" s="10">
        <v>20201118</v>
      </c>
      <c r="M1455" s="36" t="str">
        <f t="shared" si="22"/>
        <v>19650324</v>
      </c>
    </row>
    <row r="1456" s="1" customFormat="1" spans="1:13">
      <c r="A1456" s="2">
        <v>1877</v>
      </c>
      <c r="B1456" s="5" t="s">
        <v>4189</v>
      </c>
      <c r="C1456" s="16" t="s">
        <v>4317</v>
      </c>
      <c r="D1456" s="16" t="s">
        <v>4318</v>
      </c>
      <c r="E1456" s="5" t="s">
        <v>15</v>
      </c>
      <c r="F1456" s="5" t="s">
        <v>15</v>
      </c>
      <c r="G1456" s="5" t="s">
        <v>3359</v>
      </c>
      <c r="H1456" s="16">
        <v>200</v>
      </c>
      <c r="I1456" s="16">
        <v>200</v>
      </c>
      <c r="J1456" s="5"/>
      <c r="K1456" s="10"/>
      <c r="L1456" s="10">
        <v>20201118</v>
      </c>
      <c r="M1456" s="36" t="str">
        <f t="shared" si="22"/>
        <v>19650325</v>
      </c>
    </row>
    <row r="1457" s="1" customFormat="1" spans="1:13">
      <c r="A1457" s="2">
        <v>4686</v>
      </c>
      <c r="B1457" s="6" t="s">
        <v>9015</v>
      </c>
      <c r="C1457" s="6" t="s">
        <v>6539</v>
      </c>
      <c r="D1457" s="6" t="s">
        <v>9535</v>
      </c>
      <c r="E1457" s="6">
        <v>2020</v>
      </c>
      <c r="F1457" s="6">
        <v>2020</v>
      </c>
      <c r="G1457" s="6" t="s">
        <v>16</v>
      </c>
      <c r="H1457" s="6">
        <v>200</v>
      </c>
      <c r="I1457" s="6">
        <v>200</v>
      </c>
      <c r="J1457" s="6"/>
      <c r="K1457" s="6"/>
      <c r="L1457" s="10">
        <v>20201118</v>
      </c>
      <c r="M1457" s="36" t="str">
        <f t="shared" si="22"/>
        <v>19650325</v>
      </c>
    </row>
    <row r="1458" s="1" customFormat="1" spans="1:13">
      <c r="A1458" s="2">
        <v>3454</v>
      </c>
      <c r="B1458" s="5" t="s">
        <v>3375</v>
      </c>
      <c r="C1458" s="6" t="s">
        <v>7233</v>
      </c>
      <c r="D1458" s="6" t="str">
        <f>"152326196503276896"</f>
        <v>152326196503276896</v>
      </c>
      <c r="E1458" s="5" t="s">
        <v>15</v>
      </c>
      <c r="F1458" s="5">
        <v>2020</v>
      </c>
      <c r="G1458" s="14" t="s">
        <v>16</v>
      </c>
      <c r="H1458" s="17">
        <v>200</v>
      </c>
      <c r="I1458" s="17">
        <v>200</v>
      </c>
      <c r="J1458" s="6"/>
      <c r="K1458" s="10"/>
      <c r="L1458" s="10">
        <v>20201118</v>
      </c>
      <c r="M1458" s="36" t="str">
        <f t="shared" si="22"/>
        <v>19650327</v>
      </c>
    </row>
    <row r="1459" s="1" customFormat="1" spans="1:13">
      <c r="A1459" s="2">
        <v>7008</v>
      </c>
      <c r="B1459" s="5" t="s">
        <v>13533</v>
      </c>
      <c r="C1459" s="32" t="s">
        <v>13755</v>
      </c>
      <c r="D1459" s="32" t="str">
        <f>"152326196503277119"</f>
        <v>152326196503277119</v>
      </c>
      <c r="E1459" s="5">
        <v>2020</v>
      </c>
      <c r="F1459" s="5">
        <v>2020</v>
      </c>
      <c r="G1459" s="9" t="s">
        <v>2480</v>
      </c>
      <c r="H1459" s="32">
        <v>200</v>
      </c>
      <c r="I1459" s="32">
        <v>200</v>
      </c>
      <c r="J1459" s="32"/>
      <c r="K1459" s="10"/>
      <c r="L1459" s="10">
        <v>20201118</v>
      </c>
      <c r="M1459" s="36" t="str">
        <f t="shared" si="22"/>
        <v>19650327</v>
      </c>
    </row>
    <row r="1460" s="1" customFormat="1" spans="1:13">
      <c r="A1460" s="2">
        <v>7181</v>
      </c>
      <c r="B1460" s="5" t="s">
        <v>13908</v>
      </c>
      <c r="C1460" s="5" t="s">
        <v>14014</v>
      </c>
      <c r="D1460" s="5" t="s">
        <v>14015</v>
      </c>
      <c r="E1460" s="5" t="s">
        <v>15</v>
      </c>
      <c r="F1460" s="5" t="s">
        <v>15</v>
      </c>
      <c r="G1460" s="14" t="s">
        <v>16</v>
      </c>
      <c r="H1460" s="17">
        <v>200</v>
      </c>
      <c r="I1460" s="17">
        <v>200</v>
      </c>
      <c r="J1460" s="5"/>
      <c r="K1460" s="10"/>
      <c r="L1460" s="10">
        <v>20201118</v>
      </c>
      <c r="M1460" s="36" t="str">
        <f t="shared" si="22"/>
        <v>19650327</v>
      </c>
    </row>
    <row r="1461" s="1" customFormat="1" spans="1:13">
      <c r="A1461" s="2">
        <v>3699</v>
      </c>
      <c r="B1461" s="5" t="s">
        <v>7412</v>
      </c>
      <c r="C1461" s="5" t="s">
        <v>7656</v>
      </c>
      <c r="D1461" s="5" t="s">
        <v>7657</v>
      </c>
      <c r="E1461" s="6">
        <v>2020</v>
      </c>
      <c r="F1461" s="6">
        <v>2020</v>
      </c>
      <c r="G1461" s="5" t="s">
        <v>3359</v>
      </c>
      <c r="H1461" s="5">
        <v>200</v>
      </c>
      <c r="I1461" s="5">
        <v>200</v>
      </c>
      <c r="J1461" s="5"/>
      <c r="K1461" s="5"/>
      <c r="L1461" s="10">
        <v>20201118</v>
      </c>
      <c r="M1461" s="36" t="str">
        <f t="shared" si="22"/>
        <v>19650328</v>
      </c>
    </row>
    <row r="1462" s="1" customFormat="1" spans="1:13">
      <c r="A1462" s="2">
        <v>2418</v>
      </c>
      <c r="B1462" s="5" t="s">
        <v>5328</v>
      </c>
      <c r="C1462" s="16" t="s">
        <v>5377</v>
      </c>
      <c r="D1462" s="16" t="s">
        <v>5378</v>
      </c>
      <c r="E1462" s="5" t="s">
        <v>15</v>
      </c>
      <c r="F1462" s="5" t="s">
        <v>15</v>
      </c>
      <c r="G1462" s="14" t="s">
        <v>16</v>
      </c>
      <c r="H1462" s="6">
        <v>200</v>
      </c>
      <c r="I1462" s="6">
        <v>200</v>
      </c>
      <c r="J1462" s="5"/>
      <c r="K1462" s="5"/>
      <c r="L1462" s="10">
        <v>20201118</v>
      </c>
      <c r="M1462" s="36" t="str">
        <f t="shared" si="22"/>
        <v>19650329</v>
      </c>
    </row>
    <row r="1463" s="1" customFormat="1" spans="1:13">
      <c r="A1463" s="2">
        <v>543</v>
      </c>
      <c r="B1463" s="29" t="s">
        <v>1040</v>
      </c>
      <c r="C1463" s="29" t="s">
        <v>1363</v>
      </c>
      <c r="D1463" s="29" t="s">
        <v>1364</v>
      </c>
      <c r="E1463" s="30">
        <v>2020</v>
      </c>
      <c r="F1463" s="30">
        <v>2020</v>
      </c>
      <c r="G1463" s="29" t="s">
        <v>16</v>
      </c>
      <c r="H1463" s="29">
        <v>200</v>
      </c>
      <c r="I1463" s="29">
        <v>200</v>
      </c>
      <c r="J1463" s="29"/>
      <c r="K1463" s="47"/>
      <c r="L1463" s="14" t="s">
        <v>330</v>
      </c>
      <c r="M1463" s="36" t="str">
        <f t="shared" si="22"/>
        <v>19650401</v>
      </c>
    </row>
    <row r="1464" s="1" customFormat="1" spans="1:13">
      <c r="A1464" s="2">
        <v>4579</v>
      </c>
      <c r="B1464" s="6" t="s">
        <v>9015</v>
      </c>
      <c r="C1464" s="6" t="s">
        <v>9335</v>
      </c>
      <c r="D1464" s="6" t="s">
        <v>9336</v>
      </c>
      <c r="E1464" s="6">
        <v>2020</v>
      </c>
      <c r="F1464" s="6">
        <v>2020</v>
      </c>
      <c r="G1464" s="6" t="s">
        <v>16</v>
      </c>
      <c r="H1464" s="6">
        <v>200</v>
      </c>
      <c r="I1464" s="6">
        <v>200</v>
      </c>
      <c r="J1464" s="6"/>
      <c r="K1464" s="6"/>
      <c r="L1464" s="10">
        <v>20201118</v>
      </c>
      <c r="M1464" s="36" t="str">
        <f t="shared" si="22"/>
        <v>19650401</v>
      </c>
    </row>
    <row r="1465" s="1" customFormat="1" spans="1:13">
      <c r="A1465" s="2">
        <v>2193</v>
      </c>
      <c r="B1465" s="9" t="s">
        <v>4837</v>
      </c>
      <c r="C1465" s="9" t="s">
        <v>4934</v>
      </c>
      <c r="D1465" s="9" t="s">
        <v>4935</v>
      </c>
      <c r="E1465" s="6" t="s">
        <v>15</v>
      </c>
      <c r="F1465" s="6">
        <v>2020</v>
      </c>
      <c r="G1465" s="9" t="s">
        <v>2480</v>
      </c>
      <c r="H1465" s="9">
        <v>200</v>
      </c>
      <c r="I1465" s="9">
        <v>200</v>
      </c>
      <c r="J1465" s="6"/>
      <c r="K1465" s="10"/>
      <c r="L1465" s="10">
        <v>20201118</v>
      </c>
      <c r="M1465" s="36" t="str">
        <f t="shared" si="22"/>
        <v>19650402</v>
      </c>
    </row>
    <row r="1466" s="1" customFormat="1" spans="1:13">
      <c r="A1466" s="2">
        <v>3700</v>
      </c>
      <c r="B1466" s="5" t="s">
        <v>7412</v>
      </c>
      <c r="C1466" s="5" t="s">
        <v>7658</v>
      </c>
      <c r="D1466" s="5" t="s">
        <v>7659</v>
      </c>
      <c r="E1466" s="6">
        <v>2020</v>
      </c>
      <c r="F1466" s="6">
        <v>2020</v>
      </c>
      <c r="G1466" s="5" t="s">
        <v>3359</v>
      </c>
      <c r="H1466" s="5">
        <v>200</v>
      </c>
      <c r="I1466" s="5">
        <v>200</v>
      </c>
      <c r="J1466" s="5"/>
      <c r="K1466" s="5"/>
      <c r="L1466" s="10">
        <v>20201118</v>
      </c>
      <c r="M1466" s="36" t="str">
        <f t="shared" si="22"/>
        <v>19650404</v>
      </c>
    </row>
    <row r="1467" s="1" customFormat="1" spans="1:13">
      <c r="A1467" s="2">
        <v>5600</v>
      </c>
      <c r="B1467" s="30" t="s">
        <v>11090</v>
      </c>
      <c r="C1467" s="30" t="s">
        <v>11291</v>
      </c>
      <c r="D1467" s="30" t="s">
        <v>11292</v>
      </c>
      <c r="E1467" s="5" t="s">
        <v>15</v>
      </c>
      <c r="F1467" s="5" t="s">
        <v>10250</v>
      </c>
      <c r="G1467" s="6" t="s">
        <v>16</v>
      </c>
      <c r="H1467" s="32">
        <v>200</v>
      </c>
      <c r="I1467" s="32">
        <v>200</v>
      </c>
      <c r="J1467" s="6"/>
      <c r="K1467" s="48"/>
      <c r="L1467" s="10">
        <v>20201118</v>
      </c>
      <c r="M1467" s="36" t="str">
        <f t="shared" si="22"/>
        <v>19650404</v>
      </c>
    </row>
    <row r="1468" s="1" customFormat="1" spans="1:13">
      <c r="A1468" s="2">
        <v>7574</v>
      </c>
      <c r="B1468" s="5" t="s">
        <v>14402</v>
      </c>
      <c r="C1468" s="5" t="s">
        <v>14749</v>
      </c>
      <c r="D1468" s="5" t="s">
        <v>14750</v>
      </c>
      <c r="E1468" s="5">
        <v>2020</v>
      </c>
      <c r="F1468" s="5">
        <v>2020</v>
      </c>
      <c r="G1468" s="17" t="s">
        <v>16</v>
      </c>
      <c r="H1468" s="5">
        <v>200</v>
      </c>
      <c r="I1468" s="5">
        <v>200</v>
      </c>
      <c r="J1468" s="5"/>
      <c r="K1468" s="10"/>
      <c r="L1468" s="10">
        <v>20201118</v>
      </c>
      <c r="M1468" s="36" t="str">
        <f t="shared" si="22"/>
        <v>19650405</v>
      </c>
    </row>
    <row r="1469" s="1" customFormat="1" spans="1:13">
      <c r="A1469" s="2">
        <v>619</v>
      </c>
      <c r="B1469" s="29" t="s">
        <v>1040</v>
      </c>
      <c r="C1469" s="29" t="s">
        <v>1514</v>
      </c>
      <c r="D1469" s="29" t="s">
        <v>1515</v>
      </c>
      <c r="E1469" s="30">
        <v>2020</v>
      </c>
      <c r="F1469" s="30">
        <v>2020</v>
      </c>
      <c r="G1469" s="29" t="s">
        <v>16</v>
      </c>
      <c r="H1469" s="29">
        <v>200</v>
      </c>
      <c r="I1469" s="29">
        <v>200</v>
      </c>
      <c r="J1469" s="29"/>
      <c r="K1469" s="47"/>
      <c r="L1469" s="14" t="s">
        <v>330</v>
      </c>
      <c r="M1469" s="36" t="str">
        <f t="shared" si="22"/>
        <v>19650406</v>
      </c>
    </row>
    <row r="1470" s="1" customFormat="1" ht="14.25" spans="1:13">
      <c r="A1470" s="2">
        <v>2814</v>
      </c>
      <c r="B1470" s="6" t="s">
        <v>6075</v>
      </c>
      <c r="C1470" s="25" t="s">
        <v>6155</v>
      </c>
      <c r="D1470" s="26" t="s">
        <v>6156</v>
      </c>
      <c r="E1470" s="5" t="s">
        <v>15</v>
      </c>
      <c r="F1470" s="5">
        <v>2020</v>
      </c>
      <c r="G1470" s="6" t="s">
        <v>16</v>
      </c>
      <c r="H1470" s="6">
        <v>200</v>
      </c>
      <c r="I1470" s="6">
        <v>200</v>
      </c>
      <c r="J1470" s="6"/>
      <c r="K1470" s="10"/>
      <c r="L1470" s="10">
        <v>20201118</v>
      </c>
      <c r="M1470" s="36" t="str">
        <f t="shared" si="22"/>
        <v>19650406</v>
      </c>
    </row>
    <row r="1471" s="1" customFormat="1" spans="1:13">
      <c r="A1471" s="2">
        <v>6215</v>
      </c>
      <c r="B1471" s="5" t="s">
        <v>12263</v>
      </c>
      <c r="C1471" s="5" t="s">
        <v>1858</v>
      </c>
      <c r="D1471" s="5" t="s">
        <v>12457</v>
      </c>
      <c r="E1471" s="5" t="s">
        <v>10250</v>
      </c>
      <c r="F1471" s="5">
        <v>2020</v>
      </c>
      <c r="G1471" s="17" t="s">
        <v>3359</v>
      </c>
      <c r="H1471" s="5">
        <v>200</v>
      </c>
      <c r="I1471" s="5">
        <v>200</v>
      </c>
      <c r="J1471" s="5"/>
      <c r="K1471" s="5"/>
      <c r="L1471" s="10">
        <v>20201118</v>
      </c>
      <c r="M1471" s="36" t="str">
        <f t="shared" si="22"/>
        <v>19650408</v>
      </c>
    </row>
    <row r="1472" s="1" customFormat="1" spans="1:13">
      <c r="A1472" s="2">
        <v>5692</v>
      </c>
      <c r="B1472" s="30" t="s">
        <v>11090</v>
      </c>
      <c r="C1472" s="30" t="s">
        <v>11469</v>
      </c>
      <c r="D1472" s="30" t="s">
        <v>11470</v>
      </c>
      <c r="E1472" s="5" t="s">
        <v>15</v>
      </c>
      <c r="F1472" s="5" t="s">
        <v>10250</v>
      </c>
      <c r="G1472" s="6" t="s">
        <v>16</v>
      </c>
      <c r="H1472" s="32">
        <v>200</v>
      </c>
      <c r="I1472" s="32">
        <v>200</v>
      </c>
      <c r="J1472" s="6"/>
      <c r="K1472" s="48"/>
      <c r="L1472" s="10">
        <v>20201118</v>
      </c>
      <c r="M1472" s="36" t="str">
        <f t="shared" si="22"/>
        <v>19650409</v>
      </c>
    </row>
    <row r="1473" s="1" customFormat="1" spans="1:13">
      <c r="A1473" s="2">
        <v>7006</v>
      </c>
      <c r="B1473" s="5" t="s">
        <v>13533</v>
      </c>
      <c r="C1473" s="32" t="s">
        <v>13753</v>
      </c>
      <c r="D1473" s="32" t="str">
        <f>"152326196504097160"</f>
        <v>152326196504097160</v>
      </c>
      <c r="E1473" s="5">
        <v>2020</v>
      </c>
      <c r="F1473" s="5">
        <v>2020</v>
      </c>
      <c r="G1473" s="9" t="s">
        <v>2480</v>
      </c>
      <c r="H1473" s="32">
        <v>200</v>
      </c>
      <c r="I1473" s="32">
        <v>200</v>
      </c>
      <c r="J1473" s="32"/>
      <c r="K1473" s="10"/>
      <c r="L1473" s="10">
        <v>20201118</v>
      </c>
      <c r="M1473" s="36" t="str">
        <f t="shared" si="22"/>
        <v>19650409</v>
      </c>
    </row>
    <row r="1474" s="1" customFormat="1" spans="1:13">
      <c r="A1474" s="2">
        <v>3459</v>
      </c>
      <c r="B1474" s="5" t="s">
        <v>3375</v>
      </c>
      <c r="C1474" s="6" t="s">
        <v>7238</v>
      </c>
      <c r="D1474" s="6" t="str">
        <f>"152326196504106872"</f>
        <v>152326196504106872</v>
      </c>
      <c r="E1474" s="5" t="s">
        <v>15</v>
      </c>
      <c r="F1474" s="5">
        <v>2020</v>
      </c>
      <c r="G1474" s="14" t="s">
        <v>16</v>
      </c>
      <c r="H1474" s="17">
        <v>200</v>
      </c>
      <c r="I1474" s="17">
        <v>200</v>
      </c>
      <c r="J1474" s="6"/>
      <c r="K1474" s="10"/>
      <c r="L1474" s="10">
        <v>20201118</v>
      </c>
      <c r="M1474" s="36" t="str">
        <f t="shared" ref="M1474:M1537" si="23">MID(D1474,7,8)</f>
        <v>19650410</v>
      </c>
    </row>
    <row r="1475" s="1" customFormat="1" ht="14.25" spans="1:13">
      <c r="A1475" s="2">
        <v>3046</v>
      </c>
      <c r="B1475" s="6" t="s">
        <v>6075</v>
      </c>
      <c r="C1475" s="25" t="s">
        <v>6615</v>
      </c>
      <c r="D1475" s="26" t="s">
        <v>6616</v>
      </c>
      <c r="E1475" s="5" t="s">
        <v>15</v>
      </c>
      <c r="F1475" s="5">
        <v>2020</v>
      </c>
      <c r="G1475" s="6" t="s">
        <v>16</v>
      </c>
      <c r="H1475" s="6">
        <v>200</v>
      </c>
      <c r="I1475" s="6">
        <v>200</v>
      </c>
      <c r="J1475" s="6"/>
      <c r="K1475" s="10"/>
      <c r="L1475" s="10">
        <v>20201118</v>
      </c>
      <c r="M1475" s="36" t="str">
        <f t="shared" si="23"/>
        <v>19650411</v>
      </c>
    </row>
    <row r="1476" s="1" customFormat="1" spans="1:13">
      <c r="A1476" s="2">
        <v>4513</v>
      </c>
      <c r="B1476" s="6" t="s">
        <v>9015</v>
      </c>
      <c r="C1476" s="6" t="s">
        <v>9208</v>
      </c>
      <c r="D1476" s="6" t="s">
        <v>9209</v>
      </c>
      <c r="E1476" s="6">
        <v>2020</v>
      </c>
      <c r="F1476" s="6">
        <v>2020</v>
      </c>
      <c r="G1476" s="6" t="s">
        <v>16</v>
      </c>
      <c r="H1476" s="6">
        <v>200</v>
      </c>
      <c r="I1476" s="6">
        <v>200</v>
      </c>
      <c r="J1476" s="6"/>
      <c r="K1476" s="6"/>
      <c r="L1476" s="10">
        <v>20201118</v>
      </c>
      <c r="M1476" s="36" t="str">
        <f t="shared" si="23"/>
        <v>19650412</v>
      </c>
    </row>
    <row r="1477" s="1" customFormat="1" spans="1:13">
      <c r="A1477" s="2">
        <v>6240</v>
      </c>
      <c r="B1477" s="5" t="s">
        <v>12263</v>
      </c>
      <c r="C1477" s="5" t="s">
        <v>12503</v>
      </c>
      <c r="D1477" s="5" t="s">
        <v>12504</v>
      </c>
      <c r="E1477" s="5" t="s">
        <v>10250</v>
      </c>
      <c r="F1477" s="5">
        <v>2020</v>
      </c>
      <c r="G1477" s="17" t="s">
        <v>3359</v>
      </c>
      <c r="H1477" s="5">
        <v>200</v>
      </c>
      <c r="I1477" s="5">
        <v>200</v>
      </c>
      <c r="J1477" s="5"/>
      <c r="K1477" s="5"/>
      <c r="L1477" s="10">
        <v>20201118</v>
      </c>
      <c r="M1477" s="36" t="str">
        <f t="shared" si="23"/>
        <v>19650412</v>
      </c>
    </row>
    <row r="1478" s="1" customFormat="1" spans="1:13">
      <c r="A1478" s="2">
        <v>992</v>
      </c>
      <c r="B1478" s="5" t="s">
        <v>2469</v>
      </c>
      <c r="C1478" s="9" t="s">
        <v>2575</v>
      </c>
      <c r="D1478" s="9" t="s">
        <v>2576</v>
      </c>
      <c r="E1478" s="5">
        <v>2020</v>
      </c>
      <c r="F1478" s="5">
        <v>2020</v>
      </c>
      <c r="G1478" s="9" t="s">
        <v>2480</v>
      </c>
      <c r="H1478" s="9">
        <v>200</v>
      </c>
      <c r="I1478" s="9">
        <v>200</v>
      </c>
      <c r="J1478" s="5"/>
      <c r="K1478" s="5"/>
      <c r="L1478" s="10">
        <v>20201118</v>
      </c>
      <c r="M1478" s="36" t="str">
        <f t="shared" si="23"/>
        <v>19650415</v>
      </c>
    </row>
    <row r="1479" s="1" customFormat="1" spans="1:13">
      <c r="A1479" s="2">
        <v>993</v>
      </c>
      <c r="B1479" s="5" t="s">
        <v>2469</v>
      </c>
      <c r="C1479" s="9" t="s">
        <v>2577</v>
      </c>
      <c r="D1479" s="9" t="s">
        <v>2578</v>
      </c>
      <c r="E1479" s="5">
        <v>2020</v>
      </c>
      <c r="F1479" s="5">
        <v>2020</v>
      </c>
      <c r="G1479" s="9" t="s">
        <v>2480</v>
      </c>
      <c r="H1479" s="9">
        <v>200</v>
      </c>
      <c r="I1479" s="9">
        <v>200</v>
      </c>
      <c r="J1479" s="5"/>
      <c r="K1479" s="5"/>
      <c r="L1479" s="10">
        <v>20201118</v>
      </c>
      <c r="M1479" s="36" t="str">
        <f t="shared" si="23"/>
        <v>19650416</v>
      </c>
    </row>
    <row r="1480" s="1" customFormat="1" spans="1:13">
      <c r="A1480" s="2">
        <v>994</v>
      </c>
      <c r="B1480" s="5" t="s">
        <v>2469</v>
      </c>
      <c r="C1480" s="9" t="s">
        <v>2579</v>
      </c>
      <c r="D1480" s="9" t="s">
        <v>2580</v>
      </c>
      <c r="E1480" s="5">
        <v>2020</v>
      </c>
      <c r="F1480" s="5">
        <v>2020</v>
      </c>
      <c r="G1480" s="9" t="s">
        <v>2480</v>
      </c>
      <c r="H1480" s="9">
        <v>200</v>
      </c>
      <c r="I1480" s="9">
        <v>200</v>
      </c>
      <c r="J1480" s="5"/>
      <c r="K1480" s="5"/>
      <c r="L1480" s="10">
        <v>20201118</v>
      </c>
      <c r="M1480" s="36" t="str">
        <f t="shared" si="23"/>
        <v>19650416</v>
      </c>
    </row>
    <row r="1481" s="1" customFormat="1" ht="14.25" spans="1:13">
      <c r="A1481" s="2">
        <v>6071</v>
      </c>
      <c r="B1481" s="30" t="s">
        <v>11090</v>
      </c>
      <c r="C1481" s="32" t="s">
        <v>3040</v>
      </c>
      <c r="D1481" s="12" t="s">
        <v>12184</v>
      </c>
      <c r="E1481" s="5" t="s">
        <v>15</v>
      </c>
      <c r="F1481" s="5" t="s">
        <v>10250</v>
      </c>
      <c r="G1481" s="6" t="s">
        <v>16</v>
      </c>
      <c r="H1481" s="32">
        <v>200</v>
      </c>
      <c r="I1481" s="32">
        <v>200</v>
      </c>
      <c r="J1481" s="5"/>
      <c r="K1481" s="48"/>
      <c r="L1481" s="10">
        <v>20201118</v>
      </c>
      <c r="M1481" s="36" t="str">
        <f t="shared" si="23"/>
        <v>19650417</v>
      </c>
    </row>
    <row r="1482" s="1" customFormat="1" spans="1:13">
      <c r="A1482" s="2">
        <v>5091</v>
      </c>
      <c r="B1482" s="6" t="s">
        <v>10242</v>
      </c>
      <c r="C1482" s="9" t="s">
        <v>10314</v>
      </c>
      <c r="D1482" s="9" t="s">
        <v>10315</v>
      </c>
      <c r="E1482" s="5" t="s">
        <v>10250</v>
      </c>
      <c r="F1482" s="5">
        <v>2020</v>
      </c>
      <c r="G1482" s="6" t="s">
        <v>16</v>
      </c>
      <c r="H1482" s="6">
        <v>200</v>
      </c>
      <c r="I1482" s="6">
        <v>200</v>
      </c>
      <c r="J1482" s="6" t="s">
        <v>108</v>
      </c>
      <c r="K1482" s="5"/>
      <c r="L1482" s="10">
        <v>20201118</v>
      </c>
      <c r="M1482" s="36" t="str">
        <f t="shared" si="23"/>
        <v>19650419</v>
      </c>
    </row>
    <row r="1483" s="1" customFormat="1" spans="1:13">
      <c r="A1483" s="2">
        <v>1496</v>
      </c>
      <c r="B1483" s="5" t="s">
        <v>3381</v>
      </c>
      <c r="C1483" s="9" t="s">
        <v>3561</v>
      </c>
      <c r="D1483" s="9" t="s">
        <v>3562</v>
      </c>
      <c r="E1483" s="5">
        <v>2020</v>
      </c>
      <c r="F1483" s="5">
        <v>2020</v>
      </c>
      <c r="G1483" s="14" t="s">
        <v>16</v>
      </c>
      <c r="H1483" s="6">
        <v>200</v>
      </c>
      <c r="I1483" s="6">
        <v>200</v>
      </c>
      <c r="J1483" s="5"/>
      <c r="K1483" s="13"/>
      <c r="L1483" s="10">
        <v>20201118</v>
      </c>
      <c r="M1483" s="36" t="str">
        <f t="shared" si="23"/>
        <v>19650420</v>
      </c>
    </row>
    <row r="1484" s="1" customFormat="1" spans="1:13">
      <c r="A1484" s="2">
        <v>4509</v>
      </c>
      <c r="B1484" s="6" t="s">
        <v>9015</v>
      </c>
      <c r="C1484" s="6" t="s">
        <v>9200</v>
      </c>
      <c r="D1484" s="6" t="s">
        <v>9201</v>
      </c>
      <c r="E1484" s="6">
        <v>2020</v>
      </c>
      <c r="F1484" s="6">
        <v>2020</v>
      </c>
      <c r="G1484" s="6" t="s">
        <v>16</v>
      </c>
      <c r="H1484" s="6">
        <v>200</v>
      </c>
      <c r="I1484" s="6">
        <v>200</v>
      </c>
      <c r="J1484" s="6"/>
      <c r="K1484" s="6"/>
      <c r="L1484" s="10">
        <v>20201118</v>
      </c>
      <c r="M1484" s="36" t="str">
        <f t="shared" si="23"/>
        <v>19650420</v>
      </c>
    </row>
    <row r="1485" s="1" customFormat="1" spans="1:13">
      <c r="A1485" s="2">
        <v>3455</v>
      </c>
      <c r="B1485" s="5" t="s">
        <v>3375</v>
      </c>
      <c r="C1485" s="6" t="s">
        <v>7234</v>
      </c>
      <c r="D1485" s="6" t="str">
        <f>"152326196504266868"</f>
        <v>152326196504266868</v>
      </c>
      <c r="E1485" s="5" t="s">
        <v>15</v>
      </c>
      <c r="F1485" s="5">
        <v>2020</v>
      </c>
      <c r="G1485" s="14" t="s">
        <v>16</v>
      </c>
      <c r="H1485" s="17">
        <v>200</v>
      </c>
      <c r="I1485" s="17">
        <v>200</v>
      </c>
      <c r="J1485" s="6"/>
      <c r="K1485" s="10"/>
      <c r="L1485" s="10">
        <v>20201118</v>
      </c>
      <c r="M1485" s="36" t="str">
        <f t="shared" si="23"/>
        <v>19650426</v>
      </c>
    </row>
    <row r="1486" s="1" customFormat="1" spans="1:13">
      <c r="A1486" s="2">
        <v>6378</v>
      </c>
      <c r="B1486" s="5" t="s">
        <v>12263</v>
      </c>
      <c r="C1486" s="5" t="s">
        <v>12769</v>
      </c>
      <c r="D1486" s="5" t="s">
        <v>12770</v>
      </c>
      <c r="E1486" s="5" t="s">
        <v>10250</v>
      </c>
      <c r="F1486" s="5">
        <v>2020</v>
      </c>
      <c r="G1486" s="17" t="s">
        <v>3359</v>
      </c>
      <c r="H1486" s="5" t="s">
        <v>311</v>
      </c>
      <c r="I1486" s="5">
        <v>200</v>
      </c>
      <c r="J1486" s="5"/>
      <c r="K1486" s="5"/>
      <c r="L1486" s="10">
        <v>20201118</v>
      </c>
      <c r="M1486" s="36" t="str">
        <f t="shared" si="23"/>
        <v>19650426</v>
      </c>
    </row>
    <row r="1487" s="1" customFormat="1" spans="1:13">
      <c r="A1487" s="2">
        <v>4652</v>
      </c>
      <c r="B1487" s="6" t="s">
        <v>9015</v>
      </c>
      <c r="C1487" s="6" t="s">
        <v>9468</v>
      </c>
      <c r="D1487" s="6" t="s">
        <v>9469</v>
      </c>
      <c r="E1487" s="6">
        <v>2020</v>
      </c>
      <c r="F1487" s="6">
        <v>2020</v>
      </c>
      <c r="G1487" s="6" t="s">
        <v>16</v>
      </c>
      <c r="H1487" s="6">
        <v>200</v>
      </c>
      <c r="I1487" s="6">
        <v>200</v>
      </c>
      <c r="J1487" s="6"/>
      <c r="K1487" s="6"/>
      <c r="L1487" s="10">
        <v>20201118</v>
      </c>
      <c r="M1487" s="36" t="str">
        <f t="shared" si="23"/>
        <v>19650428</v>
      </c>
    </row>
    <row r="1488" s="1" customFormat="1" spans="1:13">
      <c r="A1488" s="2">
        <v>7177</v>
      </c>
      <c r="B1488" s="5" t="s">
        <v>13908</v>
      </c>
      <c r="C1488" s="5" t="s">
        <v>14007</v>
      </c>
      <c r="D1488" s="5" t="s">
        <v>14008</v>
      </c>
      <c r="E1488" s="5" t="s">
        <v>15</v>
      </c>
      <c r="F1488" s="5" t="s">
        <v>15</v>
      </c>
      <c r="G1488" s="14" t="s">
        <v>16</v>
      </c>
      <c r="H1488" s="17">
        <v>200</v>
      </c>
      <c r="I1488" s="17">
        <v>200</v>
      </c>
      <c r="J1488" s="5"/>
      <c r="K1488" s="10"/>
      <c r="L1488" s="10">
        <v>20201118</v>
      </c>
      <c r="M1488" s="36" t="str">
        <f t="shared" si="23"/>
        <v>19650501</v>
      </c>
    </row>
    <row r="1489" s="1" customFormat="1" spans="1:13">
      <c r="A1489" s="2">
        <v>1879</v>
      </c>
      <c r="B1489" s="5" t="s">
        <v>4189</v>
      </c>
      <c r="C1489" s="16" t="s">
        <v>4321</v>
      </c>
      <c r="D1489" s="16" t="s">
        <v>4322</v>
      </c>
      <c r="E1489" s="5" t="s">
        <v>15</v>
      </c>
      <c r="F1489" s="5" t="s">
        <v>15</v>
      </c>
      <c r="G1489" s="5" t="s">
        <v>3359</v>
      </c>
      <c r="H1489" s="16">
        <v>200</v>
      </c>
      <c r="I1489" s="16">
        <v>200</v>
      </c>
      <c r="J1489" s="5"/>
      <c r="K1489" s="10"/>
      <c r="L1489" s="10">
        <v>20201118</v>
      </c>
      <c r="M1489" s="36" t="str">
        <f t="shared" si="23"/>
        <v>19650504</v>
      </c>
    </row>
    <row r="1490" s="1" customFormat="1" ht="14.25" spans="1:13">
      <c r="A1490" s="2">
        <v>5262</v>
      </c>
      <c r="B1490" s="33" t="s">
        <v>10535</v>
      </c>
      <c r="C1490" s="34" t="s">
        <v>10640</v>
      </c>
      <c r="D1490" s="34" t="s">
        <v>10641</v>
      </c>
      <c r="E1490" s="35">
        <v>2020</v>
      </c>
      <c r="F1490" s="35">
        <v>2020</v>
      </c>
      <c r="G1490" s="35" t="s">
        <v>16</v>
      </c>
      <c r="H1490" s="34">
        <v>200</v>
      </c>
      <c r="I1490" s="34">
        <v>200</v>
      </c>
      <c r="J1490" s="49"/>
      <c r="K1490" s="10"/>
      <c r="L1490" s="10">
        <v>20201118</v>
      </c>
      <c r="M1490" s="36" t="str">
        <f t="shared" si="23"/>
        <v>19650504</v>
      </c>
    </row>
    <row r="1491" s="1" customFormat="1" spans="1:13">
      <c r="A1491" s="2">
        <v>6136</v>
      </c>
      <c r="B1491" s="5" t="s">
        <v>12263</v>
      </c>
      <c r="C1491" s="5" t="s">
        <v>12307</v>
      </c>
      <c r="D1491" s="5" t="s">
        <v>12308</v>
      </c>
      <c r="E1491" s="5" t="s">
        <v>10250</v>
      </c>
      <c r="F1491" s="5">
        <v>2020</v>
      </c>
      <c r="G1491" s="17" t="s">
        <v>3359</v>
      </c>
      <c r="H1491" s="5">
        <v>200</v>
      </c>
      <c r="I1491" s="5">
        <v>200</v>
      </c>
      <c r="J1491" s="5"/>
      <c r="K1491" s="5"/>
      <c r="L1491" s="10">
        <v>20201118</v>
      </c>
      <c r="M1491" s="36" t="str">
        <f t="shared" si="23"/>
        <v>19650504</v>
      </c>
    </row>
    <row r="1492" s="1" customFormat="1" spans="1:13">
      <c r="A1492" s="2">
        <v>553</v>
      </c>
      <c r="B1492" s="29" t="s">
        <v>1040</v>
      </c>
      <c r="C1492" s="29" t="s">
        <v>1383</v>
      </c>
      <c r="D1492" s="29" t="s">
        <v>1384</v>
      </c>
      <c r="E1492" s="30">
        <v>2020</v>
      </c>
      <c r="F1492" s="30">
        <v>2020</v>
      </c>
      <c r="G1492" s="29" t="s">
        <v>16</v>
      </c>
      <c r="H1492" s="29">
        <v>200</v>
      </c>
      <c r="I1492" s="29">
        <v>200</v>
      </c>
      <c r="J1492" s="29"/>
      <c r="K1492" s="47"/>
      <c r="L1492" s="14" t="s">
        <v>330</v>
      </c>
      <c r="M1492" s="36" t="str">
        <f t="shared" si="23"/>
        <v>19650505</v>
      </c>
    </row>
    <row r="1493" s="1" customFormat="1" spans="1:13">
      <c r="A1493" s="2">
        <v>754</v>
      </c>
      <c r="B1493" s="29" t="s">
        <v>1040</v>
      </c>
      <c r="C1493" s="5" t="s">
        <v>1912</v>
      </c>
      <c r="D1493" s="317" t="s">
        <v>1913</v>
      </c>
      <c r="E1493" s="30">
        <v>2020</v>
      </c>
      <c r="F1493" s="30">
        <v>2020</v>
      </c>
      <c r="G1493" s="29" t="s">
        <v>16</v>
      </c>
      <c r="H1493" s="29">
        <v>200</v>
      </c>
      <c r="I1493" s="29">
        <v>200</v>
      </c>
      <c r="J1493" s="32"/>
      <c r="K1493" s="32"/>
      <c r="L1493" s="14" t="s">
        <v>330</v>
      </c>
      <c r="M1493" s="36" t="str">
        <f t="shared" si="23"/>
        <v>19650505</v>
      </c>
    </row>
    <row r="1494" s="1" customFormat="1" spans="1:13">
      <c r="A1494" s="2">
        <v>995</v>
      </c>
      <c r="B1494" s="5" t="s">
        <v>2469</v>
      </c>
      <c r="C1494" s="9" t="s">
        <v>2581</v>
      </c>
      <c r="D1494" s="9" t="s">
        <v>2582</v>
      </c>
      <c r="E1494" s="5">
        <v>2020</v>
      </c>
      <c r="F1494" s="5">
        <v>2020</v>
      </c>
      <c r="G1494" s="9" t="s">
        <v>2480</v>
      </c>
      <c r="H1494" s="9">
        <v>200</v>
      </c>
      <c r="I1494" s="9">
        <v>200</v>
      </c>
      <c r="J1494" s="5"/>
      <c r="K1494" s="5"/>
      <c r="L1494" s="10">
        <v>20201118</v>
      </c>
      <c r="M1494" s="36" t="str">
        <f t="shared" si="23"/>
        <v>19650505</v>
      </c>
    </row>
    <row r="1495" s="1" customFormat="1" spans="1:13">
      <c r="A1495" s="2">
        <v>7573</v>
      </c>
      <c r="B1495" s="5" t="s">
        <v>14402</v>
      </c>
      <c r="C1495" s="5" t="s">
        <v>14747</v>
      </c>
      <c r="D1495" s="5" t="s">
        <v>14748</v>
      </c>
      <c r="E1495" s="5">
        <v>2020</v>
      </c>
      <c r="F1495" s="5">
        <v>2020</v>
      </c>
      <c r="G1495" s="17" t="s">
        <v>16</v>
      </c>
      <c r="H1495" s="5">
        <v>200</v>
      </c>
      <c r="I1495" s="5">
        <v>200</v>
      </c>
      <c r="J1495" s="5"/>
      <c r="K1495" s="10"/>
      <c r="L1495" s="10">
        <v>20201118</v>
      </c>
      <c r="M1495" s="36" t="str">
        <f t="shared" si="23"/>
        <v>19650505</v>
      </c>
    </row>
    <row r="1496" s="1" customFormat="1" spans="1:13">
      <c r="A1496" s="2">
        <v>1497</v>
      </c>
      <c r="B1496" s="5" t="s">
        <v>3381</v>
      </c>
      <c r="C1496" s="9" t="s">
        <v>3563</v>
      </c>
      <c r="D1496" s="9" t="s">
        <v>3564</v>
      </c>
      <c r="E1496" s="5">
        <v>2020</v>
      </c>
      <c r="F1496" s="5">
        <v>2020</v>
      </c>
      <c r="G1496" s="14" t="s">
        <v>16</v>
      </c>
      <c r="H1496" s="6">
        <v>200</v>
      </c>
      <c r="I1496" s="6">
        <v>200</v>
      </c>
      <c r="J1496" s="5"/>
      <c r="K1496" s="13"/>
      <c r="L1496" s="10">
        <v>20201118</v>
      </c>
      <c r="M1496" s="36" t="str">
        <f t="shared" si="23"/>
        <v>19650506</v>
      </c>
    </row>
    <row r="1497" s="1" customFormat="1" spans="1:13">
      <c r="A1497" s="2">
        <v>6206</v>
      </c>
      <c r="B1497" s="5" t="s">
        <v>12263</v>
      </c>
      <c r="C1497" s="5" t="s">
        <v>12440</v>
      </c>
      <c r="D1497" s="5" t="s">
        <v>12441</v>
      </c>
      <c r="E1497" s="5" t="s">
        <v>10250</v>
      </c>
      <c r="F1497" s="5">
        <v>2020</v>
      </c>
      <c r="G1497" s="17" t="s">
        <v>3359</v>
      </c>
      <c r="H1497" s="5">
        <v>200</v>
      </c>
      <c r="I1497" s="5">
        <v>200</v>
      </c>
      <c r="J1497" s="5"/>
      <c r="K1497" s="5"/>
      <c r="L1497" s="10">
        <v>20201118</v>
      </c>
      <c r="M1497" s="36" t="str">
        <f t="shared" si="23"/>
        <v>19650506</v>
      </c>
    </row>
    <row r="1498" s="1" customFormat="1" spans="1:13">
      <c r="A1498" s="2">
        <v>6387</v>
      </c>
      <c r="B1498" s="5" t="s">
        <v>12263</v>
      </c>
      <c r="C1498" s="5" t="s">
        <v>12786</v>
      </c>
      <c r="D1498" s="5" t="s">
        <v>12787</v>
      </c>
      <c r="E1498" s="5" t="s">
        <v>10250</v>
      </c>
      <c r="F1498" s="5">
        <v>2020</v>
      </c>
      <c r="G1498" s="17" t="s">
        <v>3359</v>
      </c>
      <c r="H1498" s="5" t="s">
        <v>311</v>
      </c>
      <c r="I1498" s="5">
        <v>200</v>
      </c>
      <c r="J1498" s="5"/>
      <c r="K1498" s="5"/>
      <c r="L1498" s="10">
        <v>20201118</v>
      </c>
      <c r="M1498" s="36" t="str">
        <f t="shared" si="23"/>
        <v>19650509</v>
      </c>
    </row>
    <row r="1499" s="1" customFormat="1" spans="1:13">
      <c r="A1499" s="2">
        <v>8037</v>
      </c>
      <c r="B1499" s="5" t="s">
        <v>15086</v>
      </c>
      <c r="C1499" s="6" t="s">
        <v>15314</v>
      </c>
      <c r="D1499" s="6" t="s">
        <v>15315</v>
      </c>
      <c r="E1499" s="5" t="s">
        <v>15</v>
      </c>
      <c r="F1499" s="5">
        <v>2020</v>
      </c>
      <c r="G1499" s="5" t="s">
        <v>16</v>
      </c>
      <c r="H1499" s="5">
        <v>200</v>
      </c>
      <c r="I1499" s="5">
        <v>200</v>
      </c>
      <c r="J1499" s="5"/>
      <c r="K1499" s="5"/>
      <c r="L1499" s="10">
        <v>20201118</v>
      </c>
      <c r="M1499" s="36" t="str">
        <f t="shared" si="23"/>
        <v>19650510</v>
      </c>
    </row>
    <row r="1500" s="1" customFormat="1" spans="1:13">
      <c r="A1500" s="2">
        <v>1498</v>
      </c>
      <c r="B1500" s="5" t="s">
        <v>3381</v>
      </c>
      <c r="C1500" s="9" t="s">
        <v>3565</v>
      </c>
      <c r="D1500" s="9" t="s">
        <v>3566</v>
      </c>
      <c r="E1500" s="5">
        <v>2020</v>
      </c>
      <c r="F1500" s="5">
        <v>2020</v>
      </c>
      <c r="G1500" s="14" t="s">
        <v>16</v>
      </c>
      <c r="H1500" s="6">
        <v>200</v>
      </c>
      <c r="I1500" s="6">
        <v>200</v>
      </c>
      <c r="J1500" s="5"/>
      <c r="K1500" s="13"/>
      <c r="L1500" s="10">
        <v>20201118</v>
      </c>
      <c r="M1500" s="36" t="str">
        <f t="shared" si="23"/>
        <v>19650512</v>
      </c>
    </row>
    <row r="1501" s="1" customFormat="1" spans="1:13">
      <c r="A1501" s="2">
        <v>2194</v>
      </c>
      <c r="B1501" s="9" t="s">
        <v>4837</v>
      </c>
      <c r="C1501" s="9" t="s">
        <v>4936</v>
      </c>
      <c r="D1501" s="9" t="s">
        <v>4937</v>
      </c>
      <c r="E1501" s="6" t="s">
        <v>15</v>
      </c>
      <c r="F1501" s="6">
        <v>2020</v>
      </c>
      <c r="G1501" s="9" t="s">
        <v>2480</v>
      </c>
      <c r="H1501" s="9">
        <v>200</v>
      </c>
      <c r="I1501" s="9">
        <v>200</v>
      </c>
      <c r="J1501" s="6"/>
      <c r="K1501" s="10"/>
      <c r="L1501" s="10">
        <v>20201118</v>
      </c>
      <c r="M1501" s="36" t="str">
        <f t="shared" si="23"/>
        <v>19650512</v>
      </c>
    </row>
    <row r="1502" s="1" customFormat="1" spans="1:13">
      <c r="A1502" s="2">
        <v>8034</v>
      </c>
      <c r="B1502" s="5" t="s">
        <v>15086</v>
      </c>
      <c r="C1502" s="6" t="s">
        <v>15311</v>
      </c>
      <c r="D1502" s="6" t="str">
        <f>"152326196505126867"</f>
        <v>152326196505126867</v>
      </c>
      <c r="E1502" s="5" t="s">
        <v>15</v>
      </c>
      <c r="F1502" s="5">
        <v>2020</v>
      </c>
      <c r="G1502" s="5" t="s">
        <v>16</v>
      </c>
      <c r="H1502" s="5">
        <v>200</v>
      </c>
      <c r="I1502" s="5">
        <v>200</v>
      </c>
      <c r="J1502" s="5"/>
      <c r="K1502" s="5"/>
      <c r="L1502" s="10">
        <v>20201118</v>
      </c>
      <c r="M1502" s="36" t="str">
        <f t="shared" si="23"/>
        <v>19650512</v>
      </c>
    </row>
    <row r="1503" s="1" customFormat="1" spans="1:13">
      <c r="A1503" s="2">
        <v>3098</v>
      </c>
      <c r="B1503" s="3" t="s">
        <v>6671</v>
      </c>
      <c r="C1503" s="9" t="s">
        <v>6720</v>
      </c>
      <c r="D1503" s="9" t="s">
        <v>6721</v>
      </c>
      <c r="E1503" s="3" t="s">
        <v>15</v>
      </c>
      <c r="F1503" s="3" t="s">
        <v>15</v>
      </c>
      <c r="G1503" s="6" t="s">
        <v>3359</v>
      </c>
      <c r="H1503" s="9">
        <v>200</v>
      </c>
      <c r="I1503" s="9">
        <v>200</v>
      </c>
      <c r="J1503" s="6"/>
      <c r="K1503" s="5"/>
      <c r="L1503" s="10">
        <v>20201118</v>
      </c>
      <c r="M1503" s="36" t="str">
        <f t="shared" si="23"/>
        <v>19650515</v>
      </c>
    </row>
    <row r="1504" s="1" customFormat="1" spans="1:13">
      <c r="A1504" s="2">
        <v>1771</v>
      </c>
      <c r="B1504" s="5" t="s">
        <v>3381</v>
      </c>
      <c r="C1504" s="9" t="s">
        <v>4103</v>
      </c>
      <c r="D1504" s="9" t="s">
        <v>4104</v>
      </c>
      <c r="E1504" s="5">
        <v>2011</v>
      </c>
      <c r="F1504" s="5">
        <v>2020</v>
      </c>
      <c r="G1504" s="14" t="s">
        <v>289</v>
      </c>
      <c r="H1504" s="18">
        <v>200</v>
      </c>
      <c r="I1504" s="6">
        <v>2000</v>
      </c>
      <c r="J1504" s="5"/>
      <c r="K1504" s="13"/>
      <c r="L1504" s="10">
        <v>20201118</v>
      </c>
      <c r="M1504" s="36" t="str">
        <f t="shared" si="23"/>
        <v>19650516</v>
      </c>
    </row>
    <row r="1505" s="1" customFormat="1" spans="1:13">
      <c r="A1505" s="2">
        <v>218</v>
      </c>
      <c r="B1505" s="14" t="s">
        <v>327</v>
      </c>
      <c r="C1505" s="14" t="s">
        <v>540</v>
      </c>
      <c r="D1505" s="14" t="s">
        <v>541</v>
      </c>
      <c r="E1505" s="5">
        <v>2020</v>
      </c>
      <c r="F1505" s="5">
        <v>2020</v>
      </c>
      <c r="G1505" s="14" t="s">
        <v>16</v>
      </c>
      <c r="H1505" s="14">
        <v>400</v>
      </c>
      <c r="I1505" s="14">
        <v>400</v>
      </c>
      <c r="J1505" s="14"/>
      <c r="K1505" s="10"/>
      <c r="L1505" s="14" t="s">
        <v>330</v>
      </c>
      <c r="M1505" s="36" t="str">
        <f t="shared" si="23"/>
        <v>19650517</v>
      </c>
    </row>
    <row r="1506" s="1" customFormat="1" ht="14.25" spans="1:13">
      <c r="A1506" s="2">
        <v>2943</v>
      </c>
      <c r="B1506" s="6" t="s">
        <v>6075</v>
      </c>
      <c r="C1506" s="25" t="s">
        <v>6413</v>
      </c>
      <c r="D1506" s="26" t="s">
        <v>6414</v>
      </c>
      <c r="E1506" s="5" t="s">
        <v>15</v>
      </c>
      <c r="F1506" s="5">
        <v>2020</v>
      </c>
      <c r="G1506" s="6" t="s">
        <v>16</v>
      </c>
      <c r="H1506" s="6">
        <v>200</v>
      </c>
      <c r="I1506" s="6">
        <v>200</v>
      </c>
      <c r="J1506" s="6"/>
      <c r="K1506" s="10"/>
      <c r="L1506" s="10">
        <v>20201118</v>
      </c>
      <c r="M1506" s="36" t="str">
        <f t="shared" si="23"/>
        <v>19650517</v>
      </c>
    </row>
    <row r="1507" s="1" customFormat="1" spans="1:13">
      <c r="A1507" s="2">
        <v>185</v>
      </c>
      <c r="B1507" s="14" t="s">
        <v>327</v>
      </c>
      <c r="C1507" s="14" t="s">
        <v>443</v>
      </c>
      <c r="D1507" s="14" t="s">
        <v>444</v>
      </c>
      <c r="E1507" s="5">
        <v>2020</v>
      </c>
      <c r="F1507" s="5">
        <v>2020</v>
      </c>
      <c r="G1507" s="14" t="s">
        <v>16</v>
      </c>
      <c r="H1507" s="14">
        <v>200</v>
      </c>
      <c r="I1507" s="14">
        <v>200</v>
      </c>
      <c r="J1507" s="14"/>
      <c r="K1507" s="10"/>
      <c r="L1507" s="2" t="s">
        <v>330</v>
      </c>
      <c r="M1507" s="36" t="str">
        <f t="shared" si="23"/>
        <v>19650518</v>
      </c>
    </row>
    <row r="1508" s="1" customFormat="1" spans="1:13">
      <c r="A1508" s="2">
        <v>8031</v>
      </c>
      <c r="B1508" s="5" t="s">
        <v>15086</v>
      </c>
      <c r="C1508" s="6" t="s">
        <v>15309</v>
      </c>
      <c r="D1508" s="6" t="str">
        <f>"152326196505206867"</f>
        <v>152326196505206867</v>
      </c>
      <c r="E1508" s="5" t="s">
        <v>15</v>
      </c>
      <c r="F1508" s="5">
        <v>2020</v>
      </c>
      <c r="G1508" s="5" t="s">
        <v>16</v>
      </c>
      <c r="H1508" s="5">
        <v>200</v>
      </c>
      <c r="I1508" s="5">
        <v>200</v>
      </c>
      <c r="J1508" s="5"/>
      <c r="K1508" s="5"/>
      <c r="L1508" s="10">
        <v>20201118</v>
      </c>
      <c r="M1508" s="36" t="str">
        <f t="shared" si="23"/>
        <v>19650520</v>
      </c>
    </row>
    <row r="1509" s="1" customFormat="1" spans="1:13">
      <c r="A1509" s="2">
        <v>7007</v>
      </c>
      <c r="B1509" s="5" t="s">
        <v>13533</v>
      </c>
      <c r="C1509" s="32" t="s">
        <v>13754</v>
      </c>
      <c r="D1509" s="32" t="str">
        <f>"152325196505217113"</f>
        <v>152325196505217113</v>
      </c>
      <c r="E1509" s="5">
        <v>2020</v>
      </c>
      <c r="F1509" s="5">
        <v>2020</v>
      </c>
      <c r="G1509" s="9" t="s">
        <v>2480</v>
      </c>
      <c r="H1509" s="32">
        <v>200</v>
      </c>
      <c r="I1509" s="32">
        <v>200</v>
      </c>
      <c r="J1509" s="62"/>
      <c r="K1509" s="10"/>
      <c r="L1509" s="10">
        <v>20201118</v>
      </c>
      <c r="M1509" s="36" t="str">
        <f t="shared" si="23"/>
        <v>19650521</v>
      </c>
    </row>
    <row r="1510" s="1" customFormat="1" spans="1:13">
      <c r="A1510" s="2">
        <v>6454</v>
      </c>
      <c r="B1510" s="5" t="s">
        <v>12263</v>
      </c>
      <c r="C1510" s="5" t="s">
        <v>12912</v>
      </c>
      <c r="D1510" s="5" t="s">
        <v>12913</v>
      </c>
      <c r="E1510" s="5" t="s">
        <v>10250</v>
      </c>
      <c r="F1510" s="5">
        <v>2020</v>
      </c>
      <c r="G1510" s="17" t="s">
        <v>3359</v>
      </c>
      <c r="H1510" s="5">
        <v>200</v>
      </c>
      <c r="I1510" s="5">
        <v>200</v>
      </c>
      <c r="J1510" s="5"/>
      <c r="K1510" s="5"/>
      <c r="L1510" s="10">
        <v>20201118</v>
      </c>
      <c r="M1510" s="36" t="str">
        <f t="shared" si="23"/>
        <v>19650522</v>
      </c>
    </row>
    <row r="1511" s="1" customFormat="1" spans="1:13">
      <c r="A1511" s="2">
        <v>4205</v>
      </c>
      <c r="B1511" s="9" t="s">
        <v>8515</v>
      </c>
      <c r="C1511" s="9" t="s">
        <v>8614</v>
      </c>
      <c r="D1511" s="9" t="s">
        <v>8615</v>
      </c>
      <c r="E1511" s="5" t="s">
        <v>15</v>
      </c>
      <c r="F1511" s="5">
        <v>2020</v>
      </c>
      <c r="G1511" s="9" t="s">
        <v>2480</v>
      </c>
      <c r="H1511" s="9">
        <v>200</v>
      </c>
      <c r="I1511" s="9">
        <v>200</v>
      </c>
      <c r="J1511" s="9"/>
      <c r="K1511" s="9"/>
      <c r="L1511" s="10">
        <v>20201118</v>
      </c>
      <c r="M1511" s="36" t="str">
        <f t="shared" si="23"/>
        <v>19650603</v>
      </c>
    </row>
    <row r="1512" s="1" customFormat="1" spans="1:13">
      <c r="A1512" s="2">
        <v>5897</v>
      </c>
      <c r="B1512" s="30" t="s">
        <v>11090</v>
      </c>
      <c r="C1512" s="30" t="s">
        <v>11846</v>
      </c>
      <c r="D1512" s="30" t="s">
        <v>11847</v>
      </c>
      <c r="E1512" s="5" t="s">
        <v>15</v>
      </c>
      <c r="F1512" s="5" t="s">
        <v>10250</v>
      </c>
      <c r="G1512" s="6" t="s">
        <v>16</v>
      </c>
      <c r="H1512" s="32">
        <v>500</v>
      </c>
      <c r="I1512" s="32">
        <v>500</v>
      </c>
      <c r="J1512" s="6"/>
      <c r="K1512" s="48"/>
      <c r="L1512" s="10">
        <v>20201118</v>
      </c>
      <c r="M1512" s="36" t="str">
        <f t="shared" si="23"/>
        <v>19650603</v>
      </c>
    </row>
    <row r="1513" s="1" customFormat="1" spans="1:13">
      <c r="A1513" s="2">
        <v>7012</v>
      </c>
      <c r="B1513" s="5" t="s">
        <v>13533</v>
      </c>
      <c r="C1513" s="32" t="s">
        <v>13758</v>
      </c>
      <c r="D1513" s="32" t="str">
        <f>"152326196506047140"</f>
        <v>152326196506047140</v>
      </c>
      <c r="E1513" s="5">
        <v>2020</v>
      </c>
      <c r="F1513" s="5">
        <v>2020</v>
      </c>
      <c r="G1513" s="9" t="s">
        <v>2480</v>
      </c>
      <c r="H1513" s="32">
        <v>200</v>
      </c>
      <c r="I1513" s="32">
        <v>200</v>
      </c>
      <c r="J1513" s="62"/>
      <c r="K1513" s="10"/>
      <c r="L1513" s="10">
        <v>20201118</v>
      </c>
      <c r="M1513" s="36" t="str">
        <f t="shared" si="23"/>
        <v>19650604</v>
      </c>
    </row>
    <row r="1514" s="1" customFormat="1" ht="14.25" spans="1:13">
      <c r="A1514" s="2">
        <v>6087</v>
      </c>
      <c r="B1514" s="30" t="s">
        <v>11090</v>
      </c>
      <c r="C1514" s="6" t="s">
        <v>12212</v>
      </c>
      <c r="D1514" s="12" t="s">
        <v>12213</v>
      </c>
      <c r="E1514" s="5" t="s">
        <v>15</v>
      </c>
      <c r="F1514" s="5" t="s">
        <v>10250</v>
      </c>
      <c r="G1514" s="6" t="s">
        <v>16</v>
      </c>
      <c r="H1514" s="32">
        <v>200</v>
      </c>
      <c r="I1514" s="32">
        <v>200</v>
      </c>
      <c r="J1514" s="5"/>
      <c r="K1514" s="48"/>
      <c r="L1514" s="10">
        <v>20201118</v>
      </c>
      <c r="M1514" s="36" t="str">
        <f t="shared" si="23"/>
        <v>19650606</v>
      </c>
    </row>
    <row r="1515" s="1" customFormat="1" spans="1:13">
      <c r="A1515" s="2">
        <v>166</v>
      </c>
      <c r="B1515" s="14" t="s">
        <v>327</v>
      </c>
      <c r="C1515" s="14" t="s">
        <v>386</v>
      </c>
      <c r="D1515" s="14" t="s">
        <v>387</v>
      </c>
      <c r="E1515" s="5">
        <v>2020</v>
      </c>
      <c r="F1515" s="5">
        <v>2020</v>
      </c>
      <c r="G1515" s="14" t="s">
        <v>16</v>
      </c>
      <c r="H1515" s="14">
        <v>200</v>
      </c>
      <c r="I1515" s="14">
        <v>200</v>
      </c>
      <c r="J1515" s="14"/>
      <c r="K1515" s="10"/>
      <c r="L1515" s="14" t="s">
        <v>330</v>
      </c>
      <c r="M1515" s="36" t="str">
        <f t="shared" si="23"/>
        <v>19650611</v>
      </c>
    </row>
    <row r="1516" s="1" customFormat="1" spans="1:13">
      <c r="A1516" s="2">
        <v>3118</v>
      </c>
      <c r="B1516" s="3" t="s">
        <v>6671</v>
      </c>
      <c r="C1516" s="9" t="s">
        <v>6758</v>
      </c>
      <c r="D1516" s="9" t="s">
        <v>6759</v>
      </c>
      <c r="E1516" s="3" t="s">
        <v>15</v>
      </c>
      <c r="F1516" s="3" t="s">
        <v>15</v>
      </c>
      <c r="G1516" s="6" t="s">
        <v>3359</v>
      </c>
      <c r="H1516" s="9">
        <v>200</v>
      </c>
      <c r="I1516" s="9">
        <v>200</v>
      </c>
      <c r="J1516" s="6"/>
      <c r="K1516" s="5"/>
      <c r="L1516" s="10">
        <v>20201118</v>
      </c>
      <c r="M1516" s="36" t="str">
        <f t="shared" si="23"/>
        <v>19650612</v>
      </c>
    </row>
    <row r="1517" s="1" customFormat="1" spans="1:13">
      <c r="A1517" s="2">
        <v>7009</v>
      </c>
      <c r="B1517" s="5" t="s">
        <v>13533</v>
      </c>
      <c r="C1517" s="32" t="s">
        <v>13756</v>
      </c>
      <c r="D1517" s="32" t="str">
        <f>"152326196506127124"</f>
        <v>152326196506127124</v>
      </c>
      <c r="E1517" s="5">
        <v>2020</v>
      </c>
      <c r="F1517" s="5">
        <v>2020</v>
      </c>
      <c r="G1517" s="9" t="s">
        <v>2480</v>
      </c>
      <c r="H1517" s="32">
        <v>200</v>
      </c>
      <c r="I1517" s="32">
        <v>200</v>
      </c>
      <c r="J1517" s="32"/>
      <c r="K1517" s="10"/>
      <c r="L1517" s="10">
        <v>20201118</v>
      </c>
      <c r="M1517" s="36" t="str">
        <f t="shared" si="23"/>
        <v>19650612</v>
      </c>
    </row>
    <row r="1518" s="1" customFormat="1" spans="1:13">
      <c r="A1518" s="2">
        <v>3242</v>
      </c>
      <c r="B1518" s="3" t="s">
        <v>6671</v>
      </c>
      <c r="C1518" s="9" t="s">
        <v>6988</v>
      </c>
      <c r="D1518" s="9" t="s">
        <v>6989</v>
      </c>
      <c r="E1518" s="3" t="s">
        <v>15</v>
      </c>
      <c r="F1518" s="3" t="s">
        <v>15</v>
      </c>
      <c r="G1518" s="6" t="s">
        <v>3359</v>
      </c>
      <c r="H1518" s="9">
        <v>200</v>
      </c>
      <c r="I1518" s="9">
        <v>200</v>
      </c>
      <c r="J1518" s="6"/>
      <c r="K1518" s="5"/>
      <c r="L1518" s="10">
        <v>20201118</v>
      </c>
      <c r="M1518" s="36" t="str">
        <f t="shared" si="23"/>
        <v>19650614</v>
      </c>
    </row>
    <row r="1519" s="1" customFormat="1" spans="1:13">
      <c r="A1519" s="2">
        <v>6561</v>
      </c>
      <c r="B1519" s="5" t="s">
        <v>13027</v>
      </c>
      <c r="C1519" s="15" t="s">
        <v>13115</v>
      </c>
      <c r="D1519" s="15" t="s">
        <v>13116</v>
      </c>
      <c r="E1519" s="5">
        <v>2020</v>
      </c>
      <c r="F1519" s="5">
        <v>2020</v>
      </c>
      <c r="G1519" s="14" t="s">
        <v>16</v>
      </c>
      <c r="H1519" s="15">
        <v>200</v>
      </c>
      <c r="I1519" s="15">
        <v>200</v>
      </c>
      <c r="J1519" s="5"/>
      <c r="K1519" s="10"/>
      <c r="L1519" s="10">
        <v>20201118</v>
      </c>
      <c r="M1519" s="36" t="str">
        <f t="shared" si="23"/>
        <v>19650614</v>
      </c>
    </row>
    <row r="1520" s="1" customFormat="1" spans="1:13">
      <c r="A1520" s="2">
        <v>4534</v>
      </c>
      <c r="B1520" s="6" t="s">
        <v>9015</v>
      </c>
      <c r="C1520" s="6" t="s">
        <v>9248</v>
      </c>
      <c r="D1520" s="6" t="s">
        <v>9249</v>
      </c>
      <c r="E1520" s="6">
        <v>2020</v>
      </c>
      <c r="F1520" s="6">
        <v>2020</v>
      </c>
      <c r="G1520" s="6" t="s">
        <v>16</v>
      </c>
      <c r="H1520" s="6">
        <v>200</v>
      </c>
      <c r="I1520" s="6">
        <v>200</v>
      </c>
      <c r="J1520" s="6"/>
      <c r="K1520" s="6"/>
      <c r="L1520" s="10">
        <v>20201118</v>
      </c>
      <c r="M1520" s="36" t="str">
        <f t="shared" si="23"/>
        <v>19650615</v>
      </c>
    </row>
    <row r="1521" s="1" customFormat="1" spans="1:13">
      <c r="A1521" s="2">
        <v>5556</v>
      </c>
      <c r="B1521" s="30" t="s">
        <v>11090</v>
      </c>
      <c r="C1521" s="30" t="s">
        <v>11207</v>
      </c>
      <c r="D1521" s="30" t="s">
        <v>11208</v>
      </c>
      <c r="E1521" s="5" t="s">
        <v>15</v>
      </c>
      <c r="F1521" s="5" t="s">
        <v>10250</v>
      </c>
      <c r="G1521" s="6" t="s">
        <v>16</v>
      </c>
      <c r="H1521" s="32">
        <v>200</v>
      </c>
      <c r="I1521" s="32">
        <v>200</v>
      </c>
      <c r="J1521" s="6"/>
      <c r="K1521" s="48"/>
      <c r="L1521" s="10">
        <v>20201118</v>
      </c>
      <c r="M1521" s="36" t="str">
        <f t="shared" si="23"/>
        <v>19650616</v>
      </c>
    </row>
    <row r="1522" s="1" customFormat="1" spans="1:13">
      <c r="A1522" s="2">
        <v>4445</v>
      </c>
      <c r="B1522" s="6" t="s">
        <v>9015</v>
      </c>
      <c r="C1522" s="6" t="s">
        <v>9077</v>
      </c>
      <c r="D1522" s="6" t="s">
        <v>9078</v>
      </c>
      <c r="E1522" s="6">
        <v>2020</v>
      </c>
      <c r="F1522" s="6">
        <v>2020</v>
      </c>
      <c r="G1522" s="6" t="s">
        <v>16</v>
      </c>
      <c r="H1522" s="6">
        <v>200</v>
      </c>
      <c r="I1522" s="6">
        <v>200</v>
      </c>
      <c r="J1522" s="6"/>
      <c r="K1522" s="6"/>
      <c r="L1522" s="10">
        <v>20201118</v>
      </c>
      <c r="M1522" s="36" t="str">
        <f t="shared" si="23"/>
        <v>19650621</v>
      </c>
    </row>
    <row r="1523" s="1" customFormat="1" spans="1:13">
      <c r="A1523" s="2">
        <v>2195</v>
      </c>
      <c r="B1523" s="9" t="s">
        <v>4837</v>
      </c>
      <c r="C1523" s="9" t="s">
        <v>4938</v>
      </c>
      <c r="D1523" s="9" t="s">
        <v>4939</v>
      </c>
      <c r="E1523" s="6" t="s">
        <v>15</v>
      </c>
      <c r="F1523" s="6">
        <v>2020</v>
      </c>
      <c r="G1523" s="9" t="s">
        <v>2480</v>
      </c>
      <c r="H1523" s="9">
        <v>200</v>
      </c>
      <c r="I1523" s="9">
        <v>200</v>
      </c>
      <c r="J1523" s="6"/>
      <c r="K1523" s="10"/>
      <c r="L1523" s="10">
        <v>20201118</v>
      </c>
      <c r="M1523" s="36" t="str">
        <f t="shared" si="23"/>
        <v>19650623</v>
      </c>
    </row>
    <row r="1524" s="1" customFormat="1" spans="1:13">
      <c r="A1524" s="2">
        <v>7308</v>
      </c>
      <c r="B1524" s="5" t="s">
        <v>13908</v>
      </c>
      <c r="C1524" s="5" t="s">
        <v>14254</v>
      </c>
      <c r="D1524" s="5" t="s">
        <v>14255</v>
      </c>
      <c r="E1524" s="5" t="s">
        <v>15</v>
      </c>
      <c r="F1524" s="5" t="s">
        <v>15</v>
      </c>
      <c r="G1524" s="14" t="s">
        <v>16</v>
      </c>
      <c r="H1524" s="17">
        <v>200</v>
      </c>
      <c r="I1524" s="17">
        <v>200</v>
      </c>
      <c r="J1524" s="5"/>
      <c r="K1524" s="10"/>
      <c r="L1524" s="10">
        <v>20201118</v>
      </c>
      <c r="M1524" s="36" t="str">
        <f t="shared" si="23"/>
        <v>19650623</v>
      </c>
    </row>
    <row r="1525" s="1" customFormat="1" ht="14.25" spans="1:13">
      <c r="A1525" s="2">
        <v>2946</v>
      </c>
      <c r="B1525" s="6" t="s">
        <v>6075</v>
      </c>
      <c r="C1525" s="25" t="s">
        <v>6419</v>
      </c>
      <c r="D1525" s="26" t="s">
        <v>6420</v>
      </c>
      <c r="E1525" s="5" t="s">
        <v>15</v>
      </c>
      <c r="F1525" s="5">
        <v>2020</v>
      </c>
      <c r="G1525" s="6" t="s">
        <v>16</v>
      </c>
      <c r="H1525" s="6">
        <v>200</v>
      </c>
      <c r="I1525" s="6">
        <v>200</v>
      </c>
      <c r="J1525" s="6"/>
      <c r="K1525" s="10"/>
      <c r="L1525" s="10">
        <v>20201118</v>
      </c>
      <c r="M1525" s="36" t="str">
        <f t="shared" si="23"/>
        <v>19650624</v>
      </c>
    </row>
    <row r="1526" s="1" customFormat="1" spans="1:13">
      <c r="A1526" s="2">
        <v>3458</v>
      </c>
      <c r="B1526" s="5" t="s">
        <v>3375</v>
      </c>
      <c r="C1526" s="6" t="s">
        <v>7237</v>
      </c>
      <c r="D1526" s="6" t="str">
        <f>"152326196506256874"</f>
        <v>152326196506256874</v>
      </c>
      <c r="E1526" s="5" t="s">
        <v>15</v>
      </c>
      <c r="F1526" s="5">
        <v>2020</v>
      </c>
      <c r="G1526" s="14" t="s">
        <v>16</v>
      </c>
      <c r="H1526" s="17">
        <v>200</v>
      </c>
      <c r="I1526" s="17">
        <v>200</v>
      </c>
      <c r="J1526" s="6"/>
      <c r="K1526" s="10"/>
      <c r="L1526" s="10">
        <v>20201118</v>
      </c>
      <c r="M1526" s="36" t="str">
        <f t="shared" si="23"/>
        <v>19650625</v>
      </c>
    </row>
    <row r="1527" s="1" customFormat="1" spans="1:13">
      <c r="A1527" s="2">
        <v>3701</v>
      </c>
      <c r="B1527" s="5" t="s">
        <v>7412</v>
      </c>
      <c r="C1527" s="5" t="s">
        <v>7660</v>
      </c>
      <c r="D1527" s="5" t="s">
        <v>7661</v>
      </c>
      <c r="E1527" s="6">
        <v>2020</v>
      </c>
      <c r="F1527" s="6">
        <v>2020</v>
      </c>
      <c r="G1527" s="5" t="s">
        <v>3359</v>
      </c>
      <c r="H1527" s="5">
        <v>500</v>
      </c>
      <c r="I1527" s="5">
        <v>500</v>
      </c>
      <c r="J1527" s="5"/>
      <c r="K1527" s="5"/>
      <c r="L1527" s="10">
        <v>20201118</v>
      </c>
      <c r="M1527" s="36" t="str">
        <f t="shared" si="23"/>
        <v>19650626</v>
      </c>
    </row>
    <row r="1528" s="1" customFormat="1" spans="1:13">
      <c r="A1528" s="2">
        <v>996</v>
      </c>
      <c r="B1528" s="5" t="s">
        <v>2469</v>
      </c>
      <c r="C1528" s="9" t="s">
        <v>2583</v>
      </c>
      <c r="D1528" s="9" t="s">
        <v>2584</v>
      </c>
      <c r="E1528" s="5">
        <v>2020</v>
      </c>
      <c r="F1528" s="5">
        <v>2020</v>
      </c>
      <c r="G1528" s="9" t="s">
        <v>2480</v>
      </c>
      <c r="H1528" s="9">
        <v>200</v>
      </c>
      <c r="I1528" s="9">
        <v>200</v>
      </c>
      <c r="J1528" s="5"/>
      <c r="K1528" s="5"/>
      <c r="L1528" s="10">
        <v>20201118</v>
      </c>
      <c r="M1528" s="36" t="str">
        <f t="shared" si="23"/>
        <v>19650701</v>
      </c>
    </row>
    <row r="1529" s="1" customFormat="1" spans="1:13">
      <c r="A1529" s="2">
        <v>6337</v>
      </c>
      <c r="B1529" s="5" t="s">
        <v>12263</v>
      </c>
      <c r="C1529" s="5" t="s">
        <v>12690</v>
      </c>
      <c r="D1529" s="5" t="s">
        <v>12691</v>
      </c>
      <c r="E1529" s="5" t="s">
        <v>10250</v>
      </c>
      <c r="F1529" s="5">
        <v>2020</v>
      </c>
      <c r="G1529" s="17" t="s">
        <v>3359</v>
      </c>
      <c r="H1529" s="5" t="s">
        <v>311</v>
      </c>
      <c r="I1529" s="5">
        <v>200</v>
      </c>
      <c r="J1529" s="5"/>
      <c r="K1529" s="5"/>
      <c r="L1529" s="10">
        <v>20201118</v>
      </c>
      <c r="M1529" s="36" t="str">
        <f t="shared" si="23"/>
        <v>19650701</v>
      </c>
    </row>
    <row r="1530" s="1" customFormat="1" spans="1:13">
      <c r="A1530" s="2">
        <v>5805</v>
      </c>
      <c r="B1530" s="30" t="s">
        <v>11090</v>
      </c>
      <c r="C1530" s="30" t="s">
        <v>11679</v>
      </c>
      <c r="D1530" s="30" t="s">
        <v>11680</v>
      </c>
      <c r="E1530" s="5" t="s">
        <v>15</v>
      </c>
      <c r="F1530" s="5" t="s">
        <v>10250</v>
      </c>
      <c r="G1530" s="6" t="s">
        <v>16</v>
      </c>
      <c r="H1530" s="32">
        <v>200</v>
      </c>
      <c r="I1530" s="32">
        <v>200</v>
      </c>
      <c r="J1530" s="6"/>
      <c r="K1530" s="48"/>
      <c r="L1530" s="10">
        <v>20201118</v>
      </c>
      <c r="M1530" s="36" t="str">
        <f t="shared" si="23"/>
        <v>19650702</v>
      </c>
    </row>
    <row r="1531" s="1" customFormat="1" spans="1:13">
      <c r="A1531" s="2">
        <v>3702</v>
      </c>
      <c r="B1531" s="5" t="s">
        <v>7412</v>
      </c>
      <c r="C1531" s="5" t="s">
        <v>3786</v>
      </c>
      <c r="D1531" s="5" t="s">
        <v>7662</v>
      </c>
      <c r="E1531" s="6">
        <v>2020</v>
      </c>
      <c r="F1531" s="6">
        <v>2020</v>
      </c>
      <c r="G1531" s="5" t="s">
        <v>3359</v>
      </c>
      <c r="H1531" s="5">
        <v>200</v>
      </c>
      <c r="I1531" s="5">
        <v>200</v>
      </c>
      <c r="J1531" s="5"/>
      <c r="K1531" s="5"/>
      <c r="L1531" s="10">
        <v>20201118</v>
      </c>
      <c r="M1531" s="36" t="str">
        <f t="shared" si="23"/>
        <v>19650703</v>
      </c>
    </row>
    <row r="1532" s="1" customFormat="1" spans="1:13">
      <c r="A1532" s="2">
        <v>2122</v>
      </c>
      <c r="B1532" s="5" t="s">
        <v>4189</v>
      </c>
      <c r="C1532" s="9" t="s">
        <v>4794</v>
      </c>
      <c r="D1532" s="9" t="s">
        <v>4795</v>
      </c>
      <c r="E1532" s="5" t="s">
        <v>15</v>
      </c>
      <c r="F1532" s="5" t="s">
        <v>15</v>
      </c>
      <c r="G1532" s="5" t="s">
        <v>3359</v>
      </c>
      <c r="H1532" s="16">
        <v>200</v>
      </c>
      <c r="I1532" s="16">
        <v>200</v>
      </c>
      <c r="J1532" s="5"/>
      <c r="K1532" s="10"/>
      <c r="L1532" s="10">
        <v>20201118</v>
      </c>
      <c r="M1532" s="36" t="str">
        <f t="shared" si="23"/>
        <v>19650705</v>
      </c>
    </row>
    <row r="1533" s="1" customFormat="1" ht="14.25" spans="1:13">
      <c r="A1533" s="2">
        <v>7772</v>
      </c>
      <c r="B1533" s="5" t="s">
        <v>14875</v>
      </c>
      <c r="C1533" s="51" t="s">
        <v>15018</v>
      </c>
      <c r="D1533" s="24" t="str">
        <f>"152326196507057121"</f>
        <v>152326196507057121</v>
      </c>
      <c r="E1533" s="6" t="s">
        <v>15</v>
      </c>
      <c r="F1533" s="6">
        <v>2020</v>
      </c>
      <c r="G1533" s="24" t="s">
        <v>14877</v>
      </c>
      <c r="H1533" s="6">
        <v>200</v>
      </c>
      <c r="I1533" s="6">
        <v>200</v>
      </c>
      <c r="J1533" s="6"/>
      <c r="K1533" s="10"/>
      <c r="L1533" s="10">
        <v>20201118</v>
      </c>
      <c r="M1533" s="36" t="str">
        <f t="shared" si="23"/>
        <v>19650705</v>
      </c>
    </row>
    <row r="1534" s="1" customFormat="1" spans="1:13">
      <c r="A1534" s="2">
        <v>2196</v>
      </c>
      <c r="B1534" s="9" t="s">
        <v>4837</v>
      </c>
      <c r="C1534" s="9" t="s">
        <v>4940</v>
      </c>
      <c r="D1534" s="9" t="s">
        <v>4941</v>
      </c>
      <c r="E1534" s="6" t="s">
        <v>15</v>
      </c>
      <c r="F1534" s="6">
        <v>2020</v>
      </c>
      <c r="G1534" s="9" t="s">
        <v>2480</v>
      </c>
      <c r="H1534" s="9">
        <v>200</v>
      </c>
      <c r="I1534" s="9">
        <v>200</v>
      </c>
      <c r="J1534" s="6" t="s">
        <v>108</v>
      </c>
      <c r="K1534" s="10"/>
      <c r="L1534" s="10">
        <v>20201118</v>
      </c>
      <c r="M1534" s="36" t="str">
        <f t="shared" si="23"/>
        <v>19650706</v>
      </c>
    </row>
    <row r="1535" s="1" customFormat="1" spans="1:13">
      <c r="A1535" s="2">
        <v>7010</v>
      </c>
      <c r="B1535" s="5" t="s">
        <v>13533</v>
      </c>
      <c r="C1535" s="32" t="s">
        <v>552</v>
      </c>
      <c r="D1535" s="32" t="str">
        <f>"152326196507067127"</f>
        <v>152326196507067127</v>
      </c>
      <c r="E1535" s="5">
        <v>2020</v>
      </c>
      <c r="F1535" s="5">
        <v>2020</v>
      </c>
      <c r="G1535" s="9" t="s">
        <v>2480</v>
      </c>
      <c r="H1535" s="32">
        <v>200</v>
      </c>
      <c r="I1535" s="32">
        <v>200</v>
      </c>
      <c r="J1535" s="62"/>
      <c r="K1535" s="10"/>
      <c r="L1535" s="10">
        <v>20201118</v>
      </c>
      <c r="M1535" s="36" t="str">
        <f t="shared" si="23"/>
        <v>19650706</v>
      </c>
    </row>
    <row r="1536" s="1" customFormat="1" spans="1:13">
      <c r="A1536" s="2">
        <v>191</v>
      </c>
      <c r="B1536" s="14" t="s">
        <v>327</v>
      </c>
      <c r="C1536" s="14" t="s">
        <v>461</v>
      </c>
      <c r="D1536" s="14" t="s">
        <v>462</v>
      </c>
      <c r="E1536" s="5">
        <v>2020</v>
      </c>
      <c r="F1536" s="5">
        <v>2020</v>
      </c>
      <c r="G1536" s="14" t="s">
        <v>16</v>
      </c>
      <c r="H1536" s="14">
        <v>200</v>
      </c>
      <c r="I1536" s="14">
        <v>200</v>
      </c>
      <c r="J1536" s="14"/>
      <c r="K1536" s="10"/>
      <c r="L1536" s="2" t="s">
        <v>330</v>
      </c>
      <c r="M1536" s="36" t="str">
        <f t="shared" si="23"/>
        <v>19650709</v>
      </c>
    </row>
    <row r="1537" s="1" customFormat="1" spans="1:13">
      <c r="A1537" s="2">
        <v>3132</v>
      </c>
      <c r="B1537" s="3" t="s">
        <v>6671</v>
      </c>
      <c r="C1537" s="9" t="s">
        <v>6785</v>
      </c>
      <c r="D1537" s="9" t="s">
        <v>6786</v>
      </c>
      <c r="E1537" s="3" t="s">
        <v>15</v>
      </c>
      <c r="F1537" s="3" t="s">
        <v>15</v>
      </c>
      <c r="G1537" s="6" t="s">
        <v>3359</v>
      </c>
      <c r="H1537" s="9">
        <v>200</v>
      </c>
      <c r="I1537" s="9">
        <v>200</v>
      </c>
      <c r="J1537" s="6"/>
      <c r="K1537" s="5"/>
      <c r="L1537" s="10">
        <v>20201118</v>
      </c>
      <c r="M1537" s="36" t="str">
        <f t="shared" si="23"/>
        <v>19650710</v>
      </c>
    </row>
    <row r="1538" s="1" customFormat="1" spans="1:13">
      <c r="A1538" s="2">
        <v>1773</v>
      </c>
      <c r="B1538" s="5" t="s">
        <v>3381</v>
      </c>
      <c r="C1538" s="9" t="s">
        <v>4107</v>
      </c>
      <c r="D1538" s="9" t="s">
        <v>4108</v>
      </c>
      <c r="E1538" s="5">
        <v>2011</v>
      </c>
      <c r="F1538" s="5">
        <v>2020</v>
      </c>
      <c r="G1538" s="14" t="s">
        <v>289</v>
      </c>
      <c r="H1538" s="18">
        <v>200</v>
      </c>
      <c r="I1538" s="6">
        <v>2000</v>
      </c>
      <c r="J1538" s="5"/>
      <c r="K1538" s="13"/>
      <c r="L1538" s="10">
        <v>20201118</v>
      </c>
      <c r="M1538" s="36" t="str">
        <f t="shared" ref="M1538:M1601" si="24">MID(D1538,7,8)</f>
        <v>19650711</v>
      </c>
    </row>
    <row r="1539" s="1" customFormat="1" spans="1:13">
      <c r="A1539" s="2">
        <v>248</v>
      </c>
      <c r="B1539" s="14" t="s">
        <v>327</v>
      </c>
      <c r="C1539" s="14" t="s">
        <v>630</v>
      </c>
      <c r="D1539" s="14" t="s">
        <v>631</v>
      </c>
      <c r="E1539" s="5">
        <v>2020</v>
      </c>
      <c r="F1539" s="5">
        <v>2020</v>
      </c>
      <c r="G1539" s="14" t="s">
        <v>16</v>
      </c>
      <c r="H1539" s="14">
        <v>200</v>
      </c>
      <c r="I1539" s="14">
        <v>200</v>
      </c>
      <c r="J1539" s="17"/>
      <c r="K1539" s="10"/>
      <c r="L1539" s="14" t="s">
        <v>330</v>
      </c>
      <c r="M1539" s="36" t="str">
        <f t="shared" si="24"/>
        <v>19650712</v>
      </c>
    </row>
    <row r="1540" s="1" customFormat="1" spans="1:13">
      <c r="A1540" s="2">
        <v>3703</v>
      </c>
      <c r="B1540" s="5" t="s">
        <v>7412</v>
      </c>
      <c r="C1540" s="5" t="s">
        <v>7663</v>
      </c>
      <c r="D1540" s="5" t="s">
        <v>7664</v>
      </c>
      <c r="E1540" s="6">
        <v>2020</v>
      </c>
      <c r="F1540" s="6">
        <v>2020</v>
      </c>
      <c r="G1540" s="5" t="s">
        <v>3359</v>
      </c>
      <c r="H1540" s="5">
        <v>200</v>
      </c>
      <c r="I1540" s="5">
        <v>200</v>
      </c>
      <c r="J1540" s="5"/>
      <c r="K1540" s="5"/>
      <c r="L1540" s="10">
        <v>20201118</v>
      </c>
      <c r="M1540" s="36" t="str">
        <f t="shared" si="24"/>
        <v>19650712</v>
      </c>
    </row>
    <row r="1541" s="1" customFormat="1" ht="14.25" spans="1:13">
      <c r="A1541" s="2">
        <v>2827</v>
      </c>
      <c r="B1541" s="6" t="s">
        <v>6075</v>
      </c>
      <c r="C1541" s="25" t="s">
        <v>6181</v>
      </c>
      <c r="D1541" s="26" t="s">
        <v>6182</v>
      </c>
      <c r="E1541" s="5" t="s">
        <v>15</v>
      </c>
      <c r="F1541" s="5">
        <v>2020</v>
      </c>
      <c r="G1541" s="6" t="s">
        <v>16</v>
      </c>
      <c r="H1541" s="6">
        <v>200</v>
      </c>
      <c r="I1541" s="6">
        <v>200</v>
      </c>
      <c r="J1541" s="6"/>
      <c r="K1541" s="10"/>
      <c r="L1541" s="10">
        <v>20201118</v>
      </c>
      <c r="M1541" s="36" t="str">
        <f t="shared" si="24"/>
        <v>19650713</v>
      </c>
    </row>
    <row r="1542" s="1" customFormat="1" spans="1:13">
      <c r="A1542" s="2">
        <v>5720</v>
      </c>
      <c r="B1542" s="30" t="s">
        <v>11090</v>
      </c>
      <c r="C1542" s="30" t="s">
        <v>11525</v>
      </c>
      <c r="D1542" s="30" t="s">
        <v>11526</v>
      </c>
      <c r="E1542" s="5" t="s">
        <v>15</v>
      </c>
      <c r="F1542" s="5" t="s">
        <v>10250</v>
      </c>
      <c r="G1542" s="6" t="s">
        <v>16</v>
      </c>
      <c r="H1542" s="32">
        <v>200</v>
      </c>
      <c r="I1542" s="32">
        <v>200</v>
      </c>
      <c r="J1542" s="6" t="s">
        <v>768</v>
      </c>
      <c r="K1542" s="48"/>
      <c r="L1542" s="10">
        <v>20201118</v>
      </c>
      <c r="M1542" s="36" t="str">
        <f t="shared" si="24"/>
        <v>19650714</v>
      </c>
    </row>
    <row r="1543" s="1" customFormat="1" spans="1:13">
      <c r="A1543" s="2">
        <v>8041</v>
      </c>
      <c r="B1543" s="5" t="s">
        <v>15086</v>
      </c>
      <c r="C1543" s="6" t="s">
        <v>15319</v>
      </c>
      <c r="D1543" s="6" t="str">
        <f>"152326196507156875"</f>
        <v>152326196507156875</v>
      </c>
      <c r="E1543" s="5" t="s">
        <v>15</v>
      </c>
      <c r="F1543" s="5">
        <v>2020</v>
      </c>
      <c r="G1543" s="5" t="s">
        <v>16</v>
      </c>
      <c r="H1543" s="5">
        <v>200</v>
      </c>
      <c r="I1543" s="5">
        <v>200</v>
      </c>
      <c r="J1543" s="5"/>
      <c r="K1543" s="5"/>
      <c r="L1543" s="10">
        <v>20201118</v>
      </c>
      <c r="M1543" s="36" t="str">
        <f t="shared" si="24"/>
        <v>19650715</v>
      </c>
    </row>
    <row r="1544" s="1" customFormat="1" ht="14.25" spans="1:13">
      <c r="A1544" s="2">
        <v>7775</v>
      </c>
      <c r="B1544" s="5" t="s">
        <v>14875</v>
      </c>
      <c r="C1544" s="51" t="s">
        <v>15021</v>
      </c>
      <c r="D1544" s="24" t="str">
        <f>"152326196507177115"</f>
        <v>152326196507177115</v>
      </c>
      <c r="E1544" s="6" t="s">
        <v>15</v>
      </c>
      <c r="F1544" s="6">
        <v>2020</v>
      </c>
      <c r="G1544" s="24" t="s">
        <v>14877</v>
      </c>
      <c r="H1544" s="6">
        <v>200</v>
      </c>
      <c r="I1544" s="6">
        <v>200</v>
      </c>
      <c r="J1544" s="6"/>
      <c r="K1544" s="10"/>
      <c r="L1544" s="10">
        <v>20201118</v>
      </c>
      <c r="M1544" s="36" t="str">
        <f t="shared" si="24"/>
        <v>19650717</v>
      </c>
    </row>
    <row r="1545" s="1" customFormat="1" spans="1:13">
      <c r="A1545" s="2">
        <v>6314</v>
      </c>
      <c r="B1545" s="5" t="s">
        <v>12263</v>
      </c>
      <c r="C1545" s="5" t="s">
        <v>12645</v>
      </c>
      <c r="D1545" s="5" t="s">
        <v>12646</v>
      </c>
      <c r="E1545" s="5" t="s">
        <v>10250</v>
      </c>
      <c r="F1545" s="5">
        <v>2020</v>
      </c>
      <c r="G1545" s="17" t="s">
        <v>3359</v>
      </c>
      <c r="H1545" s="5">
        <v>200</v>
      </c>
      <c r="I1545" s="5">
        <v>200</v>
      </c>
      <c r="J1545" s="5"/>
      <c r="K1545" s="5"/>
      <c r="L1545" s="10">
        <v>20201118</v>
      </c>
      <c r="M1545" s="36" t="str">
        <f t="shared" si="24"/>
        <v>19650718</v>
      </c>
    </row>
    <row r="1546" s="1" customFormat="1" spans="1:13">
      <c r="A1546" s="2">
        <v>4206</v>
      </c>
      <c r="B1546" s="9" t="s">
        <v>8515</v>
      </c>
      <c r="C1546" s="9" t="s">
        <v>8616</v>
      </c>
      <c r="D1546" s="9" t="s">
        <v>8617</v>
      </c>
      <c r="E1546" s="5" t="s">
        <v>15</v>
      </c>
      <c r="F1546" s="5">
        <v>2020</v>
      </c>
      <c r="G1546" s="9" t="s">
        <v>2480</v>
      </c>
      <c r="H1546" s="9">
        <v>200</v>
      </c>
      <c r="I1546" s="9">
        <v>200</v>
      </c>
      <c r="J1546" s="9"/>
      <c r="K1546" s="9"/>
      <c r="L1546" s="10">
        <v>20201118</v>
      </c>
      <c r="M1546" s="36" t="str">
        <f t="shared" si="24"/>
        <v>19650721</v>
      </c>
    </row>
    <row r="1547" s="1" customFormat="1" spans="1:13">
      <c r="A1547" s="2">
        <v>6134</v>
      </c>
      <c r="B1547" s="5" t="s">
        <v>12263</v>
      </c>
      <c r="C1547" s="5" t="s">
        <v>12303</v>
      </c>
      <c r="D1547" s="5" t="s">
        <v>12304</v>
      </c>
      <c r="E1547" s="5" t="s">
        <v>10250</v>
      </c>
      <c r="F1547" s="5">
        <v>2020</v>
      </c>
      <c r="G1547" s="17" t="s">
        <v>3359</v>
      </c>
      <c r="H1547" s="5">
        <v>200</v>
      </c>
      <c r="I1547" s="5">
        <v>200</v>
      </c>
      <c r="J1547" s="5"/>
      <c r="K1547" s="5"/>
      <c r="L1547" s="10">
        <v>20201118</v>
      </c>
      <c r="M1547" s="36" t="str">
        <f t="shared" si="24"/>
        <v>19650724</v>
      </c>
    </row>
    <row r="1548" s="1" customFormat="1" spans="1:13">
      <c r="A1548" s="2">
        <v>4507</v>
      </c>
      <c r="B1548" s="6" t="s">
        <v>9015</v>
      </c>
      <c r="C1548" s="6" t="s">
        <v>9196</v>
      </c>
      <c r="D1548" s="6" t="s">
        <v>9197</v>
      </c>
      <c r="E1548" s="6">
        <v>2020</v>
      </c>
      <c r="F1548" s="6">
        <v>2020</v>
      </c>
      <c r="G1548" s="6" t="s">
        <v>16</v>
      </c>
      <c r="H1548" s="6">
        <v>200</v>
      </c>
      <c r="I1548" s="6">
        <v>200</v>
      </c>
      <c r="J1548" s="6"/>
      <c r="K1548" s="6"/>
      <c r="L1548" s="10">
        <v>20201118</v>
      </c>
      <c r="M1548" s="36" t="str">
        <f t="shared" si="24"/>
        <v>19650725</v>
      </c>
    </row>
    <row r="1549" s="1" customFormat="1" spans="1:13">
      <c r="A1549" s="2">
        <v>2568</v>
      </c>
      <c r="B1549" s="32" t="s">
        <v>5602</v>
      </c>
      <c r="C1549" s="9" t="s">
        <v>5674</v>
      </c>
      <c r="D1549" s="9" t="s">
        <v>5675</v>
      </c>
      <c r="E1549" s="32">
        <v>2020</v>
      </c>
      <c r="F1549" s="32">
        <v>2020</v>
      </c>
      <c r="G1549" s="32" t="s">
        <v>16</v>
      </c>
      <c r="H1549" s="9">
        <v>200</v>
      </c>
      <c r="I1549" s="9">
        <v>200</v>
      </c>
      <c r="J1549" s="32"/>
      <c r="K1549" s="52"/>
      <c r="L1549" s="10">
        <v>20201118</v>
      </c>
      <c r="M1549" s="36" t="str">
        <f t="shared" si="24"/>
        <v>19650726</v>
      </c>
    </row>
    <row r="1550" s="1" customFormat="1" spans="1:13">
      <c r="A1550" s="2">
        <v>8033</v>
      </c>
      <c r="B1550" s="5" t="s">
        <v>15086</v>
      </c>
      <c r="C1550" s="6" t="s">
        <v>13511</v>
      </c>
      <c r="D1550" s="6" t="str">
        <f>"152326196507266898"</f>
        <v>152326196507266898</v>
      </c>
      <c r="E1550" s="5" t="s">
        <v>15</v>
      </c>
      <c r="F1550" s="5">
        <v>2020</v>
      </c>
      <c r="G1550" s="5" t="s">
        <v>16</v>
      </c>
      <c r="H1550" s="5">
        <v>200</v>
      </c>
      <c r="I1550" s="5">
        <v>200</v>
      </c>
      <c r="J1550" s="5"/>
      <c r="K1550" s="5"/>
      <c r="L1550" s="10">
        <v>20201118</v>
      </c>
      <c r="M1550" s="36" t="str">
        <f t="shared" si="24"/>
        <v>19650726</v>
      </c>
    </row>
    <row r="1551" s="1" customFormat="1" spans="1:13">
      <c r="A1551" s="2">
        <v>1499</v>
      </c>
      <c r="B1551" s="5" t="s">
        <v>3381</v>
      </c>
      <c r="C1551" s="9" t="s">
        <v>3567</v>
      </c>
      <c r="D1551" s="9" t="s">
        <v>3568</v>
      </c>
      <c r="E1551" s="5">
        <v>2020</v>
      </c>
      <c r="F1551" s="5">
        <v>2020</v>
      </c>
      <c r="G1551" s="14" t="s">
        <v>16</v>
      </c>
      <c r="H1551" s="6">
        <v>200</v>
      </c>
      <c r="I1551" s="6">
        <v>200</v>
      </c>
      <c r="J1551" s="5"/>
      <c r="K1551" s="13"/>
      <c r="L1551" s="10">
        <v>20201118</v>
      </c>
      <c r="M1551" s="36" t="str">
        <f t="shared" si="24"/>
        <v>19650727</v>
      </c>
    </row>
    <row r="1552" s="1" customFormat="1" spans="1:13">
      <c r="A1552" s="2">
        <v>2419</v>
      </c>
      <c r="B1552" s="5" t="s">
        <v>5328</v>
      </c>
      <c r="C1552" s="16" t="s">
        <v>5379</v>
      </c>
      <c r="D1552" s="16" t="s">
        <v>5380</v>
      </c>
      <c r="E1552" s="5" t="s">
        <v>15</v>
      </c>
      <c r="F1552" s="5" t="s">
        <v>15</v>
      </c>
      <c r="G1552" s="14" t="s">
        <v>16</v>
      </c>
      <c r="H1552" s="6">
        <v>200</v>
      </c>
      <c r="I1552" s="6">
        <v>200</v>
      </c>
      <c r="J1552" s="5"/>
      <c r="K1552" s="5"/>
      <c r="L1552" s="10">
        <v>20201118</v>
      </c>
      <c r="M1552" s="36" t="str">
        <f t="shared" si="24"/>
        <v>19650727</v>
      </c>
    </row>
    <row r="1553" s="1" customFormat="1" spans="1:13">
      <c r="A1553" s="2">
        <v>3460</v>
      </c>
      <c r="B1553" s="5" t="s">
        <v>3375</v>
      </c>
      <c r="C1553" s="6" t="s">
        <v>7239</v>
      </c>
      <c r="D1553" s="6" t="s">
        <v>7240</v>
      </c>
      <c r="E1553" s="5" t="s">
        <v>15</v>
      </c>
      <c r="F1553" s="5">
        <v>2020</v>
      </c>
      <c r="G1553" s="14" t="s">
        <v>16</v>
      </c>
      <c r="H1553" s="17">
        <v>200</v>
      </c>
      <c r="I1553" s="17">
        <v>200</v>
      </c>
      <c r="J1553" s="6" t="s">
        <v>1242</v>
      </c>
      <c r="K1553" s="10"/>
      <c r="L1553" s="10">
        <v>20201118</v>
      </c>
      <c r="M1553" s="36" t="str">
        <f t="shared" si="24"/>
        <v>19650727</v>
      </c>
    </row>
    <row r="1554" s="1" customFormat="1" spans="1:13">
      <c r="A1554" s="2">
        <v>120</v>
      </c>
      <c r="B1554" s="3" t="s">
        <v>12</v>
      </c>
      <c r="C1554" s="6" t="s">
        <v>256</v>
      </c>
      <c r="D1554" s="6" t="s">
        <v>257</v>
      </c>
      <c r="E1554" s="3" t="s">
        <v>15</v>
      </c>
      <c r="F1554" s="3" t="s">
        <v>15</v>
      </c>
      <c r="G1554" s="3" t="s">
        <v>189</v>
      </c>
      <c r="H1554" s="3">
        <v>200</v>
      </c>
      <c r="I1554" s="3">
        <v>200</v>
      </c>
      <c r="J1554" s="3"/>
      <c r="K1554" s="3"/>
      <c r="L1554" s="10">
        <v>20201118</v>
      </c>
      <c r="M1554" s="36" t="str">
        <f t="shared" si="24"/>
        <v>19650728</v>
      </c>
    </row>
    <row r="1555" s="1" customFormat="1" spans="1:13">
      <c r="A1555" s="2">
        <v>8035</v>
      </c>
      <c r="B1555" s="5" t="s">
        <v>15086</v>
      </c>
      <c r="C1555" s="6" t="s">
        <v>15312</v>
      </c>
      <c r="D1555" s="6" t="str">
        <f>"152324196507291425"</f>
        <v>152324196507291425</v>
      </c>
      <c r="E1555" s="5" t="s">
        <v>15</v>
      </c>
      <c r="F1555" s="5">
        <v>2020</v>
      </c>
      <c r="G1555" s="5" t="s">
        <v>16</v>
      </c>
      <c r="H1555" s="5">
        <v>200</v>
      </c>
      <c r="I1555" s="5">
        <v>200</v>
      </c>
      <c r="J1555" s="5"/>
      <c r="K1555" s="5"/>
      <c r="L1555" s="10">
        <v>20201118</v>
      </c>
      <c r="M1555" s="36" t="str">
        <f t="shared" si="24"/>
        <v>19650729</v>
      </c>
    </row>
    <row r="1556" s="1" customFormat="1" spans="1:13">
      <c r="A1556" s="2">
        <v>3704</v>
      </c>
      <c r="B1556" s="5" t="s">
        <v>7412</v>
      </c>
      <c r="C1556" s="5" t="s">
        <v>7665</v>
      </c>
      <c r="D1556" s="5" t="s">
        <v>7666</v>
      </c>
      <c r="E1556" s="6">
        <v>2020</v>
      </c>
      <c r="F1556" s="6">
        <v>2020</v>
      </c>
      <c r="G1556" s="5" t="s">
        <v>3359</v>
      </c>
      <c r="H1556" s="5">
        <v>200</v>
      </c>
      <c r="I1556" s="5">
        <v>200</v>
      </c>
      <c r="J1556" s="5"/>
      <c r="K1556" s="5"/>
      <c r="L1556" s="10">
        <v>20201118</v>
      </c>
      <c r="M1556" s="36" t="str">
        <f t="shared" si="24"/>
        <v>19650803</v>
      </c>
    </row>
    <row r="1557" s="1" customFormat="1" spans="1:13">
      <c r="A1557" s="2">
        <v>4644</v>
      </c>
      <c r="B1557" s="6" t="s">
        <v>9015</v>
      </c>
      <c r="C1557" s="6" t="s">
        <v>9452</v>
      </c>
      <c r="D1557" s="6" t="s">
        <v>9453</v>
      </c>
      <c r="E1557" s="6">
        <v>2020</v>
      </c>
      <c r="F1557" s="6">
        <v>2020</v>
      </c>
      <c r="G1557" s="6" t="s">
        <v>16</v>
      </c>
      <c r="H1557" s="6">
        <v>200</v>
      </c>
      <c r="I1557" s="6">
        <v>200</v>
      </c>
      <c r="J1557" s="6"/>
      <c r="K1557" s="6"/>
      <c r="L1557" s="10">
        <v>20201118</v>
      </c>
      <c r="M1557" s="36" t="str">
        <f t="shared" si="24"/>
        <v>19650803</v>
      </c>
    </row>
    <row r="1558" s="1" customFormat="1" spans="1:13">
      <c r="A1558" s="2">
        <v>250</v>
      </c>
      <c r="B1558" s="14" t="s">
        <v>327</v>
      </c>
      <c r="C1558" s="72" t="s">
        <v>636</v>
      </c>
      <c r="D1558" s="72" t="s">
        <v>637</v>
      </c>
      <c r="E1558" s="5">
        <v>2020</v>
      </c>
      <c r="F1558" s="5">
        <v>2020</v>
      </c>
      <c r="G1558" s="14" t="s">
        <v>16</v>
      </c>
      <c r="H1558" s="14">
        <v>200</v>
      </c>
      <c r="I1558" s="14">
        <v>200</v>
      </c>
      <c r="J1558" s="17"/>
      <c r="K1558" s="10"/>
      <c r="L1558" s="14" t="s">
        <v>330</v>
      </c>
      <c r="M1558" s="36" t="str">
        <f t="shared" si="24"/>
        <v>19650804</v>
      </c>
    </row>
    <row r="1559" s="1" customFormat="1" spans="1:13">
      <c r="A1559" s="2">
        <v>1500</v>
      </c>
      <c r="B1559" s="5" t="s">
        <v>3381</v>
      </c>
      <c r="C1559" s="9" t="s">
        <v>3569</v>
      </c>
      <c r="D1559" s="9" t="s">
        <v>3570</v>
      </c>
      <c r="E1559" s="5">
        <v>2020</v>
      </c>
      <c r="F1559" s="5">
        <v>2020</v>
      </c>
      <c r="G1559" s="14" t="s">
        <v>16</v>
      </c>
      <c r="H1559" s="6">
        <v>200</v>
      </c>
      <c r="I1559" s="6">
        <v>200</v>
      </c>
      <c r="J1559" s="5"/>
      <c r="K1559" s="13"/>
      <c r="L1559" s="10">
        <v>20201118</v>
      </c>
      <c r="M1559" s="36" t="str">
        <f t="shared" si="24"/>
        <v>19650804</v>
      </c>
    </row>
    <row r="1560" s="1" customFormat="1" spans="1:13">
      <c r="A1560" s="2">
        <v>1501</v>
      </c>
      <c r="B1560" s="5" t="s">
        <v>3381</v>
      </c>
      <c r="C1560" s="9" t="s">
        <v>3571</v>
      </c>
      <c r="D1560" s="9" t="s">
        <v>3572</v>
      </c>
      <c r="E1560" s="5">
        <v>2020</v>
      </c>
      <c r="F1560" s="5">
        <v>2020</v>
      </c>
      <c r="G1560" s="14" t="s">
        <v>16</v>
      </c>
      <c r="H1560" s="6">
        <v>200</v>
      </c>
      <c r="I1560" s="6">
        <v>200</v>
      </c>
      <c r="J1560" s="5"/>
      <c r="K1560" s="13"/>
      <c r="L1560" s="10">
        <v>20201118</v>
      </c>
      <c r="M1560" s="36" t="str">
        <f t="shared" si="24"/>
        <v>19650807</v>
      </c>
    </row>
    <row r="1561" s="1" customFormat="1" spans="1:13">
      <c r="A1561" s="2">
        <v>6562</v>
      </c>
      <c r="B1561" s="5" t="s">
        <v>13027</v>
      </c>
      <c r="C1561" s="15" t="s">
        <v>13117</v>
      </c>
      <c r="D1561" s="15" t="s">
        <v>13118</v>
      </c>
      <c r="E1561" s="5">
        <v>2020</v>
      </c>
      <c r="F1561" s="5">
        <v>2020</v>
      </c>
      <c r="G1561" s="14" t="s">
        <v>16</v>
      </c>
      <c r="H1561" s="15">
        <v>200</v>
      </c>
      <c r="I1561" s="15">
        <v>200</v>
      </c>
      <c r="J1561" s="5" t="s">
        <v>3647</v>
      </c>
      <c r="K1561" s="10"/>
      <c r="L1561" s="10">
        <v>20201118</v>
      </c>
      <c r="M1561" s="36" t="str">
        <f t="shared" si="24"/>
        <v>19650807</v>
      </c>
    </row>
    <row r="1562" s="1" customFormat="1" spans="1:13">
      <c r="A1562" s="2">
        <v>8182</v>
      </c>
      <c r="B1562" s="5" t="s">
        <v>15406</v>
      </c>
      <c r="C1562" s="6" t="s">
        <v>15551</v>
      </c>
      <c r="D1562" s="6" t="s">
        <v>15552</v>
      </c>
      <c r="E1562" s="5" t="s">
        <v>15</v>
      </c>
      <c r="F1562" s="5">
        <v>2020</v>
      </c>
      <c r="G1562" s="14" t="s">
        <v>16</v>
      </c>
      <c r="H1562" s="6">
        <v>200</v>
      </c>
      <c r="I1562" s="6">
        <v>200</v>
      </c>
      <c r="J1562" s="5"/>
      <c r="K1562" s="10"/>
      <c r="L1562" s="10">
        <v>20201118</v>
      </c>
      <c r="M1562" s="36" t="str">
        <f t="shared" si="24"/>
        <v>19650807</v>
      </c>
    </row>
    <row r="1563" s="1" customFormat="1" spans="1:13">
      <c r="A1563" s="2">
        <v>1502</v>
      </c>
      <c r="B1563" s="5" t="s">
        <v>3381</v>
      </c>
      <c r="C1563" s="9" t="s">
        <v>3573</v>
      </c>
      <c r="D1563" s="9" t="s">
        <v>3574</v>
      </c>
      <c r="E1563" s="5">
        <v>2020</v>
      </c>
      <c r="F1563" s="5">
        <v>2020</v>
      </c>
      <c r="G1563" s="14" t="s">
        <v>16</v>
      </c>
      <c r="H1563" s="6">
        <v>200</v>
      </c>
      <c r="I1563" s="6">
        <v>200</v>
      </c>
      <c r="J1563" s="5"/>
      <c r="K1563" s="13"/>
      <c r="L1563" s="10">
        <v>20201118</v>
      </c>
      <c r="M1563" s="36" t="str">
        <f t="shared" si="24"/>
        <v>19650811</v>
      </c>
    </row>
    <row r="1564" s="1" customFormat="1" spans="1:13">
      <c r="A1564" s="2">
        <v>4586</v>
      </c>
      <c r="B1564" s="6" t="s">
        <v>9015</v>
      </c>
      <c r="C1564" s="6" t="s">
        <v>9348</v>
      </c>
      <c r="D1564" s="6" t="s">
        <v>9349</v>
      </c>
      <c r="E1564" s="6">
        <v>2020</v>
      </c>
      <c r="F1564" s="6">
        <v>2020</v>
      </c>
      <c r="G1564" s="6" t="s">
        <v>16</v>
      </c>
      <c r="H1564" s="6">
        <v>200</v>
      </c>
      <c r="I1564" s="6">
        <v>200</v>
      </c>
      <c r="J1564" s="6"/>
      <c r="K1564" s="6"/>
      <c r="L1564" s="10">
        <v>20201118</v>
      </c>
      <c r="M1564" s="36" t="str">
        <f t="shared" si="24"/>
        <v>19650812</v>
      </c>
    </row>
    <row r="1565" s="1" customFormat="1" spans="1:13">
      <c r="A1565" s="2">
        <v>3705</v>
      </c>
      <c r="B1565" s="5" t="s">
        <v>7412</v>
      </c>
      <c r="C1565" s="5" t="s">
        <v>7667</v>
      </c>
      <c r="D1565" s="5" t="s">
        <v>7668</v>
      </c>
      <c r="E1565" s="6">
        <v>2020</v>
      </c>
      <c r="F1565" s="6">
        <v>2020</v>
      </c>
      <c r="G1565" s="5" t="s">
        <v>3359</v>
      </c>
      <c r="H1565" s="5">
        <v>200</v>
      </c>
      <c r="I1565" s="5">
        <v>200</v>
      </c>
      <c r="J1565" s="5"/>
      <c r="K1565" s="5"/>
      <c r="L1565" s="10">
        <v>20201118</v>
      </c>
      <c r="M1565" s="36" t="str">
        <f t="shared" si="24"/>
        <v>19650814</v>
      </c>
    </row>
    <row r="1566" s="1" customFormat="1" spans="1:13">
      <c r="A1566" s="2">
        <v>171</v>
      </c>
      <c r="B1566" s="14" t="s">
        <v>327</v>
      </c>
      <c r="C1566" s="14" t="s">
        <v>401</v>
      </c>
      <c r="D1566" s="14" t="s">
        <v>402</v>
      </c>
      <c r="E1566" s="5">
        <v>2020</v>
      </c>
      <c r="F1566" s="5">
        <v>2020</v>
      </c>
      <c r="G1566" s="14" t="s">
        <v>16</v>
      </c>
      <c r="H1566" s="14">
        <v>200</v>
      </c>
      <c r="I1566" s="14">
        <v>200</v>
      </c>
      <c r="J1566" s="14"/>
      <c r="K1566" s="10"/>
      <c r="L1566" s="2" t="s">
        <v>330</v>
      </c>
      <c r="M1566" s="36" t="str">
        <f t="shared" si="24"/>
        <v>19650815</v>
      </c>
    </row>
    <row r="1567" s="1" customFormat="1" spans="1:13">
      <c r="A1567" s="2">
        <v>1824</v>
      </c>
      <c r="B1567" s="5" t="s">
        <v>4189</v>
      </c>
      <c r="C1567" s="16" t="s">
        <v>4213</v>
      </c>
      <c r="D1567" s="16" t="s">
        <v>4214</v>
      </c>
      <c r="E1567" s="5" t="s">
        <v>15</v>
      </c>
      <c r="F1567" s="5" t="s">
        <v>15</v>
      </c>
      <c r="G1567" s="5" t="s">
        <v>3359</v>
      </c>
      <c r="H1567" s="16">
        <v>200</v>
      </c>
      <c r="I1567" s="16">
        <v>200</v>
      </c>
      <c r="J1567" s="5"/>
      <c r="K1567" s="10"/>
      <c r="L1567" s="10">
        <v>20201118</v>
      </c>
      <c r="M1567" s="36" t="str">
        <f t="shared" si="24"/>
        <v>19650815</v>
      </c>
    </row>
    <row r="1568" s="1" customFormat="1" ht="14.25" spans="1:13">
      <c r="A1568" s="2">
        <v>3024</v>
      </c>
      <c r="B1568" s="6" t="s">
        <v>6075</v>
      </c>
      <c r="C1568" s="25" t="s">
        <v>6571</v>
      </c>
      <c r="D1568" s="26" t="s">
        <v>6572</v>
      </c>
      <c r="E1568" s="5" t="s">
        <v>15</v>
      </c>
      <c r="F1568" s="5">
        <v>2020</v>
      </c>
      <c r="G1568" s="6" t="s">
        <v>16</v>
      </c>
      <c r="H1568" s="6">
        <v>200</v>
      </c>
      <c r="I1568" s="6">
        <v>200</v>
      </c>
      <c r="J1568" s="6"/>
      <c r="K1568" s="10"/>
      <c r="L1568" s="10">
        <v>20201118</v>
      </c>
      <c r="M1568" s="36" t="str">
        <f t="shared" si="24"/>
        <v>19650815</v>
      </c>
    </row>
    <row r="1569" s="1" customFormat="1" spans="1:13">
      <c r="A1569" s="2">
        <v>5704</v>
      </c>
      <c r="B1569" s="30" t="s">
        <v>11090</v>
      </c>
      <c r="C1569" s="30" t="s">
        <v>11493</v>
      </c>
      <c r="D1569" s="30" t="s">
        <v>11494</v>
      </c>
      <c r="E1569" s="5" t="s">
        <v>15</v>
      </c>
      <c r="F1569" s="5" t="s">
        <v>10250</v>
      </c>
      <c r="G1569" s="6" t="s">
        <v>16</v>
      </c>
      <c r="H1569" s="32">
        <v>200</v>
      </c>
      <c r="I1569" s="32">
        <v>200</v>
      </c>
      <c r="J1569" s="6"/>
      <c r="K1569" s="48"/>
      <c r="L1569" s="10">
        <v>20201118</v>
      </c>
      <c r="M1569" s="36" t="str">
        <f t="shared" si="24"/>
        <v>19650815</v>
      </c>
    </row>
    <row r="1570" s="1" customFormat="1" spans="1:13">
      <c r="A1570" s="2">
        <v>6330</v>
      </c>
      <c r="B1570" s="5" t="s">
        <v>12263</v>
      </c>
      <c r="C1570" s="5" t="s">
        <v>12676</v>
      </c>
      <c r="D1570" s="5" t="s">
        <v>12677</v>
      </c>
      <c r="E1570" s="5" t="s">
        <v>10250</v>
      </c>
      <c r="F1570" s="5">
        <v>2020</v>
      </c>
      <c r="G1570" s="17" t="s">
        <v>3359</v>
      </c>
      <c r="H1570" s="5" t="s">
        <v>311</v>
      </c>
      <c r="I1570" s="5">
        <v>200</v>
      </c>
      <c r="J1570" s="5"/>
      <c r="K1570" s="5"/>
      <c r="L1570" s="10">
        <v>20201118</v>
      </c>
      <c r="M1570" s="36" t="str">
        <f t="shared" si="24"/>
        <v>19650815</v>
      </c>
    </row>
    <row r="1571" s="1" customFormat="1" spans="1:13">
      <c r="A1571" s="2">
        <v>8103</v>
      </c>
      <c r="B1571" s="13" t="s">
        <v>15086</v>
      </c>
      <c r="C1571" s="13" t="s">
        <v>15399</v>
      </c>
      <c r="D1571" s="5" t="s">
        <v>15400</v>
      </c>
      <c r="E1571" s="13">
        <v>2011</v>
      </c>
      <c r="F1571" s="5">
        <v>2020</v>
      </c>
      <c r="G1571" s="5" t="s">
        <v>289</v>
      </c>
      <c r="H1571" s="13">
        <v>200</v>
      </c>
      <c r="I1571" s="13">
        <v>2000</v>
      </c>
      <c r="J1571" s="10"/>
      <c r="K1571" s="10"/>
      <c r="L1571" s="10">
        <v>20201224</v>
      </c>
      <c r="M1571" s="36" t="str">
        <f t="shared" si="24"/>
        <v>19650815</v>
      </c>
    </row>
    <row r="1572" s="1" customFormat="1" ht="14.25" spans="1:13">
      <c r="A1572" s="2">
        <v>3062</v>
      </c>
      <c r="B1572" s="6" t="s">
        <v>6075</v>
      </c>
      <c r="C1572" s="6" t="s">
        <v>6647</v>
      </c>
      <c r="D1572" s="26" t="s">
        <v>6648</v>
      </c>
      <c r="E1572" s="5" t="s">
        <v>310</v>
      </c>
      <c r="F1572" s="5">
        <v>2020</v>
      </c>
      <c r="G1572" s="6" t="s">
        <v>6642</v>
      </c>
      <c r="H1572" s="6">
        <v>200</v>
      </c>
      <c r="I1572" s="6">
        <v>2000</v>
      </c>
      <c r="J1572" s="6"/>
      <c r="K1572" s="10"/>
      <c r="L1572" s="10">
        <v>20201118</v>
      </c>
      <c r="M1572" s="36" t="str">
        <f t="shared" si="24"/>
        <v>19650816</v>
      </c>
    </row>
    <row r="1573" s="1" customFormat="1" spans="1:13">
      <c r="A1573" s="2">
        <v>7199</v>
      </c>
      <c r="B1573" s="5" t="s">
        <v>13908</v>
      </c>
      <c r="C1573" s="5" t="s">
        <v>14047</v>
      </c>
      <c r="D1573" s="5" t="s">
        <v>14048</v>
      </c>
      <c r="E1573" s="5" t="s">
        <v>15</v>
      </c>
      <c r="F1573" s="5" t="s">
        <v>15</v>
      </c>
      <c r="G1573" s="14" t="s">
        <v>16</v>
      </c>
      <c r="H1573" s="17">
        <v>200</v>
      </c>
      <c r="I1573" s="17">
        <v>200</v>
      </c>
      <c r="J1573" s="5"/>
      <c r="K1573" s="10"/>
      <c r="L1573" s="10">
        <v>20201118</v>
      </c>
      <c r="M1573" s="36" t="str">
        <f t="shared" si="24"/>
        <v>19650819</v>
      </c>
    </row>
    <row r="1574" s="1" customFormat="1" spans="1:13">
      <c r="A1574" s="2">
        <v>4207</v>
      </c>
      <c r="B1574" s="9" t="s">
        <v>8515</v>
      </c>
      <c r="C1574" s="9" t="s">
        <v>8618</v>
      </c>
      <c r="D1574" s="9" t="s">
        <v>8619</v>
      </c>
      <c r="E1574" s="5" t="s">
        <v>15</v>
      </c>
      <c r="F1574" s="5">
        <v>2020</v>
      </c>
      <c r="G1574" s="9" t="s">
        <v>2480</v>
      </c>
      <c r="H1574" s="9">
        <v>200</v>
      </c>
      <c r="I1574" s="9">
        <v>200</v>
      </c>
      <c r="J1574" s="9"/>
      <c r="K1574" s="9"/>
      <c r="L1574" s="10">
        <v>20201118</v>
      </c>
      <c r="M1574" s="36" t="str">
        <f t="shared" si="24"/>
        <v>19650820</v>
      </c>
    </row>
    <row r="1575" s="1" customFormat="1" spans="1:13">
      <c r="A1575" s="2">
        <v>5588</v>
      </c>
      <c r="B1575" s="30" t="s">
        <v>11090</v>
      </c>
      <c r="C1575" s="30" t="s">
        <v>11269</v>
      </c>
      <c r="D1575" s="30" t="s">
        <v>11270</v>
      </c>
      <c r="E1575" s="5" t="s">
        <v>15</v>
      </c>
      <c r="F1575" s="5" t="s">
        <v>10250</v>
      </c>
      <c r="G1575" s="6" t="s">
        <v>16</v>
      </c>
      <c r="H1575" s="32">
        <v>200</v>
      </c>
      <c r="I1575" s="32">
        <v>200</v>
      </c>
      <c r="J1575" s="6"/>
      <c r="K1575" s="48"/>
      <c r="L1575" s="10">
        <v>20201118</v>
      </c>
      <c r="M1575" s="36" t="str">
        <f t="shared" si="24"/>
        <v>19650820</v>
      </c>
    </row>
    <row r="1576" s="1" customFormat="1" spans="1:13">
      <c r="A1576" s="2">
        <v>3462</v>
      </c>
      <c r="B1576" s="5" t="s">
        <v>3375</v>
      </c>
      <c r="C1576" s="6" t="s">
        <v>7242</v>
      </c>
      <c r="D1576" s="6" t="str">
        <f>"152326196508236877"</f>
        <v>152326196508236877</v>
      </c>
      <c r="E1576" s="5" t="s">
        <v>15</v>
      </c>
      <c r="F1576" s="5">
        <v>2020</v>
      </c>
      <c r="G1576" s="14" t="s">
        <v>16</v>
      </c>
      <c r="H1576" s="17">
        <v>200</v>
      </c>
      <c r="I1576" s="17">
        <v>200</v>
      </c>
      <c r="J1576" s="6"/>
      <c r="K1576" s="10"/>
      <c r="L1576" s="10">
        <v>20201118</v>
      </c>
      <c r="M1576" s="36" t="str">
        <f t="shared" si="24"/>
        <v>19650823</v>
      </c>
    </row>
    <row r="1577" s="1" customFormat="1" spans="1:13">
      <c r="A1577" s="2">
        <v>4460</v>
      </c>
      <c r="B1577" s="6" t="s">
        <v>9015</v>
      </c>
      <c r="C1577" s="6" t="s">
        <v>9105</v>
      </c>
      <c r="D1577" s="6" t="s">
        <v>9106</v>
      </c>
      <c r="E1577" s="6">
        <v>2020</v>
      </c>
      <c r="F1577" s="6">
        <v>2020</v>
      </c>
      <c r="G1577" s="6" t="s">
        <v>16</v>
      </c>
      <c r="H1577" s="6">
        <v>200</v>
      </c>
      <c r="I1577" s="6">
        <v>200</v>
      </c>
      <c r="J1577" s="6"/>
      <c r="K1577" s="6"/>
      <c r="L1577" s="10">
        <v>20201118</v>
      </c>
      <c r="M1577" s="36" t="str">
        <f t="shared" si="24"/>
        <v>19650823</v>
      </c>
    </row>
    <row r="1578" s="1" customFormat="1" spans="1:13">
      <c r="A1578" s="2">
        <v>8042</v>
      </c>
      <c r="B1578" s="5" t="s">
        <v>15086</v>
      </c>
      <c r="C1578" s="6" t="s">
        <v>15320</v>
      </c>
      <c r="D1578" s="6" t="str">
        <f>"152326196508236885"</f>
        <v>152326196508236885</v>
      </c>
      <c r="E1578" s="5" t="s">
        <v>15</v>
      </c>
      <c r="F1578" s="5">
        <v>2020</v>
      </c>
      <c r="G1578" s="5" t="s">
        <v>16</v>
      </c>
      <c r="H1578" s="5">
        <v>200</v>
      </c>
      <c r="I1578" s="5">
        <v>200</v>
      </c>
      <c r="J1578" s="5"/>
      <c r="K1578" s="5"/>
      <c r="L1578" s="10">
        <v>20201118</v>
      </c>
      <c r="M1578" s="36" t="str">
        <f t="shared" si="24"/>
        <v>19650823</v>
      </c>
    </row>
    <row r="1579" s="1" customFormat="1" spans="1:13">
      <c r="A1579" s="2">
        <v>4585</v>
      </c>
      <c r="B1579" s="6" t="s">
        <v>9015</v>
      </c>
      <c r="C1579" s="6" t="s">
        <v>9346</v>
      </c>
      <c r="D1579" s="6" t="s">
        <v>9347</v>
      </c>
      <c r="E1579" s="6">
        <v>2020</v>
      </c>
      <c r="F1579" s="6">
        <v>2020</v>
      </c>
      <c r="G1579" s="6" t="s">
        <v>16</v>
      </c>
      <c r="H1579" s="6">
        <v>200</v>
      </c>
      <c r="I1579" s="6">
        <v>200</v>
      </c>
      <c r="J1579" s="6"/>
      <c r="K1579" s="6"/>
      <c r="L1579" s="10">
        <v>20201118</v>
      </c>
      <c r="M1579" s="36" t="str">
        <f t="shared" si="24"/>
        <v>19650824</v>
      </c>
    </row>
    <row r="1580" s="1" customFormat="1" spans="1:13">
      <c r="A1580" s="2">
        <v>2197</v>
      </c>
      <c r="B1580" s="9" t="s">
        <v>4837</v>
      </c>
      <c r="C1580" s="9" t="s">
        <v>4942</v>
      </c>
      <c r="D1580" s="9" t="s">
        <v>4943</v>
      </c>
      <c r="E1580" s="6" t="s">
        <v>15</v>
      </c>
      <c r="F1580" s="6">
        <v>2020</v>
      </c>
      <c r="G1580" s="9" t="s">
        <v>2480</v>
      </c>
      <c r="H1580" s="9">
        <v>200</v>
      </c>
      <c r="I1580" s="9">
        <v>200</v>
      </c>
      <c r="J1580" s="6"/>
      <c r="K1580" s="10"/>
      <c r="L1580" s="10">
        <v>20201118</v>
      </c>
      <c r="M1580" s="36" t="str">
        <f t="shared" si="24"/>
        <v>19650826</v>
      </c>
    </row>
    <row r="1581" s="1" customFormat="1" ht="14.25" spans="1:13">
      <c r="A1581" s="2">
        <v>7773</v>
      </c>
      <c r="B1581" s="5" t="s">
        <v>14875</v>
      </c>
      <c r="C1581" s="51" t="s">
        <v>15019</v>
      </c>
      <c r="D1581" s="24" t="str">
        <f>"152326196508267112"</f>
        <v>152326196508267112</v>
      </c>
      <c r="E1581" s="6" t="s">
        <v>15</v>
      </c>
      <c r="F1581" s="6">
        <v>2020</v>
      </c>
      <c r="G1581" s="24" t="s">
        <v>14877</v>
      </c>
      <c r="H1581" s="6">
        <v>500</v>
      </c>
      <c r="I1581" s="6">
        <v>500</v>
      </c>
      <c r="J1581" s="6"/>
      <c r="K1581" s="10"/>
      <c r="L1581" s="10">
        <v>20201118</v>
      </c>
      <c r="M1581" s="36" t="str">
        <f t="shared" si="24"/>
        <v>19650826</v>
      </c>
    </row>
    <row r="1582" s="1" customFormat="1" ht="14.25" spans="1:13">
      <c r="A1582" s="2">
        <v>5263</v>
      </c>
      <c r="B1582" s="33" t="s">
        <v>10535</v>
      </c>
      <c r="C1582" s="34" t="s">
        <v>10642</v>
      </c>
      <c r="D1582" s="34" t="s">
        <v>10643</v>
      </c>
      <c r="E1582" s="35">
        <v>2020</v>
      </c>
      <c r="F1582" s="35">
        <v>2020</v>
      </c>
      <c r="G1582" s="35" t="s">
        <v>16</v>
      </c>
      <c r="H1582" s="34">
        <v>200</v>
      </c>
      <c r="I1582" s="34">
        <v>200</v>
      </c>
      <c r="J1582" s="49"/>
      <c r="K1582" s="10"/>
      <c r="L1582" s="10">
        <v>20201118</v>
      </c>
      <c r="M1582" s="36" t="str">
        <f t="shared" si="24"/>
        <v>19650829</v>
      </c>
    </row>
    <row r="1583" s="1" customFormat="1" spans="1:13">
      <c r="A1583" s="2">
        <v>2569</v>
      </c>
      <c r="B1583" s="32" t="s">
        <v>5602</v>
      </c>
      <c r="C1583" s="9" t="s">
        <v>5676</v>
      </c>
      <c r="D1583" s="9" t="s">
        <v>5677</v>
      </c>
      <c r="E1583" s="32">
        <v>2020</v>
      </c>
      <c r="F1583" s="32">
        <v>2020</v>
      </c>
      <c r="G1583" s="32" t="s">
        <v>16</v>
      </c>
      <c r="H1583" s="9">
        <v>200</v>
      </c>
      <c r="I1583" s="9">
        <v>200</v>
      </c>
      <c r="J1583" s="32"/>
      <c r="K1583" s="52"/>
      <c r="L1583" s="10">
        <v>20201118</v>
      </c>
      <c r="M1583" s="36" t="str">
        <f t="shared" si="24"/>
        <v>19650901</v>
      </c>
    </row>
    <row r="1584" s="1" customFormat="1" spans="1:13">
      <c r="A1584" s="2">
        <v>5563</v>
      </c>
      <c r="B1584" s="30" t="s">
        <v>11090</v>
      </c>
      <c r="C1584" s="30" t="s">
        <v>11221</v>
      </c>
      <c r="D1584" s="30" t="s">
        <v>11222</v>
      </c>
      <c r="E1584" s="5" t="s">
        <v>15</v>
      </c>
      <c r="F1584" s="5" t="s">
        <v>10250</v>
      </c>
      <c r="G1584" s="6" t="s">
        <v>16</v>
      </c>
      <c r="H1584" s="32">
        <v>200</v>
      </c>
      <c r="I1584" s="32">
        <v>200</v>
      </c>
      <c r="J1584" s="6" t="s">
        <v>6097</v>
      </c>
      <c r="K1584" s="48"/>
      <c r="L1584" s="10">
        <v>20201118</v>
      </c>
      <c r="M1584" s="36" t="str">
        <f t="shared" si="24"/>
        <v>19650904</v>
      </c>
    </row>
    <row r="1585" s="1" customFormat="1" spans="1:13">
      <c r="A1585" s="2">
        <v>5567</v>
      </c>
      <c r="B1585" s="30" t="s">
        <v>11090</v>
      </c>
      <c r="C1585" s="30" t="s">
        <v>11229</v>
      </c>
      <c r="D1585" s="30" t="s">
        <v>11230</v>
      </c>
      <c r="E1585" s="5" t="s">
        <v>15</v>
      </c>
      <c r="F1585" s="5" t="s">
        <v>10250</v>
      </c>
      <c r="G1585" s="6" t="s">
        <v>16</v>
      </c>
      <c r="H1585" s="32">
        <v>200</v>
      </c>
      <c r="I1585" s="32">
        <v>200</v>
      </c>
      <c r="J1585" s="6"/>
      <c r="K1585" s="48"/>
      <c r="L1585" s="10">
        <v>20201118</v>
      </c>
      <c r="M1585" s="36" t="str">
        <f t="shared" si="24"/>
        <v>19650904</v>
      </c>
    </row>
    <row r="1586" s="1" customFormat="1" spans="1:13">
      <c r="A1586" s="2">
        <v>2570</v>
      </c>
      <c r="B1586" s="32" t="s">
        <v>5602</v>
      </c>
      <c r="C1586" s="9" t="s">
        <v>5678</v>
      </c>
      <c r="D1586" s="9" t="s">
        <v>5679</v>
      </c>
      <c r="E1586" s="32">
        <v>2020</v>
      </c>
      <c r="F1586" s="32">
        <v>2020</v>
      </c>
      <c r="G1586" s="32" t="s">
        <v>16</v>
      </c>
      <c r="H1586" s="9">
        <v>7000</v>
      </c>
      <c r="I1586" s="9">
        <v>7000</v>
      </c>
      <c r="J1586" s="32"/>
      <c r="K1586" s="52"/>
      <c r="L1586" s="10">
        <v>20201118</v>
      </c>
      <c r="M1586" s="36" t="str">
        <f t="shared" si="24"/>
        <v>19650906</v>
      </c>
    </row>
    <row r="1587" s="1" customFormat="1" spans="1:13">
      <c r="A1587" s="2">
        <v>3138</v>
      </c>
      <c r="B1587" s="3" t="s">
        <v>6671</v>
      </c>
      <c r="C1587" s="9" t="s">
        <v>6796</v>
      </c>
      <c r="D1587" s="9" t="s">
        <v>6797</v>
      </c>
      <c r="E1587" s="3" t="s">
        <v>15</v>
      </c>
      <c r="F1587" s="3" t="s">
        <v>15</v>
      </c>
      <c r="G1587" s="6" t="s">
        <v>3359</v>
      </c>
      <c r="H1587" s="9">
        <v>200</v>
      </c>
      <c r="I1587" s="9">
        <v>200</v>
      </c>
      <c r="J1587" s="6"/>
      <c r="K1587" s="5"/>
      <c r="L1587" s="10">
        <v>20201118</v>
      </c>
      <c r="M1587" s="36" t="str">
        <f t="shared" si="24"/>
        <v>19650906</v>
      </c>
    </row>
    <row r="1588" s="1" customFormat="1" spans="1:13">
      <c r="A1588" s="2">
        <v>5737</v>
      </c>
      <c r="B1588" s="30" t="s">
        <v>11090</v>
      </c>
      <c r="C1588" s="30" t="s">
        <v>11558</v>
      </c>
      <c r="D1588" s="30" t="s">
        <v>11559</v>
      </c>
      <c r="E1588" s="5" t="s">
        <v>15</v>
      </c>
      <c r="F1588" s="5" t="s">
        <v>10250</v>
      </c>
      <c r="G1588" s="6" t="s">
        <v>16</v>
      </c>
      <c r="H1588" s="32">
        <v>500</v>
      </c>
      <c r="I1588" s="32">
        <v>500</v>
      </c>
      <c r="J1588" s="6"/>
      <c r="K1588" s="48"/>
      <c r="L1588" s="10">
        <v>20201118</v>
      </c>
      <c r="M1588" s="36" t="str">
        <f t="shared" si="24"/>
        <v>19650906</v>
      </c>
    </row>
    <row r="1589" s="1" customFormat="1" spans="1:13">
      <c r="A1589" s="2">
        <v>2198</v>
      </c>
      <c r="B1589" s="9" t="s">
        <v>4837</v>
      </c>
      <c r="C1589" s="9" t="s">
        <v>4944</v>
      </c>
      <c r="D1589" s="9" t="s">
        <v>4945</v>
      </c>
      <c r="E1589" s="6" t="s">
        <v>15</v>
      </c>
      <c r="F1589" s="6">
        <v>2020</v>
      </c>
      <c r="G1589" s="9" t="s">
        <v>2480</v>
      </c>
      <c r="H1589" s="9">
        <v>200</v>
      </c>
      <c r="I1589" s="9">
        <v>200</v>
      </c>
      <c r="J1589" s="6"/>
      <c r="K1589" s="10"/>
      <c r="L1589" s="10">
        <v>20201118</v>
      </c>
      <c r="M1589" s="36" t="str">
        <f t="shared" si="24"/>
        <v>19650908</v>
      </c>
    </row>
    <row r="1590" s="1" customFormat="1" spans="1:13">
      <c r="A1590" s="2">
        <v>997</v>
      </c>
      <c r="B1590" s="5" t="s">
        <v>2469</v>
      </c>
      <c r="C1590" s="9" t="s">
        <v>2585</v>
      </c>
      <c r="D1590" s="9" t="s">
        <v>2586</v>
      </c>
      <c r="E1590" s="5">
        <v>2020</v>
      </c>
      <c r="F1590" s="5">
        <v>2020</v>
      </c>
      <c r="G1590" s="9" t="s">
        <v>2480</v>
      </c>
      <c r="H1590" s="9">
        <v>200</v>
      </c>
      <c r="I1590" s="9">
        <v>200</v>
      </c>
      <c r="J1590" s="5"/>
      <c r="K1590" s="5"/>
      <c r="L1590" s="10">
        <v>20201118</v>
      </c>
      <c r="M1590" s="36" t="str">
        <f t="shared" si="24"/>
        <v>19650910</v>
      </c>
    </row>
    <row r="1591" s="1" customFormat="1" spans="1:13">
      <c r="A1591" s="2">
        <v>3233</v>
      </c>
      <c r="B1591" s="3" t="s">
        <v>6671</v>
      </c>
      <c r="C1591" s="9" t="s">
        <v>5598</v>
      </c>
      <c r="D1591" s="9" t="s">
        <v>6971</v>
      </c>
      <c r="E1591" s="3" t="s">
        <v>15</v>
      </c>
      <c r="F1591" s="3" t="s">
        <v>15</v>
      </c>
      <c r="G1591" s="6" t="s">
        <v>3359</v>
      </c>
      <c r="H1591" s="9">
        <v>200</v>
      </c>
      <c r="I1591" s="9">
        <v>200</v>
      </c>
      <c r="J1591" s="6" t="s">
        <v>108</v>
      </c>
      <c r="K1591" s="5"/>
      <c r="L1591" s="10">
        <v>20201118</v>
      </c>
      <c r="M1591" s="36" t="str">
        <f t="shared" si="24"/>
        <v>19650910</v>
      </c>
    </row>
    <row r="1592" s="1" customFormat="1" ht="14.25" spans="1:13">
      <c r="A1592" s="2">
        <v>7771</v>
      </c>
      <c r="B1592" s="5" t="s">
        <v>14875</v>
      </c>
      <c r="C1592" s="51" t="s">
        <v>15017</v>
      </c>
      <c r="D1592" s="24" t="str">
        <f>"152326196509107129"</f>
        <v>152326196509107129</v>
      </c>
      <c r="E1592" s="6" t="s">
        <v>15</v>
      </c>
      <c r="F1592" s="6">
        <v>2020</v>
      </c>
      <c r="G1592" s="24" t="s">
        <v>14877</v>
      </c>
      <c r="H1592" s="6">
        <v>200</v>
      </c>
      <c r="I1592" s="6">
        <v>200</v>
      </c>
      <c r="J1592" s="6"/>
      <c r="K1592" s="10"/>
      <c r="L1592" s="10">
        <v>20201118</v>
      </c>
      <c r="M1592" s="36" t="str">
        <f t="shared" si="24"/>
        <v>19650910</v>
      </c>
    </row>
    <row r="1593" s="1" customFormat="1" spans="1:13">
      <c r="A1593" s="2">
        <v>3706</v>
      </c>
      <c r="B1593" s="5" t="s">
        <v>7412</v>
      </c>
      <c r="C1593" s="5" t="s">
        <v>7669</v>
      </c>
      <c r="D1593" s="5" t="s">
        <v>7670</v>
      </c>
      <c r="E1593" s="6">
        <v>2020</v>
      </c>
      <c r="F1593" s="6">
        <v>2020</v>
      </c>
      <c r="G1593" s="5" t="s">
        <v>3359</v>
      </c>
      <c r="H1593" s="5">
        <v>200</v>
      </c>
      <c r="I1593" s="5">
        <v>200</v>
      </c>
      <c r="J1593" s="5"/>
      <c r="K1593" s="5"/>
      <c r="L1593" s="10">
        <v>20201118</v>
      </c>
      <c r="M1593" s="36" t="str">
        <f t="shared" si="24"/>
        <v>19650912</v>
      </c>
    </row>
    <row r="1594" s="1" customFormat="1" spans="1:13">
      <c r="A1594" s="2">
        <v>6430</v>
      </c>
      <c r="B1594" s="5" t="s">
        <v>12263</v>
      </c>
      <c r="C1594" s="5" t="s">
        <v>12865</v>
      </c>
      <c r="D1594" s="5" t="s">
        <v>12866</v>
      </c>
      <c r="E1594" s="5" t="s">
        <v>10250</v>
      </c>
      <c r="F1594" s="5">
        <v>2020</v>
      </c>
      <c r="G1594" s="17" t="s">
        <v>3359</v>
      </c>
      <c r="H1594" s="5">
        <v>200</v>
      </c>
      <c r="I1594" s="5">
        <v>200</v>
      </c>
      <c r="J1594" s="5"/>
      <c r="K1594" s="5"/>
      <c r="L1594" s="10">
        <v>20201118</v>
      </c>
      <c r="M1594" s="36" t="str">
        <f t="shared" si="24"/>
        <v>19650912</v>
      </c>
    </row>
    <row r="1595" s="1" customFormat="1" spans="1:13">
      <c r="A1595" s="2">
        <v>998</v>
      </c>
      <c r="B1595" s="5" t="s">
        <v>2469</v>
      </c>
      <c r="C1595" s="9" t="s">
        <v>2587</v>
      </c>
      <c r="D1595" s="9" t="s">
        <v>2588</v>
      </c>
      <c r="E1595" s="5">
        <v>2020</v>
      </c>
      <c r="F1595" s="5">
        <v>2020</v>
      </c>
      <c r="G1595" s="9" t="s">
        <v>2480</v>
      </c>
      <c r="H1595" s="9">
        <v>200</v>
      </c>
      <c r="I1595" s="9">
        <v>200</v>
      </c>
      <c r="J1595" s="5"/>
      <c r="K1595" s="5"/>
      <c r="L1595" s="10">
        <v>20201118</v>
      </c>
      <c r="M1595" s="36" t="str">
        <f t="shared" si="24"/>
        <v>19650913</v>
      </c>
    </row>
    <row r="1596" s="1" customFormat="1" spans="1:13">
      <c r="A1596" s="2">
        <v>999</v>
      </c>
      <c r="B1596" s="5" t="s">
        <v>2469</v>
      </c>
      <c r="C1596" s="9" t="s">
        <v>2589</v>
      </c>
      <c r="D1596" s="9" t="s">
        <v>2590</v>
      </c>
      <c r="E1596" s="5">
        <v>2020</v>
      </c>
      <c r="F1596" s="5">
        <v>2020</v>
      </c>
      <c r="G1596" s="9" t="s">
        <v>2480</v>
      </c>
      <c r="H1596" s="9">
        <v>200</v>
      </c>
      <c r="I1596" s="9">
        <v>200</v>
      </c>
      <c r="J1596" s="5"/>
      <c r="K1596" s="5"/>
      <c r="L1596" s="10">
        <v>20201118</v>
      </c>
      <c r="M1596" s="36" t="str">
        <f t="shared" si="24"/>
        <v>19650915</v>
      </c>
    </row>
    <row r="1597" s="1" customFormat="1" spans="1:13">
      <c r="A1597" s="2">
        <v>4685</v>
      </c>
      <c r="B1597" s="6" t="s">
        <v>9015</v>
      </c>
      <c r="C1597" s="6" t="s">
        <v>9533</v>
      </c>
      <c r="D1597" s="6" t="s">
        <v>9534</v>
      </c>
      <c r="E1597" s="6">
        <v>2020</v>
      </c>
      <c r="F1597" s="6">
        <v>2020</v>
      </c>
      <c r="G1597" s="6" t="s">
        <v>16</v>
      </c>
      <c r="H1597" s="6">
        <v>200</v>
      </c>
      <c r="I1597" s="6">
        <v>200</v>
      </c>
      <c r="J1597" s="6"/>
      <c r="K1597" s="6"/>
      <c r="L1597" s="10">
        <v>20201118</v>
      </c>
      <c r="M1597" s="36" t="str">
        <f t="shared" si="24"/>
        <v>19650915</v>
      </c>
    </row>
    <row r="1598" s="1" customFormat="1" spans="1:13">
      <c r="A1598" s="2">
        <v>6364</v>
      </c>
      <c r="B1598" s="5" t="s">
        <v>12263</v>
      </c>
      <c r="C1598" s="5" t="s">
        <v>12742</v>
      </c>
      <c r="D1598" s="5" t="s">
        <v>12743</v>
      </c>
      <c r="E1598" s="5" t="s">
        <v>10250</v>
      </c>
      <c r="F1598" s="5">
        <v>2020</v>
      </c>
      <c r="G1598" s="17" t="s">
        <v>3359</v>
      </c>
      <c r="H1598" s="5" t="s">
        <v>311</v>
      </c>
      <c r="I1598" s="5">
        <v>200</v>
      </c>
      <c r="J1598" s="5"/>
      <c r="K1598" s="5"/>
      <c r="L1598" s="10">
        <v>20201118</v>
      </c>
      <c r="M1598" s="36" t="str">
        <f t="shared" si="24"/>
        <v>19650915</v>
      </c>
    </row>
    <row r="1599" s="1" customFormat="1" spans="1:13">
      <c r="A1599" s="2">
        <v>8101</v>
      </c>
      <c r="B1599" s="13" t="s">
        <v>15086</v>
      </c>
      <c r="C1599" s="13" t="s">
        <v>15395</v>
      </c>
      <c r="D1599" s="5" t="s">
        <v>15396</v>
      </c>
      <c r="E1599" s="13">
        <v>2011</v>
      </c>
      <c r="F1599" s="5">
        <v>2020</v>
      </c>
      <c r="G1599" s="5" t="s">
        <v>289</v>
      </c>
      <c r="H1599" s="13">
        <v>200</v>
      </c>
      <c r="I1599" s="13">
        <v>2000</v>
      </c>
      <c r="J1599" s="10"/>
      <c r="K1599" s="10"/>
      <c r="L1599" s="10">
        <v>20201224</v>
      </c>
      <c r="M1599" s="36" t="str">
        <f t="shared" si="24"/>
        <v>19650915</v>
      </c>
    </row>
    <row r="1600" s="1" customFormat="1" spans="1:13">
      <c r="A1600" s="2">
        <v>1503</v>
      </c>
      <c r="B1600" s="5" t="s">
        <v>3381</v>
      </c>
      <c r="C1600" s="9" t="s">
        <v>3575</v>
      </c>
      <c r="D1600" s="9" t="s">
        <v>3576</v>
      </c>
      <c r="E1600" s="5">
        <v>2020</v>
      </c>
      <c r="F1600" s="5">
        <v>2020</v>
      </c>
      <c r="G1600" s="14" t="s">
        <v>16</v>
      </c>
      <c r="H1600" s="6">
        <v>200</v>
      </c>
      <c r="I1600" s="6">
        <v>200</v>
      </c>
      <c r="J1600" s="5"/>
      <c r="K1600" s="13"/>
      <c r="L1600" s="10">
        <v>20201118</v>
      </c>
      <c r="M1600" s="36" t="str">
        <f t="shared" si="24"/>
        <v>19650916</v>
      </c>
    </row>
    <row r="1601" s="1" customFormat="1" spans="1:13">
      <c r="A1601" s="2">
        <v>8165</v>
      </c>
      <c r="B1601" s="5" t="s">
        <v>15406</v>
      </c>
      <c r="C1601" s="6" t="s">
        <v>6537</v>
      </c>
      <c r="D1601" s="6" t="s">
        <v>15521</v>
      </c>
      <c r="E1601" s="5" t="s">
        <v>15</v>
      </c>
      <c r="F1601" s="5">
        <v>2020</v>
      </c>
      <c r="G1601" s="14" t="s">
        <v>16</v>
      </c>
      <c r="H1601" s="6">
        <v>200</v>
      </c>
      <c r="I1601" s="6">
        <v>200</v>
      </c>
      <c r="J1601" s="5"/>
      <c r="K1601" s="10"/>
      <c r="L1601" s="10">
        <v>20201118</v>
      </c>
      <c r="M1601" s="36" t="str">
        <f t="shared" si="24"/>
        <v>19650916</v>
      </c>
    </row>
    <row r="1602" s="1" customFormat="1" ht="14.25" spans="1:13">
      <c r="A1602" s="2">
        <v>5264</v>
      </c>
      <c r="B1602" s="33" t="s">
        <v>10535</v>
      </c>
      <c r="C1602" s="34" t="s">
        <v>8163</v>
      </c>
      <c r="D1602" s="34" t="s">
        <v>10644</v>
      </c>
      <c r="E1602" s="35">
        <v>2020</v>
      </c>
      <c r="F1602" s="35">
        <v>2020</v>
      </c>
      <c r="G1602" s="35" t="s">
        <v>16</v>
      </c>
      <c r="H1602" s="34">
        <v>200</v>
      </c>
      <c r="I1602" s="34">
        <v>200</v>
      </c>
      <c r="J1602" s="49"/>
      <c r="K1602" s="10"/>
      <c r="L1602" s="10">
        <v>20201118</v>
      </c>
      <c r="M1602" s="36" t="str">
        <f t="shared" ref="M1602:M1665" si="25">MID(D1602,7,8)</f>
        <v>19650918</v>
      </c>
    </row>
    <row r="1603" s="1" customFormat="1" spans="1:13">
      <c r="A1603" s="2">
        <v>1504</v>
      </c>
      <c r="B1603" s="5" t="s">
        <v>3381</v>
      </c>
      <c r="C1603" s="9" t="s">
        <v>3577</v>
      </c>
      <c r="D1603" s="9" t="s">
        <v>3578</v>
      </c>
      <c r="E1603" s="5">
        <v>2020</v>
      </c>
      <c r="F1603" s="5">
        <v>2020</v>
      </c>
      <c r="G1603" s="14" t="s">
        <v>16</v>
      </c>
      <c r="H1603" s="6">
        <v>200</v>
      </c>
      <c r="I1603" s="6">
        <v>200</v>
      </c>
      <c r="J1603" s="5"/>
      <c r="K1603" s="13"/>
      <c r="L1603" s="10">
        <v>20201118</v>
      </c>
      <c r="M1603" s="36" t="str">
        <f t="shared" si="25"/>
        <v>19650920</v>
      </c>
    </row>
    <row r="1604" s="1" customFormat="1" spans="1:13">
      <c r="A1604" s="2">
        <v>368</v>
      </c>
      <c r="B1604" s="14" t="s">
        <v>327</v>
      </c>
      <c r="C1604" s="17" t="s">
        <v>991</v>
      </c>
      <c r="D1604" s="306" t="s">
        <v>992</v>
      </c>
      <c r="E1604" s="5">
        <v>2020</v>
      </c>
      <c r="F1604" s="5">
        <v>2020</v>
      </c>
      <c r="G1604" s="14" t="s">
        <v>16</v>
      </c>
      <c r="H1604" s="17">
        <v>200</v>
      </c>
      <c r="I1604" s="17">
        <v>200</v>
      </c>
      <c r="J1604" s="17"/>
      <c r="K1604" s="10"/>
      <c r="L1604" s="14" t="s">
        <v>330</v>
      </c>
      <c r="M1604" s="36" t="str">
        <f t="shared" si="25"/>
        <v>19650922</v>
      </c>
    </row>
    <row r="1605" s="1" customFormat="1" spans="1:13">
      <c r="A1605" s="2">
        <v>6113</v>
      </c>
      <c r="B1605" s="5" t="s">
        <v>12263</v>
      </c>
      <c r="C1605" s="17" t="s">
        <v>12264</v>
      </c>
      <c r="D1605" s="17" t="s">
        <v>12265</v>
      </c>
      <c r="E1605" s="5" t="s">
        <v>10245</v>
      </c>
      <c r="F1605" s="5">
        <v>2020</v>
      </c>
      <c r="G1605" s="17" t="s">
        <v>3359</v>
      </c>
      <c r="H1605" s="17">
        <v>200</v>
      </c>
      <c r="I1605" s="17">
        <v>200</v>
      </c>
      <c r="J1605" s="17"/>
      <c r="K1605" s="3"/>
      <c r="L1605" s="10">
        <v>20201118</v>
      </c>
      <c r="M1605" s="36" t="str">
        <f t="shared" si="25"/>
        <v>19650922</v>
      </c>
    </row>
    <row r="1606" s="1" customFormat="1" spans="1:13">
      <c r="A1606" s="2">
        <v>6563</v>
      </c>
      <c r="B1606" s="5" t="s">
        <v>13027</v>
      </c>
      <c r="C1606" s="15" t="s">
        <v>13119</v>
      </c>
      <c r="D1606" s="15" t="s">
        <v>13120</v>
      </c>
      <c r="E1606" s="5">
        <v>2020</v>
      </c>
      <c r="F1606" s="5">
        <v>2020</v>
      </c>
      <c r="G1606" s="14" t="s">
        <v>16</v>
      </c>
      <c r="H1606" s="15">
        <v>200</v>
      </c>
      <c r="I1606" s="15">
        <v>200</v>
      </c>
      <c r="J1606" s="5"/>
      <c r="K1606" s="10"/>
      <c r="L1606" s="10">
        <v>20201118</v>
      </c>
      <c r="M1606" s="36" t="str">
        <f t="shared" si="25"/>
        <v>19650922</v>
      </c>
    </row>
    <row r="1607" s="1" customFormat="1" spans="1:13">
      <c r="A1607" s="2">
        <v>7354</v>
      </c>
      <c r="B1607" s="5" t="s">
        <v>13908</v>
      </c>
      <c r="C1607" s="5" t="s">
        <v>14338</v>
      </c>
      <c r="D1607" s="5" t="s">
        <v>14339</v>
      </c>
      <c r="E1607" s="5" t="s">
        <v>15</v>
      </c>
      <c r="F1607" s="5" t="s">
        <v>15</v>
      </c>
      <c r="G1607" s="14" t="s">
        <v>16</v>
      </c>
      <c r="H1607" s="17">
        <v>200</v>
      </c>
      <c r="I1607" s="17">
        <v>200</v>
      </c>
      <c r="J1607" s="5"/>
      <c r="K1607" s="10"/>
      <c r="L1607" s="10">
        <v>20201118</v>
      </c>
      <c r="M1607" s="36" t="str">
        <f t="shared" si="25"/>
        <v>19650924</v>
      </c>
    </row>
    <row r="1608" s="1" customFormat="1" ht="14.25" spans="1:13">
      <c r="A1608" s="2">
        <v>3061</v>
      </c>
      <c r="B1608" s="6" t="s">
        <v>6075</v>
      </c>
      <c r="C1608" s="6" t="s">
        <v>6645</v>
      </c>
      <c r="D1608" s="26" t="s">
        <v>6646</v>
      </c>
      <c r="E1608" s="5" t="s">
        <v>310</v>
      </c>
      <c r="F1608" s="5">
        <v>2020</v>
      </c>
      <c r="G1608" s="6" t="s">
        <v>6642</v>
      </c>
      <c r="H1608" s="6">
        <v>200</v>
      </c>
      <c r="I1608" s="6">
        <v>2000</v>
      </c>
      <c r="J1608" s="6"/>
      <c r="K1608" s="10"/>
      <c r="L1608" s="10">
        <v>20201118</v>
      </c>
      <c r="M1608" s="36" t="str">
        <f t="shared" si="25"/>
        <v>19650928</v>
      </c>
    </row>
    <row r="1609" s="1" customFormat="1" ht="14.25" spans="1:13">
      <c r="A1609" s="2">
        <v>2138</v>
      </c>
      <c r="B1609" s="5" t="s">
        <v>4189</v>
      </c>
      <c r="C1609" s="17" t="s">
        <v>4825</v>
      </c>
      <c r="D1609" s="318" t="s">
        <v>4826</v>
      </c>
      <c r="E1609" s="5" t="s">
        <v>310</v>
      </c>
      <c r="F1609" s="5" t="s">
        <v>15</v>
      </c>
      <c r="G1609" s="5" t="s">
        <v>289</v>
      </c>
      <c r="H1609" s="6" t="s">
        <v>311</v>
      </c>
      <c r="I1609" s="6">
        <v>2000</v>
      </c>
      <c r="J1609" s="6"/>
      <c r="K1609" s="10"/>
      <c r="L1609" s="10">
        <v>20201118</v>
      </c>
      <c r="M1609" s="36" t="str">
        <f t="shared" si="25"/>
        <v>19650929</v>
      </c>
    </row>
    <row r="1610" s="1" customFormat="1" spans="1:13">
      <c r="A1610" s="2">
        <v>3707</v>
      </c>
      <c r="B1610" s="5" t="s">
        <v>7412</v>
      </c>
      <c r="C1610" s="5" t="s">
        <v>7671</v>
      </c>
      <c r="D1610" s="5" t="s">
        <v>7672</v>
      </c>
      <c r="E1610" s="6">
        <v>2020</v>
      </c>
      <c r="F1610" s="6">
        <v>2020</v>
      </c>
      <c r="G1610" s="5" t="s">
        <v>3359</v>
      </c>
      <c r="H1610" s="5">
        <v>200</v>
      </c>
      <c r="I1610" s="5">
        <v>200</v>
      </c>
      <c r="J1610" s="5"/>
      <c r="K1610" s="5"/>
      <c r="L1610" s="10">
        <v>20201118</v>
      </c>
      <c r="M1610" s="36" t="str">
        <f t="shared" si="25"/>
        <v>19650929</v>
      </c>
    </row>
    <row r="1611" s="1" customFormat="1" spans="1:13">
      <c r="A1611" s="2">
        <v>5092</v>
      </c>
      <c r="B1611" s="6" t="s">
        <v>10242</v>
      </c>
      <c r="C1611" s="9" t="s">
        <v>6354</v>
      </c>
      <c r="D1611" s="9" t="s">
        <v>10316</v>
      </c>
      <c r="E1611" s="5" t="s">
        <v>10250</v>
      </c>
      <c r="F1611" s="5">
        <v>2020</v>
      </c>
      <c r="G1611" s="6" t="s">
        <v>16</v>
      </c>
      <c r="H1611" s="6">
        <v>200</v>
      </c>
      <c r="I1611" s="6">
        <v>200</v>
      </c>
      <c r="J1611" s="6"/>
      <c r="K1611" s="5"/>
      <c r="L1611" s="10">
        <v>20201118</v>
      </c>
      <c r="M1611" s="36" t="str">
        <f t="shared" si="25"/>
        <v>19650929</v>
      </c>
    </row>
    <row r="1612" s="1" customFormat="1" spans="1:13">
      <c r="A1612" s="2">
        <v>1505</v>
      </c>
      <c r="B1612" s="5" t="s">
        <v>3381</v>
      </c>
      <c r="C1612" s="9" t="s">
        <v>3579</v>
      </c>
      <c r="D1612" s="9" t="s">
        <v>3580</v>
      </c>
      <c r="E1612" s="5">
        <v>2020</v>
      </c>
      <c r="F1612" s="5">
        <v>2020</v>
      </c>
      <c r="G1612" s="14" t="s">
        <v>16</v>
      </c>
      <c r="H1612" s="6">
        <v>200</v>
      </c>
      <c r="I1612" s="6">
        <v>200</v>
      </c>
      <c r="J1612" s="5"/>
      <c r="K1612" s="13"/>
      <c r="L1612" s="10">
        <v>20201118</v>
      </c>
      <c r="M1612" s="36" t="str">
        <f t="shared" si="25"/>
        <v>19650930</v>
      </c>
    </row>
    <row r="1613" s="1" customFormat="1" spans="1:13">
      <c r="A1613" s="2">
        <v>4961</v>
      </c>
      <c r="B1613" s="6" t="s">
        <v>9954</v>
      </c>
      <c r="C1613" s="53" t="s">
        <v>10062</v>
      </c>
      <c r="D1613" s="53" t="s">
        <v>10063</v>
      </c>
      <c r="E1613" s="5" t="s">
        <v>15</v>
      </c>
      <c r="F1613" s="5" t="s">
        <v>15</v>
      </c>
      <c r="G1613" s="14" t="s">
        <v>16</v>
      </c>
      <c r="H1613" s="6">
        <v>200</v>
      </c>
      <c r="I1613" s="6">
        <v>200</v>
      </c>
      <c r="J1613" s="6"/>
      <c r="K1613" s="6"/>
      <c r="L1613" s="10">
        <v>20201118</v>
      </c>
      <c r="M1613" s="36" t="str">
        <f t="shared" si="25"/>
        <v>19651001</v>
      </c>
    </row>
    <row r="1614" s="1" customFormat="1" spans="1:13">
      <c r="A1614" s="2">
        <v>6187</v>
      </c>
      <c r="B1614" s="5" t="s">
        <v>12263</v>
      </c>
      <c r="C1614" s="5" t="s">
        <v>12403</v>
      </c>
      <c r="D1614" s="5" t="s">
        <v>12404</v>
      </c>
      <c r="E1614" s="5" t="s">
        <v>10250</v>
      </c>
      <c r="F1614" s="5">
        <v>2020</v>
      </c>
      <c r="G1614" s="17" t="s">
        <v>3359</v>
      </c>
      <c r="H1614" s="5">
        <v>200</v>
      </c>
      <c r="I1614" s="5">
        <v>200</v>
      </c>
      <c r="J1614" s="5"/>
      <c r="K1614" s="5"/>
      <c r="L1614" s="10">
        <v>20201118</v>
      </c>
      <c r="M1614" s="36" t="str">
        <f t="shared" si="25"/>
        <v>19651001</v>
      </c>
    </row>
    <row r="1615" s="1" customFormat="1" spans="1:13">
      <c r="A1615" s="2">
        <v>8040</v>
      </c>
      <c r="B1615" s="5" t="s">
        <v>15086</v>
      </c>
      <c r="C1615" s="6" t="s">
        <v>15318</v>
      </c>
      <c r="D1615" s="6" t="str">
        <f>"152326196510026879"</f>
        <v>152326196510026879</v>
      </c>
      <c r="E1615" s="5" t="s">
        <v>15</v>
      </c>
      <c r="F1615" s="5">
        <v>2020</v>
      </c>
      <c r="G1615" s="5" t="s">
        <v>16</v>
      </c>
      <c r="H1615" s="5">
        <v>200</v>
      </c>
      <c r="I1615" s="5">
        <v>200</v>
      </c>
      <c r="J1615" s="5"/>
      <c r="K1615" s="5"/>
      <c r="L1615" s="10">
        <v>20201118</v>
      </c>
      <c r="M1615" s="36" t="str">
        <f t="shared" si="25"/>
        <v>19651002</v>
      </c>
    </row>
    <row r="1616" s="1" customFormat="1" spans="1:13">
      <c r="A1616" s="2">
        <v>8155</v>
      </c>
      <c r="B1616" s="5" t="s">
        <v>15406</v>
      </c>
      <c r="C1616" s="6" t="s">
        <v>15502</v>
      </c>
      <c r="D1616" s="6" t="s">
        <v>15503</v>
      </c>
      <c r="E1616" s="5" t="s">
        <v>15</v>
      </c>
      <c r="F1616" s="5">
        <v>2020</v>
      </c>
      <c r="G1616" s="14" t="s">
        <v>16</v>
      </c>
      <c r="H1616" s="6">
        <v>200</v>
      </c>
      <c r="I1616" s="6">
        <v>200</v>
      </c>
      <c r="J1616" s="5"/>
      <c r="K1616" s="10"/>
      <c r="L1616" s="10">
        <v>20201118</v>
      </c>
      <c r="M1616" s="36" t="str">
        <f t="shared" si="25"/>
        <v>19651002</v>
      </c>
    </row>
    <row r="1617" s="1" customFormat="1" ht="14.25" spans="1:13">
      <c r="A1617" s="2">
        <v>3027</v>
      </c>
      <c r="B1617" s="6" t="s">
        <v>6075</v>
      </c>
      <c r="C1617" s="25" t="s">
        <v>6577</v>
      </c>
      <c r="D1617" s="26" t="s">
        <v>6578</v>
      </c>
      <c r="E1617" s="5" t="s">
        <v>15</v>
      </c>
      <c r="F1617" s="5">
        <v>2020</v>
      </c>
      <c r="G1617" s="6" t="s">
        <v>16</v>
      </c>
      <c r="H1617" s="6">
        <v>200</v>
      </c>
      <c r="I1617" s="6">
        <v>200</v>
      </c>
      <c r="J1617" s="6"/>
      <c r="K1617" s="10"/>
      <c r="L1617" s="10">
        <v>20201118</v>
      </c>
      <c r="M1617" s="36" t="str">
        <f t="shared" si="25"/>
        <v>19651003</v>
      </c>
    </row>
    <row r="1618" s="1" customFormat="1" spans="1:13">
      <c r="A1618" s="2">
        <v>1506</v>
      </c>
      <c r="B1618" s="5" t="s">
        <v>3381</v>
      </c>
      <c r="C1618" s="9" t="s">
        <v>3581</v>
      </c>
      <c r="D1618" s="9" t="s">
        <v>3582</v>
      </c>
      <c r="E1618" s="5">
        <v>2020</v>
      </c>
      <c r="F1618" s="5">
        <v>2020</v>
      </c>
      <c r="G1618" s="14" t="s">
        <v>16</v>
      </c>
      <c r="H1618" s="6">
        <v>200</v>
      </c>
      <c r="I1618" s="6">
        <v>200</v>
      </c>
      <c r="J1618" s="5"/>
      <c r="K1618" s="13"/>
      <c r="L1618" s="10">
        <v>20201118</v>
      </c>
      <c r="M1618" s="36" t="str">
        <f t="shared" si="25"/>
        <v>19651006</v>
      </c>
    </row>
    <row r="1619" s="1" customFormat="1" spans="1:13">
      <c r="A1619" s="2">
        <v>7575</v>
      </c>
      <c r="B1619" s="5" t="s">
        <v>14402</v>
      </c>
      <c r="C1619" s="5" t="s">
        <v>14751</v>
      </c>
      <c r="D1619" s="5" t="s">
        <v>14752</v>
      </c>
      <c r="E1619" s="5">
        <v>2020</v>
      </c>
      <c r="F1619" s="5">
        <v>2020</v>
      </c>
      <c r="G1619" s="17" t="s">
        <v>16</v>
      </c>
      <c r="H1619" s="5">
        <v>200</v>
      </c>
      <c r="I1619" s="5">
        <v>200</v>
      </c>
      <c r="J1619" s="5"/>
      <c r="K1619" s="10"/>
      <c r="L1619" s="10">
        <v>20201118</v>
      </c>
      <c r="M1619" s="36" t="str">
        <f t="shared" si="25"/>
        <v>19651006</v>
      </c>
    </row>
    <row r="1620" s="1" customFormat="1" ht="14.25" spans="1:13">
      <c r="A1620" s="2">
        <v>5265</v>
      </c>
      <c r="B1620" s="33" t="s">
        <v>10535</v>
      </c>
      <c r="C1620" s="34" t="s">
        <v>10645</v>
      </c>
      <c r="D1620" s="64" t="s">
        <v>10646</v>
      </c>
      <c r="E1620" s="35">
        <v>2020</v>
      </c>
      <c r="F1620" s="35">
        <v>2020</v>
      </c>
      <c r="G1620" s="35" t="s">
        <v>16</v>
      </c>
      <c r="H1620" s="34">
        <v>200</v>
      </c>
      <c r="I1620" s="34">
        <v>200</v>
      </c>
      <c r="J1620" s="49"/>
      <c r="K1620" s="10"/>
      <c r="L1620" s="10">
        <v>20201118</v>
      </c>
      <c r="M1620" s="36" t="str">
        <f t="shared" si="25"/>
        <v>19651007</v>
      </c>
    </row>
    <row r="1621" s="1" customFormat="1" spans="1:13">
      <c r="A1621" s="2">
        <v>3461</v>
      </c>
      <c r="B1621" s="5" t="s">
        <v>3375</v>
      </c>
      <c r="C1621" s="6" t="s">
        <v>5066</v>
      </c>
      <c r="D1621" s="6" t="s">
        <v>7241</v>
      </c>
      <c r="E1621" s="5" t="s">
        <v>15</v>
      </c>
      <c r="F1621" s="5">
        <v>2020</v>
      </c>
      <c r="G1621" s="14" t="s">
        <v>16</v>
      </c>
      <c r="H1621" s="17">
        <v>200</v>
      </c>
      <c r="I1621" s="17">
        <v>200</v>
      </c>
      <c r="J1621" s="6"/>
      <c r="K1621" s="10"/>
      <c r="L1621" s="10">
        <v>20201118</v>
      </c>
      <c r="M1621" s="36" t="str">
        <f t="shared" si="25"/>
        <v>19651008</v>
      </c>
    </row>
    <row r="1622" s="1" customFormat="1" spans="1:13">
      <c r="A1622" s="2">
        <v>7335</v>
      </c>
      <c r="B1622" s="5" t="s">
        <v>13908</v>
      </c>
      <c r="C1622" s="5" t="s">
        <v>14303</v>
      </c>
      <c r="D1622" s="5" t="s">
        <v>14304</v>
      </c>
      <c r="E1622" s="5" t="s">
        <v>15</v>
      </c>
      <c r="F1622" s="5" t="s">
        <v>15</v>
      </c>
      <c r="G1622" s="14" t="s">
        <v>16</v>
      </c>
      <c r="H1622" s="17">
        <v>200</v>
      </c>
      <c r="I1622" s="17">
        <v>200</v>
      </c>
      <c r="J1622" s="5"/>
      <c r="K1622" s="10"/>
      <c r="L1622" s="10">
        <v>20201118</v>
      </c>
      <c r="M1622" s="36" t="str">
        <f t="shared" si="25"/>
        <v>19651008</v>
      </c>
    </row>
    <row r="1623" s="1" customFormat="1" spans="1:13">
      <c r="A1623" s="2">
        <v>844</v>
      </c>
      <c r="B1623" s="29" t="s">
        <v>1040</v>
      </c>
      <c r="C1623" s="29" t="s">
        <v>214</v>
      </c>
      <c r="D1623" s="29" t="s">
        <v>2180</v>
      </c>
      <c r="E1623" s="30">
        <v>2020</v>
      </c>
      <c r="F1623" s="30">
        <v>2020</v>
      </c>
      <c r="G1623" s="29" t="s">
        <v>16</v>
      </c>
      <c r="H1623" s="29">
        <v>200</v>
      </c>
      <c r="I1623" s="29">
        <v>200</v>
      </c>
      <c r="J1623" s="32"/>
      <c r="K1623" s="32"/>
      <c r="L1623" s="2" t="s">
        <v>330</v>
      </c>
      <c r="M1623" s="36" t="str">
        <f t="shared" si="25"/>
        <v>19651009</v>
      </c>
    </row>
    <row r="1624" s="1" customFormat="1" spans="1:13">
      <c r="A1624" s="2">
        <v>5745</v>
      </c>
      <c r="B1624" s="30" t="s">
        <v>11090</v>
      </c>
      <c r="C1624" s="30" t="s">
        <v>11574</v>
      </c>
      <c r="D1624" s="30" t="s">
        <v>11575</v>
      </c>
      <c r="E1624" s="5" t="s">
        <v>15</v>
      </c>
      <c r="F1624" s="5" t="s">
        <v>10250</v>
      </c>
      <c r="G1624" s="6" t="s">
        <v>16</v>
      </c>
      <c r="H1624" s="32">
        <v>200</v>
      </c>
      <c r="I1624" s="32">
        <v>200</v>
      </c>
      <c r="J1624" s="6" t="s">
        <v>6097</v>
      </c>
      <c r="K1624" s="48"/>
      <c r="L1624" s="10">
        <v>20201118</v>
      </c>
      <c r="M1624" s="36" t="str">
        <f t="shared" si="25"/>
        <v>19651009</v>
      </c>
    </row>
    <row r="1625" s="1" customFormat="1" spans="1:13">
      <c r="A1625" s="2">
        <v>2199</v>
      </c>
      <c r="B1625" s="9" t="s">
        <v>4837</v>
      </c>
      <c r="C1625" s="9" t="s">
        <v>4946</v>
      </c>
      <c r="D1625" s="9" t="s">
        <v>4947</v>
      </c>
      <c r="E1625" s="6" t="s">
        <v>15</v>
      </c>
      <c r="F1625" s="6">
        <v>2020</v>
      </c>
      <c r="G1625" s="9" t="s">
        <v>2480</v>
      </c>
      <c r="H1625" s="9">
        <v>200</v>
      </c>
      <c r="I1625" s="9">
        <v>200</v>
      </c>
      <c r="J1625" s="6"/>
      <c r="K1625" s="10"/>
      <c r="L1625" s="10">
        <v>20201118</v>
      </c>
      <c r="M1625" s="36" t="str">
        <f t="shared" si="25"/>
        <v>19651010</v>
      </c>
    </row>
    <row r="1626" s="1" customFormat="1" spans="1:13">
      <c r="A1626" s="2">
        <v>1507</v>
      </c>
      <c r="B1626" s="5" t="s">
        <v>3381</v>
      </c>
      <c r="C1626" s="9" t="s">
        <v>2871</v>
      </c>
      <c r="D1626" s="9" t="s">
        <v>3583</v>
      </c>
      <c r="E1626" s="5">
        <v>2020</v>
      </c>
      <c r="F1626" s="5">
        <v>2020</v>
      </c>
      <c r="G1626" s="14" t="s">
        <v>16</v>
      </c>
      <c r="H1626" s="6">
        <v>200</v>
      </c>
      <c r="I1626" s="6">
        <v>200</v>
      </c>
      <c r="J1626" s="5"/>
      <c r="K1626" s="13"/>
      <c r="L1626" s="10">
        <v>20201118</v>
      </c>
      <c r="M1626" s="36" t="str">
        <f t="shared" si="25"/>
        <v>19651011</v>
      </c>
    </row>
    <row r="1627" s="1" customFormat="1" spans="1:13">
      <c r="A1627" s="2">
        <v>1508</v>
      </c>
      <c r="B1627" s="5" t="s">
        <v>3381</v>
      </c>
      <c r="C1627" s="9" t="s">
        <v>3584</v>
      </c>
      <c r="D1627" s="9" t="s">
        <v>3585</v>
      </c>
      <c r="E1627" s="5">
        <v>2020</v>
      </c>
      <c r="F1627" s="5">
        <v>2020</v>
      </c>
      <c r="G1627" s="14" t="s">
        <v>16</v>
      </c>
      <c r="H1627" s="6">
        <v>200</v>
      </c>
      <c r="I1627" s="6">
        <v>200</v>
      </c>
      <c r="J1627" s="5"/>
      <c r="K1627" s="13"/>
      <c r="L1627" s="10">
        <v>20201118</v>
      </c>
      <c r="M1627" s="36" t="str">
        <f t="shared" si="25"/>
        <v>19651011</v>
      </c>
    </row>
    <row r="1628" s="1" customFormat="1" spans="1:13">
      <c r="A1628" s="2">
        <v>4426</v>
      </c>
      <c r="B1628" s="6" t="s">
        <v>9015</v>
      </c>
      <c r="C1628" s="6" t="s">
        <v>9041</v>
      </c>
      <c r="D1628" s="6" t="s">
        <v>9042</v>
      </c>
      <c r="E1628" s="6">
        <v>2020</v>
      </c>
      <c r="F1628" s="6">
        <v>2020</v>
      </c>
      <c r="G1628" s="6" t="s">
        <v>16</v>
      </c>
      <c r="H1628" s="6">
        <v>200</v>
      </c>
      <c r="I1628" s="6">
        <v>200</v>
      </c>
      <c r="J1628" s="6" t="s">
        <v>3405</v>
      </c>
      <c r="K1628" s="6"/>
      <c r="L1628" s="10">
        <v>20201118</v>
      </c>
      <c r="M1628" s="36" t="str">
        <f t="shared" si="25"/>
        <v>19651011</v>
      </c>
    </row>
    <row r="1629" s="1" customFormat="1" spans="1:13">
      <c r="A1629" s="2">
        <v>1509</v>
      </c>
      <c r="B1629" s="5" t="s">
        <v>3381</v>
      </c>
      <c r="C1629" s="9" t="s">
        <v>3586</v>
      </c>
      <c r="D1629" s="9" t="s">
        <v>3587</v>
      </c>
      <c r="E1629" s="5">
        <v>2020</v>
      </c>
      <c r="F1629" s="5">
        <v>2020</v>
      </c>
      <c r="G1629" s="14" t="s">
        <v>16</v>
      </c>
      <c r="H1629" s="6">
        <v>200</v>
      </c>
      <c r="I1629" s="6">
        <v>200</v>
      </c>
      <c r="J1629" s="5"/>
      <c r="K1629" s="13"/>
      <c r="L1629" s="10">
        <v>20201118</v>
      </c>
      <c r="M1629" s="36" t="str">
        <f t="shared" si="25"/>
        <v>19651014</v>
      </c>
    </row>
    <row r="1630" s="1" customFormat="1" spans="1:13">
      <c r="A1630" s="2">
        <v>2200</v>
      </c>
      <c r="B1630" s="9" t="s">
        <v>4837</v>
      </c>
      <c r="C1630" s="9" t="s">
        <v>4948</v>
      </c>
      <c r="D1630" s="9" t="s">
        <v>4949</v>
      </c>
      <c r="E1630" s="6" t="s">
        <v>15</v>
      </c>
      <c r="F1630" s="6">
        <v>2020</v>
      </c>
      <c r="G1630" s="9" t="s">
        <v>2480</v>
      </c>
      <c r="H1630" s="9">
        <v>200</v>
      </c>
      <c r="I1630" s="9">
        <v>200</v>
      </c>
      <c r="J1630" s="6" t="s">
        <v>108</v>
      </c>
      <c r="K1630" s="10"/>
      <c r="L1630" s="10">
        <v>20201118</v>
      </c>
      <c r="M1630" s="36" t="str">
        <f t="shared" si="25"/>
        <v>19651014</v>
      </c>
    </row>
    <row r="1631" s="1" customFormat="1" spans="1:13">
      <c r="A1631" s="2">
        <v>3223</v>
      </c>
      <c r="B1631" s="3" t="s">
        <v>6671</v>
      </c>
      <c r="C1631" s="9" t="s">
        <v>6952</v>
      </c>
      <c r="D1631" s="9" t="s">
        <v>6953</v>
      </c>
      <c r="E1631" s="3" t="s">
        <v>15</v>
      </c>
      <c r="F1631" s="3" t="s">
        <v>15</v>
      </c>
      <c r="G1631" s="6" t="s">
        <v>3359</v>
      </c>
      <c r="H1631" s="9">
        <v>200</v>
      </c>
      <c r="I1631" s="9">
        <v>200</v>
      </c>
      <c r="J1631" s="6"/>
      <c r="K1631" s="5"/>
      <c r="L1631" s="10">
        <v>20201118</v>
      </c>
      <c r="M1631" s="36" t="str">
        <f t="shared" si="25"/>
        <v>19651014</v>
      </c>
    </row>
    <row r="1632" s="1" customFormat="1" spans="1:13">
      <c r="A1632" s="2">
        <v>2571</v>
      </c>
      <c r="B1632" s="32" t="s">
        <v>5602</v>
      </c>
      <c r="C1632" s="9" t="s">
        <v>5605</v>
      </c>
      <c r="D1632" s="9" t="s">
        <v>5680</v>
      </c>
      <c r="E1632" s="32">
        <v>2020</v>
      </c>
      <c r="F1632" s="32">
        <v>2020</v>
      </c>
      <c r="G1632" s="32" t="s">
        <v>16</v>
      </c>
      <c r="H1632" s="9">
        <v>200</v>
      </c>
      <c r="I1632" s="9">
        <v>200</v>
      </c>
      <c r="J1632" s="32"/>
      <c r="K1632" s="52"/>
      <c r="L1632" s="10">
        <v>20201118</v>
      </c>
      <c r="M1632" s="36" t="str">
        <f t="shared" si="25"/>
        <v>19651015</v>
      </c>
    </row>
    <row r="1633" s="1" customFormat="1" spans="1:13">
      <c r="A1633" s="2">
        <v>451</v>
      </c>
      <c r="B1633" s="29" t="s">
        <v>1040</v>
      </c>
      <c r="C1633" s="29" t="s">
        <v>1178</v>
      </c>
      <c r="D1633" s="29" t="s">
        <v>1179</v>
      </c>
      <c r="E1633" s="30">
        <v>2020</v>
      </c>
      <c r="F1633" s="30">
        <v>2020</v>
      </c>
      <c r="G1633" s="29" t="s">
        <v>16</v>
      </c>
      <c r="H1633" s="29">
        <v>200</v>
      </c>
      <c r="I1633" s="29">
        <v>200</v>
      </c>
      <c r="J1633" s="29"/>
      <c r="K1633" s="47"/>
      <c r="L1633" s="14" t="s">
        <v>330</v>
      </c>
      <c r="M1633" s="36" t="str">
        <f t="shared" si="25"/>
        <v>19651016</v>
      </c>
    </row>
    <row r="1634" s="1" customFormat="1" spans="1:13">
      <c r="A1634" s="2">
        <v>452</v>
      </c>
      <c r="B1634" s="29" t="s">
        <v>1040</v>
      </c>
      <c r="C1634" s="29" t="s">
        <v>1180</v>
      </c>
      <c r="D1634" s="29" t="s">
        <v>1181</v>
      </c>
      <c r="E1634" s="30">
        <v>2020</v>
      </c>
      <c r="F1634" s="30">
        <v>2020</v>
      </c>
      <c r="G1634" s="29" t="s">
        <v>16</v>
      </c>
      <c r="H1634" s="29">
        <v>200</v>
      </c>
      <c r="I1634" s="29">
        <v>200</v>
      </c>
      <c r="J1634" s="29"/>
      <c r="K1634" s="47"/>
      <c r="L1634" s="2" t="s">
        <v>330</v>
      </c>
      <c r="M1634" s="36" t="str">
        <f t="shared" si="25"/>
        <v>19651016</v>
      </c>
    </row>
    <row r="1635" s="1" customFormat="1" spans="1:13">
      <c r="A1635" s="2">
        <v>1510</v>
      </c>
      <c r="B1635" s="5" t="s">
        <v>3381</v>
      </c>
      <c r="C1635" s="9" t="s">
        <v>3588</v>
      </c>
      <c r="D1635" s="9" t="s">
        <v>3589</v>
      </c>
      <c r="E1635" s="5">
        <v>2020</v>
      </c>
      <c r="F1635" s="5">
        <v>2020</v>
      </c>
      <c r="G1635" s="14" t="s">
        <v>16</v>
      </c>
      <c r="H1635" s="6">
        <v>200</v>
      </c>
      <c r="I1635" s="6">
        <v>200</v>
      </c>
      <c r="J1635" s="5"/>
      <c r="K1635" s="13"/>
      <c r="L1635" s="10">
        <v>20201118</v>
      </c>
      <c r="M1635" s="36" t="str">
        <f t="shared" si="25"/>
        <v>19651016</v>
      </c>
    </row>
    <row r="1636" s="1" customFormat="1" spans="1:13">
      <c r="A1636" s="2">
        <v>3708</v>
      </c>
      <c r="B1636" s="5" t="s">
        <v>7412</v>
      </c>
      <c r="C1636" s="5" t="s">
        <v>7673</v>
      </c>
      <c r="D1636" s="5" t="s">
        <v>7674</v>
      </c>
      <c r="E1636" s="6">
        <v>2020</v>
      </c>
      <c r="F1636" s="6">
        <v>2020</v>
      </c>
      <c r="G1636" s="5" t="s">
        <v>3359</v>
      </c>
      <c r="H1636" s="5">
        <v>200</v>
      </c>
      <c r="I1636" s="5">
        <v>200</v>
      </c>
      <c r="J1636" s="5"/>
      <c r="K1636" s="5"/>
      <c r="L1636" s="10">
        <v>20201118</v>
      </c>
      <c r="M1636" s="36" t="str">
        <f t="shared" si="25"/>
        <v>19651017</v>
      </c>
    </row>
    <row r="1637" s="1" customFormat="1" spans="1:13">
      <c r="A1637" s="2">
        <v>3709</v>
      </c>
      <c r="B1637" s="5" t="s">
        <v>7412</v>
      </c>
      <c r="C1637" s="5" t="s">
        <v>4823</v>
      </c>
      <c r="D1637" s="5" t="s">
        <v>7675</v>
      </c>
      <c r="E1637" s="6">
        <v>2020</v>
      </c>
      <c r="F1637" s="6">
        <v>2020</v>
      </c>
      <c r="G1637" s="5" t="s">
        <v>3359</v>
      </c>
      <c r="H1637" s="5">
        <v>200</v>
      </c>
      <c r="I1637" s="5">
        <v>200</v>
      </c>
      <c r="J1637" s="5"/>
      <c r="K1637" s="5"/>
      <c r="L1637" s="10">
        <v>20201118</v>
      </c>
      <c r="M1637" s="36" t="str">
        <f t="shared" si="25"/>
        <v>19651019</v>
      </c>
    </row>
    <row r="1638" s="1" customFormat="1" ht="14.25" spans="1:13">
      <c r="A1638" s="2">
        <v>5266</v>
      </c>
      <c r="B1638" s="33" t="s">
        <v>10535</v>
      </c>
      <c r="C1638" s="34" t="s">
        <v>10647</v>
      </c>
      <c r="D1638" s="34" t="s">
        <v>10648</v>
      </c>
      <c r="E1638" s="35">
        <v>2020</v>
      </c>
      <c r="F1638" s="35">
        <v>2020</v>
      </c>
      <c r="G1638" s="35" t="s">
        <v>16</v>
      </c>
      <c r="H1638" s="34">
        <v>200</v>
      </c>
      <c r="I1638" s="34">
        <v>200</v>
      </c>
      <c r="J1638" s="49"/>
      <c r="K1638" s="10"/>
      <c r="L1638" s="10">
        <v>20201118</v>
      </c>
      <c r="M1638" s="36" t="str">
        <f t="shared" si="25"/>
        <v>19651019</v>
      </c>
    </row>
    <row r="1639" s="1" customFormat="1" ht="14.25" spans="1:13">
      <c r="A1639" s="2">
        <v>1511</v>
      </c>
      <c r="B1639" s="5" t="s">
        <v>3381</v>
      </c>
      <c r="C1639" s="9" t="s">
        <v>3590</v>
      </c>
      <c r="D1639" s="9" t="s">
        <v>3591</v>
      </c>
      <c r="E1639" s="5">
        <v>2020</v>
      </c>
      <c r="F1639" s="5">
        <v>2020</v>
      </c>
      <c r="G1639" s="14" t="s">
        <v>16</v>
      </c>
      <c r="H1639" s="6">
        <v>200</v>
      </c>
      <c r="I1639" s="6">
        <v>200</v>
      </c>
      <c r="J1639" s="24" t="s">
        <v>1242</v>
      </c>
      <c r="K1639" s="13"/>
      <c r="L1639" s="10">
        <v>20201118</v>
      </c>
      <c r="M1639" s="36" t="str">
        <f t="shared" si="25"/>
        <v>19651020</v>
      </c>
    </row>
    <row r="1640" s="1" customFormat="1" spans="1:13">
      <c r="A1640" s="2">
        <v>3097</v>
      </c>
      <c r="B1640" s="3" t="s">
        <v>6671</v>
      </c>
      <c r="C1640" s="9" t="s">
        <v>6718</v>
      </c>
      <c r="D1640" s="9" t="s">
        <v>6719</v>
      </c>
      <c r="E1640" s="3" t="s">
        <v>15</v>
      </c>
      <c r="F1640" s="3" t="s">
        <v>15</v>
      </c>
      <c r="G1640" s="6" t="s">
        <v>3359</v>
      </c>
      <c r="H1640" s="9">
        <v>200</v>
      </c>
      <c r="I1640" s="9">
        <v>200</v>
      </c>
      <c r="J1640" s="6"/>
      <c r="K1640" s="5"/>
      <c r="L1640" s="10">
        <v>20201118</v>
      </c>
      <c r="M1640" s="36" t="str">
        <f t="shared" si="25"/>
        <v>19651022</v>
      </c>
    </row>
    <row r="1641" s="1" customFormat="1" spans="1:13">
      <c r="A1641" s="2">
        <v>4208</v>
      </c>
      <c r="B1641" s="9" t="s">
        <v>8515</v>
      </c>
      <c r="C1641" s="9" t="s">
        <v>8620</v>
      </c>
      <c r="D1641" s="9" t="s">
        <v>8621</v>
      </c>
      <c r="E1641" s="5" t="s">
        <v>15</v>
      </c>
      <c r="F1641" s="5">
        <v>2020</v>
      </c>
      <c r="G1641" s="9" t="s">
        <v>2480</v>
      </c>
      <c r="H1641" s="9">
        <v>200</v>
      </c>
      <c r="I1641" s="9">
        <v>200</v>
      </c>
      <c r="J1641" s="9"/>
      <c r="K1641" s="9"/>
      <c r="L1641" s="10">
        <v>20201118</v>
      </c>
      <c r="M1641" s="36" t="str">
        <f t="shared" si="25"/>
        <v>19651025</v>
      </c>
    </row>
    <row r="1642" s="1" customFormat="1" spans="1:13">
      <c r="A1642" s="2">
        <v>7013</v>
      </c>
      <c r="B1642" s="5" t="s">
        <v>13533</v>
      </c>
      <c r="C1642" s="32" t="s">
        <v>13759</v>
      </c>
      <c r="D1642" s="32" t="str">
        <f>"152326196510297126"</f>
        <v>152326196510297126</v>
      </c>
      <c r="E1642" s="5">
        <v>2020</v>
      </c>
      <c r="F1642" s="5">
        <v>2020</v>
      </c>
      <c r="G1642" s="9" t="s">
        <v>2480</v>
      </c>
      <c r="H1642" s="32">
        <v>200</v>
      </c>
      <c r="I1642" s="32">
        <v>200</v>
      </c>
      <c r="J1642" s="32"/>
      <c r="K1642" s="10"/>
      <c r="L1642" s="10">
        <v>20201118</v>
      </c>
      <c r="M1642" s="36" t="str">
        <f t="shared" si="25"/>
        <v>19651029</v>
      </c>
    </row>
    <row r="1643" s="1" customFormat="1" spans="1:13">
      <c r="A1643" s="2">
        <v>3101</v>
      </c>
      <c r="B1643" s="3" t="s">
        <v>6671</v>
      </c>
      <c r="C1643" s="9" t="s">
        <v>6725</v>
      </c>
      <c r="D1643" s="9" t="s">
        <v>6726</v>
      </c>
      <c r="E1643" s="3" t="s">
        <v>15</v>
      </c>
      <c r="F1643" s="3" t="s">
        <v>15</v>
      </c>
      <c r="G1643" s="6" t="s">
        <v>3359</v>
      </c>
      <c r="H1643" s="9">
        <v>200</v>
      </c>
      <c r="I1643" s="9">
        <v>200</v>
      </c>
      <c r="J1643" s="6"/>
      <c r="K1643" s="5"/>
      <c r="L1643" s="10">
        <v>20201118</v>
      </c>
      <c r="M1643" s="36" t="str">
        <f t="shared" si="25"/>
        <v>19651030</v>
      </c>
    </row>
    <row r="1644" s="1" customFormat="1" spans="1:13">
      <c r="A1644" s="2">
        <v>3457</v>
      </c>
      <c r="B1644" s="5" t="s">
        <v>3375</v>
      </c>
      <c r="C1644" s="6" t="s">
        <v>7236</v>
      </c>
      <c r="D1644" s="6" t="str">
        <f>"152326196511016875"</f>
        <v>152326196511016875</v>
      </c>
      <c r="E1644" s="5" t="s">
        <v>15</v>
      </c>
      <c r="F1644" s="5">
        <v>2020</v>
      </c>
      <c r="G1644" s="14" t="s">
        <v>16</v>
      </c>
      <c r="H1644" s="17">
        <v>200</v>
      </c>
      <c r="I1644" s="17">
        <v>200</v>
      </c>
      <c r="J1644" s="6"/>
      <c r="K1644" s="10"/>
      <c r="L1644" s="10">
        <v>20201118</v>
      </c>
      <c r="M1644" s="36" t="str">
        <f t="shared" si="25"/>
        <v>19651101</v>
      </c>
    </row>
    <row r="1645" s="1" customFormat="1" spans="1:13">
      <c r="A1645" s="2">
        <v>4495</v>
      </c>
      <c r="B1645" s="6" t="s">
        <v>9015</v>
      </c>
      <c r="C1645" s="6" t="s">
        <v>9173</v>
      </c>
      <c r="D1645" s="6" t="s">
        <v>9174</v>
      </c>
      <c r="E1645" s="6">
        <v>2020</v>
      </c>
      <c r="F1645" s="6">
        <v>2020</v>
      </c>
      <c r="G1645" s="6" t="s">
        <v>16</v>
      </c>
      <c r="H1645" s="6">
        <v>200</v>
      </c>
      <c r="I1645" s="6">
        <v>200</v>
      </c>
      <c r="J1645" s="6"/>
      <c r="K1645" s="6"/>
      <c r="L1645" s="10">
        <v>20201118</v>
      </c>
      <c r="M1645" s="36" t="str">
        <f t="shared" si="25"/>
        <v>19651101</v>
      </c>
    </row>
    <row r="1646" s="1" customFormat="1" ht="14.25" spans="1:13">
      <c r="A1646" s="2">
        <v>5267</v>
      </c>
      <c r="B1646" s="33" t="s">
        <v>10535</v>
      </c>
      <c r="C1646" s="34" t="s">
        <v>10649</v>
      </c>
      <c r="D1646" s="34" t="s">
        <v>10650</v>
      </c>
      <c r="E1646" s="35">
        <v>2020</v>
      </c>
      <c r="F1646" s="35">
        <v>2020</v>
      </c>
      <c r="G1646" s="35" t="s">
        <v>16</v>
      </c>
      <c r="H1646" s="34">
        <v>200</v>
      </c>
      <c r="I1646" s="34">
        <v>200</v>
      </c>
      <c r="J1646" s="49"/>
      <c r="K1646" s="10"/>
      <c r="L1646" s="10">
        <v>20201118</v>
      </c>
      <c r="M1646" s="36" t="str">
        <f t="shared" si="25"/>
        <v>19651103</v>
      </c>
    </row>
    <row r="1647" s="1" customFormat="1" spans="1:13">
      <c r="A1647" s="2">
        <v>131</v>
      </c>
      <c r="B1647" s="3" t="s">
        <v>12</v>
      </c>
      <c r="C1647" s="6" t="s">
        <v>278</v>
      </c>
      <c r="D1647" s="6" t="s">
        <v>279</v>
      </c>
      <c r="E1647" s="3" t="s">
        <v>15</v>
      </c>
      <c r="F1647" s="3" t="s">
        <v>15</v>
      </c>
      <c r="G1647" s="3" t="s">
        <v>189</v>
      </c>
      <c r="H1647" s="3">
        <v>200</v>
      </c>
      <c r="I1647" s="3">
        <v>200</v>
      </c>
      <c r="J1647" s="3"/>
      <c r="K1647" s="3"/>
      <c r="L1647" s="10">
        <v>20201118</v>
      </c>
      <c r="M1647" s="36" t="str">
        <f t="shared" si="25"/>
        <v>19651104</v>
      </c>
    </row>
    <row r="1648" s="1" customFormat="1" ht="14.25" spans="1:13">
      <c r="A1648" s="2">
        <v>2903</v>
      </c>
      <c r="B1648" s="6" t="s">
        <v>6075</v>
      </c>
      <c r="C1648" s="25" t="s">
        <v>6333</v>
      </c>
      <c r="D1648" s="26" t="s">
        <v>6334</v>
      </c>
      <c r="E1648" s="5" t="s">
        <v>15</v>
      </c>
      <c r="F1648" s="5">
        <v>2020</v>
      </c>
      <c r="G1648" s="6" t="s">
        <v>16</v>
      </c>
      <c r="H1648" s="6">
        <v>200</v>
      </c>
      <c r="I1648" s="6">
        <v>200</v>
      </c>
      <c r="J1648" s="6"/>
      <c r="K1648" s="10"/>
      <c r="L1648" s="10">
        <v>20201118</v>
      </c>
      <c r="M1648" s="36" t="str">
        <f t="shared" si="25"/>
        <v>19651105</v>
      </c>
    </row>
    <row r="1649" s="1" customFormat="1" spans="1:13">
      <c r="A1649" s="2">
        <v>7576</v>
      </c>
      <c r="B1649" s="5" t="s">
        <v>14402</v>
      </c>
      <c r="C1649" s="5" t="s">
        <v>14753</v>
      </c>
      <c r="D1649" s="5" t="s">
        <v>14754</v>
      </c>
      <c r="E1649" s="5">
        <v>2020</v>
      </c>
      <c r="F1649" s="5">
        <v>2020</v>
      </c>
      <c r="G1649" s="17" t="s">
        <v>16</v>
      </c>
      <c r="H1649" s="5">
        <v>200</v>
      </c>
      <c r="I1649" s="5">
        <v>200</v>
      </c>
      <c r="J1649" s="5"/>
      <c r="K1649" s="10"/>
      <c r="L1649" s="10">
        <v>20201118</v>
      </c>
      <c r="M1649" s="36" t="str">
        <f t="shared" si="25"/>
        <v>19651105</v>
      </c>
    </row>
    <row r="1650" s="1" customFormat="1" spans="1:13">
      <c r="A1650" s="2">
        <v>167</v>
      </c>
      <c r="B1650" s="14" t="s">
        <v>327</v>
      </c>
      <c r="C1650" s="14" t="s">
        <v>389</v>
      </c>
      <c r="D1650" s="14" t="s">
        <v>390</v>
      </c>
      <c r="E1650" s="5">
        <v>2020</v>
      </c>
      <c r="F1650" s="5">
        <v>2020</v>
      </c>
      <c r="G1650" s="14" t="s">
        <v>16</v>
      </c>
      <c r="H1650" s="14">
        <v>200</v>
      </c>
      <c r="I1650" s="14">
        <v>200</v>
      </c>
      <c r="J1650" s="14"/>
      <c r="K1650" s="10"/>
      <c r="L1650" s="2" t="s">
        <v>330</v>
      </c>
      <c r="M1650" s="36" t="str">
        <f t="shared" si="25"/>
        <v>19651108</v>
      </c>
    </row>
    <row r="1651" s="1" customFormat="1" spans="1:13">
      <c r="A1651" s="2">
        <v>6437</v>
      </c>
      <c r="B1651" s="5" t="s">
        <v>12263</v>
      </c>
      <c r="C1651" s="5" t="s">
        <v>12879</v>
      </c>
      <c r="D1651" s="5" t="s">
        <v>12880</v>
      </c>
      <c r="E1651" s="5" t="s">
        <v>10250</v>
      </c>
      <c r="F1651" s="5">
        <v>2020</v>
      </c>
      <c r="G1651" s="17" t="s">
        <v>3359</v>
      </c>
      <c r="H1651" s="5">
        <v>200</v>
      </c>
      <c r="I1651" s="5">
        <v>200</v>
      </c>
      <c r="J1651" s="5"/>
      <c r="K1651" s="5"/>
      <c r="L1651" s="10">
        <v>20201118</v>
      </c>
      <c r="M1651" s="36" t="str">
        <f t="shared" si="25"/>
        <v>19651108</v>
      </c>
    </row>
    <row r="1652" s="1" customFormat="1" spans="1:13">
      <c r="A1652" s="2">
        <v>1881</v>
      </c>
      <c r="B1652" s="5" t="s">
        <v>4189</v>
      </c>
      <c r="C1652" s="16" t="s">
        <v>4325</v>
      </c>
      <c r="D1652" s="16" t="s">
        <v>4326</v>
      </c>
      <c r="E1652" s="5" t="s">
        <v>15</v>
      </c>
      <c r="F1652" s="5" t="s">
        <v>15</v>
      </c>
      <c r="G1652" s="5" t="s">
        <v>3359</v>
      </c>
      <c r="H1652" s="16">
        <v>200</v>
      </c>
      <c r="I1652" s="16">
        <v>200</v>
      </c>
      <c r="J1652" s="5"/>
      <c r="K1652" s="10"/>
      <c r="L1652" s="10">
        <v>20201118</v>
      </c>
      <c r="M1652" s="36" t="str">
        <f t="shared" si="25"/>
        <v>19651109</v>
      </c>
    </row>
    <row r="1653" s="1" customFormat="1" spans="1:13">
      <c r="A1653" s="2">
        <v>1512</v>
      </c>
      <c r="B1653" s="5" t="s">
        <v>3381</v>
      </c>
      <c r="C1653" s="9" t="s">
        <v>3592</v>
      </c>
      <c r="D1653" s="9" t="s">
        <v>3593</v>
      </c>
      <c r="E1653" s="5">
        <v>2020</v>
      </c>
      <c r="F1653" s="5">
        <v>2020</v>
      </c>
      <c r="G1653" s="14" t="s">
        <v>16</v>
      </c>
      <c r="H1653" s="6">
        <v>200</v>
      </c>
      <c r="I1653" s="6">
        <v>200</v>
      </c>
      <c r="J1653" s="5"/>
      <c r="K1653" s="13"/>
      <c r="L1653" s="10">
        <v>20201118</v>
      </c>
      <c r="M1653" s="36" t="str">
        <f t="shared" si="25"/>
        <v>19651111</v>
      </c>
    </row>
    <row r="1654" s="1" customFormat="1" ht="14.25" spans="1:13">
      <c r="A1654" s="2">
        <v>5268</v>
      </c>
      <c r="B1654" s="33" t="s">
        <v>10535</v>
      </c>
      <c r="C1654" s="34" t="s">
        <v>10651</v>
      </c>
      <c r="D1654" s="34" t="s">
        <v>10652</v>
      </c>
      <c r="E1654" s="35">
        <v>2020</v>
      </c>
      <c r="F1654" s="35">
        <v>2020</v>
      </c>
      <c r="G1654" s="35" t="s">
        <v>16</v>
      </c>
      <c r="H1654" s="34">
        <v>200</v>
      </c>
      <c r="I1654" s="34">
        <v>200</v>
      </c>
      <c r="J1654" s="49"/>
      <c r="K1654" s="10"/>
      <c r="L1654" s="10">
        <v>20201118</v>
      </c>
      <c r="M1654" s="36" t="str">
        <f t="shared" si="25"/>
        <v>19651111</v>
      </c>
    </row>
    <row r="1655" s="1" customFormat="1" spans="1:13">
      <c r="A1655" s="2">
        <v>6126</v>
      </c>
      <c r="B1655" s="5" t="s">
        <v>12263</v>
      </c>
      <c r="C1655" s="5" t="s">
        <v>12288</v>
      </c>
      <c r="D1655" s="5" t="s">
        <v>12289</v>
      </c>
      <c r="E1655" s="5" t="s">
        <v>10250</v>
      </c>
      <c r="F1655" s="5">
        <v>2020</v>
      </c>
      <c r="G1655" s="17" t="s">
        <v>3359</v>
      </c>
      <c r="H1655" s="5">
        <v>200</v>
      </c>
      <c r="I1655" s="5">
        <v>200</v>
      </c>
      <c r="J1655" s="5"/>
      <c r="K1655" s="5"/>
      <c r="L1655" s="10">
        <v>20201118</v>
      </c>
      <c r="M1655" s="36" t="str">
        <f t="shared" si="25"/>
        <v>19651111</v>
      </c>
    </row>
    <row r="1656" s="1" customFormat="1" spans="1:13">
      <c r="A1656" s="2">
        <v>2572</v>
      </c>
      <c r="B1656" s="32" t="s">
        <v>5602</v>
      </c>
      <c r="C1656" s="9" t="s">
        <v>5681</v>
      </c>
      <c r="D1656" s="9" t="s">
        <v>5682</v>
      </c>
      <c r="E1656" s="32">
        <v>2020</v>
      </c>
      <c r="F1656" s="32">
        <v>2020</v>
      </c>
      <c r="G1656" s="32" t="s">
        <v>16</v>
      </c>
      <c r="H1656" s="9">
        <v>200</v>
      </c>
      <c r="I1656" s="9">
        <v>200</v>
      </c>
      <c r="J1656" s="32"/>
      <c r="K1656" s="52"/>
      <c r="L1656" s="10">
        <v>20201118</v>
      </c>
      <c r="M1656" s="36" t="str">
        <f t="shared" si="25"/>
        <v>19651112</v>
      </c>
    </row>
    <row r="1657" s="1" customFormat="1" spans="1:13">
      <c r="A1657" s="2">
        <v>1000</v>
      </c>
      <c r="B1657" s="5" t="s">
        <v>2469</v>
      </c>
      <c r="C1657" s="9" t="s">
        <v>2591</v>
      </c>
      <c r="D1657" s="9" t="s">
        <v>2592</v>
      </c>
      <c r="E1657" s="5">
        <v>2020</v>
      </c>
      <c r="F1657" s="5">
        <v>2020</v>
      </c>
      <c r="G1657" s="9" t="s">
        <v>2480</v>
      </c>
      <c r="H1657" s="9">
        <v>200</v>
      </c>
      <c r="I1657" s="9">
        <v>200</v>
      </c>
      <c r="J1657" s="5"/>
      <c r="K1657" s="5"/>
      <c r="L1657" s="10">
        <v>20201118</v>
      </c>
      <c r="M1657" s="36" t="str">
        <f t="shared" si="25"/>
        <v>19651113</v>
      </c>
    </row>
    <row r="1658" s="1" customFormat="1" ht="14.25" spans="1:13">
      <c r="A1658" s="2">
        <v>3020</v>
      </c>
      <c r="B1658" s="6" t="s">
        <v>6075</v>
      </c>
      <c r="C1658" s="25" t="s">
        <v>6563</v>
      </c>
      <c r="D1658" s="26" t="s">
        <v>6564</v>
      </c>
      <c r="E1658" s="5" t="s">
        <v>15</v>
      </c>
      <c r="F1658" s="5">
        <v>2020</v>
      </c>
      <c r="G1658" s="6" t="s">
        <v>16</v>
      </c>
      <c r="H1658" s="6">
        <v>200</v>
      </c>
      <c r="I1658" s="6">
        <v>200</v>
      </c>
      <c r="J1658" s="6"/>
      <c r="K1658" s="10"/>
      <c r="L1658" s="10">
        <v>20201118</v>
      </c>
      <c r="M1658" s="36" t="str">
        <f t="shared" si="25"/>
        <v>19651113</v>
      </c>
    </row>
    <row r="1659" s="1" customFormat="1" spans="1:13">
      <c r="A1659" s="2">
        <v>2573</v>
      </c>
      <c r="B1659" s="32" t="s">
        <v>5602</v>
      </c>
      <c r="C1659" s="9" t="s">
        <v>5683</v>
      </c>
      <c r="D1659" s="9" t="s">
        <v>5684</v>
      </c>
      <c r="E1659" s="32">
        <v>2020</v>
      </c>
      <c r="F1659" s="32">
        <v>2020</v>
      </c>
      <c r="G1659" s="32" t="s">
        <v>16</v>
      </c>
      <c r="H1659" s="9">
        <v>200</v>
      </c>
      <c r="I1659" s="9">
        <v>200</v>
      </c>
      <c r="J1659" s="32"/>
      <c r="K1659" s="52"/>
      <c r="L1659" s="10">
        <v>20201118</v>
      </c>
      <c r="M1659" s="36" t="str">
        <f t="shared" si="25"/>
        <v>19651114</v>
      </c>
    </row>
    <row r="1660" s="1" customFormat="1" ht="14.25" spans="1:13">
      <c r="A1660" s="2">
        <v>7817</v>
      </c>
      <c r="B1660" s="5" t="s">
        <v>14875</v>
      </c>
      <c r="C1660" s="23" t="s">
        <v>15076</v>
      </c>
      <c r="D1660" s="12" t="s">
        <v>15077</v>
      </c>
      <c r="E1660" s="6" t="s">
        <v>310</v>
      </c>
      <c r="F1660" s="6">
        <v>2020</v>
      </c>
      <c r="G1660" s="24" t="s">
        <v>2460</v>
      </c>
      <c r="H1660" s="6">
        <v>700</v>
      </c>
      <c r="I1660" s="6">
        <v>7000</v>
      </c>
      <c r="J1660" s="6"/>
      <c r="K1660" s="10"/>
      <c r="L1660" s="10">
        <v>20201118</v>
      </c>
      <c r="M1660" s="36" t="str">
        <f t="shared" si="25"/>
        <v>19651115</v>
      </c>
    </row>
    <row r="1661" s="1" customFormat="1" ht="14.25" spans="1:13">
      <c r="A1661" s="2">
        <v>2878</v>
      </c>
      <c r="B1661" s="6" t="s">
        <v>6075</v>
      </c>
      <c r="C1661" s="25" t="s">
        <v>6285</v>
      </c>
      <c r="D1661" s="26" t="s">
        <v>6286</v>
      </c>
      <c r="E1661" s="5" t="s">
        <v>15</v>
      </c>
      <c r="F1661" s="5">
        <v>2020</v>
      </c>
      <c r="G1661" s="6" t="s">
        <v>16</v>
      </c>
      <c r="H1661" s="6">
        <v>200</v>
      </c>
      <c r="I1661" s="6">
        <v>200</v>
      </c>
      <c r="J1661" s="6"/>
      <c r="K1661" s="10"/>
      <c r="L1661" s="10">
        <v>20201118</v>
      </c>
      <c r="M1661" s="36" t="str">
        <f t="shared" si="25"/>
        <v>19651119</v>
      </c>
    </row>
    <row r="1662" s="1" customFormat="1" ht="14.25" spans="1:13">
      <c r="A1662" s="2">
        <v>5269</v>
      </c>
      <c r="B1662" s="33" t="s">
        <v>10535</v>
      </c>
      <c r="C1662" s="34" t="s">
        <v>10653</v>
      </c>
      <c r="D1662" s="34" t="s">
        <v>10654</v>
      </c>
      <c r="E1662" s="35">
        <v>2020</v>
      </c>
      <c r="F1662" s="35">
        <v>2020</v>
      </c>
      <c r="G1662" s="35" t="s">
        <v>16</v>
      </c>
      <c r="H1662" s="34">
        <v>200</v>
      </c>
      <c r="I1662" s="34">
        <v>200</v>
      </c>
      <c r="J1662" s="49"/>
      <c r="K1662" s="10"/>
      <c r="L1662" s="10">
        <v>20201118</v>
      </c>
      <c r="M1662" s="36" t="str">
        <f t="shared" si="25"/>
        <v>19651119</v>
      </c>
    </row>
    <row r="1663" s="1" customFormat="1" ht="14.25" spans="1:13">
      <c r="A1663" s="2">
        <v>5270</v>
      </c>
      <c r="B1663" s="33" t="s">
        <v>10535</v>
      </c>
      <c r="C1663" s="34" t="s">
        <v>10655</v>
      </c>
      <c r="D1663" s="34" t="s">
        <v>10656</v>
      </c>
      <c r="E1663" s="35">
        <v>2020</v>
      </c>
      <c r="F1663" s="35">
        <v>2020</v>
      </c>
      <c r="G1663" s="35" t="s">
        <v>16</v>
      </c>
      <c r="H1663" s="34">
        <v>200</v>
      </c>
      <c r="I1663" s="34">
        <v>200</v>
      </c>
      <c r="J1663" s="49"/>
      <c r="K1663" s="10"/>
      <c r="L1663" s="10">
        <v>20201118</v>
      </c>
      <c r="M1663" s="36" t="str">
        <f t="shared" si="25"/>
        <v>19651121</v>
      </c>
    </row>
    <row r="1664" s="1" customFormat="1" spans="1:13">
      <c r="A1664" s="2">
        <v>4505</v>
      </c>
      <c r="B1664" s="6" t="s">
        <v>9015</v>
      </c>
      <c r="C1664" s="6" t="s">
        <v>9192</v>
      </c>
      <c r="D1664" s="6" t="s">
        <v>9193</v>
      </c>
      <c r="E1664" s="6">
        <v>2020</v>
      </c>
      <c r="F1664" s="6">
        <v>2020</v>
      </c>
      <c r="G1664" s="6" t="s">
        <v>16</v>
      </c>
      <c r="H1664" s="6">
        <v>200</v>
      </c>
      <c r="I1664" s="6">
        <v>200</v>
      </c>
      <c r="J1664" s="6"/>
      <c r="K1664" s="6"/>
      <c r="L1664" s="10">
        <v>20201118</v>
      </c>
      <c r="M1664" s="36" t="str">
        <f t="shared" si="25"/>
        <v>19651123</v>
      </c>
    </row>
    <row r="1665" s="1" customFormat="1" spans="1:13">
      <c r="A1665" s="2">
        <v>7571</v>
      </c>
      <c r="B1665" s="5" t="s">
        <v>14402</v>
      </c>
      <c r="C1665" s="5" t="s">
        <v>14743</v>
      </c>
      <c r="D1665" s="5" t="s">
        <v>14744</v>
      </c>
      <c r="E1665" s="5">
        <v>2020</v>
      </c>
      <c r="F1665" s="5">
        <v>2020</v>
      </c>
      <c r="G1665" s="17" t="s">
        <v>16</v>
      </c>
      <c r="H1665" s="5">
        <v>200</v>
      </c>
      <c r="I1665" s="5">
        <v>200</v>
      </c>
      <c r="J1665" s="5"/>
      <c r="K1665" s="10"/>
      <c r="L1665" s="10">
        <v>20201118</v>
      </c>
      <c r="M1665" s="36" t="str">
        <f t="shared" si="25"/>
        <v>19651123</v>
      </c>
    </row>
    <row r="1666" s="1" customFormat="1" spans="1:13">
      <c r="A1666" s="2">
        <v>707</v>
      </c>
      <c r="B1666" s="29" t="s">
        <v>1040</v>
      </c>
      <c r="C1666" s="5" t="s">
        <v>1772</v>
      </c>
      <c r="D1666" s="5" t="s">
        <v>1773</v>
      </c>
      <c r="E1666" s="30">
        <v>2020</v>
      </c>
      <c r="F1666" s="30">
        <v>2020</v>
      </c>
      <c r="G1666" s="29" t="s">
        <v>16</v>
      </c>
      <c r="H1666" s="29">
        <v>200</v>
      </c>
      <c r="I1666" s="29">
        <v>200</v>
      </c>
      <c r="J1666" s="29"/>
      <c r="K1666" s="54"/>
      <c r="L1666" s="2" t="s">
        <v>330</v>
      </c>
      <c r="M1666" s="36" t="str">
        <f t="shared" ref="M1666:M1729" si="26">MID(D1666,7,8)</f>
        <v>19651124</v>
      </c>
    </row>
    <row r="1667" s="1" customFormat="1" spans="1:13">
      <c r="A1667" s="2">
        <v>3710</v>
      </c>
      <c r="B1667" s="5" t="s">
        <v>7412</v>
      </c>
      <c r="C1667" s="5" t="s">
        <v>1058</v>
      </c>
      <c r="D1667" s="5" t="s">
        <v>7676</v>
      </c>
      <c r="E1667" s="6">
        <v>2020</v>
      </c>
      <c r="F1667" s="6">
        <v>2020</v>
      </c>
      <c r="G1667" s="5" t="s">
        <v>3359</v>
      </c>
      <c r="H1667" s="5">
        <v>200</v>
      </c>
      <c r="I1667" s="5">
        <v>200</v>
      </c>
      <c r="J1667" s="5"/>
      <c r="K1667" s="5"/>
      <c r="L1667" s="10">
        <v>20201118</v>
      </c>
      <c r="M1667" s="36" t="str">
        <f t="shared" si="26"/>
        <v>19651124</v>
      </c>
    </row>
    <row r="1668" s="1" customFormat="1" spans="1:13">
      <c r="A1668" s="2">
        <v>3456</v>
      </c>
      <c r="B1668" s="5" t="s">
        <v>3375</v>
      </c>
      <c r="C1668" s="6" t="s">
        <v>7235</v>
      </c>
      <c r="D1668" s="6" t="str">
        <f>"152326196511256879"</f>
        <v>152326196511256879</v>
      </c>
      <c r="E1668" s="5" t="s">
        <v>15</v>
      </c>
      <c r="F1668" s="5">
        <v>2020</v>
      </c>
      <c r="G1668" s="14" t="s">
        <v>16</v>
      </c>
      <c r="H1668" s="17">
        <v>200</v>
      </c>
      <c r="I1668" s="17">
        <v>200</v>
      </c>
      <c r="J1668" s="6"/>
      <c r="K1668" s="10"/>
      <c r="L1668" s="10">
        <v>20201118</v>
      </c>
      <c r="M1668" s="36" t="str">
        <f t="shared" si="26"/>
        <v>19651125</v>
      </c>
    </row>
    <row r="1669" s="1" customFormat="1" spans="1:13">
      <c r="A1669" s="2">
        <v>533</v>
      </c>
      <c r="B1669" s="29" t="s">
        <v>1040</v>
      </c>
      <c r="C1669" s="29" t="s">
        <v>1343</v>
      </c>
      <c r="D1669" s="29" t="s">
        <v>1344</v>
      </c>
      <c r="E1669" s="30">
        <v>2020</v>
      </c>
      <c r="F1669" s="30">
        <v>2020</v>
      </c>
      <c r="G1669" s="29" t="s">
        <v>16</v>
      </c>
      <c r="H1669" s="29">
        <v>200</v>
      </c>
      <c r="I1669" s="29">
        <v>200</v>
      </c>
      <c r="J1669" s="29"/>
      <c r="K1669" s="47"/>
      <c r="L1669" s="14" t="s">
        <v>330</v>
      </c>
      <c r="M1669" s="36" t="str">
        <f t="shared" si="26"/>
        <v>19651126</v>
      </c>
    </row>
    <row r="1670" s="1" customFormat="1" spans="1:13">
      <c r="A1670" s="2">
        <v>3155</v>
      </c>
      <c r="B1670" s="3" t="s">
        <v>6671</v>
      </c>
      <c r="C1670" s="9" t="s">
        <v>4739</v>
      </c>
      <c r="D1670" s="9" t="s">
        <v>6827</v>
      </c>
      <c r="E1670" s="3" t="s">
        <v>15</v>
      </c>
      <c r="F1670" s="3" t="s">
        <v>15</v>
      </c>
      <c r="G1670" s="6" t="s">
        <v>3359</v>
      </c>
      <c r="H1670" s="9">
        <v>200</v>
      </c>
      <c r="I1670" s="9">
        <v>200</v>
      </c>
      <c r="J1670" s="6"/>
      <c r="K1670" s="5"/>
      <c r="L1670" s="10">
        <v>20201118</v>
      </c>
      <c r="M1670" s="36" t="str">
        <f t="shared" si="26"/>
        <v>19651126</v>
      </c>
    </row>
    <row r="1671" s="1" customFormat="1" spans="1:13">
      <c r="A1671" s="2">
        <v>6262</v>
      </c>
      <c r="B1671" s="5" t="s">
        <v>12263</v>
      </c>
      <c r="C1671" s="5" t="s">
        <v>12545</v>
      </c>
      <c r="D1671" s="5" t="s">
        <v>12546</v>
      </c>
      <c r="E1671" s="5" t="s">
        <v>10250</v>
      </c>
      <c r="F1671" s="5">
        <v>2020</v>
      </c>
      <c r="G1671" s="17" t="s">
        <v>3359</v>
      </c>
      <c r="H1671" s="5">
        <v>200</v>
      </c>
      <c r="I1671" s="5">
        <v>200</v>
      </c>
      <c r="J1671" s="5"/>
      <c r="K1671" s="5"/>
      <c r="L1671" s="10">
        <v>20201118</v>
      </c>
      <c r="M1671" s="36" t="str">
        <f t="shared" si="26"/>
        <v>19651127</v>
      </c>
    </row>
    <row r="1672" s="1" customFormat="1" spans="1:13">
      <c r="A1672" s="2">
        <v>219</v>
      </c>
      <c r="B1672" s="14" t="s">
        <v>327</v>
      </c>
      <c r="C1672" s="14" t="s">
        <v>543</v>
      </c>
      <c r="D1672" s="14" t="s">
        <v>544</v>
      </c>
      <c r="E1672" s="5">
        <v>2020</v>
      </c>
      <c r="F1672" s="5">
        <v>2020</v>
      </c>
      <c r="G1672" s="14" t="s">
        <v>16</v>
      </c>
      <c r="H1672" s="14">
        <v>200</v>
      </c>
      <c r="I1672" s="14">
        <v>200</v>
      </c>
      <c r="J1672" s="14"/>
      <c r="K1672" s="10"/>
      <c r="L1672" s="2" t="s">
        <v>330</v>
      </c>
      <c r="M1672" s="36" t="str">
        <f t="shared" si="26"/>
        <v>19651130</v>
      </c>
    </row>
    <row r="1673" s="1" customFormat="1" spans="1:13">
      <c r="A1673" s="2">
        <v>1513</v>
      </c>
      <c r="B1673" s="5" t="s">
        <v>3381</v>
      </c>
      <c r="C1673" s="9" t="s">
        <v>2209</v>
      </c>
      <c r="D1673" s="9" t="s">
        <v>3594</v>
      </c>
      <c r="E1673" s="5">
        <v>2020</v>
      </c>
      <c r="F1673" s="5">
        <v>2020</v>
      </c>
      <c r="G1673" s="14" t="s">
        <v>16</v>
      </c>
      <c r="H1673" s="6">
        <v>200</v>
      </c>
      <c r="I1673" s="6">
        <v>200</v>
      </c>
      <c r="J1673" s="5"/>
      <c r="K1673" s="13"/>
      <c r="L1673" s="10">
        <v>20201118</v>
      </c>
      <c r="M1673" s="36" t="str">
        <f t="shared" si="26"/>
        <v>19651202</v>
      </c>
    </row>
    <row r="1674" s="1" customFormat="1" spans="1:13">
      <c r="A1674" s="2">
        <v>8032</v>
      </c>
      <c r="B1674" s="5" t="s">
        <v>15086</v>
      </c>
      <c r="C1674" s="6" t="s">
        <v>15310</v>
      </c>
      <c r="D1674" s="6" t="str">
        <f>"152326196512026864"</f>
        <v>152326196512026864</v>
      </c>
      <c r="E1674" s="5" t="s">
        <v>15</v>
      </c>
      <c r="F1674" s="5">
        <v>2020</v>
      </c>
      <c r="G1674" s="5" t="s">
        <v>16</v>
      </c>
      <c r="H1674" s="5">
        <v>200</v>
      </c>
      <c r="I1674" s="5">
        <v>200</v>
      </c>
      <c r="J1674" s="5"/>
      <c r="K1674" s="5"/>
      <c r="L1674" s="10">
        <v>20201118</v>
      </c>
      <c r="M1674" s="36" t="str">
        <f t="shared" si="26"/>
        <v>19651202</v>
      </c>
    </row>
    <row r="1675" s="1" customFormat="1" spans="1:13">
      <c r="A1675" s="2">
        <v>1883</v>
      </c>
      <c r="B1675" s="5" t="s">
        <v>4189</v>
      </c>
      <c r="C1675" s="16" t="s">
        <v>4329</v>
      </c>
      <c r="D1675" s="16" t="s">
        <v>4330</v>
      </c>
      <c r="E1675" s="5" t="s">
        <v>15</v>
      </c>
      <c r="F1675" s="5" t="s">
        <v>15</v>
      </c>
      <c r="G1675" s="5" t="s">
        <v>3359</v>
      </c>
      <c r="H1675" s="16">
        <v>200</v>
      </c>
      <c r="I1675" s="16">
        <v>200</v>
      </c>
      <c r="J1675" s="5"/>
      <c r="K1675" s="10"/>
      <c r="L1675" s="10">
        <v>20201118</v>
      </c>
      <c r="M1675" s="36" t="str">
        <f t="shared" si="26"/>
        <v>19651203</v>
      </c>
    </row>
    <row r="1676" s="1" customFormat="1" ht="14.25" spans="1:13">
      <c r="A1676" s="2">
        <v>7776</v>
      </c>
      <c r="B1676" s="5" t="s">
        <v>14875</v>
      </c>
      <c r="C1676" s="51" t="s">
        <v>15022</v>
      </c>
      <c r="D1676" s="24" t="str">
        <f>"152326196512037125"</f>
        <v>152326196512037125</v>
      </c>
      <c r="E1676" s="6" t="s">
        <v>15</v>
      </c>
      <c r="F1676" s="6">
        <v>2020</v>
      </c>
      <c r="G1676" s="24" t="s">
        <v>14877</v>
      </c>
      <c r="H1676" s="6">
        <v>200</v>
      </c>
      <c r="I1676" s="6">
        <v>200</v>
      </c>
      <c r="J1676" s="6"/>
      <c r="K1676" s="10"/>
      <c r="L1676" s="10">
        <v>20201118</v>
      </c>
      <c r="M1676" s="36" t="str">
        <f t="shared" si="26"/>
        <v>19651203</v>
      </c>
    </row>
    <row r="1677" s="1" customFormat="1" spans="1:13">
      <c r="A1677" s="2">
        <v>177</v>
      </c>
      <c r="B1677" s="14" t="s">
        <v>327</v>
      </c>
      <c r="C1677" s="14" t="s">
        <v>419</v>
      </c>
      <c r="D1677" s="14" t="s">
        <v>420</v>
      </c>
      <c r="E1677" s="5">
        <v>2020</v>
      </c>
      <c r="F1677" s="5">
        <v>2020</v>
      </c>
      <c r="G1677" s="14" t="s">
        <v>16</v>
      </c>
      <c r="H1677" s="14">
        <v>200</v>
      </c>
      <c r="I1677" s="14">
        <v>200</v>
      </c>
      <c r="J1677" s="14"/>
      <c r="K1677" s="10"/>
      <c r="L1677" s="2" t="s">
        <v>330</v>
      </c>
      <c r="M1677" s="36" t="str">
        <f t="shared" si="26"/>
        <v>19651215</v>
      </c>
    </row>
    <row r="1678" s="1" customFormat="1" spans="1:13">
      <c r="A1678" s="2">
        <v>8192</v>
      </c>
      <c r="B1678" s="5" t="s">
        <v>15406</v>
      </c>
      <c r="C1678" s="6" t="s">
        <v>15570</v>
      </c>
      <c r="D1678" s="6" t="s">
        <v>15571</v>
      </c>
      <c r="E1678" s="5" t="s">
        <v>15</v>
      </c>
      <c r="F1678" s="5">
        <v>2020</v>
      </c>
      <c r="G1678" s="14" t="s">
        <v>16</v>
      </c>
      <c r="H1678" s="6">
        <v>200</v>
      </c>
      <c r="I1678" s="6">
        <v>200</v>
      </c>
      <c r="J1678" s="5"/>
      <c r="K1678" s="10"/>
      <c r="L1678" s="10">
        <v>20201118</v>
      </c>
      <c r="M1678" s="36" t="str">
        <f t="shared" si="26"/>
        <v>19651215</v>
      </c>
    </row>
    <row r="1679" s="1" customFormat="1" spans="1:13">
      <c r="A1679" s="2">
        <v>190</v>
      </c>
      <c r="B1679" s="14" t="s">
        <v>327</v>
      </c>
      <c r="C1679" s="14" t="s">
        <v>458</v>
      </c>
      <c r="D1679" s="14" t="s">
        <v>459</v>
      </c>
      <c r="E1679" s="5">
        <v>2020</v>
      </c>
      <c r="F1679" s="5">
        <v>2020</v>
      </c>
      <c r="G1679" s="14" t="s">
        <v>16</v>
      </c>
      <c r="H1679" s="14">
        <v>200</v>
      </c>
      <c r="I1679" s="14">
        <v>200</v>
      </c>
      <c r="J1679" s="14"/>
      <c r="K1679" s="10"/>
      <c r="L1679" s="14" t="s">
        <v>330</v>
      </c>
      <c r="M1679" s="36" t="str">
        <f t="shared" si="26"/>
        <v>19651216</v>
      </c>
    </row>
    <row r="1680" s="1" customFormat="1" spans="1:13">
      <c r="A1680" s="2">
        <v>1001</v>
      </c>
      <c r="B1680" s="5" t="s">
        <v>2469</v>
      </c>
      <c r="C1680" s="9" t="s">
        <v>2593</v>
      </c>
      <c r="D1680" s="9" t="s">
        <v>2594</v>
      </c>
      <c r="E1680" s="5">
        <v>2020</v>
      </c>
      <c r="F1680" s="5">
        <v>2020</v>
      </c>
      <c r="G1680" s="9" t="s">
        <v>2480</v>
      </c>
      <c r="H1680" s="9">
        <v>200</v>
      </c>
      <c r="I1680" s="9">
        <v>200</v>
      </c>
      <c r="J1680" s="5"/>
      <c r="K1680" s="5"/>
      <c r="L1680" s="10">
        <v>20201118</v>
      </c>
      <c r="M1680" s="36" t="str">
        <f t="shared" si="26"/>
        <v>19651217</v>
      </c>
    </row>
    <row r="1681" s="1" customFormat="1" spans="1:13">
      <c r="A1681" s="2">
        <v>1514</v>
      </c>
      <c r="B1681" s="5" t="s">
        <v>3381</v>
      </c>
      <c r="C1681" s="9" t="s">
        <v>3595</v>
      </c>
      <c r="D1681" s="9" t="s">
        <v>3596</v>
      </c>
      <c r="E1681" s="5">
        <v>2020</v>
      </c>
      <c r="F1681" s="5">
        <v>2020</v>
      </c>
      <c r="G1681" s="14" t="s">
        <v>16</v>
      </c>
      <c r="H1681" s="6">
        <v>200</v>
      </c>
      <c r="I1681" s="6">
        <v>200</v>
      </c>
      <c r="J1681" s="5"/>
      <c r="K1681" s="13"/>
      <c r="L1681" s="10">
        <v>20201118</v>
      </c>
      <c r="M1681" s="36" t="str">
        <f t="shared" si="26"/>
        <v>19651217</v>
      </c>
    </row>
    <row r="1682" s="1" customFormat="1" spans="1:13">
      <c r="A1682" s="2">
        <v>3079</v>
      </c>
      <c r="B1682" s="3" t="s">
        <v>6671</v>
      </c>
      <c r="C1682" s="9" t="s">
        <v>6684</v>
      </c>
      <c r="D1682" s="9" t="s">
        <v>6685</v>
      </c>
      <c r="E1682" s="3" t="s">
        <v>15</v>
      </c>
      <c r="F1682" s="3" t="s">
        <v>15</v>
      </c>
      <c r="G1682" s="6" t="s">
        <v>3359</v>
      </c>
      <c r="H1682" s="9">
        <v>200</v>
      </c>
      <c r="I1682" s="9">
        <v>200</v>
      </c>
      <c r="J1682" s="6"/>
      <c r="K1682" s="5"/>
      <c r="L1682" s="10">
        <v>20201118</v>
      </c>
      <c r="M1682" s="36" t="str">
        <f t="shared" si="26"/>
        <v>19651217</v>
      </c>
    </row>
    <row r="1683" s="1" customFormat="1" spans="1:13">
      <c r="A1683" s="2">
        <v>209</v>
      </c>
      <c r="B1683" s="14" t="s">
        <v>327</v>
      </c>
      <c r="C1683" s="14" t="s">
        <v>515</v>
      </c>
      <c r="D1683" s="14" t="s">
        <v>516</v>
      </c>
      <c r="E1683" s="5">
        <v>2020</v>
      </c>
      <c r="F1683" s="5">
        <v>2020</v>
      </c>
      <c r="G1683" s="14" t="s">
        <v>16</v>
      </c>
      <c r="H1683" s="28">
        <v>200</v>
      </c>
      <c r="I1683" s="14">
        <v>200</v>
      </c>
      <c r="J1683" s="14"/>
      <c r="K1683" s="10"/>
      <c r="L1683" s="2" t="s">
        <v>330</v>
      </c>
      <c r="M1683" s="36" t="str">
        <f t="shared" si="26"/>
        <v>19651219</v>
      </c>
    </row>
    <row r="1684" s="1" customFormat="1" spans="1:13">
      <c r="A1684" s="2">
        <v>247</v>
      </c>
      <c r="B1684" s="14" t="s">
        <v>327</v>
      </c>
      <c r="C1684" s="14" t="s">
        <v>627</v>
      </c>
      <c r="D1684" s="14" t="s">
        <v>628</v>
      </c>
      <c r="E1684" s="5">
        <v>2020</v>
      </c>
      <c r="F1684" s="5">
        <v>2020</v>
      </c>
      <c r="G1684" s="14" t="s">
        <v>16</v>
      </c>
      <c r="H1684" s="14">
        <v>200</v>
      </c>
      <c r="I1684" s="14">
        <v>200</v>
      </c>
      <c r="J1684" s="17"/>
      <c r="K1684" s="10"/>
      <c r="L1684" s="2" t="s">
        <v>330</v>
      </c>
      <c r="M1684" s="36" t="str">
        <f t="shared" si="26"/>
        <v>19651220</v>
      </c>
    </row>
    <row r="1685" s="1" customFormat="1" ht="14.25" spans="1:13">
      <c r="A1685" s="2">
        <v>5976</v>
      </c>
      <c r="B1685" s="30" t="s">
        <v>11090</v>
      </c>
      <c r="C1685" s="32" t="s">
        <v>11998</v>
      </c>
      <c r="D1685" s="12" t="s">
        <v>11999</v>
      </c>
      <c r="E1685" s="5" t="s">
        <v>15</v>
      </c>
      <c r="F1685" s="5" t="s">
        <v>10250</v>
      </c>
      <c r="G1685" s="6" t="s">
        <v>16</v>
      </c>
      <c r="H1685" s="32">
        <v>200</v>
      </c>
      <c r="I1685" s="32">
        <v>200</v>
      </c>
      <c r="J1685" s="6"/>
      <c r="K1685" s="48"/>
      <c r="L1685" s="10">
        <v>20201118</v>
      </c>
      <c r="M1685" s="36" t="str">
        <f t="shared" si="26"/>
        <v>19651220</v>
      </c>
    </row>
    <row r="1686" s="1" customFormat="1" spans="1:13">
      <c r="A1686" s="2">
        <v>3711</v>
      </c>
      <c r="B1686" s="5" t="s">
        <v>7412</v>
      </c>
      <c r="C1686" s="5" t="s">
        <v>7677</v>
      </c>
      <c r="D1686" s="5" t="s">
        <v>7678</v>
      </c>
      <c r="E1686" s="6">
        <v>2020</v>
      </c>
      <c r="F1686" s="6">
        <v>2020</v>
      </c>
      <c r="G1686" s="5" t="s">
        <v>3359</v>
      </c>
      <c r="H1686" s="5">
        <v>200</v>
      </c>
      <c r="I1686" s="5">
        <v>200</v>
      </c>
      <c r="J1686" s="5" t="s">
        <v>1242</v>
      </c>
      <c r="K1686" s="5"/>
      <c r="L1686" s="10">
        <v>20201118</v>
      </c>
      <c r="M1686" s="36" t="str">
        <f t="shared" si="26"/>
        <v>19651223</v>
      </c>
    </row>
    <row r="1687" s="1" customFormat="1" spans="1:13">
      <c r="A1687" s="2">
        <v>6564</v>
      </c>
      <c r="B1687" s="5" t="s">
        <v>13027</v>
      </c>
      <c r="C1687" s="15" t="s">
        <v>13121</v>
      </c>
      <c r="D1687" s="15" t="s">
        <v>13122</v>
      </c>
      <c r="E1687" s="5">
        <v>2020</v>
      </c>
      <c r="F1687" s="5">
        <v>2020</v>
      </c>
      <c r="G1687" s="14" t="s">
        <v>16</v>
      </c>
      <c r="H1687" s="15">
        <v>200</v>
      </c>
      <c r="I1687" s="15">
        <v>200</v>
      </c>
      <c r="J1687" s="5"/>
      <c r="K1687" s="10"/>
      <c r="L1687" s="10">
        <v>20201118</v>
      </c>
      <c r="M1687" s="36" t="str">
        <f t="shared" si="26"/>
        <v>19651224</v>
      </c>
    </row>
    <row r="1688" s="1" customFormat="1" spans="1:13">
      <c r="A1688" s="2">
        <v>6242</v>
      </c>
      <c r="B1688" s="5" t="s">
        <v>12263</v>
      </c>
      <c r="C1688" s="5" t="s">
        <v>12507</v>
      </c>
      <c r="D1688" s="5" t="s">
        <v>12508</v>
      </c>
      <c r="E1688" s="5" t="s">
        <v>10250</v>
      </c>
      <c r="F1688" s="5">
        <v>2020</v>
      </c>
      <c r="G1688" s="17" t="s">
        <v>3359</v>
      </c>
      <c r="H1688" s="5">
        <v>200</v>
      </c>
      <c r="I1688" s="5">
        <v>200</v>
      </c>
      <c r="J1688" s="5"/>
      <c r="K1688" s="5"/>
      <c r="L1688" s="10">
        <v>20201118</v>
      </c>
      <c r="M1688" s="36" t="str">
        <f t="shared" si="26"/>
        <v>19651227</v>
      </c>
    </row>
    <row r="1689" s="1" customFormat="1" spans="1:13">
      <c r="A1689" s="2">
        <v>8043</v>
      </c>
      <c r="B1689" s="5" t="s">
        <v>15086</v>
      </c>
      <c r="C1689" s="6" t="s">
        <v>15321</v>
      </c>
      <c r="D1689" s="6" t="str">
        <f>"152326196512276871"</f>
        <v>152326196512276871</v>
      </c>
      <c r="E1689" s="5" t="s">
        <v>15</v>
      </c>
      <c r="F1689" s="5">
        <v>2020</v>
      </c>
      <c r="G1689" s="5" t="s">
        <v>16</v>
      </c>
      <c r="H1689" s="5">
        <v>200</v>
      </c>
      <c r="I1689" s="5">
        <v>200</v>
      </c>
      <c r="J1689" s="5"/>
      <c r="K1689" s="5"/>
      <c r="L1689" s="10">
        <v>20201118</v>
      </c>
      <c r="M1689" s="36" t="str">
        <f t="shared" si="26"/>
        <v>19651227</v>
      </c>
    </row>
    <row r="1690" s="1" customFormat="1" spans="1:13">
      <c r="A1690" s="2">
        <v>7577</v>
      </c>
      <c r="B1690" s="5" t="s">
        <v>14402</v>
      </c>
      <c r="C1690" s="5" t="s">
        <v>14755</v>
      </c>
      <c r="D1690" s="5" t="s">
        <v>14756</v>
      </c>
      <c r="E1690" s="5">
        <v>2020</v>
      </c>
      <c r="F1690" s="5">
        <v>2020</v>
      </c>
      <c r="G1690" s="17" t="s">
        <v>16</v>
      </c>
      <c r="H1690" s="5">
        <v>200</v>
      </c>
      <c r="I1690" s="5">
        <v>200</v>
      </c>
      <c r="J1690" s="5" t="s">
        <v>749</v>
      </c>
      <c r="K1690" s="10"/>
      <c r="L1690" s="10">
        <v>20201118</v>
      </c>
      <c r="M1690" s="36" t="str">
        <f t="shared" si="26"/>
        <v>19651228</v>
      </c>
    </row>
    <row r="1691" s="1" customFormat="1" spans="1:13">
      <c r="A1691" s="2">
        <v>2201</v>
      </c>
      <c r="B1691" s="9" t="s">
        <v>4837</v>
      </c>
      <c r="C1691" s="9" t="s">
        <v>4950</v>
      </c>
      <c r="D1691" s="9" t="s">
        <v>4951</v>
      </c>
      <c r="E1691" s="6" t="s">
        <v>15</v>
      </c>
      <c r="F1691" s="6">
        <v>2020</v>
      </c>
      <c r="G1691" s="9" t="s">
        <v>2480</v>
      </c>
      <c r="H1691" s="9">
        <v>200</v>
      </c>
      <c r="I1691" s="9">
        <v>200</v>
      </c>
      <c r="J1691" s="6"/>
      <c r="K1691" s="10"/>
      <c r="L1691" s="10">
        <v>20201118</v>
      </c>
      <c r="M1691" s="36" t="str">
        <f t="shared" si="26"/>
        <v>19660103</v>
      </c>
    </row>
    <row r="1692" s="1" customFormat="1" spans="1:13">
      <c r="A1692" s="2">
        <v>2202</v>
      </c>
      <c r="B1692" s="9" t="s">
        <v>4837</v>
      </c>
      <c r="C1692" s="9" t="s">
        <v>4952</v>
      </c>
      <c r="D1692" s="9" t="s">
        <v>4953</v>
      </c>
      <c r="E1692" s="6" t="s">
        <v>15</v>
      </c>
      <c r="F1692" s="6">
        <v>2020</v>
      </c>
      <c r="G1692" s="9" t="s">
        <v>2480</v>
      </c>
      <c r="H1692" s="9">
        <v>200</v>
      </c>
      <c r="I1692" s="9">
        <v>200</v>
      </c>
      <c r="J1692" s="6"/>
      <c r="K1692" s="10"/>
      <c r="L1692" s="10">
        <v>20201118</v>
      </c>
      <c r="M1692" s="36" t="str">
        <f t="shared" si="26"/>
        <v>19660105</v>
      </c>
    </row>
    <row r="1693" s="1" customFormat="1" spans="1:13">
      <c r="A1693" s="2">
        <v>2203</v>
      </c>
      <c r="B1693" s="9" t="s">
        <v>4837</v>
      </c>
      <c r="C1693" s="9" t="s">
        <v>4954</v>
      </c>
      <c r="D1693" s="9" t="s">
        <v>4955</v>
      </c>
      <c r="E1693" s="6" t="s">
        <v>15</v>
      </c>
      <c r="F1693" s="6">
        <v>2020</v>
      </c>
      <c r="G1693" s="9" t="s">
        <v>2480</v>
      </c>
      <c r="H1693" s="9">
        <v>200</v>
      </c>
      <c r="I1693" s="9">
        <v>200</v>
      </c>
      <c r="J1693" s="6"/>
      <c r="K1693" s="10"/>
      <c r="L1693" s="10">
        <v>20201118</v>
      </c>
      <c r="M1693" s="36" t="str">
        <f t="shared" si="26"/>
        <v>19660106</v>
      </c>
    </row>
    <row r="1694" s="1" customFormat="1" spans="1:13">
      <c r="A1694" s="2">
        <v>3453</v>
      </c>
      <c r="B1694" s="5" t="s">
        <v>3375</v>
      </c>
      <c r="C1694" s="6" t="s">
        <v>7232</v>
      </c>
      <c r="D1694" s="6" t="str">
        <f>"152326196601066876"</f>
        <v>152326196601066876</v>
      </c>
      <c r="E1694" s="5" t="s">
        <v>15</v>
      </c>
      <c r="F1694" s="5">
        <v>2020</v>
      </c>
      <c r="G1694" s="14" t="s">
        <v>16</v>
      </c>
      <c r="H1694" s="17">
        <v>200</v>
      </c>
      <c r="I1694" s="17">
        <v>200</v>
      </c>
      <c r="J1694" s="6"/>
      <c r="K1694" s="10"/>
      <c r="L1694" s="10">
        <v>20201118</v>
      </c>
      <c r="M1694" s="36" t="str">
        <f t="shared" si="26"/>
        <v>19660106</v>
      </c>
    </row>
    <row r="1695" s="1" customFormat="1" spans="1:13">
      <c r="A1695" s="2">
        <v>3712</v>
      </c>
      <c r="B1695" s="5" t="s">
        <v>7412</v>
      </c>
      <c r="C1695" s="5" t="s">
        <v>7679</v>
      </c>
      <c r="D1695" s="5" t="s">
        <v>7680</v>
      </c>
      <c r="E1695" s="6">
        <v>2020</v>
      </c>
      <c r="F1695" s="6">
        <v>2020</v>
      </c>
      <c r="G1695" s="5" t="s">
        <v>3359</v>
      </c>
      <c r="H1695" s="5">
        <v>200</v>
      </c>
      <c r="I1695" s="5">
        <v>200</v>
      </c>
      <c r="J1695" s="5"/>
      <c r="K1695" s="5"/>
      <c r="L1695" s="10">
        <v>20201118</v>
      </c>
      <c r="M1695" s="36" t="str">
        <f t="shared" si="26"/>
        <v>19660107</v>
      </c>
    </row>
    <row r="1696" s="1" customFormat="1" spans="1:13">
      <c r="A1696" s="2">
        <v>1515</v>
      </c>
      <c r="B1696" s="5" t="s">
        <v>3381</v>
      </c>
      <c r="C1696" s="9" t="s">
        <v>3597</v>
      </c>
      <c r="D1696" s="9" t="s">
        <v>3598</v>
      </c>
      <c r="E1696" s="5">
        <v>2020</v>
      </c>
      <c r="F1696" s="5">
        <v>2020</v>
      </c>
      <c r="G1696" s="14" t="s">
        <v>16</v>
      </c>
      <c r="H1696" s="6">
        <v>200</v>
      </c>
      <c r="I1696" s="6">
        <v>200</v>
      </c>
      <c r="J1696" s="5"/>
      <c r="K1696" s="13"/>
      <c r="L1696" s="10">
        <v>20201118</v>
      </c>
      <c r="M1696" s="36" t="str">
        <f t="shared" si="26"/>
        <v>19660109</v>
      </c>
    </row>
    <row r="1697" s="1" customFormat="1" spans="1:13">
      <c r="A1697" s="2">
        <v>1885</v>
      </c>
      <c r="B1697" s="5" t="s">
        <v>4189</v>
      </c>
      <c r="C1697" s="16" t="s">
        <v>4333</v>
      </c>
      <c r="D1697" s="16" t="s">
        <v>4334</v>
      </c>
      <c r="E1697" s="5" t="s">
        <v>15</v>
      </c>
      <c r="F1697" s="5" t="s">
        <v>15</v>
      </c>
      <c r="G1697" s="5" t="s">
        <v>3359</v>
      </c>
      <c r="H1697" s="16">
        <v>200</v>
      </c>
      <c r="I1697" s="16">
        <v>200</v>
      </c>
      <c r="J1697" s="5"/>
      <c r="K1697" s="10"/>
      <c r="L1697" s="10">
        <v>20201118</v>
      </c>
      <c r="M1697" s="36" t="str">
        <f t="shared" si="26"/>
        <v>19660110</v>
      </c>
    </row>
    <row r="1698" s="1" customFormat="1" spans="1:13">
      <c r="A1698" s="2">
        <v>2204</v>
      </c>
      <c r="B1698" s="9" t="s">
        <v>4837</v>
      </c>
      <c r="C1698" s="9" t="s">
        <v>3565</v>
      </c>
      <c r="D1698" s="9" t="s">
        <v>4956</v>
      </c>
      <c r="E1698" s="6" t="s">
        <v>15</v>
      </c>
      <c r="F1698" s="6">
        <v>2020</v>
      </c>
      <c r="G1698" s="9" t="s">
        <v>2480</v>
      </c>
      <c r="H1698" s="9">
        <v>200</v>
      </c>
      <c r="I1698" s="9">
        <v>200</v>
      </c>
      <c r="J1698" s="6"/>
      <c r="K1698" s="10"/>
      <c r="L1698" s="10">
        <v>20201118</v>
      </c>
      <c r="M1698" s="36" t="str">
        <f t="shared" si="26"/>
        <v>19660110</v>
      </c>
    </row>
    <row r="1699" s="1" customFormat="1" spans="1:13">
      <c r="A1699" s="2">
        <v>4626</v>
      </c>
      <c r="B1699" s="6" t="s">
        <v>9015</v>
      </c>
      <c r="C1699" s="6" t="s">
        <v>9420</v>
      </c>
      <c r="D1699" s="6" t="s">
        <v>9421</v>
      </c>
      <c r="E1699" s="6">
        <v>2020</v>
      </c>
      <c r="F1699" s="6">
        <v>2020</v>
      </c>
      <c r="G1699" s="6" t="s">
        <v>16</v>
      </c>
      <c r="H1699" s="6">
        <v>200</v>
      </c>
      <c r="I1699" s="6">
        <v>200</v>
      </c>
      <c r="J1699" s="6"/>
      <c r="K1699" s="6"/>
      <c r="L1699" s="10">
        <v>20201118</v>
      </c>
      <c r="M1699" s="36" t="str">
        <f t="shared" si="26"/>
        <v>19660114</v>
      </c>
    </row>
    <row r="1700" s="1" customFormat="1" spans="1:13">
      <c r="A1700" s="2">
        <v>1395</v>
      </c>
      <c r="B1700" s="5" t="s">
        <v>2469</v>
      </c>
      <c r="C1700" s="6" t="s">
        <v>3351</v>
      </c>
      <c r="D1700" s="6" t="s">
        <v>3352</v>
      </c>
      <c r="E1700" s="5">
        <v>2020</v>
      </c>
      <c r="F1700" s="5">
        <v>2020</v>
      </c>
      <c r="G1700" s="9" t="s">
        <v>2480</v>
      </c>
      <c r="H1700" s="9">
        <v>200</v>
      </c>
      <c r="I1700" s="9">
        <v>200</v>
      </c>
      <c r="J1700" s="5"/>
      <c r="K1700" s="10"/>
      <c r="L1700" s="10">
        <v>20201118</v>
      </c>
      <c r="M1700" s="36" t="str">
        <f t="shared" si="26"/>
        <v>19660115</v>
      </c>
    </row>
    <row r="1701" s="1" customFormat="1" spans="1:13">
      <c r="A1701" s="2">
        <v>4209</v>
      </c>
      <c r="B1701" s="9" t="s">
        <v>8515</v>
      </c>
      <c r="C1701" s="9" t="s">
        <v>8622</v>
      </c>
      <c r="D1701" s="9" t="s">
        <v>8623</v>
      </c>
      <c r="E1701" s="5" t="s">
        <v>15</v>
      </c>
      <c r="F1701" s="5">
        <v>2020</v>
      </c>
      <c r="G1701" s="9" t="s">
        <v>2480</v>
      </c>
      <c r="H1701" s="9">
        <v>200</v>
      </c>
      <c r="I1701" s="9">
        <v>200</v>
      </c>
      <c r="J1701" s="9"/>
      <c r="K1701" s="9"/>
      <c r="L1701" s="10">
        <v>20201118</v>
      </c>
      <c r="M1701" s="36" t="str">
        <f t="shared" si="26"/>
        <v>19660115</v>
      </c>
    </row>
    <row r="1702" s="1" customFormat="1" spans="1:13">
      <c r="A1702" s="2">
        <v>2522</v>
      </c>
      <c r="B1702" s="5" t="s">
        <v>5328</v>
      </c>
      <c r="C1702" s="16" t="s">
        <v>5578</v>
      </c>
      <c r="D1702" s="16" t="s">
        <v>5579</v>
      </c>
      <c r="E1702" s="5" t="s">
        <v>15</v>
      </c>
      <c r="F1702" s="5" t="s">
        <v>15</v>
      </c>
      <c r="G1702" s="14" t="s">
        <v>16</v>
      </c>
      <c r="H1702" s="6">
        <v>200</v>
      </c>
      <c r="I1702" s="6">
        <v>200</v>
      </c>
      <c r="J1702" s="5"/>
      <c r="K1702" s="5"/>
      <c r="L1702" s="10">
        <v>20201118</v>
      </c>
      <c r="M1702" s="36" t="str">
        <f t="shared" si="26"/>
        <v>19660120</v>
      </c>
    </row>
    <row r="1703" s="1" customFormat="1" spans="1:13">
      <c r="A1703" s="2">
        <v>2574</v>
      </c>
      <c r="B1703" s="32" t="s">
        <v>5602</v>
      </c>
      <c r="C1703" s="9" t="s">
        <v>5685</v>
      </c>
      <c r="D1703" s="9" t="s">
        <v>5686</v>
      </c>
      <c r="E1703" s="32">
        <v>2020</v>
      </c>
      <c r="F1703" s="32">
        <v>2020</v>
      </c>
      <c r="G1703" s="32" t="s">
        <v>16</v>
      </c>
      <c r="H1703" s="9">
        <v>200</v>
      </c>
      <c r="I1703" s="9">
        <v>200</v>
      </c>
      <c r="J1703" s="32"/>
      <c r="K1703" s="52"/>
      <c r="L1703" s="10">
        <v>20201118</v>
      </c>
      <c r="M1703" s="36" t="str">
        <f t="shared" si="26"/>
        <v>19660120</v>
      </c>
    </row>
    <row r="1704" s="1" customFormat="1" spans="1:13">
      <c r="A1704" s="2">
        <v>6148</v>
      </c>
      <c r="B1704" s="5" t="s">
        <v>12263</v>
      </c>
      <c r="C1704" s="5" t="s">
        <v>7179</v>
      </c>
      <c r="D1704" s="5" t="s">
        <v>12330</v>
      </c>
      <c r="E1704" s="5" t="s">
        <v>10250</v>
      </c>
      <c r="F1704" s="5">
        <v>2020</v>
      </c>
      <c r="G1704" s="17" t="s">
        <v>3359</v>
      </c>
      <c r="H1704" s="5">
        <v>200</v>
      </c>
      <c r="I1704" s="5">
        <v>200</v>
      </c>
      <c r="J1704" s="5"/>
      <c r="K1704" s="5"/>
      <c r="L1704" s="10">
        <v>20201118</v>
      </c>
      <c r="M1704" s="36" t="str">
        <f t="shared" si="26"/>
        <v>19660120</v>
      </c>
    </row>
    <row r="1705" s="1" customFormat="1" spans="1:13">
      <c r="A1705" s="2">
        <v>7298</v>
      </c>
      <c r="B1705" s="5" t="s">
        <v>13908</v>
      </c>
      <c r="C1705" s="5" t="s">
        <v>14234</v>
      </c>
      <c r="D1705" s="5" t="s">
        <v>14235</v>
      </c>
      <c r="E1705" s="5" t="s">
        <v>15</v>
      </c>
      <c r="F1705" s="5" t="s">
        <v>15</v>
      </c>
      <c r="G1705" s="14" t="s">
        <v>16</v>
      </c>
      <c r="H1705" s="17">
        <v>200</v>
      </c>
      <c r="I1705" s="17">
        <v>200</v>
      </c>
      <c r="J1705" s="5"/>
      <c r="K1705" s="10"/>
      <c r="L1705" s="10">
        <v>20201118</v>
      </c>
      <c r="M1705" s="36" t="str">
        <f t="shared" si="26"/>
        <v>19660120</v>
      </c>
    </row>
    <row r="1706" s="1" customFormat="1" spans="1:13">
      <c r="A1706" s="2">
        <v>509</v>
      </c>
      <c r="B1706" s="29" t="s">
        <v>1040</v>
      </c>
      <c r="C1706" s="29" t="s">
        <v>1295</v>
      </c>
      <c r="D1706" s="29" t="s">
        <v>1296</v>
      </c>
      <c r="E1706" s="30">
        <v>2020</v>
      </c>
      <c r="F1706" s="30">
        <v>2020</v>
      </c>
      <c r="G1706" s="29" t="s">
        <v>16</v>
      </c>
      <c r="H1706" s="29">
        <v>200</v>
      </c>
      <c r="I1706" s="29">
        <v>200</v>
      </c>
      <c r="J1706" s="29"/>
      <c r="K1706" s="47"/>
      <c r="L1706" s="14" t="s">
        <v>330</v>
      </c>
      <c r="M1706" s="36" t="str">
        <f t="shared" si="26"/>
        <v>19660123</v>
      </c>
    </row>
    <row r="1707" s="1" customFormat="1" spans="1:13">
      <c r="A1707" s="2">
        <v>727</v>
      </c>
      <c r="B1707" s="29" t="s">
        <v>1040</v>
      </c>
      <c r="C1707" s="5" t="s">
        <v>1831</v>
      </c>
      <c r="D1707" s="317" t="s">
        <v>1832</v>
      </c>
      <c r="E1707" s="30">
        <v>2020</v>
      </c>
      <c r="F1707" s="30">
        <v>2020</v>
      </c>
      <c r="G1707" s="29" t="s">
        <v>16</v>
      </c>
      <c r="H1707" s="29">
        <v>200</v>
      </c>
      <c r="I1707" s="29">
        <v>200</v>
      </c>
      <c r="J1707" s="29"/>
      <c r="K1707" s="54"/>
      <c r="L1707" s="2" t="s">
        <v>330</v>
      </c>
      <c r="M1707" s="36" t="str">
        <f t="shared" si="26"/>
        <v>19660123</v>
      </c>
    </row>
    <row r="1708" s="1" customFormat="1" spans="1:13">
      <c r="A1708" s="2">
        <v>1516</v>
      </c>
      <c r="B1708" s="5" t="s">
        <v>3381</v>
      </c>
      <c r="C1708" s="9" t="s">
        <v>3599</v>
      </c>
      <c r="D1708" s="9" t="s">
        <v>3600</v>
      </c>
      <c r="E1708" s="5">
        <v>2020</v>
      </c>
      <c r="F1708" s="5">
        <v>2020</v>
      </c>
      <c r="G1708" s="14" t="s">
        <v>16</v>
      </c>
      <c r="H1708" s="6">
        <v>200</v>
      </c>
      <c r="I1708" s="6">
        <v>200</v>
      </c>
      <c r="J1708" s="5"/>
      <c r="K1708" s="13"/>
      <c r="L1708" s="10">
        <v>20201118</v>
      </c>
      <c r="M1708" s="36" t="str">
        <f t="shared" si="26"/>
        <v>19660123</v>
      </c>
    </row>
    <row r="1709" s="1" customFormat="1" spans="1:13">
      <c r="A1709" s="2">
        <v>2205</v>
      </c>
      <c r="B1709" s="9" t="s">
        <v>4837</v>
      </c>
      <c r="C1709" s="9" t="s">
        <v>4957</v>
      </c>
      <c r="D1709" s="9" t="s">
        <v>4958</v>
      </c>
      <c r="E1709" s="6" t="s">
        <v>15</v>
      </c>
      <c r="F1709" s="6">
        <v>2020</v>
      </c>
      <c r="G1709" s="9" t="s">
        <v>2480</v>
      </c>
      <c r="H1709" s="9">
        <v>200</v>
      </c>
      <c r="I1709" s="9">
        <v>200</v>
      </c>
      <c r="J1709" s="6"/>
      <c r="K1709" s="10"/>
      <c r="L1709" s="10">
        <v>20201118</v>
      </c>
      <c r="M1709" s="36" t="str">
        <f t="shared" si="26"/>
        <v>19660123</v>
      </c>
    </row>
    <row r="1710" s="1" customFormat="1" spans="1:13">
      <c r="A1710" s="2">
        <v>6154</v>
      </c>
      <c r="B1710" s="5" t="s">
        <v>12263</v>
      </c>
      <c r="C1710" s="5" t="s">
        <v>3471</v>
      </c>
      <c r="D1710" s="5" t="s">
        <v>12341</v>
      </c>
      <c r="E1710" s="5" t="s">
        <v>10250</v>
      </c>
      <c r="F1710" s="5">
        <v>2020</v>
      </c>
      <c r="G1710" s="17" t="s">
        <v>3359</v>
      </c>
      <c r="H1710" s="5">
        <v>200</v>
      </c>
      <c r="I1710" s="5">
        <v>200</v>
      </c>
      <c r="J1710" s="5"/>
      <c r="K1710" s="5"/>
      <c r="L1710" s="10">
        <v>20201118</v>
      </c>
      <c r="M1710" s="36" t="str">
        <f t="shared" si="26"/>
        <v>19660124</v>
      </c>
    </row>
    <row r="1711" s="1" customFormat="1" spans="1:13">
      <c r="A1711" s="2">
        <v>240</v>
      </c>
      <c r="B1711" s="14" t="s">
        <v>327</v>
      </c>
      <c r="C1711" s="14" t="s">
        <v>606</v>
      </c>
      <c r="D1711" s="14" t="s">
        <v>607</v>
      </c>
      <c r="E1711" s="5">
        <v>2020</v>
      </c>
      <c r="F1711" s="5">
        <v>2020</v>
      </c>
      <c r="G1711" s="14" t="s">
        <v>16</v>
      </c>
      <c r="H1711" s="14">
        <v>200</v>
      </c>
      <c r="I1711" s="14">
        <v>200</v>
      </c>
      <c r="J1711" s="14"/>
      <c r="K1711" s="10"/>
      <c r="L1711" s="14" t="s">
        <v>330</v>
      </c>
      <c r="M1711" s="36" t="str">
        <f t="shared" si="26"/>
        <v>19660125</v>
      </c>
    </row>
    <row r="1712" s="1" customFormat="1" spans="1:13">
      <c r="A1712" s="2">
        <v>4450</v>
      </c>
      <c r="B1712" s="6" t="s">
        <v>9015</v>
      </c>
      <c r="C1712" s="6" t="s">
        <v>9087</v>
      </c>
      <c r="D1712" s="6" t="s">
        <v>9088</v>
      </c>
      <c r="E1712" s="6">
        <v>2020</v>
      </c>
      <c r="F1712" s="6">
        <v>2020</v>
      </c>
      <c r="G1712" s="6" t="s">
        <v>16</v>
      </c>
      <c r="H1712" s="6">
        <v>200</v>
      </c>
      <c r="I1712" s="6">
        <v>200</v>
      </c>
      <c r="J1712" s="6" t="s">
        <v>108</v>
      </c>
      <c r="K1712" s="6"/>
      <c r="L1712" s="10">
        <v>20201118</v>
      </c>
      <c r="M1712" s="36" t="str">
        <f t="shared" si="26"/>
        <v>19660125</v>
      </c>
    </row>
    <row r="1713" s="1" customFormat="1" spans="1:13">
      <c r="A1713" s="2">
        <v>6994</v>
      </c>
      <c r="B1713" s="5" t="s">
        <v>13533</v>
      </c>
      <c r="C1713" s="32" t="s">
        <v>13741</v>
      </c>
      <c r="D1713" s="32" t="str">
        <f>"152326196601267117"</f>
        <v>152326196601267117</v>
      </c>
      <c r="E1713" s="5">
        <v>2020</v>
      </c>
      <c r="F1713" s="5">
        <v>2020</v>
      </c>
      <c r="G1713" s="9" t="s">
        <v>2480</v>
      </c>
      <c r="H1713" s="32">
        <v>200</v>
      </c>
      <c r="I1713" s="32">
        <v>200</v>
      </c>
      <c r="J1713" s="32"/>
      <c r="K1713" s="10"/>
      <c r="L1713" s="10">
        <v>20201118</v>
      </c>
      <c r="M1713" s="36" t="str">
        <f t="shared" si="26"/>
        <v>19660126</v>
      </c>
    </row>
    <row r="1714" s="1" customFormat="1" spans="1:13">
      <c r="A1714" s="2">
        <v>5093</v>
      </c>
      <c r="B1714" s="6" t="s">
        <v>10242</v>
      </c>
      <c r="C1714" s="9" t="s">
        <v>10317</v>
      </c>
      <c r="D1714" s="9" t="s">
        <v>10318</v>
      </c>
      <c r="E1714" s="5" t="s">
        <v>10250</v>
      </c>
      <c r="F1714" s="5">
        <v>2020</v>
      </c>
      <c r="G1714" s="6" t="s">
        <v>16</v>
      </c>
      <c r="H1714" s="6">
        <v>200</v>
      </c>
      <c r="I1714" s="6">
        <v>200</v>
      </c>
      <c r="J1714" s="6"/>
      <c r="K1714" s="5"/>
      <c r="L1714" s="10">
        <v>20201118</v>
      </c>
      <c r="M1714" s="36" t="str">
        <f t="shared" si="26"/>
        <v>19660201</v>
      </c>
    </row>
    <row r="1715" s="1" customFormat="1" spans="1:13">
      <c r="A1715" s="2">
        <v>6259</v>
      </c>
      <c r="B1715" s="5" t="s">
        <v>12263</v>
      </c>
      <c r="C1715" s="5" t="s">
        <v>12539</v>
      </c>
      <c r="D1715" s="5" t="s">
        <v>12540</v>
      </c>
      <c r="E1715" s="5" t="s">
        <v>10250</v>
      </c>
      <c r="F1715" s="5">
        <v>2020</v>
      </c>
      <c r="G1715" s="17" t="s">
        <v>3359</v>
      </c>
      <c r="H1715" s="5">
        <v>200</v>
      </c>
      <c r="I1715" s="5">
        <v>200</v>
      </c>
      <c r="J1715" s="5"/>
      <c r="K1715" s="5"/>
      <c r="L1715" s="10">
        <v>20201118</v>
      </c>
      <c r="M1715" s="36" t="str">
        <f t="shared" si="26"/>
        <v>19660201</v>
      </c>
    </row>
    <row r="1716" s="1" customFormat="1" spans="1:13">
      <c r="A1716" s="2">
        <v>259</v>
      </c>
      <c r="B1716" s="14" t="s">
        <v>327</v>
      </c>
      <c r="C1716" s="17" t="s">
        <v>663</v>
      </c>
      <c r="D1716" s="17" t="s">
        <v>664</v>
      </c>
      <c r="E1716" s="5">
        <v>2020</v>
      </c>
      <c r="F1716" s="5">
        <v>2020</v>
      </c>
      <c r="G1716" s="14" t="s">
        <v>16</v>
      </c>
      <c r="H1716" s="14">
        <v>200</v>
      </c>
      <c r="I1716" s="17">
        <v>200</v>
      </c>
      <c r="J1716" s="17"/>
      <c r="K1716" s="10"/>
      <c r="L1716" s="2" t="s">
        <v>330</v>
      </c>
      <c r="M1716" s="36" t="str">
        <f t="shared" si="26"/>
        <v>19660202</v>
      </c>
    </row>
    <row r="1717" s="1" customFormat="1" spans="1:13">
      <c r="A1717" s="2">
        <v>4958</v>
      </c>
      <c r="B1717" s="6" t="s">
        <v>9954</v>
      </c>
      <c r="C1717" s="60" t="s">
        <v>10056</v>
      </c>
      <c r="D1717" s="60" t="s">
        <v>10057</v>
      </c>
      <c r="E1717" s="5" t="s">
        <v>15</v>
      </c>
      <c r="F1717" s="5" t="s">
        <v>15</v>
      </c>
      <c r="G1717" s="14" t="s">
        <v>16</v>
      </c>
      <c r="H1717" s="6">
        <v>200</v>
      </c>
      <c r="I1717" s="6">
        <v>200</v>
      </c>
      <c r="J1717" s="6"/>
      <c r="K1717" s="6"/>
      <c r="L1717" s="10">
        <v>20201118</v>
      </c>
      <c r="M1717" s="36" t="str">
        <f t="shared" si="26"/>
        <v>19660202</v>
      </c>
    </row>
    <row r="1718" s="1" customFormat="1" spans="1:13">
      <c r="A1718" s="2">
        <v>4995</v>
      </c>
      <c r="B1718" s="6" t="s">
        <v>9954</v>
      </c>
      <c r="C1718" s="60" t="s">
        <v>10128</v>
      </c>
      <c r="D1718" s="60" t="s">
        <v>10129</v>
      </c>
      <c r="E1718" s="5" t="s">
        <v>15</v>
      </c>
      <c r="F1718" s="5" t="s">
        <v>15</v>
      </c>
      <c r="G1718" s="14" t="s">
        <v>16</v>
      </c>
      <c r="H1718" s="6">
        <v>200</v>
      </c>
      <c r="I1718" s="6">
        <v>200</v>
      </c>
      <c r="J1718" s="6"/>
      <c r="K1718" s="6"/>
      <c r="L1718" s="10">
        <v>20201118</v>
      </c>
      <c r="M1718" s="36" t="str">
        <f t="shared" si="26"/>
        <v>19660202</v>
      </c>
    </row>
    <row r="1719" s="1" customFormat="1" spans="1:13">
      <c r="A1719" s="2">
        <v>1517</v>
      </c>
      <c r="B1719" s="5" t="s">
        <v>3381</v>
      </c>
      <c r="C1719" s="9" t="s">
        <v>3601</v>
      </c>
      <c r="D1719" s="9" t="s">
        <v>3602</v>
      </c>
      <c r="E1719" s="5">
        <v>2020</v>
      </c>
      <c r="F1719" s="5">
        <v>2020</v>
      </c>
      <c r="G1719" s="14" t="s">
        <v>16</v>
      </c>
      <c r="H1719" s="6">
        <v>200</v>
      </c>
      <c r="I1719" s="6">
        <v>200</v>
      </c>
      <c r="J1719" s="5"/>
      <c r="K1719" s="13"/>
      <c r="L1719" s="10">
        <v>20201118</v>
      </c>
      <c r="M1719" s="36" t="str">
        <f t="shared" si="26"/>
        <v>19660203</v>
      </c>
    </row>
    <row r="1720" s="1" customFormat="1" spans="1:13">
      <c r="A1720" s="2">
        <v>3713</v>
      </c>
      <c r="B1720" s="5" t="s">
        <v>7412</v>
      </c>
      <c r="C1720" s="5" t="s">
        <v>7681</v>
      </c>
      <c r="D1720" s="5" t="s">
        <v>7682</v>
      </c>
      <c r="E1720" s="6">
        <v>2020</v>
      </c>
      <c r="F1720" s="6">
        <v>2020</v>
      </c>
      <c r="G1720" s="5" t="s">
        <v>3359</v>
      </c>
      <c r="H1720" s="5">
        <v>200</v>
      </c>
      <c r="I1720" s="5">
        <v>200</v>
      </c>
      <c r="J1720" s="5"/>
      <c r="K1720" s="5"/>
      <c r="L1720" s="10">
        <v>20201118</v>
      </c>
      <c r="M1720" s="36" t="str">
        <f t="shared" si="26"/>
        <v>19660204</v>
      </c>
    </row>
    <row r="1721" s="1" customFormat="1" spans="1:13">
      <c r="A1721" s="2">
        <v>4993</v>
      </c>
      <c r="B1721" s="6" t="s">
        <v>9954</v>
      </c>
      <c r="C1721" s="60" t="s">
        <v>10124</v>
      </c>
      <c r="D1721" s="60" t="s">
        <v>10125</v>
      </c>
      <c r="E1721" s="5" t="s">
        <v>15</v>
      </c>
      <c r="F1721" s="5" t="s">
        <v>15</v>
      </c>
      <c r="G1721" s="14" t="s">
        <v>16</v>
      </c>
      <c r="H1721" s="6">
        <v>500</v>
      </c>
      <c r="I1721" s="6">
        <v>500</v>
      </c>
      <c r="J1721" s="6"/>
      <c r="K1721" s="6"/>
      <c r="L1721" s="10">
        <v>20201118</v>
      </c>
      <c r="M1721" s="36" t="str">
        <f t="shared" si="26"/>
        <v>19660204</v>
      </c>
    </row>
    <row r="1722" s="1" customFormat="1" spans="1:13">
      <c r="A1722" s="2">
        <v>7388</v>
      </c>
      <c r="B1722" s="5" t="s">
        <v>13908</v>
      </c>
      <c r="C1722" s="5" t="s">
        <v>14398</v>
      </c>
      <c r="D1722" s="5" t="s">
        <v>14399</v>
      </c>
      <c r="E1722" s="5" t="s">
        <v>14400</v>
      </c>
      <c r="F1722" s="5" t="s">
        <v>15</v>
      </c>
      <c r="G1722" s="14" t="s">
        <v>2460</v>
      </c>
      <c r="H1722" s="17">
        <v>200</v>
      </c>
      <c r="I1722" s="17">
        <v>2200</v>
      </c>
      <c r="J1722" s="5"/>
      <c r="K1722" s="10"/>
      <c r="L1722" s="10">
        <v>20201118</v>
      </c>
      <c r="M1722" s="36" t="str">
        <f t="shared" si="26"/>
        <v>19660204</v>
      </c>
    </row>
    <row r="1723" s="1" customFormat="1" spans="1:13">
      <c r="A1723" s="2">
        <v>8028</v>
      </c>
      <c r="B1723" s="5" t="s">
        <v>15086</v>
      </c>
      <c r="C1723" s="6" t="s">
        <v>15305</v>
      </c>
      <c r="D1723" s="6" t="str">
        <f>"152326196602056864"</f>
        <v>152326196602056864</v>
      </c>
      <c r="E1723" s="5" t="s">
        <v>15</v>
      </c>
      <c r="F1723" s="5">
        <v>2020</v>
      </c>
      <c r="G1723" s="5" t="s">
        <v>16</v>
      </c>
      <c r="H1723" s="5">
        <v>200</v>
      </c>
      <c r="I1723" s="5">
        <v>200</v>
      </c>
      <c r="J1723" s="5"/>
      <c r="K1723" s="5"/>
      <c r="L1723" s="10">
        <v>20201118</v>
      </c>
      <c r="M1723" s="36" t="str">
        <f t="shared" si="26"/>
        <v>19660205</v>
      </c>
    </row>
    <row r="1724" s="1" customFormat="1" spans="1:13">
      <c r="A1724" s="2">
        <v>6565</v>
      </c>
      <c r="B1724" s="5" t="s">
        <v>13027</v>
      </c>
      <c r="C1724" s="15" t="s">
        <v>4182</v>
      </c>
      <c r="D1724" s="15" t="s">
        <v>13123</v>
      </c>
      <c r="E1724" s="5">
        <v>2020</v>
      </c>
      <c r="F1724" s="5">
        <v>2020</v>
      </c>
      <c r="G1724" s="14" t="s">
        <v>16</v>
      </c>
      <c r="H1724" s="15">
        <v>200</v>
      </c>
      <c r="I1724" s="15">
        <v>200</v>
      </c>
      <c r="J1724" s="5"/>
      <c r="K1724" s="10"/>
      <c r="L1724" s="10">
        <v>20201118</v>
      </c>
      <c r="M1724" s="36" t="str">
        <f t="shared" si="26"/>
        <v>19660207</v>
      </c>
    </row>
    <row r="1725" s="1" customFormat="1" spans="1:13">
      <c r="A1725" s="2">
        <v>1518</v>
      </c>
      <c r="B1725" s="5" t="s">
        <v>3381</v>
      </c>
      <c r="C1725" s="9" t="s">
        <v>3603</v>
      </c>
      <c r="D1725" s="9" t="s">
        <v>3604</v>
      </c>
      <c r="E1725" s="5">
        <v>2020</v>
      </c>
      <c r="F1725" s="5">
        <v>2020</v>
      </c>
      <c r="G1725" s="14" t="s">
        <v>16</v>
      </c>
      <c r="H1725" s="6">
        <v>200</v>
      </c>
      <c r="I1725" s="6">
        <v>200</v>
      </c>
      <c r="J1725" s="5"/>
      <c r="K1725" s="13"/>
      <c r="L1725" s="10">
        <v>20201118</v>
      </c>
      <c r="M1725" s="36" t="str">
        <f t="shared" si="26"/>
        <v>19660208</v>
      </c>
    </row>
    <row r="1726" s="1" customFormat="1" spans="1:13">
      <c r="A1726" s="2">
        <v>7209</v>
      </c>
      <c r="B1726" s="5" t="s">
        <v>13908</v>
      </c>
      <c r="C1726" s="5" t="s">
        <v>14066</v>
      </c>
      <c r="D1726" s="5" t="s">
        <v>14067</v>
      </c>
      <c r="E1726" s="5" t="s">
        <v>15</v>
      </c>
      <c r="F1726" s="5" t="s">
        <v>15</v>
      </c>
      <c r="G1726" s="14" t="s">
        <v>16</v>
      </c>
      <c r="H1726" s="17">
        <v>200</v>
      </c>
      <c r="I1726" s="17">
        <v>200</v>
      </c>
      <c r="J1726" s="5" t="s">
        <v>768</v>
      </c>
      <c r="K1726" s="10"/>
      <c r="L1726" s="10">
        <v>20201118</v>
      </c>
      <c r="M1726" s="36" t="str">
        <f t="shared" si="26"/>
        <v>19660208</v>
      </c>
    </row>
    <row r="1727" s="1" customFormat="1" spans="1:13">
      <c r="A1727" s="2">
        <v>1519</v>
      </c>
      <c r="B1727" s="5" t="s">
        <v>3381</v>
      </c>
      <c r="C1727" s="9" t="s">
        <v>3605</v>
      </c>
      <c r="D1727" s="9" t="s">
        <v>3606</v>
      </c>
      <c r="E1727" s="5">
        <v>2020</v>
      </c>
      <c r="F1727" s="5">
        <v>2020</v>
      </c>
      <c r="G1727" s="14" t="s">
        <v>16</v>
      </c>
      <c r="H1727" s="6">
        <v>200</v>
      </c>
      <c r="I1727" s="6">
        <v>200</v>
      </c>
      <c r="J1727" s="5"/>
      <c r="K1727" s="13"/>
      <c r="L1727" s="10">
        <v>20201118</v>
      </c>
      <c r="M1727" s="36" t="str">
        <f t="shared" si="26"/>
        <v>19660210</v>
      </c>
    </row>
    <row r="1728" s="1" customFormat="1" ht="14.25" spans="1:13">
      <c r="A1728" s="2">
        <v>3243</v>
      </c>
      <c r="B1728" s="3" t="s">
        <v>6671</v>
      </c>
      <c r="C1728" s="8" t="s">
        <v>6990</v>
      </c>
      <c r="D1728" s="8" t="s">
        <v>6991</v>
      </c>
      <c r="E1728" s="3" t="s">
        <v>15</v>
      </c>
      <c r="F1728" s="3" t="s">
        <v>15</v>
      </c>
      <c r="G1728" s="6" t="s">
        <v>3359</v>
      </c>
      <c r="H1728" s="9">
        <v>200</v>
      </c>
      <c r="I1728" s="9">
        <v>200</v>
      </c>
      <c r="J1728" s="6"/>
      <c r="K1728" s="5"/>
      <c r="L1728" s="10">
        <v>20201118</v>
      </c>
      <c r="M1728" s="36" t="str">
        <f t="shared" si="26"/>
        <v>19660212</v>
      </c>
    </row>
    <row r="1729" s="1" customFormat="1" spans="1:13">
      <c r="A1729" s="2">
        <v>8175</v>
      </c>
      <c r="B1729" s="5" t="s">
        <v>15406</v>
      </c>
      <c r="C1729" s="6" t="s">
        <v>15538</v>
      </c>
      <c r="D1729" s="6" t="s">
        <v>15539</v>
      </c>
      <c r="E1729" s="5" t="s">
        <v>15</v>
      </c>
      <c r="F1729" s="5">
        <v>2020</v>
      </c>
      <c r="G1729" s="14" t="s">
        <v>16</v>
      </c>
      <c r="H1729" s="6" t="s">
        <v>311</v>
      </c>
      <c r="I1729" s="6">
        <v>200</v>
      </c>
      <c r="J1729" s="5"/>
      <c r="K1729" s="10"/>
      <c r="L1729" s="10">
        <v>20201118</v>
      </c>
      <c r="M1729" s="36" t="str">
        <f t="shared" si="26"/>
        <v>19660212</v>
      </c>
    </row>
    <row r="1730" s="1" customFormat="1" spans="1:13">
      <c r="A1730" s="2">
        <v>695</v>
      </c>
      <c r="B1730" s="29" t="s">
        <v>1040</v>
      </c>
      <c r="C1730" s="47" t="s">
        <v>1737</v>
      </c>
      <c r="D1730" s="47" t="s">
        <v>1738</v>
      </c>
      <c r="E1730" s="30">
        <v>2020</v>
      </c>
      <c r="F1730" s="30">
        <v>2020</v>
      </c>
      <c r="G1730" s="29" t="s">
        <v>16</v>
      </c>
      <c r="H1730" s="29">
        <v>200</v>
      </c>
      <c r="I1730" s="29">
        <v>200</v>
      </c>
      <c r="J1730" s="29"/>
      <c r="K1730" s="54"/>
      <c r="L1730" s="2" t="s">
        <v>330</v>
      </c>
      <c r="M1730" s="36" t="str">
        <f t="shared" ref="M1730:M1793" si="27">MID(D1730,7,8)</f>
        <v>19660213</v>
      </c>
    </row>
    <row r="1731" s="1" customFormat="1" spans="1:13">
      <c r="A1731" s="2">
        <v>4210</v>
      </c>
      <c r="B1731" s="9" t="s">
        <v>8515</v>
      </c>
      <c r="C1731" s="9" t="s">
        <v>8624</v>
      </c>
      <c r="D1731" s="9" t="s">
        <v>8625</v>
      </c>
      <c r="E1731" s="5" t="s">
        <v>15</v>
      </c>
      <c r="F1731" s="5">
        <v>2020</v>
      </c>
      <c r="G1731" s="9" t="s">
        <v>2480</v>
      </c>
      <c r="H1731" s="9">
        <v>200</v>
      </c>
      <c r="I1731" s="9">
        <v>200</v>
      </c>
      <c r="J1731" s="9"/>
      <c r="K1731" s="9"/>
      <c r="L1731" s="10">
        <v>20201118</v>
      </c>
      <c r="M1731" s="36" t="str">
        <f t="shared" si="27"/>
        <v>19660213</v>
      </c>
    </row>
    <row r="1732" s="1" customFormat="1" spans="1:13">
      <c r="A1732" s="2">
        <v>6234</v>
      </c>
      <c r="B1732" s="5" t="s">
        <v>12263</v>
      </c>
      <c r="C1732" s="5" t="s">
        <v>12492</v>
      </c>
      <c r="D1732" s="5" t="s">
        <v>12493</v>
      </c>
      <c r="E1732" s="5" t="s">
        <v>10250</v>
      </c>
      <c r="F1732" s="5">
        <v>2020</v>
      </c>
      <c r="G1732" s="17" t="s">
        <v>3359</v>
      </c>
      <c r="H1732" s="5">
        <v>200</v>
      </c>
      <c r="I1732" s="5">
        <v>200</v>
      </c>
      <c r="J1732" s="5"/>
      <c r="K1732" s="5"/>
      <c r="L1732" s="10">
        <v>20201118</v>
      </c>
      <c r="M1732" s="36" t="str">
        <f t="shared" si="27"/>
        <v>19660213</v>
      </c>
    </row>
    <row r="1733" s="1" customFormat="1" spans="1:13">
      <c r="A1733" s="2">
        <v>2575</v>
      </c>
      <c r="B1733" s="32" t="s">
        <v>5602</v>
      </c>
      <c r="C1733" s="9" t="s">
        <v>2558</v>
      </c>
      <c r="D1733" s="9" t="s">
        <v>5687</v>
      </c>
      <c r="E1733" s="32">
        <v>2020</v>
      </c>
      <c r="F1733" s="32">
        <v>2020</v>
      </c>
      <c r="G1733" s="32" t="s">
        <v>16</v>
      </c>
      <c r="H1733" s="9">
        <v>200</v>
      </c>
      <c r="I1733" s="9">
        <v>200</v>
      </c>
      <c r="J1733" s="32"/>
      <c r="K1733" s="52"/>
      <c r="L1733" s="10">
        <v>20201118</v>
      </c>
      <c r="M1733" s="36" t="str">
        <f t="shared" si="27"/>
        <v>19660214</v>
      </c>
    </row>
    <row r="1734" s="1" customFormat="1" spans="1:13">
      <c r="A1734" s="2">
        <v>3714</v>
      </c>
      <c r="B1734" s="5" t="s">
        <v>7412</v>
      </c>
      <c r="C1734" s="5" t="s">
        <v>7683</v>
      </c>
      <c r="D1734" s="5" t="s">
        <v>7684</v>
      </c>
      <c r="E1734" s="6">
        <v>2020</v>
      </c>
      <c r="F1734" s="6">
        <v>2020</v>
      </c>
      <c r="G1734" s="5" t="s">
        <v>3359</v>
      </c>
      <c r="H1734" s="5">
        <v>200</v>
      </c>
      <c r="I1734" s="5">
        <v>200</v>
      </c>
      <c r="J1734" s="5"/>
      <c r="K1734" s="5"/>
      <c r="L1734" s="10">
        <v>20201118</v>
      </c>
      <c r="M1734" s="36" t="str">
        <f t="shared" si="27"/>
        <v>19660214</v>
      </c>
    </row>
    <row r="1735" s="1" customFormat="1" spans="1:13">
      <c r="A1735" s="2">
        <v>5727</v>
      </c>
      <c r="B1735" s="30" t="s">
        <v>11090</v>
      </c>
      <c r="C1735" s="30" t="s">
        <v>11539</v>
      </c>
      <c r="D1735" s="30" t="s">
        <v>11540</v>
      </c>
      <c r="E1735" s="5" t="s">
        <v>15</v>
      </c>
      <c r="F1735" s="5" t="s">
        <v>10250</v>
      </c>
      <c r="G1735" s="6" t="s">
        <v>16</v>
      </c>
      <c r="H1735" s="32">
        <v>200</v>
      </c>
      <c r="I1735" s="32">
        <v>200</v>
      </c>
      <c r="J1735" s="6"/>
      <c r="K1735" s="48"/>
      <c r="L1735" s="10">
        <v>20201118</v>
      </c>
      <c r="M1735" s="36" t="str">
        <f t="shared" si="27"/>
        <v>19660214</v>
      </c>
    </row>
    <row r="1736" s="1" customFormat="1" spans="1:13">
      <c r="A1736" s="2">
        <v>1886</v>
      </c>
      <c r="B1736" s="5" t="s">
        <v>4189</v>
      </c>
      <c r="C1736" s="16" t="s">
        <v>4335</v>
      </c>
      <c r="D1736" s="16" t="s">
        <v>4336</v>
      </c>
      <c r="E1736" s="5" t="s">
        <v>15</v>
      </c>
      <c r="F1736" s="5" t="s">
        <v>15</v>
      </c>
      <c r="G1736" s="5" t="s">
        <v>3359</v>
      </c>
      <c r="H1736" s="16">
        <v>200</v>
      </c>
      <c r="I1736" s="16">
        <v>200</v>
      </c>
      <c r="J1736" s="5"/>
      <c r="K1736" s="10"/>
      <c r="L1736" s="10">
        <v>20201118</v>
      </c>
      <c r="M1736" s="36" t="str">
        <f t="shared" si="27"/>
        <v>19660215</v>
      </c>
    </row>
    <row r="1737" s="1" customFormat="1" spans="1:13">
      <c r="A1737" s="2">
        <v>8151</v>
      </c>
      <c r="B1737" s="5" t="s">
        <v>15406</v>
      </c>
      <c r="C1737" s="6" t="s">
        <v>15494</v>
      </c>
      <c r="D1737" s="6" t="s">
        <v>15495</v>
      </c>
      <c r="E1737" s="5" t="s">
        <v>15</v>
      </c>
      <c r="F1737" s="5">
        <v>2020</v>
      </c>
      <c r="G1737" s="14" t="s">
        <v>16</v>
      </c>
      <c r="H1737" s="6">
        <v>200</v>
      </c>
      <c r="I1737" s="6">
        <v>200</v>
      </c>
      <c r="J1737" s="5"/>
      <c r="K1737" s="10"/>
      <c r="L1737" s="10">
        <v>20201118</v>
      </c>
      <c r="M1737" s="36" t="str">
        <f t="shared" si="27"/>
        <v>19660216</v>
      </c>
    </row>
    <row r="1738" s="1" customFormat="1" spans="1:13">
      <c r="A1738" s="2">
        <v>3715</v>
      </c>
      <c r="B1738" s="5" t="s">
        <v>7412</v>
      </c>
      <c r="C1738" s="5" t="s">
        <v>6539</v>
      </c>
      <c r="D1738" s="5" t="s">
        <v>7685</v>
      </c>
      <c r="E1738" s="6">
        <v>2020</v>
      </c>
      <c r="F1738" s="6">
        <v>2020</v>
      </c>
      <c r="G1738" s="5" t="s">
        <v>3359</v>
      </c>
      <c r="H1738" s="5">
        <v>200</v>
      </c>
      <c r="I1738" s="5">
        <v>200</v>
      </c>
      <c r="J1738" s="5"/>
      <c r="K1738" s="5"/>
      <c r="L1738" s="10">
        <v>20201118</v>
      </c>
      <c r="M1738" s="36" t="str">
        <f t="shared" si="27"/>
        <v>19660220</v>
      </c>
    </row>
    <row r="1739" s="1" customFormat="1" spans="1:13">
      <c r="A1739" s="2">
        <v>3716</v>
      </c>
      <c r="B1739" s="5" t="s">
        <v>7412</v>
      </c>
      <c r="C1739" s="5" t="s">
        <v>7686</v>
      </c>
      <c r="D1739" s="5" t="s">
        <v>7687</v>
      </c>
      <c r="E1739" s="6">
        <v>2020</v>
      </c>
      <c r="F1739" s="6">
        <v>2020</v>
      </c>
      <c r="G1739" s="5" t="s">
        <v>3359</v>
      </c>
      <c r="H1739" s="5">
        <v>200</v>
      </c>
      <c r="I1739" s="5">
        <v>200</v>
      </c>
      <c r="J1739" s="5"/>
      <c r="K1739" s="5"/>
      <c r="L1739" s="10">
        <v>20201118</v>
      </c>
      <c r="M1739" s="36" t="str">
        <f t="shared" si="27"/>
        <v>19660220</v>
      </c>
    </row>
    <row r="1740" s="1" customFormat="1" spans="1:13">
      <c r="A1740" s="2">
        <v>482</v>
      </c>
      <c r="B1740" s="29" t="s">
        <v>1040</v>
      </c>
      <c r="C1740" s="29" t="s">
        <v>1240</v>
      </c>
      <c r="D1740" s="29" t="s">
        <v>1241</v>
      </c>
      <c r="E1740" s="30">
        <v>2020</v>
      </c>
      <c r="F1740" s="30">
        <v>2020</v>
      </c>
      <c r="G1740" s="29" t="s">
        <v>16</v>
      </c>
      <c r="H1740" s="29">
        <v>200</v>
      </c>
      <c r="I1740" s="29">
        <v>200</v>
      </c>
      <c r="J1740" s="29"/>
      <c r="K1740" s="47"/>
      <c r="L1740" s="2" t="s">
        <v>330</v>
      </c>
      <c r="M1740" s="36" t="str">
        <f t="shared" si="27"/>
        <v>19660221</v>
      </c>
    </row>
    <row r="1741" s="1" customFormat="1" spans="1:13">
      <c r="A1741" s="2">
        <v>5</v>
      </c>
      <c r="B1741" s="2" t="s">
        <v>12</v>
      </c>
      <c r="C1741" s="2" t="s">
        <v>23</v>
      </c>
      <c r="D1741" s="2" t="s">
        <v>24</v>
      </c>
      <c r="E1741" s="3" t="s">
        <v>15</v>
      </c>
      <c r="F1741" s="3" t="s">
        <v>15</v>
      </c>
      <c r="G1741" s="2" t="s">
        <v>16</v>
      </c>
      <c r="H1741" s="2">
        <v>500</v>
      </c>
      <c r="I1741" s="2">
        <v>500</v>
      </c>
      <c r="J1741" s="2"/>
      <c r="K1741" s="2"/>
      <c r="L1741" s="10">
        <v>20201118</v>
      </c>
      <c r="M1741" s="36" t="str">
        <f t="shared" si="27"/>
        <v>19660223</v>
      </c>
    </row>
    <row r="1742" s="1" customFormat="1" spans="1:13">
      <c r="A1742" s="2">
        <v>4687</v>
      </c>
      <c r="B1742" s="6" t="s">
        <v>9015</v>
      </c>
      <c r="C1742" s="6" t="s">
        <v>9536</v>
      </c>
      <c r="D1742" s="6" t="s">
        <v>9537</v>
      </c>
      <c r="E1742" s="6">
        <v>2020</v>
      </c>
      <c r="F1742" s="6">
        <v>2020</v>
      </c>
      <c r="G1742" s="6" t="s">
        <v>16</v>
      </c>
      <c r="H1742" s="6">
        <v>200</v>
      </c>
      <c r="I1742" s="6">
        <v>200</v>
      </c>
      <c r="J1742" s="6" t="s">
        <v>108</v>
      </c>
      <c r="K1742" s="6"/>
      <c r="L1742" s="10">
        <v>20201118</v>
      </c>
      <c r="M1742" s="36" t="str">
        <f t="shared" si="27"/>
        <v>19660223</v>
      </c>
    </row>
    <row r="1743" s="1" customFormat="1" spans="1:13">
      <c r="A1743" s="2">
        <v>3448</v>
      </c>
      <c r="B1743" s="5" t="s">
        <v>3375</v>
      </c>
      <c r="C1743" s="6" t="s">
        <v>7225</v>
      </c>
      <c r="D1743" s="6" t="str">
        <f>"152326196602256874"</f>
        <v>152326196602256874</v>
      </c>
      <c r="E1743" s="5" t="s">
        <v>15</v>
      </c>
      <c r="F1743" s="5">
        <v>2020</v>
      </c>
      <c r="G1743" s="14" t="s">
        <v>16</v>
      </c>
      <c r="H1743" s="17">
        <v>200</v>
      </c>
      <c r="I1743" s="17">
        <v>200</v>
      </c>
      <c r="J1743" s="6"/>
      <c r="K1743" s="10"/>
      <c r="L1743" s="10">
        <v>20201118</v>
      </c>
      <c r="M1743" s="36" t="str">
        <f t="shared" si="27"/>
        <v>19660225</v>
      </c>
    </row>
    <row r="1744" s="1" customFormat="1" spans="1:13">
      <c r="A1744" s="2">
        <v>6566</v>
      </c>
      <c r="B1744" s="5" t="s">
        <v>13027</v>
      </c>
      <c r="C1744" s="15" t="s">
        <v>13124</v>
      </c>
      <c r="D1744" s="15" t="s">
        <v>13125</v>
      </c>
      <c r="E1744" s="5">
        <v>2020</v>
      </c>
      <c r="F1744" s="5">
        <v>2020</v>
      </c>
      <c r="G1744" s="14" t="s">
        <v>16</v>
      </c>
      <c r="H1744" s="15">
        <v>200</v>
      </c>
      <c r="I1744" s="15">
        <v>200</v>
      </c>
      <c r="J1744" s="5"/>
      <c r="K1744" s="10"/>
      <c r="L1744" s="10">
        <v>20201118</v>
      </c>
      <c r="M1744" s="36" t="str">
        <f t="shared" si="27"/>
        <v>19660225</v>
      </c>
    </row>
    <row r="1745" s="1" customFormat="1" spans="1:13">
      <c r="A1745" s="2">
        <v>2206</v>
      </c>
      <c r="B1745" s="9" t="s">
        <v>4837</v>
      </c>
      <c r="C1745" s="9" t="s">
        <v>4959</v>
      </c>
      <c r="D1745" s="9" t="s">
        <v>4960</v>
      </c>
      <c r="E1745" s="6" t="s">
        <v>15</v>
      </c>
      <c r="F1745" s="6">
        <v>2020</v>
      </c>
      <c r="G1745" s="9" t="s">
        <v>2480</v>
      </c>
      <c r="H1745" s="9">
        <v>200</v>
      </c>
      <c r="I1745" s="9">
        <v>200</v>
      </c>
      <c r="J1745" s="6"/>
      <c r="K1745" s="10"/>
      <c r="L1745" s="10">
        <v>20201118</v>
      </c>
      <c r="M1745" s="36" t="str">
        <f t="shared" si="27"/>
        <v>19660228</v>
      </c>
    </row>
    <row r="1746" s="1" customFormat="1" spans="1:13">
      <c r="A1746" s="2">
        <v>2576</v>
      </c>
      <c r="B1746" s="32" t="s">
        <v>5602</v>
      </c>
      <c r="C1746" s="9" t="s">
        <v>3344</v>
      </c>
      <c r="D1746" s="9" t="s">
        <v>5688</v>
      </c>
      <c r="E1746" s="32">
        <v>2020</v>
      </c>
      <c r="F1746" s="32">
        <v>2020</v>
      </c>
      <c r="G1746" s="32" t="s">
        <v>16</v>
      </c>
      <c r="H1746" s="9">
        <v>200</v>
      </c>
      <c r="I1746" s="9">
        <v>200</v>
      </c>
      <c r="J1746" s="32"/>
      <c r="K1746" s="52"/>
      <c r="L1746" s="10">
        <v>20201118</v>
      </c>
      <c r="M1746" s="36" t="str">
        <f t="shared" si="27"/>
        <v>19660228</v>
      </c>
    </row>
    <row r="1747" s="1" customFormat="1" spans="1:13">
      <c r="A1747" s="2">
        <v>3717</v>
      </c>
      <c r="B1747" s="5" t="s">
        <v>7412</v>
      </c>
      <c r="C1747" s="5" t="s">
        <v>7688</v>
      </c>
      <c r="D1747" s="5" t="s">
        <v>7689</v>
      </c>
      <c r="E1747" s="6">
        <v>2020</v>
      </c>
      <c r="F1747" s="6">
        <v>2020</v>
      </c>
      <c r="G1747" s="5" t="s">
        <v>3359</v>
      </c>
      <c r="H1747" s="5">
        <v>200</v>
      </c>
      <c r="I1747" s="5">
        <v>200</v>
      </c>
      <c r="J1747" s="5"/>
      <c r="K1747" s="5"/>
      <c r="L1747" s="10">
        <v>20201118</v>
      </c>
      <c r="M1747" s="36" t="str">
        <f t="shared" si="27"/>
        <v>19660228</v>
      </c>
    </row>
    <row r="1748" s="1" customFormat="1" spans="1:13">
      <c r="A1748" s="2">
        <v>6375</v>
      </c>
      <c r="B1748" s="5" t="s">
        <v>12263</v>
      </c>
      <c r="C1748" s="5" t="s">
        <v>12763</v>
      </c>
      <c r="D1748" s="5" t="s">
        <v>12764</v>
      </c>
      <c r="E1748" s="5" t="s">
        <v>10250</v>
      </c>
      <c r="F1748" s="5">
        <v>2020</v>
      </c>
      <c r="G1748" s="17" t="s">
        <v>3359</v>
      </c>
      <c r="H1748" s="5" t="s">
        <v>311</v>
      </c>
      <c r="I1748" s="5">
        <v>200</v>
      </c>
      <c r="J1748" s="5"/>
      <c r="K1748" s="5"/>
      <c r="L1748" s="10">
        <v>20201118</v>
      </c>
      <c r="M1748" s="36" t="str">
        <f t="shared" si="27"/>
        <v>19660301</v>
      </c>
    </row>
    <row r="1749" s="1" customFormat="1" spans="1:13">
      <c r="A1749" s="2">
        <v>7157</v>
      </c>
      <c r="B1749" s="5" t="s">
        <v>13908</v>
      </c>
      <c r="C1749" s="5" t="s">
        <v>13972</v>
      </c>
      <c r="D1749" s="5" t="s">
        <v>13973</v>
      </c>
      <c r="E1749" s="5" t="s">
        <v>15</v>
      </c>
      <c r="F1749" s="5" t="s">
        <v>15</v>
      </c>
      <c r="G1749" s="14" t="s">
        <v>16</v>
      </c>
      <c r="H1749" s="17">
        <v>200</v>
      </c>
      <c r="I1749" s="17">
        <v>200</v>
      </c>
      <c r="J1749" s="5"/>
      <c r="K1749" s="10"/>
      <c r="L1749" s="10">
        <v>20201118</v>
      </c>
      <c r="M1749" s="36" t="str">
        <f t="shared" si="27"/>
        <v>19660301</v>
      </c>
    </row>
    <row r="1750" s="1" customFormat="1" spans="1:13">
      <c r="A1750" s="2">
        <v>3446</v>
      </c>
      <c r="B1750" s="5" t="s">
        <v>3375</v>
      </c>
      <c r="C1750" s="6" t="s">
        <v>7223</v>
      </c>
      <c r="D1750" s="6" t="str">
        <f>"152326196603026878"</f>
        <v>152326196603026878</v>
      </c>
      <c r="E1750" s="5" t="s">
        <v>15</v>
      </c>
      <c r="F1750" s="5">
        <v>2020</v>
      </c>
      <c r="G1750" s="14" t="s">
        <v>16</v>
      </c>
      <c r="H1750" s="17">
        <v>200</v>
      </c>
      <c r="I1750" s="17">
        <v>200</v>
      </c>
      <c r="J1750" s="6"/>
      <c r="K1750" s="10"/>
      <c r="L1750" s="10">
        <v>20201118</v>
      </c>
      <c r="M1750" s="36" t="str">
        <f t="shared" si="27"/>
        <v>19660302</v>
      </c>
    </row>
    <row r="1751" s="1" customFormat="1" spans="1:13">
      <c r="A1751" s="2">
        <v>6987</v>
      </c>
      <c r="B1751" s="5" t="s">
        <v>13533</v>
      </c>
      <c r="C1751" s="32" t="s">
        <v>11760</v>
      </c>
      <c r="D1751" s="32" t="str">
        <f>"152326196603027117"</f>
        <v>152326196603027117</v>
      </c>
      <c r="E1751" s="5">
        <v>2020</v>
      </c>
      <c r="F1751" s="5">
        <v>2020</v>
      </c>
      <c r="G1751" s="9" t="s">
        <v>2480</v>
      </c>
      <c r="H1751" s="32">
        <v>200</v>
      </c>
      <c r="I1751" s="32">
        <v>200</v>
      </c>
      <c r="J1751" s="62"/>
      <c r="K1751" s="10"/>
      <c r="L1751" s="10">
        <v>20201118</v>
      </c>
      <c r="M1751" s="36" t="str">
        <f t="shared" si="27"/>
        <v>19660302</v>
      </c>
    </row>
    <row r="1752" s="1" customFormat="1" spans="1:13">
      <c r="A1752" s="2">
        <v>3718</v>
      </c>
      <c r="B1752" s="5" t="s">
        <v>7412</v>
      </c>
      <c r="C1752" s="5" t="s">
        <v>7690</v>
      </c>
      <c r="D1752" s="5" t="s">
        <v>7691</v>
      </c>
      <c r="E1752" s="6">
        <v>2020</v>
      </c>
      <c r="F1752" s="6">
        <v>2020</v>
      </c>
      <c r="G1752" s="5" t="s">
        <v>3359</v>
      </c>
      <c r="H1752" s="5">
        <v>200</v>
      </c>
      <c r="I1752" s="5">
        <v>200</v>
      </c>
      <c r="J1752" s="5"/>
      <c r="K1752" s="5"/>
      <c r="L1752" s="10">
        <v>20201118</v>
      </c>
      <c r="M1752" s="36" t="str">
        <f t="shared" si="27"/>
        <v>19660303</v>
      </c>
    </row>
    <row r="1753" s="1" customFormat="1" spans="1:13">
      <c r="A1753" s="2">
        <v>5795</v>
      </c>
      <c r="B1753" s="30" t="s">
        <v>11090</v>
      </c>
      <c r="C1753" s="30" t="s">
        <v>830</v>
      </c>
      <c r="D1753" s="30" t="s">
        <v>11660</v>
      </c>
      <c r="E1753" s="5" t="s">
        <v>15</v>
      </c>
      <c r="F1753" s="5" t="s">
        <v>10250</v>
      </c>
      <c r="G1753" s="6" t="s">
        <v>16</v>
      </c>
      <c r="H1753" s="32">
        <v>200</v>
      </c>
      <c r="I1753" s="32">
        <v>200</v>
      </c>
      <c r="J1753" s="6"/>
      <c r="K1753" s="48"/>
      <c r="L1753" s="10">
        <v>20201118</v>
      </c>
      <c r="M1753" s="36" t="str">
        <f t="shared" si="27"/>
        <v>19660303</v>
      </c>
    </row>
    <row r="1754" s="1" customFormat="1" spans="1:13">
      <c r="A1754" s="2">
        <v>4724</v>
      </c>
      <c r="B1754" s="6" t="s">
        <v>9015</v>
      </c>
      <c r="C1754" s="6" t="s">
        <v>9605</v>
      </c>
      <c r="D1754" s="6" t="s">
        <v>9606</v>
      </c>
      <c r="E1754" s="6">
        <v>2020</v>
      </c>
      <c r="F1754" s="6">
        <v>2020</v>
      </c>
      <c r="G1754" s="6" t="s">
        <v>16</v>
      </c>
      <c r="H1754" s="6">
        <v>200</v>
      </c>
      <c r="I1754" s="6">
        <v>200</v>
      </c>
      <c r="J1754" s="6"/>
      <c r="K1754" s="6"/>
      <c r="L1754" s="10">
        <v>20201118</v>
      </c>
      <c r="M1754" s="36" t="str">
        <f t="shared" si="27"/>
        <v>19660304</v>
      </c>
    </row>
    <row r="1755" s="1" customFormat="1" spans="1:13">
      <c r="A1755" s="2">
        <v>6320</v>
      </c>
      <c r="B1755" s="5" t="s">
        <v>12263</v>
      </c>
      <c r="C1755" s="5" t="s">
        <v>12657</v>
      </c>
      <c r="D1755" s="5" t="s">
        <v>12658</v>
      </c>
      <c r="E1755" s="5" t="s">
        <v>10250</v>
      </c>
      <c r="F1755" s="5">
        <v>2020</v>
      </c>
      <c r="G1755" s="17" t="s">
        <v>3359</v>
      </c>
      <c r="H1755" s="5" t="s">
        <v>311</v>
      </c>
      <c r="I1755" s="5">
        <v>200</v>
      </c>
      <c r="J1755" s="5"/>
      <c r="K1755" s="5"/>
      <c r="L1755" s="10">
        <v>20201118</v>
      </c>
      <c r="M1755" s="36" t="str">
        <f t="shared" si="27"/>
        <v>19660304</v>
      </c>
    </row>
    <row r="1756" s="1" customFormat="1" spans="1:13">
      <c r="A1756" s="2">
        <v>7000</v>
      </c>
      <c r="B1756" s="5" t="s">
        <v>13533</v>
      </c>
      <c r="C1756" s="32" t="s">
        <v>13748</v>
      </c>
      <c r="D1756" s="32" t="str">
        <f>"152326196603047150"</f>
        <v>152326196603047150</v>
      </c>
      <c r="E1756" s="5">
        <v>2020</v>
      </c>
      <c r="F1756" s="5">
        <v>2020</v>
      </c>
      <c r="G1756" s="9" t="s">
        <v>2480</v>
      </c>
      <c r="H1756" s="32">
        <v>200</v>
      </c>
      <c r="I1756" s="32">
        <v>200</v>
      </c>
      <c r="J1756" s="62"/>
      <c r="K1756" s="10"/>
      <c r="L1756" s="10">
        <v>20201118</v>
      </c>
      <c r="M1756" s="36" t="str">
        <f t="shared" si="27"/>
        <v>19660304</v>
      </c>
    </row>
    <row r="1757" s="1" customFormat="1" spans="1:13">
      <c r="A1757" s="2">
        <v>2087</v>
      </c>
      <c r="B1757" s="5" t="s">
        <v>4189</v>
      </c>
      <c r="C1757" s="16" t="s">
        <v>4725</v>
      </c>
      <c r="D1757" s="16" t="s">
        <v>4726</v>
      </c>
      <c r="E1757" s="5" t="s">
        <v>15</v>
      </c>
      <c r="F1757" s="5" t="s">
        <v>15</v>
      </c>
      <c r="G1757" s="5" t="s">
        <v>3359</v>
      </c>
      <c r="H1757" s="16">
        <v>200</v>
      </c>
      <c r="I1757" s="16">
        <v>200</v>
      </c>
      <c r="J1757" s="5"/>
      <c r="K1757" s="10"/>
      <c r="L1757" s="10">
        <v>20201118</v>
      </c>
      <c r="M1757" s="36" t="str">
        <f t="shared" si="27"/>
        <v>19660306</v>
      </c>
    </row>
    <row r="1758" s="1" customFormat="1" spans="1:13">
      <c r="A1758" s="2">
        <v>2420</v>
      </c>
      <c r="B1758" s="5" t="s">
        <v>5328</v>
      </c>
      <c r="C1758" s="16" t="s">
        <v>5381</v>
      </c>
      <c r="D1758" s="16" t="s">
        <v>5382</v>
      </c>
      <c r="E1758" s="5" t="s">
        <v>15</v>
      </c>
      <c r="F1758" s="5" t="s">
        <v>15</v>
      </c>
      <c r="G1758" s="14" t="s">
        <v>16</v>
      </c>
      <c r="H1758" s="6">
        <v>200</v>
      </c>
      <c r="I1758" s="6">
        <v>200</v>
      </c>
      <c r="J1758" s="5"/>
      <c r="K1758" s="5"/>
      <c r="L1758" s="10">
        <v>20201118</v>
      </c>
      <c r="M1758" s="36" t="str">
        <f t="shared" si="27"/>
        <v>19660306</v>
      </c>
    </row>
    <row r="1759" s="1" customFormat="1" spans="1:13">
      <c r="A1759" s="2">
        <v>7299</v>
      </c>
      <c r="B1759" s="5" t="s">
        <v>13908</v>
      </c>
      <c r="C1759" s="5" t="s">
        <v>14236</v>
      </c>
      <c r="D1759" s="5" t="s">
        <v>14237</v>
      </c>
      <c r="E1759" s="5" t="s">
        <v>15</v>
      </c>
      <c r="F1759" s="5" t="s">
        <v>15</v>
      </c>
      <c r="G1759" s="14" t="s">
        <v>16</v>
      </c>
      <c r="H1759" s="17">
        <v>200</v>
      </c>
      <c r="I1759" s="17">
        <v>200</v>
      </c>
      <c r="J1759" s="5"/>
      <c r="K1759" s="10"/>
      <c r="L1759" s="10">
        <v>20201118</v>
      </c>
      <c r="M1759" s="36" t="str">
        <f t="shared" si="27"/>
        <v>19660306</v>
      </c>
    </row>
    <row r="1760" s="1" customFormat="1" spans="1:13">
      <c r="A1760" s="2">
        <v>8023</v>
      </c>
      <c r="B1760" s="5" t="s">
        <v>15086</v>
      </c>
      <c r="C1760" s="6" t="s">
        <v>15299</v>
      </c>
      <c r="D1760" s="6" t="str">
        <f>"152326196603076867"</f>
        <v>152326196603076867</v>
      </c>
      <c r="E1760" s="5" t="s">
        <v>15</v>
      </c>
      <c r="F1760" s="5">
        <v>2020</v>
      </c>
      <c r="G1760" s="5" t="s">
        <v>16</v>
      </c>
      <c r="H1760" s="5">
        <v>200</v>
      </c>
      <c r="I1760" s="5">
        <v>200</v>
      </c>
      <c r="J1760" s="5"/>
      <c r="K1760" s="5"/>
      <c r="L1760" s="10">
        <v>20201118</v>
      </c>
      <c r="M1760" s="36" t="str">
        <f t="shared" si="27"/>
        <v>19660307</v>
      </c>
    </row>
    <row r="1761" s="1" customFormat="1" spans="1:13">
      <c r="A1761" s="2">
        <v>8198</v>
      </c>
      <c r="B1761" s="5" t="s">
        <v>15406</v>
      </c>
      <c r="C1761" s="6" t="s">
        <v>15580</v>
      </c>
      <c r="D1761" s="6" t="s">
        <v>15581</v>
      </c>
      <c r="E1761" s="5" t="s">
        <v>15</v>
      </c>
      <c r="F1761" s="5">
        <v>2020</v>
      </c>
      <c r="G1761" s="14" t="s">
        <v>16</v>
      </c>
      <c r="H1761" s="6" t="s">
        <v>9565</v>
      </c>
      <c r="I1761" s="6">
        <v>1000</v>
      </c>
      <c r="J1761" s="5"/>
      <c r="K1761" s="10"/>
      <c r="L1761" s="10">
        <v>20201118</v>
      </c>
      <c r="M1761" s="36" t="str">
        <f t="shared" si="27"/>
        <v>19660307</v>
      </c>
    </row>
    <row r="1762" s="1" customFormat="1" spans="1:13">
      <c r="A1762" s="2">
        <v>3719</v>
      </c>
      <c r="B1762" s="5" t="s">
        <v>7412</v>
      </c>
      <c r="C1762" s="5" t="s">
        <v>7692</v>
      </c>
      <c r="D1762" s="5" t="s">
        <v>7693</v>
      </c>
      <c r="E1762" s="6">
        <v>2020</v>
      </c>
      <c r="F1762" s="6">
        <v>2020</v>
      </c>
      <c r="G1762" s="5" t="s">
        <v>3359</v>
      </c>
      <c r="H1762" s="5">
        <v>200</v>
      </c>
      <c r="I1762" s="5">
        <v>200</v>
      </c>
      <c r="J1762" s="5" t="s">
        <v>1242</v>
      </c>
      <c r="K1762" s="5"/>
      <c r="L1762" s="10">
        <v>20201118</v>
      </c>
      <c r="M1762" s="36" t="str">
        <f t="shared" si="27"/>
        <v>19660309</v>
      </c>
    </row>
    <row r="1763" s="1" customFormat="1" spans="1:13">
      <c r="A1763" s="2">
        <v>3720</v>
      </c>
      <c r="B1763" s="5" t="s">
        <v>7412</v>
      </c>
      <c r="C1763" s="5" t="s">
        <v>7694</v>
      </c>
      <c r="D1763" s="5" t="s">
        <v>7695</v>
      </c>
      <c r="E1763" s="6">
        <v>2020</v>
      </c>
      <c r="F1763" s="6">
        <v>2020</v>
      </c>
      <c r="G1763" s="5" t="s">
        <v>3359</v>
      </c>
      <c r="H1763" s="5">
        <v>200</v>
      </c>
      <c r="I1763" s="5">
        <v>200</v>
      </c>
      <c r="J1763" s="5"/>
      <c r="K1763" s="5"/>
      <c r="L1763" s="10">
        <v>20201118</v>
      </c>
      <c r="M1763" s="36" t="str">
        <f t="shared" si="27"/>
        <v>19660310</v>
      </c>
    </row>
    <row r="1764" s="1" customFormat="1" spans="1:13">
      <c r="A1764" s="2">
        <v>4211</v>
      </c>
      <c r="B1764" s="9" t="s">
        <v>8515</v>
      </c>
      <c r="C1764" s="9" t="s">
        <v>8626</v>
      </c>
      <c r="D1764" s="9" t="s">
        <v>8627</v>
      </c>
      <c r="E1764" s="5" t="s">
        <v>15</v>
      </c>
      <c r="F1764" s="5">
        <v>2020</v>
      </c>
      <c r="G1764" s="9" t="s">
        <v>2480</v>
      </c>
      <c r="H1764" s="9">
        <v>200</v>
      </c>
      <c r="I1764" s="9">
        <v>200</v>
      </c>
      <c r="J1764" s="9"/>
      <c r="K1764" s="9"/>
      <c r="L1764" s="10">
        <v>20201118</v>
      </c>
      <c r="M1764" s="36" t="str">
        <f t="shared" si="27"/>
        <v>19660310</v>
      </c>
    </row>
    <row r="1765" s="1" customFormat="1" spans="1:13">
      <c r="A1765" s="2">
        <v>4528</v>
      </c>
      <c r="B1765" s="6" t="s">
        <v>9015</v>
      </c>
      <c r="C1765" s="6" t="s">
        <v>9237</v>
      </c>
      <c r="D1765" s="6" t="s">
        <v>9238</v>
      </c>
      <c r="E1765" s="6">
        <v>2020</v>
      </c>
      <c r="F1765" s="6">
        <v>2020</v>
      </c>
      <c r="G1765" s="6" t="s">
        <v>16</v>
      </c>
      <c r="H1765" s="6">
        <v>200</v>
      </c>
      <c r="I1765" s="6">
        <v>200</v>
      </c>
      <c r="J1765" s="6"/>
      <c r="K1765" s="6"/>
      <c r="L1765" s="10">
        <v>20201118</v>
      </c>
      <c r="M1765" s="36" t="str">
        <f t="shared" si="27"/>
        <v>19660312</v>
      </c>
    </row>
    <row r="1766" s="1" customFormat="1" spans="1:13">
      <c r="A1766" s="2">
        <v>6489</v>
      </c>
      <c r="B1766" s="5" t="s">
        <v>12263</v>
      </c>
      <c r="C1766" s="5" t="s">
        <v>12981</v>
      </c>
      <c r="D1766" s="5" t="s">
        <v>12982</v>
      </c>
      <c r="E1766" s="5" t="s">
        <v>2472</v>
      </c>
      <c r="F1766" s="5">
        <v>2019</v>
      </c>
      <c r="G1766" s="5" t="s">
        <v>289</v>
      </c>
      <c r="H1766" s="5">
        <v>200</v>
      </c>
      <c r="I1766" s="5">
        <v>1000</v>
      </c>
      <c r="J1766" s="5"/>
      <c r="K1766" s="5"/>
      <c r="L1766" s="10">
        <v>20201118</v>
      </c>
      <c r="M1766" s="36" t="str">
        <f t="shared" si="27"/>
        <v>19660312</v>
      </c>
    </row>
    <row r="1767" s="1" customFormat="1" spans="1:13">
      <c r="A1767" s="2">
        <v>3721</v>
      </c>
      <c r="B1767" s="5" t="s">
        <v>7412</v>
      </c>
      <c r="C1767" s="5" t="s">
        <v>7696</v>
      </c>
      <c r="D1767" s="5" t="s">
        <v>7697</v>
      </c>
      <c r="E1767" s="6">
        <v>2020</v>
      </c>
      <c r="F1767" s="6">
        <v>2020</v>
      </c>
      <c r="G1767" s="5" t="s">
        <v>3359</v>
      </c>
      <c r="H1767" s="5">
        <v>200</v>
      </c>
      <c r="I1767" s="5">
        <v>200</v>
      </c>
      <c r="J1767" s="5"/>
      <c r="K1767" s="5"/>
      <c r="L1767" s="10">
        <v>20201118</v>
      </c>
      <c r="M1767" s="36" t="str">
        <f t="shared" si="27"/>
        <v>19660314</v>
      </c>
    </row>
    <row r="1768" s="1" customFormat="1" spans="1:13">
      <c r="A1768" s="2">
        <v>201</v>
      </c>
      <c r="B1768" s="14" t="s">
        <v>327</v>
      </c>
      <c r="C1768" s="14" t="s">
        <v>491</v>
      </c>
      <c r="D1768" s="14" t="s">
        <v>492</v>
      </c>
      <c r="E1768" s="5">
        <v>2020</v>
      </c>
      <c r="F1768" s="5">
        <v>2020</v>
      </c>
      <c r="G1768" s="14" t="s">
        <v>16</v>
      </c>
      <c r="H1768" s="14">
        <v>200</v>
      </c>
      <c r="I1768" s="14">
        <v>200</v>
      </c>
      <c r="J1768" s="14"/>
      <c r="K1768" s="10"/>
      <c r="L1768" s="2" t="s">
        <v>330</v>
      </c>
      <c r="M1768" s="36" t="str">
        <f t="shared" si="27"/>
        <v>19660315</v>
      </c>
    </row>
    <row r="1769" s="1" customFormat="1" spans="1:13">
      <c r="A1769" s="2">
        <v>5094</v>
      </c>
      <c r="B1769" s="6" t="s">
        <v>10242</v>
      </c>
      <c r="C1769" s="9" t="s">
        <v>10319</v>
      </c>
      <c r="D1769" s="9" t="s">
        <v>10320</v>
      </c>
      <c r="E1769" s="5" t="s">
        <v>10250</v>
      </c>
      <c r="F1769" s="5">
        <v>2020</v>
      </c>
      <c r="G1769" s="6" t="s">
        <v>16</v>
      </c>
      <c r="H1769" s="6">
        <v>200</v>
      </c>
      <c r="I1769" s="6">
        <v>200</v>
      </c>
      <c r="J1769" s="6"/>
      <c r="K1769" s="5"/>
      <c r="L1769" s="10">
        <v>20201118</v>
      </c>
      <c r="M1769" s="36" t="str">
        <f t="shared" si="27"/>
        <v>19660315</v>
      </c>
    </row>
    <row r="1770" s="1" customFormat="1" spans="1:13">
      <c r="A1770" s="2">
        <v>8022</v>
      </c>
      <c r="B1770" s="5" t="s">
        <v>15086</v>
      </c>
      <c r="C1770" s="6" t="s">
        <v>15298</v>
      </c>
      <c r="D1770" s="6" t="str">
        <f>"152326196603156875"</f>
        <v>152326196603156875</v>
      </c>
      <c r="E1770" s="5" t="s">
        <v>15</v>
      </c>
      <c r="F1770" s="5">
        <v>2020</v>
      </c>
      <c r="G1770" s="5" t="s">
        <v>16</v>
      </c>
      <c r="H1770" s="5">
        <v>200</v>
      </c>
      <c r="I1770" s="5">
        <v>200</v>
      </c>
      <c r="J1770" s="5"/>
      <c r="K1770" s="5"/>
      <c r="L1770" s="10">
        <v>20201118</v>
      </c>
      <c r="M1770" s="36" t="str">
        <f t="shared" si="27"/>
        <v>19660315</v>
      </c>
    </row>
    <row r="1771" s="1" customFormat="1" spans="1:13">
      <c r="A1771" s="2">
        <v>2777</v>
      </c>
      <c r="B1771" s="6" t="s">
        <v>6075</v>
      </c>
      <c r="C1771" s="63" t="s">
        <v>6084</v>
      </c>
      <c r="D1771" s="63" t="s">
        <v>6085</v>
      </c>
      <c r="E1771" s="5" t="s">
        <v>15</v>
      </c>
      <c r="F1771" s="5">
        <v>2020</v>
      </c>
      <c r="G1771" s="6" t="s">
        <v>16</v>
      </c>
      <c r="H1771" s="6">
        <v>200</v>
      </c>
      <c r="I1771" s="6">
        <v>200</v>
      </c>
      <c r="J1771" s="6" t="s">
        <v>108</v>
      </c>
      <c r="K1771" s="10"/>
      <c r="L1771" s="10">
        <v>20201118</v>
      </c>
      <c r="M1771" s="36" t="str">
        <f t="shared" si="27"/>
        <v>19660316</v>
      </c>
    </row>
    <row r="1772" s="1" customFormat="1" spans="1:13">
      <c r="A1772" s="2">
        <v>3722</v>
      </c>
      <c r="B1772" s="5" t="s">
        <v>7412</v>
      </c>
      <c r="C1772" s="5" t="s">
        <v>7698</v>
      </c>
      <c r="D1772" s="5" t="s">
        <v>7699</v>
      </c>
      <c r="E1772" s="6">
        <v>2020</v>
      </c>
      <c r="F1772" s="6">
        <v>2020</v>
      </c>
      <c r="G1772" s="5" t="s">
        <v>3359</v>
      </c>
      <c r="H1772" s="5">
        <v>200</v>
      </c>
      <c r="I1772" s="5">
        <v>200</v>
      </c>
      <c r="J1772" s="5"/>
      <c r="K1772" s="5"/>
      <c r="L1772" s="10">
        <v>20201118</v>
      </c>
      <c r="M1772" s="36" t="str">
        <f t="shared" si="27"/>
        <v>19660316</v>
      </c>
    </row>
    <row r="1773" s="1" customFormat="1" spans="1:13">
      <c r="A1773" s="2">
        <v>1520</v>
      </c>
      <c r="B1773" s="5" t="s">
        <v>3381</v>
      </c>
      <c r="C1773" s="9" t="s">
        <v>3607</v>
      </c>
      <c r="D1773" s="9" t="s">
        <v>3608</v>
      </c>
      <c r="E1773" s="5">
        <v>2020</v>
      </c>
      <c r="F1773" s="5">
        <v>2020</v>
      </c>
      <c r="G1773" s="14" t="s">
        <v>16</v>
      </c>
      <c r="H1773" s="6">
        <v>200</v>
      </c>
      <c r="I1773" s="6">
        <v>200</v>
      </c>
      <c r="J1773" s="5"/>
      <c r="K1773" s="13"/>
      <c r="L1773" s="10">
        <v>20201118</v>
      </c>
      <c r="M1773" s="36" t="str">
        <f t="shared" si="27"/>
        <v>19660318</v>
      </c>
    </row>
    <row r="1774" s="1" customFormat="1" spans="1:13">
      <c r="A1774" s="2">
        <v>2207</v>
      </c>
      <c r="B1774" s="9" t="s">
        <v>4837</v>
      </c>
      <c r="C1774" s="9" t="s">
        <v>4961</v>
      </c>
      <c r="D1774" s="9" t="s">
        <v>4962</v>
      </c>
      <c r="E1774" s="6" t="s">
        <v>15</v>
      </c>
      <c r="F1774" s="6">
        <v>2020</v>
      </c>
      <c r="G1774" s="9" t="s">
        <v>2480</v>
      </c>
      <c r="H1774" s="9">
        <v>200</v>
      </c>
      <c r="I1774" s="9">
        <v>200</v>
      </c>
      <c r="J1774" s="6"/>
      <c r="K1774" s="10"/>
      <c r="L1774" s="10">
        <v>20201118</v>
      </c>
      <c r="M1774" s="36" t="str">
        <f t="shared" si="27"/>
        <v>19660318</v>
      </c>
    </row>
    <row r="1775" s="1" customFormat="1" spans="1:13">
      <c r="A1775" s="2">
        <v>4533</v>
      </c>
      <c r="B1775" s="6" t="s">
        <v>9015</v>
      </c>
      <c r="C1775" s="6" t="s">
        <v>3811</v>
      </c>
      <c r="D1775" s="6" t="s">
        <v>9247</v>
      </c>
      <c r="E1775" s="6">
        <v>2020</v>
      </c>
      <c r="F1775" s="6">
        <v>2020</v>
      </c>
      <c r="G1775" s="6" t="s">
        <v>16</v>
      </c>
      <c r="H1775" s="6">
        <v>200</v>
      </c>
      <c r="I1775" s="6">
        <v>200</v>
      </c>
      <c r="J1775" s="6"/>
      <c r="K1775" s="6"/>
      <c r="L1775" s="10">
        <v>20201118</v>
      </c>
      <c r="M1775" s="36" t="str">
        <f t="shared" si="27"/>
        <v>19660318</v>
      </c>
    </row>
    <row r="1776" s="1" customFormat="1" spans="1:13">
      <c r="A1776" s="2">
        <v>3557</v>
      </c>
      <c r="B1776" s="5" t="s">
        <v>3375</v>
      </c>
      <c r="C1776" s="5" t="s">
        <v>7384</v>
      </c>
      <c r="D1776" s="296" t="s">
        <v>7385</v>
      </c>
      <c r="E1776" s="5" t="s">
        <v>15</v>
      </c>
      <c r="F1776" s="5">
        <v>2020</v>
      </c>
      <c r="G1776" s="14" t="s">
        <v>16</v>
      </c>
      <c r="H1776" s="5">
        <v>200</v>
      </c>
      <c r="I1776" s="5">
        <v>200</v>
      </c>
      <c r="J1776" s="5"/>
      <c r="K1776" s="10"/>
      <c r="L1776" s="10">
        <v>20201118</v>
      </c>
      <c r="M1776" s="36" t="str">
        <f t="shared" si="27"/>
        <v>19660321</v>
      </c>
    </row>
    <row r="1777" s="1" customFormat="1" ht="14.25" spans="1:13">
      <c r="A1777" s="2">
        <v>2915</v>
      </c>
      <c r="B1777" s="6" t="s">
        <v>6075</v>
      </c>
      <c r="C1777" s="25" t="s">
        <v>6358</v>
      </c>
      <c r="D1777" s="26" t="s">
        <v>6359</v>
      </c>
      <c r="E1777" s="5" t="s">
        <v>15</v>
      </c>
      <c r="F1777" s="5">
        <v>2020</v>
      </c>
      <c r="G1777" s="6" t="s">
        <v>16</v>
      </c>
      <c r="H1777" s="6">
        <v>200</v>
      </c>
      <c r="I1777" s="6">
        <v>200</v>
      </c>
      <c r="J1777" s="6"/>
      <c r="K1777" s="10"/>
      <c r="L1777" s="10">
        <v>20201118</v>
      </c>
      <c r="M1777" s="36" t="str">
        <f t="shared" si="27"/>
        <v>19660323</v>
      </c>
    </row>
    <row r="1778" s="1" customFormat="1" spans="1:13">
      <c r="A1778" s="2">
        <v>3163</v>
      </c>
      <c r="B1778" s="3" t="s">
        <v>6671</v>
      </c>
      <c r="C1778" s="9" t="s">
        <v>1849</v>
      </c>
      <c r="D1778" s="9" t="s">
        <v>6842</v>
      </c>
      <c r="E1778" s="3" t="s">
        <v>15</v>
      </c>
      <c r="F1778" s="3" t="s">
        <v>15</v>
      </c>
      <c r="G1778" s="6" t="s">
        <v>3359</v>
      </c>
      <c r="H1778" s="9">
        <v>200</v>
      </c>
      <c r="I1778" s="9">
        <v>200</v>
      </c>
      <c r="J1778" s="6"/>
      <c r="K1778" s="5"/>
      <c r="L1778" s="10">
        <v>20201118</v>
      </c>
      <c r="M1778" s="36" t="str">
        <f t="shared" si="27"/>
        <v>19660323</v>
      </c>
    </row>
    <row r="1779" s="1" customFormat="1" spans="1:13">
      <c r="A1779" s="2">
        <v>6490</v>
      </c>
      <c r="B1779" s="5" t="s">
        <v>12263</v>
      </c>
      <c r="C1779" s="5" t="s">
        <v>12983</v>
      </c>
      <c r="D1779" s="5" t="s">
        <v>12984</v>
      </c>
      <c r="E1779" s="5" t="s">
        <v>2472</v>
      </c>
      <c r="F1779" s="5">
        <v>2019</v>
      </c>
      <c r="G1779" s="5" t="s">
        <v>289</v>
      </c>
      <c r="H1779" s="5">
        <v>200</v>
      </c>
      <c r="I1779" s="5">
        <v>1000</v>
      </c>
      <c r="J1779" s="5"/>
      <c r="K1779" s="5"/>
      <c r="L1779" s="10">
        <v>20201118</v>
      </c>
      <c r="M1779" s="36" t="str">
        <f t="shared" si="27"/>
        <v>19660323</v>
      </c>
    </row>
    <row r="1780" s="1" customFormat="1" spans="1:13">
      <c r="A1780" s="2">
        <v>1521</v>
      </c>
      <c r="B1780" s="5" t="s">
        <v>3381</v>
      </c>
      <c r="C1780" s="9" t="s">
        <v>3609</v>
      </c>
      <c r="D1780" s="9" t="s">
        <v>3610</v>
      </c>
      <c r="E1780" s="5">
        <v>2020</v>
      </c>
      <c r="F1780" s="5">
        <v>2020</v>
      </c>
      <c r="G1780" s="14" t="s">
        <v>16</v>
      </c>
      <c r="H1780" s="6">
        <v>200</v>
      </c>
      <c r="I1780" s="6">
        <v>200</v>
      </c>
      <c r="J1780" s="5"/>
      <c r="K1780" s="13"/>
      <c r="L1780" s="10">
        <v>20201118</v>
      </c>
      <c r="M1780" s="36" t="str">
        <f t="shared" si="27"/>
        <v>19660324</v>
      </c>
    </row>
    <row r="1781" s="1" customFormat="1" spans="1:13">
      <c r="A1781" s="2">
        <v>4627</v>
      </c>
      <c r="B1781" s="6" t="s">
        <v>9015</v>
      </c>
      <c r="C1781" s="6" t="s">
        <v>38</v>
      </c>
      <c r="D1781" s="6" t="s">
        <v>9422</v>
      </c>
      <c r="E1781" s="6">
        <v>2020</v>
      </c>
      <c r="F1781" s="6">
        <v>2020</v>
      </c>
      <c r="G1781" s="6" t="s">
        <v>16</v>
      </c>
      <c r="H1781" s="6">
        <v>200</v>
      </c>
      <c r="I1781" s="6">
        <v>200</v>
      </c>
      <c r="J1781" s="6"/>
      <c r="K1781" s="6"/>
      <c r="L1781" s="10">
        <v>20201118</v>
      </c>
      <c r="M1781" s="36" t="str">
        <f t="shared" si="27"/>
        <v>19660324</v>
      </c>
    </row>
    <row r="1782" s="1" customFormat="1" ht="14.25" spans="1:13">
      <c r="A1782" s="2">
        <v>5271</v>
      </c>
      <c r="B1782" s="33" t="s">
        <v>10535</v>
      </c>
      <c r="C1782" s="34" t="s">
        <v>10657</v>
      </c>
      <c r="D1782" s="34" t="s">
        <v>10658</v>
      </c>
      <c r="E1782" s="35">
        <v>2020</v>
      </c>
      <c r="F1782" s="35">
        <v>2020</v>
      </c>
      <c r="G1782" s="35" t="s">
        <v>16</v>
      </c>
      <c r="H1782" s="34">
        <v>200</v>
      </c>
      <c r="I1782" s="34">
        <v>200</v>
      </c>
      <c r="J1782" s="49" t="s">
        <v>108</v>
      </c>
      <c r="K1782" s="10"/>
      <c r="L1782" s="10">
        <v>20201118</v>
      </c>
      <c r="M1782" s="36" t="str">
        <f t="shared" si="27"/>
        <v>19660324</v>
      </c>
    </row>
    <row r="1783" s="1" customFormat="1" ht="14.25" spans="1:13">
      <c r="A1783" s="2">
        <v>7760</v>
      </c>
      <c r="B1783" s="5" t="s">
        <v>14875</v>
      </c>
      <c r="C1783" s="51" t="s">
        <v>15005</v>
      </c>
      <c r="D1783" s="24" t="str">
        <f>"152326196603287111"</f>
        <v>152326196603287111</v>
      </c>
      <c r="E1783" s="6" t="s">
        <v>15</v>
      </c>
      <c r="F1783" s="6">
        <v>2020</v>
      </c>
      <c r="G1783" s="24" t="s">
        <v>14877</v>
      </c>
      <c r="H1783" s="6">
        <v>200</v>
      </c>
      <c r="I1783" s="6">
        <v>200</v>
      </c>
      <c r="J1783" s="6"/>
      <c r="K1783" s="10"/>
      <c r="L1783" s="10">
        <v>20201118</v>
      </c>
      <c r="M1783" s="36" t="str">
        <f t="shared" si="27"/>
        <v>19660328</v>
      </c>
    </row>
    <row r="1784" s="1" customFormat="1" spans="1:13">
      <c r="A1784" s="2">
        <v>6996</v>
      </c>
      <c r="B1784" s="5" t="s">
        <v>13533</v>
      </c>
      <c r="C1784" s="32" t="s">
        <v>13743</v>
      </c>
      <c r="D1784" s="32" t="str">
        <f>"152326196603297133"</f>
        <v>152326196603297133</v>
      </c>
      <c r="E1784" s="5">
        <v>2020</v>
      </c>
      <c r="F1784" s="5">
        <v>2020</v>
      </c>
      <c r="G1784" s="9" t="s">
        <v>2480</v>
      </c>
      <c r="H1784" s="32">
        <v>200</v>
      </c>
      <c r="I1784" s="32">
        <v>200</v>
      </c>
      <c r="J1784" s="62"/>
      <c r="K1784" s="10"/>
      <c r="L1784" s="10">
        <v>20201118</v>
      </c>
      <c r="M1784" s="36" t="str">
        <f t="shared" si="27"/>
        <v>19660329</v>
      </c>
    </row>
    <row r="1785" s="1" customFormat="1" spans="1:13">
      <c r="A1785" s="2">
        <v>1002</v>
      </c>
      <c r="B1785" s="5" t="s">
        <v>2469</v>
      </c>
      <c r="C1785" s="9" t="s">
        <v>2595</v>
      </c>
      <c r="D1785" s="9" t="s">
        <v>2596</v>
      </c>
      <c r="E1785" s="5">
        <v>2020</v>
      </c>
      <c r="F1785" s="5">
        <v>2020</v>
      </c>
      <c r="G1785" s="9" t="s">
        <v>2480</v>
      </c>
      <c r="H1785" s="9">
        <v>200</v>
      </c>
      <c r="I1785" s="9">
        <v>200</v>
      </c>
      <c r="J1785" s="5"/>
      <c r="K1785" s="5"/>
      <c r="L1785" s="10">
        <v>20201118</v>
      </c>
      <c r="M1785" s="36" t="str">
        <f t="shared" si="27"/>
        <v>19660405</v>
      </c>
    </row>
    <row r="1786" s="1" customFormat="1" spans="1:13">
      <c r="A1786" s="2">
        <v>7564</v>
      </c>
      <c r="B1786" s="5" t="s">
        <v>14402</v>
      </c>
      <c r="C1786" s="5" t="s">
        <v>14729</v>
      </c>
      <c r="D1786" s="5" t="s">
        <v>14730</v>
      </c>
      <c r="E1786" s="5">
        <v>2020</v>
      </c>
      <c r="F1786" s="5">
        <v>2020</v>
      </c>
      <c r="G1786" s="17" t="s">
        <v>16</v>
      </c>
      <c r="H1786" s="5">
        <v>200</v>
      </c>
      <c r="I1786" s="5">
        <v>200</v>
      </c>
      <c r="J1786" s="5"/>
      <c r="K1786" s="10"/>
      <c r="L1786" s="10">
        <v>20201118</v>
      </c>
      <c r="M1786" s="36" t="str">
        <f t="shared" si="27"/>
        <v>19660405</v>
      </c>
    </row>
    <row r="1787" s="1" customFormat="1" ht="14.25" spans="1:13">
      <c r="A1787" s="2">
        <v>2909</v>
      </c>
      <c r="B1787" s="6" t="s">
        <v>6075</v>
      </c>
      <c r="C1787" s="25" t="s">
        <v>6346</v>
      </c>
      <c r="D1787" s="26" t="s">
        <v>6347</v>
      </c>
      <c r="E1787" s="5" t="s">
        <v>15</v>
      </c>
      <c r="F1787" s="5">
        <v>2020</v>
      </c>
      <c r="G1787" s="6" t="s">
        <v>16</v>
      </c>
      <c r="H1787" s="6">
        <v>200</v>
      </c>
      <c r="I1787" s="6">
        <v>200</v>
      </c>
      <c r="J1787" s="6"/>
      <c r="K1787" s="10"/>
      <c r="L1787" s="10">
        <v>20201118</v>
      </c>
      <c r="M1787" s="36" t="str">
        <f t="shared" si="27"/>
        <v>19660408</v>
      </c>
    </row>
    <row r="1788" s="1" customFormat="1" spans="1:13">
      <c r="A1788" s="2">
        <v>1522</v>
      </c>
      <c r="B1788" s="5" t="s">
        <v>3381</v>
      </c>
      <c r="C1788" s="9" t="s">
        <v>3611</v>
      </c>
      <c r="D1788" s="9" t="s">
        <v>3612</v>
      </c>
      <c r="E1788" s="5">
        <v>2020</v>
      </c>
      <c r="F1788" s="5">
        <v>2020</v>
      </c>
      <c r="G1788" s="14" t="s">
        <v>16</v>
      </c>
      <c r="H1788" s="6">
        <v>200</v>
      </c>
      <c r="I1788" s="6">
        <v>200</v>
      </c>
      <c r="J1788" s="5"/>
      <c r="K1788" s="13"/>
      <c r="L1788" s="10">
        <v>20201118</v>
      </c>
      <c r="M1788" s="36" t="str">
        <f t="shared" si="27"/>
        <v>19660411</v>
      </c>
    </row>
    <row r="1789" s="1" customFormat="1" ht="14.25" spans="1:13">
      <c r="A1789" s="2">
        <v>2791</v>
      </c>
      <c r="B1789" s="6" t="s">
        <v>6075</v>
      </c>
      <c r="C1789" s="25" t="s">
        <v>6112</v>
      </c>
      <c r="D1789" s="26" t="s">
        <v>6113</v>
      </c>
      <c r="E1789" s="5" t="s">
        <v>15</v>
      </c>
      <c r="F1789" s="5">
        <v>2020</v>
      </c>
      <c r="G1789" s="6" t="s">
        <v>16</v>
      </c>
      <c r="H1789" s="6">
        <v>200</v>
      </c>
      <c r="I1789" s="6">
        <v>200</v>
      </c>
      <c r="J1789" s="6"/>
      <c r="K1789" s="10"/>
      <c r="L1789" s="10">
        <v>20201118</v>
      </c>
      <c r="M1789" s="36" t="str">
        <f t="shared" si="27"/>
        <v>19660412</v>
      </c>
    </row>
    <row r="1790" s="1" customFormat="1" spans="1:13">
      <c r="A1790" s="2">
        <v>7003</v>
      </c>
      <c r="B1790" s="5" t="s">
        <v>13533</v>
      </c>
      <c r="C1790" s="32" t="s">
        <v>1814</v>
      </c>
      <c r="D1790" s="32" t="str">
        <f>"152326196604147129"</f>
        <v>152326196604147129</v>
      </c>
      <c r="E1790" s="5">
        <v>2020</v>
      </c>
      <c r="F1790" s="5">
        <v>2020</v>
      </c>
      <c r="G1790" s="9" t="s">
        <v>2480</v>
      </c>
      <c r="H1790" s="32">
        <v>200</v>
      </c>
      <c r="I1790" s="32">
        <v>200</v>
      </c>
      <c r="J1790" s="32"/>
      <c r="K1790" s="10"/>
      <c r="L1790" s="10">
        <v>20201118</v>
      </c>
      <c r="M1790" s="36" t="str">
        <f t="shared" si="27"/>
        <v>19660414</v>
      </c>
    </row>
    <row r="1791" s="1" customFormat="1" spans="1:13">
      <c r="A1791" s="2">
        <v>6415</v>
      </c>
      <c r="B1791" s="5" t="s">
        <v>12263</v>
      </c>
      <c r="C1791" s="5" t="s">
        <v>12837</v>
      </c>
      <c r="D1791" s="5" t="s">
        <v>12838</v>
      </c>
      <c r="E1791" s="5" t="s">
        <v>10250</v>
      </c>
      <c r="F1791" s="5">
        <v>2020</v>
      </c>
      <c r="G1791" s="17" t="s">
        <v>3359</v>
      </c>
      <c r="H1791" s="5" t="s">
        <v>311</v>
      </c>
      <c r="I1791" s="5">
        <v>200</v>
      </c>
      <c r="J1791" s="5"/>
      <c r="K1791" s="5"/>
      <c r="L1791" s="10">
        <v>20201118</v>
      </c>
      <c r="M1791" s="36" t="str">
        <f t="shared" si="27"/>
        <v>19660415</v>
      </c>
    </row>
    <row r="1792" s="1" customFormat="1" spans="1:13">
      <c r="A1792" s="2">
        <v>5736</v>
      </c>
      <c r="B1792" s="30" t="s">
        <v>11090</v>
      </c>
      <c r="C1792" s="30" t="s">
        <v>11556</v>
      </c>
      <c r="D1792" s="30" t="s">
        <v>11557</v>
      </c>
      <c r="E1792" s="5" t="s">
        <v>15</v>
      </c>
      <c r="F1792" s="5" t="s">
        <v>10250</v>
      </c>
      <c r="G1792" s="6" t="s">
        <v>16</v>
      </c>
      <c r="H1792" s="32">
        <v>200</v>
      </c>
      <c r="I1792" s="32">
        <v>200</v>
      </c>
      <c r="J1792" s="6"/>
      <c r="K1792" s="48"/>
      <c r="L1792" s="10">
        <v>20201118</v>
      </c>
      <c r="M1792" s="36" t="str">
        <f t="shared" si="27"/>
        <v>19660417</v>
      </c>
    </row>
    <row r="1793" s="1" customFormat="1" spans="1:13">
      <c r="A1793" s="2">
        <v>6358</v>
      </c>
      <c r="B1793" s="5" t="s">
        <v>12263</v>
      </c>
      <c r="C1793" s="5" t="s">
        <v>12732</v>
      </c>
      <c r="D1793" s="5" t="s">
        <v>12733</v>
      </c>
      <c r="E1793" s="5" t="s">
        <v>10250</v>
      </c>
      <c r="F1793" s="5">
        <v>2020</v>
      </c>
      <c r="G1793" s="17" t="s">
        <v>3359</v>
      </c>
      <c r="H1793" s="5" t="s">
        <v>311</v>
      </c>
      <c r="I1793" s="5">
        <v>200</v>
      </c>
      <c r="J1793" s="5"/>
      <c r="K1793" s="5"/>
      <c r="L1793" s="10">
        <v>20201118</v>
      </c>
      <c r="M1793" s="36" t="str">
        <f t="shared" si="27"/>
        <v>19660417</v>
      </c>
    </row>
    <row r="1794" s="1" customFormat="1" spans="1:13">
      <c r="A1794" s="2">
        <v>6567</v>
      </c>
      <c r="B1794" s="5" t="s">
        <v>13027</v>
      </c>
      <c r="C1794" s="15" t="s">
        <v>13126</v>
      </c>
      <c r="D1794" s="15" t="s">
        <v>13127</v>
      </c>
      <c r="E1794" s="5">
        <v>2020</v>
      </c>
      <c r="F1794" s="5">
        <v>2020</v>
      </c>
      <c r="G1794" s="14" t="s">
        <v>16</v>
      </c>
      <c r="H1794" s="15">
        <v>200</v>
      </c>
      <c r="I1794" s="15">
        <v>200</v>
      </c>
      <c r="J1794" s="5"/>
      <c r="K1794" s="10"/>
      <c r="L1794" s="10">
        <v>20201118</v>
      </c>
      <c r="M1794" s="36" t="str">
        <f t="shared" ref="M1794:M1857" si="28">MID(D1794,7,8)</f>
        <v>19660418</v>
      </c>
    </row>
    <row r="1795" s="1" customFormat="1" spans="1:13">
      <c r="A1795" s="2">
        <v>1003</v>
      </c>
      <c r="B1795" s="5" t="s">
        <v>2469</v>
      </c>
      <c r="C1795" s="9" t="s">
        <v>2597</v>
      </c>
      <c r="D1795" s="9" t="s">
        <v>2598</v>
      </c>
      <c r="E1795" s="5">
        <v>2020</v>
      </c>
      <c r="F1795" s="5">
        <v>2020</v>
      </c>
      <c r="G1795" s="9" t="s">
        <v>2480</v>
      </c>
      <c r="H1795" s="9">
        <v>200</v>
      </c>
      <c r="I1795" s="9">
        <v>200</v>
      </c>
      <c r="J1795" s="5"/>
      <c r="K1795" s="5"/>
      <c r="L1795" s="10">
        <v>20201118</v>
      </c>
      <c r="M1795" s="36" t="str">
        <f t="shared" si="28"/>
        <v>19660420</v>
      </c>
    </row>
    <row r="1796" s="1" customFormat="1" spans="1:13">
      <c r="A1796" s="2">
        <v>1004</v>
      </c>
      <c r="B1796" s="5" t="s">
        <v>2469</v>
      </c>
      <c r="C1796" s="9" t="s">
        <v>2599</v>
      </c>
      <c r="D1796" s="9" t="s">
        <v>2600</v>
      </c>
      <c r="E1796" s="5">
        <v>2020</v>
      </c>
      <c r="F1796" s="5">
        <v>2020</v>
      </c>
      <c r="G1796" s="9" t="s">
        <v>2480</v>
      </c>
      <c r="H1796" s="9">
        <v>200</v>
      </c>
      <c r="I1796" s="9">
        <v>200</v>
      </c>
      <c r="J1796" s="5"/>
      <c r="K1796" s="5"/>
      <c r="L1796" s="10">
        <v>20201118</v>
      </c>
      <c r="M1796" s="36" t="str">
        <f t="shared" si="28"/>
        <v>19660420</v>
      </c>
    </row>
    <row r="1797" s="1" customFormat="1" spans="1:13">
      <c r="A1797" s="2">
        <v>7563</v>
      </c>
      <c r="B1797" s="5" t="s">
        <v>14402</v>
      </c>
      <c r="C1797" s="5" t="s">
        <v>14727</v>
      </c>
      <c r="D1797" s="5" t="s">
        <v>14728</v>
      </c>
      <c r="E1797" s="5">
        <v>2020</v>
      </c>
      <c r="F1797" s="5">
        <v>2020</v>
      </c>
      <c r="G1797" s="17" t="s">
        <v>16</v>
      </c>
      <c r="H1797" s="5">
        <v>200</v>
      </c>
      <c r="I1797" s="5">
        <v>200</v>
      </c>
      <c r="J1797" s="5"/>
      <c r="K1797" s="10"/>
      <c r="L1797" s="10">
        <v>20201118</v>
      </c>
      <c r="M1797" s="36" t="str">
        <f t="shared" si="28"/>
        <v>19660423</v>
      </c>
    </row>
    <row r="1798" s="1" customFormat="1" spans="1:13">
      <c r="A1798" s="2">
        <v>4695</v>
      </c>
      <c r="B1798" s="6" t="s">
        <v>9015</v>
      </c>
      <c r="C1798" s="6" t="s">
        <v>9550</v>
      </c>
      <c r="D1798" s="6" t="s">
        <v>9551</v>
      </c>
      <c r="E1798" s="6">
        <v>2020</v>
      </c>
      <c r="F1798" s="6">
        <v>2020</v>
      </c>
      <c r="G1798" s="6" t="s">
        <v>16</v>
      </c>
      <c r="H1798" s="6">
        <v>200</v>
      </c>
      <c r="I1798" s="6">
        <v>200</v>
      </c>
      <c r="J1798" s="6"/>
      <c r="K1798" s="6"/>
      <c r="L1798" s="10">
        <v>20201118</v>
      </c>
      <c r="M1798" s="36" t="str">
        <f t="shared" si="28"/>
        <v>19660424</v>
      </c>
    </row>
    <row r="1799" s="1" customFormat="1" spans="1:13">
      <c r="A1799" s="2">
        <v>7180</v>
      </c>
      <c r="B1799" s="5" t="s">
        <v>13908</v>
      </c>
      <c r="C1799" s="5" t="s">
        <v>8040</v>
      </c>
      <c r="D1799" s="5" t="s">
        <v>14013</v>
      </c>
      <c r="E1799" s="5" t="s">
        <v>15</v>
      </c>
      <c r="F1799" s="5" t="s">
        <v>15</v>
      </c>
      <c r="G1799" s="14" t="s">
        <v>16</v>
      </c>
      <c r="H1799" s="17">
        <v>200</v>
      </c>
      <c r="I1799" s="17">
        <v>200</v>
      </c>
      <c r="J1799" s="5"/>
      <c r="K1799" s="10"/>
      <c r="L1799" s="10">
        <v>20201118</v>
      </c>
      <c r="M1799" s="36" t="str">
        <f t="shared" si="28"/>
        <v>19660424</v>
      </c>
    </row>
    <row r="1800" s="1" customFormat="1" spans="1:13">
      <c r="A1800" s="2">
        <v>1825</v>
      </c>
      <c r="B1800" s="5" t="s">
        <v>4189</v>
      </c>
      <c r="C1800" s="16" t="s">
        <v>4215</v>
      </c>
      <c r="D1800" s="16" t="s">
        <v>4216</v>
      </c>
      <c r="E1800" s="5" t="s">
        <v>15</v>
      </c>
      <c r="F1800" s="5" t="s">
        <v>15</v>
      </c>
      <c r="G1800" s="5" t="s">
        <v>3359</v>
      </c>
      <c r="H1800" s="16">
        <v>200</v>
      </c>
      <c r="I1800" s="16">
        <v>200</v>
      </c>
      <c r="J1800" s="5"/>
      <c r="K1800" s="10"/>
      <c r="L1800" s="10">
        <v>20201118</v>
      </c>
      <c r="M1800" s="36" t="str">
        <f t="shared" si="28"/>
        <v>19660425</v>
      </c>
    </row>
    <row r="1801" s="1" customFormat="1" spans="1:13">
      <c r="A1801" s="2">
        <v>7567</v>
      </c>
      <c r="B1801" s="5" t="s">
        <v>14402</v>
      </c>
      <c r="C1801" s="5" t="s">
        <v>14735</v>
      </c>
      <c r="D1801" s="5" t="s">
        <v>14736</v>
      </c>
      <c r="E1801" s="5">
        <v>2020</v>
      </c>
      <c r="F1801" s="5">
        <v>2020</v>
      </c>
      <c r="G1801" s="17" t="s">
        <v>16</v>
      </c>
      <c r="H1801" s="5">
        <v>200</v>
      </c>
      <c r="I1801" s="5">
        <v>200</v>
      </c>
      <c r="J1801" s="5" t="s">
        <v>3647</v>
      </c>
      <c r="K1801" s="10"/>
      <c r="L1801" s="10">
        <v>20201118</v>
      </c>
      <c r="M1801" s="36" t="str">
        <f t="shared" si="28"/>
        <v>19660425</v>
      </c>
    </row>
    <row r="1802" s="1" customFormat="1" spans="1:13">
      <c r="A1802" s="2">
        <v>6316</v>
      </c>
      <c r="B1802" s="5" t="s">
        <v>12263</v>
      </c>
      <c r="C1802" s="5" t="s">
        <v>12649</v>
      </c>
      <c r="D1802" s="5" t="s">
        <v>12650</v>
      </c>
      <c r="E1802" s="5" t="s">
        <v>10250</v>
      </c>
      <c r="F1802" s="5">
        <v>2020</v>
      </c>
      <c r="G1802" s="17" t="s">
        <v>3359</v>
      </c>
      <c r="H1802" s="5">
        <v>200</v>
      </c>
      <c r="I1802" s="5">
        <v>200</v>
      </c>
      <c r="J1802" s="5"/>
      <c r="K1802" s="5"/>
      <c r="L1802" s="10">
        <v>20201118</v>
      </c>
      <c r="M1802" s="36" t="str">
        <f t="shared" si="28"/>
        <v>19660428</v>
      </c>
    </row>
    <row r="1803" s="1" customFormat="1" spans="1:13">
      <c r="A1803" s="2">
        <v>5022</v>
      </c>
      <c r="B1803" s="6" t="s">
        <v>9954</v>
      </c>
      <c r="C1803" s="60" t="s">
        <v>10178</v>
      </c>
      <c r="D1803" s="60" t="s">
        <v>10179</v>
      </c>
      <c r="E1803" s="5" t="s">
        <v>15</v>
      </c>
      <c r="F1803" s="5" t="s">
        <v>15</v>
      </c>
      <c r="G1803" s="14" t="s">
        <v>16</v>
      </c>
      <c r="H1803" s="6">
        <v>200</v>
      </c>
      <c r="I1803" s="6">
        <v>200</v>
      </c>
      <c r="J1803" s="6"/>
      <c r="K1803" s="6"/>
      <c r="L1803" s="10">
        <v>20201118</v>
      </c>
      <c r="M1803" s="36" t="str">
        <f t="shared" si="28"/>
        <v>19660429</v>
      </c>
    </row>
    <row r="1804" s="1" customFormat="1" spans="1:13">
      <c r="A1804" s="2">
        <v>6568</v>
      </c>
      <c r="B1804" s="5" t="s">
        <v>13027</v>
      </c>
      <c r="C1804" s="15" t="s">
        <v>13128</v>
      </c>
      <c r="D1804" s="15" t="s">
        <v>13129</v>
      </c>
      <c r="E1804" s="5">
        <v>2020</v>
      </c>
      <c r="F1804" s="5">
        <v>2020</v>
      </c>
      <c r="G1804" s="14" t="s">
        <v>16</v>
      </c>
      <c r="H1804" s="15">
        <v>200</v>
      </c>
      <c r="I1804" s="15">
        <v>200</v>
      </c>
      <c r="J1804" s="5"/>
      <c r="K1804" s="10"/>
      <c r="L1804" s="10">
        <v>20201118</v>
      </c>
      <c r="M1804" s="36" t="str">
        <f t="shared" si="28"/>
        <v>19660429</v>
      </c>
    </row>
    <row r="1805" s="1" customFormat="1" spans="1:13">
      <c r="A1805" s="2">
        <v>2208</v>
      </c>
      <c r="B1805" s="9" t="s">
        <v>4837</v>
      </c>
      <c r="C1805" s="9" t="s">
        <v>4963</v>
      </c>
      <c r="D1805" s="9" t="s">
        <v>4964</v>
      </c>
      <c r="E1805" s="6" t="s">
        <v>15</v>
      </c>
      <c r="F1805" s="6">
        <v>2020</v>
      </c>
      <c r="G1805" s="9" t="s">
        <v>2480</v>
      </c>
      <c r="H1805" s="9">
        <v>200</v>
      </c>
      <c r="I1805" s="9">
        <v>200</v>
      </c>
      <c r="J1805" s="6"/>
      <c r="K1805" s="10"/>
      <c r="L1805" s="10">
        <v>20201118</v>
      </c>
      <c r="M1805" s="36" t="str">
        <f t="shared" si="28"/>
        <v>19660501</v>
      </c>
    </row>
    <row r="1806" s="1" customFormat="1" spans="1:13">
      <c r="A1806" s="2">
        <v>2770</v>
      </c>
      <c r="B1806" s="32" t="s">
        <v>5602</v>
      </c>
      <c r="C1806" s="32" t="s">
        <v>6067</v>
      </c>
      <c r="D1806" s="304" t="s">
        <v>6068</v>
      </c>
      <c r="E1806" s="32">
        <v>2012</v>
      </c>
      <c r="F1806" s="32">
        <v>2020</v>
      </c>
      <c r="G1806" s="32" t="s">
        <v>289</v>
      </c>
      <c r="H1806" s="32">
        <v>200</v>
      </c>
      <c r="I1806" s="32">
        <v>1800</v>
      </c>
      <c r="J1806" s="32"/>
      <c r="K1806" s="52"/>
      <c r="L1806" s="10">
        <v>20201118</v>
      </c>
      <c r="M1806" s="36" t="str">
        <f t="shared" si="28"/>
        <v>19660503</v>
      </c>
    </row>
    <row r="1807" s="1" customFormat="1" spans="1:13">
      <c r="A1807" s="2">
        <v>1523</v>
      </c>
      <c r="B1807" s="5" t="s">
        <v>3381</v>
      </c>
      <c r="C1807" s="9" t="s">
        <v>3613</v>
      </c>
      <c r="D1807" s="9" t="s">
        <v>3614</v>
      </c>
      <c r="E1807" s="5">
        <v>2020</v>
      </c>
      <c r="F1807" s="5">
        <v>2020</v>
      </c>
      <c r="G1807" s="14" t="s">
        <v>16</v>
      </c>
      <c r="H1807" s="6">
        <v>200</v>
      </c>
      <c r="I1807" s="6">
        <v>200</v>
      </c>
      <c r="J1807" s="5"/>
      <c r="K1807" s="13"/>
      <c r="L1807" s="10">
        <v>20201118</v>
      </c>
      <c r="M1807" s="36" t="str">
        <f t="shared" si="28"/>
        <v>19660505</v>
      </c>
    </row>
    <row r="1808" s="1" customFormat="1" spans="1:13">
      <c r="A1808" s="2">
        <v>1888</v>
      </c>
      <c r="B1808" s="5" t="s">
        <v>4189</v>
      </c>
      <c r="C1808" s="16" t="s">
        <v>4339</v>
      </c>
      <c r="D1808" s="16" t="s">
        <v>4340</v>
      </c>
      <c r="E1808" s="5" t="s">
        <v>15</v>
      </c>
      <c r="F1808" s="5" t="s">
        <v>15</v>
      </c>
      <c r="G1808" s="5" t="s">
        <v>3359</v>
      </c>
      <c r="H1808" s="16">
        <v>200</v>
      </c>
      <c r="I1808" s="16">
        <v>200</v>
      </c>
      <c r="J1808" s="5"/>
      <c r="K1808" s="10"/>
      <c r="L1808" s="10">
        <v>20201118</v>
      </c>
      <c r="M1808" s="36" t="str">
        <f t="shared" si="28"/>
        <v>19660505</v>
      </c>
    </row>
    <row r="1809" s="1" customFormat="1" spans="1:13">
      <c r="A1809" s="2">
        <v>6992</v>
      </c>
      <c r="B1809" s="5" t="s">
        <v>13533</v>
      </c>
      <c r="C1809" s="32" t="s">
        <v>11521</v>
      </c>
      <c r="D1809" s="32" t="str">
        <f>"152326196605057117"</f>
        <v>152326196605057117</v>
      </c>
      <c r="E1809" s="5">
        <v>2020</v>
      </c>
      <c r="F1809" s="5">
        <v>2020</v>
      </c>
      <c r="G1809" s="9" t="s">
        <v>2480</v>
      </c>
      <c r="H1809" s="32">
        <v>200</v>
      </c>
      <c r="I1809" s="32">
        <v>200</v>
      </c>
      <c r="J1809" s="32"/>
      <c r="K1809" s="10"/>
      <c r="L1809" s="10">
        <v>20201118</v>
      </c>
      <c r="M1809" s="36" t="str">
        <f t="shared" si="28"/>
        <v>19660505</v>
      </c>
    </row>
    <row r="1810" s="1" customFormat="1" spans="1:13">
      <c r="A1810" s="2">
        <v>5188</v>
      </c>
      <c r="B1810" s="6" t="s">
        <v>10242</v>
      </c>
      <c r="C1810" s="9" t="s">
        <v>5492</v>
      </c>
      <c r="D1810" s="61" t="s">
        <v>10499</v>
      </c>
      <c r="E1810" s="5" t="s">
        <v>10250</v>
      </c>
      <c r="F1810" s="5">
        <v>2020</v>
      </c>
      <c r="G1810" s="6" t="s">
        <v>16</v>
      </c>
      <c r="H1810" s="6">
        <v>200</v>
      </c>
      <c r="I1810" s="6">
        <v>200</v>
      </c>
      <c r="J1810" s="6"/>
      <c r="K1810" s="5"/>
      <c r="L1810" s="10">
        <v>20201118</v>
      </c>
      <c r="M1810" s="36" t="str">
        <f t="shared" si="28"/>
        <v>19660507</v>
      </c>
    </row>
    <row r="1811" s="1" customFormat="1" spans="1:13">
      <c r="A1811" s="2">
        <v>6990</v>
      </c>
      <c r="B1811" s="5" t="s">
        <v>13533</v>
      </c>
      <c r="C1811" s="32" t="s">
        <v>13738</v>
      </c>
      <c r="D1811" s="32" t="str">
        <f>"152326196605077126"</f>
        <v>152326196605077126</v>
      </c>
      <c r="E1811" s="5">
        <v>2020</v>
      </c>
      <c r="F1811" s="5">
        <v>2020</v>
      </c>
      <c r="G1811" s="9" t="s">
        <v>2480</v>
      </c>
      <c r="H1811" s="32">
        <v>200</v>
      </c>
      <c r="I1811" s="32">
        <v>200</v>
      </c>
      <c r="J1811" s="32"/>
      <c r="K1811" s="10"/>
      <c r="L1811" s="10">
        <v>20201118</v>
      </c>
      <c r="M1811" s="36" t="str">
        <f t="shared" si="28"/>
        <v>19660507</v>
      </c>
    </row>
    <row r="1812" s="1" customFormat="1" spans="1:13">
      <c r="A1812" s="2">
        <v>8021</v>
      </c>
      <c r="B1812" s="5" t="s">
        <v>15086</v>
      </c>
      <c r="C1812" s="6" t="s">
        <v>15297</v>
      </c>
      <c r="D1812" s="6" t="str">
        <f>"152326196605106863"</f>
        <v>152326196605106863</v>
      </c>
      <c r="E1812" s="5" t="s">
        <v>15</v>
      </c>
      <c r="F1812" s="5">
        <v>2020</v>
      </c>
      <c r="G1812" s="5" t="s">
        <v>16</v>
      </c>
      <c r="H1812" s="5">
        <v>200</v>
      </c>
      <c r="I1812" s="5">
        <v>200</v>
      </c>
      <c r="J1812" s="5"/>
      <c r="K1812" s="5"/>
      <c r="L1812" s="10">
        <v>20201118</v>
      </c>
      <c r="M1812" s="36" t="str">
        <f t="shared" si="28"/>
        <v>19660510</v>
      </c>
    </row>
    <row r="1813" s="1" customFormat="1" spans="1:13">
      <c r="A1813" s="2">
        <v>3723</v>
      </c>
      <c r="B1813" s="5" t="s">
        <v>7412</v>
      </c>
      <c r="C1813" s="5" t="s">
        <v>7700</v>
      </c>
      <c r="D1813" s="5" t="s">
        <v>7701</v>
      </c>
      <c r="E1813" s="6">
        <v>2020</v>
      </c>
      <c r="F1813" s="6">
        <v>2020</v>
      </c>
      <c r="G1813" s="5" t="s">
        <v>3359</v>
      </c>
      <c r="H1813" s="5">
        <v>200</v>
      </c>
      <c r="I1813" s="5">
        <v>200</v>
      </c>
      <c r="J1813" s="5"/>
      <c r="K1813" s="5"/>
      <c r="L1813" s="10">
        <v>20201118</v>
      </c>
      <c r="M1813" s="36" t="str">
        <f t="shared" si="28"/>
        <v>19660515</v>
      </c>
    </row>
    <row r="1814" s="1" customFormat="1" spans="1:13">
      <c r="A1814" s="2">
        <v>1891</v>
      </c>
      <c r="B1814" s="5" t="s">
        <v>4189</v>
      </c>
      <c r="C1814" s="16" t="s">
        <v>1106</v>
      </c>
      <c r="D1814" s="16" t="s">
        <v>4345</v>
      </c>
      <c r="E1814" s="5" t="s">
        <v>15</v>
      </c>
      <c r="F1814" s="5" t="s">
        <v>15</v>
      </c>
      <c r="G1814" s="5" t="s">
        <v>3359</v>
      </c>
      <c r="H1814" s="16">
        <v>200</v>
      </c>
      <c r="I1814" s="16">
        <v>200</v>
      </c>
      <c r="J1814" s="5"/>
      <c r="K1814" s="10"/>
      <c r="L1814" s="10">
        <v>20201118</v>
      </c>
      <c r="M1814" s="36" t="str">
        <f t="shared" si="28"/>
        <v>19660520</v>
      </c>
    </row>
    <row r="1815" s="1" customFormat="1" spans="1:13">
      <c r="A1815" s="2">
        <v>2577</v>
      </c>
      <c r="B1815" s="32" t="s">
        <v>5602</v>
      </c>
      <c r="C1815" s="9" t="s">
        <v>5689</v>
      </c>
      <c r="D1815" s="9" t="s">
        <v>5690</v>
      </c>
      <c r="E1815" s="32">
        <v>2020</v>
      </c>
      <c r="F1815" s="32">
        <v>2020</v>
      </c>
      <c r="G1815" s="32" t="s">
        <v>16</v>
      </c>
      <c r="H1815" s="9">
        <v>1000</v>
      </c>
      <c r="I1815" s="9">
        <v>1000</v>
      </c>
      <c r="J1815" s="32"/>
      <c r="K1815" s="52"/>
      <c r="L1815" s="10">
        <v>20201118</v>
      </c>
      <c r="M1815" s="36" t="str">
        <f t="shared" si="28"/>
        <v>19660520</v>
      </c>
    </row>
    <row r="1816" s="1" customFormat="1" spans="1:13">
      <c r="A1816" s="2">
        <v>4212</v>
      </c>
      <c r="B1816" s="9" t="s">
        <v>8515</v>
      </c>
      <c r="C1816" s="9" t="s">
        <v>8628</v>
      </c>
      <c r="D1816" s="9" t="s">
        <v>8629</v>
      </c>
      <c r="E1816" s="5" t="s">
        <v>15</v>
      </c>
      <c r="F1816" s="5">
        <v>2020</v>
      </c>
      <c r="G1816" s="9" t="s">
        <v>2480</v>
      </c>
      <c r="H1816" s="9">
        <v>200</v>
      </c>
      <c r="I1816" s="9">
        <v>200</v>
      </c>
      <c r="J1816" s="9"/>
      <c r="K1816" s="9"/>
      <c r="L1816" s="10">
        <v>20201118</v>
      </c>
      <c r="M1816" s="36" t="str">
        <f t="shared" si="28"/>
        <v>19660520</v>
      </c>
    </row>
    <row r="1817" s="1" customFormat="1" spans="1:13">
      <c r="A1817" s="2">
        <v>7001</v>
      </c>
      <c r="B1817" s="5" t="s">
        <v>13533</v>
      </c>
      <c r="C1817" s="32" t="s">
        <v>13749</v>
      </c>
      <c r="D1817" s="32" t="str">
        <f>"152326196605217141"</f>
        <v>152326196605217141</v>
      </c>
      <c r="E1817" s="5">
        <v>2020</v>
      </c>
      <c r="F1817" s="5">
        <v>2020</v>
      </c>
      <c r="G1817" s="9" t="s">
        <v>2480</v>
      </c>
      <c r="H1817" s="32">
        <v>200</v>
      </c>
      <c r="I1817" s="32">
        <v>200</v>
      </c>
      <c r="J1817" s="32"/>
      <c r="K1817" s="10"/>
      <c r="L1817" s="10">
        <v>20201118</v>
      </c>
      <c r="M1817" s="36" t="str">
        <f t="shared" si="28"/>
        <v>19660521</v>
      </c>
    </row>
    <row r="1818" s="1" customFormat="1" ht="14.25" spans="1:13">
      <c r="A1818" s="2">
        <v>7761</v>
      </c>
      <c r="B1818" s="5" t="s">
        <v>14875</v>
      </c>
      <c r="C1818" s="51" t="s">
        <v>15006</v>
      </c>
      <c r="D1818" s="24" t="str">
        <f>"152326196605217125"</f>
        <v>152326196605217125</v>
      </c>
      <c r="E1818" s="6" t="s">
        <v>15</v>
      </c>
      <c r="F1818" s="6">
        <v>2020</v>
      </c>
      <c r="G1818" s="24" t="s">
        <v>14877</v>
      </c>
      <c r="H1818" s="6">
        <v>200</v>
      </c>
      <c r="I1818" s="6">
        <v>200</v>
      </c>
      <c r="J1818" s="6"/>
      <c r="K1818" s="10"/>
      <c r="L1818" s="10">
        <v>20201118</v>
      </c>
      <c r="M1818" s="36" t="str">
        <f t="shared" si="28"/>
        <v>19660521</v>
      </c>
    </row>
    <row r="1819" s="1" customFormat="1" spans="1:13">
      <c r="A1819" s="2">
        <v>700</v>
      </c>
      <c r="B1819" s="29" t="s">
        <v>1040</v>
      </c>
      <c r="C1819" s="5" t="s">
        <v>1752</v>
      </c>
      <c r="D1819" s="5" t="s">
        <v>1753</v>
      </c>
      <c r="E1819" s="30">
        <v>2020</v>
      </c>
      <c r="F1819" s="30">
        <v>2020</v>
      </c>
      <c r="G1819" s="29" t="s">
        <v>16</v>
      </c>
      <c r="H1819" s="29">
        <v>200</v>
      </c>
      <c r="I1819" s="29">
        <v>200</v>
      </c>
      <c r="J1819" s="29"/>
      <c r="K1819" s="54"/>
      <c r="L1819" s="2" t="s">
        <v>330</v>
      </c>
      <c r="M1819" s="36" t="str">
        <f t="shared" si="28"/>
        <v>19660524</v>
      </c>
    </row>
    <row r="1820" s="1" customFormat="1" spans="1:13">
      <c r="A1820" s="2">
        <v>2421</v>
      </c>
      <c r="B1820" s="5" t="s">
        <v>5328</v>
      </c>
      <c r="C1820" s="16" t="s">
        <v>5383</v>
      </c>
      <c r="D1820" s="16" t="s">
        <v>5384</v>
      </c>
      <c r="E1820" s="5" t="s">
        <v>15</v>
      </c>
      <c r="F1820" s="5" t="s">
        <v>15</v>
      </c>
      <c r="G1820" s="14" t="s">
        <v>16</v>
      </c>
      <c r="H1820" s="6">
        <v>200</v>
      </c>
      <c r="I1820" s="6">
        <v>200</v>
      </c>
      <c r="J1820" s="5"/>
      <c r="K1820" s="5"/>
      <c r="L1820" s="10">
        <v>20201118</v>
      </c>
      <c r="M1820" s="36" t="str">
        <f t="shared" si="28"/>
        <v>19660524</v>
      </c>
    </row>
    <row r="1821" s="1" customFormat="1" spans="1:13">
      <c r="A1821" s="2">
        <v>4457</v>
      </c>
      <c r="B1821" s="6" t="s">
        <v>9015</v>
      </c>
      <c r="C1821" s="6" t="s">
        <v>9100</v>
      </c>
      <c r="D1821" s="6" t="s">
        <v>9101</v>
      </c>
      <c r="E1821" s="6">
        <v>2020</v>
      </c>
      <c r="F1821" s="6">
        <v>2020</v>
      </c>
      <c r="G1821" s="6" t="s">
        <v>16</v>
      </c>
      <c r="H1821" s="6">
        <v>200</v>
      </c>
      <c r="I1821" s="6">
        <v>200</v>
      </c>
      <c r="J1821" s="6" t="s">
        <v>108</v>
      </c>
      <c r="K1821" s="6"/>
      <c r="L1821" s="10">
        <v>20201118</v>
      </c>
      <c r="M1821" s="36" t="str">
        <f t="shared" si="28"/>
        <v>19660524</v>
      </c>
    </row>
    <row r="1822" s="1" customFormat="1" spans="1:13">
      <c r="A1822" s="2">
        <v>6138</v>
      </c>
      <c r="B1822" s="5" t="s">
        <v>12263</v>
      </c>
      <c r="C1822" s="5" t="s">
        <v>12311</v>
      </c>
      <c r="D1822" s="5" t="s">
        <v>12312</v>
      </c>
      <c r="E1822" s="5" t="s">
        <v>10250</v>
      </c>
      <c r="F1822" s="5">
        <v>2020</v>
      </c>
      <c r="G1822" s="17" t="s">
        <v>3359</v>
      </c>
      <c r="H1822" s="5">
        <v>200</v>
      </c>
      <c r="I1822" s="5">
        <v>200</v>
      </c>
      <c r="J1822" s="5"/>
      <c r="K1822" s="5"/>
      <c r="L1822" s="10">
        <v>20201118</v>
      </c>
      <c r="M1822" s="36" t="str">
        <f t="shared" si="28"/>
        <v>19660524</v>
      </c>
    </row>
    <row r="1823" s="1" customFormat="1" spans="1:13">
      <c r="A1823" s="2">
        <v>2578</v>
      </c>
      <c r="B1823" s="32" t="s">
        <v>5602</v>
      </c>
      <c r="C1823" s="9" t="s">
        <v>5691</v>
      </c>
      <c r="D1823" s="9" t="s">
        <v>5692</v>
      </c>
      <c r="E1823" s="32">
        <v>2020</v>
      </c>
      <c r="F1823" s="32">
        <v>2020</v>
      </c>
      <c r="G1823" s="32" t="s">
        <v>16</v>
      </c>
      <c r="H1823" s="9">
        <v>200</v>
      </c>
      <c r="I1823" s="9">
        <v>200</v>
      </c>
      <c r="J1823" s="32"/>
      <c r="K1823" s="52"/>
      <c r="L1823" s="10">
        <v>20201118</v>
      </c>
      <c r="M1823" s="36" t="str">
        <f t="shared" si="28"/>
        <v>19660525</v>
      </c>
    </row>
    <row r="1824" s="1" customFormat="1" spans="1:13">
      <c r="A1824" s="2">
        <v>258</v>
      </c>
      <c r="B1824" s="14" t="s">
        <v>327</v>
      </c>
      <c r="C1824" s="17" t="s">
        <v>660</v>
      </c>
      <c r="D1824" s="17" t="s">
        <v>661</v>
      </c>
      <c r="E1824" s="5">
        <v>2020</v>
      </c>
      <c r="F1824" s="5">
        <v>2020</v>
      </c>
      <c r="G1824" s="14" t="s">
        <v>16</v>
      </c>
      <c r="H1824" s="17">
        <v>200</v>
      </c>
      <c r="I1824" s="17">
        <v>200</v>
      </c>
      <c r="J1824" s="17"/>
      <c r="K1824" s="10"/>
      <c r="L1824" s="14" t="s">
        <v>330</v>
      </c>
      <c r="M1824" s="36" t="str">
        <f t="shared" si="28"/>
        <v>19660526</v>
      </c>
    </row>
    <row r="1825" s="1" customFormat="1" spans="1:13">
      <c r="A1825" s="2">
        <v>486</v>
      </c>
      <c r="B1825" s="29" t="s">
        <v>1040</v>
      </c>
      <c r="C1825" s="29" t="s">
        <v>1249</v>
      </c>
      <c r="D1825" s="29" t="s">
        <v>1250</v>
      </c>
      <c r="E1825" s="30">
        <v>2020</v>
      </c>
      <c r="F1825" s="30">
        <v>2020</v>
      </c>
      <c r="G1825" s="29" t="s">
        <v>16</v>
      </c>
      <c r="H1825" s="29">
        <v>200</v>
      </c>
      <c r="I1825" s="29">
        <v>200</v>
      </c>
      <c r="J1825" s="29"/>
      <c r="K1825" s="47"/>
      <c r="L1825" s="2" t="s">
        <v>330</v>
      </c>
      <c r="M1825" s="36" t="str">
        <f t="shared" si="28"/>
        <v>19660526</v>
      </c>
    </row>
    <row r="1826" s="1" customFormat="1" spans="1:13">
      <c r="A1826" s="2">
        <v>6569</v>
      </c>
      <c r="B1826" s="5" t="s">
        <v>13027</v>
      </c>
      <c r="C1826" s="15" t="s">
        <v>13130</v>
      </c>
      <c r="D1826" s="15" t="s">
        <v>13131</v>
      </c>
      <c r="E1826" s="5">
        <v>2020</v>
      </c>
      <c r="F1826" s="5">
        <v>2020</v>
      </c>
      <c r="G1826" s="14" t="s">
        <v>16</v>
      </c>
      <c r="H1826" s="15">
        <v>200</v>
      </c>
      <c r="I1826" s="15">
        <v>200</v>
      </c>
      <c r="J1826" s="5"/>
      <c r="K1826" s="10"/>
      <c r="L1826" s="10">
        <v>20201118</v>
      </c>
      <c r="M1826" s="36" t="str">
        <f t="shared" si="28"/>
        <v>19660604</v>
      </c>
    </row>
    <row r="1827" s="1" customFormat="1" spans="1:13">
      <c r="A1827" s="2">
        <v>7565</v>
      </c>
      <c r="B1827" s="5" t="s">
        <v>14402</v>
      </c>
      <c r="C1827" s="5" t="s">
        <v>14731</v>
      </c>
      <c r="D1827" s="5" t="s">
        <v>14732</v>
      </c>
      <c r="E1827" s="5">
        <v>2020</v>
      </c>
      <c r="F1827" s="5">
        <v>2020</v>
      </c>
      <c r="G1827" s="17" t="s">
        <v>16</v>
      </c>
      <c r="H1827" s="5">
        <v>200</v>
      </c>
      <c r="I1827" s="5">
        <v>200</v>
      </c>
      <c r="J1827" s="5"/>
      <c r="K1827" s="10"/>
      <c r="L1827" s="10">
        <v>20201118</v>
      </c>
      <c r="M1827" s="36" t="str">
        <f t="shared" si="28"/>
        <v>19660605</v>
      </c>
    </row>
    <row r="1828" s="1" customFormat="1" spans="1:13">
      <c r="A1828" s="2">
        <v>2579</v>
      </c>
      <c r="B1828" s="32" t="s">
        <v>5602</v>
      </c>
      <c r="C1828" s="9" t="s">
        <v>5693</v>
      </c>
      <c r="D1828" s="9" t="s">
        <v>5694</v>
      </c>
      <c r="E1828" s="32">
        <v>2020</v>
      </c>
      <c r="F1828" s="32">
        <v>2020</v>
      </c>
      <c r="G1828" s="32" t="s">
        <v>16</v>
      </c>
      <c r="H1828" s="9">
        <v>200</v>
      </c>
      <c r="I1828" s="9">
        <v>200</v>
      </c>
      <c r="J1828" s="32"/>
      <c r="K1828" s="52"/>
      <c r="L1828" s="10">
        <v>20201118</v>
      </c>
      <c r="M1828" s="36" t="str">
        <f t="shared" si="28"/>
        <v>19660606</v>
      </c>
    </row>
    <row r="1829" s="1" customFormat="1" spans="1:13">
      <c r="A1829" s="2">
        <v>6570</v>
      </c>
      <c r="B1829" s="5" t="s">
        <v>13027</v>
      </c>
      <c r="C1829" s="15" t="s">
        <v>13132</v>
      </c>
      <c r="D1829" s="15" t="s">
        <v>13133</v>
      </c>
      <c r="E1829" s="5">
        <v>2020</v>
      </c>
      <c r="F1829" s="5">
        <v>2020</v>
      </c>
      <c r="G1829" s="14" t="s">
        <v>16</v>
      </c>
      <c r="H1829" s="15">
        <v>200</v>
      </c>
      <c r="I1829" s="15">
        <v>200</v>
      </c>
      <c r="J1829" s="5"/>
      <c r="K1829" s="10"/>
      <c r="L1829" s="10">
        <v>20201118</v>
      </c>
      <c r="M1829" s="36" t="str">
        <f t="shared" si="28"/>
        <v>19660609</v>
      </c>
    </row>
    <row r="1830" s="1" customFormat="1" spans="1:13">
      <c r="A1830" s="2">
        <v>5500</v>
      </c>
      <c r="B1830" s="30" t="s">
        <v>11090</v>
      </c>
      <c r="C1830" s="30" t="s">
        <v>11095</v>
      </c>
      <c r="D1830" s="30" t="s">
        <v>11096</v>
      </c>
      <c r="E1830" s="5" t="s">
        <v>15</v>
      </c>
      <c r="F1830" s="5" t="s">
        <v>10250</v>
      </c>
      <c r="G1830" s="6" t="s">
        <v>16</v>
      </c>
      <c r="H1830" s="32">
        <v>200</v>
      </c>
      <c r="I1830" s="32">
        <v>200</v>
      </c>
      <c r="J1830" s="6"/>
      <c r="K1830" s="48"/>
      <c r="L1830" s="10">
        <v>20201118</v>
      </c>
      <c r="M1830" s="36" t="str">
        <f t="shared" si="28"/>
        <v>19660610</v>
      </c>
    </row>
    <row r="1831" s="1" customFormat="1" spans="1:13">
      <c r="A1831" s="2">
        <v>184</v>
      </c>
      <c r="B1831" s="14" t="s">
        <v>327</v>
      </c>
      <c r="C1831" s="14" t="s">
        <v>440</v>
      </c>
      <c r="D1831" s="14" t="s">
        <v>441</v>
      </c>
      <c r="E1831" s="5">
        <v>2020</v>
      </c>
      <c r="F1831" s="5">
        <v>2020</v>
      </c>
      <c r="G1831" s="14" t="s">
        <v>16</v>
      </c>
      <c r="H1831" s="14">
        <v>200</v>
      </c>
      <c r="I1831" s="14">
        <v>200</v>
      </c>
      <c r="J1831" s="14"/>
      <c r="K1831" s="10"/>
      <c r="L1831" s="14" t="s">
        <v>330</v>
      </c>
      <c r="M1831" s="36" t="str">
        <f t="shared" si="28"/>
        <v>19660616</v>
      </c>
    </row>
    <row r="1832" s="1" customFormat="1" spans="1:13">
      <c r="A1832" s="2">
        <v>6571</v>
      </c>
      <c r="B1832" s="5" t="s">
        <v>13027</v>
      </c>
      <c r="C1832" s="15" t="s">
        <v>12539</v>
      </c>
      <c r="D1832" s="15" t="s">
        <v>13134</v>
      </c>
      <c r="E1832" s="5">
        <v>2020</v>
      </c>
      <c r="F1832" s="5">
        <v>2020</v>
      </c>
      <c r="G1832" s="14" t="s">
        <v>16</v>
      </c>
      <c r="H1832" s="15">
        <v>200</v>
      </c>
      <c r="I1832" s="15">
        <v>200</v>
      </c>
      <c r="J1832" s="5"/>
      <c r="K1832" s="10"/>
      <c r="L1832" s="10">
        <v>20201118</v>
      </c>
      <c r="M1832" s="36" t="str">
        <f t="shared" si="28"/>
        <v>19660617</v>
      </c>
    </row>
    <row r="1833" s="1" customFormat="1" ht="14.25" spans="1:13">
      <c r="A1833" s="2">
        <v>3051</v>
      </c>
      <c r="B1833" s="6" t="s">
        <v>6075</v>
      </c>
      <c r="C1833" s="25" t="s">
        <v>6625</v>
      </c>
      <c r="D1833" s="26" t="s">
        <v>6626</v>
      </c>
      <c r="E1833" s="5" t="s">
        <v>15</v>
      </c>
      <c r="F1833" s="5">
        <v>2020</v>
      </c>
      <c r="G1833" s="6" t="s">
        <v>16</v>
      </c>
      <c r="H1833" s="6">
        <v>200</v>
      </c>
      <c r="I1833" s="6">
        <v>200</v>
      </c>
      <c r="J1833" s="6"/>
      <c r="K1833" s="10"/>
      <c r="L1833" s="10">
        <v>20201118</v>
      </c>
      <c r="M1833" s="36" t="str">
        <f t="shared" si="28"/>
        <v>19660622</v>
      </c>
    </row>
    <row r="1834" s="1" customFormat="1" spans="1:13">
      <c r="A1834" s="2">
        <v>8025</v>
      </c>
      <c r="B1834" s="5" t="s">
        <v>15086</v>
      </c>
      <c r="C1834" s="6" t="s">
        <v>15302</v>
      </c>
      <c r="D1834" s="6" t="str">
        <f>"152326196606236862"</f>
        <v>152326196606236862</v>
      </c>
      <c r="E1834" s="5" t="s">
        <v>15</v>
      </c>
      <c r="F1834" s="5">
        <v>2020</v>
      </c>
      <c r="G1834" s="5" t="s">
        <v>16</v>
      </c>
      <c r="H1834" s="5">
        <v>200</v>
      </c>
      <c r="I1834" s="5">
        <v>200</v>
      </c>
      <c r="J1834" s="5"/>
      <c r="K1834" s="5"/>
      <c r="L1834" s="10">
        <v>20201118</v>
      </c>
      <c r="M1834" s="36" t="str">
        <f t="shared" si="28"/>
        <v>19660623</v>
      </c>
    </row>
    <row r="1835" s="1" customFormat="1" spans="1:13">
      <c r="A1835" s="2">
        <v>4213</v>
      </c>
      <c r="B1835" s="9" t="s">
        <v>8515</v>
      </c>
      <c r="C1835" s="9" t="s">
        <v>8630</v>
      </c>
      <c r="D1835" s="9" t="s">
        <v>8631</v>
      </c>
      <c r="E1835" s="5" t="s">
        <v>15</v>
      </c>
      <c r="F1835" s="5">
        <v>2020</v>
      </c>
      <c r="G1835" s="9" t="s">
        <v>2480</v>
      </c>
      <c r="H1835" s="9">
        <v>200</v>
      </c>
      <c r="I1835" s="9">
        <v>200</v>
      </c>
      <c r="J1835" s="9"/>
      <c r="K1835" s="9"/>
      <c r="L1835" s="10">
        <v>20201118</v>
      </c>
      <c r="M1835" s="36" t="str">
        <f t="shared" si="28"/>
        <v>19660624</v>
      </c>
    </row>
    <row r="1836" s="1" customFormat="1" spans="1:13">
      <c r="A1836" s="2">
        <v>6572</v>
      </c>
      <c r="B1836" s="5" t="s">
        <v>13027</v>
      </c>
      <c r="C1836" s="15" t="s">
        <v>13135</v>
      </c>
      <c r="D1836" s="15" t="s">
        <v>13136</v>
      </c>
      <c r="E1836" s="5">
        <v>2020</v>
      </c>
      <c r="F1836" s="5">
        <v>2020</v>
      </c>
      <c r="G1836" s="14" t="s">
        <v>16</v>
      </c>
      <c r="H1836" s="15">
        <v>200</v>
      </c>
      <c r="I1836" s="15">
        <v>200</v>
      </c>
      <c r="J1836" s="5"/>
      <c r="K1836" s="10"/>
      <c r="L1836" s="10">
        <v>20201118</v>
      </c>
      <c r="M1836" s="36" t="str">
        <f t="shared" si="28"/>
        <v>19660624</v>
      </c>
    </row>
    <row r="1837" s="1" customFormat="1" ht="14.25" spans="1:13">
      <c r="A1837" s="2">
        <v>7765</v>
      </c>
      <c r="B1837" s="5" t="s">
        <v>14875</v>
      </c>
      <c r="C1837" s="51" t="s">
        <v>15011</v>
      </c>
      <c r="D1837" s="24" t="s">
        <v>15012</v>
      </c>
      <c r="E1837" s="6" t="s">
        <v>15</v>
      </c>
      <c r="F1837" s="6">
        <v>2020</v>
      </c>
      <c r="G1837" s="24" t="s">
        <v>14877</v>
      </c>
      <c r="H1837" s="6">
        <v>200</v>
      </c>
      <c r="I1837" s="6">
        <v>200</v>
      </c>
      <c r="J1837" s="6" t="s">
        <v>768</v>
      </c>
      <c r="K1837" s="10"/>
      <c r="L1837" s="10">
        <v>20201118</v>
      </c>
      <c r="M1837" s="36" t="str">
        <f t="shared" si="28"/>
        <v>19660625</v>
      </c>
    </row>
    <row r="1838" s="1" customFormat="1" spans="1:13">
      <c r="A1838" s="2">
        <v>2209</v>
      </c>
      <c r="B1838" s="9" t="s">
        <v>4837</v>
      </c>
      <c r="C1838" s="9" t="s">
        <v>4965</v>
      </c>
      <c r="D1838" s="9" t="s">
        <v>4966</v>
      </c>
      <c r="E1838" s="6" t="s">
        <v>15</v>
      </c>
      <c r="F1838" s="6">
        <v>2020</v>
      </c>
      <c r="G1838" s="9" t="s">
        <v>2480</v>
      </c>
      <c r="H1838" s="9">
        <v>200</v>
      </c>
      <c r="I1838" s="9">
        <v>200</v>
      </c>
      <c r="J1838" s="6"/>
      <c r="K1838" s="10"/>
      <c r="L1838" s="10">
        <v>20201118</v>
      </c>
      <c r="M1838" s="36" t="str">
        <f t="shared" si="28"/>
        <v>19660626</v>
      </c>
    </row>
    <row r="1839" s="1" customFormat="1" spans="1:13">
      <c r="A1839" s="2">
        <v>3724</v>
      </c>
      <c r="B1839" s="5" t="s">
        <v>7412</v>
      </c>
      <c r="C1839" s="5" t="s">
        <v>7702</v>
      </c>
      <c r="D1839" s="5" t="s">
        <v>7703</v>
      </c>
      <c r="E1839" s="6">
        <v>2020</v>
      </c>
      <c r="F1839" s="6">
        <v>2020</v>
      </c>
      <c r="G1839" s="5" t="s">
        <v>3359</v>
      </c>
      <c r="H1839" s="5">
        <v>200</v>
      </c>
      <c r="I1839" s="5">
        <v>200</v>
      </c>
      <c r="J1839" s="5"/>
      <c r="K1839" s="5"/>
      <c r="L1839" s="10">
        <v>20201118</v>
      </c>
      <c r="M1839" s="36" t="str">
        <f t="shared" si="28"/>
        <v>19660627</v>
      </c>
    </row>
    <row r="1840" s="1" customFormat="1" spans="1:13">
      <c r="A1840" s="2">
        <v>4521</v>
      </c>
      <c r="B1840" s="6" t="s">
        <v>9015</v>
      </c>
      <c r="C1840" s="6" t="s">
        <v>9224</v>
      </c>
      <c r="D1840" s="6" t="s">
        <v>9225</v>
      </c>
      <c r="E1840" s="6">
        <v>2020</v>
      </c>
      <c r="F1840" s="6">
        <v>2020</v>
      </c>
      <c r="G1840" s="6" t="s">
        <v>16</v>
      </c>
      <c r="H1840" s="6">
        <v>200</v>
      </c>
      <c r="I1840" s="6">
        <v>200</v>
      </c>
      <c r="J1840" s="6"/>
      <c r="K1840" s="6"/>
      <c r="L1840" s="10">
        <v>20201118</v>
      </c>
      <c r="M1840" s="36" t="str">
        <f t="shared" si="28"/>
        <v>19660701</v>
      </c>
    </row>
    <row r="1841" s="1" customFormat="1" ht="14.25" spans="1:13">
      <c r="A1841" s="2">
        <v>2884</v>
      </c>
      <c r="B1841" s="6" t="s">
        <v>6075</v>
      </c>
      <c r="C1841" s="25" t="s">
        <v>6297</v>
      </c>
      <c r="D1841" s="26" t="s">
        <v>6298</v>
      </c>
      <c r="E1841" s="5" t="s">
        <v>15</v>
      </c>
      <c r="F1841" s="5">
        <v>2020</v>
      </c>
      <c r="G1841" s="6" t="s">
        <v>16</v>
      </c>
      <c r="H1841" s="6">
        <v>200</v>
      </c>
      <c r="I1841" s="6">
        <v>200</v>
      </c>
      <c r="J1841" s="6"/>
      <c r="K1841" s="10"/>
      <c r="L1841" s="10">
        <v>20201118</v>
      </c>
      <c r="M1841" s="36" t="str">
        <f t="shared" si="28"/>
        <v>19660702</v>
      </c>
    </row>
    <row r="1842" s="1" customFormat="1" spans="1:13">
      <c r="A1842" s="2">
        <v>3725</v>
      </c>
      <c r="B1842" s="5" t="s">
        <v>7412</v>
      </c>
      <c r="C1842" s="5" t="s">
        <v>7704</v>
      </c>
      <c r="D1842" s="5" t="s">
        <v>7705</v>
      </c>
      <c r="E1842" s="6">
        <v>2020</v>
      </c>
      <c r="F1842" s="6">
        <v>2020</v>
      </c>
      <c r="G1842" s="5" t="s">
        <v>3359</v>
      </c>
      <c r="H1842" s="5">
        <v>1000</v>
      </c>
      <c r="I1842" s="5">
        <v>1000</v>
      </c>
      <c r="J1842" s="5"/>
      <c r="K1842" s="5"/>
      <c r="L1842" s="10">
        <v>20201118</v>
      </c>
      <c r="M1842" s="36" t="str">
        <f t="shared" si="28"/>
        <v>19660702</v>
      </c>
    </row>
    <row r="1843" s="1" customFormat="1" spans="1:13">
      <c r="A1843" s="2">
        <v>3452</v>
      </c>
      <c r="B1843" s="5" t="s">
        <v>3375</v>
      </c>
      <c r="C1843" s="6" t="s">
        <v>7231</v>
      </c>
      <c r="D1843" s="6" t="str">
        <f>"152326196607036969"</f>
        <v>152326196607036969</v>
      </c>
      <c r="E1843" s="5" t="s">
        <v>15</v>
      </c>
      <c r="F1843" s="5">
        <v>2020</v>
      </c>
      <c r="G1843" s="14" t="s">
        <v>16</v>
      </c>
      <c r="H1843" s="17">
        <v>200</v>
      </c>
      <c r="I1843" s="17">
        <v>200</v>
      </c>
      <c r="J1843" s="6"/>
      <c r="K1843" s="10"/>
      <c r="L1843" s="10">
        <v>20201118</v>
      </c>
      <c r="M1843" s="36" t="str">
        <f t="shared" si="28"/>
        <v>19660703</v>
      </c>
    </row>
    <row r="1844" s="1" customFormat="1" ht="14.25" spans="1:13">
      <c r="A1844" s="2">
        <v>5272</v>
      </c>
      <c r="B1844" s="33" t="s">
        <v>10535</v>
      </c>
      <c r="C1844" s="34" t="s">
        <v>10659</v>
      </c>
      <c r="D1844" s="34" t="s">
        <v>10660</v>
      </c>
      <c r="E1844" s="35">
        <v>2020</v>
      </c>
      <c r="F1844" s="35">
        <v>2020</v>
      </c>
      <c r="G1844" s="35" t="s">
        <v>16</v>
      </c>
      <c r="H1844" s="34">
        <v>200</v>
      </c>
      <c r="I1844" s="34">
        <v>200</v>
      </c>
      <c r="J1844" s="49"/>
      <c r="K1844" s="10"/>
      <c r="L1844" s="10">
        <v>20201118</v>
      </c>
      <c r="M1844" s="36" t="str">
        <f t="shared" si="28"/>
        <v>19660705</v>
      </c>
    </row>
    <row r="1845" s="1" customFormat="1" spans="1:13">
      <c r="A1845" s="2">
        <v>1524</v>
      </c>
      <c r="B1845" s="5" t="s">
        <v>3381</v>
      </c>
      <c r="C1845" s="9" t="s">
        <v>3615</v>
      </c>
      <c r="D1845" s="9" t="s">
        <v>3616</v>
      </c>
      <c r="E1845" s="5">
        <v>2020</v>
      </c>
      <c r="F1845" s="5">
        <v>2020</v>
      </c>
      <c r="G1845" s="14" t="s">
        <v>16</v>
      </c>
      <c r="H1845" s="6">
        <v>200</v>
      </c>
      <c r="I1845" s="6">
        <v>200</v>
      </c>
      <c r="J1845" s="5"/>
      <c r="K1845" s="13"/>
      <c r="L1845" s="10">
        <v>20201118</v>
      </c>
      <c r="M1845" s="36" t="str">
        <f t="shared" si="28"/>
        <v>19660708</v>
      </c>
    </row>
    <row r="1846" s="1" customFormat="1" spans="1:13">
      <c r="A1846" s="2">
        <v>6338</v>
      </c>
      <c r="B1846" s="5" t="s">
        <v>12263</v>
      </c>
      <c r="C1846" s="5" t="s">
        <v>12692</v>
      </c>
      <c r="D1846" s="5" t="s">
        <v>12693</v>
      </c>
      <c r="E1846" s="5" t="s">
        <v>10250</v>
      </c>
      <c r="F1846" s="5">
        <v>2020</v>
      </c>
      <c r="G1846" s="17" t="s">
        <v>3359</v>
      </c>
      <c r="H1846" s="5" t="s">
        <v>311</v>
      </c>
      <c r="I1846" s="5">
        <v>200</v>
      </c>
      <c r="J1846" s="5"/>
      <c r="K1846" s="5"/>
      <c r="L1846" s="10">
        <v>20201118</v>
      </c>
      <c r="M1846" s="36" t="str">
        <f t="shared" si="28"/>
        <v>19660708</v>
      </c>
    </row>
    <row r="1847" s="1" customFormat="1" spans="1:13">
      <c r="A1847" s="2">
        <v>513</v>
      </c>
      <c r="B1847" s="29" t="s">
        <v>1040</v>
      </c>
      <c r="C1847" s="29" t="s">
        <v>1303</v>
      </c>
      <c r="D1847" s="29" t="s">
        <v>1304</v>
      </c>
      <c r="E1847" s="30">
        <v>2020</v>
      </c>
      <c r="F1847" s="30">
        <v>2020</v>
      </c>
      <c r="G1847" s="29" t="s">
        <v>16</v>
      </c>
      <c r="H1847" s="29">
        <v>200</v>
      </c>
      <c r="I1847" s="29">
        <v>200</v>
      </c>
      <c r="J1847" s="29"/>
      <c r="K1847" s="47"/>
      <c r="L1847" s="14" t="s">
        <v>330</v>
      </c>
      <c r="M1847" s="36" t="str">
        <f t="shared" si="28"/>
        <v>19660709</v>
      </c>
    </row>
    <row r="1848" s="1" customFormat="1" spans="1:13">
      <c r="A1848" s="2">
        <v>4616</v>
      </c>
      <c r="B1848" s="6" t="s">
        <v>9015</v>
      </c>
      <c r="C1848" s="6" t="s">
        <v>9402</v>
      </c>
      <c r="D1848" s="6" t="s">
        <v>9403</v>
      </c>
      <c r="E1848" s="6">
        <v>2020</v>
      </c>
      <c r="F1848" s="6">
        <v>2020</v>
      </c>
      <c r="G1848" s="6" t="s">
        <v>16</v>
      </c>
      <c r="H1848" s="6">
        <v>200</v>
      </c>
      <c r="I1848" s="6">
        <v>200</v>
      </c>
      <c r="J1848" s="6"/>
      <c r="K1848" s="6"/>
      <c r="L1848" s="10">
        <v>20201118</v>
      </c>
      <c r="M1848" s="36" t="str">
        <f t="shared" si="28"/>
        <v>19660711</v>
      </c>
    </row>
    <row r="1849" s="1" customFormat="1" spans="1:13">
      <c r="A1849" s="2">
        <v>2422</v>
      </c>
      <c r="B1849" s="5" t="s">
        <v>5328</v>
      </c>
      <c r="C1849" s="16" t="s">
        <v>5385</v>
      </c>
      <c r="D1849" s="16" t="s">
        <v>5386</v>
      </c>
      <c r="E1849" s="5" t="s">
        <v>15</v>
      </c>
      <c r="F1849" s="5" t="s">
        <v>15</v>
      </c>
      <c r="G1849" s="14" t="s">
        <v>16</v>
      </c>
      <c r="H1849" s="6">
        <v>200</v>
      </c>
      <c r="I1849" s="6">
        <v>200</v>
      </c>
      <c r="J1849" s="5"/>
      <c r="K1849" s="5"/>
      <c r="L1849" s="10">
        <v>20201118</v>
      </c>
      <c r="M1849" s="36" t="str">
        <f t="shared" si="28"/>
        <v>19660712</v>
      </c>
    </row>
    <row r="1850" s="1" customFormat="1" spans="1:13">
      <c r="A1850" s="2">
        <v>1809</v>
      </c>
      <c r="B1850" s="5" t="s">
        <v>3381</v>
      </c>
      <c r="C1850" s="13" t="s">
        <v>4180</v>
      </c>
      <c r="D1850" s="5" t="s">
        <v>4181</v>
      </c>
      <c r="E1850" s="5" t="s">
        <v>310</v>
      </c>
      <c r="F1850" s="5" t="s">
        <v>15</v>
      </c>
      <c r="G1850" s="5" t="s">
        <v>289</v>
      </c>
      <c r="H1850" s="5" t="s">
        <v>311</v>
      </c>
      <c r="I1850" s="43">
        <v>2000</v>
      </c>
      <c r="J1850" s="39"/>
      <c r="K1850" s="39"/>
      <c r="L1850" s="10">
        <v>20201224</v>
      </c>
      <c r="M1850" s="36" t="str">
        <f t="shared" si="28"/>
        <v>19660713</v>
      </c>
    </row>
    <row r="1851" s="1" customFormat="1" spans="1:13">
      <c r="A1851" s="2">
        <v>1005</v>
      </c>
      <c r="B1851" s="5" t="s">
        <v>2469</v>
      </c>
      <c r="C1851" s="9" t="s">
        <v>2601</v>
      </c>
      <c r="D1851" s="9" t="s">
        <v>2602</v>
      </c>
      <c r="E1851" s="5">
        <v>2020</v>
      </c>
      <c r="F1851" s="5">
        <v>2020</v>
      </c>
      <c r="G1851" s="9" t="s">
        <v>2480</v>
      </c>
      <c r="H1851" s="9">
        <v>200</v>
      </c>
      <c r="I1851" s="9">
        <v>200</v>
      </c>
      <c r="J1851" s="5"/>
      <c r="K1851" s="5"/>
      <c r="L1851" s="10">
        <v>20201118</v>
      </c>
      <c r="M1851" s="36" t="str">
        <f t="shared" si="28"/>
        <v>19660717</v>
      </c>
    </row>
    <row r="1852" s="1" customFormat="1" spans="1:13">
      <c r="A1852" s="2">
        <v>1525</v>
      </c>
      <c r="B1852" s="5" t="s">
        <v>3381</v>
      </c>
      <c r="C1852" s="9" t="s">
        <v>3617</v>
      </c>
      <c r="D1852" s="9" t="s">
        <v>3618</v>
      </c>
      <c r="E1852" s="5">
        <v>2020</v>
      </c>
      <c r="F1852" s="5">
        <v>2020</v>
      </c>
      <c r="G1852" s="14" t="s">
        <v>16</v>
      </c>
      <c r="H1852" s="6">
        <v>200</v>
      </c>
      <c r="I1852" s="6">
        <v>200</v>
      </c>
      <c r="J1852" s="5"/>
      <c r="K1852" s="13"/>
      <c r="L1852" s="10">
        <v>20201118</v>
      </c>
      <c r="M1852" s="36" t="str">
        <f t="shared" si="28"/>
        <v>19660718</v>
      </c>
    </row>
    <row r="1853" s="1" customFormat="1" ht="14.25" spans="1:13">
      <c r="A1853" s="2">
        <v>5273</v>
      </c>
      <c r="B1853" s="33" t="s">
        <v>10535</v>
      </c>
      <c r="C1853" s="34" t="s">
        <v>10661</v>
      </c>
      <c r="D1853" s="34" t="s">
        <v>10662</v>
      </c>
      <c r="E1853" s="35">
        <v>2020</v>
      </c>
      <c r="F1853" s="35">
        <v>2020</v>
      </c>
      <c r="G1853" s="35" t="s">
        <v>16</v>
      </c>
      <c r="H1853" s="34">
        <v>200</v>
      </c>
      <c r="I1853" s="34">
        <v>200</v>
      </c>
      <c r="J1853" s="49"/>
      <c r="K1853" s="10"/>
      <c r="L1853" s="10">
        <v>20201118</v>
      </c>
      <c r="M1853" s="36" t="str">
        <f t="shared" si="28"/>
        <v>19660719</v>
      </c>
    </row>
    <row r="1854" s="1" customFormat="1" spans="1:13">
      <c r="A1854" s="2">
        <v>3451</v>
      </c>
      <c r="B1854" s="5" t="s">
        <v>3375</v>
      </c>
      <c r="C1854" s="6" t="s">
        <v>7230</v>
      </c>
      <c r="D1854" s="6" t="str">
        <f>"152326196607206868"</f>
        <v>152326196607206868</v>
      </c>
      <c r="E1854" s="5" t="s">
        <v>15</v>
      </c>
      <c r="F1854" s="5">
        <v>2020</v>
      </c>
      <c r="G1854" s="14" t="s">
        <v>16</v>
      </c>
      <c r="H1854" s="17">
        <v>200</v>
      </c>
      <c r="I1854" s="17">
        <v>200</v>
      </c>
      <c r="J1854" s="6"/>
      <c r="K1854" s="10"/>
      <c r="L1854" s="10">
        <v>20201118</v>
      </c>
      <c r="M1854" s="36" t="str">
        <f t="shared" si="28"/>
        <v>19660720</v>
      </c>
    </row>
    <row r="1855" s="1" customFormat="1" spans="1:13">
      <c r="A1855" s="2">
        <v>3726</v>
      </c>
      <c r="B1855" s="5" t="s">
        <v>7412</v>
      </c>
      <c r="C1855" s="5" t="s">
        <v>7706</v>
      </c>
      <c r="D1855" s="5" t="s">
        <v>7707</v>
      </c>
      <c r="E1855" s="6">
        <v>2020</v>
      </c>
      <c r="F1855" s="6">
        <v>2020</v>
      </c>
      <c r="G1855" s="5" t="s">
        <v>3359</v>
      </c>
      <c r="H1855" s="5">
        <v>200</v>
      </c>
      <c r="I1855" s="5">
        <v>200</v>
      </c>
      <c r="J1855" s="5"/>
      <c r="K1855" s="5"/>
      <c r="L1855" s="10">
        <v>20201118</v>
      </c>
      <c r="M1855" s="36" t="str">
        <f t="shared" si="28"/>
        <v>19660720</v>
      </c>
    </row>
    <row r="1856" s="1" customFormat="1" spans="1:13">
      <c r="A1856" s="2">
        <v>4494</v>
      </c>
      <c r="B1856" s="6" t="s">
        <v>9015</v>
      </c>
      <c r="C1856" s="6" t="s">
        <v>9171</v>
      </c>
      <c r="D1856" s="6" t="s">
        <v>9172</v>
      </c>
      <c r="E1856" s="6">
        <v>2020</v>
      </c>
      <c r="F1856" s="6">
        <v>2020</v>
      </c>
      <c r="G1856" s="6" t="s">
        <v>16</v>
      </c>
      <c r="H1856" s="6">
        <v>200</v>
      </c>
      <c r="I1856" s="6">
        <v>200</v>
      </c>
      <c r="J1856" s="6"/>
      <c r="K1856" s="6"/>
      <c r="L1856" s="10">
        <v>20201118</v>
      </c>
      <c r="M1856" s="36" t="str">
        <f t="shared" si="28"/>
        <v>19660724</v>
      </c>
    </row>
    <row r="1857" s="1" customFormat="1" spans="1:13">
      <c r="A1857" s="2">
        <v>1526</v>
      </c>
      <c r="B1857" s="5" t="s">
        <v>3381</v>
      </c>
      <c r="C1857" s="9" t="s">
        <v>3619</v>
      </c>
      <c r="D1857" s="9" t="s">
        <v>3620</v>
      </c>
      <c r="E1857" s="5">
        <v>2020</v>
      </c>
      <c r="F1857" s="5">
        <v>2020</v>
      </c>
      <c r="G1857" s="14" t="s">
        <v>16</v>
      </c>
      <c r="H1857" s="6">
        <v>200</v>
      </c>
      <c r="I1857" s="6">
        <v>200</v>
      </c>
      <c r="J1857" s="5"/>
      <c r="K1857" s="13"/>
      <c r="L1857" s="10">
        <v>20201118</v>
      </c>
      <c r="M1857" s="36" t="str">
        <f t="shared" si="28"/>
        <v>19660725</v>
      </c>
    </row>
    <row r="1858" s="1" customFormat="1" spans="1:13">
      <c r="A1858" s="2">
        <v>1527</v>
      </c>
      <c r="B1858" s="5" t="s">
        <v>3381</v>
      </c>
      <c r="C1858" s="9" t="s">
        <v>3621</v>
      </c>
      <c r="D1858" s="9" t="s">
        <v>3622</v>
      </c>
      <c r="E1858" s="5">
        <v>2020</v>
      </c>
      <c r="F1858" s="5">
        <v>2020</v>
      </c>
      <c r="G1858" s="14" t="s">
        <v>16</v>
      </c>
      <c r="H1858" s="6">
        <v>500</v>
      </c>
      <c r="I1858" s="6">
        <v>500</v>
      </c>
      <c r="J1858" s="5"/>
      <c r="K1858" s="13"/>
      <c r="L1858" s="10">
        <v>20201118</v>
      </c>
      <c r="M1858" s="36" t="str">
        <f t="shared" ref="M1858:M1921" si="29">MID(D1858,7,8)</f>
        <v>19660726</v>
      </c>
    </row>
    <row r="1859" s="1" customFormat="1" spans="1:13">
      <c r="A1859" s="2">
        <v>1892</v>
      </c>
      <c r="B1859" s="5" t="s">
        <v>4189</v>
      </c>
      <c r="C1859" s="16" t="s">
        <v>4346</v>
      </c>
      <c r="D1859" s="16" t="s">
        <v>4347</v>
      </c>
      <c r="E1859" s="5" t="s">
        <v>15</v>
      </c>
      <c r="F1859" s="5" t="s">
        <v>15</v>
      </c>
      <c r="G1859" s="5" t="s">
        <v>3359</v>
      </c>
      <c r="H1859" s="16">
        <v>200</v>
      </c>
      <c r="I1859" s="16">
        <v>200</v>
      </c>
      <c r="J1859" s="5"/>
      <c r="K1859" s="10"/>
      <c r="L1859" s="10">
        <v>20201118</v>
      </c>
      <c r="M1859" s="36" t="str">
        <f t="shared" si="29"/>
        <v>19660727</v>
      </c>
    </row>
    <row r="1860" s="1" customFormat="1" spans="1:13">
      <c r="A1860" s="2">
        <v>1006</v>
      </c>
      <c r="B1860" s="5" t="s">
        <v>2469</v>
      </c>
      <c r="C1860" s="9" t="s">
        <v>2603</v>
      </c>
      <c r="D1860" s="9" t="s">
        <v>2604</v>
      </c>
      <c r="E1860" s="5">
        <v>2020</v>
      </c>
      <c r="F1860" s="5">
        <v>2020</v>
      </c>
      <c r="G1860" s="9" t="s">
        <v>2480</v>
      </c>
      <c r="H1860" s="9">
        <v>200</v>
      </c>
      <c r="I1860" s="9">
        <v>200</v>
      </c>
      <c r="J1860" s="5"/>
      <c r="K1860" s="5"/>
      <c r="L1860" s="10">
        <v>20201118</v>
      </c>
      <c r="M1860" s="36" t="str">
        <f t="shared" si="29"/>
        <v>19660729</v>
      </c>
    </row>
    <row r="1861" s="1" customFormat="1" spans="1:13">
      <c r="A1861" s="2">
        <v>4973</v>
      </c>
      <c r="B1861" s="6" t="s">
        <v>9954</v>
      </c>
      <c r="C1861" s="60" t="s">
        <v>10085</v>
      </c>
      <c r="D1861" s="60" t="s">
        <v>10086</v>
      </c>
      <c r="E1861" s="5" t="s">
        <v>15</v>
      </c>
      <c r="F1861" s="5" t="s">
        <v>15</v>
      </c>
      <c r="G1861" s="14" t="s">
        <v>16</v>
      </c>
      <c r="H1861" s="6">
        <v>200</v>
      </c>
      <c r="I1861" s="6">
        <v>200</v>
      </c>
      <c r="J1861" s="6"/>
      <c r="K1861" s="6"/>
      <c r="L1861" s="10">
        <v>20201118</v>
      </c>
      <c r="M1861" s="36" t="str">
        <f t="shared" si="29"/>
        <v>19660731</v>
      </c>
    </row>
    <row r="1862" s="1" customFormat="1" spans="1:13">
      <c r="A1862" s="2">
        <v>1528</v>
      </c>
      <c r="B1862" s="5" t="s">
        <v>3381</v>
      </c>
      <c r="C1862" s="9" t="s">
        <v>3623</v>
      </c>
      <c r="D1862" s="9" t="s">
        <v>3624</v>
      </c>
      <c r="E1862" s="5">
        <v>2020</v>
      </c>
      <c r="F1862" s="5">
        <v>2020</v>
      </c>
      <c r="G1862" s="14" t="s">
        <v>16</v>
      </c>
      <c r="H1862" s="6">
        <v>200</v>
      </c>
      <c r="I1862" s="6">
        <v>200</v>
      </c>
      <c r="J1862" s="5"/>
      <c r="K1862" s="13"/>
      <c r="L1862" s="10">
        <v>20201118</v>
      </c>
      <c r="M1862" s="36" t="str">
        <f t="shared" si="29"/>
        <v>19660801</v>
      </c>
    </row>
    <row r="1863" s="1" customFormat="1" spans="1:13">
      <c r="A1863" s="2">
        <v>8026</v>
      </c>
      <c r="B1863" s="5" t="s">
        <v>15086</v>
      </c>
      <c r="C1863" s="6" t="s">
        <v>15303</v>
      </c>
      <c r="D1863" s="6" t="str">
        <f>"222304196608022016"</f>
        <v>222304196608022016</v>
      </c>
      <c r="E1863" s="5" t="s">
        <v>15</v>
      </c>
      <c r="F1863" s="5">
        <v>2020</v>
      </c>
      <c r="G1863" s="5" t="s">
        <v>16</v>
      </c>
      <c r="H1863" s="5">
        <v>500</v>
      </c>
      <c r="I1863" s="5">
        <v>500</v>
      </c>
      <c r="J1863" s="5"/>
      <c r="K1863" s="5"/>
      <c r="L1863" s="10">
        <v>20201118</v>
      </c>
      <c r="M1863" s="36" t="str">
        <f t="shared" si="29"/>
        <v>19660802</v>
      </c>
    </row>
    <row r="1864" s="1" customFormat="1" spans="1:13">
      <c r="A1864" s="2">
        <v>4630</v>
      </c>
      <c r="B1864" s="6" t="s">
        <v>9015</v>
      </c>
      <c r="C1864" s="6" t="s">
        <v>9427</v>
      </c>
      <c r="D1864" s="6" t="s">
        <v>9428</v>
      </c>
      <c r="E1864" s="6">
        <v>2020</v>
      </c>
      <c r="F1864" s="6">
        <v>2020</v>
      </c>
      <c r="G1864" s="6" t="s">
        <v>16</v>
      </c>
      <c r="H1864" s="6">
        <v>200</v>
      </c>
      <c r="I1864" s="6">
        <v>200</v>
      </c>
      <c r="J1864" s="6"/>
      <c r="K1864" s="6"/>
      <c r="L1864" s="10">
        <v>20201118</v>
      </c>
      <c r="M1864" s="36" t="str">
        <f t="shared" si="29"/>
        <v>19660803</v>
      </c>
    </row>
    <row r="1865" s="1" customFormat="1" spans="1:13">
      <c r="A1865" s="2">
        <v>1007</v>
      </c>
      <c r="B1865" s="5" t="s">
        <v>2469</v>
      </c>
      <c r="C1865" s="9" t="s">
        <v>2605</v>
      </c>
      <c r="D1865" s="9" t="s">
        <v>2606</v>
      </c>
      <c r="E1865" s="5">
        <v>2020</v>
      </c>
      <c r="F1865" s="5">
        <v>2020</v>
      </c>
      <c r="G1865" s="9" t="s">
        <v>2480</v>
      </c>
      <c r="H1865" s="9">
        <v>200</v>
      </c>
      <c r="I1865" s="9">
        <v>200</v>
      </c>
      <c r="J1865" s="5"/>
      <c r="K1865" s="5"/>
      <c r="L1865" s="10">
        <v>20201118</v>
      </c>
      <c r="M1865" s="36" t="str">
        <f t="shared" si="29"/>
        <v>19660805</v>
      </c>
    </row>
    <row r="1866" s="1" customFormat="1" spans="1:13">
      <c r="A1866" s="2">
        <v>6438</v>
      </c>
      <c r="B1866" s="5" t="s">
        <v>12263</v>
      </c>
      <c r="C1866" s="5" t="s">
        <v>12881</v>
      </c>
      <c r="D1866" s="5" t="s">
        <v>12882</v>
      </c>
      <c r="E1866" s="5" t="s">
        <v>10250</v>
      </c>
      <c r="F1866" s="5">
        <v>2020</v>
      </c>
      <c r="G1866" s="17" t="s">
        <v>3359</v>
      </c>
      <c r="H1866" s="5">
        <v>200</v>
      </c>
      <c r="I1866" s="5">
        <v>200</v>
      </c>
      <c r="J1866" s="5"/>
      <c r="K1866" s="5"/>
      <c r="L1866" s="10">
        <v>20201118</v>
      </c>
      <c r="M1866" s="36" t="str">
        <f t="shared" si="29"/>
        <v>19660805</v>
      </c>
    </row>
    <row r="1867" s="1" customFormat="1" spans="1:13">
      <c r="A1867" s="2">
        <v>3445</v>
      </c>
      <c r="B1867" s="5" t="s">
        <v>3375</v>
      </c>
      <c r="C1867" s="6" t="s">
        <v>7222</v>
      </c>
      <c r="D1867" s="6" t="str">
        <f>"152326196608066879"</f>
        <v>152326196608066879</v>
      </c>
      <c r="E1867" s="5" t="s">
        <v>15</v>
      </c>
      <c r="F1867" s="5">
        <v>2020</v>
      </c>
      <c r="G1867" s="14" t="s">
        <v>16</v>
      </c>
      <c r="H1867" s="17">
        <v>200</v>
      </c>
      <c r="I1867" s="17">
        <v>200</v>
      </c>
      <c r="J1867" s="6"/>
      <c r="K1867" s="10"/>
      <c r="L1867" s="10">
        <v>20201118</v>
      </c>
      <c r="M1867" s="36" t="str">
        <f t="shared" si="29"/>
        <v>19660806</v>
      </c>
    </row>
    <row r="1868" s="1" customFormat="1" spans="1:13">
      <c r="A1868" s="2">
        <v>4214</v>
      </c>
      <c r="B1868" s="9" t="s">
        <v>8515</v>
      </c>
      <c r="C1868" s="9" t="s">
        <v>8632</v>
      </c>
      <c r="D1868" s="9" t="s">
        <v>8633</v>
      </c>
      <c r="E1868" s="5" t="s">
        <v>15</v>
      </c>
      <c r="F1868" s="5">
        <v>2020</v>
      </c>
      <c r="G1868" s="9" t="s">
        <v>2480</v>
      </c>
      <c r="H1868" s="9">
        <v>200</v>
      </c>
      <c r="I1868" s="9">
        <v>200</v>
      </c>
      <c r="J1868" s="9"/>
      <c r="K1868" s="9"/>
      <c r="L1868" s="10">
        <v>20201118</v>
      </c>
      <c r="M1868" s="36" t="str">
        <f t="shared" si="29"/>
        <v>19660806</v>
      </c>
    </row>
    <row r="1869" s="1" customFormat="1" spans="1:13">
      <c r="A1869" s="2">
        <v>4594</v>
      </c>
      <c r="B1869" s="6" t="s">
        <v>9015</v>
      </c>
      <c r="C1869" s="6" t="s">
        <v>7158</v>
      </c>
      <c r="D1869" s="6" t="s">
        <v>9362</v>
      </c>
      <c r="E1869" s="6">
        <v>2020</v>
      </c>
      <c r="F1869" s="6">
        <v>2020</v>
      </c>
      <c r="G1869" s="6" t="s">
        <v>16</v>
      </c>
      <c r="H1869" s="6">
        <v>200</v>
      </c>
      <c r="I1869" s="6">
        <v>200</v>
      </c>
      <c r="J1869" s="6"/>
      <c r="K1869" s="6"/>
      <c r="L1869" s="10">
        <v>20201118</v>
      </c>
      <c r="M1869" s="36" t="str">
        <f t="shared" si="29"/>
        <v>19660806</v>
      </c>
    </row>
    <row r="1870" s="1" customFormat="1" spans="1:13">
      <c r="A1870" s="2">
        <v>848</v>
      </c>
      <c r="B1870" s="29" t="s">
        <v>1040</v>
      </c>
      <c r="C1870" s="29" t="s">
        <v>2191</v>
      </c>
      <c r="D1870" s="29" t="s">
        <v>2192</v>
      </c>
      <c r="E1870" s="30">
        <v>2020</v>
      </c>
      <c r="F1870" s="30">
        <v>2020</v>
      </c>
      <c r="G1870" s="29" t="s">
        <v>16</v>
      </c>
      <c r="H1870" s="29">
        <v>200</v>
      </c>
      <c r="I1870" s="29">
        <v>200</v>
      </c>
      <c r="J1870" s="32"/>
      <c r="K1870" s="32"/>
      <c r="L1870" s="14" t="s">
        <v>330</v>
      </c>
      <c r="M1870" s="36" t="str">
        <f t="shared" si="29"/>
        <v>19660807</v>
      </c>
    </row>
    <row r="1871" s="1" customFormat="1" spans="1:13">
      <c r="A1871" s="2">
        <v>1008</v>
      </c>
      <c r="B1871" s="5" t="s">
        <v>2469</v>
      </c>
      <c r="C1871" s="9" t="s">
        <v>2607</v>
      </c>
      <c r="D1871" s="9" t="s">
        <v>2608</v>
      </c>
      <c r="E1871" s="5">
        <v>2020</v>
      </c>
      <c r="F1871" s="5">
        <v>2020</v>
      </c>
      <c r="G1871" s="9" t="s">
        <v>2480</v>
      </c>
      <c r="H1871" s="9">
        <v>200</v>
      </c>
      <c r="I1871" s="9">
        <v>200</v>
      </c>
      <c r="J1871" s="5"/>
      <c r="K1871" s="5"/>
      <c r="L1871" s="10">
        <v>20201118</v>
      </c>
      <c r="M1871" s="36" t="str">
        <f t="shared" si="29"/>
        <v>19660807</v>
      </c>
    </row>
    <row r="1872" s="1" customFormat="1" ht="14.25" spans="1:13">
      <c r="A1872" s="2">
        <v>6092</v>
      </c>
      <c r="B1872" s="30" t="s">
        <v>11090</v>
      </c>
      <c r="C1872" s="32" t="s">
        <v>12222</v>
      </c>
      <c r="D1872" s="12" t="s">
        <v>12223</v>
      </c>
      <c r="E1872" s="5" t="s">
        <v>15</v>
      </c>
      <c r="F1872" s="5" t="s">
        <v>10250</v>
      </c>
      <c r="G1872" s="6" t="s">
        <v>16</v>
      </c>
      <c r="H1872" s="32">
        <v>200</v>
      </c>
      <c r="I1872" s="32">
        <v>200</v>
      </c>
      <c r="J1872" s="5"/>
      <c r="K1872" s="48"/>
      <c r="L1872" s="10">
        <v>20201118</v>
      </c>
      <c r="M1872" s="36" t="str">
        <f t="shared" si="29"/>
        <v>19660807</v>
      </c>
    </row>
    <row r="1873" s="1" customFormat="1" spans="1:13">
      <c r="A1873" s="2">
        <v>4559</v>
      </c>
      <c r="B1873" s="6" t="s">
        <v>9015</v>
      </c>
      <c r="C1873" s="6" t="s">
        <v>9297</v>
      </c>
      <c r="D1873" s="6" t="s">
        <v>9298</v>
      </c>
      <c r="E1873" s="6">
        <v>2020</v>
      </c>
      <c r="F1873" s="6">
        <v>2020</v>
      </c>
      <c r="G1873" s="6" t="s">
        <v>16</v>
      </c>
      <c r="H1873" s="6">
        <v>200</v>
      </c>
      <c r="I1873" s="6">
        <v>200</v>
      </c>
      <c r="J1873" s="6"/>
      <c r="K1873" s="6"/>
      <c r="L1873" s="10">
        <v>20201118</v>
      </c>
      <c r="M1873" s="36" t="str">
        <f t="shared" si="29"/>
        <v>19660808</v>
      </c>
    </row>
    <row r="1874" s="1" customFormat="1" spans="1:13">
      <c r="A1874" s="2">
        <v>2523</v>
      </c>
      <c r="B1874" s="5" t="s">
        <v>5328</v>
      </c>
      <c r="C1874" s="16" t="s">
        <v>5580</v>
      </c>
      <c r="D1874" s="16" t="s">
        <v>5581</v>
      </c>
      <c r="E1874" s="5" t="s">
        <v>15</v>
      </c>
      <c r="F1874" s="5" t="s">
        <v>15</v>
      </c>
      <c r="G1874" s="14" t="s">
        <v>16</v>
      </c>
      <c r="H1874" s="6">
        <v>200</v>
      </c>
      <c r="I1874" s="6">
        <v>200</v>
      </c>
      <c r="J1874" s="5"/>
      <c r="K1874" s="5"/>
      <c r="L1874" s="10">
        <v>20201118</v>
      </c>
      <c r="M1874" s="36" t="str">
        <f t="shared" si="29"/>
        <v>19660809</v>
      </c>
    </row>
    <row r="1875" s="1" customFormat="1" spans="1:13">
      <c r="A1875" s="2">
        <v>3727</v>
      </c>
      <c r="B1875" s="5" t="s">
        <v>7412</v>
      </c>
      <c r="C1875" s="5" t="s">
        <v>6666</v>
      </c>
      <c r="D1875" s="5" t="s">
        <v>7708</v>
      </c>
      <c r="E1875" s="6">
        <v>2020</v>
      </c>
      <c r="F1875" s="6">
        <v>2020</v>
      </c>
      <c r="G1875" s="5" t="s">
        <v>3359</v>
      </c>
      <c r="H1875" s="5">
        <v>200</v>
      </c>
      <c r="I1875" s="5">
        <v>200</v>
      </c>
      <c r="J1875" s="5"/>
      <c r="K1875" s="5"/>
      <c r="L1875" s="10">
        <v>20201118</v>
      </c>
      <c r="M1875" s="36" t="str">
        <f t="shared" si="29"/>
        <v>19660810</v>
      </c>
    </row>
    <row r="1876" s="1" customFormat="1" spans="1:13">
      <c r="A1876" s="2">
        <v>4814</v>
      </c>
      <c r="B1876" s="6" t="s">
        <v>9015</v>
      </c>
      <c r="C1876" s="6" t="s">
        <v>9776</v>
      </c>
      <c r="D1876" s="293" t="s">
        <v>9777</v>
      </c>
      <c r="E1876" s="6">
        <v>2020</v>
      </c>
      <c r="F1876" s="6">
        <v>2020</v>
      </c>
      <c r="G1876" s="6" t="s">
        <v>16</v>
      </c>
      <c r="H1876" s="6">
        <v>200</v>
      </c>
      <c r="I1876" s="6">
        <v>200</v>
      </c>
      <c r="J1876" s="6"/>
      <c r="K1876" s="6"/>
      <c r="L1876" s="10">
        <v>20201118</v>
      </c>
      <c r="M1876" s="36" t="str">
        <f t="shared" si="29"/>
        <v>19660810</v>
      </c>
    </row>
    <row r="1877" s="1" customFormat="1" ht="14.25" spans="1:13">
      <c r="A1877" s="2">
        <v>7763</v>
      </c>
      <c r="B1877" s="5" t="s">
        <v>14875</v>
      </c>
      <c r="C1877" s="51" t="s">
        <v>15009</v>
      </c>
      <c r="D1877" s="24" t="str">
        <f>"152326196608107140"</f>
        <v>152326196608107140</v>
      </c>
      <c r="E1877" s="6" t="s">
        <v>15</v>
      </c>
      <c r="F1877" s="6">
        <v>2020</v>
      </c>
      <c r="G1877" s="24" t="s">
        <v>14877</v>
      </c>
      <c r="H1877" s="6">
        <v>200</v>
      </c>
      <c r="I1877" s="6">
        <v>200</v>
      </c>
      <c r="J1877" s="6"/>
      <c r="K1877" s="10"/>
      <c r="L1877" s="10">
        <v>20201118</v>
      </c>
      <c r="M1877" s="36" t="str">
        <f t="shared" si="29"/>
        <v>19660810</v>
      </c>
    </row>
    <row r="1878" s="1" customFormat="1" spans="1:13">
      <c r="A1878" s="2">
        <v>1009</v>
      </c>
      <c r="B1878" s="5" t="s">
        <v>2469</v>
      </c>
      <c r="C1878" s="9" t="s">
        <v>2609</v>
      </c>
      <c r="D1878" s="9" t="s">
        <v>2610</v>
      </c>
      <c r="E1878" s="5">
        <v>2020</v>
      </c>
      <c r="F1878" s="5">
        <v>2020</v>
      </c>
      <c r="G1878" s="9" t="s">
        <v>2480</v>
      </c>
      <c r="H1878" s="9">
        <v>200</v>
      </c>
      <c r="I1878" s="9">
        <v>200</v>
      </c>
      <c r="J1878" s="5"/>
      <c r="K1878" s="5"/>
      <c r="L1878" s="10">
        <v>20201118</v>
      </c>
      <c r="M1878" s="36" t="str">
        <f t="shared" si="29"/>
        <v>19660813</v>
      </c>
    </row>
    <row r="1879" s="1" customFormat="1" spans="1:13">
      <c r="A1879" s="2">
        <v>4516</v>
      </c>
      <c r="B1879" s="6" t="s">
        <v>9015</v>
      </c>
      <c r="C1879" s="6" t="s">
        <v>9214</v>
      </c>
      <c r="D1879" s="6" t="s">
        <v>9215</v>
      </c>
      <c r="E1879" s="6">
        <v>2020</v>
      </c>
      <c r="F1879" s="6">
        <v>2020</v>
      </c>
      <c r="G1879" s="6" t="s">
        <v>16</v>
      </c>
      <c r="H1879" s="6">
        <v>200</v>
      </c>
      <c r="I1879" s="6">
        <v>200</v>
      </c>
      <c r="J1879" s="6"/>
      <c r="K1879" s="6"/>
      <c r="L1879" s="10">
        <v>20201118</v>
      </c>
      <c r="M1879" s="36" t="str">
        <f t="shared" si="29"/>
        <v>19660813</v>
      </c>
    </row>
    <row r="1880" s="1" customFormat="1" spans="1:13">
      <c r="A1880" s="2">
        <v>6573</v>
      </c>
      <c r="B1880" s="5" t="s">
        <v>13027</v>
      </c>
      <c r="C1880" s="15" t="s">
        <v>13137</v>
      </c>
      <c r="D1880" s="15" t="s">
        <v>13138</v>
      </c>
      <c r="E1880" s="5">
        <v>2020</v>
      </c>
      <c r="F1880" s="5">
        <v>2020</v>
      </c>
      <c r="G1880" s="14" t="s">
        <v>16</v>
      </c>
      <c r="H1880" s="15">
        <v>200</v>
      </c>
      <c r="I1880" s="15">
        <v>200</v>
      </c>
      <c r="J1880" s="5"/>
      <c r="K1880" s="10"/>
      <c r="L1880" s="10">
        <v>20201118</v>
      </c>
      <c r="M1880" s="36" t="str">
        <f t="shared" si="29"/>
        <v>19660814</v>
      </c>
    </row>
    <row r="1881" s="1" customFormat="1" ht="14.25" spans="1:13">
      <c r="A1881" s="2">
        <v>2881</v>
      </c>
      <c r="B1881" s="6" t="s">
        <v>6075</v>
      </c>
      <c r="C1881" s="25" t="s">
        <v>6291</v>
      </c>
      <c r="D1881" s="26" t="s">
        <v>6292</v>
      </c>
      <c r="E1881" s="5" t="s">
        <v>15</v>
      </c>
      <c r="F1881" s="5">
        <v>2020</v>
      </c>
      <c r="G1881" s="6" t="s">
        <v>16</v>
      </c>
      <c r="H1881" s="6">
        <v>200</v>
      </c>
      <c r="I1881" s="6">
        <v>200</v>
      </c>
      <c r="J1881" s="6" t="s">
        <v>6097</v>
      </c>
      <c r="K1881" s="10"/>
      <c r="L1881" s="10">
        <v>20201118</v>
      </c>
      <c r="M1881" s="36" t="str">
        <f t="shared" si="29"/>
        <v>19660815</v>
      </c>
    </row>
    <row r="1882" s="1" customFormat="1" spans="1:13">
      <c r="A1882" s="2">
        <v>8100</v>
      </c>
      <c r="B1882" s="13" t="s">
        <v>15086</v>
      </c>
      <c r="C1882" s="13" t="s">
        <v>15393</v>
      </c>
      <c r="D1882" s="5" t="s">
        <v>15394</v>
      </c>
      <c r="E1882" s="13">
        <v>2011</v>
      </c>
      <c r="F1882" s="5">
        <v>2020</v>
      </c>
      <c r="G1882" s="5" t="s">
        <v>289</v>
      </c>
      <c r="H1882" s="13">
        <v>200</v>
      </c>
      <c r="I1882" s="13">
        <v>2000</v>
      </c>
      <c r="J1882" s="10"/>
      <c r="K1882" s="10"/>
      <c r="L1882" s="10">
        <v>20201224</v>
      </c>
      <c r="M1882" s="36" t="str">
        <f t="shared" si="29"/>
        <v>19660815</v>
      </c>
    </row>
    <row r="1883" s="1" customFormat="1" spans="1:13">
      <c r="A1883" s="2">
        <v>1010</v>
      </c>
      <c r="B1883" s="5" t="s">
        <v>2469</v>
      </c>
      <c r="C1883" s="9" t="s">
        <v>2611</v>
      </c>
      <c r="D1883" s="9" t="s">
        <v>2612</v>
      </c>
      <c r="E1883" s="5">
        <v>2020</v>
      </c>
      <c r="F1883" s="5">
        <v>2020</v>
      </c>
      <c r="G1883" s="9" t="s">
        <v>2480</v>
      </c>
      <c r="H1883" s="9">
        <v>200</v>
      </c>
      <c r="I1883" s="9">
        <v>200</v>
      </c>
      <c r="J1883" s="5"/>
      <c r="K1883" s="5"/>
      <c r="L1883" s="10">
        <v>20201118</v>
      </c>
      <c r="M1883" s="36" t="str">
        <f t="shared" si="29"/>
        <v>19660816</v>
      </c>
    </row>
    <row r="1884" s="1" customFormat="1" ht="14.25" spans="1:13">
      <c r="A1884" s="2">
        <v>1529</v>
      </c>
      <c r="B1884" s="5" t="s">
        <v>3381</v>
      </c>
      <c r="C1884" s="9" t="s">
        <v>3625</v>
      </c>
      <c r="D1884" s="9" t="s">
        <v>3626</v>
      </c>
      <c r="E1884" s="5">
        <v>2020</v>
      </c>
      <c r="F1884" s="5">
        <v>2020</v>
      </c>
      <c r="G1884" s="14" t="s">
        <v>16</v>
      </c>
      <c r="H1884" s="6">
        <v>200</v>
      </c>
      <c r="I1884" s="6">
        <v>200</v>
      </c>
      <c r="J1884" s="24" t="s">
        <v>1242</v>
      </c>
      <c r="K1884" s="13"/>
      <c r="L1884" s="10">
        <v>20201118</v>
      </c>
      <c r="M1884" s="36" t="str">
        <f t="shared" si="29"/>
        <v>19660816</v>
      </c>
    </row>
    <row r="1885" s="1" customFormat="1" spans="1:13">
      <c r="A1885" s="2">
        <v>2210</v>
      </c>
      <c r="B1885" s="9" t="s">
        <v>4837</v>
      </c>
      <c r="C1885" s="9" t="s">
        <v>4967</v>
      </c>
      <c r="D1885" s="9" t="s">
        <v>4968</v>
      </c>
      <c r="E1885" s="6" t="s">
        <v>15</v>
      </c>
      <c r="F1885" s="6">
        <v>2020</v>
      </c>
      <c r="G1885" s="9" t="s">
        <v>2480</v>
      </c>
      <c r="H1885" s="9">
        <v>200</v>
      </c>
      <c r="I1885" s="9">
        <v>200</v>
      </c>
      <c r="J1885" s="6" t="s">
        <v>768</v>
      </c>
      <c r="K1885" s="10"/>
      <c r="L1885" s="10">
        <v>20201118</v>
      </c>
      <c r="M1885" s="36" t="str">
        <f t="shared" si="29"/>
        <v>19660816</v>
      </c>
    </row>
    <row r="1886" s="1" customFormat="1" spans="1:13">
      <c r="A1886" s="2">
        <v>6112</v>
      </c>
      <c r="B1886" s="30" t="s">
        <v>11090</v>
      </c>
      <c r="C1886" s="32" t="s">
        <v>12259</v>
      </c>
      <c r="D1886" s="30" t="s">
        <v>12260</v>
      </c>
      <c r="E1886" s="5" t="s">
        <v>15</v>
      </c>
      <c r="F1886" s="5" t="s">
        <v>10250</v>
      </c>
      <c r="G1886" s="6" t="s">
        <v>16</v>
      </c>
      <c r="H1886" s="32">
        <v>200</v>
      </c>
      <c r="I1886" s="32">
        <v>200</v>
      </c>
      <c r="J1886" s="5"/>
      <c r="K1886" s="48"/>
      <c r="L1886" s="10">
        <v>20201118</v>
      </c>
      <c r="M1886" s="36" t="str">
        <f t="shared" si="29"/>
        <v>19660816</v>
      </c>
    </row>
    <row r="1887" s="1" customFormat="1" ht="14.25" spans="1:13">
      <c r="A1887" s="2">
        <v>2876</v>
      </c>
      <c r="B1887" s="6" t="s">
        <v>6075</v>
      </c>
      <c r="C1887" s="25" t="s">
        <v>6281</v>
      </c>
      <c r="D1887" s="26" t="s">
        <v>6282</v>
      </c>
      <c r="E1887" s="5" t="s">
        <v>15</v>
      </c>
      <c r="F1887" s="5">
        <v>2020</v>
      </c>
      <c r="G1887" s="6" t="s">
        <v>16</v>
      </c>
      <c r="H1887" s="6">
        <v>200</v>
      </c>
      <c r="I1887" s="6">
        <v>200</v>
      </c>
      <c r="J1887" s="6" t="s">
        <v>6097</v>
      </c>
      <c r="K1887" s="10"/>
      <c r="L1887" s="10">
        <v>20201118</v>
      </c>
      <c r="M1887" s="36" t="str">
        <f t="shared" si="29"/>
        <v>19660817</v>
      </c>
    </row>
    <row r="1888" s="1" customFormat="1" spans="1:13">
      <c r="A1888" s="2">
        <v>5886</v>
      </c>
      <c r="B1888" s="30" t="s">
        <v>11090</v>
      </c>
      <c r="C1888" s="30" t="s">
        <v>2611</v>
      </c>
      <c r="D1888" s="30" t="s">
        <v>11825</v>
      </c>
      <c r="E1888" s="5" t="s">
        <v>15</v>
      </c>
      <c r="F1888" s="5" t="s">
        <v>10250</v>
      </c>
      <c r="G1888" s="6" t="s">
        <v>16</v>
      </c>
      <c r="H1888" s="32">
        <v>200</v>
      </c>
      <c r="I1888" s="32">
        <v>200</v>
      </c>
      <c r="J1888" s="6"/>
      <c r="K1888" s="48"/>
      <c r="L1888" s="10">
        <v>20201118</v>
      </c>
      <c r="M1888" s="36" t="str">
        <f t="shared" si="29"/>
        <v>19660817</v>
      </c>
    </row>
    <row r="1889" s="1" customFormat="1" spans="1:13">
      <c r="A1889" s="2">
        <v>2211</v>
      </c>
      <c r="B1889" s="9" t="s">
        <v>4837</v>
      </c>
      <c r="C1889" s="9" t="s">
        <v>4969</v>
      </c>
      <c r="D1889" s="9" t="s">
        <v>4970</v>
      </c>
      <c r="E1889" s="6" t="s">
        <v>15</v>
      </c>
      <c r="F1889" s="6">
        <v>2020</v>
      </c>
      <c r="G1889" s="9" t="s">
        <v>2480</v>
      </c>
      <c r="H1889" s="9">
        <v>200</v>
      </c>
      <c r="I1889" s="9">
        <v>200</v>
      </c>
      <c r="J1889" s="6"/>
      <c r="K1889" s="10"/>
      <c r="L1889" s="10">
        <v>20201118</v>
      </c>
      <c r="M1889" s="36" t="str">
        <f t="shared" si="29"/>
        <v>19660818</v>
      </c>
    </row>
    <row r="1890" s="1" customFormat="1" spans="1:13">
      <c r="A1890" s="2">
        <v>1011</v>
      </c>
      <c r="B1890" s="5" t="s">
        <v>2469</v>
      </c>
      <c r="C1890" s="9" t="s">
        <v>2613</v>
      </c>
      <c r="D1890" s="9" t="s">
        <v>2614</v>
      </c>
      <c r="E1890" s="5">
        <v>2020</v>
      </c>
      <c r="F1890" s="5">
        <v>2020</v>
      </c>
      <c r="G1890" s="9" t="s">
        <v>2480</v>
      </c>
      <c r="H1890" s="9">
        <v>200</v>
      </c>
      <c r="I1890" s="9">
        <v>200</v>
      </c>
      <c r="J1890" s="5"/>
      <c r="K1890" s="5"/>
      <c r="L1890" s="10">
        <v>20201118</v>
      </c>
      <c r="M1890" s="36" t="str">
        <f t="shared" si="29"/>
        <v>19660819</v>
      </c>
    </row>
    <row r="1891" s="1" customFormat="1" spans="1:13">
      <c r="A1891" s="2">
        <v>467</v>
      </c>
      <c r="B1891" s="29" t="s">
        <v>1040</v>
      </c>
      <c r="C1891" s="29" t="s">
        <v>1210</v>
      </c>
      <c r="D1891" s="29" t="s">
        <v>1211</v>
      </c>
      <c r="E1891" s="30">
        <v>2020</v>
      </c>
      <c r="F1891" s="30">
        <v>2020</v>
      </c>
      <c r="G1891" s="29" t="s">
        <v>16</v>
      </c>
      <c r="H1891" s="29">
        <v>200</v>
      </c>
      <c r="I1891" s="29">
        <v>200</v>
      </c>
      <c r="J1891" s="29"/>
      <c r="K1891" s="47"/>
      <c r="L1891" s="14" t="s">
        <v>330</v>
      </c>
      <c r="M1891" s="36" t="str">
        <f t="shared" si="29"/>
        <v>19660823</v>
      </c>
    </row>
    <row r="1892" s="1" customFormat="1" spans="1:13">
      <c r="A1892" s="2">
        <v>6993</v>
      </c>
      <c r="B1892" s="5" t="s">
        <v>13533</v>
      </c>
      <c r="C1892" s="32" t="s">
        <v>13740</v>
      </c>
      <c r="D1892" s="32" t="str">
        <f>"152326196608237113"</f>
        <v>152326196608237113</v>
      </c>
      <c r="E1892" s="5">
        <v>2020</v>
      </c>
      <c r="F1892" s="5">
        <v>2020</v>
      </c>
      <c r="G1892" s="9" t="s">
        <v>2480</v>
      </c>
      <c r="H1892" s="32">
        <v>200</v>
      </c>
      <c r="I1892" s="32">
        <v>200</v>
      </c>
      <c r="J1892" s="32"/>
      <c r="K1892" s="10"/>
      <c r="L1892" s="10">
        <v>20201118</v>
      </c>
      <c r="M1892" s="36" t="str">
        <f t="shared" si="29"/>
        <v>19660823</v>
      </c>
    </row>
    <row r="1893" s="1" customFormat="1" spans="1:13">
      <c r="A1893" s="2">
        <v>8135</v>
      </c>
      <c r="B1893" s="5" t="s">
        <v>15406</v>
      </c>
      <c r="C1893" s="6" t="s">
        <v>15463</v>
      </c>
      <c r="D1893" s="6" t="s">
        <v>15464</v>
      </c>
      <c r="E1893" s="5" t="s">
        <v>15</v>
      </c>
      <c r="F1893" s="5">
        <v>2020</v>
      </c>
      <c r="G1893" s="14" t="s">
        <v>16</v>
      </c>
      <c r="H1893" s="6">
        <v>200</v>
      </c>
      <c r="I1893" s="6">
        <v>200</v>
      </c>
      <c r="J1893" s="5"/>
      <c r="K1893" s="10"/>
      <c r="L1893" s="10">
        <v>20201118</v>
      </c>
      <c r="M1893" s="36" t="str">
        <f t="shared" si="29"/>
        <v>19660823</v>
      </c>
    </row>
    <row r="1894" s="1" customFormat="1" spans="1:13">
      <c r="A1894" s="2">
        <v>2580</v>
      </c>
      <c r="B1894" s="32" t="s">
        <v>5602</v>
      </c>
      <c r="C1894" s="9" t="s">
        <v>5695</v>
      </c>
      <c r="D1894" s="9" t="s">
        <v>5696</v>
      </c>
      <c r="E1894" s="32">
        <v>2020</v>
      </c>
      <c r="F1894" s="32">
        <v>2020</v>
      </c>
      <c r="G1894" s="32" t="s">
        <v>16</v>
      </c>
      <c r="H1894" s="9">
        <v>200</v>
      </c>
      <c r="I1894" s="9">
        <v>200</v>
      </c>
      <c r="J1894" s="32"/>
      <c r="K1894" s="52"/>
      <c r="L1894" s="10">
        <v>20201118</v>
      </c>
      <c r="M1894" s="36" t="str">
        <f t="shared" si="29"/>
        <v>19660824</v>
      </c>
    </row>
    <row r="1895" s="1" customFormat="1" spans="1:13">
      <c r="A1895" s="2">
        <v>6397</v>
      </c>
      <c r="B1895" s="5" t="s">
        <v>12263</v>
      </c>
      <c r="C1895" s="5" t="s">
        <v>12804</v>
      </c>
      <c r="D1895" s="5" t="s">
        <v>12805</v>
      </c>
      <c r="E1895" s="5" t="s">
        <v>10250</v>
      </c>
      <c r="F1895" s="5">
        <v>2020</v>
      </c>
      <c r="G1895" s="17" t="s">
        <v>3359</v>
      </c>
      <c r="H1895" s="5" t="s">
        <v>311</v>
      </c>
      <c r="I1895" s="5">
        <v>200</v>
      </c>
      <c r="J1895" s="5"/>
      <c r="K1895" s="5"/>
      <c r="L1895" s="10">
        <v>20201118</v>
      </c>
      <c r="M1895" s="36" t="str">
        <f t="shared" si="29"/>
        <v>19660825</v>
      </c>
    </row>
    <row r="1896" s="1" customFormat="1" spans="1:13">
      <c r="A1896" s="2">
        <v>5580</v>
      </c>
      <c r="B1896" s="30" t="s">
        <v>11090</v>
      </c>
      <c r="C1896" s="30" t="s">
        <v>11254</v>
      </c>
      <c r="D1896" s="30" t="s">
        <v>11255</v>
      </c>
      <c r="E1896" s="5" t="s">
        <v>15</v>
      </c>
      <c r="F1896" s="5" t="s">
        <v>10250</v>
      </c>
      <c r="G1896" s="6" t="s">
        <v>16</v>
      </c>
      <c r="H1896" s="32">
        <v>200</v>
      </c>
      <c r="I1896" s="32">
        <v>200</v>
      </c>
      <c r="J1896" s="6"/>
      <c r="K1896" s="48"/>
      <c r="L1896" s="10">
        <v>20201118</v>
      </c>
      <c r="M1896" s="36" t="str">
        <f t="shared" si="29"/>
        <v>19660826</v>
      </c>
    </row>
    <row r="1897" s="1" customFormat="1" spans="1:13">
      <c r="A1897" s="2">
        <v>3728</v>
      </c>
      <c r="B1897" s="5" t="s">
        <v>7412</v>
      </c>
      <c r="C1897" s="5" t="s">
        <v>7709</v>
      </c>
      <c r="D1897" s="5" t="s">
        <v>7710</v>
      </c>
      <c r="E1897" s="6">
        <v>2020</v>
      </c>
      <c r="F1897" s="6">
        <v>2020</v>
      </c>
      <c r="G1897" s="5" t="s">
        <v>3359</v>
      </c>
      <c r="H1897" s="5">
        <v>200</v>
      </c>
      <c r="I1897" s="5">
        <v>200</v>
      </c>
      <c r="J1897" s="5" t="s">
        <v>1242</v>
      </c>
      <c r="K1897" s="5"/>
      <c r="L1897" s="10">
        <v>20201118</v>
      </c>
      <c r="M1897" s="36" t="str">
        <f t="shared" si="29"/>
        <v>19660827</v>
      </c>
    </row>
    <row r="1898" s="1" customFormat="1" spans="1:13">
      <c r="A1898" s="2">
        <v>3096</v>
      </c>
      <c r="B1898" s="3" t="s">
        <v>6671</v>
      </c>
      <c r="C1898" s="9" t="s">
        <v>6716</v>
      </c>
      <c r="D1898" s="9" t="s">
        <v>6717</v>
      </c>
      <c r="E1898" s="3" t="s">
        <v>15</v>
      </c>
      <c r="F1898" s="3" t="s">
        <v>15</v>
      </c>
      <c r="G1898" s="6" t="s">
        <v>3359</v>
      </c>
      <c r="H1898" s="9">
        <v>200</v>
      </c>
      <c r="I1898" s="9">
        <v>200</v>
      </c>
      <c r="J1898" s="6"/>
      <c r="K1898" s="5"/>
      <c r="L1898" s="10">
        <v>20201118</v>
      </c>
      <c r="M1898" s="36" t="str">
        <f t="shared" si="29"/>
        <v>19660828</v>
      </c>
    </row>
    <row r="1899" s="1" customFormat="1" spans="1:13">
      <c r="A1899" s="2">
        <v>3729</v>
      </c>
      <c r="B1899" s="5" t="s">
        <v>7412</v>
      </c>
      <c r="C1899" s="5" t="s">
        <v>7711</v>
      </c>
      <c r="D1899" s="5" t="s">
        <v>7712</v>
      </c>
      <c r="E1899" s="6">
        <v>2020</v>
      </c>
      <c r="F1899" s="6">
        <v>2020</v>
      </c>
      <c r="G1899" s="5" t="s">
        <v>3359</v>
      </c>
      <c r="H1899" s="5">
        <v>200</v>
      </c>
      <c r="I1899" s="5">
        <v>200</v>
      </c>
      <c r="J1899" s="5"/>
      <c r="K1899" s="5"/>
      <c r="L1899" s="10">
        <v>20201118</v>
      </c>
      <c r="M1899" s="36" t="str">
        <f t="shared" si="29"/>
        <v>19660828</v>
      </c>
    </row>
    <row r="1900" s="1" customFormat="1" spans="1:13">
      <c r="A1900" s="2">
        <v>2212</v>
      </c>
      <c r="B1900" s="9" t="s">
        <v>4837</v>
      </c>
      <c r="C1900" s="9" t="s">
        <v>4971</v>
      </c>
      <c r="D1900" s="9" t="s">
        <v>4972</v>
      </c>
      <c r="E1900" s="6" t="s">
        <v>15</v>
      </c>
      <c r="F1900" s="6">
        <v>2020</v>
      </c>
      <c r="G1900" s="9" t="s">
        <v>2480</v>
      </c>
      <c r="H1900" s="9">
        <v>200</v>
      </c>
      <c r="I1900" s="9">
        <v>200</v>
      </c>
      <c r="J1900" s="6"/>
      <c r="K1900" s="10"/>
      <c r="L1900" s="10">
        <v>20201118</v>
      </c>
      <c r="M1900" s="36" t="str">
        <f t="shared" si="29"/>
        <v>19660829</v>
      </c>
    </row>
    <row r="1901" s="1" customFormat="1" spans="1:13">
      <c r="A1901" s="2">
        <v>5539</v>
      </c>
      <c r="B1901" s="30" t="s">
        <v>11090</v>
      </c>
      <c r="C1901" s="30" t="s">
        <v>11175</v>
      </c>
      <c r="D1901" s="30" t="s">
        <v>11176</v>
      </c>
      <c r="E1901" s="5" t="s">
        <v>15</v>
      </c>
      <c r="F1901" s="5" t="s">
        <v>10250</v>
      </c>
      <c r="G1901" s="6" t="s">
        <v>16</v>
      </c>
      <c r="H1901" s="32">
        <v>200</v>
      </c>
      <c r="I1901" s="32">
        <v>200</v>
      </c>
      <c r="J1901" s="6"/>
      <c r="K1901" s="48"/>
      <c r="L1901" s="10">
        <v>20201118</v>
      </c>
      <c r="M1901" s="36" t="str">
        <f t="shared" si="29"/>
        <v>19660901</v>
      </c>
    </row>
    <row r="1902" s="1" customFormat="1" spans="1:13">
      <c r="A1902" s="2">
        <v>2581</v>
      </c>
      <c r="B1902" s="32" t="s">
        <v>5602</v>
      </c>
      <c r="C1902" s="9" t="s">
        <v>5697</v>
      </c>
      <c r="D1902" s="9" t="s">
        <v>5698</v>
      </c>
      <c r="E1902" s="32">
        <v>2020</v>
      </c>
      <c r="F1902" s="32">
        <v>2020</v>
      </c>
      <c r="G1902" s="32" t="s">
        <v>16</v>
      </c>
      <c r="H1902" s="9">
        <v>200</v>
      </c>
      <c r="I1902" s="9">
        <v>200</v>
      </c>
      <c r="J1902" s="32"/>
      <c r="K1902" s="52"/>
      <c r="L1902" s="10">
        <v>20201118</v>
      </c>
      <c r="M1902" s="36" t="str">
        <f t="shared" si="29"/>
        <v>19660902</v>
      </c>
    </row>
    <row r="1903" s="1" customFormat="1" spans="1:13">
      <c r="A1903" s="2">
        <v>6989</v>
      </c>
      <c r="B1903" s="5" t="s">
        <v>13533</v>
      </c>
      <c r="C1903" s="32" t="s">
        <v>13737</v>
      </c>
      <c r="D1903" s="32" t="str">
        <f>"152326196609037121"</f>
        <v>152326196609037121</v>
      </c>
      <c r="E1903" s="5">
        <v>2020</v>
      </c>
      <c r="F1903" s="5">
        <v>2020</v>
      </c>
      <c r="G1903" s="9" t="s">
        <v>2480</v>
      </c>
      <c r="H1903" s="32">
        <v>200</v>
      </c>
      <c r="I1903" s="32">
        <v>200</v>
      </c>
      <c r="J1903" s="32"/>
      <c r="K1903" s="10"/>
      <c r="L1903" s="10">
        <v>20201118</v>
      </c>
      <c r="M1903" s="36" t="str">
        <f t="shared" si="29"/>
        <v>19660903</v>
      </c>
    </row>
    <row r="1904" s="1" customFormat="1" spans="1:13">
      <c r="A1904" s="2">
        <v>3730</v>
      </c>
      <c r="B1904" s="5" t="s">
        <v>7412</v>
      </c>
      <c r="C1904" s="5" t="s">
        <v>7713</v>
      </c>
      <c r="D1904" s="5" t="s">
        <v>7714</v>
      </c>
      <c r="E1904" s="6">
        <v>2020</v>
      </c>
      <c r="F1904" s="6">
        <v>2020</v>
      </c>
      <c r="G1904" s="5" t="s">
        <v>3359</v>
      </c>
      <c r="H1904" s="5">
        <v>200</v>
      </c>
      <c r="I1904" s="5">
        <v>200</v>
      </c>
      <c r="J1904" s="5"/>
      <c r="K1904" s="5"/>
      <c r="L1904" s="10">
        <v>20201118</v>
      </c>
      <c r="M1904" s="36" t="str">
        <f t="shared" si="29"/>
        <v>19660905</v>
      </c>
    </row>
    <row r="1905" s="1" customFormat="1" spans="1:13">
      <c r="A1905" s="2">
        <v>2582</v>
      </c>
      <c r="B1905" s="32" t="s">
        <v>5602</v>
      </c>
      <c r="C1905" s="9" t="s">
        <v>5699</v>
      </c>
      <c r="D1905" s="9" t="s">
        <v>5700</v>
      </c>
      <c r="E1905" s="32">
        <v>2020</v>
      </c>
      <c r="F1905" s="32">
        <v>2020</v>
      </c>
      <c r="G1905" s="32" t="s">
        <v>16</v>
      </c>
      <c r="H1905" s="9">
        <v>200</v>
      </c>
      <c r="I1905" s="9">
        <v>200</v>
      </c>
      <c r="J1905" s="32"/>
      <c r="K1905" s="52"/>
      <c r="L1905" s="10">
        <v>20201118</v>
      </c>
      <c r="M1905" s="36" t="str">
        <f t="shared" si="29"/>
        <v>19660906</v>
      </c>
    </row>
    <row r="1906" s="1" customFormat="1" spans="1:13">
      <c r="A1906" s="2">
        <v>1767</v>
      </c>
      <c r="B1906" s="5" t="s">
        <v>3381</v>
      </c>
      <c r="C1906" s="9" t="s">
        <v>4095</v>
      </c>
      <c r="D1906" s="287" t="s">
        <v>4096</v>
      </c>
      <c r="E1906" s="5">
        <v>2011</v>
      </c>
      <c r="F1906" s="5">
        <v>2020</v>
      </c>
      <c r="G1906" s="14" t="s">
        <v>289</v>
      </c>
      <c r="H1906" s="18">
        <v>200</v>
      </c>
      <c r="I1906" s="6">
        <v>2000</v>
      </c>
      <c r="J1906" s="5"/>
      <c r="K1906" s="13"/>
      <c r="L1906" s="10">
        <v>20201118</v>
      </c>
      <c r="M1906" s="36" t="str">
        <f t="shared" si="29"/>
        <v>19660907</v>
      </c>
    </row>
    <row r="1907" s="1" customFormat="1" spans="1:13">
      <c r="A1907" s="2">
        <v>3731</v>
      </c>
      <c r="B1907" s="5" t="s">
        <v>7412</v>
      </c>
      <c r="C1907" s="5" t="s">
        <v>7715</v>
      </c>
      <c r="D1907" s="5" t="s">
        <v>7716</v>
      </c>
      <c r="E1907" s="6">
        <v>2020</v>
      </c>
      <c r="F1907" s="6">
        <v>2020</v>
      </c>
      <c r="G1907" s="5" t="s">
        <v>3359</v>
      </c>
      <c r="H1907" s="5">
        <v>200</v>
      </c>
      <c r="I1907" s="5">
        <v>200</v>
      </c>
      <c r="J1907" s="5"/>
      <c r="K1907" s="5"/>
      <c r="L1907" s="10">
        <v>20201118</v>
      </c>
      <c r="M1907" s="36" t="str">
        <f t="shared" si="29"/>
        <v>19660907</v>
      </c>
    </row>
    <row r="1908" s="1" customFormat="1" spans="1:13">
      <c r="A1908" s="2">
        <v>4215</v>
      </c>
      <c r="B1908" s="9" t="s">
        <v>8515</v>
      </c>
      <c r="C1908" s="9" t="s">
        <v>8634</v>
      </c>
      <c r="D1908" s="9" t="s">
        <v>8635</v>
      </c>
      <c r="E1908" s="5" t="s">
        <v>15</v>
      </c>
      <c r="F1908" s="5">
        <v>2020</v>
      </c>
      <c r="G1908" s="9" t="s">
        <v>2480</v>
      </c>
      <c r="H1908" s="9">
        <v>200</v>
      </c>
      <c r="I1908" s="9">
        <v>200</v>
      </c>
      <c r="J1908" s="9"/>
      <c r="K1908" s="9"/>
      <c r="L1908" s="10">
        <v>20201118</v>
      </c>
      <c r="M1908" s="36" t="str">
        <f t="shared" si="29"/>
        <v>19660909</v>
      </c>
    </row>
    <row r="1909" s="1" customFormat="1" spans="1:13">
      <c r="A1909" s="2">
        <v>5552</v>
      </c>
      <c r="B1909" s="30" t="s">
        <v>11090</v>
      </c>
      <c r="C1909" s="30" t="s">
        <v>11200</v>
      </c>
      <c r="D1909" s="30" t="s">
        <v>11201</v>
      </c>
      <c r="E1909" s="5" t="s">
        <v>15</v>
      </c>
      <c r="F1909" s="5" t="s">
        <v>10250</v>
      </c>
      <c r="G1909" s="6" t="s">
        <v>16</v>
      </c>
      <c r="H1909" s="32">
        <v>200</v>
      </c>
      <c r="I1909" s="32">
        <v>200</v>
      </c>
      <c r="J1909" s="6"/>
      <c r="K1909" s="48"/>
      <c r="L1909" s="10">
        <v>20201118</v>
      </c>
      <c r="M1909" s="36" t="str">
        <f t="shared" si="29"/>
        <v>19660909</v>
      </c>
    </row>
    <row r="1910" s="1" customFormat="1" spans="1:13">
      <c r="A1910" s="2">
        <v>1530</v>
      </c>
      <c r="B1910" s="5" t="s">
        <v>3381</v>
      </c>
      <c r="C1910" s="9" t="s">
        <v>3627</v>
      </c>
      <c r="D1910" s="9" t="s">
        <v>3628</v>
      </c>
      <c r="E1910" s="5">
        <v>2020</v>
      </c>
      <c r="F1910" s="5">
        <v>2020</v>
      </c>
      <c r="G1910" s="14" t="s">
        <v>16</v>
      </c>
      <c r="H1910" s="6">
        <v>200</v>
      </c>
      <c r="I1910" s="6">
        <v>200</v>
      </c>
      <c r="J1910" s="5"/>
      <c r="K1910" s="13"/>
      <c r="L1910" s="10">
        <v>20201118</v>
      </c>
      <c r="M1910" s="36" t="str">
        <f t="shared" si="29"/>
        <v>19660910</v>
      </c>
    </row>
    <row r="1911" s="1" customFormat="1" spans="1:13">
      <c r="A1911" s="2">
        <v>3732</v>
      </c>
      <c r="B1911" s="5" t="s">
        <v>7412</v>
      </c>
      <c r="C1911" s="5" t="s">
        <v>6493</v>
      </c>
      <c r="D1911" s="5" t="s">
        <v>7717</v>
      </c>
      <c r="E1911" s="6">
        <v>2020</v>
      </c>
      <c r="F1911" s="6">
        <v>2020</v>
      </c>
      <c r="G1911" s="5" t="s">
        <v>3359</v>
      </c>
      <c r="H1911" s="5">
        <v>200</v>
      </c>
      <c r="I1911" s="5">
        <v>200</v>
      </c>
      <c r="J1911" s="5"/>
      <c r="K1911" s="5"/>
      <c r="L1911" s="10">
        <v>20201118</v>
      </c>
      <c r="M1911" s="36" t="str">
        <f t="shared" si="29"/>
        <v>19660910</v>
      </c>
    </row>
    <row r="1912" s="1" customFormat="1" spans="1:13">
      <c r="A1912" s="2">
        <v>6384</v>
      </c>
      <c r="B1912" s="5" t="s">
        <v>12263</v>
      </c>
      <c r="C1912" s="5" t="s">
        <v>12780</v>
      </c>
      <c r="D1912" s="5" t="s">
        <v>12781</v>
      </c>
      <c r="E1912" s="5" t="s">
        <v>10250</v>
      </c>
      <c r="F1912" s="5">
        <v>2020</v>
      </c>
      <c r="G1912" s="17" t="s">
        <v>3359</v>
      </c>
      <c r="H1912" s="5" t="s">
        <v>311</v>
      </c>
      <c r="I1912" s="5">
        <v>200</v>
      </c>
      <c r="J1912" s="5"/>
      <c r="K1912" s="5"/>
      <c r="L1912" s="10">
        <v>20201118</v>
      </c>
      <c r="M1912" s="36" t="str">
        <f t="shared" si="29"/>
        <v>19660910</v>
      </c>
    </row>
    <row r="1913" s="1" customFormat="1" spans="1:13">
      <c r="A1913" s="2">
        <v>2213</v>
      </c>
      <c r="B1913" s="9" t="s">
        <v>4837</v>
      </c>
      <c r="C1913" s="9" t="s">
        <v>4973</v>
      </c>
      <c r="D1913" s="9" t="s">
        <v>4974</v>
      </c>
      <c r="E1913" s="6" t="s">
        <v>15</v>
      </c>
      <c r="F1913" s="6">
        <v>2020</v>
      </c>
      <c r="G1913" s="9" t="s">
        <v>2480</v>
      </c>
      <c r="H1913" s="9">
        <v>200</v>
      </c>
      <c r="I1913" s="9">
        <v>200</v>
      </c>
      <c r="J1913" s="6"/>
      <c r="K1913" s="10"/>
      <c r="L1913" s="10">
        <v>20201118</v>
      </c>
      <c r="M1913" s="36" t="str">
        <f t="shared" si="29"/>
        <v>19660913</v>
      </c>
    </row>
    <row r="1914" s="1" customFormat="1" spans="1:13">
      <c r="A1914" s="2">
        <v>6991</v>
      </c>
      <c r="B1914" s="5" t="s">
        <v>13533</v>
      </c>
      <c r="C1914" s="32" t="s">
        <v>13739</v>
      </c>
      <c r="D1914" s="32" t="str">
        <f>"152326196609137122"</f>
        <v>152326196609137122</v>
      </c>
      <c r="E1914" s="5">
        <v>2020</v>
      </c>
      <c r="F1914" s="5">
        <v>2020</v>
      </c>
      <c r="G1914" s="9" t="s">
        <v>2480</v>
      </c>
      <c r="H1914" s="32">
        <v>200</v>
      </c>
      <c r="I1914" s="32">
        <v>200</v>
      </c>
      <c r="J1914" s="62"/>
      <c r="K1914" s="10"/>
      <c r="L1914" s="10">
        <v>20201118</v>
      </c>
      <c r="M1914" s="36" t="str">
        <f t="shared" si="29"/>
        <v>19660913</v>
      </c>
    </row>
    <row r="1915" s="1" customFormat="1" ht="14.25" spans="1:13">
      <c r="A1915" s="2">
        <v>7764</v>
      </c>
      <c r="B1915" s="5" t="s">
        <v>14875</v>
      </c>
      <c r="C1915" s="51" t="s">
        <v>15010</v>
      </c>
      <c r="D1915" s="24" t="str">
        <f>"152326196609147128"</f>
        <v>152326196609147128</v>
      </c>
      <c r="E1915" s="6" t="s">
        <v>15</v>
      </c>
      <c r="F1915" s="6">
        <v>2020</v>
      </c>
      <c r="G1915" s="24" t="s">
        <v>14877</v>
      </c>
      <c r="H1915" s="6">
        <v>200</v>
      </c>
      <c r="I1915" s="6">
        <v>200</v>
      </c>
      <c r="J1915" s="6"/>
      <c r="K1915" s="10"/>
      <c r="L1915" s="10">
        <v>20201118</v>
      </c>
      <c r="M1915" s="36" t="str">
        <f t="shared" si="29"/>
        <v>19660914</v>
      </c>
    </row>
    <row r="1916" s="1" customFormat="1" spans="1:13">
      <c r="A1916" s="2">
        <v>8187</v>
      </c>
      <c r="B1916" s="5" t="s">
        <v>15406</v>
      </c>
      <c r="C1916" s="6" t="s">
        <v>15561</v>
      </c>
      <c r="D1916" s="6" t="s">
        <v>15562</v>
      </c>
      <c r="E1916" s="5" t="s">
        <v>15</v>
      </c>
      <c r="F1916" s="5">
        <v>2020</v>
      </c>
      <c r="G1916" s="14" t="s">
        <v>16</v>
      </c>
      <c r="H1916" s="6">
        <v>200</v>
      </c>
      <c r="I1916" s="6">
        <v>200</v>
      </c>
      <c r="J1916" s="5"/>
      <c r="K1916" s="10"/>
      <c r="L1916" s="10">
        <v>20201118</v>
      </c>
      <c r="M1916" s="36" t="str">
        <f t="shared" si="29"/>
        <v>19660914</v>
      </c>
    </row>
    <row r="1917" s="1" customFormat="1" spans="1:13">
      <c r="A1917" s="2">
        <v>5941</v>
      </c>
      <c r="B1917" s="30" t="s">
        <v>11090</v>
      </c>
      <c r="C1917" s="6" t="s">
        <v>11930</v>
      </c>
      <c r="D1917" s="306" t="s">
        <v>11931</v>
      </c>
      <c r="E1917" s="5" t="s">
        <v>15</v>
      </c>
      <c r="F1917" s="5" t="s">
        <v>10250</v>
      </c>
      <c r="G1917" s="6" t="s">
        <v>16</v>
      </c>
      <c r="H1917" s="32">
        <v>200</v>
      </c>
      <c r="I1917" s="32">
        <v>200</v>
      </c>
      <c r="J1917" s="6"/>
      <c r="K1917" s="48"/>
      <c r="L1917" s="10">
        <v>20201118</v>
      </c>
      <c r="M1917" s="36" t="str">
        <f t="shared" si="29"/>
        <v>19660918</v>
      </c>
    </row>
    <row r="1918" s="1" customFormat="1" ht="14.25" spans="1:13">
      <c r="A1918" s="2">
        <v>6083</v>
      </c>
      <c r="B1918" s="30" t="s">
        <v>11090</v>
      </c>
      <c r="C1918" s="6" t="s">
        <v>12205</v>
      </c>
      <c r="D1918" s="12" t="s">
        <v>12206</v>
      </c>
      <c r="E1918" s="5" t="s">
        <v>15</v>
      </c>
      <c r="F1918" s="5" t="s">
        <v>10250</v>
      </c>
      <c r="G1918" s="6" t="s">
        <v>16</v>
      </c>
      <c r="H1918" s="32">
        <v>200</v>
      </c>
      <c r="I1918" s="32">
        <v>200</v>
      </c>
      <c r="J1918" s="5" t="s">
        <v>6097</v>
      </c>
      <c r="K1918" s="48"/>
      <c r="L1918" s="10">
        <v>20201118</v>
      </c>
      <c r="M1918" s="36" t="str">
        <f t="shared" si="29"/>
        <v>19660919</v>
      </c>
    </row>
    <row r="1919" s="1" customFormat="1" spans="1:13">
      <c r="A1919" s="2">
        <v>8024</v>
      </c>
      <c r="B1919" s="5" t="s">
        <v>15086</v>
      </c>
      <c r="C1919" s="6" t="s">
        <v>15300</v>
      </c>
      <c r="D1919" s="6" t="s">
        <v>15301</v>
      </c>
      <c r="E1919" s="5" t="s">
        <v>15</v>
      </c>
      <c r="F1919" s="5">
        <v>2020</v>
      </c>
      <c r="G1919" s="5" t="s">
        <v>16</v>
      </c>
      <c r="H1919" s="5">
        <v>200</v>
      </c>
      <c r="I1919" s="5">
        <v>200</v>
      </c>
      <c r="J1919" s="5"/>
      <c r="K1919" s="5"/>
      <c r="L1919" s="10">
        <v>20201118</v>
      </c>
      <c r="M1919" s="36" t="str">
        <f t="shared" si="29"/>
        <v>19660919</v>
      </c>
    </row>
    <row r="1920" s="1" customFormat="1" spans="1:13">
      <c r="A1920" s="2">
        <v>4857</v>
      </c>
      <c r="B1920" s="6" t="s">
        <v>9015</v>
      </c>
      <c r="C1920" s="6" t="s">
        <v>9857</v>
      </c>
      <c r="D1920" s="293" t="s">
        <v>9858</v>
      </c>
      <c r="E1920" s="6">
        <v>2020</v>
      </c>
      <c r="F1920" s="6">
        <v>2020</v>
      </c>
      <c r="G1920" s="6" t="s">
        <v>16</v>
      </c>
      <c r="H1920" s="6">
        <v>200</v>
      </c>
      <c r="I1920" s="6">
        <v>200</v>
      </c>
      <c r="J1920" s="6"/>
      <c r="K1920" s="6"/>
      <c r="L1920" s="10">
        <v>20201118</v>
      </c>
      <c r="M1920" s="36" t="str">
        <f t="shared" si="29"/>
        <v>19660920</v>
      </c>
    </row>
    <row r="1921" s="1" customFormat="1" spans="1:13">
      <c r="A1921" s="2">
        <v>5592</v>
      </c>
      <c r="B1921" s="30" t="s">
        <v>11090</v>
      </c>
      <c r="C1921" s="30" t="s">
        <v>11277</v>
      </c>
      <c r="D1921" s="30" t="s">
        <v>11278</v>
      </c>
      <c r="E1921" s="5" t="s">
        <v>15</v>
      </c>
      <c r="F1921" s="5" t="s">
        <v>10250</v>
      </c>
      <c r="G1921" s="6" t="s">
        <v>16</v>
      </c>
      <c r="H1921" s="32">
        <v>200</v>
      </c>
      <c r="I1921" s="32">
        <v>200</v>
      </c>
      <c r="J1921" s="6"/>
      <c r="K1921" s="48"/>
      <c r="L1921" s="10">
        <v>20201118</v>
      </c>
      <c r="M1921" s="36" t="str">
        <f t="shared" si="29"/>
        <v>19660922</v>
      </c>
    </row>
    <row r="1922" s="1" customFormat="1" spans="1:13">
      <c r="A1922" s="2">
        <v>3019</v>
      </c>
      <c r="B1922" s="6" t="s">
        <v>6075</v>
      </c>
      <c r="C1922" s="6" t="s">
        <v>6561</v>
      </c>
      <c r="D1922" s="6" t="s">
        <v>6562</v>
      </c>
      <c r="E1922" s="5" t="s">
        <v>15</v>
      </c>
      <c r="F1922" s="5">
        <v>2020</v>
      </c>
      <c r="G1922" s="6" t="s">
        <v>16</v>
      </c>
      <c r="H1922" s="6">
        <v>200</v>
      </c>
      <c r="I1922" s="6">
        <v>200</v>
      </c>
      <c r="J1922" s="6"/>
      <c r="K1922" s="10"/>
      <c r="L1922" s="10">
        <v>20201118</v>
      </c>
      <c r="M1922" s="36" t="str">
        <f t="shared" ref="M1922:M1985" si="30">MID(D1922,7,8)</f>
        <v>19660924</v>
      </c>
    </row>
    <row r="1923" s="1" customFormat="1" spans="1:13">
      <c r="A1923" s="2">
        <v>3733</v>
      </c>
      <c r="B1923" s="5" t="s">
        <v>7412</v>
      </c>
      <c r="C1923" s="5" t="s">
        <v>7718</v>
      </c>
      <c r="D1923" s="5" t="s">
        <v>7719</v>
      </c>
      <c r="E1923" s="6">
        <v>2020</v>
      </c>
      <c r="F1923" s="6">
        <v>2020</v>
      </c>
      <c r="G1923" s="5" t="s">
        <v>3359</v>
      </c>
      <c r="H1923" s="5">
        <v>200</v>
      </c>
      <c r="I1923" s="5">
        <v>200</v>
      </c>
      <c r="J1923" s="5"/>
      <c r="K1923" s="5"/>
      <c r="L1923" s="10">
        <v>20201118</v>
      </c>
      <c r="M1923" s="36" t="str">
        <f t="shared" si="30"/>
        <v>19660924</v>
      </c>
    </row>
    <row r="1924" s="1" customFormat="1" ht="14.25" spans="1:13">
      <c r="A1924" s="2">
        <v>5274</v>
      </c>
      <c r="B1924" s="33" t="s">
        <v>10535</v>
      </c>
      <c r="C1924" s="34" t="s">
        <v>10663</v>
      </c>
      <c r="D1924" s="34" t="s">
        <v>10664</v>
      </c>
      <c r="E1924" s="35">
        <v>2020</v>
      </c>
      <c r="F1924" s="35">
        <v>2020</v>
      </c>
      <c r="G1924" s="35" t="s">
        <v>16</v>
      </c>
      <c r="H1924" s="34">
        <v>200</v>
      </c>
      <c r="I1924" s="34">
        <v>200</v>
      </c>
      <c r="J1924" s="49"/>
      <c r="K1924" s="10"/>
      <c r="L1924" s="10">
        <v>20201118</v>
      </c>
      <c r="M1924" s="36" t="str">
        <f t="shared" si="30"/>
        <v>19660924</v>
      </c>
    </row>
    <row r="1925" s="1" customFormat="1" spans="1:13">
      <c r="A1925" s="2">
        <v>4216</v>
      </c>
      <c r="B1925" s="9" t="s">
        <v>8515</v>
      </c>
      <c r="C1925" s="9" t="s">
        <v>7584</v>
      </c>
      <c r="D1925" s="9" t="s">
        <v>8636</v>
      </c>
      <c r="E1925" s="5" t="s">
        <v>15</v>
      </c>
      <c r="F1925" s="5">
        <v>2020</v>
      </c>
      <c r="G1925" s="9" t="s">
        <v>2480</v>
      </c>
      <c r="H1925" s="9">
        <v>200</v>
      </c>
      <c r="I1925" s="9">
        <v>200</v>
      </c>
      <c r="J1925" s="9"/>
      <c r="K1925" s="9"/>
      <c r="L1925" s="10">
        <v>20201118</v>
      </c>
      <c r="M1925" s="36" t="str">
        <f t="shared" si="30"/>
        <v>19660925</v>
      </c>
    </row>
    <row r="1926" s="1" customFormat="1" spans="1:13">
      <c r="A1926" s="2">
        <v>6574</v>
      </c>
      <c r="B1926" s="5" t="s">
        <v>13027</v>
      </c>
      <c r="C1926" s="15" t="s">
        <v>13139</v>
      </c>
      <c r="D1926" s="15" t="s">
        <v>13140</v>
      </c>
      <c r="E1926" s="5">
        <v>2020</v>
      </c>
      <c r="F1926" s="5">
        <v>2020</v>
      </c>
      <c r="G1926" s="14" t="s">
        <v>16</v>
      </c>
      <c r="H1926" s="15">
        <v>200</v>
      </c>
      <c r="I1926" s="15">
        <v>200</v>
      </c>
      <c r="J1926" s="5"/>
      <c r="K1926" s="10"/>
      <c r="L1926" s="10">
        <v>20201118</v>
      </c>
      <c r="M1926" s="36" t="str">
        <f t="shared" si="30"/>
        <v>19660925</v>
      </c>
    </row>
    <row r="1927" s="1" customFormat="1" spans="1:13">
      <c r="A1927" s="2">
        <v>6</v>
      </c>
      <c r="B1927" s="2" t="s">
        <v>12</v>
      </c>
      <c r="C1927" s="2" t="s">
        <v>25</v>
      </c>
      <c r="D1927" s="2" t="s">
        <v>26</v>
      </c>
      <c r="E1927" s="3" t="s">
        <v>15</v>
      </c>
      <c r="F1927" s="3" t="s">
        <v>15</v>
      </c>
      <c r="G1927" s="2" t="s">
        <v>16</v>
      </c>
      <c r="H1927" s="2">
        <v>200</v>
      </c>
      <c r="I1927" s="2">
        <v>200</v>
      </c>
      <c r="J1927" s="2"/>
      <c r="K1927" s="2"/>
      <c r="L1927" s="10">
        <v>20201118</v>
      </c>
      <c r="M1927" s="36" t="str">
        <f t="shared" si="30"/>
        <v>19660927</v>
      </c>
    </row>
    <row r="1928" s="1" customFormat="1" spans="1:13">
      <c r="A1928" s="2">
        <v>4217</v>
      </c>
      <c r="B1928" s="9" t="s">
        <v>8515</v>
      </c>
      <c r="C1928" s="9" t="s">
        <v>8637</v>
      </c>
      <c r="D1928" s="9" t="s">
        <v>8638</v>
      </c>
      <c r="E1928" s="5" t="s">
        <v>15</v>
      </c>
      <c r="F1928" s="5">
        <v>2020</v>
      </c>
      <c r="G1928" s="9" t="s">
        <v>2480</v>
      </c>
      <c r="H1928" s="9">
        <v>200</v>
      </c>
      <c r="I1928" s="9">
        <v>200</v>
      </c>
      <c r="J1928" s="9"/>
      <c r="K1928" s="9"/>
      <c r="L1928" s="10">
        <v>20201118</v>
      </c>
      <c r="M1928" s="36" t="str">
        <f t="shared" si="30"/>
        <v>19660927</v>
      </c>
    </row>
    <row r="1929" s="1" customFormat="1" spans="1:13">
      <c r="A1929" s="2">
        <v>5582</v>
      </c>
      <c r="B1929" s="30" t="s">
        <v>11090</v>
      </c>
      <c r="C1929" s="30" t="s">
        <v>11257</v>
      </c>
      <c r="D1929" s="30" t="s">
        <v>11258</v>
      </c>
      <c r="E1929" s="5" t="s">
        <v>15</v>
      </c>
      <c r="F1929" s="5" t="s">
        <v>10250</v>
      </c>
      <c r="G1929" s="6" t="s">
        <v>16</v>
      </c>
      <c r="H1929" s="32">
        <v>300</v>
      </c>
      <c r="I1929" s="32">
        <v>300</v>
      </c>
      <c r="J1929" s="6" t="s">
        <v>1242</v>
      </c>
      <c r="K1929" s="48"/>
      <c r="L1929" s="10">
        <v>20201118</v>
      </c>
      <c r="M1929" s="36" t="str">
        <f t="shared" si="30"/>
        <v>19660927</v>
      </c>
    </row>
    <row r="1930" s="1" customFormat="1" spans="1:13">
      <c r="A1930" s="2">
        <v>2214</v>
      </c>
      <c r="B1930" s="9" t="s">
        <v>4837</v>
      </c>
      <c r="C1930" s="9" t="s">
        <v>4975</v>
      </c>
      <c r="D1930" s="9" t="s">
        <v>4976</v>
      </c>
      <c r="E1930" s="6" t="s">
        <v>15</v>
      </c>
      <c r="F1930" s="6">
        <v>2020</v>
      </c>
      <c r="G1930" s="9" t="s">
        <v>2480</v>
      </c>
      <c r="H1930" s="9">
        <v>200</v>
      </c>
      <c r="I1930" s="9">
        <v>200</v>
      </c>
      <c r="J1930" s="6"/>
      <c r="K1930" s="10"/>
      <c r="L1930" s="10">
        <v>20201118</v>
      </c>
      <c r="M1930" s="36" t="str">
        <f t="shared" si="30"/>
        <v>19660928</v>
      </c>
    </row>
    <row r="1931" s="1" customFormat="1" spans="1:13">
      <c r="A1931" s="2">
        <v>1894</v>
      </c>
      <c r="B1931" s="5" t="s">
        <v>4189</v>
      </c>
      <c r="C1931" s="16" t="s">
        <v>4213</v>
      </c>
      <c r="D1931" s="16" t="s">
        <v>4350</v>
      </c>
      <c r="E1931" s="5" t="s">
        <v>15</v>
      </c>
      <c r="F1931" s="5" t="s">
        <v>15</v>
      </c>
      <c r="G1931" s="5" t="s">
        <v>3359</v>
      </c>
      <c r="H1931" s="16">
        <v>200</v>
      </c>
      <c r="I1931" s="16">
        <v>200</v>
      </c>
      <c r="J1931" s="5"/>
      <c r="K1931" s="10"/>
      <c r="L1931" s="10">
        <v>20201118</v>
      </c>
      <c r="M1931" s="36" t="str">
        <f t="shared" si="30"/>
        <v>19660929</v>
      </c>
    </row>
    <row r="1932" s="1" customFormat="1" spans="1:13">
      <c r="A1932" s="2">
        <v>3450</v>
      </c>
      <c r="B1932" s="5" t="s">
        <v>3375</v>
      </c>
      <c r="C1932" s="6" t="s">
        <v>7227</v>
      </c>
      <c r="D1932" s="6" t="s">
        <v>7228</v>
      </c>
      <c r="E1932" s="5" t="s">
        <v>15</v>
      </c>
      <c r="F1932" s="5">
        <v>2020</v>
      </c>
      <c r="G1932" s="14" t="s">
        <v>16</v>
      </c>
      <c r="H1932" s="17">
        <v>300</v>
      </c>
      <c r="I1932" s="17">
        <v>300</v>
      </c>
      <c r="J1932" s="6" t="s">
        <v>7229</v>
      </c>
      <c r="K1932" s="10"/>
      <c r="L1932" s="10">
        <v>20201118</v>
      </c>
      <c r="M1932" s="36" t="str">
        <f t="shared" si="30"/>
        <v>19661004</v>
      </c>
    </row>
    <row r="1933" s="1" customFormat="1" spans="1:13">
      <c r="A1933" s="2">
        <v>6778</v>
      </c>
      <c r="B1933" s="5" t="s">
        <v>13027</v>
      </c>
      <c r="C1933" s="15" t="s">
        <v>13516</v>
      </c>
      <c r="D1933" s="15" t="s">
        <v>13517</v>
      </c>
      <c r="E1933" s="5">
        <v>2020</v>
      </c>
      <c r="F1933" s="5">
        <v>2020</v>
      </c>
      <c r="G1933" s="14" t="s">
        <v>16</v>
      </c>
      <c r="H1933" s="15">
        <v>200</v>
      </c>
      <c r="I1933" s="15">
        <v>200</v>
      </c>
      <c r="J1933" s="5"/>
      <c r="K1933" s="10"/>
      <c r="L1933" s="10">
        <v>20201118</v>
      </c>
      <c r="M1933" s="36" t="str">
        <f t="shared" si="30"/>
        <v>19661006</v>
      </c>
    </row>
    <row r="1934" s="1" customFormat="1" spans="1:13">
      <c r="A1934" s="2">
        <v>5761</v>
      </c>
      <c r="B1934" s="30" t="s">
        <v>11090</v>
      </c>
      <c r="C1934" s="30" t="s">
        <v>7131</v>
      </c>
      <c r="D1934" s="30" t="s">
        <v>11601</v>
      </c>
      <c r="E1934" s="5" t="s">
        <v>15</v>
      </c>
      <c r="F1934" s="5" t="s">
        <v>10250</v>
      </c>
      <c r="G1934" s="6" t="s">
        <v>16</v>
      </c>
      <c r="H1934" s="32">
        <v>200</v>
      </c>
      <c r="I1934" s="32">
        <v>200</v>
      </c>
      <c r="J1934" s="6"/>
      <c r="K1934" s="48"/>
      <c r="L1934" s="10">
        <v>20201118</v>
      </c>
      <c r="M1934" s="36" t="str">
        <f t="shared" si="30"/>
        <v>19661008</v>
      </c>
    </row>
    <row r="1935" s="1" customFormat="1" spans="1:13">
      <c r="A1935" s="2">
        <v>3116</v>
      </c>
      <c r="B1935" s="3" t="s">
        <v>6671</v>
      </c>
      <c r="C1935" s="9" t="s">
        <v>6754</v>
      </c>
      <c r="D1935" s="9" t="s">
        <v>6755</v>
      </c>
      <c r="E1935" s="3" t="s">
        <v>15</v>
      </c>
      <c r="F1935" s="3" t="s">
        <v>15</v>
      </c>
      <c r="G1935" s="6" t="s">
        <v>3359</v>
      </c>
      <c r="H1935" s="9">
        <v>200</v>
      </c>
      <c r="I1935" s="9">
        <v>200</v>
      </c>
      <c r="J1935" s="6" t="s">
        <v>6753</v>
      </c>
      <c r="K1935" s="5"/>
      <c r="L1935" s="10">
        <v>20201118</v>
      </c>
      <c r="M1935" s="36" t="str">
        <f t="shared" si="30"/>
        <v>19661009</v>
      </c>
    </row>
    <row r="1936" s="1" customFormat="1" spans="1:13">
      <c r="A1936" s="2">
        <v>3734</v>
      </c>
      <c r="B1936" s="5" t="s">
        <v>7412</v>
      </c>
      <c r="C1936" s="5" t="s">
        <v>7720</v>
      </c>
      <c r="D1936" s="5" t="s">
        <v>7721</v>
      </c>
      <c r="E1936" s="6">
        <v>2020</v>
      </c>
      <c r="F1936" s="6">
        <v>2020</v>
      </c>
      <c r="G1936" s="5" t="s">
        <v>3359</v>
      </c>
      <c r="H1936" s="5">
        <v>500</v>
      </c>
      <c r="I1936" s="5">
        <v>500</v>
      </c>
      <c r="J1936" s="5"/>
      <c r="K1936" s="5"/>
      <c r="L1936" s="10">
        <v>20201118</v>
      </c>
      <c r="M1936" s="36" t="str">
        <f t="shared" si="30"/>
        <v>19661009</v>
      </c>
    </row>
    <row r="1937" s="1" customFormat="1" ht="14.25" spans="1:13">
      <c r="A1937" s="2">
        <v>6111</v>
      </c>
      <c r="B1937" s="30" t="s">
        <v>11090</v>
      </c>
      <c r="C1937" s="32" t="s">
        <v>12257</v>
      </c>
      <c r="D1937" s="12" t="s">
        <v>12258</v>
      </c>
      <c r="E1937" s="5" t="s">
        <v>310</v>
      </c>
      <c r="F1937" s="5" t="s">
        <v>10250</v>
      </c>
      <c r="G1937" s="32" t="s">
        <v>2460</v>
      </c>
      <c r="H1937" s="32" t="s">
        <v>311</v>
      </c>
      <c r="I1937" s="32">
        <v>2000</v>
      </c>
      <c r="J1937" s="5"/>
      <c r="K1937" s="48"/>
      <c r="L1937" s="10">
        <v>20201118</v>
      </c>
      <c r="M1937" s="36" t="str">
        <f t="shared" si="30"/>
        <v>19661009</v>
      </c>
    </row>
    <row r="1938" s="1" customFormat="1" spans="1:13">
      <c r="A1938" s="2">
        <v>8027</v>
      </c>
      <c r="B1938" s="5" t="s">
        <v>15086</v>
      </c>
      <c r="C1938" s="6" t="s">
        <v>15304</v>
      </c>
      <c r="D1938" s="6" t="str">
        <f>"152326196610136901"</f>
        <v>152326196610136901</v>
      </c>
      <c r="E1938" s="5" t="s">
        <v>15</v>
      </c>
      <c r="F1938" s="5">
        <v>2020</v>
      </c>
      <c r="G1938" s="5" t="s">
        <v>16</v>
      </c>
      <c r="H1938" s="5">
        <v>200</v>
      </c>
      <c r="I1938" s="5">
        <v>200</v>
      </c>
      <c r="J1938" s="5"/>
      <c r="K1938" s="5"/>
      <c r="L1938" s="10">
        <v>20201118</v>
      </c>
      <c r="M1938" s="36" t="str">
        <f t="shared" si="30"/>
        <v>19661013</v>
      </c>
    </row>
    <row r="1939" s="1" customFormat="1" spans="1:13">
      <c r="A1939" s="2">
        <v>1531</v>
      </c>
      <c r="B1939" s="5" t="s">
        <v>3381</v>
      </c>
      <c r="C1939" s="9" t="s">
        <v>3629</v>
      </c>
      <c r="D1939" s="9" t="s">
        <v>3630</v>
      </c>
      <c r="E1939" s="5">
        <v>2020</v>
      </c>
      <c r="F1939" s="5">
        <v>2020</v>
      </c>
      <c r="G1939" s="14" t="s">
        <v>16</v>
      </c>
      <c r="H1939" s="6">
        <v>200</v>
      </c>
      <c r="I1939" s="6">
        <v>200</v>
      </c>
      <c r="J1939" s="5"/>
      <c r="K1939" s="13"/>
      <c r="L1939" s="10">
        <v>20201118</v>
      </c>
      <c r="M1939" s="36" t="str">
        <f t="shared" si="30"/>
        <v>19661015</v>
      </c>
    </row>
    <row r="1940" s="1" customFormat="1" ht="14.25" spans="1:13">
      <c r="A1940" s="2">
        <v>3018</v>
      </c>
      <c r="B1940" s="6" t="s">
        <v>6075</v>
      </c>
      <c r="C1940" s="25" t="s">
        <v>6150</v>
      </c>
      <c r="D1940" s="26" t="s">
        <v>6560</v>
      </c>
      <c r="E1940" s="5" t="s">
        <v>15</v>
      </c>
      <c r="F1940" s="5">
        <v>2020</v>
      </c>
      <c r="G1940" s="6" t="s">
        <v>16</v>
      </c>
      <c r="H1940" s="6">
        <v>200</v>
      </c>
      <c r="I1940" s="6">
        <v>200</v>
      </c>
      <c r="J1940" s="6"/>
      <c r="K1940" s="10"/>
      <c r="L1940" s="10">
        <v>20201118</v>
      </c>
      <c r="M1940" s="36" t="str">
        <f t="shared" si="30"/>
        <v>19661015</v>
      </c>
    </row>
    <row r="1941" s="1" customFormat="1" spans="1:13">
      <c r="A1941" s="2">
        <v>4218</v>
      </c>
      <c r="B1941" s="9" t="s">
        <v>8515</v>
      </c>
      <c r="C1941" s="9" t="s">
        <v>8639</v>
      </c>
      <c r="D1941" s="9" t="s">
        <v>8640</v>
      </c>
      <c r="E1941" s="5" t="s">
        <v>15</v>
      </c>
      <c r="F1941" s="5">
        <v>2020</v>
      </c>
      <c r="G1941" s="9" t="s">
        <v>2480</v>
      </c>
      <c r="H1941" s="9">
        <v>200</v>
      </c>
      <c r="I1941" s="9">
        <v>200</v>
      </c>
      <c r="J1941" s="9"/>
      <c r="K1941" s="9"/>
      <c r="L1941" s="10">
        <v>20201118</v>
      </c>
      <c r="M1941" s="36" t="str">
        <f t="shared" si="30"/>
        <v>19661015</v>
      </c>
    </row>
    <row r="1942" s="1" customFormat="1" spans="1:13">
      <c r="A1942" s="2">
        <v>6198</v>
      </c>
      <c r="B1942" s="5" t="s">
        <v>12263</v>
      </c>
      <c r="C1942" s="5" t="s">
        <v>12425</v>
      </c>
      <c r="D1942" s="5" t="s">
        <v>12426</v>
      </c>
      <c r="E1942" s="5" t="s">
        <v>10250</v>
      </c>
      <c r="F1942" s="5">
        <v>2020</v>
      </c>
      <c r="G1942" s="17" t="s">
        <v>3359</v>
      </c>
      <c r="H1942" s="5">
        <v>200</v>
      </c>
      <c r="I1942" s="5">
        <v>200</v>
      </c>
      <c r="J1942" s="5"/>
      <c r="K1942" s="5"/>
      <c r="L1942" s="10">
        <v>20201118</v>
      </c>
      <c r="M1942" s="36" t="str">
        <f t="shared" si="30"/>
        <v>19661015</v>
      </c>
    </row>
    <row r="1943" s="1" customFormat="1" spans="1:13">
      <c r="A1943" s="2">
        <v>2529</v>
      </c>
      <c r="B1943" s="5" t="s">
        <v>5328</v>
      </c>
      <c r="C1943" s="9" t="s">
        <v>5592</v>
      </c>
      <c r="D1943" s="9" t="s">
        <v>5593</v>
      </c>
      <c r="E1943" s="5" t="s">
        <v>310</v>
      </c>
      <c r="F1943" s="5" t="s">
        <v>15</v>
      </c>
      <c r="G1943" s="14" t="s">
        <v>289</v>
      </c>
      <c r="H1943" s="6">
        <v>200</v>
      </c>
      <c r="I1943" s="6">
        <v>2000</v>
      </c>
      <c r="J1943" s="5"/>
      <c r="K1943" s="13"/>
      <c r="L1943" s="10">
        <v>20201118</v>
      </c>
      <c r="M1943" s="36" t="str">
        <f t="shared" si="30"/>
        <v>19661019</v>
      </c>
    </row>
    <row r="1944" s="1" customFormat="1" spans="1:13">
      <c r="A1944" s="2">
        <v>5528</v>
      </c>
      <c r="B1944" s="30" t="s">
        <v>11090</v>
      </c>
      <c r="C1944" s="30" t="s">
        <v>11152</v>
      </c>
      <c r="D1944" s="30" t="s">
        <v>11153</v>
      </c>
      <c r="E1944" s="5" t="s">
        <v>15</v>
      </c>
      <c r="F1944" s="5" t="s">
        <v>10250</v>
      </c>
      <c r="G1944" s="6" t="s">
        <v>16</v>
      </c>
      <c r="H1944" s="32">
        <v>200</v>
      </c>
      <c r="I1944" s="32">
        <v>200</v>
      </c>
      <c r="J1944" s="6"/>
      <c r="K1944" s="48"/>
      <c r="L1944" s="10">
        <v>20201118</v>
      </c>
      <c r="M1944" s="36" t="str">
        <f t="shared" si="30"/>
        <v>19661019</v>
      </c>
    </row>
    <row r="1945" s="1" customFormat="1" spans="1:13">
      <c r="A1945" s="2">
        <v>6997</v>
      </c>
      <c r="B1945" s="5" t="s">
        <v>13533</v>
      </c>
      <c r="C1945" s="32" t="s">
        <v>13744</v>
      </c>
      <c r="D1945" s="32" t="str">
        <f>"152326196610197149"</f>
        <v>152326196610197149</v>
      </c>
      <c r="E1945" s="5">
        <v>2020</v>
      </c>
      <c r="F1945" s="5">
        <v>2020</v>
      </c>
      <c r="G1945" s="9" t="s">
        <v>2480</v>
      </c>
      <c r="H1945" s="32">
        <v>200</v>
      </c>
      <c r="I1945" s="32">
        <v>200</v>
      </c>
      <c r="J1945" s="32"/>
      <c r="K1945" s="10"/>
      <c r="L1945" s="10">
        <v>20201118</v>
      </c>
      <c r="M1945" s="36" t="str">
        <f t="shared" si="30"/>
        <v>19661019</v>
      </c>
    </row>
    <row r="1946" s="1" customFormat="1" spans="1:13">
      <c r="A1946" s="2">
        <v>3735</v>
      </c>
      <c r="B1946" s="5" t="s">
        <v>7412</v>
      </c>
      <c r="C1946" s="5" t="s">
        <v>7722</v>
      </c>
      <c r="D1946" s="5" t="s">
        <v>7723</v>
      </c>
      <c r="E1946" s="6">
        <v>2020</v>
      </c>
      <c r="F1946" s="6">
        <v>2020</v>
      </c>
      <c r="G1946" s="5" t="s">
        <v>3359</v>
      </c>
      <c r="H1946" s="5">
        <v>200</v>
      </c>
      <c r="I1946" s="5">
        <v>200</v>
      </c>
      <c r="J1946" s="5"/>
      <c r="K1946" s="5"/>
      <c r="L1946" s="10">
        <v>20201118</v>
      </c>
      <c r="M1946" s="36" t="str">
        <f t="shared" si="30"/>
        <v>19661020</v>
      </c>
    </row>
    <row r="1947" s="1" customFormat="1" spans="1:13">
      <c r="A1947" s="2">
        <v>5875</v>
      </c>
      <c r="B1947" s="30" t="s">
        <v>11090</v>
      </c>
      <c r="C1947" s="30" t="s">
        <v>11807</v>
      </c>
      <c r="D1947" s="30" t="s">
        <v>11808</v>
      </c>
      <c r="E1947" s="5" t="s">
        <v>15</v>
      </c>
      <c r="F1947" s="5" t="s">
        <v>10250</v>
      </c>
      <c r="G1947" s="6" t="s">
        <v>16</v>
      </c>
      <c r="H1947" s="32">
        <v>200</v>
      </c>
      <c r="I1947" s="32">
        <v>200</v>
      </c>
      <c r="J1947" s="6"/>
      <c r="K1947" s="48"/>
      <c r="L1947" s="10">
        <v>20201118</v>
      </c>
      <c r="M1947" s="36" t="str">
        <f t="shared" si="30"/>
        <v>19661020</v>
      </c>
    </row>
    <row r="1948" s="1" customFormat="1" spans="1:13">
      <c r="A1948" s="2">
        <v>8029</v>
      </c>
      <c r="B1948" s="5" t="s">
        <v>15086</v>
      </c>
      <c r="C1948" s="6" t="s">
        <v>15306</v>
      </c>
      <c r="D1948" s="6" t="str">
        <f>"152324196610228010"</f>
        <v>152324196610228010</v>
      </c>
      <c r="E1948" s="5" t="s">
        <v>15</v>
      </c>
      <c r="F1948" s="5">
        <v>2020</v>
      </c>
      <c r="G1948" s="5" t="s">
        <v>16</v>
      </c>
      <c r="H1948" s="5">
        <v>200</v>
      </c>
      <c r="I1948" s="5">
        <v>200</v>
      </c>
      <c r="J1948" s="5"/>
      <c r="K1948" s="5"/>
      <c r="L1948" s="10">
        <v>20201118</v>
      </c>
      <c r="M1948" s="36" t="str">
        <f t="shared" si="30"/>
        <v>19661022</v>
      </c>
    </row>
    <row r="1949" s="1" customFormat="1" spans="1:13">
      <c r="A1949" s="2">
        <v>4583</v>
      </c>
      <c r="B1949" s="6" t="s">
        <v>9015</v>
      </c>
      <c r="C1949" s="6" t="s">
        <v>9343</v>
      </c>
      <c r="D1949" s="6" t="s">
        <v>9344</v>
      </c>
      <c r="E1949" s="6">
        <v>2020</v>
      </c>
      <c r="F1949" s="6">
        <v>2020</v>
      </c>
      <c r="G1949" s="6" t="s">
        <v>16</v>
      </c>
      <c r="H1949" s="6">
        <v>200</v>
      </c>
      <c r="I1949" s="6">
        <v>200</v>
      </c>
      <c r="J1949" s="6"/>
      <c r="K1949" s="6"/>
      <c r="L1949" s="10">
        <v>20201118</v>
      </c>
      <c r="M1949" s="36" t="str">
        <f t="shared" si="30"/>
        <v>19661024</v>
      </c>
    </row>
    <row r="1950" s="1" customFormat="1" spans="1:13">
      <c r="A1950" s="2">
        <v>7002</v>
      </c>
      <c r="B1950" s="5" t="s">
        <v>13533</v>
      </c>
      <c r="C1950" s="32" t="s">
        <v>13750</v>
      </c>
      <c r="D1950" s="32" t="str">
        <f>"152326196610257121"</f>
        <v>152326196610257121</v>
      </c>
      <c r="E1950" s="5">
        <v>2020</v>
      </c>
      <c r="F1950" s="5">
        <v>2020</v>
      </c>
      <c r="G1950" s="9" t="s">
        <v>2480</v>
      </c>
      <c r="H1950" s="32">
        <v>200</v>
      </c>
      <c r="I1950" s="32">
        <v>200</v>
      </c>
      <c r="J1950" s="32"/>
      <c r="K1950" s="10"/>
      <c r="L1950" s="10">
        <v>20201118</v>
      </c>
      <c r="M1950" s="36" t="str">
        <f t="shared" si="30"/>
        <v>19661025</v>
      </c>
    </row>
    <row r="1951" s="1" customFormat="1" ht="14.25" spans="1:13">
      <c r="A1951" s="2">
        <v>7768</v>
      </c>
      <c r="B1951" s="5" t="s">
        <v>14875</v>
      </c>
      <c r="C1951" s="51" t="s">
        <v>5062</v>
      </c>
      <c r="D1951" s="24" t="str">
        <f>"152326196610257113"</f>
        <v>152326196610257113</v>
      </c>
      <c r="E1951" s="6" t="s">
        <v>15</v>
      </c>
      <c r="F1951" s="6">
        <v>2020</v>
      </c>
      <c r="G1951" s="24" t="s">
        <v>14877</v>
      </c>
      <c r="H1951" s="6">
        <v>200</v>
      </c>
      <c r="I1951" s="6">
        <v>200</v>
      </c>
      <c r="J1951" s="6"/>
      <c r="K1951" s="10"/>
      <c r="L1951" s="10">
        <v>20201118</v>
      </c>
      <c r="M1951" s="36" t="str">
        <f t="shared" si="30"/>
        <v>19661025</v>
      </c>
    </row>
    <row r="1952" s="1" customFormat="1" spans="1:13">
      <c r="A1952" s="2">
        <v>1532</v>
      </c>
      <c r="B1952" s="5" t="s">
        <v>3381</v>
      </c>
      <c r="C1952" s="9" t="s">
        <v>3631</v>
      </c>
      <c r="D1952" s="9" t="s">
        <v>3632</v>
      </c>
      <c r="E1952" s="5">
        <v>2020</v>
      </c>
      <c r="F1952" s="5">
        <v>2020</v>
      </c>
      <c r="G1952" s="14" t="s">
        <v>16</v>
      </c>
      <c r="H1952" s="6">
        <v>200</v>
      </c>
      <c r="I1952" s="6">
        <v>200</v>
      </c>
      <c r="J1952" s="5"/>
      <c r="K1952" s="13"/>
      <c r="L1952" s="10">
        <v>20201118</v>
      </c>
      <c r="M1952" s="36" t="str">
        <f t="shared" si="30"/>
        <v>19661028</v>
      </c>
    </row>
    <row r="1953" s="1" customFormat="1" spans="1:13">
      <c r="A1953" s="2">
        <v>4219</v>
      </c>
      <c r="B1953" s="9" t="s">
        <v>8515</v>
      </c>
      <c r="C1953" s="9" t="s">
        <v>8641</v>
      </c>
      <c r="D1953" s="9" t="s">
        <v>8642</v>
      </c>
      <c r="E1953" s="5" t="s">
        <v>15</v>
      </c>
      <c r="F1953" s="5">
        <v>2020</v>
      </c>
      <c r="G1953" s="9" t="s">
        <v>2480</v>
      </c>
      <c r="H1953" s="9">
        <v>200</v>
      </c>
      <c r="I1953" s="9">
        <v>200</v>
      </c>
      <c r="J1953" s="9"/>
      <c r="K1953" s="9"/>
      <c r="L1953" s="10">
        <v>20201118</v>
      </c>
      <c r="M1953" s="36" t="str">
        <f t="shared" si="30"/>
        <v>19661028</v>
      </c>
    </row>
    <row r="1954" s="1" customFormat="1" spans="1:13">
      <c r="A1954" s="2">
        <v>4709</v>
      </c>
      <c r="B1954" s="6" t="s">
        <v>9015</v>
      </c>
      <c r="C1954" s="6" t="s">
        <v>9578</v>
      </c>
      <c r="D1954" s="6" t="s">
        <v>9579</v>
      </c>
      <c r="E1954" s="6">
        <v>2020</v>
      </c>
      <c r="F1954" s="6">
        <v>2020</v>
      </c>
      <c r="G1954" s="6" t="s">
        <v>16</v>
      </c>
      <c r="H1954" s="6">
        <v>200</v>
      </c>
      <c r="I1954" s="6">
        <v>200</v>
      </c>
      <c r="J1954" s="6" t="s">
        <v>3405</v>
      </c>
      <c r="K1954" s="6"/>
      <c r="L1954" s="10">
        <v>20201118</v>
      </c>
      <c r="M1954" s="36" t="str">
        <f t="shared" si="30"/>
        <v>19661028</v>
      </c>
    </row>
    <row r="1955" s="1" customFormat="1" spans="1:13">
      <c r="A1955" s="2">
        <v>6575</v>
      </c>
      <c r="B1955" s="5" t="s">
        <v>13027</v>
      </c>
      <c r="C1955" s="15" t="s">
        <v>13141</v>
      </c>
      <c r="D1955" s="15" t="s">
        <v>13142</v>
      </c>
      <c r="E1955" s="5">
        <v>2020</v>
      </c>
      <c r="F1955" s="5">
        <v>2020</v>
      </c>
      <c r="G1955" s="14" t="s">
        <v>16</v>
      </c>
      <c r="H1955" s="15">
        <v>200</v>
      </c>
      <c r="I1955" s="15">
        <v>200</v>
      </c>
      <c r="J1955" s="5"/>
      <c r="K1955" s="10"/>
      <c r="L1955" s="10">
        <v>20201118</v>
      </c>
      <c r="M1955" s="36" t="str">
        <f t="shared" si="30"/>
        <v>19661028</v>
      </c>
    </row>
    <row r="1956" s="1" customFormat="1" spans="1:13">
      <c r="A1956" s="2">
        <v>6998</v>
      </c>
      <c r="B1956" s="5" t="s">
        <v>13533</v>
      </c>
      <c r="C1956" s="32" t="s">
        <v>13745</v>
      </c>
      <c r="D1956" s="32" t="s">
        <v>13746</v>
      </c>
      <c r="E1956" s="5">
        <v>2020</v>
      </c>
      <c r="F1956" s="5">
        <v>2020</v>
      </c>
      <c r="G1956" s="9" t="s">
        <v>2480</v>
      </c>
      <c r="H1956" s="32">
        <v>200</v>
      </c>
      <c r="I1956" s="32">
        <v>200</v>
      </c>
      <c r="J1956" s="32"/>
      <c r="K1956" s="10"/>
      <c r="L1956" s="10">
        <v>20201118</v>
      </c>
      <c r="M1956" s="36" t="str">
        <f t="shared" si="30"/>
        <v>19661028</v>
      </c>
    </row>
    <row r="1957" s="1" customFormat="1" spans="1:13">
      <c r="A1957" s="2">
        <v>6999</v>
      </c>
      <c r="B1957" s="5" t="s">
        <v>13533</v>
      </c>
      <c r="C1957" s="32" t="s">
        <v>13747</v>
      </c>
      <c r="D1957" s="32" t="str">
        <f>"152326196610287144"</f>
        <v>152326196610287144</v>
      </c>
      <c r="E1957" s="5">
        <v>2020</v>
      </c>
      <c r="F1957" s="5">
        <v>2020</v>
      </c>
      <c r="G1957" s="9" t="s">
        <v>2480</v>
      </c>
      <c r="H1957" s="32">
        <v>200</v>
      </c>
      <c r="I1957" s="32">
        <v>200</v>
      </c>
      <c r="J1957" s="62"/>
      <c r="K1957" s="10"/>
      <c r="L1957" s="10">
        <v>20201118</v>
      </c>
      <c r="M1957" s="36" t="str">
        <f t="shared" si="30"/>
        <v>19661028</v>
      </c>
    </row>
    <row r="1958" s="1" customFormat="1" spans="1:13">
      <c r="A1958" s="2">
        <v>1533</v>
      </c>
      <c r="B1958" s="5" t="s">
        <v>3381</v>
      </c>
      <c r="C1958" s="9" t="s">
        <v>1526</v>
      </c>
      <c r="D1958" s="9" t="s">
        <v>3633</v>
      </c>
      <c r="E1958" s="5">
        <v>2020</v>
      </c>
      <c r="F1958" s="5">
        <v>2020</v>
      </c>
      <c r="G1958" s="14" t="s">
        <v>16</v>
      </c>
      <c r="H1958" s="6">
        <v>200</v>
      </c>
      <c r="I1958" s="6">
        <v>200</v>
      </c>
      <c r="J1958" s="5"/>
      <c r="K1958" s="13"/>
      <c r="L1958" s="10">
        <v>20201118</v>
      </c>
      <c r="M1958" s="36" t="str">
        <f t="shared" si="30"/>
        <v>19661030</v>
      </c>
    </row>
    <row r="1959" s="1" customFormat="1" ht="14.25" spans="1:13">
      <c r="A1959" s="2">
        <v>3028</v>
      </c>
      <c r="B1959" s="6" t="s">
        <v>6075</v>
      </c>
      <c r="C1959" s="25" t="s">
        <v>6579</v>
      </c>
      <c r="D1959" s="26" t="s">
        <v>6580</v>
      </c>
      <c r="E1959" s="5" t="s">
        <v>15</v>
      </c>
      <c r="F1959" s="5">
        <v>2020</v>
      </c>
      <c r="G1959" s="6" t="s">
        <v>16</v>
      </c>
      <c r="H1959" s="6">
        <v>200</v>
      </c>
      <c r="I1959" s="6">
        <v>200</v>
      </c>
      <c r="J1959" s="6" t="s">
        <v>6097</v>
      </c>
      <c r="K1959" s="10"/>
      <c r="L1959" s="10">
        <v>20201118</v>
      </c>
      <c r="M1959" s="36" t="str">
        <f t="shared" si="30"/>
        <v>19661107</v>
      </c>
    </row>
    <row r="1960" s="1" customFormat="1" spans="1:13">
      <c r="A1960" s="2">
        <v>6248</v>
      </c>
      <c r="B1960" s="5" t="s">
        <v>12263</v>
      </c>
      <c r="C1960" s="5" t="s">
        <v>12518</v>
      </c>
      <c r="D1960" s="5" t="s">
        <v>12519</v>
      </c>
      <c r="E1960" s="5" t="s">
        <v>10250</v>
      </c>
      <c r="F1960" s="5">
        <v>2020</v>
      </c>
      <c r="G1960" s="17" t="s">
        <v>3359</v>
      </c>
      <c r="H1960" s="5">
        <v>200</v>
      </c>
      <c r="I1960" s="5">
        <v>200</v>
      </c>
      <c r="J1960" s="5"/>
      <c r="K1960" s="5"/>
      <c r="L1960" s="10">
        <v>20201118</v>
      </c>
      <c r="M1960" s="36" t="str">
        <f t="shared" si="30"/>
        <v>19661109</v>
      </c>
    </row>
    <row r="1961" s="1" customFormat="1" spans="1:13">
      <c r="A1961" s="2">
        <v>4462</v>
      </c>
      <c r="B1961" s="6" t="s">
        <v>9015</v>
      </c>
      <c r="C1961" s="6" t="s">
        <v>9109</v>
      </c>
      <c r="D1961" s="6" t="s">
        <v>9110</v>
      </c>
      <c r="E1961" s="6">
        <v>2020</v>
      </c>
      <c r="F1961" s="6">
        <v>2020</v>
      </c>
      <c r="G1961" s="6" t="s">
        <v>16</v>
      </c>
      <c r="H1961" s="6">
        <v>200</v>
      </c>
      <c r="I1961" s="6">
        <v>200</v>
      </c>
      <c r="J1961" s="6"/>
      <c r="K1961" s="6"/>
      <c r="L1961" s="10">
        <v>20201118</v>
      </c>
      <c r="M1961" s="36" t="str">
        <f t="shared" si="30"/>
        <v>19661110</v>
      </c>
    </row>
    <row r="1962" s="1" customFormat="1" spans="1:13">
      <c r="A1962" s="2">
        <v>6576</v>
      </c>
      <c r="B1962" s="5" t="s">
        <v>13027</v>
      </c>
      <c r="C1962" s="15" t="s">
        <v>13143</v>
      </c>
      <c r="D1962" s="15" t="s">
        <v>13144</v>
      </c>
      <c r="E1962" s="5">
        <v>2020</v>
      </c>
      <c r="F1962" s="5">
        <v>2020</v>
      </c>
      <c r="G1962" s="14" t="s">
        <v>16</v>
      </c>
      <c r="H1962" s="15">
        <v>200</v>
      </c>
      <c r="I1962" s="15">
        <v>200</v>
      </c>
      <c r="J1962" s="5"/>
      <c r="K1962" s="10"/>
      <c r="L1962" s="10">
        <v>20201118</v>
      </c>
      <c r="M1962" s="36" t="str">
        <f t="shared" si="30"/>
        <v>19661110</v>
      </c>
    </row>
    <row r="1963" s="1" customFormat="1" spans="1:13">
      <c r="A1963" s="2">
        <v>1534</v>
      </c>
      <c r="B1963" s="5" t="s">
        <v>3381</v>
      </c>
      <c r="C1963" s="9" t="s">
        <v>3550</v>
      </c>
      <c r="D1963" s="9" t="s">
        <v>3634</v>
      </c>
      <c r="E1963" s="5">
        <v>2020</v>
      </c>
      <c r="F1963" s="5">
        <v>2020</v>
      </c>
      <c r="G1963" s="14" t="s">
        <v>16</v>
      </c>
      <c r="H1963" s="6">
        <v>200</v>
      </c>
      <c r="I1963" s="6">
        <v>200</v>
      </c>
      <c r="J1963" s="5"/>
      <c r="K1963" s="13"/>
      <c r="L1963" s="10">
        <v>20201118</v>
      </c>
      <c r="M1963" s="36" t="str">
        <f t="shared" si="30"/>
        <v>19661112</v>
      </c>
    </row>
    <row r="1964" s="1" customFormat="1" ht="14.25" spans="1:13">
      <c r="A1964" s="2">
        <v>5275</v>
      </c>
      <c r="B1964" s="33" t="s">
        <v>10535</v>
      </c>
      <c r="C1964" s="34" t="s">
        <v>10665</v>
      </c>
      <c r="D1964" s="34" t="s">
        <v>10666</v>
      </c>
      <c r="E1964" s="35">
        <v>2020</v>
      </c>
      <c r="F1964" s="35">
        <v>2020</v>
      </c>
      <c r="G1964" s="35" t="s">
        <v>16</v>
      </c>
      <c r="H1964" s="34">
        <v>200</v>
      </c>
      <c r="I1964" s="34">
        <v>200</v>
      </c>
      <c r="J1964" s="49" t="s">
        <v>10667</v>
      </c>
      <c r="K1964" s="10"/>
      <c r="L1964" s="10">
        <v>20201118</v>
      </c>
      <c r="M1964" s="36" t="str">
        <f t="shared" si="30"/>
        <v>19661112</v>
      </c>
    </row>
    <row r="1965" s="1" customFormat="1" spans="1:13">
      <c r="A1965" s="2">
        <v>6995</v>
      </c>
      <c r="B1965" s="5" t="s">
        <v>13533</v>
      </c>
      <c r="C1965" s="32" t="s">
        <v>13742</v>
      </c>
      <c r="D1965" s="32" t="str">
        <f>"152326196611127134"</f>
        <v>152326196611127134</v>
      </c>
      <c r="E1965" s="5">
        <v>2020</v>
      </c>
      <c r="F1965" s="5">
        <v>2020</v>
      </c>
      <c r="G1965" s="9" t="s">
        <v>2480</v>
      </c>
      <c r="H1965" s="32">
        <v>200</v>
      </c>
      <c r="I1965" s="32">
        <v>200</v>
      </c>
      <c r="J1965" s="32"/>
      <c r="K1965" s="10"/>
      <c r="L1965" s="10">
        <v>20201118</v>
      </c>
      <c r="M1965" s="36" t="str">
        <f t="shared" si="30"/>
        <v>19661112</v>
      </c>
    </row>
    <row r="1966" s="1" customFormat="1" spans="1:13">
      <c r="A1966" s="2">
        <v>2583</v>
      </c>
      <c r="B1966" s="32" t="s">
        <v>5602</v>
      </c>
      <c r="C1966" s="9" t="s">
        <v>5701</v>
      </c>
      <c r="D1966" s="9" t="s">
        <v>5702</v>
      </c>
      <c r="E1966" s="32">
        <v>2020</v>
      </c>
      <c r="F1966" s="32">
        <v>2020</v>
      </c>
      <c r="G1966" s="32" t="s">
        <v>16</v>
      </c>
      <c r="H1966" s="9">
        <v>200</v>
      </c>
      <c r="I1966" s="9">
        <v>200</v>
      </c>
      <c r="J1966" s="32"/>
      <c r="K1966" s="52"/>
      <c r="L1966" s="10">
        <v>20201118</v>
      </c>
      <c r="M1966" s="36" t="str">
        <f t="shared" si="30"/>
        <v>19661113</v>
      </c>
    </row>
    <row r="1967" s="1" customFormat="1" spans="1:13">
      <c r="A1967" s="2">
        <v>1012</v>
      </c>
      <c r="B1967" s="5" t="s">
        <v>2469</v>
      </c>
      <c r="C1967" s="9" t="s">
        <v>2615</v>
      </c>
      <c r="D1967" s="9" t="s">
        <v>2616</v>
      </c>
      <c r="E1967" s="5">
        <v>2020</v>
      </c>
      <c r="F1967" s="5">
        <v>2020</v>
      </c>
      <c r="G1967" s="9" t="s">
        <v>2480</v>
      </c>
      <c r="H1967" s="9">
        <v>200</v>
      </c>
      <c r="I1967" s="9">
        <v>200</v>
      </c>
      <c r="J1967" s="5"/>
      <c r="K1967" s="5"/>
      <c r="L1967" s="10">
        <v>20201118</v>
      </c>
      <c r="M1967" s="36" t="str">
        <f t="shared" si="30"/>
        <v>19661114</v>
      </c>
    </row>
    <row r="1968" s="1" customFormat="1" spans="1:13">
      <c r="A1968" s="2">
        <v>4725</v>
      </c>
      <c r="B1968" s="6" t="s">
        <v>9015</v>
      </c>
      <c r="C1968" s="6" t="s">
        <v>9607</v>
      </c>
      <c r="D1968" s="6" t="s">
        <v>9608</v>
      </c>
      <c r="E1968" s="6">
        <v>2020</v>
      </c>
      <c r="F1968" s="6">
        <v>2020</v>
      </c>
      <c r="G1968" s="6" t="s">
        <v>16</v>
      </c>
      <c r="H1968" s="6">
        <v>3000</v>
      </c>
      <c r="I1968" s="6">
        <v>3000</v>
      </c>
      <c r="J1968" s="6"/>
      <c r="K1968" s="6"/>
      <c r="L1968" s="10">
        <v>20201118</v>
      </c>
      <c r="M1968" s="36" t="str">
        <f t="shared" si="30"/>
        <v>19661115</v>
      </c>
    </row>
    <row r="1969" s="1" customFormat="1" spans="1:13">
      <c r="A1969" s="2">
        <v>6577</v>
      </c>
      <c r="B1969" s="5" t="s">
        <v>13027</v>
      </c>
      <c r="C1969" s="15" t="s">
        <v>13145</v>
      </c>
      <c r="D1969" s="15" t="s">
        <v>13146</v>
      </c>
      <c r="E1969" s="5">
        <v>2020</v>
      </c>
      <c r="F1969" s="5">
        <v>2020</v>
      </c>
      <c r="G1969" s="14" t="s">
        <v>16</v>
      </c>
      <c r="H1969" s="15">
        <v>200</v>
      </c>
      <c r="I1969" s="15">
        <v>200</v>
      </c>
      <c r="J1969" s="5"/>
      <c r="K1969" s="10"/>
      <c r="L1969" s="10">
        <v>20201118</v>
      </c>
      <c r="M1969" s="36" t="str">
        <f t="shared" si="30"/>
        <v>19661115</v>
      </c>
    </row>
    <row r="1970" s="1" customFormat="1" spans="1:13">
      <c r="A1970" s="2">
        <v>6170</v>
      </c>
      <c r="B1970" s="5" t="s">
        <v>12263</v>
      </c>
      <c r="C1970" s="5" t="s">
        <v>12371</v>
      </c>
      <c r="D1970" s="5" t="s">
        <v>12372</v>
      </c>
      <c r="E1970" s="5" t="s">
        <v>10250</v>
      </c>
      <c r="F1970" s="5">
        <v>2020</v>
      </c>
      <c r="G1970" s="17" t="s">
        <v>3359</v>
      </c>
      <c r="H1970" s="5">
        <v>200</v>
      </c>
      <c r="I1970" s="5">
        <v>200</v>
      </c>
      <c r="J1970" s="5"/>
      <c r="K1970" s="5"/>
      <c r="L1970" s="10">
        <v>20201118</v>
      </c>
      <c r="M1970" s="36" t="str">
        <f t="shared" si="30"/>
        <v>19661117</v>
      </c>
    </row>
    <row r="1971" s="1" customFormat="1" ht="14.25" spans="1:13">
      <c r="A1971" s="2">
        <v>7767</v>
      </c>
      <c r="B1971" s="5" t="s">
        <v>14875</v>
      </c>
      <c r="C1971" s="51" t="s">
        <v>15014</v>
      </c>
      <c r="D1971" s="24" t="str">
        <f>"152326196611237114"</f>
        <v>152326196611237114</v>
      </c>
      <c r="E1971" s="6" t="s">
        <v>15</v>
      </c>
      <c r="F1971" s="6">
        <v>2020</v>
      </c>
      <c r="G1971" s="24" t="s">
        <v>14877</v>
      </c>
      <c r="H1971" s="6">
        <v>200</v>
      </c>
      <c r="I1971" s="6">
        <v>200</v>
      </c>
      <c r="J1971" s="6"/>
      <c r="K1971" s="10"/>
      <c r="L1971" s="10">
        <v>20201118</v>
      </c>
      <c r="M1971" s="36" t="str">
        <f t="shared" si="30"/>
        <v>19661123</v>
      </c>
    </row>
    <row r="1972" s="1" customFormat="1" spans="1:13">
      <c r="A1972" s="2">
        <v>3447</v>
      </c>
      <c r="B1972" s="5" t="s">
        <v>3375</v>
      </c>
      <c r="C1972" s="6" t="s">
        <v>7224</v>
      </c>
      <c r="D1972" s="6" t="str">
        <f>"152326196611266871"</f>
        <v>152326196611266871</v>
      </c>
      <c r="E1972" s="5" t="s">
        <v>15</v>
      </c>
      <c r="F1972" s="5">
        <v>2020</v>
      </c>
      <c r="G1972" s="14" t="s">
        <v>16</v>
      </c>
      <c r="H1972" s="17">
        <v>200</v>
      </c>
      <c r="I1972" s="17">
        <v>200</v>
      </c>
      <c r="J1972" s="6"/>
      <c r="K1972" s="10"/>
      <c r="L1972" s="10">
        <v>20201118</v>
      </c>
      <c r="M1972" s="36" t="str">
        <f t="shared" si="30"/>
        <v>19661126</v>
      </c>
    </row>
    <row r="1973" s="1" customFormat="1" spans="1:13">
      <c r="A1973" s="2">
        <v>5021</v>
      </c>
      <c r="B1973" s="6" t="s">
        <v>9954</v>
      </c>
      <c r="C1973" s="60" t="s">
        <v>4841</v>
      </c>
      <c r="D1973" s="60" t="s">
        <v>10177</v>
      </c>
      <c r="E1973" s="5" t="s">
        <v>15</v>
      </c>
      <c r="F1973" s="5" t="s">
        <v>15</v>
      </c>
      <c r="G1973" s="14" t="s">
        <v>16</v>
      </c>
      <c r="H1973" s="6">
        <v>200</v>
      </c>
      <c r="I1973" s="6">
        <v>200</v>
      </c>
      <c r="J1973" s="6" t="s">
        <v>768</v>
      </c>
      <c r="K1973" s="6"/>
      <c r="L1973" s="10">
        <v>20201118</v>
      </c>
      <c r="M1973" s="36" t="str">
        <f t="shared" si="30"/>
        <v>19661127</v>
      </c>
    </row>
    <row r="1974" s="1" customFormat="1" ht="14.25" spans="1:13">
      <c r="A1974" s="2">
        <v>7766</v>
      </c>
      <c r="B1974" s="5" t="s">
        <v>14875</v>
      </c>
      <c r="C1974" s="51" t="s">
        <v>15013</v>
      </c>
      <c r="D1974" s="24" t="str">
        <f>"152326196611277140"</f>
        <v>152326196611277140</v>
      </c>
      <c r="E1974" s="6" t="s">
        <v>15</v>
      </c>
      <c r="F1974" s="6">
        <v>2020</v>
      </c>
      <c r="G1974" s="24" t="s">
        <v>14877</v>
      </c>
      <c r="H1974" s="6">
        <v>200</v>
      </c>
      <c r="I1974" s="6">
        <v>200</v>
      </c>
      <c r="J1974" s="6"/>
      <c r="K1974" s="10"/>
      <c r="L1974" s="10">
        <v>20201118</v>
      </c>
      <c r="M1974" s="36" t="str">
        <f t="shared" si="30"/>
        <v>19661127</v>
      </c>
    </row>
    <row r="1975" s="1" customFormat="1" ht="14.25" spans="1:13">
      <c r="A1975" s="2">
        <v>7769</v>
      </c>
      <c r="B1975" s="5" t="s">
        <v>14875</v>
      </c>
      <c r="C1975" s="51" t="s">
        <v>15015</v>
      </c>
      <c r="D1975" s="24" t="str">
        <f>"152326196611277124"</f>
        <v>152326196611277124</v>
      </c>
      <c r="E1975" s="6" t="s">
        <v>15</v>
      </c>
      <c r="F1975" s="6">
        <v>2020</v>
      </c>
      <c r="G1975" s="24" t="s">
        <v>14877</v>
      </c>
      <c r="H1975" s="6">
        <v>200</v>
      </c>
      <c r="I1975" s="6">
        <v>200</v>
      </c>
      <c r="J1975" s="6"/>
      <c r="K1975" s="10"/>
      <c r="L1975" s="10">
        <v>20201118</v>
      </c>
      <c r="M1975" s="36" t="str">
        <f t="shared" si="30"/>
        <v>19661127</v>
      </c>
    </row>
    <row r="1976" s="1" customFormat="1" spans="1:13">
      <c r="A1976" s="2">
        <v>6336</v>
      </c>
      <c r="B1976" s="5" t="s">
        <v>12263</v>
      </c>
      <c r="C1976" s="5" t="s">
        <v>12688</v>
      </c>
      <c r="D1976" s="5" t="s">
        <v>12689</v>
      </c>
      <c r="E1976" s="5" t="s">
        <v>10250</v>
      </c>
      <c r="F1976" s="5">
        <v>2020</v>
      </c>
      <c r="G1976" s="17" t="s">
        <v>3359</v>
      </c>
      <c r="H1976" s="5" t="s">
        <v>311</v>
      </c>
      <c r="I1976" s="5">
        <v>200</v>
      </c>
      <c r="J1976" s="5"/>
      <c r="K1976" s="5"/>
      <c r="L1976" s="10">
        <v>20201118</v>
      </c>
      <c r="M1976" s="36" t="str">
        <f t="shared" si="30"/>
        <v>19661129</v>
      </c>
    </row>
    <row r="1977" s="1" customFormat="1" spans="1:13">
      <c r="A1977" s="2">
        <v>119</v>
      </c>
      <c r="B1977" s="3" t="s">
        <v>12</v>
      </c>
      <c r="C1977" s="6" t="s">
        <v>254</v>
      </c>
      <c r="D1977" s="6" t="s">
        <v>255</v>
      </c>
      <c r="E1977" s="3" t="s">
        <v>15</v>
      </c>
      <c r="F1977" s="3" t="s">
        <v>15</v>
      </c>
      <c r="G1977" s="3" t="s">
        <v>189</v>
      </c>
      <c r="H1977" s="3">
        <v>500</v>
      </c>
      <c r="I1977" s="3">
        <v>500</v>
      </c>
      <c r="J1977" s="3"/>
      <c r="K1977" s="3"/>
      <c r="L1977" s="10">
        <v>20201118</v>
      </c>
      <c r="M1977" s="36" t="str">
        <f t="shared" si="30"/>
        <v>19661206</v>
      </c>
    </row>
    <row r="1978" s="1" customFormat="1" spans="1:13">
      <c r="A1978" s="2">
        <v>7261</v>
      </c>
      <c r="B1978" s="5" t="s">
        <v>13908</v>
      </c>
      <c r="C1978" s="5" t="s">
        <v>14164</v>
      </c>
      <c r="D1978" s="5" t="s">
        <v>14165</v>
      </c>
      <c r="E1978" s="5" t="s">
        <v>15</v>
      </c>
      <c r="F1978" s="5" t="s">
        <v>15</v>
      </c>
      <c r="G1978" s="14" t="s">
        <v>16</v>
      </c>
      <c r="H1978" s="17">
        <v>200</v>
      </c>
      <c r="I1978" s="17">
        <v>200</v>
      </c>
      <c r="J1978" s="5"/>
      <c r="K1978" s="10"/>
      <c r="L1978" s="10">
        <v>20201118</v>
      </c>
      <c r="M1978" s="36" t="str">
        <f t="shared" si="30"/>
        <v>19661206</v>
      </c>
    </row>
    <row r="1979" s="1" customFormat="1" spans="1:13">
      <c r="A1979" s="2">
        <v>477</v>
      </c>
      <c r="B1979" s="29" t="s">
        <v>1040</v>
      </c>
      <c r="C1979" s="29" t="s">
        <v>1230</v>
      </c>
      <c r="D1979" s="29" t="s">
        <v>1231</v>
      </c>
      <c r="E1979" s="30">
        <v>2020</v>
      </c>
      <c r="F1979" s="30">
        <v>2020</v>
      </c>
      <c r="G1979" s="29" t="s">
        <v>16</v>
      </c>
      <c r="H1979" s="29">
        <v>200</v>
      </c>
      <c r="I1979" s="29">
        <v>200</v>
      </c>
      <c r="J1979" s="29"/>
      <c r="K1979" s="47"/>
      <c r="L1979" s="14" t="s">
        <v>330</v>
      </c>
      <c r="M1979" s="36" t="str">
        <f t="shared" si="30"/>
        <v>19661207</v>
      </c>
    </row>
    <row r="1980" s="1" customFormat="1" ht="14.25" spans="1:13">
      <c r="A1980" s="2">
        <v>5276</v>
      </c>
      <c r="B1980" s="33" t="s">
        <v>10535</v>
      </c>
      <c r="C1980" s="34" t="s">
        <v>10668</v>
      </c>
      <c r="D1980" s="34" t="s">
        <v>10669</v>
      </c>
      <c r="E1980" s="35">
        <v>2020</v>
      </c>
      <c r="F1980" s="35">
        <v>2020</v>
      </c>
      <c r="G1980" s="35" t="s">
        <v>16</v>
      </c>
      <c r="H1980" s="34">
        <v>200</v>
      </c>
      <c r="I1980" s="34">
        <v>200</v>
      </c>
      <c r="J1980" s="49"/>
      <c r="K1980" s="10"/>
      <c r="L1980" s="10">
        <v>20201118</v>
      </c>
      <c r="M1980" s="36" t="str">
        <f t="shared" si="30"/>
        <v>19661207</v>
      </c>
    </row>
    <row r="1981" s="1" customFormat="1" spans="1:13">
      <c r="A1981" s="2">
        <v>748</v>
      </c>
      <c r="B1981" s="29" t="s">
        <v>1040</v>
      </c>
      <c r="C1981" s="5" t="s">
        <v>1894</v>
      </c>
      <c r="D1981" s="5" t="s">
        <v>1895</v>
      </c>
      <c r="E1981" s="30">
        <v>2020</v>
      </c>
      <c r="F1981" s="30">
        <v>2020</v>
      </c>
      <c r="G1981" s="29" t="s">
        <v>16</v>
      </c>
      <c r="H1981" s="29">
        <v>200</v>
      </c>
      <c r="I1981" s="29">
        <v>200</v>
      </c>
      <c r="J1981" s="32"/>
      <c r="K1981" s="32"/>
      <c r="L1981" s="2" t="s">
        <v>330</v>
      </c>
      <c r="M1981" s="36" t="str">
        <f t="shared" si="30"/>
        <v>19661209</v>
      </c>
    </row>
    <row r="1982" s="1" customFormat="1" spans="1:13">
      <c r="A1982" s="2">
        <v>4415</v>
      </c>
      <c r="B1982" s="6" t="s">
        <v>9015</v>
      </c>
      <c r="C1982" s="6" t="s">
        <v>9020</v>
      </c>
      <c r="D1982" s="6" t="s">
        <v>9021</v>
      </c>
      <c r="E1982" s="6">
        <v>2020</v>
      </c>
      <c r="F1982" s="6">
        <v>2020</v>
      </c>
      <c r="G1982" s="6" t="s">
        <v>16</v>
      </c>
      <c r="H1982" s="6">
        <v>200</v>
      </c>
      <c r="I1982" s="6">
        <v>200</v>
      </c>
      <c r="J1982" s="6"/>
      <c r="K1982" s="6"/>
      <c r="L1982" s="10">
        <v>20201118</v>
      </c>
      <c r="M1982" s="36" t="str">
        <f t="shared" si="30"/>
        <v>19661210</v>
      </c>
    </row>
    <row r="1983" s="1" customFormat="1" spans="1:13">
      <c r="A1983" s="2">
        <v>6145</v>
      </c>
      <c r="B1983" s="5" t="s">
        <v>12263</v>
      </c>
      <c r="C1983" s="5" t="s">
        <v>12324</v>
      </c>
      <c r="D1983" s="5" t="s">
        <v>12325</v>
      </c>
      <c r="E1983" s="5" t="s">
        <v>10250</v>
      </c>
      <c r="F1983" s="5">
        <v>2020</v>
      </c>
      <c r="G1983" s="17" t="s">
        <v>3359</v>
      </c>
      <c r="H1983" s="5">
        <v>200</v>
      </c>
      <c r="I1983" s="5">
        <v>200</v>
      </c>
      <c r="J1983" s="5" t="s">
        <v>108</v>
      </c>
      <c r="K1983" s="5"/>
      <c r="L1983" s="10">
        <v>20201118</v>
      </c>
      <c r="M1983" s="36" t="str">
        <f t="shared" si="30"/>
        <v>19661210</v>
      </c>
    </row>
    <row r="1984" s="1" customFormat="1" spans="1:13">
      <c r="A1984" s="2">
        <v>3736</v>
      </c>
      <c r="B1984" s="5" t="s">
        <v>7412</v>
      </c>
      <c r="C1984" s="5" t="s">
        <v>7724</v>
      </c>
      <c r="D1984" s="5" t="s">
        <v>7725</v>
      </c>
      <c r="E1984" s="6">
        <v>2020</v>
      </c>
      <c r="F1984" s="6">
        <v>2020</v>
      </c>
      <c r="G1984" s="5" t="s">
        <v>3359</v>
      </c>
      <c r="H1984" s="5">
        <v>300</v>
      </c>
      <c r="I1984" s="5">
        <v>300</v>
      </c>
      <c r="J1984" s="5"/>
      <c r="K1984" s="5"/>
      <c r="L1984" s="10">
        <v>20201118</v>
      </c>
      <c r="M1984" s="36" t="str">
        <f t="shared" si="30"/>
        <v>19661214</v>
      </c>
    </row>
    <row r="1985" s="1" customFormat="1" spans="1:13">
      <c r="A1985" s="2">
        <v>7566</v>
      </c>
      <c r="B1985" s="5" t="s">
        <v>14402</v>
      </c>
      <c r="C1985" s="5" t="s">
        <v>14733</v>
      </c>
      <c r="D1985" s="5" t="s">
        <v>14734</v>
      </c>
      <c r="E1985" s="5">
        <v>2020</v>
      </c>
      <c r="F1985" s="5">
        <v>2020</v>
      </c>
      <c r="G1985" s="17" t="s">
        <v>16</v>
      </c>
      <c r="H1985" s="5">
        <v>200</v>
      </c>
      <c r="I1985" s="5">
        <v>200</v>
      </c>
      <c r="J1985" s="5"/>
      <c r="K1985" s="10"/>
      <c r="L1985" s="10">
        <v>20201118</v>
      </c>
      <c r="M1985" s="36" t="str">
        <f t="shared" si="30"/>
        <v>19661215</v>
      </c>
    </row>
    <row r="1986" s="1" customFormat="1" ht="14.25" spans="1:13">
      <c r="A1986" s="2">
        <v>3025</v>
      </c>
      <c r="B1986" s="6" t="s">
        <v>6075</v>
      </c>
      <c r="C1986" s="25" t="s">
        <v>6573</v>
      </c>
      <c r="D1986" s="26" t="s">
        <v>6574</v>
      </c>
      <c r="E1986" s="5" t="s">
        <v>15</v>
      </c>
      <c r="F1986" s="5">
        <v>2020</v>
      </c>
      <c r="G1986" s="6" t="s">
        <v>16</v>
      </c>
      <c r="H1986" s="6">
        <v>200</v>
      </c>
      <c r="I1986" s="6">
        <v>200</v>
      </c>
      <c r="J1986" s="6"/>
      <c r="K1986" s="10"/>
      <c r="L1986" s="10">
        <v>20201118</v>
      </c>
      <c r="M1986" s="36" t="str">
        <f t="shared" ref="M1986:M2049" si="31">MID(D1986,7,8)</f>
        <v>19661216</v>
      </c>
    </row>
    <row r="1987" s="1" customFormat="1" spans="1:13">
      <c r="A1987" s="2">
        <v>3449</v>
      </c>
      <c r="B1987" s="5" t="s">
        <v>3375</v>
      </c>
      <c r="C1987" s="6" t="s">
        <v>7226</v>
      </c>
      <c r="D1987" s="6" t="str">
        <f>"152326196612176878"</f>
        <v>152326196612176878</v>
      </c>
      <c r="E1987" s="5" t="s">
        <v>15</v>
      </c>
      <c r="F1987" s="5">
        <v>2020</v>
      </c>
      <c r="G1987" s="14" t="s">
        <v>16</v>
      </c>
      <c r="H1987" s="17">
        <v>200</v>
      </c>
      <c r="I1987" s="17">
        <v>200</v>
      </c>
      <c r="J1987" s="6"/>
      <c r="K1987" s="10"/>
      <c r="L1987" s="10">
        <v>20201118</v>
      </c>
      <c r="M1987" s="36" t="str">
        <f t="shared" si="31"/>
        <v>19661217</v>
      </c>
    </row>
    <row r="1988" s="1" customFormat="1" spans="1:13">
      <c r="A1988" s="2">
        <v>6354</v>
      </c>
      <c r="B1988" s="5" t="s">
        <v>12263</v>
      </c>
      <c r="C1988" s="5" t="s">
        <v>12724</v>
      </c>
      <c r="D1988" s="5" t="s">
        <v>12725</v>
      </c>
      <c r="E1988" s="5" t="s">
        <v>10250</v>
      </c>
      <c r="F1988" s="5">
        <v>2020</v>
      </c>
      <c r="G1988" s="17" t="s">
        <v>3359</v>
      </c>
      <c r="H1988" s="5" t="s">
        <v>311</v>
      </c>
      <c r="I1988" s="5">
        <v>200</v>
      </c>
      <c r="J1988" s="5"/>
      <c r="K1988" s="5"/>
      <c r="L1988" s="10">
        <v>20201118</v>
      </c>
      <c r="M1988" s="36" t="str">
        <f t="shared" si="31"/>
        <v>19661219</v>
      </c>
    </row>
    <row r="1989" s="1" customFormat="1" spans="1:13">
      <c r="A1989" s="2">
        <v>6578</v>
      </c>
      <c r="B1989" s="5" t="s">
        <v>13027</v>
      </c>
      <c r="C1989" s="15" t="s">
        <v>13147</v>
      </c>
      <c r="D1989" s="15" t="s">
        <v>13148</v>
      </c>
      <c r="E1989" s="5">
        <v>2020</v>
      </c>
      <c r="F1989" s="5">
        <v>2020</v>
      </c>
      <c r="G1989" s="14" t="s">
        <v>16</v>
      </c>
      <c r="H1989" s="15">
        <v>200</v>
      </c>
      <c r="I1989" s="15">
        <v>200</v>
      </c>
      <c r="J1989" s="5"/>
      <c r="K1989" s="10"/>
      <c r="L1989" s="10">
        <v>20201118</v>
      </c>
      <c r="M1989" s="36" t="str">
        <f t="shared" si="31"/>
        <v>19661219</v>
      </c>
    </row>
    <row r="1990" s="1" customFormat="1" spans="1:13">
      <c r="A1990" s="2">
        <v>4512</v>
      </c>
      <c r="B1990" s="6" t="s">
        <v>9015</v>
      </c>
      <c r="C1990" s="6" t="s">
        <v>9206</v>
      </c>
      <c r="D1990" s="6" t="s">
        <v>9207</v>
      </c>
      <c r="E1990" s="6">
        <v>2020</v>
      </c>
      <c r="F1990" s="6">
        <v>2020</v>
      </c>
      <c r="G1990" s="6" t="s">
        <v>16</v>
      </c>
      <c r="H1990" s="6">
        <v>200</v>
      </c>
      <c r="I1990" s="6">
        <v>200</v>
      </c>
      <c r="J1990" s="6"/>
      <c r="K1990" s="6"/>
      <c r="L1990" s="10">
        <v>20201118</v>
      </c>
      <c r="M1990" s="36" t="str">
        <f t="shared" si="31"/>
        <v>19661220</v>
      </c>
    </row>
    <row r="1991" s="1" customFormat="1" spans="1:13">
      <c r="A1991" s="2">
        <v>5788</v>
      </c>
      <c r="B1991" s="30" t="s">
        <v>11090</v>
      </c>
      <c r="C1991" s="30" t="s">
        <v>11646</v>
      </c>
      <c r="D1991" s="30" t="s">
        <v>11647</v>
      </c>
      <c r="E1991" s="5" t="s">
        <v>15</v>
      </c>
      <c r="F1991" s="5" t="s">
        <v>10250</v>
      </c>
      <c r="G1991" s="6" t="s">
        <v>16</v>
      </c>
      <c r="H1991" s="32">
        <v>200</v>
      </c>
      <c r="I1991" s="32">
        <v>200</v>
      </c>
      <c r="J1991" s="6"/>
      <c r="K1991" s="48"/>
      <c r="L1991" s="10">
        <v>20201118</v>
      </c>
      <c r="M1991" s="36" t="str">
        <f t="shared" si="31"/>
        <v>19661220</v>
      </c>
    </row>
    <row r="1992" s="1" customFormat="1" spans="1:13">
      <c r="A1992" s="2">
        <v>5912</v>
      </c>
      <c r="B1992" s="30" t="s">
        <v>11090</v>
      </c>
      <c r="C1992" s="30" t="s">
        <v>11875</v>
      </c>
      <c r="D1992" s="30" t="s">
        <v>11876</v>
      </c>
      <c r="E1992" s="5" t="s">
        <v>15</v>
      </c>
      <c r="F1992" s="5" t="s">
        <v>10250</v>
      </c>
      <c r="G1992" s="6" t="s">
        <v>16</v>
      </c>
      <c r="H1992" s="32">
        <v>200</v>
      </c>
      <c r="I1992" s="32">
        <v>200</v>
      </c>
      <c r="J1992" s="6"/>
      <c r="K1992" s="48"/>
      <c r="L1992" s="10">
        <v>20201118</v>
      </c>
      <c r="M1992" s="36" t="str">
        <f t="shared" si="31"/>
        <v>19661220</v>
      </c>
    </row>
    <row r="1993" s="1" customFormat="1" ht="14.25" spans="1:13">
      <c r="A1993" s="2">
        <v>7762</v>
      </c>
      <c r="B1993" s="5" t="s">
        <v>14875</v>
      </c>
      <c r="C1993" s="51" t="s">
        <v>15007</v>
      </c>
      <c r="D1993" s="24" t="s">
        <v>15008</v>
      </c>
      <c r="E1993" s="6" t="s">
        <v>15</v>
      </c>
      <c r="F1993" s="6">
        <v>2020</v>
      </c>
      <c r="G1993" s="24" t="s">
        <v>14877</v>
      </c>
      <c r="H1993" s="6">
        <v>200</v>
      </c>
      <c r="I1993" s="6">
        <v>200</v>
      </c>
      <c r="J1993" s="6"/>
      <c r="K1993" s="10"/>
      <c r="L1993" s="10">
        <v>20201118</v>
      </c>
      <c r="M1993" s="36" t="str">
        <f t="shared" si="31"/>
        <v>19661220</v>
      </c>
    </row>
    <row r="1994" s="1" customFormat="1" spans="1:13">
      <c r="A1994" s="2">
        <v>5095</v>
      </c>
      <c r="B1994" s="6" t="s">
        <v>10242</v>
      </c>
      <c r="C1994" s="9" t="s">
        <v>10321</v>
      </c>
      <c r="D1994" s="9" t="s">
        <v>10322</v>
      </c>
      <c r="E1994" s="5" t="s">
        <v>10250</v>
      </c>
      <c r="F1994" s="5">
        <v>2020</v>
      </c>
      <c r="G1994" s="6" t="s">
        <v>16</v>
      </c>
      <c r="H1994" s="6">
        <v>200</v>
      </c>
      <c r="I1994" s="6">
        <v>200</v>
      </c>
      <c r="J1994" s="6"/>
      <c r="K1994" s="5"/>
      <c r="L1994" s="10">
        <v>20201118</v>
      </c>
      <c r="M1994" s="36" t="str">
        <f t="shared" si="31"/>
        <v>19661221</v>
      </c>
    </row>
    <row r="1995" s="1" customFormat="1" spans="1:13">
      <c r="A1995" s="2">
        <v>6988</v>
      </c>
      <c r="B1995" s="5" t="s">
        <v>13533</v>
      </c>
      <c r="C1995" s="32" t="s">
        <v>13736</v>
      </c>
      <c r="D1995" s="32" t="str">
        <f>"152326196612237116"</f>
        <v>152326196612237116</v>
      </c>
      <c r="E1995" s="5">
        <v>2020</v>
      </c>
      <c r="F1995" s="5">
        <v>2020</v>
      </c>
      <c r="G1995" s="9" t="s">
        <v>2480</v>
      </c>
      <c r="H1995" s="32">
        <v>200</v>
      </c>
      <c r="I1995" s="32">
        <v>200</v>
      </c>
      <c r="J1995" s="62"/>
      <c r="K1995" s="10"/>
      <c r="L1995" s="10">
        <v>20201118</v>
      </c>
      <c r="M1995" s="36" t="str">
        <f t="shared" si="31"/>
        <v>19661223</v>
      </c>
    </row>
    <row r="1996" s="1" customFormat="1" spans="1:13">
      <c r="A1996" s="2">
        <v>6203</v>
      </c>
      <c r="B1996" s="5" t="s">
        <v>12263</v>
      </c>
      <c r="C1996" s="5" t="s">
        <v>12434</v>
      </c>
      <c r="D1996" s="5" t="s">
        <v>12435</v>
      </c>
      <c r="E1996" s="5" t="s">
        <v>10250</v>
      </c>
      <c r="F1996" s="5">
        <v>2020</v>
      </c>
      <c r="G1996" s="17" t="s">
        <v>3359</v>
      </c>
      <c r="H1996" s="5">
        <v>200</v>
      </c>
      <c r="I1996" s="5">
        <v>200</v>
      </c>
      <c r="J1996" s="5"/>
      <c r="K1996" s="5"/>
      <c r="L1996" s="10">
        <v>20201118</v>
      </c>
      <c r="M1996" s="36" t="str">
        <f t="shared" si="31"/>
        <v>19661224</v>
      </c>
    </row>
    <row r="1997" s="1" customFormat="1" spans="1:13">
      <c r="A1997" s="2">
        <v>1013</v>
      </c>
      <c r="B1997" s="5" t="s">
        <v>2469</v>
      </c>
      <c r="C1997" s="9" t="s">
        <v>2617</v>
      </c>
      <c r="D1997" s="9" t="s">
        <v>2618</v>
      </c>
      <c r="E1997" s="5">
        <v>2020</v>
      </c>
      <c r="F1997" s="5">
        <v>2020</v>
      </c>
      <c r="G1997" s="9" t="s">
        <v>2480</v>
      </c>
      <c r="H1997" s="9">
        <v>200</v>
      </c>
      <c r="I1997" s="9">
        <v>200</v>
      </c>
      <c r="J1997" s="5"/>
      <c r="K1997" s="5"/>
      <c r="L1997" s="10">
        <v>20201118</v>
      </c>
      <c r="M1997" s="36" t="str">
        <f t="shared" si="31"/>
        <v>19661227</v>
      </c>
    </row>
    <row r="1998" s="1" customFormat="1" spans="1:13">
      <c r="A1998" s="2">
        <v>4220</v>
      </c>
      <c r="B1998" s="9" t="s">
        <v>8515</v>
      </c>
      <c r="C1998" s="9" t="s">
        <v>8643</v>
      </c>
      <c r="D1998" s="9" t="s">
        <v>8644</v>
      </c>
      <c r="E1998" s="5" t="s">
        <v>15</v>
      </c>
      <c r="F1998" s="5">
        <v>2020</v>
      </c>
      <c r="G1998" s="9" t="s">
        <v>2480</v>
      </c>
      <c r="H1998" s="9">
        <v>200</v>
      </c>
      <c r="I1998" s="9">
        <v>200</v>
      </c>
      <c r="J1998" s="9"/>
      <c r="K1998" s="9"/>
      <c r="L1998" s="10">
        <v>20201118</v>
      </c>
      <c r="M1998" s="36" t="str">
        <f t="shared" si="31"/>
        <v>19661227</v>
      </c>
    </row>
    <row r="1999" s="1" customFormat="1" spans="1:13">
      <c r="A1999" s="2">
        <v>7004</v>
      </c>
      <c r="B1999" s="5" t="s">
        <v>13533</v>
      </c>
      <c r="C1999" s="32" t="s">
        <v>13751</v>
      </c>
      <c r="D1999" s="32" t="str">
        <f>"152326196612287113"</f>
        <v>152326196612287113</v>
      </c>
      <c r="E1999" s="5">
        <v>2020</v>
      </c>
      <c r="F1999" s="5">
        <v>2020</v>
      </c>
      <c r="G1999" s="9" t="s">
        <v>2480</v>
      </c>
      <c r="H1999" s="32">
        <v>200</v>
      </c>
      <c r="I1999" s="32">
        <v>200</v>
      </c>
      <c r="J1999" s="62"/>
      <c r="K1999" s="10"/>
      <c r="L1999" s="10">
        <v>20201118</v>
      </c>
      <c r="M1999" s="36" t="str">
        <f t="shared" si="31"/>
        <v>19661228</v>
      </c>
    </row>
    <row r="2000" s="1" customFormat="1" spans="1:13">
      <c r="A2000" s="2">
        <v>195</v>
      </c>
      <c r="B2000" s="14" t="s">
        <v>327</v>
      </c>
      <c r="C2000" s="14" t="s">
        <v>473</v>
      </c>
      <c r="D2000" s="14" t="s">
        <v>474</v>
      </c>
      <c r="E2000" s="5">
        <v>2020</v>
      </c>
      <c r="F2000" s="5">
        <v>2020</v>
      </c>
      <c r="G2000" s="14" t="s">
        <v>16</v>
      </c>
      <c r="H2000" s="14">
        <v>200</v>
      </c>
      <c r="I2000" s="14">
        <v>200</v>
      </c>
      <c r="J2000" s="14"/>
      <c r="K2000" s="10"/>
      <c r="L2000" s="2" t="s">
        <v>330</v>
      </c>
      <c r="M2000" s="36" t="str">
        <f t="shared" si="31"/>
        <v>19661229</v>
      </c>
    </row>
    <row r="2001" s="1" customFormat="1" spans="1:13">
      <c r="A2001" s="2">
        <v>6223</v>
      </c>
      <c r="B2001" s="5" t="s">
        <v>12263</v>
      </c>
      <c r="C2001" s="5" t="s">
        <v>12472</v>
      </c>
      <c r="D2001" s="5" t="s">
        <v>12473</v>
      </c>
      <c r="E2001" s="5" t="s">
        <v>10250</v>
      </c>
      <c r="F2001" s="5">
        <v>2020</v>
      </c>
      <c r="G2001" s="17" t="s">
        <v>3359</v>
      </c>
      <c r="H2001" s="5">
        <v>200</v>
      </c>
      <c r="I2001" s="5">
        <v>200</v>
      </c>
      <c r="J2001" s="5"/>
      <c r="K2001" s="5"/>
      <c r="L2001" s="10">
        <v>20201118</v>
      </c>
      <c r="M2001" s="36" t="str">
        <f t="shared" si="31"/>
        <v>19661229</v>
      </c>
    </row>
    <row r="2002" s="1" customFormat="1" spans="1:13">
      <c r="A2002" s="2">
        <v>919</v>
      </c>
      <c r="B2002" s="29" t="s">
        <v>1040</v>
      </c>
      <c r="C2002" s="6" t="s">
        <v>2404</v>
      </c>
      <c r="D2002" s="6" t="s">
        <v>2405</v>
      </c>
      <c r="E2002" s="30">
        <v>2020</v>
      </c>
      <c r="F2002" s="30">
        <v>2020</v>
      </c>
      <c r="G2002" s="29" t="s">
        <v>16</v>
      </c>
      <c r="H2002" s="29">
        <v>200</v>
      </c>
      <c r="I2002" s="29">
        <v>200</v>
      </c>
      <c r="J2002" s="32"/>
      <c r="K2002" s="32"/>
      <c r="L2002" s="2" t="s">
        <v>330</v>
      </c>
      <c r="M2002" s="36" t="str">
        <f t="shared" si="31"/>
        <v>19661230</v>
      </c>
    </row>
    <row r="2003" s="1" customFormat="1" spans="1:13">
      <c r="A2003" s="2">
        <v>4655</v>
      </c>
      <c r="B2003" s="6" t="s">
        <v>9015</v>
      </c>
      <c r="C2003" s="6" t="s">
        <v>9474</v>
      </c>
      <c r="D2003" s="6" t="s">
        <v>9475</v>
      </c>
      <c r="E2003" s="6">
        <v>2020</v>
      </c>
      <c r="F2003" s="6">
        <v>2020</v>
      </c>
      <c r="G2003" s="6" t="s">
        <v>16</v>
      </c>
      <c r="H2003" s="6">
        <v>200</v>
      </c>
      <c r="I2003" s="6">
        <v>200</v>
      </c>
      <c r="J2003" s="6"/>
      <c r="K2003" s="6"/>
      <c r="L2003" s="10">
        <v>20201118</v>
      </c>
      <c r="M2003" s="36" t="str">
        <f t="shared" si="31"/>
        <v>19670101</v>
      </c>
    </row>
    <row r="2004" s="1" customFormat="1" spans="1:13">
      <c r="A2004" s="2">
        <v>4902</v>
      </c>
      <c r="B2004" s="6" t="s">
        <v>9015</v>
      </c>
      <c r="C2004" s="6" t="s">
        <v>9942</v>
      </c>
      <c r="D2004" s="293" t="s">
        <v>9943</v>
      </c>
      <c r="E2004" s="6">
        <v>2012</v>
      </c>
      <c r="F2004" s="6">
        <v>2020</v>
      </c>
      <c r="G2004" s="6" t="s">
        <v>289</v>
      </c>
      <c r="H2004" s="6">
        <v>200</v>
      </c>
      <c r="I2004" s="6">
        <v>1800</v>
      </c>
      <c r="J2004" s="6"/>
      <c r="K2004" s="6"/>
      <c r="L2004" s="10">
        <v>20201118</v>
      </c>
      <c r="M2004" s="36" t="str">
        <f t="shared" si="31"/>
        <v>19670102</v>
      </c>
    </row>
    <row r="2005" s="1" customFormat="1" spans="1:13">
      <c r="A2005" s="2">
        <v>5942</v>
      </c>
      <c r="B2005" s="30" t="s">
        <v>11090</v>
      </c>
      <c r="C2005" s="6" t="s">
        <v>9335</v>
      </c>
      <c r="D2005" s="306" t="s">
        <v>11932</v>
      </c>
      <c r="E2005" s="5" t="s">
        <v>15</v>
      </c>
      <c r="F2005" s="5" t="s">
        <v>10250</v>
      </c>
      <c r="G2005" s="6" t="s">
        <v>16</v>
      </c>
      <c r="H2005" s="32">
        <v>200</v>
      </c>
      <c r="I2005" s="32">
        <v>200</v>
      </c>
      <c r="J2005" s="6"/>
      <c r="K2005" s="48"/>
      <c r="L2005" s="10">
        <v>20201118</v>
      </c>
      <c r="M2005" s="36" t="str">
        <f t="shared" si="31"/>
        <v>19670102</v>
      </c>
    </row>
    <row r="2006" s="1" customFormat="1" spans="1:13">
      <c r="A2006" s="2">
        <v>1014</v>
      </c>
      <c r="B2006" s="5" t="s">
        <v>2469</v>
      </c>
      <c r="C2006" s="9" t="s">
        <v>2619</v>
      </c>
      <c r="D2006" s="9" t="s">
        <v>2620</v>
      </c>
      <c r="E2006" s="5">
        <v>2020</v>
      </c>
      <c r="F2006" s="5">
        <v>2020</v>
      </c>
      <c r="G2006" s="9" t="s">
        <v>2480</v>
      </c>
      <c r="H2006" s="9">
        <v>200</v>
      </c>
      <c r="I2006" s="9">
        <v>200</v>
      </c>
      <c r="J2006" s="5"/>
      <c r="K2006" s="5"/>
      <c r="L2006" s="10">
        <v>20201118</v>
      </c>
      <c r="M2006" s="36" t="str">
        <f t="shared" si="31"/>
        <v>19670103</v>
      </c>
    </row>
    <row r="2007" s="1" customFormat="1" spans="1:13">
      <c r="A2007" s="2">
        <v>4525</v>
      </c>
      <c r="B2007" s="6" t="s">
        <v>9015</v>
      </c>
      <c r="C2007" s="6" t="s">
        <v>9231</v>
      </c>
      <c r="D2007" s="6" t="s">
        <v>9232</v>
      </c>
      <c r="E2007" s="6">
        <v>2020</v>
      </c>
      <c r="F2007" s="6">
        <v>2020</v>
      </c>
      <c r="G2007" s="6" t="s">
        <v>16</v>
      </c>
      <c r="H2007" s="6">
        <v>200</v>
      </c>
      <c r="I2007" s="6">
        <v>200</v>
      </c>
      <c r="J2007" s="6"/>
      <c r="K2007" s="6"/>
      <c r="L2007" s="10">
        <v>20201118</v>
      </c>
      <c r="M2007" s="36" t="str">
        <f t="shared" si="31"/>
        <v>19670105</v>
      </c>
    </row>
    <row r="2008" s="1" customFormat="1" spans="1:13">
      <c r="A2008" s="2">
        <v>4927</v>
      </c>
      <c r="B2008" s="6" t="s">
        <v>9954</v>
      </c>
      <c r="C2008" s="60" t="s">
        <v>9995</v>
      </c>
      <c r="D2008" s="60" t="s">
        <v>9996</v>
      </c>
      <c r="E2008" s="5" t="s">
        <v>15</v>
      </c>
      <c r="F2008" s="5" t="s">
        <v>15</v>
      </c>
      <c r="G2008" s="14" t="s">
        <v>16</v>
      </c>
      <c r="H2008" s="6">
        <v>200</v>
      </c>
      <c r="I2008" s="6">
        <v>200</v>
      </c>
      <c r="J2008" s="6"/>
      <c r="K2008" s="6"/>
      <c r="L2008" s="10">
        <v>20201118</v>
      </c>
      <c r="M2008" s="36" t="str">
        <f t="shared" si="31"/>
        <v>19670105</v>
      </c>
    </row>
    <row r="2009" s="1" customFormat="1" spans="1:13">
      <c r="A2009" s="2">
        <v>116</v>
      </c>
      <c r="B2009" s="3" t="s">
        <v>12</v>
      </c>
      <c r="C2009" s="6" t="s">
        <v>248</v>
      </c>
      <c r="D2009" s="6" t="s">
        <v>249</v>
      </c>
      <c r="E2009" s="3" t="s">
        <v>15</v>
      </c>
      <c r="F2009" s="3" t="s">
        <v>15</v>
      </c>
      <c r="G2009" s="3" t="s">
        <v>189</v>
      </c>
      <c r="H2009" s="3">
        <v>200</v>
      </c>
      <c r="I2009" s="3">
        <v>200</v>
      </c>
      <c r="J2009" s="3"/>
      <c r="K2009" s="3"/>
      <c r="L2009" s="10">
        <v>20201118</v>
      </c>
      <c r="M2009" s="36" t="str">
        <f t="shared" si="31"/>
        <v>19670108</v>
      </c>
    </row>
    <row r="2010" s="1" customFormat="1" spans="1:13">
      <c r="A2010" s="2">
        <v>1015</v>
      </c>
      <c r="B2010" s="5" t="s">
        <v>2469</v>
      </c>
      <c r="C2010" s="9" t="s">
        <v>2621</v>
      </c>
      <c r="D2010" s="9" t="s">
        <v>2622</v>
      </c>
      <c r="E2010" s="5">
        <v>2020</v>
      </c>
      <c r="F2010" s="5">
        <v>2020</v>
      </c>
      <c r="G2010" s="9" t="s">
        <v>2480</v>
      </c>
      <c r="H2010" s="9">
        <v>200</v>
      </c>
      <c r="I2010" s="9">
        <v>200</v>
      </c>
      <c r="J2010" s="5"/>
      <c r="K2010" s="5"/>
      <c r="L2010" s="10">
        <v>20201118</v>
      </c>
      <c r="M2010" s="36" t="str">
        <f t="shared" si="31"/>
        <v>19670111</v>
      </c>
    </row>
    <row r="2011" s="1" customFormat="1" spans="1:13">
      <c r="A2011" s="2">
        <v>4735</v>
      </c>
      <c r="B2011" s="6" t="s">
        <v>9015</v>
      </c>
      <c r="C2011" s="6" t="s">
        <v>9627</v>
      </c>
      <c r="D2011" s="6" t="s">
        <v>9628</v>
      </c>
      <c r="E2011" s="6">
        <v>2020</v>
      </c>
      <c r="F2011" s="6">
        <v>2020</v>
      </c>
      <c r="G2011" s="6" t="s">
        <v>16</v>
      </c>
      <c r="H2011" s="6">
        <v>200</v>
      </c>
      <c r="I2011" s="6">
        <v>200</v>
      </c>
      <c r="J2011" s="6"/>
      <c r="K2011" s="6"/>
      <c r="L2011" s="10">
        <v>20201118</v>
      </c>
      <c r="M2011" s="36" t="str">
        <f t="shared" si="31"/>
        <v>19670111</v>
      </c>
    </row>
    <row r="2012" s="1" customFormat="1" spans="1:13">
      <c r="A2012" s="2">
        <v>207</v>
      </c>
      <c r="B2012" s="14" t="s">
        <v>327</v>
      </c>
      <c r="C2012" s="14" t="s">
        <v>509</v>
      </c>
      <c r="D2012" s="14" t="s">
        <v>510</v>
      </c>
      <c r="E2012" s="5">
        <v>2020</v>
      </c>
      <c r="F2012" s="5">
        <v>2020</v>
      </c>
      <c r="G2012" s="14" t="s">
        <v>16</v>
      </c>
      <c r="H2012" s="28">
        <v>200</v>
      </c>
      <c r="I2012" s="14">
        <v>200</v>
      </c>
      <c r="J2012" s="14"/>
      <c r="K2012" s="10"/>
      <c r="L2012" s="2" t="s">
        <v>330</v>
      </c>
      <c r="M2012" s="36" t="str">
        <f t="shared" si="31"/>
        <v>19670112</v>
      </c>
    </row>
    <row r="2013" s="1" customFormat="1" spans="1:13">
      <c r="A2013" s="2">
        <v>5096</v>
      </c>
      <c r="B2013" s="6" t="s">
        <v>10242</v>
      </c>
      <c r="C2013" s="9" t="s">
        <v>10323</v>
      </c>
      <c r="D2013" s="9" t="s">
        <v>10324</v>
      </c>
      <c r="E2013" s="5" t="s">
        <v>10250</v>
      </c>
      <c r="F2013" s="5">
        <v>2020</v>
      </c>
      <c r="G2013" s="6" t="s">
        <v>16</v>
      </c>
      <c r="H2013" s="6">
        <v>200</v>
      </c>
      <c r="I2013" s="6">
        <v>200</v>
      </c>
      <c r="J2013" s="6"/>
      <c r="K2013" s="5"/>
      <c r="L2013" s="10">
        <v>20201118</v>
      </c>
      <c r="M2013" s="36" t="str">
        <f t="shared" si="31"/>
        <v>19670113</v>
      </c>
    </row>
    <row r="2014" s="1" customFormat="1" spans="1:13">
      <c r="A2014" s="2">
        <v>6241</v>
      </c>
      <c r="B2014" s="5" t="s">
        <v>12263</v>
      </c>
      <c r="C2014" s="5" t="s">
        <v>12505</v>
      </c>
      <c r="D2014" s="5" t="s">
        <v>12506</v>
      </c>
      <c r="E2014" s="5" t="s">
        <v>10250</v>
      </c>
      <c r="F2014" s="5">
        <v>2020</v>
      </c>
      <c r="G2014" s="17" t="s">
        <v>3359</v>
      </c>
      <c r="H2014" s="5">
        <v>200</v>
      </c>
      <c r="I2014" s="5">
        <v>200</v>
      </c>
      <c r="J2014" s="5"/>
      <c r="K2014" s="5"/>
      <c r="L2014" s="10">
        <v>20201118</v>
      </c>
      <c r="M2014" s="36" t="str">
        <f t="shared" si="31"/>
        <v>19670113</v>
      </c>
    </row>
    <row r="2015" s="1" customFormat="1" spans="1:13">
      <c r="A2015" s="2">
        <v>6374</v>
      </c>
      <c r="B2015" s="5" t="s">
        <v>12263</v>
      </c>
      <c r="C2015" s="5" t="s">
        <v>12761</v>
      </c>
      <c r="D2015" s="5" t="s">
        <v>12762</v>
      </c>
      <c r="E2015" s="5" t="s">
        <v>10250</v>
      </c>
      <c r="F2015" s="5">
        <v>2020</v>
      </c>
      <c r="G2015" s="17" t="s">
        <v>3359</v>
      </c>
      <c r="H2015" s="5" t="s">
        <v>311</v>
      </c>
      <c r="I2015" s="5">
        <v>200</v>
      </c>
      <c r="J2015" s="5"/>
      <c r="K2015" s="5"/>
      <c r="L2015" s="10">
        <v>20201118</v>
      </c>
      <c r="M2015" s="36" t="str">
        <f t="shared" si="31"/>
        <v>19670114</v>
      </c>
    </row>
    <row r="2016" s="1" customFormat="1" spans="1:13">
      <c r="A2016" s="2">
        <v>7343</v>
      </c>
      <c r="B2016" s="5" t="s">
        <v>13908</v>
      </c>
      <c r="C2016" s="5" t="s">
        <v>14317</v>
      </c>
      <c r="D2016" s="5" t="s">
        <v>14318</v>
      </c>
      <c r="E2016" s="5" t="s">
        <v>15</v>
      </c>
      <c r="F2016" s="5" t="s">
        <v>15</v>
      </c>
      <c r="G2016" s="14" t="s">
        <v>16</v>
      </c>
      <c r="H2016" s="17">
        <v>200</v>
      </c>
      <c r="I2016" s="17">
        <v>200</v>
      </c>
      <c r="J2016" s="5"/>
      <c r="K2016" s="10"/>
      <c r="L2016" s="10">
        <v>20201118</v>
      </c>
      <c r="M2016" s="36" t="str">
        <f t="shared" si="31"/>
        <v>19670114</v>
      </c>
    </row>
    <row r="2017" s="1" customFormat="1" spans="1:13">
      <c r="A2017" s="2">
        <v>1769</v>
      </c>
      <c r="B2017" s="5" t="s">
        <v>3381</v>
      </c>
      <c r="C2017" s="9" t="s">
        <v>4099</v>
      </c>
      <c r="D2017" s="9" t="s">
        <v>4100</v>
      </c>
      <c r="E2017" s="5">
        <v>2012</v>
      </c>
      <c r="F2017" s="5">
        <v>2020</v>
      </c>
      <c r="G2017" s="14" t="s">
        <v>289</v>
      </c>
      <c r="H2017" s="18">
        <v>200</v>
      </c>
      <c r="I2017" s="6">
        <v>1800</v>
      </c>
      <c r="J2017" s="5" t="s">
        <v>108</v>
      </c>
      <c r="K2017" s="13"/>
      <c r="L2017" s="10">
        <v>20201118</v>
      </c>
      <c r="M2017" s="36" t="str">
        <f t="shared" si="31"/>
        <v>19670120</v>
      </c>
    </row>
    <row r="2018" s="1" customFormat="1" ht="14.25" spans="1:13">
      <c r="A2018" s="2">
        <v>5990</v>
      </c>
      <c r="B2018" s="30" t="s">
        <v>11090</v>
      </c>
      <c r="C2018" s="32" t="s">
        <v>12025</v>
      </c>
      <c r="D2018" s="12" t="s">
        <v>12026</v>
      </c>
      <c r="E2018" s="5" t="s">
        <v>15</v>
      </c>
      <c r="F2018" s="5" t="s">
        <v>10250</v>
      </c>
      <c r="G2018" s="6" t="s">
        <v>16</v>
      </c>
      <c r="H2018" s="32">
        <v>200</v>
      </c>
      <c r="I2018" s="32">
        <v>200</v>
      </c>
      <c r="J2018" s="5"/>
      <c r="K2018" s="48"/>
      <c r="L2018" s="10">
        <v>20201118</v>
      </c>
      <c r="M2018" s="36" t="str">
        <f t="shared" si="31"/>
        <v>19670121</v>
      </c>
    </row>
    <row r="2019" s="1" customFormat="1" spans="1:13">
      <c r="A2019" s="2">
        <v>6488</v>
      </c>
      <c r="B2019" s="5" t="s">
        <v>12263</v>
      </c>
      <c r="C2019" s="5" t="s">
        <v>12979</v>
      </c>
      <c r="D2019" s="5" t="s">
        <v>12980</v>
      </c>
      <c r="E2019" s="5" t="s">
        <v>1047</v>
      </c>
      <c r="F2019" s="5">
        <v>2020</v>
      </c>
      <c r="G2019" s="5" t="s">
        <v>289</v>
      </c>
      <c r="H2019" s="5">
        <v>200</v>
      </c>
      <c r="I2019" s="5">
        <v>400</v>
      </c>
      <c r="J2019" s="5"/>
      <c r="K2019" s="5"/>
      <c r="L2019" s="10">
        <v>20201118</v>
      </c>
      <c r="M2019" s="36" t="str">
        <f t="shared" si="31"/>
        <v>19670121</v>
      </c>
    </row>
    <row r="2020" s="1" customFormat="1" spans="1:13">
      <c r="A2020" s="2">
        <v>3440</v>
      </c>
      <c r="B2020" s="5" t="s">
        <v>3375</v>
      </c>
      <c r="C2020" s="6" t="s">
        <v>1247</v>
      </c>
      <c r="D2020" s="6" t="str">
        <f>"152326196701226865"</f>
        <v>152326196701226865</v>
      </c>
      <c r="E2020" s="5" t="s">
        <v>15</v>
      </c>
      <c r="F2020" s="5">
        <v>2020</v>
      </c>
      <c r="G2020" s="14" t="s">
        <v>16</v>
      </c>
      <c r="H2020" s="17">
        <v>200</v>
      </c>
      <c r="I2020" s="17">
        <v>200</v>
      </c>
      <c r="J2020" s="6"/>
      <c r="K2020" s="10"/>
      <c r="L2020" s="10">
        <v>20201118</v>
      </c>
      <c r="M2020" s="36" t="str">
        <f t="shared" si="31"/>
        <v>19670122</v>
      </c>
    </row>
    <row r="2021" s="1" customFormat="1" spans="1:13">
      <c r="A2021" s="2">
        <v>8019</v>
      </c>
      <c r="B2021" s="5" t="s">
        <v>15086</v>
      </c>
      <c r="C2021" s="6" t="s">
        <v>15294</v>
      </c>
      <c r="D2021" s="6" t="str">
        <f>"152326196701226881"</f>
        <v>152326196701226881</v>
      </c>
      <c r="E2021" s="5" t="s">
        <v>15</v>
      </c>
      <c r="F2021" s="5">
        <v>2020</v>
      </c>
      <c r="G2021" s="5" t="s">
        <v>16</v>
      </c>
      <c r="H2021" s="5">
        <v>200</v>
      </c>
      <c r="I2021" s="5">
        <v>200</v>
      </c>
      <c r="J2021" s="5"/>
      <c r="K2021" s="5"/>
      <c r="L2021" s="10">
        <v>20201118</v>
      </c>
      <c r="M2021" s="36" t="str">
        <f t="shared" si="31"/>
        <v>19670122</v>
      </c>
    </row>
    <row r="2022" s="1" customFormat="1" ht="14.25" spans="1:13">
      <c r="A2022" s="2">
        <v>6080</v>
      </c>
      <c r="B2022" s="30" t="s">
        <v>11090</v>
      </c>
      <c r="C2022" s="6" t="s">
        <v>12199</v>
      </c>
      <c r="D2022" s="12" t="s">
        <v>12200</v>
      </c>
      <c r="E2022" s="5" t="s">
        <v>15</v>
      </c>
      <c r="F2022" s="5" t="s">
        <v>10250</v>
      </c>
      <c r="G2022" s="6" t="s">
        <v>16</v>
      </c>
      <c r="H2022" s="32">
        <v>200</v>
      </c>
      <c r="I2022" s="32">
        <v>200</v>
      </c>
      <c r="J2022" s="5" t="s">
        <v>6097</v>
      </c>
      <c r="K2022" s="48"/>
      <c r="L2022" s="10">
        <v>20201118</v>
      </c>
      <c r="M2022" s="36" t="str">
        <f t="shared" si="31"/>
        <v>19670124</v>
      </c>
    </row>
    <row r="2023" s="1" customFormat="1" spans="1:13">
      <c r="A2023" s="2">
        <v>6985</v>
      </c>
      <c r="B2023" s="5" t="s">
        <v>13533</v>
      </c>
      <c r="C2023" s="32" t="s">
        <v>13733</v>
      </c>
      <c r="D2023" s="32" t="s">
        <v>13734</v>
      </c>
      <c r="E2023" s="5">
        <v>2020</v>
      </c>
      <c r="F2023" s="5">
        <v>2020</v>
      </c>
      <c r="G2023" s="9" t="s">
        <v>2480</v>
      </c>
      <c r="H2023" s="32">
        <v>200</v>
      </c>
      <c r="I2023" s="32">
        <v>200</v>
      </c>
      <c r="J2023" s="32"/>
      <c r="K2023" s="10"/>
      <c r="L2023" s="10">
        <v>20201118</v>
      </c>
      <c r="M2023" s="36" t="str">
        <f t="shared" si="31"/>
        <v>19670127</v>
      </c>
    </row>
    <row r="2024" s="1" customFormat="1" spans="1:13">
      <c r="A2024" s="2">
        <v>3556</v>
      </c>
      <c r="B2024" s="5" t="s">
        <v>3375</v>
      </c>
      <c r="C2024" s="5" t="s">
        <v>7382</v>
      </c>
      <c r="D2024" s="296" t="s">
        <v>7383</v>
      </c>
      <c r="E2024" s="5" t="s">
        <v>15</v>
      </c>
      <c r="F2024" s="5">
        <v>2020</v>
      </c>
      <c r="G2024" s="14" t="s">
        <v>16</v>
      </c>
      <c r="H2024" s="5">
        <v>200</v>
      </c>
      <c r="I2024" s="5">
        <v>200</v>
      </c>
      <c r="J2024" s="5"/>
      <c r="K2024" s="10"/>
      <c r="L2024" s="10">
        <v>20201118</v>
      </c>
      <c r="M2024" s="36" t="str">
        <f t="shared" si="31"/>
        <v>19670201</v>
      </c>
    </row>
    <row r="2025" s="1" customFormat="1" spans="1:13">
      <c r="A2025" s="2">
        <v>4981</v>
      </c>
      <c r="B2025" s="6" t="s">
        <v>9954</v>
      </c>
      <c r="C2025" s="60" t="s">
        <v>10101</v>
      </c>
      <c r="D2025" s="60" t="s">
        <v>10102</v>
      </c>
      <c r="E2025" s="5" t="s">
        <v>15</v>
      </c>
      <c r="F2025" s="5" t="s">
        <v>15</v>
      </c>
      <c r="G2025" s="14" t="s">
        <v>16</v>
      </c>
      <c r="H2025" s="6">
        <v>200</v>
      </c>
      <c r="I2025" s="6">
        <v>200</v>
      </c>
      <c r="J2025" s="6" t="s">
        <v>108</v>
      </c>
      <c r="K2025" s="6"/>
      <c r="L2025" s="10">
        <v>20201118</v>
      </c>
      <c r="M2025" s="36" t="str">
        <f t="shared" si="31"/>
        <v>19670201</v>
      </c>
    </row>
    <row r="2026" s="1" customFormat="1" spans="1:13">
      <c r="A2026" s="2">
        <v>5652</v>
      </c>
      <c r="B2026" s="30" t="s">
        <v>11090</v>
      </c>
      <c r="C2026" s="30" t="s">
        <v>11391</v>
      </c>
      <c r="D2026" s="30" t="s">
        <v>11392</v>
      </c>
      <c r="E2026" s="5" t="s">
        <v>15</v>
      </c>
      <c r="F2026" s="5" t="s">
        <v>10250</v>
      </c>
      <c r="G2026" s="6" t="s">
        <v>16</v>
      </c>
      <c r="H2026" s="32">
        <v>300</v>
      </c>
      <c r="I2026" s="32">
        <v>300</v>
      </c>
      <c r="J2026" s="6" t="s">
        <v>1242</v>
      </c>
      <c r="K2026" s="48"/>
      <c r="L2026" s="10">
        <v>20201118</v>
      </c>
      <c r="M2026" s="36" t="str">
        <f t="shared" si="31"/>
        <v>19670201</v>
      </c>
    </row>
    <row r="2027" s="1" customFormat="1" spans="1:13">
      <c r="A2027" s="2">
        <v>5892</v>
      </c>
      <c r="B2027" s="30" t="s">
        <v>11090</v>
      </c>
      <c r="C2027" s="30" t="s">
        <v>11836</v>
      </c>
      <c r="D2027" s="30" t="s">
        <v>11837</v>
      </c>
      <c r="E2027" s="5" t="s">
        <v>15</v>
      </c>
      <c r="F2027" s="5" t="s">
        <v>10250</v>
      </c>
      <c r="G2027" s="6" t="s">
        <v>16</v>
      </c>
      <c r="H2027" s="32">
        <v>200</v>
      </c>
      <c r="I2027" s="32">
        <v>200</v>
      </c>
      <c r="J2027" s="6"/>
      <c r="K2027" s="48"/>
      <c r="L2027" s="10">
        <v>20201118</v>
      </c>
      <c r="M2027" s="36" t="str">
        <f t="shared" si="31"/>
        <v>19670201</v>
      </c>
    </row>
    <row r="2028" s="1" customFormat="1" spans="1:13">
      <c r="A2028" s="2">
        <v>6579</v>
      </c>
      <c r="B2028" s="5" t="s">
        <v>13027</v>
      </c>
      <c r="C2028" s="15" t="s">
        <v>13149</v>
      </c>
      <c r="D2028" s="15" t="s">
        <v>13150</v>
      </c>
      <c r="E2028" s="5">
        <v>2020</v>
      </c>
      <c r="F2028" s="5">
        <v>2020</v>
      </c>
      <c r="G2028" s="14" t="s">
        <v>16</v>
      </c>
      <c r="H2028" s="15">
        <v>200</v>
      </c>
      <c r="I2028" s="15">
        <v>200</v>
      </c>
      <c r="J2028" s="5"/>
      <c r="K2028" s="10"/>
      <c r="L2028" s="10">
        <v>20201118</v>
      </c>
      <c r="M2028" s="36" t="str">
        <f t="shared" si="31"/>
        <v>19670202</v>
      </c>
    </row>
    <row r="2029" s="1" customFormat="1" spans="1:13">
      <c r="A2029" s="2">
        <v>4688</v>
      </c>
      <c r="B2029" s="6" t="s">
        <v>9015</v>
      </c>
      <c r="C2029" s="6" t="s">
        <v>5941</v>
      </c>
      <c r="D2029" s="6" t="s">
        <v>9538</v>
      </c>
      <c r="E2029" s="6">
        <v>2020</v>
      </c>
      <c r="F2029" s="6">
        <v>2020</v>
      </c>
      <c r="G2029" s="6" t="s">
        <v>16</v>
      </c>
      <c r="H2029" s="6">
        <v>200</v>
      </c>
      <c r="I2029" s="6">
        <v>200</v>
      </c>
      <c r="J2029" s="6"/>
      <c r="K2029" s="6"/>
      <c r="L2029" s="10">
        <v>20201118</v>
      </c>
      <c r="M2029" s="36" t="str">
        <f t="shared" si="31"/>
        <v>19670203</v>
      </c>
    </row>
    <row r="2030" s="1" customFormat="1" spans="1:13">
      <c r="A2030" s="2">
        <v>3737</v>
      </c>
      <c r="B2030" s="5" t="s">
        <v>7412</v>
      </c>
      <c r="C2030" s="5" t="s">
        <v>7726</v>
      </c>
      <c r="D2030" s="5" t="s">
        <v>7727</v>
      </c>
      <c r="E2030" s="6">
        <v>2020</v>
      </c>
      <c r="F2030" s="6">
        <v>2020</v>
      </c>
      <c r="G2030" s="5" t="s">
        <v>3359</v>
      </c>
      <c r="H2030" s="5">
        <v>200</v>
      </c>
      <c r="I2030" s="5">
        <v>200</v>
      </c>
      <c r="J2030" s="5"/>
      <c r="K2030" s="5"/>
      <c r="L2030" s="10">
        <v>20201118</v>
      </c>
      <c r="M2030" s="36" t="str">
        <f t="shared" si="31"/>
        <v>19670204</v>
      </c>
    </row>
    <row r="2031" s="1" customFormat="1" spans="1:13">
      <c r="A2031" s="2">
        <v>6580</v>
      </c>
      <c r="B2031" s="5" t="s">
        <v>13027</v>
      </c>
      <c r="C2031" s="15" t="s">
        <v>13151</v>
      </c>
      <c r="D2031" s="15" t="s">
        <v>13152</v>
      </c>
      <c r="E2031" s="5">
        <v>2020</v>
      </c>
      <c r="F2031" s="5">
        <v>2020</v>
      </c>
      <c r="G2031" s="14" t="s">
        <v>16</v>
      </c>
      <c r="H2031" s="15">
        <v>200</v>
      </c>
      <c r="I2031" s="15">
        <v>200</v>
      </c>
      <c r="J2031" s="5"/>
      <c r="K2031" s="10"/>
      <c r="L2031" s="10">
        <v>20201118</v>
      </c>
      <c r="M2031" s="36" t="str">
        <f t="shared" si="31"/>
        <v>19670204</v>
      </c>
    </row>
    <row r="2032" s="1" customFormat="1" spans="1:13">
      <c r="A2032" s="2">
        <v>4221</v>
      </c>
      <c r="B2032" s="9" t="s">
        <v>8515</v>
      </c>
      <c r="C2032" s="9" t="s">
        <v>8645</v>
      </c>
      <c r="D2032" s="9" t="s">
        <v>8646</v>
      </c>
      <c r="E2032" s="5" t="s">
        <v>15</v>
      </c>
      <c r="F2032" s="5">
        <v>2020</v>
      </c>
      <c r="G2032" s="9" t="s">
        <v>2480</v>
      </c>
      <c r="H2032" s="9">
        <v>200</v>
      </c>
      <c r="I2032" s="9">
        <v>200</v>
      </c>
      <c r="J2032" s="9"/>
      <c r="K2032" s="9"/>
      <c r="L2032" s="10">
        <v>20201118</v>
      </c>
      <c r="M2032" s="36" t="str">
        <f t="shared" si="31"/>
        <v>19670205</v>
      </c>
    </row>
    <row r="2033" s="1" customFormat="1" spans="1:13">
      <c r="A2033" s="2">
        <v>7562</v>
      </c>
      <c r="B2033" s="5" t="s">
        <v>14402</v>
      </c>
      <c r="C2033" s="5" t="s">
        <v>14725</v>
      </c>
      <c r="D2033" s="5" t="s">
        <v>14726</v>
      </c>
      <c r="E2033" s="5">
        <v>2020</v>
      </c>
      <c r="F2033" s="5">
        <v>2020</v>
      </c>
      <c r="G2033" s="17" t="s">
        <v>16</v>
      </c>
      <c r="H2033" s="5">
        <v>200</v>
      </c>
      <c r="I2033" s="5">
        <v>200</v>
      </c>
      <c r="J2033" s="5"/>
      <c r="K2033" s="10"/>
      <c r="L2033" s="10">
        <v>20201118</v>
      </c>
      <c r="M2033" s="36" t="str">
        <f t="shared" si="31"/>
        <v>19670206</v>
      </c>
    </row>
    <row r="2034" s="1" customFormat="1" spans="1:13">
      <c r="A2034" s="2">
        <v>801</v>
      </c>
      <c r="B2034" s="29" t="s">
        <v>1040</v>
      </c>
      <c r="C2034" s="5" t="s">
        <v>2053</v>
      </c>
      <c r="D2034" s="317" t="s">
        <v>2054</v>
      </c>
      <c r="E2034" s="30">
        <v>2020</v>
      </c>
      <c r="F2034" s="30">
        <v>2020</v>
      </c>
      <c r="G2034" s="29" t="s">
        <v>16</v>
      </c>
      <c r="H2034" s="29">
        <v>200</v>
      </c>
      <c r="I2034" s="29">
        <v>200</v>
      </c>
      <c r="J2034" s="32"/>
      <c r="K2034" s="32"/>
      <c r="L2034" s="14" t="s">
        <v>330</v>
      </c>
      <c r="M2034" s="36" t="str">
        <f t="shared" si="31"/>
        <v>19670207</v>
      </c>
    </row>
    <row r="2035" s="1" customFormat="1" spans="1:13">
      <c r="A2035" s="2">
        <v>6979</v>
      </c>
      <c r="B2035" s="5" t="s">
        <v>13533</v>
      </c>
      <c r="C2035" s="32" t="s">
        <v>13728</v>
      </c>
      <c r="D2035" s="32" t="str">
        <f>"152326196702077128"</f>
        <v>152326196702077128</v>
      </c>
      <c r="E2035" s="5">
        <v>2020</v>
      </c>
      <c r="F2035" s="5">
        <v>2020</v>
      </c>
      <c r="G2035" s="9" t="s">
        <v>2480</v>
      </c>
      <c r="H2035" s="32">
        <v>200</v>
      </c>
      <c r="I2035" s="32">
        <v>200</v>
      </c>
      <c r="J2035" s="32"/>
      <c r="K2035" s="10"/>
      <c r="L2035" s="10">
        <v>20201118</v>
      </c>
      <c r="M2035" s="36" t="str">
        <f t="shared" si="31"/>
        <v>19670207</v>
      </c>
    </row>
    <row r="2036" s="1" customFormat="1" spans="1:13">
      <c r="A2036" s="2">
        <v>6986</v>
      </c>
      <c r="B2036" s="5" t="s">
        <v>13533</v>
      </c>
      <c r="C2036" s="32" t="s">
        <v>13735</v>
      </c>
      <c r="D2036" s="32" t="str">
        <f>"152326196702077136"</f>
        <v>152326196702077136</v>
      </c>
      <c r="E2036" s="5">
        <v>2020</v>
      </c>
      <c r="F2036" s="5">
        <v>2020</v>
      </c>
      <c r="G2036" s="9" t="s">
        <v>2480</v>
      </c>
      <c r="H2036" s="32">
        <v>200</v>
      </c>
      <c r="I2036" s="32">
        <v>200</v>
      </c>
      <c r="J2036" s="32"/>
      <c r="K2036" s="10"/>
      <c r="L2036" s="10">
        <v>20201118</v>
      </c>
      <c r="M2036" s="36" t="str">
        <f t="shared" si="31"/>
        <v>19670207</v>
      </c>
    </row>
    <row r="2037" s="1" customFormat="1" spans="1:13">
      <c r="A2037" s="2">
        <v>5097</v>
      </c>
      <c r="B2037" s="6" t="s">
        <v>10242</v>
      </c>
      <c r="C2037" s="9" t="s">
        <v>1624</v>
      </c>
      <c r="D2037" s="9" t="s">
        <v>10325</v>
      </c>
      <c r="E2037" s="5" t="s">
        <v>10250</v>
      </c>
      <c r="F2037" s="5">
        <v>2020</v>
      </c>
      <c r="G2037" s="6" t="s">
        <v>16</v>
      </c>
      <c r="H2037" s="6">
        <v>200</v>
      </c>
      <c r="I2037" s="6">
        <v>200</v>
      </c>
      <c r="J2037" s="6"/>
      <c r="K2037" s="5"/>
      <c r="L2037" s="10">
        <v>20201118</v>
      </c>
      <c r="M2037" s="36" t="str">
        <f t="shared" si="31"/>
        <v>19670208</v>
      </c>
    </row>
    <row r="2038" s="1" customFormat="1" spans="1:13">
      <c r="A2038" s="2">
        <v>2215</v>
      </c>
      <c r="B2038" s="9" t="s">
        <v>4837</v>
      </c>
      <c r="C2038" s="9" t="s">
        <v>4977</v>
      </c>
      <c r="D2038" s="9" t="s">
        <v>4978</v>
      </c>
      <c r="E2038" s="6" t="s">
        <v>15</v>
      </c>
      <c r="F2038" s="6">
        <v>2020</v>
      </c>
      <c r="G2038" s="9" t="s">
        <v>2480</v>
      </c>
      <c r="H2038" s="9">
        <v>200</v>
      </c>
      <c r="I2038" s="9">
        <v>200</v>
      </c>
      <c r="J2038" s="6"/>
      <c r="K2038" s="10"/>
      <c r="L2038" s="10">
        <v>20201118</v>
      </c>
      <c r="M2038" s="36" t="str">
        <f t="shared" si="31"/>
        <v>19670210</v>
      </c>
    </row>
    <row r="2039" s="1" customFormat="1" spans="1:13">
      <c r="A2039" s="2">
        <v>7559</v>
      </c>
      <c r="B2039" s="5" t="s">
        <v>14402</v>
      </c>
      <c r="C2039" s="5" t="s">
        <v>1182</v>
      </c>
      <c r="D2039" s="5" t="s">
        <v>14720</v>
      </c>
      <c r="E2039" s="5">
        <v>2020</v>
      </c>
      <c r="F2039" s="5">
        <v>2020</v>
      </c>
      <c r="G2039" s="17" t="s">
        <v>16</v>
      </c>
      <c r="H2039" s="5">
        <v>200</v>
      </c>
      <c r="I2039" s="5">
        <v>200</v>
      </c>
      <c r="J2039" s="5"/>
      <c r="K2039" s="10"/>
      <c r="L2039" s="10">
        <v>20201118</v>
      </c>
      <c r="M2039" s="36" t="str">
        <f t="shared" si="31"/>
        <v>19670212</v>
      </c>
    </row>
    <row r="2040" s="1" customFormat="1" spans="1:13">
      <c r="A2040" s="2">
        <v>934</v>
      </c>
      <c r="B2040" s="29" t="s">
        <v>1040</v>
      </c>
      <c r="C2040" s="6" t="s">
        <v>2449</v>
      </c>
      <c r="D2040" s="6" t="s">
        <v>2450</v>
      </c>
      <c r="E2040" s="30">
        <v>2020</v>
      </c>
      <c r="F2040" s="30">
        <v>2020</v>
      </c>
      <c r="G2040" s="29" t="s">
        <v>16</v>
      </c>
      <c r="H2040" s="29">
        <v>200</v>
      </c>
      <c r="I2040" s="29">
        <v>200</v>
      </c>
      <c r="J2040" s="32"/>
      <c r="K2040" s="32"/>
      <c r="L2040" s="14" t="s">
        <v>330</v>
      </c>
      <c r="M2040" s="36" t="str">
        <f t="shared" si="31"/>
        <v>19670213</v>
      </c>
    </row>
    <row r="2041" s="1" customFormat="1" ht="14.25" spans="1:13">
      <c r="A2041" s="2">
        <v>7757</v>
      </c>
      <c r="B2041" s="5" t="s">
        <v>14875</v>
      </c>
      <c r="C2041" s="51" t="s">
        <v>15000</v>
      </c>
      <c r="D2041" s="24" t="s">
        <v>15001</v>
      </c>
      <c r="E2041" s="6" t="s">
        <v>15</v>
      </c>
      <c r="F2041" s="6">
        <v>2020</v>
      </c>
      <c r="G2041" s="24" t="s">
        <v>14877</v>
      </c>
      <c r="H2041" s="6">
        <v>200</v>
      </c>
      <c r="I2041" s="6">
        <v>200</v>
      </c>
      <c r="J2041" s="6" t="s">
        <v>5331</v>
      </c>
      <c r="K2041" s="10"/>
      <c r="L2041" s="10">
        <v>20201118</v>
      </c>
      <c r="M2041" s="36" t="str">
        <f t="shared" si="31"/>
        <v>19670213</v>
      </c>
    </row>
    <row r="2042" s="1" customFormat="1" spans="1:13">
      <c r="A2042" s="2">
        <v>3074</v>
      </c>
      <c r="B2042" s="3" t="s">
        <v>6671</v>
      </c>
      <c r="C2042" s="9" t="s">
        <v>6674</v>
      </c>
      <c r="D2042" s="9" t="s">
        <v>6675</v>
      </c>
      <c r="E2042" s="3" t="s">
        <v>15</v>
      </c>
      <c r="F2042" s="3" t="s">
        <v>15</v>
      </c>
      <c r="G2042" s="6" t="s">
        <v>3359</v>
      </c>
      <c r="H2042" s="9">
        <v>200</v>
      </c>
      <c r="I2042" s="9">
        <v>200</v>
      </c>
      <c r="J2042" s="6"/>
      <c r="K2042" s="3"/>
      <c r="L2042" s="10">
        <v>20201118</v>
      </c>
      <c r="M2042" s="36" t="str">
        <f t="shared" si="31"/>
        <v>19670214</v>
      </c>
    </row>
    <row r="2043" s="1" customFormat="1" spans="1:13">
      <c r="A2043" s="2">
        <v>3738</v>
      </c>
      <c r="B2043" s="5" t="s">
        <v>7412</v>
      </c>
      <c r="C2043" s="5" t="s">
        <v>7728</v>
      </c>
      <c r="D2043" s="5" t="s">
        <v>7729</v>
      </c>
      <c r="E2043" s="6">
        <v>2020</v>
      </c>
      <c r="F2043" s="6">
        <v>2020</v>
      </c>
      <c r="G2043" s="5" t="s">
        <v>3359</v>
      </c>
      <c r="H2043" s="5">
        <v>200</v>
      </c>
      <c r="I2043" s="5">
        <v>200</v>
      </c>
      <c r="J2043" s="5"/>
      <c r="K2043" s="5"/>
      <c r="L2043" s="10">
        <v>20201118</v>
      </c>
      <c r="M2043" s="36" t="str">
        <f t="shared" si="31"/>
        <v>19670214</v>
      </c>
    </row>
    <row r="2044" s="1" customFormat="1" spans="1:13">
      <c r="A2044" s="2">
        <v>5866</v>
      </c>
      <c r="B2044" s="30" t="s">
        <v>11090</v>
      </c>
      <c r="C2044" s="30" t="s">
        <v>11790</v>
      </c>
      <c r="D2044" s="30" t="s">
        <v>11791</v>
      </c>
      <c r="E2044" s="5" t="s">
        <v>15</v>
      </c>
      <c r="F2044" s="5" t="s">
        <v>10250</v>
      </c>
      <c r="G2044" s="6" t="s">
        <v>16</v>
      </c>
      <c r="H2044" s="32">
        <v>200</v>
      </c>
      <c r="I2044" s="32">
        <v>200</v>
      </c>
      <c r="J2044" s="6"/>
      <c r="K2044" s="48"/>
      <c r="L2044" s="10">
        <v>20201118</v>
      </c>
      <c r="M2044" s="36" t="str">
        <f t="shared" si="31"/>
        <v>19670215</v>
      </c>
    </row>
    <row r="2045" s="1" customFormat="1" spans="1:13">
      <c r="A2045" s="2">
        <v>3739</v>
      </c>
      <c r="B2045" s="5" t="s">
        <v>7412</v>
      </c>
      <c r="C2045" s="5" t="s">
        <v>7730</v>
      </c>
      <c r="D2045" s="5" t="s">
        <v>7731</v>
      </c>
      <c r="E2045" s="6">
        <v>2020</v>
      </c>
      <c r="F2045" s="6">
        <v>2020</v>
      </c>
      <c r="G2045" s="5" t="s">
        <v>3359</v>
      </c>
      <c r="H2045" s="5">
        <v>200</v>
      </c>
      <c r="I2045" s="5">
        <v>200</v>
      </c>
      <c r="J2045" s="5"/>
      <c r="K2045" s="5"/>
      <c r="L2045" s="10">
        <v>20201118</v>
      </c>
      <c r="M2045" s="36" t="str">
        <f t="shared" si="31"/>
        <v>19670216</v>
      </c>
    </row>
    <row r="2046" s="1" customFormat="1" spans="1:13">
      <c r="A2046" s="2">
        <v>7254</v>
      </c>
      <c r="B2046" s="5" t="s">
        <v>13908</v>
      </c>
      <c r="C2046" s="5" t="s">
        <v>14150</v>
      </c>
      <c r="D2046" s="5" t="s">
        <v>14151</v>
      </c>
      <c r="E2046" s="5" t="s">
        <v>15</v>
      </c>
      <c r="F2046" s="5" t="s">
        <v>15</v>
      </c>
      <c r="G2046" s="14" t="s">
        <v>16</v>
      </c>
      <c r="H2046" s="17">
        <v>200</v>
      </c>
      <c r="I2046" s="17">
        <v>200</v>
      </c>
      <c r="J2046" s="5"/>
      <c r="K2046" s="10"/>
      <c r="L2046" s="10">
        <v>20201118</v>
      </c>
      <c r="M2046" s="36" t="str">
        <f t="shared" si="31"/>
        <v>19670218</v>
      </c>
    </row>
    <row r="2047" s="1" customFormat="1" spans="1:13">
      <c r="A2047" s="2">
        <v>1535</v>
      </c>
      <c r="B2047" s="5" t="s">
        <v>3381</v>
      </c>
      <c r="C2047" s="9" t="s">
        <v>3635</v>
      </c>
      <c r="D2047" s="9" t="s">
        <v>3636</v>
      </c>
      <c r="E2047" s="5">
        <v>2020</v>
      </c>
      <c r="F2047" s="5">
        <v>2020</v>
      </c>
      <c r="G2047" s="14" t="s">
        <v>16</v>
      </c>
      <c r="H2047" s="6">
        <v>200</v>
      </c>
      <c r="I2047" s="6">
        <v>200</v>
      </c>
      <c r="J2047" s="5"/>
      <c r="K2047" s="13"/>
      <c r="L2047" s="10">
        <v>20201118</v>
      </c>
      <c r="M2047" s="36" t="str">
        <f t="shared" si="31"/>
        <v>19670219</v>
      </c>
    </row>
    <row r="2048" s="1" customFormat="1" spans="1:13">
      <c r="A2048" s="2">
        <v>487</v>
      </c>
      <c r="B2048" s="29" t="s">
        <v>1040</v>
      </c>
      <c r="C2048" s="29" t="s">
        <v>1251</v>
      </c>
      <c r="D2048" s="29" t="s">
        <v>1252</v>
      </c>
      <c r="E2048" s="30">
        <v>2020</v>
      </c>
      <c r="F2048" s="30">
        <v>2020</v>
      </c>
      <c r="G2048" s="29" t="s">
        <v>16</v>
      </c>
      <c r="H2048" s="29">
        <v>200</v>
      </c>
      <c r="I2048" s="29">
        <v>200</v>
      </c>
      <c r="J2048" s="29"/>
      <c r="K2048" s="47"/>
      <c r="L2048" s="14" t="s">
        <v>330</v>
      </c>
      <c r="M2048" s="36" t="str">
        <f t="shared" si="31"/>
        <v>19670220</v>
      </c>
    </row>
    <row r="2049" s="1" customFormat="1" spans="1:13">
      <c r="A2049" s="2">
        <v>2216</v>
      </c>
      <c r="B2049" s="9" t="s">
        <v>4837</v>
      </c>
      <c r="C2049" s="9" t="s">
        <v>4979</v>
      </c>
      <c r="D2049" s="9" t="s">
        <v>4980</v>
      </c>
      <c r="E2049" s="6" t="s">
        <v>15</v>
      </c>
      <c r="F2049" s="6">
        <v>2020</v>
      </c>
      <c r="G2049" s="9" t="s">
        <v>2480</v>
      </c>
      <c r="H2049" s="9">
        <v>200</v>
      </c>
      <c r="I2049" s="9">
        <v>200</v>
      </c>
      <c r="J2049" s="6"/>
      <c r="K2049" s="10"/>
      <c r="L2049" s="10">
        <v>20201118</v>
      </c>
      <c r="M2049" s="36" t="str">
        <f t="shared" si="31"/>
        <v>19670220</v>
      </c>
    </row>
    <row r="2050" s="1" customFormat="1" spans="1:13">
      <c r="A2050" s="2">
        <v>4520</v>
      </c>
      <c r="B2050" s="6" t="s">
        <v>9015</v>
      </c>
      <c r="C2050" s="6" t="s">
        <v>9222</v>
      </c>
      <c r="D2050" s="6" t="s">
        <v>9223</v>
      </c>
      <c r="E2050" s="6">
        <v>2020</v>
      </c>
      <c r="F2050" s="6">
        <v>2020</v>
      </c>
      <c r="G2050" s="6" t="s">
        <v>16</v>
      </c>
      <c r="H2050" s="6">
        <v>200</v>
      </c>
      <c r="I2050" s="6">
        <v>200</v>
      </c>
      <c r="J2050" s="6"/>
      <c r="K2050" s="6"/>
      <c r="L2050" s="10">
        <v>20201118</v>
      </c>
      <c r="M2050" s="36" t="str">
        <f t="shared" ref="M2050:M2113" si="32">MID(D2050,7,8)</f>
        <v>19670221</v>
      </c>
    </row>
    <row r="2051" s="1" customFormat="1" spans="1:13">
      <c r="A2051" s="2">
        <v>3439</v>
      </c>
      <c r="B2051" s="5" t="s">
        <v>3375</v>
      </c>
      <c r="C2051" s="6" t="s">
        <v>7216</v>
      </c>
      <c r="D2051" s="6" t="str">
        <f>"152326196702226875"</f>
        <v>152326196702226875</v>
      </c>
      <c r="E2051" s="5" t="s">
        <v>15</v>
      </c>
      <c r="F2051" s="5">
        <v>2020</v>
      </c>
      <c r="G2051" s="14" t="s">
        <v>16</v>
      </c>
      <c r="H2051" s="17">
        <v>200</v>
      </c>
      <c r="I2051" s="17">
        <v>200</v>
      </c>
      <c r="J2051" s="6"/>
      <c r="K2051" s="10"/>
      <c r="L2051" s="10">
        <v>20201118</v>
      </c>
      <c r="M2051" s="36" t="str">
        <f t="shared" si="32"/>
        <v>19670222</v>
      </c>
    </row>
    <row r="2052" s="1" customFormat="1" spans="1:13">
      <c r="A2052" s="2">
        <v>504</v>
      </c>
      <c r="B2052" s="29" t="s">
        <v>1040</v>
      </c>
      <c r="C2052" s="29" t="s">
        <v>1285</v>
      </c>
      <c r="D2052" s="29" t="s">
        <v>1286</v>
      </c>
      <c r="E2052" s="30">
        <v>2020</v>
      </c>
      <c r="F2052" s="30">
        <v>2020</v>
      </c>
      <c r="G2052" s="29" t="s">
        <v>16</v>
      </c>
      <c r="H2052" s="29">
        <v>200</v>
      </c>
      <c r="I2052" s="29">
        <v>200</v>
      </c>
      <c r="J2052" s="29" t="s">
        <v>1082</v>
      </c>
      <c r="K2052" s="47"/>
      <c r="L2052" s="2" t="s">
        <v>330</v>
      </c>
      <c r="M2052" s="36" t="str">
        <f t="shared" si="32"/>
        <v>19670223</v>
      </c>
    </row>
    <row r="2053" s="1" customFormat="1" spans="1:13">
      <c r="A2053" s="2">
        <v>252</v>
      </c>
      <c r="B2053" s="14" t="s">
        <v>327</v>
      </c>
      <c r="C2053" s="17" t="s">
        <v>642</v>
      </c>
      <c r="D2053" s="306" t="s">
        <v>643</v>
      </c>
      <c r="E2053" s="5">
        <v>2020</v>
      </c>
      <c r="F2053" s="5">
        <v>2020</v>
      </c>
      <c r="G2053" s="14" t="s">
        <v>16</v>
      </c>
      <c r="H2053" s="14">
        <v>200</v>
      </c>
      <c r="I2053" s="14">
        <v>200</v>
      </c>
      <c r="J2053" s="17"/>
      <c r="K2053" s="10"/>
      <c r="L2053" s="14" t="s">
        <v>330</v>
      </c>
      <c r="M2053" s="36" t="str">
        <f t="shared" si="32"/>
        <v>19670224</v>
      </c>
    </row>
    <row r="2054" s="1" customFormat="1" spans="1:13">
      <c r="A2054" s="2">
        <v>4690</v>
      </c>
      <c r="B2054" s="6" t="s">
        <v>9015</v>
      </c>
      <c r="C2054" s="6" t="s">
        <v>9541</v>
      </c>
      <c r="D2054" s="6" t="s">
        <v>9542</v>
      </c>
      <c r="E2054" s="6">
        <v>2020</v>
      </c>
      <c r="F2054" s="6">
        <v>2020</v>
      </c>
      <c r="G2054" s="6" t="s">
        <v>16</v>
      </c>
      <c r="H2054" s="6">
        <v>200</v>
      </c>
      <c r="I2054" s="6">
        <v>200</v>
      </c>
      <c r="J2054" s="6"/>
      <c r="K2054" s="6"/>
      <c r="L2054" s="10">
        <v>20201118</v>
      </c>
      <c r="M2054" s="36" t="str">
        <f t="shared" si="32"/>
        <v>19670227</v>
      </c>
    </row>
    <row r="2055" s="1" customFormat="1" spans="1:13">
      <c r="A2055" s="2">
        <v>502</v>
      </c>
      <c r="B2055" s="29" t="s">
        <v>1040</v>
      </c>
      <c r="C2055" s="29" t="s">
        <v>1281</v>
      </c>
      <c r="D2055" s="29" t="s">
        <v>1282</v>
      </c>
      <c r="E2055" s="30">
        <v>2020</v>
      </c>
      <c r="F2055" s="30">
        <v>2020</v>
      </c>
      <c r="G2055" s="29" t="s">
        <v>16</v>
      </c>
      <c r="H2055" s="29">
        <v>200</v>
      </c>
      <c r="I2055" s="29">
        <v>200</v>
      </c>
      <c r="J2055" s="29"/>
      <c r="K2055" s="47"/>
      <c r="L2055" s="2" t="s">
        <v>330</v>
      </c>
      <c r="M2055" s="36" t="str">
        <f t="shared" si="32"/>
        <v>19670301</v>
      </c>
    </row>
    <row r="2056" s="1" customFormat="1" spans="1:13">
      <c r="A2056" s="2">
        <v>2584</v>
      </c>
      <c r="B2056" s="32" t="s">
        <v>5602</v>
      </c>
      <c r="C2056" s="9" t="s">
        <v>5703</v>
      </c>
      <c r="D2056" s="9" t="s">
        <v>5704</v>
      </c>
      <c r="E2056" s="32">
        <v>2020</v>
      </c>
      <c r="F2056" s="32">
        <v>2020</v>
      </c>
      <c r="G2056" s="32" t="s">
        <v>16</v>
      </c>
      <c r="H2056" s="9">
        <v>200</v>
      </c>
      <c r="I2056" s="9">
        <v>200</v>
      </c>
      <c r="J2056" s="32"/>
      <c r="K2056" s="52"/>
      <c r="L2056" s="10">
        <v>20201118</v>
      </c>
      <c r="M2056" s="36" t="str">
        <f t="shared" si="32"/>
        <v>19670301</v>
      </c>
    </row>
    <row r="2057" s="1" customFormat="1" spans="1:13">
      <c r="A2057" s="2">
        <v>461</v>
      </c>
      <c r="B2057" s="29" t="s">
        <v>1040</v>
      </c>
      <c r="C2057" s="29" t="s">
        <v>1198</v>
      </c>
      <c r="D2057" s="29" t="s">
        <v>1199</v>
      </c>
      <c r="E2057" s="30">
        <v>2020</v>
      </c>
      <c r="F2057" s="30">
        <v>2020</v>
      </c>
      <c r="G2057" s="29" t="s">
        <v>16</v>
      </c>
      <c r="H2057" s="29">
        <v>200</v>
      </c>
      <c r="I2057" s="29">
        <v>200</v>
      </c>
      <c r="J2057" s="29"/>
      <c r="K2057" s="47"/>
      <c r="L2057" s="14" t="s">
        <v>330</v>
      </c>
      <c r="M2057" s="36" t="str">
        <f t="shared" si="32"/>
        <v>19670304</v>
      </c>
    </row>
    <row r="2058" s="1" customFormat="1" spans="1:13">
      <c r="A2058" s="2">
        <v>594</v>
      </c>
      <c r="B2058" s="29" t="s">
        <v>1040</v>
      </c>
      <c r="C2058" s="29" t="s">
        <v>1464</v>
      </c>
      <c r="D2058" s="29" t="s">
        <v>1465</v>
      </c>
      <c r="E2058" s="30">
        <v>2020</v>
      </c>
      <c r="F2058" s="30">
        <v>2020</v>
      </c>
      <c r="G2058" s="29" t="s">
        <v>16</v>
      </c>
      <c r="H2058" s="29">
        <v>200</v>
      </c>
      <c r="I2058" s="29">
        <v>200</v>
      </c>
      <c r="J2058" s="29"/>
      <c r="K2058" s="47"/>
      <c r="L2058" s="2" t="s">
        <v>330</v>
      </c>
      <c r="M2058" s="36" t="str">
        <f t="shared" si="32"/>
        <v>19670305</v>
      </c>
    </row>
    <row r="2059" s="1" customFormat="1" spans="1:13">
      <c r="A2059" s="2">
        <v>1536</v>
      </c>
      <c r="B2059" s="5" t="s">
        <v>3381</v>
      </c>
      <c r="C2059" s="9" t="s">
        <v>3637</v>
      </c>
      <c r="D2059" s="9" t="s">
        <v>3638</v>
      </c>
      <c r="E2059" s="5">
        <v>2020</v>
      </c>
      <c r="F2059" s="5">
        <v>2020</v>
      </c>
      <c r="G2059" s="14" t="s">
        <v>16</v>
      </c>
      <c r="H2059" s="6">
        <v>200</v>
      </c>
      <c r="I2059" s="6">
        <v>200</v>
      </c>
      <c r="J2059" s="5"/>
      <c r="K2059" s="13"/>
      <c r="L2059" s="10">
        <v>20201118</v>
      </c>
      <c r="M2059" s="36" t="str">
        <f t="shared" si="32"/>
        <v>19670305</v>
      </c>
    </row>
    <row r="2060" s="1" customFormat="1" spans="1:13">
      <c r="A2060" s="2">
        <v>4222</v>
      </c>
      <c r="B2060" s="9" t="s">
        <v>8515</v>
      </c>
      <c r="C2060" s="9" t="s">
        <v>8647</v>
      </c>
      <c r="D2060" s="9" t="s">
        <v>8648</v>
      </c>
      <c r="E2060" s="5" t="s">
        <v>15</v>
      </c>
      <c r="F2060" s="5">
        <v>2020</v>
      </c>
      <c r="G2060" s="9" t="s">
        <v>2480</v>
      </c>
      <c r="H2060" s="9">
        <v>200</v>
      </c>
      <c r="I2060" s="9">
        <v>200</v>
      </c>
      <c r="J2060" s="9"/>
      <c r="K2060" s="9"/>
      <c r="L2060" s="10">
        <v>20201118</v>
      </c>
      <c r="M2060" s="36" t="str">
        <f t="shared" si="32"/>
        <v>19670305</v>
      </c>
    </row>
    <row r="2061" s="1" customFormat="1" spans="1:13">
      <c r="A2061" s="2">
        <v>6152</v>
      </c>
      <c r="B2061" s="5" t="s">
        <v>12263</v>
      </c>
      <c r="C2061" s="5" t="s">
        <v>12337</v>
      </c>
      <c r="D2061" s="5" t="s">
        <v>12338</v>
      </c>
      <c r="E2061" s="5" t="s">
        <v>10250</v>
      </c>
      <c r="F2061" s="5">
        <v>2020</v>
      </c>
      <c r="G2061" s="17" t="s">
        <v>3359</v>
      </c>
      <c r="H2061" s="5">
        <v>500</v>
      </c>
      <c r="I2061" s="5">
        <v>500</v>
      </c>
      <c r="J2061" s="5"/>
      <c r="K2061" s="5"/>
      <c r="L2061" s="10">
        <v>20201118</v>
      </c>
      <c r="M2061" s="36" t="str">
        <f t="shared" si="32"/>
        <v>19670308</v>
      </c>
    </row>
    <row r="2062" s="1" customFormat="1" spans="1:13">
      <c r="A2062" s="2">
        <v>2217</v>
      </c>
      <c r="B2062" s="9" t="s">
        <v>4837</v>
      </c>
      <c r="C2062" s="9" t="s">
        <v>4981</v>
      </c>
      <c r="D2062" s="9" t="s">
        <v>4982</v>
      </c>
      <c r="E2062" s="6" t="s">
        <v>15</v>
      </c>
      <c r="F2062" s="6">
        <v>2020</v>
      </c>
      <c r="G2062" s="9" t="s">
        <v>2480</v>
      </c>
      <c r="H2062" s="9">
        <v>200</v>
      </c>
      <c r="I2062" s="9">
        <v>200</v>
      </c>
      <c r="J2062" s="6"/>
      <c r="K2062" s="10"/>
      <c r="L2062" s="10">
        <v>20201118</v>
      </c>
      <c r="M2062" s="36" t="str">
        <f t="shared" si="32"/>
        <v>19670313</v>
      </c>
    </row>
    <row r="2063" s="1" customFormat="1" spans="1:13">
      <c r="A2063" s="2">
        <v>2423</v>
      </c>
      <c r="B2063" s="5" t="s">
        <v>5328</v>
      </c>
      <c r="C2063" s="16" t="s">
        <v>5387</v>
      </c>
      <c r="D2063" s="16" t="s">
        <v>5388</v>
      </c>
      <c r="E2063" s="5" t="s">
        <v>15</v>
      </c>
      <c r="F2063" s="5" t="s">
        <v>15</v>
      </c>
      <c r="G2063" s="14" t="s">
        <v>16</v>
      </c>
      <c r="H2063" s="6">
        <v>200</v>
      </c>
      <c r="I2063" s="6">
        <v>200</v>
      </c>
      <c r="J2063" s="5"/>
      <c r="K2063" s="5"/>
      <c r="L2063" s="10">
        <v>20201118</v>
      </c>
      <c r="M2063" s="36" t="str">
        <f t="shared" si="32"/>
        <v>19670318</v>
      </c>
    </row>
    <row r="2064" s="1" customFormat="1" spans="1:13">
      <c r="A2064" s="2">
        <v>1537</v>
      </c>
      <c r="B2064" s="5" t="s">
        <v>3381</v>
      </c>
      <c r="C2064" s="9" t="s">
        <v>3639</v>
      </c>
      <c r="D2064" s="9" t="s">
        <v>3640</v>
      </c>
      <c r="E2064" s="5">
        <v>2020</v>
      </c>
      <c r="F2064" s="5">
        <v>2020</v>
      </c>
      <c r="G2064" s="14" t="s">
        <v>16</v>
      </c>
      <c r="H2064" s="6">
        <v>200</v>
      </c>
      <c r="I2064" s="6">
        <v>200</v>
      </c>
      <c r="J2064" s="5"/>
      <c r="K2064" s="13"/>
      <c r="L2064" s="10">
        <v>20201118</v>
      </c>
      <c r="M2064" s="36" t="str">
        <f t="shared" si="32"/>
        <v>19670320</v>
      </c>
    </row>
    <row r="2065" s="1" customFormat="1" spans="1:13">
      <c r="A2065" s="2">
        <v>2218</v>
      </c>
      <c r="B2065" s="9" t="s">
        <v>4837</v>
      </c>
      <c r="C2065" s="9" t="s">
        <v>4983</v>
      </c>
      <c r="D2065" s="9" t="s">
        <v>4984</v>
      </c>
      <c r="E2065" s="6" t="s">
        <v>15</v>
      </c>
      <c r="F2065" s="6">
        <v>2020</v>
      </c>
      <c r="G2065" s="9" t="s">
        <v>2480</v>
      </c>
      <c r="H2065" s="9">
        <v>200</v>
      </c>
      <c r="I2065" s="9">
        <v>200</v>
      </c>
      <c r="J2065" s="6"/>
      <c r="K2065" s="10"/>
      <c r="L2065" s="10">
        <v>20201118</v>
      </c>
      <c r="M2065" s="36" t="str">
        <f t="shared" si="32"/>
        <v>19670320</v>
      </c>
    </row>
    <row r="2066" s="1" customFormat="1" spans="1:13">
      <c r="A2066" s="2">
        <v>4500</v>
      </c>
      <c r="B2066" s="6" t="s">
        <v>9015</v>
      </c>
      <c r="C2066" s="6" t="s">
        <v>9183</v>
      </c>
      <c r="D2066" s="6" t="s">
        <v>9184</v>
      </c>
      <c r="E2066" s="6">
        <v>2020</v>
      </c>
      <c r="F2066" s="6">
        <v>2020</v>
      </c>
      <c r="G2066" s="6" t="s">
        <v>16</v>
      </c>
      <c r="H2066" s="6">
        <v>200</v>
      </c>
      <c r="I2066" s="6">
        <v>200</v>
      </c>
      <c r="J2066" s="6"/>
      <c r="K2066" s="6"/>
      <c r="L2066" s="10">
        <v>20201118</v>
      </c>
      <c r="M2066" s="36" t="str">
        <f t="shared" si="32"/>
        <v>19670322</v>
      </c>
    </row>
    <row r="2067" s="1" customFormat="1" spans="1:13">
      <c r="A2067" s="2">
        <v>6581</v>
      </c>
      <c r="B2067" s="5" t="s">
        <v>13027</v>
      </c>
      <c r="C2067" s="15" t="s">
        <v>13153</v>
      </c>
      <c r="D2067" s="15" t="s">
        <v>13154</v>
      </c>
      <c r="E2067" s="5">
        <v>2020</v>
      </c>
      <c r="F2067" s="5">
        <v>2020</v>
      </c>
      <c r="G2067" s="14" t="s">
        <v>16</v>
      </c>
      <c r="H2067" s="15">
        <v>200</v>
      </c>
      <c r="I2067" s="15">
        <v>200</v>
      </c>
      <c r="J2067" s="5"/>
      <c r="K2067" s="10"/>
      <c r="L2067" s="10">
        <v>20201118</v>
      </c>
      <c r="M2067" s="36" t="str">
        <f t="shared" si="32"/>
        <v>19670322</v>
      </c>
    </row>
    <row r="2068" s="1" customFormat="1" spans="1:13">
      <c r="A2068" s="2">
        <v>7</v>
      </c>
      <c r="B2068" s="2" t="s">
        <v>12</v>
      </c>
      <c r="C2068" s="2" t="s">
        <v>27</v>
      </c>
      <c r="D2068" s="2" t="s">
        <v>28</v>
      </c>
      <c r="E2068" s="3" t="s">
        <v>15</v>
      </c>
      <c r="F2068" s="3" t="s">
        <v>15</v>
      </c>
      <c r="G2068" s="2" t="s">
        <v>16</v>
      </c>
      <c r="H2068" s="2">
        <v>500</v>
      </c>
      <c r="I2068" s="2">
        <v>500</v>
      </c>
      <c r="J2068" s="2"/>
      <c r="K2068" s="2"/>
      <c r="L2068" s="10">
        <v>20201118</v>
      </c>
      <c r="M2068" s="36" t="str">
        <f t="shared" si="32"/>
        <v>19670325</v>
      </c>
    </row>
    <row r="2069" s="1" customFormat="1" spans="1:13">
      <c r="A2069" s="2">
        <v>3740</v>
      </c>
      <c r="B2069" s="5" t="s">
        <v>7412</v>
      </c>
      <c r="C2069" s="5" t="s">
        <v>7732</v>
      </c>
      <c r="D2069" s="5" t="s">
        <v>7733</v>
      </c>
      <c r="E2069" s="6">
        <v>2020</v>
      </c>
      <c r="F2069" s="6">
        <v>2020</v>
      </c>
      <c r="G2069" s="5" t="s">
        <v>3359</v>
      </c>
      <c r="H2069" s="5">
        <v>200</v>
      </c>
      <c r="I2069" s="5">
        <v>200</v>
      </c>
      <c r="J2069" s="5"/>
      <c r="K2069" s="5"/>
      <c r="L2069" s="10">
        <v>20201118</v>
      </c>
      <c r="M2069" s="36" t="str">
        <f t="shared" si="32"/>
        <v>19670330</v>
      </c>
    </row>
    <row r="2070" s="1" customFormat="1" spans="1:13">
      <c r="A2070" s="2">
        <v>3252</v>
      </c>
      <c r="B2070" s="3" t="s">
        <v>6671</v>
      </c>
      <c r="C2070" s="6" t="s">
        <v>7007</v>
      </c>
      <c r="D2070" s="6" t="s">
        <v>7008</v>
      </c>
      <c r="E2070" s="3" t="s">
        <v>15</v>
      </c>
      <c r="F2070" s="3" t="s">
        <v>15</v>
      </c>
      <c r="G2070" s="6" t="s">
        <v>3359</v>
      </c>
      <c r="H2070" s="9">
        <v>200</v>
      </c>
      <c r="I2070" s="9">
        <v>200</v>
      </c>
      <c r="J2070" s="6"/>
      <c r="K2070" s="5"/>
      <c r="L2070" s="10">
        <v>20201118</v>
      </c>
      <c r="M2070" s="36" t="str">
        <f t="shared" si="32"/>
        <v>19670360</v>
      </c>
    </row>
    <row r="2071" s="1" customFormat="1" ht="14.25" spans="1:13">
      <c r="A2071" s="2">
        <v>5277</v>
      </c>
      <c r="B2071" s="33" t="s">
        <v>10535</v>
      </c>
      <c r="C2071" s="34" t="s">
        <v>10670</v>
      </c>
      <c r="D2071" s="34" t="s">
        <v>10671</v>
      </c>
      <c r="E2071" s="35">
        <v>2020</v>
      </c>
      <c r="F2071" s="35">
        <v>2020</v>
      </c>
      <c r="G2071" s="35" t="s">
        <v>16</v>
      </c>
      <c r="H2071" s="34">
        <v>200</v>
      </c>
      <c r="I2071" s="34">
        <v>200</v>
      </c>
      <c r="J2071" s="49"/>
      <c r="K2071" s="10"/>
      <c r="L2071" s="10">
        <v>20201118</v>
      </c>
      <c r="M2071" s="36" t="str">
        <f t="shared" si="32"/>
        <v>19670401</v>
      </c>
    </row>
    <row r="2072" s="1" customFormat="1" spans="1:13">
      <c r="A2072" s="2">
        <v>401</v>
      </c>
      <c r="B2072" s="29" t="s">
        <v>1040</v>
      </c>
      <c r="C2072" s="29" t="s">
        <v>1078</v>
      </c>
      <c r="D2072" s="29" t="s">
        <v>1079</v>
      </c>
      <c r="E2072" s="30">
        <v>2020</v>
      </c>
      <c r="F2072" s="30">
        <v>2020</v>
      </c>
      <c r="G2072" s="29" t="s">
        <v>16</v>
      </c>
      <c r="H2072" s="29">
        <v>200</v>
      </c>
      <c r="I2072" s="29">
        <v>200</v>
      </c>
      <c r="J2072" s="29"/>
      <c r="K2072" s="47"/>
      <c r="L2072" s="14" t="s">
        <v>330</v>
      </c>
      <c r="M2072" s="36" t="str">
        <f t="shared" si="32"/>
        <v>19670404</v>
      </c>
    </row>
    <row r="2073" s="1" customFormat="1" ht="14.25" spans="1:13">
      <c r="A2073" s="2">
        <v>5278</v>
      </c>
      <c r="B2073" s="33" t="s">
        <v>10535</v>
      </c>
      <c r="C2073" s="34" t="s">
        <v>10672</v>
      </c>
      <c r="D2073" s="34" t="s">
        <v>10673</v>
      </c>
      <c r="E2073" s="35">
        <v>2020</v>
      </c>
      <c r="F2073" s="35">
        <v>2020</v>
      </c>
      <c r="G2073" s="35" t="s">
        <v>16</v>
      </c>
      <c r="H2073" s="34">
        <v>200</v>
      </c>
      <c r="I2073" s="34">
        <v>200</v>
      </c>
      <c r="J2073" s="49"/>
      <c r="K2073" s="10"/>
      <c r="L2073" s="10">
        <v>20201118</v>
      </c>
      <c r="M2073" s="36" t="str">
        <f t="shared" si="32"/>
        <v>19670404</v>
      </c>
    </row>
    <row r="2074" s="1" customFormat="1" spans="1:13">
      <c r="A2074" s="2">
        <v>414</v>
      </c>
      <c r="B2074" s="29" t="s">
        <v>1040</v>
      </c>
      <c r="C2074" s="29" t="s">
        <v>1104</v>
      </c>
      <c r="D2074" s="29" t="s">
        <v>1105</v>
      </c>
      <c r="E2074" s="30">
        <v>2020</v>
      </c>
      <c r="F2074" s="30">
        <v>2020</v>
      </c>
      <c r="G2074" s="29" t="s">
        <v>16</v>
      </c>
      <c r="H2074" s="29">
        <v>200</v>
      </c>
      <c r="I2074" s="29">
        <v>200</v>
      </c>
      <c r="J2074" s="29"/>
      <c r="K2074" s="47"/>
      <c r="L2074" s="2" t="s">
        <v>330</v>
      </c>
      <c r="M2074" s="36" t="str">
        <f t="shared" si="32"/>
        <v>19670405</v>
      </c>
    </row>
    <row r="2075" s="1" customFormat="1" spans="1:13">
      <c r="A2075" s="2">
        <v>4223</v>
      </c>
      <c r="B2075" s="9" t="s">
        <v>8515</v>
      </c>
      <c r="C2075" s="9" t="s">
        <v>2816</v>
      </c>
      <c r="D2075" s="9" t="s">
        <v>8649</v>
      </c>
      <c r="E2075" s="5" t="s">
        <v>15</v>
      </c>
      <c r="F2075" s="5">
        <v>2020</v>
      </c>
      <c r="G2075" s="9" t="s">
        <v>2480</v>
      </c>
      <c r="H2075" s="9">
        <v>200</v>
      </c>
      <c r="I2075" s="9">
        <v>200</v>
      </c>
      <c r="J2075" s="9"/>
      <c r="K2075" s="9"/>
      <c r="L2075" s="10">
        <v>20201118</v>
      </c>
      <c r="M2075" s="36" t="str">
        <f t="shared" si="32"/>
        <v>19670405</v>
      </c>
    </row>
    <row r="2076" s="1" customFormat="1" spans="1:13">
      <c r="A2076" s="2">
        <v>636</v>
      </c>
      <c r="B2076" s="29" t="s">
        <v>1040</v>
      </c>
      <c r="C2076" s="29" t="s">
        <v>1561</v>
      </c>
      <c r="D2076" s="29" t="s">
        <v>1562</v>
      </c>
      <c r="E2076" s="30">
        <v>2020</v>
      </c>
      <c r="F2076" s="30">
        <v>2020</v>
      </c>
      <c r="G2076" s="29" t="s">
        <v>16</v>
      </c>
      <c r="H2076" s="29">
        <v>200</v>
      </c>
      <c r="I2076" s="29">
        <v>200</v>
      </c>
      <c r="J2076" s="29"/>
      <c r="K2076" s="47"/>
      <c r="L2076" s="2" t="s">
        <v>330</v>
      </c>
      <c r="M2076" s="36" t="str">
        <f t="shared" si="32"/>
        <v>19670409</v>
      </c>
    </row>
    <row r="2077" s="1" customFormat="1" spans="1:13">
      <c r="A2077" s="2">
        <v>4692</v>
      </c>
      <c r="B2077" s="6" t="s">
        <v>9015</v>
      </c>
      <c r="C2077" s="6" t="s">
        <v>9544</v>
      </c>
      <c r="D2077" s="6" t="s">
        <v>9545</v>
      </c>
      <c r="E2077" s="6">
        <v>2020</v>
      </c>
      <c r="F2077" s="6">
        <v>2020</v>
      </c>
      <c r="G2077" s="6" t="s">
        <v>16</v>
      </c>
      <c r="H2077" s="6">
        <v>200</v>
      </c>
      <c r="I2077" s="6">
        <v>200</v>
      </c>
      <c r="J2077" s="6"/>
      <c r="K2077" s="6"/>
      <c r="L2077" s="10">
        <v>20201118</v>
      </c>
      <c r="M2077" s="36" t="str">
        <f t="shared" si="32"/>
        <v>19670411</v>
      </c>
    </row>
    <row r="2078" s="1" customFormat="1" spans="1:13">
      <c r="A2078" s="2">
        <v>3102</v>
      </c>
      <c r="B2078" s="3" t="s">
        <v>6671</v>
      </c>
      <c r="C2078" s="9" t="s">
        <v>6727</v>
      </c>
      <c r="D2078" s="9" t="s">
        <v>6728</v>
      </c>
      <c r="E2078" s="3" t="s">
        <v>15</v>
      </c>
      <c r="F2078" s="3" t="s">
        <v>15</v>
      </c>
      <c r="G2078" s="6" t="s">
        <v>3359</v>
      </c>
      <c r="H2078" s="9">
        <v>200</v>
      </c>
      <c r="I2078" s="9">
        <v>200</v>
      </c>
      <c r="J2078" s="6" t="s">
        <v>108</v>
      </c>
      <c r="K2078" s="5"/>
      <c r="L2078" s="10">
        <v>20201118</v>
      </c>
      <c r="M2078" s="36" t="str">
        <f t="shared" si="32"/>
        <v>19670413</v>
      </c>
    </row>
    <row r="2079" s="1" customFormat="1" spans="1:13">
      <c r="A2079" s="2">
        <v>2219</v>
      </c>
      <c r="B2079" s="9" t="s">
        <v>4837</v>
      </c>
      <c r="C2079" s="9" t="s">
        <v>4985</v>
      </c>
      <c r="D2079" s="9" t="s">
        <v>4986</v>
      </c>
      <c r="E2079" s="6" t="s">
        <v>15</v>
      </c>
      <c r="F2079" s="6">
        <v>2020</v>
      </c>
      <c r="G2079" s="9" t="s">
        <v>2480</v>
      </c>
      <c r="H2079" s="9">
        <v>200</v>
      </c>
      <c r="I2079" s="9">
        <v>200</v>
      </c>
      <c r="J2079" s="6"/>
      <c r="K2079" s="10"/>
      <c r="L2079" s="10">
        <v>20201118</v>
      </c>
      <c r="M2079" s="36" t="str">
        <f t="shared" si="32"/>
        <v>19670414</v>
      </c>
    </row>
    <row r="2080" s="1" customFormat="1" ht="14.25" spans="1:13">
      <c r="A2080" s="2">
        <v>5279</v>
      </c>
      <c r="B2080" s="33" t="s">
        <v>10535</v>
      </c>
      <c r="C2080" s="34" t="s">
        <v>10674</v>
      </c>
      <c r="D2080" s="34" t="s">
        <v>10675</v>
      </c>
      <c r="E2080" s="35">
        <v>2020</v>
      </c>
      <c r="F2080" s="35">
        <v>2020</v>
      </c>
      <c r="G2080" s="35" t="s">
        <v>16</v>
      </c>
      <c r="H2080" s="34">
        <v>200</v>
      </c>
      <c r="I2080" s="34">
        <v>200</v>
      </c>
      <c r="J2080" s="49"/>
      <c r="K2080" s="10"/>
      <c r="L2080" s="10">
        <v>20201118</v>
      </c>
      <c r="M2080" s="36" t="str">
        <f t="shared" si="32"/>
        <v>19670416</v>
      </c>
    </row>
    <row r="2081" s="1" customFormat="1" spans="1:13">
      <c r="A2081" s="2">
        <v>1016</v>
      </c>
      <c r="B2081" s="5" t="s">
        <v>2469</v>
      </c>
      <c r="C2081" s="9" t="s">
        <v>2623</v>
      </c>
      <c r="D2081" s="9" t="s">
        <v>2624</v>
      </c>
      <c r="E2081" s="5">
        <v>2020</v>
      </c>
      <c r="F2081" s="5">
        <v>2020</v>
      </c>
      <c r="G2081" s="9" t="s">
        <v>2480</v>
      </c>
      <c r="H2081" s="9">
        <v>200</v>
      </c>
      <c r="I2081" s="9">
        <v>200</v>
      </c>
      <c r="J2081" s="5"/>
      <c r="K2081" s="5"/>
      <c r="L2081" s="10">
        <v>20201118</v>
      </c>
      <c r="M2081" s="36" t="str">
        <f t="shared" si="32"/>
        <v>19670423</v>
      </c>
    </row>
    <row r="2082" s="1" customFormat="1" spans="1:13">
      <c r="A2082" s="2">
        <v>6582</v>
      </c>
      <c r="B2082" s="5" t="s">
        <v>13027</v>
      </c>
      <c r="C2082" s="15" t="s">
        <v>1858</v>
      </c>
      <c r="D2082" s="15" t="s">
        <v>13155</v>
      </c>
      <c r="E2082" s="5">
        <v>2020</v>
      </c>
      <c r="F2082" s="5">
        <v>2020</v>
      </c>
      <c r="G2082" s="14" t="s">
        <v>16</v>
      </c>
      <c r="H2082" s="15">
        <v>200</v>
      </c>
      <c r="I2082" s="15">
        <v>200</v>
      </c>
      <c r="J2082" s="5"/>
      <c r="K2082" s="10"/>
      <c r="L2082" s="10">
        <v>20201118</v>
      </c>
      <c r="M2082" s="36" t="str">
        <f t="shared" si="32"/>
        <v>19670423</v>
      </c>
    </row>
    <row r="2083" s="1" customFormat="1" spans="1:13">
      <c r="A2083" s="2">
        <v>5098</v>
      </c>
      <c r="B2083" s="6" t="s">
        <v>10242</v>
      </c>
      <c r="C2083" s="9" t="s">
        <v>10326</v>
      </c>
      <c r="D2083" s="9" t="s">
        <v>10327</v>
      </c>
      <c r="E2083" s="5" t="s">
        <v>10250</v>
      </c>
      <c r="F2083" s="5">
        <v>2020</v>
      </c>
      <c r="G2083" s="6" t="s">
        <v>16</v>
      </c>
      <c r="H2083" s="6">
        <v>200</v>
      </c>
      <c r="I2083" s="6">
        <v>200</v>
      </c>
      <c r="J2083" s="6"/>
      <c r="K2083" s="5"/>
      <c r="L2083" s="10">
        <v>20201118</v>
      </c>
      <c r="M2083" s="36" t="str">
        <f t="shared" si="32"/>
        <v>19670427</v>
      </c>
    </row>
    <row r="2084" s="1" customFormat="1" spans="1:13">
      <c r="A2084" s="2">
        <v>4224</v>
      </c>
      <c r="B2084" s="9" t="s">
        <v>8515</v>
      </c>
      <c r="C2084" s="9" t="s">
        <v>1488</v>
      </c>
      <c r="D2084" s="9" t="s">
        <v>8650</v>
      </c>
      <c r="E2084" s="5" t="s">
        <v>15</v>
      </c>
      <c r="F2084" s="5">
        <v>2020</v>
      </c>
      <c r="G2084" s="9" t="s">
        <v>2480</v>
      </c>
      <c r="H2084" s="9">
        <v>200</v>
      </c>
      <c r="I2084" s="9">
        <v>200</v>
      </c>
      <c r="J2084" s="9"/>
      <c r="K2084" s="9"/>
      <c r="L2084" s="10">
        <v>20201118</v>
      </c>
      <c r="M2084" s="36" t="str">
        <f t="shared" si="32"/>
        <v>19670428</v>
      </c>
    </row>
    <row r="2085" s="1" customFormat="1" spans="1:13">
      <c r="A2085" s="2">
        <v>3443</v>
      </c>
      <c r="B2085" s="5" t="s">
        <v>3375</v>
      </c>
      <c r="C2085" s="6" t="s">
        <v>7220</v>
      </c>
      <c r="D2085" s="6" t="str">
        <f>"152326196704296869"</f>
        <v>152326196704296869</v>
      </c>
      <c r="E2085" s="5" t="s">
        <v>15</v>
      </c>
      <c r="F2085" s="5">
        <v>2020</v>
      </c>
      <c r="G2085" s="14" t="s">
        <v>16</v>
      </c>
      <c r="H2085" s="17">
        <v>200</v>
      </c>
      <c r="I2085" s="17">
        <v>200</v>
      </c>
      <c r="J2085" s="6"/>
      <c r="K2085" s="10"/>
      <c r="L2085" s="10">
        <v>20201118</v>
      </c>
      <c r="M2085" s="36" t="str">
        <f t="shared" si="32"/>
        <v>19670429</v>
      </c>
    </row>
    <row r="2086" s="1" customFormat="1" spans="1:13">
      <c r="A2086" s="2">
        <v>689</v>
      </c>
      <c r="B2086" s="29" t="s">
        <v>1040</v>
      </c>
      <c r="C2086" s="47" t="s">
        <v>1719</v>
      </c>
      <c r="D2086" s="47" t="s">
        <v>1720</v>
      </c>
      <c r="E2086" s="30">
        <v>2020</v>
      </c>
      <c r="F2086" s="30">
        <v>2020</v>
      </c>
      <c r="G2086" s="29" t="s">
        <v>16</v>
      </c>
      <c r="H2086" s="29">
        <v>200</v>
      </c>
      <c r="I2086" s="29">
        <v>200</v>
      </c>
      <c r="J2086" s="29"/>
      <c r="K2086" s="54"/>
      <c r="L2086" s="14" t="s">
        <v>330</v>
      </c>
      <c r="M2086" s="36" t="str">
        <f t="shared" si="32"/>
        <v>19670501</v>
      </c>
    </row>
    <row r="2087" s="1" customFormat="1" spans="1:13">
      <c r="A2087" s="2">
        <v>4225</v>
      </c>
      <c r="B2087" s="9" t="s">
        <v>8515</v>
      </c>
      <c r="C2087" s="9" t="s">
        <v>8651</v>
      </c>
      <c r="D2087" s="9" t="s">
        <v>8652</v>
      </c>
      <c r="E2087" s="5" t="s">
        <v>15</v>
      </c>
      <c r="F2087" s="5">
        <v>2020</v>
      </c>
      <c r="G2087" s="9" t="s">
        <v>2480</v>
      </c>
      <c r="H2087" s="9">
        <v>200</v>
      </c>
      <c r="I2087" s="9">
        <v>200</v>
      </c>
      <c r="J2087" s="9"/>
      <c r="K2087" s="9"/>
      <c r="L2087" s="10">
        <v>20201118</v>
      </c>
      <c r="M2087" s="36" t="str">
        <f t="shared" si="32"/>
        <v>19670501</v>
      </c>
    </row>
    <row r="2088" s="1" customFormat="1" spans="1:13">
      <c r="A2088" s="2">
        <v>6133</v>
      </c>
      <c r="B2088" s="5" t="s">
        <v>12263</v>
      </c>
      <c r="C2088" s="5" t="s">
        <v>6469</v>
      </c>
      <c r="D2088" s="5" t="s">
        <v>12302</v>
      </c>
      <c r="E2088" s="5" t="s">
        <v>10250</v>
      </c>
      <c r="F2088" s="5">
        <v>2020</v>
      </c>
      <c r="G2088" s="17" t="s">
        <v>3359</v>
      </c>
      <c r="H2088" s="5">
        <v>200</v>
      </c>
      <c r="I2088" s="5">
        <v>200</v>
      </c>
      <c r="J2088" s="5"/>
      <c r="K2088" s="5"/>
      <c r="L2088" s="10">
        <v>20201118</v>
      </c>
      <c r="M2088" s="36" t="str">
        <f t="shared" si="32"/>
        <v>19670502</v>
      </c>
    </row>
    <row r="2089" s="1" customFormat="1" spans="1:13">
      <c r="A2089" s="2">
        <v>776</v>
      </c>
      <c r="B2089" s="29" t="s">
        <v>1040</v>
      </c>
      <c r="C2089" s="5" t="s">
        <v>1978</v>
      </c>
      <c r="D2089" s="317" t="s">
        <v>1979</v>
      </c>
      <c r="E2089" s="30">
        <v>2020</v>
      </c>
      <c r="F2089" s="30">
        <v>2020</v>
      </c>
      <c r="G2089" s="29" t="s">
        <v>16</v>
      </c>
      <c r="H2089" s="29">
        <v>200</v>
      </c>
      <c r="I2089" s="29">
        <v>200</v>
      </c>
      <c r="J2089" s="32"/>
      <c r="K2089" s="32"/>
      <c r="L2089" s="2" t="s">
        <v>330</v>
      </c>
      <c r="M2089" s="36" t="str">
        <f t="shared" si="32"/>
        <v>19670503</v>
      </c>
    </row>
    <row r="2090" s="1" customFormat="1" spans="1:13">
      <c r="A2090" s="2">
        <v>6976</v>
      </c>
      <c r="B2090" s="5" t="s">
        <v>13533</v>
      </c>
      <c r="C2090" s="32" t="s">
        <v>13725</v>
      </c>
      <c r="D2090" s="32" t="str">
        <f>"152326196705037113"</f>
        <v>152326196705037113</v>
      </c>
      <c r="E2090" s="5">
        <v>2020</v>
      </c>
      <c r="F2090" s="5">
        <v>2020</v>
      </c>
      <c r="G2090" s="9" t="s">
        <v>2480</v>
      </c>
      <c r="H2090" s="32">
        <v>200</v>
      </c>
      <c r="I2090" s="32">
        <v>200</v>
      </c>
      <c r="J2090" s="32"/>
      <c r="K2090" s="10"/>
      <c r="L2090" s="10">
        <v>20201118</v>
      </c>
      <c r="M2090" s="36" t="str">
        <f t="shared" si="32"/>
        <v>19670503</v>
      </c>
    </row>
    <row r="2091" s="1" customFormat="1" spans="1:13">
      <c r="A2091" s="2">
        <v>3099</v>
      </c>
      <c r="B2091" s="3" t="s">
        <v>6671</v>
      </c>
      <c r="C2091" s="9" t="s">
        <v>6722</v>
      </c>
      <c r="D2091" s="9" t="s">
        <v>6723</v>
      </c>
      <c r="E2091" s="3" t="s">
        <v>15</v>
      </c>
      <c r="F2091" s="3" t="s">
        <v>15</v>
      </c>
      <c r="G2091" s="6" t="s">
        <v>3359</v>
      </c>
      <c r="H2091" s="9">
        <v>200</v>
      </c>
      <c r="I2091" s="9">
        <v>200</v>
      </c>
      <c r="J2091" s="6"/>
      <c r="K2091" s="5"/>
      <c r="L2091" s="10">
        <v>20201118</v>
      </c>
      <c r="M2091" s="36" t="str">
        <f t="shared" si="32"/>
        <v>19670504</v>
      </c>
    </row>
    <row r="2092" s="1" customFormat="1" spans="1:13">
      <c r="A2092" s="2">
        <v>3741</v>
      </c>
      <c r="B2092" s="5" t="s">
        <v>7412</v>
      </c>
      <c r="C2092" s="5" t="s">
        <v>7734</v>
      </c>
      <c r="D2092" s="5" t="s">
        <v>7735</v>
      </c>
      <c r="E2092" s="6">
        <v>2020</v>
      </c>
      <c r="F2092" s="6">
        <v>2020</v>
      </c>
      <c r="G2092" s="5" t="s">
        <v>3359</v>
      </c>
      <c r="H2092" s="5">
        <v>200</v>
      </c>
      <c r="I2092" s="5">
        <v>200</v>
      </c>
      <c r="J2092" s="5"/>
      <c r="K2092" s="5"/>
      <c r="L2092" s="10">
        <v>20201118</v>
      </c>
      <c r="M2092" s="36" t="str">
        <f t="shared" si="32"/>
        <v>19670504</v>
      </c>
    </row>
    <row r="2093" s="1" customFormat="1" ht="14.25" spans="1:13">
      <c r="A2093" s="2">
        <v>5280</v>
      </c>
      <c r="B2093" s="33" t="s">
        <v>10535</v>
      </c>
      <c r="C2093" s="34" t="s">
        <v>10676</v>
      </c>
      <c r="D2093" s="34" t="s">
        <v>10677</v>
      </c>
      <c r="E2093" s="35">
        <v>2020</v>
      </c>
      <c r="F2093" s="35">
        <v>2020</v>
      </c>
      <c r="G2093" s="35" t="s">
        <v>16</v>
      </c>
      <c r="H2093" s="34">
        <v>200</v>
      </c>
      <c r="I2093" s="34">
        <v>200</v>
      </c>
      <c r="J2093" s="49"/>
      <c r="K2093" s="10"/>
      <c r="L2093" s="10">
        <v>20201118</v>
      </c>
      <c r="M2093" s="36" t="str">
        <f t="shared" si="32"/>
        <v>19670504</v>
      </c>
    </row>
    <row r="2094" s="1" customFormat="1" spans="1:13">
      <c r="A2094" s="2">
        <v>7560</v>
      </c>
      <c r="B2094" s="5" t="s">
        <v>14402</v>
      </c>
      <c r="C2094" s="5" t="s">
        <v>14721</v>
      </c>
      <c r="D2094" s="5" t="s">
        <v>14722</v>
      </c>
      <c r="E2094" s="5">
        <v>2020</v>
      </c>
      <c r="F2094" s="5">
        <v>2020</v>
      </c>
      <c r="G2094" s="17" t="s">
        <v>16</v>
      </c>
      <c r="H2094" s="5">
        <v>200</v>
      </c>
      <c r="I2094" s="5">
        <v>200</v>
      </c>
      <c r="J2094" s="5"/>
      <c r="K2094" s="10"/>
      <c r="L2094" s="10">
        <v>20201118</v>
      </c>
      <c r="M2094" s="36" t="str">
        <f t="shared" si="32"/>
        <v>19670504</v>
      </c>
    </row>
    <row r="2095" s="1" customFormat="1" spans="1:13">
      <c r="A2095" s="2">
        <v>8020</v>
      </c>
      <c r="B2095" s="5" t="s">
        <v>15086</v>
      </c>
      <c r="C2095" s="6" t="s">
        <v>15295</v>
      </c>
      <c r="D2095" s="6" t="s">
        <v>15296</v>
      </c>
      <c r="E2095" s="5" t="s">
        <v>15</v>
      </c>
      <c r="F2095" s="5">
        <v>2020</v>
      </c>
      <c r="G2095" s="5" t="s">
        <v>16</v>
      </c>
      <c r="H2095" s="5">
        <v>200</v>
      </c>
      <c r="I2095" s="5">
        <v>200</v>
      </c>
      <c r="J2095" s="5"/>
      <c r="K2095" s="5"/>
      <c r="L2095" s="10">
        <v>20201118</v>
      </c>
      <c r="M2095" s="36" t="str">
        <f t="shared" si="32"/>
        <v>19670504</v>
      </c>
    </row>
    <row r="2096" s="1" customFormat="1" spans="1:13">
      <c r="A2096" s="2">
        <v>1017</v>
      </c>
      <c r="B2096" s="5" t="s">
        <v>2469</v>
      </c>
      <c r="C2096" s="9" t="s">
        <v>2625</v>
      </c>
      <c r="D2096" s="9" t="s">
        <v>2626</v>
      </c>
      <c r="E2096" s="5">
        <v>2020</v>
      </c>
      <c r="F2096" s="5">
        <v>2020</v>
      </c>
      <c r="G2096" s="9" t="s">
        <v>2480</v>
      </c>
      <c r="H2096" s="9">
        <v>200</v>
      </c>
      <c r="I2096" s="9">
        <v>200</v>
      </c>
      <c r="J2096" s="5"/>
      <c r="K2096" s="5"/>
      <c r="L2096" s="10">
        <v>20201118</v>
      </c>
      <c r="M2096" s="36" t="str">
        <f t="shared" si="32"/>
        <v>19670505</v>
      </c>
    </row>
    <row r="2097" s="1" customFormat="1" spans="1:13">
      <c r="A2097" s="2">
        <v>1828</v>
      </c>
      <c r="B2097" s="5" t="s">
        <v>4189</v>
      </c>
      <c r="C2097" s="16" t="s">
        <v>4221</v>
      </c>
      <c r="D2097" s="16" t="s">
        <v>4222</v>
      </c>
      <c r="E2097" s="5" t="s">
        <v>15</v>
      </c>
      <c r="F2097" s="5" t="s">
        <v>15</v>
      </c>
      <c r="G2097" s="5" t="s">
        <v>3359</v>
      </c>
      <c r="H2097" s="16">
        <v>200</v>
      </c>
      <c r="I2097" s="16">
        <v>200</v>
      </c>
      <c r="J2097" s="5"/>
      <c r="K2097" s="10"/>
      <c r="L2097" s="10">
        <v>20201118</v>
      </c>
      <c r="M2097" s="36" t="str">
        <f t="shared" si="32"/>
        <v>19670505</v>
      </c>
    </row>
    <row r="2098" s="1" customFormat="1" spans="1:13">
      <c r="A2098" s="2">
        <v>23</v>
      </c>
      <c r="B2098" s="31" t="s">
        <v>12</v>
      </c>
      <c r="C2098" s="17" t="s">
        <v>60</v>
      </c>
      <c r="D2098" s="17" t="s">
        <v>61</v>
      </c>
      <c r="E2098" s="3" t="s">
        <v>15</v>
      </c>
      <c r="F2098" s="3" t="s">
        <v>15</v>
      </c>
      <c r="G2098" s="2" t="s">
        <v>16</v>
      </c>
      <c r="H2098" s="17">
        <v>500</v>
      </c>
      <c r="I2098" s="17">
        <v>500</v>
      </c>
      <c r="J2098" s="31"/>
      <c r="K2098" s="17" t="s">
        <v>35</v>
      </c>
      <c r="L2098" s="10">
        <v>20201118</v>
      </c>
      <c r="M2098" s="36" t="str">
        <f t="shared" si="32"/>
        <v>19670506</v>
      </c>
    </row>
    <row r="2099" s="1" customFormat="1" spans="1:13">
      <c r="A2099" s="2">
        <v>350</v>
      </c>
      <c r="B2099" s="14" t="s">
        <v>327</v>
      </c>
      <c r="C2099" s="17" t="s">
        <v>937</v>
      </c>
      <c r="D2099" s="306" t="s">
        <v>938</v>
      </c>
      <c r="E2099" s="5">
        <v>2020</v>
      </c>
      <c r="F2099" s="5">
        <v>2020</v>
      </c>
      <c r="G2099" s="14" t="s">
        <v>16</v>
      </c>
      <c r="H2099" s="17">
        <v>200</v>
      </c>
      <c r="I2099" s="17">
        <v>200</v>
      </c>
      <c r="J2099" s="17"/>
      <c r="K2099" s="10"/>
      <c r="L2099" s="14" t="s">
        <v>330</v>
      </c>
      <c r="M2099" s="36" t="str">
        <f t="shared" si="32"/>
        <v>19670506</v>
      </c>
    </row>
    <row r="2100" s="1" customFormat="1" spans="1:13">
      <c r="A2100" s="2">
        <v>8197</v>
      </c>
      <c r="B2100" s="5" t="s">
        <v>15406</v>
      </c>
      <c r="C2100" s="6" t="s">
        <v>15578</v>
      </c>
      <c r="D2100" s="6" t="s">
        <v>15579</v>
      </c>
      <c r="E2100" s="5" t="s">
        <v>15</v>
      </c>
      <c r="F2100" s="5">
        <v>2020</v>
      </c>
      <c r="G2100" s="14" t="s">
        <v>16</v>
      </c>
      <c r="H2100" s="6">
        <v>200</v>
      </c>
      <c r="I2100" s="6">
        <v>200</v>
      </c>
      <c r="J2100" s="5"/>
      <c r="K2100" s="10"/>
      <c r="L2100" s="10">
        <v>20201118</v>
      </c>
      <c r="M2100" s="36" t="str">
        <f t="shared" si="32"/>
        <v>19670506</v>
      </c>
    </row>
    <row r="2101" s="1" customFormat="1" spans="1:13">
      <c r="A2101" s="2">
        <v>2585</v>
      </c>
      <c r="B2101" s="32" t="s">
        <v>5602</v>
      </c>
      <c r="C2101" s="9" t="s">
        <v>5705</v>
      </c>
      <c r="D2101" s="9" t="s">
        <v>5706</v>
      </c>
      <c r="E2101" s="32">
        <v>2020</v>
      </c>
      <c r="F2101" s="32">
        <v>2020</v>
      </c>
      <c r="G2101" s="32" t="s">
        <v>16</v>
      </c>
      <c r="H2101" s="9">
        <v>200</v>
      </c>
      <c r="I2101" s="9">
        <v>200</v>
      </c>
      <c r="J2101" s="32"/>
      <c r="K2101" s="52"/>
      <c r="L2101" s="10">
        <v>20201118</v>
      </c>
      <c r="M2101" s="36" t="str">
        <f t="shared" si="32"/>
        <v>19670508</v>
      </c>
    </row>
    <row r="2102" s="1" customFormat="1" spans="1:13">
      <c r="A2102" s="2">
        <v>3742</v>
      </c>
      <c r="B2102" s="5" t="s">
        <v>7412</v>
      </c>
      <c r="C2102" s="5" t="s">
        <v>7736</v>
      </c>
      <c r="D2102" s="5" t="s">
        <v>7737</v>
      </c>
      <c r="E2102" s="6">
        <v>2020</v>
      </c>
      <c r="F2102" s="6">
        <v>2020</v>
      </c>
      <c r="G2102" s="5" t="s">
        <v>3359</v>
      </c>
      <c r="H2102" s="5">
        <v>200</v>
      </c>
      <c r="I2102" s="5">
        <v>200</v>
      </c>
      <c r="J2102" s="5"/>
      <c r="K2102" s="5"/>
      <c r="L2102" s="10">
        <v>20201118</v>
      </c>
      <c r="M2102" s="36" t="str">
        <f t="shared" si="32"/>
        <v>19670508</v>
      </c>
    </row>
    <row r="2103" s="1" customFormat="1" spans="1:13">
      <c r="A2103" s="2">
        <v>4628</v>
      </c>
      <c r="B2103" s="6" t="s">
        <v>9015</v>
      </c>
      <c r="C2103" s="6" t="s">
        <v>9423</v>
      </c>
      <c r="D2103" s="6" t="s">
        <v>9424</v>
      </c>
      <c r="E2103" s="6">
        <v>2020</v>
      </c>
      <c r="F2103" s="6">
        <v>2020</v>
      </c>
      <c r="G2103" s="6" t="s">
        <v>16</v>
      </c>
      <c r="H2103" s="6">
        <v>200</v>
      </c>
      <c r="I2103" s="6">
        <v>200</v>
      </c>
      <c r="J2103" s="6"/>
      <c r="K2103" s="6"/>
      <c r="L2103" s="10">
        <v>20201118</v>
      </c>
      <c r="M2103" s="36" t="str">
        <f t="shared" si="32"/>
        <v>19670508</v>
      </c>
    </row>
    <row r="2104" s="1" customFormat="1" spans="1:13">
      <c r="A2104" s="2">
        <v>5674</v>
      </c>
      <c r="B2104" s="30" t="s">
        <v>11090</v>
      </c>
      <c r="C2104" s="30" t="s">
        <v>11433</v>
      </c>
      <c r="D2104" s="30" t="s">
        <v>11434</v>
      </c>
      <c r="E2104" s="5" t="s">
        <v>15</v>
      </c>
      <c r="F2104" s="5" t="s">
        <v>10250</v>
      </c>
      <c r="G2104" s="6" t="s">
        <v>16</v>
      </c>
      <c r="H2104" s="32">
        <v>200</v>
      </c>
      <c r="I2104" s="32">
        <v>200</v>
      </c>
      <c r="J2104" s="6"/>
      <c r="K2104" s="48"/>
      <c r="L2104" s="10">
        <v>20201118</v>
      </c>
      <c r="M2104" s="36" t="str">
        <f t="shared" si="32"/>
        <v>19670508</v>
      </c>
    </row>
    <row r="2105" s="1" customFormat="1" spans="1:13">
      <c r="A2105" s="2">
        <v>1018</v>
      </c>
      <c r="B2105" s="5" t="s">
        <v>2469</v>
      </c>
      <c r="C2105" s="9" t="s">
        <v>2627</v>
      </c>
      <c r="D2105" s="9" t="s">
        <v>2628</v>
      </c>
      <c r="E2105" s="5">
        <v>2020</v>
      </c>
      <c r="F2105" s="5">
        <v>2020</v>
      </c>
      <c r="G2105" s="9" t="s">
        <v>2480</v>
      </c>
      <c r="H2105" s="9">
        <v>200</v>
      </c>
      <c r="I2105" s="9">
        <v>200</v>
      </c>
      <c r="J2105" s="5"/>
      <c r="K2105" s="5"/>
      <c r="L2105" s="10">
        <v>20201118</v>
      </c>
      <c r="M2105" s="36" t="str">
        <f t="shared" si="32"/>
        <v>19670510</v>
      </c>
    </row>
    <row r="2106" s="1" customFormat="1" spans="1:13">
      <c r="A2106" s="2">
        <v>1019</v>
      </c>
      <c r="B2106" s="5" t="s">
        <v>2469</v>
      </c>
      <c r="C2106" s="9" t="s">
        <v>2629</v>
      </c>
      <c r="D2106" s="9" t="s">
        <v>2630</v>
      </c>
      <c r="E2106" s="5">
        <v>2020</v>
      </c>
      <c r="F2106" s="5">
        <v>2020</v>
      </c>
      <c r="G2106" s="9" t="s">
        <v>2480</v>
      </c>
      <c r="H2106" s="9">
        <v>200</v>
      </c>
      <c r="I2106" s="9">
        <v>200</v>
      </c>
      <c r="J2106" s="5"/>
      <c r="K2106" s="5"/>
      <c r="L2106" s="10">
        <v>20201118</v>
      </c>
      <c r="M2106" s="36" t="str">
        <f t="shared" si="32"/>
        <v>19670510</v>
      </c>
    </row>
    <row r="2107" s="1" customFormat="1" spans="1:13">
      <c r="A2107" s="2">
        <v>5632</v>
      </c>
      <c r="B2107" s="30" t="s">
        <v>11090</v>
      </c>
      <c r="C2107" s="30" t="s">
        <v>1095</v>
      </c>
      <c r="D2107" s="30" t="s">
        <v>11353</v>
      </c>
      <c r="E2107" s="5" t="s">
        <v>15</v>
      </c>
      <c r="F2107" s="5" t="s">
        <v>10250</v>
      </c>
      <c r="G2107" s="6" t="s">
        <v>16</v>
      </c>
      <c r="H2107" s="32">
        <v>500</v>
      </c>
      <c r="I2107" s="32">
        <v>500</v>
      </c>
      <c r="J2107" s="6"/>
      <c r="K2107" s="48"/>
      <c r="L2107" s="10">
        <v>20201118</v>
      </c>
      <c r="M2107" s="36" t="str">
        <f t="shared" si="32"/>
        <v>19670510</v>
      </c>
    </row>
    <row r="2108" s="1" customFormat="1" spans="1:13">
      <c r="A2108" s="2">
        <v>1538</v>
      </c>
      <c r="B2108" s="5" t="s">
        <v>3381</v>
      </c>
      <c r="C2108" s="9" t="s">
        <v>3641</v>
      </c>
      <c r="D2108" s="9" t="s">
        <v>3642</v>
      </c>
      <c r="E2108" s="5">
        <v>2020</v>
      </c>
      <c r="F2108" s="5">
        <v>2020</v>
      </c>
      <c r="G2108" s="14" t="s">
        <v>16</v>
      </c>
      <c r="H2108" s="6">
        <v>200</v>
      </c>
      <c r="I2108" s="6">
        <v>200</v>
      </c>
      <c r="J2108" s="5"/>
      <c r="K2108" s="13"/>
      <c r="L2108" s="10">
        <v>20201118</v>
      </c>
      <c r="M2108" s="36" t="str">
        <f t="shared" si="32"/>
        <v>19670512</v>
      </c>
    </row>
    <row r="2109" s="1" customFormat="1" spans="1:13">
      <c r="A2109" s="2">
        <v>5039</v>
      </c>
      <c r="B2109" s="6" t="s">
        <v>9954</v>
      </c>
      <c r="C2109" s="6" t="s">
        <v>10211</v>
      </c>
      <c r="D2109" s="6" t="s">
        <v>10212</v>
      </c>
      <c r="E2109" s="5" t="s">
        <v>15</v>
      </c>
      <c r="F2109" s="5" t="s">
        <v>15</v>
      </c>
      <c r="G2109" s="14" t="s">
        <v>16</v>
      </c>
      <c r="H2109" s="6">
        <v>500</v>
      </c>
      <c r="I2109" s="6">
        <v>500</v>
      </c>
      <c r="J2109" s="6"/>
      <c r="K2109" s="6"/>
      <c r="L2109" s="10">
        <v>20201118</v>
      </c>
      <c r="M2109" s="36" t="str">
        <f t="shared" si="32"/>
        <v>19670512</v>
      </c>
    </row>
    <row r="2110" s="1" customFormat="1" spans="1:13">
      <c r="A2110" s="2">
        <v>3743</v>
      </c>
      <c r="B2110" s="5" t="s">
        <v>7412</v>
      </c>
      <c r="C2110" s="5" t="s">
        <v>7738</v>
      </c>
      <c r="D2110" s="5" t="s">
        <v>7739</v>
      </c>
      <c r="E2110" s="6">
        <v>2020</v>
      </c>
      <c r="F2110" s="6">
        <v>2020</v>
      </c>
      <c r="G2110" s="5" t="s">
        <v>3359</v>
      </c>
      <c r="H2110" s="5">
        <v>200</v>
      </c>
      <c r="I2110" s="5">
        <v>200</v>
      </c>
      <c r="J2110" s="5"/>
      <c r="K2110" s="5"/>
      <c r="L2110" s="10">
        <v>20201118</v>
      </c>
      <c r="M2110" s="36" t="str">
        <f t="shared" si="32"/>
        <v>19670513</v>
      </c>
    </row>
    <row r="2111" s="1" customFormat="1" spans="1:13">
      <c r="A2111" s="2">
        <v>6472</v>
      </c>
      <c r="B2111" s="5" t="s">
        <v>12263</v>
      </c>
      <c r="C2111" s="5" t="s">
        <v>12947</v>
      </c>
      <c r="D2111" s="5" t="s">
        <v>12948</v>
      </c>
      <c r="E2111" s="5" t="s">
        <v>320</v>
      </c>
      <c r="F2111" s="5">
        <v>2020</v>
      </c>
      <c r="G2111" s="5" t="s">
        <v>295</v>
      </c>
      <c r="H2111" s="5">
        <v>200</v>
      </c>
      <c r="I2111" s="5">
        <v>1600</v>
      </c>
      <c r="J2111" s="5"/>
      <c r="K2111" s="5"/>
      <c r="L2111" s="10">
        <v>20201118</v>
      </c>
      <c r="M2111" s="36" t="str">
        <f t="shared" si="32"/>
        <v>19670513</v>
      </c>
    </row>
    <row r="2112" s="1" customFormat="1" spans="1:13">
      <c r="A2112" s="2">
        <v>3744</v>
      </c>
      <c r="B2112" s="5" t="s">
        <v>7412</v>
      </c>
      <c r="C2112" s="5" t="s">
        <v>7740</v>
      </c>
      <c r="D2112" s="5" t="s">
        <v>7741</v>
      </c>
      <c r="E2112" s="6">
        <v>2020</v>
      </c>
      <c r="F2112" s="6">
        <v>2020</v>
      </c>
      <c r="G2112" s="5" t="s">
        <v>3359</v>
      </c>
      <c r="H2112" s="5">
        <v>200</v>
      </c>
      <c r="I2112" s="5">
        <v>200</v>
      </c>
      <c r="J2112" s="5"/>
      <c r="K2112" s="5"/>
      <c r="L2112" s="10">
        <v>20201118</v>
      </c>
      <c r="M2112" s="36" t="str">
        <f t="shared" si="32"/>
        <v>19670517</v>
      </c>
    </row>
    <row r="2113" s="1" customFormat="1" spans="1:13">
      <c r="A2113" s="2">
        <v>4226</v>
      </c>
      <c r="B2113" s="9" t="s">
        <v>8515</v>
      </c>
      <c r="C2113" s="9" t="s">
        <v>8653</v>
      </c>
      <c r="D2113" s="9" t="s">
        <v>8654</v>
      </c>
      <c r="E2113" s="5" t="s">
        <v>15</v>
      </c>
      <c r="F2113" s="5">
        <v>2020</v>
      </c>
      <c r="G2113" s="9" t="s">
        <v>2480</v>
      </c>
      <c r="H2113" s="9">
        <v>200</v>
      </c>
      <c r="I2113" s="9">
        <v>200</v>
      </c>
      <c r="J2113" s="9"/>
      <c r="K2113" s="9"/>
      <c r="L2113" s="10">
        <v>20201118</v>
      </c>
      <c r="M2113" s="36" t="str">
        <f t="shared" si="32"/>
        <v>19670520</v>
      </c>
    </row>
    <row r="2114" s="1" customFormat="1" spans="1:13">
      <c r="A2114" s="2">
        <v>4227</v>
      </c>
      <c r="B2114" s="9" t="s">
        <v>8515</v>
      </c>
      <c r="C2114" s="9" t="s">
        <v>8655</v>
      </c>
      <c r="D2114" s="9" t="s">
        <v>8656</v>
      </c>
      <c r="E2114" s="5" t="s">
        <v>15</v>
      </c>
      <c r="F2114" s="5">
        <v>2020</v>
      </c>
      <c r="G2114" s="9" t="s">
        <v>2480</v>
      </c>
      <c r="H2114" s="9">
        <v>200</v>
      </c>
      <c r="I2114" s="9">
        <v>200</v>
      </c>
      <c r="J2114" s="9"/>
      <c r="K2114" s="9"/>
      <c r="L2114" s="10">
        <v>20201118</v>
      </c>
      <c r="M2114" s="36" t="str">
        <f t="shared" ref="M2114:M2177" si="33">MID(D2114,7,8)</f>
        <v>19670520</v>
      </c>
    </row>
    <row r="2115" s="1" customFormat="1" spans="1:13">
      <c r="A2115" s="2">
        <v>6977</v>
      </c>
      <c r="B2115" s="5" t="s">
        <v>13533</v>
      </c>
      <c r="C2115" s="32" t="s">
        <v>13726</v>
      </c>
      <c r="D2115" s="32" t="str">
        <f>"152326196705217114"</f>
        <v>152326196705217114</v>
      </c>
      <c r="E2115" s="5">
        <v>2020</v>
      </c>
      <c r="F2115" s="5">
        <v>2020</v>
      </c>
      <c r="G2115" s="9" t="s">
        <v>2480</v>
      </c>
      <c r="H2115" s="32">
        <v>200</v>
      </c>
      <c r="I2115" s="32">
        <v>200</v>
      </c>
      <c r="J2115" s="62"/>
      <c r="K2115" s="10"/>
      <c r="L2115" s="10">
        <v>20201118</v>
      </c>
      <c r="M2115" s="36" t="str">
        <f t="shared" si="33"/>
        <v>19670521</v>
      </c>
    </row>
    <row r="2116" s="1" customFormat="1" spans="1:13">
      <c r="A2116" s="2">
        <v>708</v>
      </c>
      <c r="B2116" s="29" t="s">
        <v>1040</v>
      </c>
      <c r="C2116" s="5" t="s">
        <v>1775</v>
      </c>
      <c r="D2116" s="5" t="s">
        <v>1776</v>
      </c>
      <c r="E2116" s="30">
        <v>2020</v>
      </c>
      <c r="F2116" s="30">
        <v>2020</v>
      </c>
      <c r="G2116" s="29" t="s">
        <v>16</v>
      </c>
      <c r="H2116" s="29">
        <v>200</v>
      </c>
      <c r="I2116" s="29">
        <v>200</v>
      </c>
      <c r="J2116" s="29"/>
      <c r="K2116" s="54"/>
      <c r="L2116" s="14" t="s">
        <v>330</v>
      </c>
      <c r="M2116" s="36" t="str">
        <f t="shared" si="33"/>
        <v>19670524</v>
      </c>
    </row>
    <row r="2117" s="1" customFormat="1" spans="1:13">
      <c r="A2117" s="2">
        <v>3120</v>
      </c>
      <c r="B2117" s="3" t="s">
        <v>6671</v>
      </c>
      <c r="C2117" s="9" t="s">
        <v>6762</v>
      </c>
      <c r="D2117" s="9" t="s">
        <v>6763</v>
      </c>
      <c r="E2117" s="3" t="s">
        <v>15</v>
      </c>
      <c r="F2117" s="3" t="s">
        <v>15</v>
      </c>
      <c r="G2117" s="6" t="s">
        <v>3359</v>
      </c>
      <c r="H2117" s="9">
        <v>200</v>
      </c>
      <c r="I2117" s="9">
        <v>200</v>
      </c>
      <c r="J2117" s="6"/>
      <c r="K2117" s="5"/>
      <c r="L2117" s="10">
        <v>20201118</v>
      </c>
      <c r="M2117" s="36" t="str">
        <f t="shared" si="33"/>
        <v>19670525</v>
      </c>
    </row>
    <row r="2118" s="1" customFormat="1" spans="1:13">
      <c r="A2118" s="2">
        <v>3745</v>
      </c>
      <c r="B2118" s="5" t="s">
        <v>7412</v>
      </c>
      <c r="C2118" s="5" t="s">
        <v>7742</v>
      </c>
      <c r="D2118" s="5" t="s">
        <v>7743</v>
      </c>
      <c r="E2118" s="6">
        <v>2020</v>
      </c>
      <c r="F2118" s="6">
        <v>2020</v>
      </c>
      <c r="G2118" s="5" t="s">
        <v>3359</v>
      </c>
      <c r="H2118" s="5">
        <v>200</v>
      </c>
      <c r="I2118" s="5">
        <v>200</v>
      </c>
      <c r="J2118" s="5"/>
      <c r="K2118" s="5"/>
      <c r="L2118" s="10">
        <v>20201118</v>
      </c>
      <c r="M2118" s="36" t="str">
        <f t="shared" si="33"/>
        <v>19670525</v>
      </c>
    </row>
    <row r="2119" s="1" customFormat="1" ht="14.25" spans="1:13">
      <c r="A2119" s="2">
        <v>2834</v>
      </c>
      <c r="B2119" s="6" t="s">
        <v>6075</v>
      </c>
      <c r="C2119" s="25" t="s">
        <v>6195</v>
      </c>
      <c r="D2119" s="26" t="s">
        <v>6196</v>
      </c>
      <c r="E2119" s="5" t="s">
        <v>15</v>
      </c>
      <c r="F2119" s="5">
        <v>2020</v>
      </c>
      <c r="G2119" s="6" t="s">
        <v>16</v>
      </c>
      <c r="H2119" s="6">
        <v>200</v>
      </c>
      <c r="I2119" s="6">
        <v>200</v>
      </c>
      <c r="J2119" s="6"/>
      <c r="K2119" s="10"/>
      <c r="L2119" s="10">
        <v>20201118</v>
      </c>
      <c r="M2119" s="36" t="str">
        <f t="shared" si="33"/>
        <v>19670529</v>
      </c>
    </row>
    <row r="2120" s="1" customFormat="1" spans="1:13">
      <c r="A2120" s="2">
        <v>1539</v>
      </c>
      <c r="B2120" s="5" t="s">
        <v>3381</v>
      </c>
      <c r="C2120" s="9" t="s">
        <v>3643</v>
      </c>
      <c r="D2120" s="9" t="s">
        <v>3644</v>
      </c>
      <c r="E2120" s="5">
        <v>2020</v>
      </c>
      <c r="F2120" s="5">
        <v>2020</v>
      </c>
      <c r="G2120" s="14" t="s">
        <v>16</v>
      </c>
      <c r="H2120" s="6">
        <v>200</v>
      </c>
      <c r="I2120" s="6">
        <v>200</v>
      </c>
      <c r="J2120" s="5"/>
      <c r="K2120" s="13"/>
      <c r="L2120" s="10">
        <v>20201118</v>
      </c>
      <c r="M2120" s="36" t="str">
        <f t="shared" si="33"/>
        <v>19670531</v>
      </c>
    </row>
    <row r="2121" s="1" customFormat="1" spans="1:13">
      <c r="A2121" s="2">
        <v>11</v>
      </c>
      <c r="B2121" s="2" t="s">
        <v>12</v>
      </c>
      <c r="C2121" s="2" t="s">
        <v>36</v>
      </c>
      <c r="D2121" s="2" t="s">
        <v>37</v>
      </c>
      <c r="E2121" s="3" t="s">
        <v>15</v>
      </c>
      <c r="F2121" s="3" t="s">
        <v>15</v>
      </c>
      <c r="G2121" s="2" t="s">
        <v>16</v>
      </c>
      <c r="H2121" s="2">
        <v>500</v>
      </c>
      <c r="I2121" s="2">
        <v>500</v>
      </c>
      <c r="J2121" s="2"/>
      <c r="K2121" s="2" t="s">
        <v>35</v>
      </c>
      <c r="L2121" s="10">
        <v>20201118</v>
      </c>
      <c r="M2121" s="36" t="str">
        <f t="shared" si="33"/>
        <v>19670601</v>
      </c>
    </row>
    <row r="2122" s="1" customFormat="1" spans="1:13">
      <c r="A2122" s="2">
        <v>573</v>
      </c>
      <c r="B2122" s="29" t="s">
        <v>1040</v>
      </c>
      <c r="C2122" s="29" t="s">
        <v>1422</v>
      </c>
      <c r="D2122" s="29" t="s">
        <v>1423</v>
      </c>
      <c r="E2122" s="30">
        <v>2020</v>
      </c>
      <c r="F2122" s="30">
        <v>2020</v>
      </c>
      <c r="G2122" s="29" t="s">
        <v>16</v>
      </c>
      <c r="H2122" s="29">
        <v>200</v>
      </c>
      <c r="I2122" s="29">
        <v>200</v>
      </c>
      <c r="J2122" s="29"/>
      <c r="K2122" s="47"/>
      <c r="L2122" s="14" t="s">
        <v>330</v>
      </c>
      <c r="M2122" s="36" t="str">
        <f t="shared" si="33"/>
        <v>19670601</v>
      </c>
    </row>
    <row r="2123" s="1" customFormat="1" spans="1:13">
      <c r="A2123" s="2">
        <v>6366</v>
      </c>
      <c r="B2123" s="5" t="s">
        <v>12263</v>
      </c>
      <c r="C2123" s="5" t="s">
        <v>12746</v>
      </c>
      <c r="D2123" s="5" t="s">
        <v>12747</v>
      </c>
      <c r="E2123" s="5" t="s">
        <v>10250</v>
      </c>
      <c r="F2123" s="5">
        <v>2020</v>
      </c>
      <c r="G2123" s="17" t="s">
        <v>3359</v>
      </c>
      <c r="H2123" s="5" t="s">
        <v>311</v>
      </c>
      <c r="I2123" s="5">
        <v>200</v>
      </c>
      <c r="J2123" s="5" t="s">
        <v>108</v>
      </c>
      <c r="K2123" s="5"/>
      <c r="L2123" s="10">
        <v>20201118</v>
      </c>
      <c r="M2123" s="36" t="str">
        <f t="shared" si="33"/>
        <v>19670602</v>
      </c>
    </row>
    <row r="2124" s="1" customFormat="1" spans="1:13">
      <c r="A2124" s="2">
        <v>5712</v>
      </c>
      <c r="B2124" s="30" t="s">
        <v>11090</v>
      </c>
      <c r="C2124" s="30" t="s">
        <v>11509</v>
      </c>
      <c r="D2124" s="30" t="s">
        <v>11510</v>
      </c>
      <c r="E2124" s="5" t="s">
        <v>15</v>
      </c>
      <c r="F2124" s="5" t="s">
        <v>10250</v>
      </c>
      <c r="G2124" s="6" t="s">
        <v>16</v>
      </c>
      <c r="H2124" s="32">
        <v>500</v>
      </c>
      <c r="I2124" s="32">
        <v>500</v>
      </c>
      <c r="J2124" s="6"/>
      <c r="K2124" s="48"/>
      <c r="L2124" s="10">
        <v>20201118</v>
      </c>
      <c r="M2124" s="36" t="str">
        <f t="shared" si="33"/>
        <v>19670607</v>
      </c>
    </row>
    <row r="2125" s="1" customFormat="1" spans="1:13">
      <c r="A2125" s="2">
        <v>3438</v>
      </c>
      <c r="B2125" s="5" t="s">
        <v>3375</v>
      </c>
      <c r="C2125" s="6" t="s">
        <v>7215</v>
      </c>
      <c r="D2125" s="6" t="str">
        <f>"152326196706086865"</f>
        <v>152326196706086865</v>
      </c>
      <c r="E2125" s="5" t="s">
        <v>15</v>
      </c>
      <c r="F2125" s="5">
        <v>2020</v>
      </c>
      <c r="G2125" s="14" t="s">
        <v>16</v>
      </c>
      <c r="H2125" s="17">
        <v>200</v>
      </c>
      <c r="I2125" s="17">
        <v>200</v>
      </c>
      <c r="J2125" s="6"/>
      <c r="K2125" s="10"/>
      <c r="L2125" s="10">
        <v>20201118</v>
      </c>
      <c r="M2125" s="36" t="str">
        <f t="shared" si="33"/>
        <v>19670608</v>
      </c>
    </row>
    <row r="2126" s="1" customFormat="1" spans="1:13">
      <c r="A2126" s="2">
        <v>8016</v>
      </c>
      <c r="B2126" s="5" t="s">
        <v>15086</v>
      </c>
      <c r="C2126" s="6" t="s">
        <v>15291</v>
      </c>
      <c r="D2126" s="6" t="str">
        <f>"152326196706086873"</f>
        <v>152326196706086873</v>
      </c>
      <c r="E2126" s="5" t="s">
        <v>15</v>
      </c>
      <c r="F2126" s="5">
        <v>2020</v>
      </c>
      <c r="G2126" s="5" t="s">
        <v>16</v>
      </c>
      <c r="H2126" s="5">
        <v>200</v>
      </c>
      <c r="I2126" s="5">
        <v>200</v>
      </c>
      <c r="J2126" s="5"/>
      <c r="K2126" s="5"/>
      <c r="L2126" s="10">
        <v>20201118</v>
      </c>
      <c r="M2126" s="36" t="str">
        <f t="shared" si="33"/>
        <v>19670608</v>
      </c>
    </row>
    <row r="2127" s="1" customFormat="1" ht="14.25" spans="1:13">
      <c r="A2127" s="2">
        <v>5991</v>
      </c>
      <c r="B2127" s="30" t="s">
        <v>11090</v>
      </c>
      <c r="C2127" s="32" t="s">
        <v>12027</v>
      </c>
      <c r="D2127" s="12" t="s">
        <v>12028</v>
      </c>
      <c r="E2127" s="5" t="s">
        <v>15</v>
      </c>
      <c r="F2127" s="5" t="s">
        <v>10250</v>
      </c>
      <c r="G2127" s="6" t="s">
        <v>16</v>
      </c>
      <c r="H2127" s="32">
        <v>200</v>
      </c>
      <c r="I2127" s="32">
        <v>200</v>
      </c>
      <c r="J2127" s="5"/>
      <c r="K2127" s="48"/>
      <c r="L2127" s="10">
        <v>20201118</v>
      </c>
      <c r="M2127" s="36" t="str">
        <f t="shared" si="33"/>
        <v>19670609</v>
      </c>
    </row>
    <row r="2128" s="1" customFormat="1" spans="1:13">
      <c r="A2128" s="2">
        <v>6981</v>
      </c>
      <c r="B2128" s="5" t="s">
        <v>13533</v>
      </c>
      <c r="C2128" s="32" t="s">
        <v>13730</v>
      </c>
      <c r="D2128" s="32" t="str">
        <f>"152326196706107128"</f>
        <v>152326196706107128</v>
      </c>
      <c r="E2128" s="5">
        <v>2020</v>
      </c>
      <c r="F2128" s="5">
        <v>2020</v>
      </c>
      <c r="G2128" s="9" t="s">
        <v>2480</v>
      </c>
      <c r="H2128" s="32">
        <v>200</v>
      </c>
      <c r="I2128" s="32">
        <v>200</v>
      </c>
      <c r="J2128" s="32"/>
      <c r="K2128" s="10"/>
      <c r="L2128" s="10">
        <v>20201118</v>
      </c>
      <c r="M2128" s="36" t="str">
        <f t="shared" si="33"/>
        <v>19670610</v>
      </c>
    </row>
    <row r="2129" s="1" customFormat="1" spans="1:13">
      <c r="A2129" s="2">
        <v>7330</v>
      </c>
      <c r="B2129" s="5" t="s">
        <v>13908</v>
      </c>
      <c r="C2129" s="5" t="s">
        <v>14293</v>
      </c>
      <c r="D2129" s="5" t="s">
        <v>14294</v>
      </c>
      <c r="E2129" s="5" t="s">
        <v>15</v>
      </c>
      <c r="F2129" s="5" t="s">
        <v>15</v>
      </c>
      <c r="G2129" s="14" t="s">
        <v>16</v>
      </c>
      <c r="H2129" s="17">
        <v>200</v>
      </c>
      <c r="I2129" s="17">
        <v>200</v>
      </c>
      <c r="J2129" s="5"/>
      <c r="K2129" s="10"/>
      <c r="L2129" s="10">
        <v>20201118</v>
      </c>
      <c r="M2129" s="36" t="str">
        <f t="shared" si="33"/>
        <v>19670610</v>
      </c>
    </row>
    <row r="2130" s="1" customFormat="1" ht="14.25" spans="1:13">
      <c r="A2130" s="2">
        <v>7759</v>
      </c>
      <c r="B2130" s="5" t="s">
        <v>14875</v>
      </c>
      <c r="C2130" s="51" t="s">
        <v>15003</v>
      </c>
      <c r="D2130" s="24" t="s">
        <v>15004</v>
      </c>
      <c r="E2130" s="6" t="s">
        <v>15</v>
      </c>
      <c r="F2130" s="6">
        <v>2020</v>
      </c>
      <c r="G2130" s="24" t="s">
        <v>14877</v>
      </c>
      <c r="H2130" s="6">
        <v>200</v>
      </c>
      <c r="I2130" s="6">
        <v>200</v>
      </c>
      <c r="J2130" s="6"/>
      <c r="K2130" s="10"/>
      <c r="L2130" s="10">
        <v>20201118</v>
      </c>
      <c r="M2130" s="36" t="str">
        <f t="shared" si="33"/>
        <v>19670610</v>
      </c>
    </row>
    <row r="2131" s="1" customFormat="1" spans="1:13">
      <c r="A2131" s="2">
        <v>6583</v>
      </c>
      <c r="B2131" s="5" t="s">
        <v>13027</v>
      </c>
      <c r="C2131" s="15" t="s">
        <v>13156</v>
      </c>
      <c r="D2131" s="15" t="s">
        <v>13157</v>
      </c>
      <c r="E2131" s="5">
        <v>2020</v>
      </c>
      <c r="F2131" s="5">
        <v>2020</v>
      </c>
      <c r="G2131" s="14" t="s">
        <v>16</v>
      </c>
      <c r="H2131" s="15">
        <v>200</v>
      </c>
      <c r="I2131" s="15">
        <v>200</v>
      </c>
      <c r="J2131" s="5"/>
      <c r="K2131" s="10"/>
      <c r="L2131" s="10">
        <v>20201118</v>
      </c>
      <c r="M2131" s="36" t="str">
        <f t="shared" si="33"/>
        <v>19670611</v>
      </c>
    </row>
    <row r="2132" s="1" customFormat="1" spans="1:13">
      <c r="A2132" s="2">
        <v>1020</v>
      </c>
      <c r="B2132" s="5" t="s">
        <v>2469</v>
      </c>
      <c r="C2132" s="9" t="s">
        <v>2631</v>
      </c>
      <c r="D2132" s="9" t="s">
        <v>2632</v>
      </c>
      <c r="E2132" s="5">
        <v>2020</v>
      </c>
      <c r="F2132" s="5">
        <v>2020</v>
      </c>
      <c r="G2132" s="9" t="s">
        <v>2480</v>
      </c>
      <c r="H2132" s="9">
        <v>200</v>
      </c>
      <c r="I2132" s="9">
        <v>200</v>
      </c>
      <c r="J2132" s="5"/>
      <c r="K2132" s="5"/>
      <c r="L2132" s="10">
        <v>20201118</v>
      </c>
      <c r="M2132" s="36" t="str">
        <f t="shared" si="33"/>
        <v>19670612</v>
      </c>
    </row>
    <row r="2133" s="1" customFormat="1" spans="1:13">
      <c r="A2133" s="2">
        <v>1021</v>
      </c>
      <c r="B2133" s="5" t="s">
        <v>2469</v>
      </c>
      <c r="C2133" s="9" t="s">
        <v>2633</v>
      </c>
      <c r="D2133" s="9" t="s">
        <v>2634</v>
      </c>
      <c r="E2133" s="5">
        <v>2020</v>
      </c>
      <c r="F2133" s="5">
        <v>2020</v>
      </c>
      <c r="G2133" s="9" t="s">
        <v>2480</v>
      </c>
      <c r="H2133" s="9">
        <v>200</v>
      </c>
      <c r="I2133" s="9">
        <v>200</v>
      </c>
      <c r="J2133" s="5"/>
      <c r="K2133" s="5"/>
      <c r="L2133" s="10">
        <v>20201118</v>
      </c>
      <c r="M2133" s="36" t="str">
        <f t="shared" si="33"/>
        <v>19670613</v>
      </c>
    </row>
    <row r="2134" s="1" customFormat="1" spans="1:13">
      <c r="A2134" s="2">
        <v>4912</v>
      </c>
      <c r="B2134" s="6" t="s">
        <v>9954</v>
      </c>
      <c r="C2134" s="60" t="s">
        <v>9965</v>
      </c>
      <c r="D2134" s="60" t="s">
        <v>9966</v>
      </c>
      <c r="E2134" s="5" t="s">
        <v>15</v>
      </c>
      <c r="F2134" s="5" t="s">
        <v>15</v>
      </c>
      <c r="G2134" s="14" t="s">
        <v>16</v>
      </c>
      <c r="H2134" s="6">
        <v>200</v>
      </c>
      <c r="I2134" s="6">
        <v>200</v>
      </c>
      <c r="J2134" s="6"/>
      <c r="K2134" s="6"/>
      <c r="L2134" s="10">
        <v>20201118</v>
      </c>
      <c r="M2134" s="36" t="str">
        <f t="shared" si="33"/>
        <v>19670613</v>
      </c>
    </row>
    <row r="2135" s="1" customFormat="1" spans="1:13">
      <c r="A2135" s="2">
        <v>6983</v>
      </c>
      <c r="B2135" s="5" t="s">
        <v>13533</v>
      </c>
      <c r="C2135" s="32" t="s">
        <v>13732</v>
      </c>
      <c r="D2135" s="32" t="str">
        <f>"152326196706167112"</f>
        <v>152326196706167112</v>
      </c>
      <c r="E2135" s="5">
        <v>2020</v>
      </c>
      <c r="F2135" s="5">
        <v>2020</v>
      </c>
      <c r="G2135" s="9" t="s">
        <v>2480</v>
      </c>
      <c r="H2135" s="32">
        <v>200</v>
      </c>
      <c r="I2135" s="32">
        <v>200</v>
      </c>
      <c r="J2135" s="62"/>
      <c r="K2135" s="10"/>
      <c r="L2135" s="10">
        <v>20201118</v>
      </c>
      <c r="M2135" s="36" t="str">
        <f t="shared" si="33"/>
        <v>19670616</v>
      </c>
    </row>
    <row r="2136" s="1" customFormat="1" spans="1:13">
      <c r="A2136" s="2">
        <v>7296</v>
      </c>
      <c r="B2136" s="5" t="s">
        <v>13908</v>
      </c>
      <c r="C2136" s="5" t="s">
        <v>14230</v>
      </c>
      <c r="D2136" s="5" t="s">
        <v>14231</v>
      </c>
      <c r="E2136" s="5" t="s">
        <v>15</v>
      </c>
      <c r="F2136" s="5" t="s">
        <v>15</v>
      </c>
      <c r="G2136" s="14" t="s">
        <v>16</v>
      </c>
      <c r="H2136" s="17">
        <v>200</v>
      </c>
      <c r="I2136" s="17">
        <v>200</v>
      </c>
      <c r="J2136" s="5"/>
      <c r="K2136" s="10"/>
      <c r="L2136" s="10">
        <v>20201118</v>
      </c>
      <c r="M2136" s="36" t="str">
        <f t="shared" si="33"/>
        <v>19670617</v>
      </c>
    </row>
    <row r="2137" s="1" customFormat="1" ht="14.25" spans="1:13">
      <c r="A2137" s="2">
        <v>2988</v>
      </c>
      <c r="B2137" s="6" t="s">
        <v>6075</v>
      </c>
      <c r="C2137" s="25" t="s">
        <v>6501</v>
      </c>
      <c r="D2137" s="26" t="s">
        <v>6502</v>
      </c>
      <c r="E2137" s="5" t="s">
        <v>15</v>
      </c>
      <c r="F2137" s="5">
        <v>2020</v>
      </c>
      <c r="G2137" s="6" t="s">
        <v>16</v>
      </c>
      <c r="H2137" s="6">
        <v>200</v>
      </c>
      <c r="I2137" s="6">
        <v>200</v>
      </c>
      <c r="J2137" s="6"/>
      <c r="K2137" s="10"/>
      <c r="L2137" s="10">
        <v>20201118</v>
      </c>
      <c r="M2137" s="36" t="str">
        <f t="shared" si="33"/>
        <v>19670619</v>
      </c>
    </row>
    <row r="2138" s="1" customFormat="1" spans="1:13">
      <c r="A2138" s="2">
        <v>3239</v>
      </c>
      <c r="B2138" s="3" t="s">
        <v>6671</v>
      </c>
      <c r="C2138" s="9" t="s">
        <v>6982</v>
      </c>
      <c r="D2138" s="9" t="s">
        <v>6983</v>
      </c>
      <c r="E2138" s="3" t="s">
        <v>15</v>
      </c>
      <c r="F2138" s="3" t="s">
        <v>15</v>
      </c>
      <c r="G2138" s="6" t="s">
        <v>3359</v>
      </c>
      <c r="H2138" s="9">
        <v>200</v>
      </c>
      <c r="I2138" s="9">
        <v>200</v>
      </c>
      <c r="J2138" s="6"/>
      <c r="K2138" s="5"/>
      <c r="L2138" s="10">
        <v>20201118</v>
      </c>
      <c r="M2138" s="36" t="str">
        <f t="shared" si="33"/>
        <v>19670619</v>
      </c>
    </row>
    <row r="2139" s="1" customFormat="1" spans="1:13">
      <c r="A2139" s="2">
        <v>2100</v>
      </c>
      <c r="B2139" s="5" t="s">
        <v>4189</v>
      </c>
      <c r="C2139" s="16" t="s">
        <v>4751</v>
      </c>
      <c r="D2139" s="16" t="s">
        <v>4752</v>
      </c>
      <c r="E2139" s="5" t="s">
        <v>15</v>
      </c>
      <c r="F2139" s="5" t="s">
        <v>15</v>
      </c>
      <c r="G2139" s="5" t="s">
        <v>3359</v>
      </c>
      <c r="H2139" s="16">
        <v>200</v>
      </c>
      <c r="I2139" s="16">
        <v>200</v>
      </c>
      <c r="J2139" s="5"/>
      <c r="K2139" s="10"/>
      <c r="L2139" s="10">
        <v>20201118</v>
      </c>
      <c r="M2139" s="36" t="str">
        <f t="shared" si="33"/>
        <v>19670627</v>
      </c>
    </row>
    <row r="2140" s="1" customFormat="1" spans="1:13">
      <c r="A2140" s="2">
        <v>5589</v>
      </c>
      <c r="B2140" s="30" t="s">
        <v>11090</v>
      </c>
      <c r="C2140" s="30" t="s">
        <v>11271</v>
      </c>
      <c r="D2140" s="30" t="s">
        <v>11272</v>
      </c>
      <c r="E2140" s="5" t="s">
        <v>15</v>
      </c>
      <c r="F2140" s="5" t="s">
        <v>10250</v>
      </c>
      <c r="G2140" s="6" t="s">
        <v>16</v>
      </c>
      <c r="H2140" s="32">
        <v>200</v>
      </c>
      <c r="I2140" s="32">
        <v>200</v>
      </c>
      <c r="J2140" s="6"/>
      <c r="K2140" s="48"/>
      <c r="L2140" s="10">
        <v>20201118</v>
      </c>
      <c r="M2140" s="36" t="str">
        <f t="shared" si="33"/>
        <v>19670629</v>
      </c>
    </row>
    <row r="2141" s="1" customFormat="1" spans="1:13">
      <c r="A2141" s="2">
        <v>5679</v>
      </c>
      <c r="B2141" s="30" t="s">
        <v>11090</v>
      </c>
      <c r="C2141" s="30" t="s">
        <v>11443</v>
      </c>
      <c r="D2141" s="30" t="s">
        <v>11444</v>
      </c>
      <c r="E2141" s="5" t="s">
        <v>15</v>
      </c>
      <c r="F2141" s="5" t="s">
        <v>10250</v>
      </c>
      <c r="G2141" s="6" t="s">
        <v>16</v>
      </c>
      <c r="H2141" s="32">
        <v>200</v>
      </c>
      <c r="I2141" s="32">
        <v>200</v>
      </c>
      <c r="J2141" s="6"/>
      <c r="K2141" s="48"/>
      <c r="L2141" s="10">
        <v>20201118</v>
      </c>
      <c r="M2141" s="36" t="str">
        <f t="shared" si="33"/>
        <v>19670629</v>
      </c>
    </row>
    <row r="2142" s="1" customFormat="1" spans="1:13">
      <c r="A2142" s="2">
        <v>6317</v>
      </c>
      <c r="B2142" s="5" t="s">
        <v>12263</v>
      </c>
      <c r="C2142" s="5" t="s">
        <v>12651</v>
      </c>
      <c r="D2142" s="5" t="s">
        <v>12652</v>
      </c>
      <c r="E2142" s="5" t="s">
        <v>10250</v>
      </c>
      <c r="F2142" s="5">
        <v>2020</v>
      </c>
      <c r="G2142" s="17" t="s">
        <v>3359</v>
      </c>
      <c r="H2142" s="5">
        <v>200</v>
      </c>
      <c r="I2142" s="5">
        <v>200</v>
      </c>
      <c r="J2142" s="5"/>
      <c r="K2142" s="5"/>
      <c r="L2142" s="10">
        <v>20201118</v>
      </c>
      <c r="M2142" s="36" t="str">
        <f t="shared" si="33"/>
        <v>19670629</v>
      </c>
    </row>
    <row r="2143" s="1" customFormat="1" spans="1:13">
      <c r="A2143" s="2">
        <v>206</v>
      </c>
      <c r="B2143" s="14" t="s">
        <v>327</v>
      </c>
      <c r="C2143" s="14" t="s">
        <v>506</v>
      </c>
      <c r="D2143" s="14" t="s">
        <v>507</v>
      </c>
      <c r="E2143" s="5">
        <v>2020</v>
      </c>
      <c r="F2143" s="5">
        <v>2020</v>
      </c>
      <c r="G2143" s="14" t="s">
        <v>16</v>
      </c>
      <c r="H2143" s="14">
        <v>200</v>
      </c>
      <c r="I2143" s="14">
        <v>200</v>
      </c>
      <c r="J2143" s="14"/>
      <c r="K2143" s="10"/>
      <c r="L2143" s="14" t="s">
        <v>330</v>
      </c>
      <c r="M2143" s="36" t="str">
        <f t="shared" si="33"/>
        <v>19670701</v>
      </c>
    </row>
    <row r="2144" s="1" customFormat="1" spans="1:13">
      <c r="A2144" s="2">
        <v>7239</v>
      </c>
      <c r="B2144" s="5" t="s">
        <v>13908</v>
      </c>
      <c r="C2144" s="5" t="s">
        <v>14122</v>
      </c>
      <c r="D2144" s="5" t="s">
        <v>14123</v>
      </c>
      <c r="E2144" s="5" t="s">
        <v>15</v>
      </c>
      <c r="F2144" s="5" t="s">
        <v>15</v>
      </c>
      <c r="G2144" s="14" t="s">
        <v>16</v>
      </c>
      <c r="H2144" s="17">
        <v>200</v>
      </c>
      <c r="I2144" s="17">
        <v>200</v>
      </c>
      <c r="J2144" s="5"/>
      <c r="K2144" s="10"/>
      <c r="L2144" s="10">
        <v>20201118</v>
      </c>
      <c r="M2144" s="36" t="str">
        <f t="shared" si="33"/>
        <v>19670701</v>
      </c>
    </row>
    <row r="2145" s="1" customFormat="1" spans="1:13">
      <c r="A2145" s="2">
        <v>1022</v>
      </c>
      <c r="B2145" s="5" t="s">
        <v>2469</v>
      </c>
      <c r="C2145" s="9" t="s">
        <v>2635</v>
      </c>
      <c r="D2145" s="9" t="s">
        <v>2636</v>
      </c>
      <c r="E2145" s="5">
        <v>2020</v>
      </c>
      <c r="F2145" s="5">
        <v>2020</v>
      </c>
      <c r="G2145" s="9" t="s">
        <v>2480</v>
      </c>
      <c r="H2145" s="9">
        <v>200</v>
      </c>
      <c r="I2145" s="9">
        <v>200</v>
      </c>
      <c r="J2145" s="5"/>
      <c r="K2145" s="5"/>
      <c r="L2145" s="10">
        <v>20201118</v>
      </c>
      <c r="M2145" s="36" t="str">
        <f t="shared" si="33"/>
        <v>19670702</v>
      </c>
    </row>
    <row r="2146" s="1" customFormat="1" spans="1:13">
      <c r="A2146" s="2">
        <v>1840</v>
      </c>
      <c r="B2146" s="5" t="s">
        <v>4189</v>
      </c>
      <c r="C2146" s="16" t="s">
        <v>4245</v>
      </c>
      <c r="D2146" s="16" t="s">
        <v>4246</v>
      </c>
      <c r="E2146" s="5" t="s">
        <v>15</v>
      </c>
      <c r="F2146" s="5" t="s">
        <v>15</v>
      </c>
      <c r="G2146" s="5" t="s">
        <v>3359</v>
      </c>
      <c r="H2146" s="16">
        <v>200</v>
      </c>
      <c r="I2146" s="16">
        <v>200</v>
      </c>
      <c r="J2146" s="5"/>
      <c r="K2146" s="10"/>
      <c r="L2146" s="10">
        <v>20201118</v>
      </c>
      <c r="M2146" s="36" t="str">
        <f t="shared" si="33"/>
        <v>19670704</v>
      </c>
    </row>
    <row r="2147" s="1" customFormat="1" spans="1:13">
      <c r="A2147" s="2">
        <v>2586</v>
      </c>
      <c r="B2147" s="32" t="s">
        <v>5602</v>
      </c>
      <c r="C2147" s="9" t="s">
        <v>5707</v>
      </c>
      <c r="D2147" s="9" t="s">
        <v>5708</v>
      </c>
      <c r="E2147" s="32">
        <v>2020</v>
      </c>
      <c r="F2147" s="32">
        <v>2020</v>
      </c>
      <c r="G2147" s="32" t="s">
        <v>16</v>
      </c>
      <c r="H2147" s="9">
        <v>200</v>
      </c>
      <c r="I2147" s="9">
        <v>200</v>
      </c>
      <c r="J2147" s="32"/>
      <c r="K2147" s="52"/>
      <c r="L2147" s="10">
        <v>20201118</v>
      </c>
      <c r="M2147" s="36" t="str">
        <f t="shared" si="33"/>
        <v>19670705</v>
      </c>
    </row>
    <row r="2148" s="1" customFormat="1" ht="14.25" spans="1:13">
      <c r="A2148" s="2">
        <v>5281</v>
      </c>
      <c r="B2148" s="33" t="s">
        <v>10535</v>
      </c>
      <c r="C2148" s="34" t="s">
        <v>10678</v>
      </c>
      <c r="D2148" s="34" t="s">
        <v>10679</v>
      </c>
      <c r="E2148" s="35">
        <v>2020</v>
      </c>
      <c r="F2148" s="35">
        <v>2020</v>
      </c>
      <c r="G2148" s="35" t="s">
        <v>16</v>
      </c>
      <c r="H2148" s="34">
        <v>200</v>
      </c>
      <c r="I2148" s="34">
        <v>200</v>
      </c>
      <c r="J2148" s="49"/>
      <c r="K2148" s="10"/>
      <c r="L2148" s="10">
        <v>20201118</v>
      </c>
      <c r="M2148" s="36" t="str">
        <f t="shared" si="33"/>
        <v>19670705</v>
      </c>
    </row>
    <row r="2149" s="1" customFormat="1" spans="1:13">
      <c r="A2149" s="2">
        <v>5683</v>
      </c>
      <c r="B2149" s="30" t="s">
        <v>11090</v>
      </c>
      <c r="C2149" s="30" t="s">
        <v>11451</v>
      </c>
      <c r="D2149" s="30" t="s">
        <v>11452</v>
      </c>
      <c r="E2149" s="5" t="s">
        <v>15</v>
      </c>
      <c r="F2149" s="5" t="s">
        <v>10250</v>
      </c>
      <c r="G2149" s="6" t="s">
        <v>16</v>
      </c>
      <c r="H2149" s="32">
        <v>200</v>
      </c>
      <c r="I2149" s="32">
        <v>200</v>
      </c>
      <c r="J2149" s="6"/>
      <c r="K2149" s="48"/>
      <c r="L2149" s="10">
        <v>20201118</v>
      </c>
      <c r="M2149" s="36" t="str">
        <f t="shared" si="33"/>
        <v>19670705</v>
      </c>
    </row>
    <row r="2150" s="1" customFormat="1" spans="1:13">
      <c r="A2150" s="2">
        <v>8013</v>
      </c>
      <c r="B2150" s="5" t="s">
        <v>15086</v>
      </c>
      <c r="C2150" s="6" t="s">
        <v>9635</v>
      </c>
      <c r="D2150" s="6" t="str">
        <f>"152326196707056895"</f>
        <v>152326196707056895</v>
      </c>
      <c r="E2150" s="5" t="s">
        <v>15</v>
      </c>
      <c r="F2150" s="5">
        <v>2020</v>
      </c>
      <c r="G2150" s="5" t="s">
        <v>16</v>
      </c>
      <c r="H2150" s="5">
        <v>200</v>
      </c>
      <c r="I2150" s="5">
        <v>200</v>
      </c>
      <c r="J2150" s="5"/>
      <c r="K2150" s="5"/>
      <c r="L2150" s="10">
        <v>20201118</v>
      </c>
      <c r="M2150" s="36" t="str">
        <f t="shared" si="33"/>
        <v>19670705</v>
      </c>
    </row>
    <row r="2151" s="1" customFormat="1" ht="14.25" spans="1:13">
      <c r="A2151" s="2">
        <v>2950</v>
      </c>
      <c r="B2151" s="6" t="s">
        <v>6075</v>
      </c>
      <c r="C2151" s="25" t="s">
        <v>6427</v>
      </c>
      <c r="D2151" s="26" t="s">
        <v>6428</v>
      </c>
      <c r="E2151" s="5" t="s">
        <v>15</v>
      </c>
      <c r="F2151" s="5">
        <v>2020</v>
      </c>
      <c r="G2151" s="6" t="s">
        <v>189</v>
      </c>
      <c r="H2151" s="6">
        <v>200</v>
      </c>
      <c r="I2151" s="6">
        <v>200</v>
      </c>
      <c r="J2151" s="6"/>
      <c r="K2151" s="10"/>
      <c r="L2151" s="10">
        <v>20201118</v>
      </c>
      <c r="M2151" s="36" t="str">
        <f t="shared" si="33"/>
        <v>19670706</v>
      </c>
    </row>
    <row r="2152" s="1" customFormat="1" spans="1:13">
      <c r="A2152" s="2">
        <v>6175</v>
      </c>
      <c r="B2152" s="5" t="s">
        <v>12263</v>
      </c>
      <c r="C2152" s="5" t="s">
        <v>8885</v>
      </c>
      <c r="D2152" s="5" t="s">
        <v>12381</v>
      </c>
      <c r="E2152" s="5" t="s">
        <v>10250</v>
      </c>
      <c r="F2152" s="5">
        <v>2020</v>
      </c>
      <c r="G2152" s="17" t="s">
        <v>3359</v>
      </c>
      <c r="H2152" s="5">
        <v>200</v>
      </c>
      <c r="I2152" s="5">
        <v>200</v>
      </c>
      <c r="J2152" s="5"/>
      <c r="K2152" s="5"/>
      <c r="L2152" s="10">
        <v>20201118</v>
      </c>
      <c r="M2152" s="36" t="str">
        <f t="shared" si="33"/>
        <v>19670706</v>
      </c>
    </row>
    <row r="2153" s="1" customFormat="1" spans="1:13">
      <c r="A2153" s="2">
        <v>8010</v>
      </c>
      <c r="B2153" s="5" t="s">
        <v>15086</v>
      </c>
      <c r="C2153" s="6" t="s">
        <v>15285</v>
      </c>
      <c r="D2153" s="6" t="str">
        <f>"152326196707066866"</f>
        <v>152326196707066866</v>
      </c>
      <c r="E2153" s="5" t="s">
        <v>15</v>
      </c>
      <c r="F2153" s="5">
        <v>2020</v>
      </c>
      <c r="G2153" s="5" t="s">
        <v>16</v>
      </c>
      <c r="H2153" s="5">
        <v>200</v>
      </c>
      <c r="I2153" s="5">
        <v>200</v>
      </c>
      <c r="J2153" s="5"/>
      <c r="K2153" s="5"/>
      <c r="L2153" s="10">
        <v>20201118</v>
      </c>
      <c r="M2153" s="36" t="str">
        <f t="shared" si="33"/>
        <v>19670706</v>
      </c>
    </row>
    <row r="2154" s="1" customFormat="1" spans="1:13">
      <c r="A2154" s="2">
        <v>4228</v>
      </c>
      <c r="B2154" s="9" t="s">
        <v>8515</v>
      </c>
      <c r="C2154" s="9" t="s">
        <v>8657</v>
      </c>
      <c r="D2154" s="9" t="s">
        <v>8658</v>
      </c>
      <c r="E2154" s="5" t="s">
        <v>15</v>
      </c>
      <c r="F2154" s="5">
        <v>2020</v>
      </c>
      <c r="G2154" s="9" t="s">
        <v>2480</v>
      </c>
      <c r="H2154" s="9">
        <v>200</v>
      </c>
      <c r="I2154" s="9">
        <v>200</v>
      </c>
      <c r="J2154" s="9" t="s">
        <v>3647</v>
      </c>
      <c r="K2154" s="9"/>
      <c r="L2154" s="10">
        <v>20201118</v>
      </c>
      <c r="M2154" s="36" t="str">
        <f t="shared" si="33"/>
        <v>19670708</v>
      </c>
    </row>
    <row r="2155" s="1" customFormat="1" spans="1:13">
      <c r="A2155" s="2">
        <v>8150</v>
      </c>
      <c r="B2155" s="5" t="s">
        <v>15406</v>
      </c>
      <c r="C2155" s="6" t="s">
        <v>15492</v>
      </c>
      <c r="D2155" s="6" t="s">
        <v>15493</v>
      </c>
      <c r="E2155" s="5" t="s">
        <v>15</v>
      </c>
      <c r="F2155" s="5">
        <v>2020</v>
      </c>
      <c r="G2155" s="14" t="s">
        <v>16</v>
      </c>
      <c r="H2155" s="6">
        <v>200</v>
      </c>
      <c r="I2155" s="6">
        <v>200</v>
      </c>
      <c r="J2155" s="5"/>
      <c r="K2155" s="10"/>
      <c r="L2155" s="10">
        <v>20201118</v>
      </c>
      <c r="M2155" s="36" t="str">
        <f t="shared" si="33"/>
        <v>19670708</v>
      </c>
    </row>
    <row r="2156" s="1" customFormat="1" spans="1:13">
      <c r="A2156" s="2">
        <v>699</v>
      </c>
      <c r="B2156" s="29" t="s">
        <v>1040</v>
      </c>
      <c r="C2156" s="5" t="s">
        <v>1749</v>
      </c>
      <c r="D2156" s="5" t="s">
        <v>1750</v>
      </c>
      <c r="E2156" s="30">
        <v>2020</v>
      </c>
      <c r="F2156" s="30">
        <v>2020</v>
      </c>
      <c r="G2156" s="29" t="s">
        <v>16</v>
      </c>
      <c r="H2156" s="29">
        <v>200</v>
      </c>
      <c r="I2156" s="29">
        <v>200</v>
      </c>
      <c r="J2156" s="29"/>
      <c r="K2156" s="54"/>
      <c r="L2156" s="2" t="s">
        <v>330</v>
      </c>
      <c r="M2156" s="36" t="str">
        <f t="shared" si="33"/>
        <v>19670712</v>
      </c>
    </row>
    <row r="2157" s="1" customFormat="1" spans="1:13">
      <c r="A2157" s="2">
        <v>6984</v>
      </c>
      <c r="B2157" s="5" t="s">
        <v>13533</v>
      </c>
      <c r="C2157" s="32" t="s">
        <v>8802</v>
      </c>
      <c r="D2157" s="32" t="str">
        <f>"152326196707157143"</f>
        <v>152326196707157143</v>
      </c>
      <c r="E2157" s="5">
        <v>2020</v>
      </c>
      <c r="F2157" s="5">
        <v>2020</v>
      </c>
      <c r="G2157" s="9" t="s">
        <v>2480</v>
      </c>
      <c r="H2157" s="32">
        <v>200</v>
      </c>
      <c r="I2157" s="32">
        <v>200</v>
      </c>
      <c r="J2157" s="32"/>
      <c r="K2157" s="10"/>
      <c r="L2157" s="10">
        <v>20201118</v>
      </c>
      <c r="M2157" s="36" t="str">
        <f t="shared" si="33"/>
        <v>19670715</v>
      </c>
    </row>
    <row r="2158" s="1" customFormat="1" spans="1:13">
      <c r="A2158" s="2">
        <v>8226</v>
      </c>
      <c r="B2158" s="5" t="s">
        <v>15406</v>
      </c>
      <c r="C2158" s="9" t="s">
        <v>15633</v>
      </c>
      <c r="D2158" s="9" t="s">
        <v>15634</v>
      </c>
      <c r="E2158" s="5" t="s">
        <v>310</v>
      </c>
      <c r="F2158" s="5">
        <v>2020</v>
      </c>
      <c r="G2158" s="5" t="s">
        <v>15635</v>
      </c>
      <c r="H2158" s="9" t="s">
        <v>1700</v>
      </c>
      <c r="I2158" s="5">
        <v>3000</v>
      </c>
      <c r="J2158" s="5"/>
      <c r="K2158" s="10"/>
      <c r="L2158" s="10">
        <v>20201118</v>
      </c>
      <c r="M2158" s="36" t="str">
        <f t="shared" si="33"/>
        <v>19670715</v>
      </c>
    </row>
    <row r="2159" s="1" customFormat="1" spans="1:13">
      <c r="A2159" s="2">
        <v>857</v>
      </c>
      <c r="B2159" s="29" t="s">
        <v>1040</v>
      </c>
      <c r="C2159" s="6" t="s">
        <v>2218</v>
      </c>
      <c r="D2159" s="6" t="s">
        <v>2219</v>
      </c>
      <c r="E2159" s="30">
        <v>2020</v>
      </c>
      <c r="F2159" s="30">
        <v>2020</v>
      </c>
      <c r="G2159" s="29" t="s">
        <v>16</v>
      </c>
      <c r="H2159" s="29">
        <v>200</v>
      </c>
      <c r="I2159" s="29">
        <v>200</v>
      </c>
      <c r="J2159" s="32"/>
      <c r="K2159" s="32"/>
      <c r="L2159" s="14" t="s">
        <v>330</v>
      </c>
      <c r="M2159" s="36" t="str">
        <f t="shared" si="33"/>
        <v>19670718</v>
      </c>
    </row>
    <row r="2160" s="1" customFormat="1" spans="1:13">
      <c r="A2160" s="2">
        <v>4723</v>
      </c>
      <c r="B2160" s="6" t="s">
        <v>9015</v>
      </c>
      <c r="C2160" s="6" t="s">
        <v>9603</v>
      </c>
      <c r="D2160" s="6" t="s">
        <v>9604</v>
      </c>
      <c r="E2160" s="6">
        <v>2020</v>
      </c>
      <c r="F2160" s="6">
        <v>2020</v>
      </c>
      <c r="G2160" s="6" t="s">
        <v>16</v>
      </c>
      <c r="H2160" s="6">
        <v>200</v>
      </c>
      <c r="I2160" s="6">
        <v>200</v>
      </c>
      <c r="J2160" s="6"/>
      <c r="K2160" s="6"/>
      <c r="L2160" s="10">
        <v>20201118</v>
      </c>
      <c r="M2160" s="36" t="str">
        <f t="shared" si="33"/>
        <v>19670719</v>
      </c>
    </row>
    <row r="2161" s="1" customFormat="1" spans="1:13">
      <c r="A2161" s="2">
        <v>8017</v>
      </c>
      <c r="B2161" s="5" t="s">
        <v>15086</v>
      </c>
      <c r="C2161" s="6" t="s">
        <v>15292</v>
      </c>
      <c r="D2161" s="6" t="str">
        <f>"152326196707206873"</f>
        <v>152326196707206873</v>
      </c>
      <c r="E2161" s="5" t="s">
        <v>15</v>
      </c>
      <c r="F2161" s="5">
        <v>2020</v>
      </c>
      <c r="G2161" s="5" t="s">
        <v>16</v>
      </c>
      <c r="H2161" s="5">
        <v>1000</v>
      </c>
      <c r="I2161" s="5">
        <v>1000</v>
      </c>
      <c r="J2161" s="5"/>
      <c r="K2161" s="5"/>
      <c r="L2161" s="10">
        <v>20201118</v>
      </c>
      <c r="M2161" s="36" t="str">
        <f t="shared" si="33"/>
        <v>19670720</v>
      </c>
    </row>
    <row r="2162" s="1" customFormat="1" ht="14.25" spans="1:13">
      <c r="A2162" s="2">
        <v>3056</v>
      </c>
      <c r="B2162" s="6" t="s">
        <v>6075</v>
      </c>
      <c r="C2162" s="9" t="s">
        <v>6634</v>
      </c>
      <c r="D2162" s="26" t="s">
        <v>6635</v>
      </c>
      <c r="E2162" s="5" t="s">
        <v>15</v>
      </c>
      <c r="F2162" s="5">
        <v>2020</v>
      </c>
      <c r="G2162" s="6" t="s">
        <v>16</v>
      </c>
      <c r="H2162" s="6">
        <v>200</v>
      </c>
      <c r="I2162" s="6">
        <v>200</v>
      </c>
      <c r="J2162" s="6"/>
      <c r="K2162" s="10"/>
      <c r="L2162" s="10">
        <v>20201118</v>
      </c>
      <c r="M2162" s="36" t="str">
        <f t="shared" si="33"/>
        <v>19670725</v>
      </c>
    </row>
    <row r="2163" s="1" customFormat="1" ht="14.25" spans="1:13">
      <c r="A2163" s="2">
        <v>2786</v>
      </c>
      <c r="B2163" s="6" t="s">
        <v>6075</v>
      </c>
      <c r="C2163" s="25" t="s">
        <v>6102</v>
      </c>
      <c r="D2163" s="26" t="s">
        <v>6103</v>
      </c>
      <c r="E2163" s="5" t="s">
        <v>15</v>
      </c>
      <c r="F2163" s="5">
        <v>2020</v>
      </c>
      <c r="G2163" s="6" t="s">
        <v>16</v>
      </c>
      <c r="H2163" s="6">
        <v>200</v>
      </c>
      <c r="I2163" s="6">
        <v>200</v>
      </c>
      <c r="J2163" s="6"/>
      <c r="K2163" s="10"/>
      <c r="L2163" s="10">
        <v>20201118</v>
      </c>
      <c r="M2163" s="36" t="str">
        <f t="shared" si="33"/>
        <v>19670726</v>
      </c>
    </row>
    <row r="2164" s="1" customFormat="1" ht="14.25" spans="1:13">
      <c r="A2164" s="2">
        <v>4411</v>
      </c>
      <c r="B2164" s="73" t="s">
        <v>8515</v>
      </c>
      <c r="C2164" s="74" t="s">
        <v>9009</v>
      </c>
      <c r="D2164" s="319" t="s">
        <v>9010</v>
      </c>
      <c r="E2164" s="5" t="s">
        <v>6651</v>
      </c>
      <c r="F2164" s="5">
        <v>2020</v>
      </c>
      <c r="G2164" s="74" t="s">
        <v>295</v>
      </c>
      <c r="H2164" s="73">
        <v>200</v>
      </c>
      <c r="I2164" s="73">
        <v>1400</v>
      </c>
      <c r="J2164" s="75"/>
      <c r="K2164" s="75"/>
      <c r="L2164" s="10">
        <v>20201118</v>
      </c>
      <c r="M2164" s="36" t="str">
        <f t="shared" si="33"/>
        <v>19670728</v>
      </c>
    </row>
    <row r="2165" s="1" customFormat="1" spans="1:13">
      <c r="A2165" s="2">
        <v>2220</v>
      </c>
      <c r="B2165" s="9" t="s">
        <v>4837</v>
      </c>
      <c r="C2165" s="9" t="s">
        <v>4987</v>
      </c>
      <c r="D2165" s="9" t="s">
        <v>4988</v>
      </c>
      <c r="E2165" s="6" t="s">
        <v>15</v>
      </c>
      <c r="F2165" s="6">
        <v>2020</v>
      </c>
      <c r="G2165" s="9" t="s">
        <v>2480</v>
      </c>
      <c r="H2165" s="9">
        <v>500</v>
      </c>
      <c r="I2165" s="9">
        <v>500</v>
      </c>
      <c r="J2165" s="6"/>
      <c r="K2165" s="10"/>
      <c r="L2165" s="10">
        <v>20201118</v>
      </c>
      <c r="M2165" s="36" t="str">
        <f t="shared" si="33"/>
        <v>19670729</v>
      </c>
    </row>
    <row r="2166" s="1" customFormat="1" spans="1:13">
      <c r="A2166" s="2">
        <v>2221</v>
      </c>
      <c r="B2166" s="9" t="s">
        <v>4837</v>
      </c>
      <c r="C2166" s="9" t="s">
        <v>4989</v>
      </c>
      <c r="D2166" s="9" t="s">
        <v>4990</v>
      </c>
      <c r="E2166" s="6" t="s">
        <v>15</v>
      </c>
      <c r="F2166" s="6">
        <v>2020</v>
      </c>
      <c r="G2166" s="9" t="s">
        <v>2480</v>
      </c>
      <c r="H2166" s="9">
        <v>200</v>
      </c>
      <c r="I2166" s="9">
        <v>200</v>
      </c>
      <c r="J2166" s="6"/>
      <c r="K2166" s="10"/>
      <c r="L2166" s="10">
        <v>20201118</v>
      </c>
      <c r="M2166" s="36" t="str">
        <f t="shared" si="33"/>
        <v>19670729</v>
      </c>
    </row>
    <row r="2167" s="1" customFormat="1" ht="14.25" spans="1:13">
      <c r="A2167" s="2">
        <v>2784</v>
      </c>
      <c r="B2167" s="6" t="s">
        <v>6075</v>
      </c>
      <c r="C2167" s="25" t="s">
        <v>6098</v>
      </c>
      <c r="D2167" s="26" t="s">
        <v>6099</v>
      </c>
      <c r="E2167" s="5" t="s">
        <v>15</v>
      </c>
      <c r="F2167" s="5">
        <v>2020</v>
      </c>
      <c r="G2167" s="6" t="s">
        <v>16</v>
      </c>
      <c r="H2167" s="6">
        <v>200</v>
      </c>
      <c r="I2167" s="6">
        <v>200</v>
      </c>
      <c r="J2167" s="6" t="s">
        <v>6097</v>
      </c>
      <c r="K2167" s="10"/>
      <c r="L2167" s="10">
        <v>20201118</v>
      </c>
      <c r="M2167" s="36" t="str">
        <f t="shared" si="33"/>
        <v>19670801</v>
      </c>
    </row>
    <row r="2168" s="1" customFormat="1" spans="1:13">
      <c r="A2168" s="2">
        <v>4229</v>
      </c>
      <c r="B2168" s="9" t="s">
        <v>8515</v>
      </c>
      <c r="C2168" s="9" t="s">
        <v>8659</v>
      </c>
      <c r="D2168" s="9" t="s">
        <v>8660</v>
      </c>
      <c r="E2168" s="5" t="s">
        <v>15</v>
      </c>
      <c r="F2168" s="5">
        <v>2020</v>
      </c>
      <c r="G2168" s="9" t="s">
        <v>2480</v>
      </c>
      <c r="H2168" s="9">
        <v>200</v>
      </c>
      <c r="I2168" s="9">
        <v>200</v>
      </c>
      <c r="J2168" s="9"/>
      <c r="K2168" s="9"/>
      <c r="L2168" s="10">
        <v>20201118</v>
      </c>
      <c r="M2168" s="36" t="str">
        <f t="shared" si="33"/>
        <v>19670801</v>
      </c>
    </row>
    <row r="2169" s="1" customFormat="1" spans="1:13">
      <c r="A2169" s="2">
        <v>2092</v>
      </c>
      <c r="B2169" s="5" t="s">
        <v>4189</v>
      </c>
      <c r="C2169" s="16" t="s">
        <v>4735</v>
      </c>
      <c r="D2169" s="16" t="s">
        <v>4736</v>
      </c>
      <c r="E2169" s="5" t="s">
        <v>15</v>
      </c>
      <c r="F2169" s="5" t="s">
        <v>15</v>
      </c>
      <c r="G2169" s="5" t="s">
        <v>3359</v>
      </c>
      <c r="H2169" s="16">
        <v>200</v>
      </c>
      <c r="I2169" s="16">
        <v>200</v>
      </c>
      <c r="J2169" s="5"/>
      <c r="K2169" s="10"/>
      <c r="L2169" s="10">
        <v>20201118</v>
      </c>
      <c r="M2169" s="36" t="str">
        <f t="shared" si="33"/>
        <v>19670802</v>
      </c>
    </row>
    <row r="2170" s="1" customFormat="1" ht="14.25" spans="1:13">
      <c r="A2170" s="2">
        <v>5282</v>
      </c>
      <c r="B2170" s="33" t="s">
        <v>10535</v>
      </c>
      <c r="C2170" s="34" t="s">
        <v>10680</v>
      </c>
      <c r="D2170" s="34" t="s">
        <v>10681</v>
      </c>
      <c r="E2170" s="35">
        <v>2020</v>
      </c>
      <c r="F2170" s="35">
        <v>2020</v>
      </c>
      <c r="G2170" s="35" t="s">
        <v>16</v>
      </c>
      <c r="H2170" s="34">
        <v>200</v>
      </c>
      <c r="I2170" s="34">
        <v>200</v>
      </c>
      <c r="J2170" s="49"/>
      <c r="K2170" s="10"/>
      <c r="L2170" s="10">
        <v>20201118</v>
      </c>
      <c r="M2170" s="36" t="str">
        <f t="shared" si="33"/>
        <v>19670805</v>
      </c>
    </row>
    <row r="2171" s="1" customFormat="1" spans="1:13">
      <c r="A2171" s="2">
        <v>6361</v>
      </c>
      <c r="B2171" s="5" t="s">
        <v>12263</v>
      </c>
      <c r="C2171" s="5" t="s">
        <v>12737</v>
      </c>
      <c r="D2171" s="5" t="s">
        <v>12738</v>
      </c>
      <c r="E2171" s="5" t="s">
        <v>10250</v>
      </c>
      <c r="F2171" s="5">
        <v>2020</v>
      </c>
      <c r="G2171" s="17" t="s">
        <v>3359</v>
      </c>
      <c r="H2171" s="5" t="s">
        <v>311</v>
      </c>
      <c r="I2171" s="5">
        <v>200</v>
      </c>
      <c r="J2171" s="5"/>
      <c r="K2171" s="5"/>
      <c r="L2171" s="10">
        <v>20201118</v>
      </c>
      <c r="M2171" s="36" t="str">
        <f t="shared" si="33"/>
        <v>19670805</v>
      </c>
    </row>
    <row r="2172" s="1" customFormat="1" spans="1:13">
      <c r="A2172" s="2">
        <v>1023</v>
      </c>
      <c r="B2172" s="5" t="s">
        <v>2469</v>
      </c>
      <c r="C2172" s="9" t="s">
        <v>2637</v>
      </c>
      <c r="D2172" s="9" t="s">
        <v>2638</v>
      </c>
      <c r="E2172" s="5">
        <v>2020</v>
      </c>
      <c r="F2172" s="5">
        <v>2020</v>
      </c>
      <c r="G2172" s="9" t="s">
        <v>2480</v>
      </c>
      <c r="H2172" s="9">
        <v>200</v>
      </c>
      <c r="I2172" s="9">
        <v>200</v>
      </c>
      <c r="J2172" s="5"/>
      <c r="K2172" s="5"/>
      <c r="L2172" s="10">
        <v>20201118</v>
      </c>
      <c r="M2172" s="36" t="str">
        <f t="shared" si="33"/>
        <v>19670806</v>
      </c>
    </row>
    <row r="2173" s="1" customFormat="1" ht="14.25" spans="1:13">
      <c r="A2173" s="2">
        <v>1540</v>
      </c>
      <c r="B2173" s="5" t="s">
        <v>3381</v>
      </c>
      <c r="C2173" s="9" t="s">
        <v>3645</v>
      </c>
      <c r="D2173" s="9" t="s">
        <v>3646</v>
      </c>
      <c r="E2173" s="5">
        <v>2020</v>
      </c>
      <c r="F2173" s="5">
        <v>2020</v>
      </c>
      <c r="G2173" s="14" t="s">
        <v>16</v>
      </c>
      <c r="H2173" s="6">
        <v>200</v>
      </c>
      <c r="I2173" s="6">
        <v>200</v>
      </c>
      <c r="J2173" s="24" t="s">
        <v>3647</v>
      </c>
      <c r="K2173" s="13"/>
      <c r="L2173" s="10">
        <v>20201118</v>
      </c>
      <c r="M2173" s="36" t="str">
        <f t="shared" si="33"/>
        <v>19670807</v>
      </c>
    </row>
    <row r="2174" s="1" customFormat="1" spans="1:13">
      <c r="A2174" s="2">
        <v>3746</v>
      </c>
      <c r="B2174" s="5" t="s">
        <v>7412</v>
      </c>
      <c r="C2174" s="5" t="s">
        <v>7744</v>
      </c>
      <c r="D2174" s="5" t="s">
        <v>7745</v>
      </c>
      <c r="E2174" s="6">
        <v>2020</v>
      </c>
      <c r="F2174" s="6">
        <v>2020</v>
      </c>
      <c r="G2174" s="5" t="s">
        <v>3359</v>
      </c>
      <c r="H2174" s="5">
        <v>200</v>
      </c>
      <c r="I2174" s="5">
        <v>200</v>
      </c>
      <c r="J2174" s="5"/>
      <c r="K2174" s="5"/>
      <c r="L2174" s="10">
        <v>20201118</v>
      </c>
      <c r="M2174" s="36" t="str">
        <f t="shared" si="33"/>
        <v>19670807</v>
      </c>
    </row>
    <row r="2175" s="1" customFormat="1" spans="1:13">
      <c r="A2175" s="2">
        <v>703</v>
      </c>
      <c r="B2175" s="29" t="s">
        <v>1040</v>
      </c>
      <c r="C2175" s="5" t="s">
        <v>1106</v>
      </c>
      <c r="D2175" s="5" t="s">
        <v>1761</v>
      </c>
      <c r="E2175" s="30">
        <v>2020</v>
      </c>
      <c r="F2175" s="30">
        <v>2020</v>
      </c>
      <c r="G2175" s="29" t="s">
        <v>16</v>
      </c>
      <c r="H2175" s="29">
        <v>200</v>
      </c>
      <c r="I2175" s="29">
        <v>200</v>
      </c>
      <c r="J2175" s="29"/>
      <c r="K2175" s="54"/>
      <c r="L2175" s="14" t="s">
        <v>330</v>
      </c>
      <c r="M2175" s="36" t="str">
        <f t="shared" si="33"/>
        <v>19670808</v>
      </c>
    </row>
    <row r="2176" s="1" customFormat="1" spans="1:13">
      <c r="A2176" s="2">
        <v>5948</v>
      </c>
      <c r="B2176" s="30" t="s">
        <v>11090</v>
      </c>
      <c r="C2176" s="6" t="s">
        <v>11943</v>
      </c>
      <c r="D2176" s="293" t="s">
        <v>11944</v>
      </c>
      <c r="E2176" s="5" t="s">
        <v>15</v>
      </c>
      <c r="F2176" s="5" t="s">
        <v>10250</v>
      </c>
      <c r="G2176" s="6" t="s">
        <v>16</v>
      </c>
      <c r="H2176" s="32">
        <v>200</v>
      </c>
      <c r="I2176" s="32">
        <v>200</v>
      </c>
      <c r="J2176" s="6" t="s">
        <v>6345</v>
      </c>
      <c r="K2176" s="48"/>
      <c r="L2176" s="10">
        <v>20201118</v>
      </c>
      <c r="M2176" s="36" t="str">
        <f t="shared" si="33"/>
        <v>19670809</v>
      </c>
    </row>
    <row r="2177" s="1" customFormat="1" spans="1:13">
      <c r="A2177" s="2">
        <v>3747</v>
      </c>
      <c r="B2177" s="5" t="s">
        <v>7412</v>
      </c>
      <c r="C2177" s="5" t="s">
        <v>7746</v>
      </c>
      <c r="D2177" s="5" t="s">
        <v>7747</v>
      </c>
      <c r="E2177" s="6">
        <v>2020</v>
      </c>
      <c r="F2177" s="6">
        <v>2020</v>
      </c>
      <c r="G2177" s="5" t="s">
        <v>3359</v>
      </c>
      <c r="H2177" s="5">
        <v>200</v>
      </c>
      <c r="I2177" s="5">
        <v>200</v>
      </c>
      <c r="J2177" s="5"/>
      <c r="K2177" s="5"/>
      <c r="L2177" s="10">
        <v>20201118</v>
      </c>
      <c r="M2177" s="36" t="str">
        <f t="shared" si="33"/>
        <v>19670810</v>
      </c>
    </row>
    <row r="2178" s="1" customFormat="1" spans="1:13">
      <c r="A2178" s="2">
        <v>6584</v>
      </c>
      <c r="B2178" s="5" t="s">
        <v>13027</v>
      </c>
      <c r="C2178" s="15" t="s">
        <v>13158</v>
      </c>
      <c r="D2178" s="15" t="s">
        <v>13159</v>
      </c>
      <c r="E2178" s="5">
        <v>2020</v>
      </c>
      <c r="F2178" s="5">
        <v>2020</v>
      </c>
      <c r="G2178" s="14" t="s">
        <v>16</v>
      </c>
      <c r="H2178" s="15">
        <v>200</v>
      </c>
      <c r="I2178" s="15">
        <v>200</v>
      </c>
      <c r="J2178" s="5"/>
      <c r="K2178" s="10"/>
      <c r="L2178" s="10">
        <v>20201118</v>
      </c>
      <c r="M2178" s="36" t="str">
        <f t="shared" ref="M2178:M2241" si="34">MID(D2178,7,8)</f>
        <v>19670815</v>
      </c>
    </row>
    <row r="2179" s="1" customFormat="1" spans="1:13">
      <c r="A2179" s="2">
        <v>691</v>
      </c>
      <c r="B2179" s="29" t="s">
        <v>1040</v>
      </c>
      <c r="C2179" s="47" t="s">
        <v>1725</v>
      </c>
      <c r="D2179" s="47" t="s">
        <v>1726</v>
      </c>
      <c r="E2179" s="30">
        <v>2020</v>
      </c>
      <c r="F2179" s="30">
        <v>2020</v>
      </c>
      <c r="G2179" s="29" t="s">
        <v>16</v>
      </c>
      <c r="H2179" s="29">
        <v>200</v>
      </c>
      <c r="I2179" s="29">
        <v>200</v>
      </c>
      <c r="J2179" s="29"/>
      <c r="K2179" s="54"/>
      <c r="L2179" s="14" t="s">
        <v>330</v>
      </c>
      <c r="M2179" s="36" t="str">
        <f t="shared" si="34"/>
        <v>19670816</v>
      </c>
    </row>
    <row r="2180" s="1" customFormat="1" spans="1:13">
      <c r="A2180" s="2">
        <v>7287</v>
      </c>
      <c r="B2180" s="5" t="s">
        <v>13908</v>
      </c>
      <c r="C2180" s="5" t="s">
        <v>14213</v>
      </c>
      <c r="D2180" s="5" t="s">
        <v>14214</v>
      </c>
      <c r="E2180" s="5" t="s">
        <v>15</v>
      </c>
      <c r="F2180" s="5" t="s">
        <v>15</v>
      </c>
      <c r="G2180" s="14" t="s">
        <v>16</v>
      </c>
      <c r="H2180" s="17">
        <v>200</v>
      </c>
      <c r="I2180" s="17">
        <v>200</v>
      </c>
      <c r="J2180" s="5"/>
      <c r="K2180" s="10"/>
      <c r="L2180" s="10">
        <v>20201118</v>
      </c>
      <c r="M2180" s="36" t="str">
        <f t="shared" si="34"/>
        <v>19670817</v>
      </c>
    </row>
    <row r="2181" s="1" customFormat="1" spans="1:13">
      <c r="A2181" s="2">
        <v>8018</v>
      </c>
      <c r="B2181" s="5" t="s">
        <v>15086</v>
      </c>
      <c r="C2181" s="6" t="s">
        <v>15293</v>
      </c>
      <c r="D2181" s="6" t="str">
        <f>"152326196708206875"</f>
        <v>152326196708206875</v>
      </c>
      <c r="E2181" s="5" t="s">
        <v>15</v>
      </c>
      <c r="F2181" s="5">
        <v>2020</v>
      </c>
      <c r="G2181" s="5" t="s">
        <v>16</v>
      </c>
      <c r="H2181" s="5">
        <v>200</v>
      </c>
      <c r="I2181" s="5">
        <v>200</v>
      </c>
      <c r="J2181" s="5"/>
      <c r="K2181" s="5"/>
      <c r="L2181" s="10">
        <v>20201118</v>
      </c>
      <c r="M2181" s="36" t="str">
        <f t="shared" si="34"/>
        <v>19670820</v>
      </c>
    </row>
    <row r="2182" s="1" customFormat="1" ht="14.25" spans="1:13">
      <c r="A2182" s="2">
        <v>2896</v>
      </c>
      <c r="B2182" s="6" t="s">
        <v>6075</v>
      </c>
      <c r="C2182" s="25" t="s">
        <v>6320</v>
      </c>
      <c r="D2182" s="26" t="s">
        <v>6321</v>
      </c>
      <c r="E2182" s="5" t="s">
        <v>15</v>
      </c>
      <c r="F2182" s="5">
        <v>2020</v>
      </c>
      <c r="G2182" s="6" t="s">
        <v>16</v>
      </c>
      <c r="H2182" s="6">
        <v>200</v>
      </c>
      <c r="I2182" s="6">
        <v>200</v>
      </c>
      <c r="J2182" s="6"/>
      <c r="K2182" s="10"/>
      <c r="L2182" s="10">
        <v>20201118</v>
      </c>
      <c r="M2182" s="36" t="str">
        <f t="shared" si="34"/>
        <v>19670822</v>
      </c>
    </row>
    <row r="2183" s="1" customFormat="1" spans="1:13">
      <c r="A2183" s="2">
        <v>7561</v>
      </c>
      <c r="B2183" s="5" t="s">
        <v>14402</v>
      </c>
      <c r="C2183" s="5" t="s">
        <v>14723</v>
      </c>
      <c r="D2183" s="5" t="s">
        <v>14724</v>
      </c>
      <c r="E2183" s="5">
        <v>2020</v>
      </c>
      <c r="F2183" s="5">
        <v>2020</v>
      </c>
      <c r="G2183" s="17" t="s">
        <v>16</v>
      </c>
      <c r="H2183" s="5">
        <v>200</v>
      </c>
      <c r="I2183" s="5">
        <v>200</v>
      </c>
      <c r="J2183" s="5"/>
      <c r="K2183" s="10"/>
      <c r="L2183" s="10">
        <v>20201118</v>
      </c>
      <c r="M2183" s="36" t="str">
        <f t="shared" si="34"/>
        <v>19670823</v>
      </c>
    </row>
    <row r="2184" s="1" customFormat="1" spans="1:13">
      <c r="A2184" s="2">
        <v>435</v>
      </c>
      <c r="B2184" s="29" t="s">
        <v>1040</v>
      </c>
      <c r="C2184" s="29" t="s">
        <v>1146</v>
      </c>
      <c r="D2184" s="29" t="s">
        <v>1147</v>
      </c>
      <c r="E2184" s="30">
        <v>2020</v>
      </c>
      <c r="F2184" s="30">
        <v>2020</v>
      </c>
      <c r="G2184" s="29" t="s">
        <v>16</v>
      </c>
      <c r="H2184" s="29">
        <v>200</v>
      </c>
      <c r="I2184" s="29">
        <v>200</v>
      </c>
      <c r="J2184" s="29"/>
      <c r="K2184" s="47"/>
      <c r="L2184" s="14" t="s">
        <v>330</v>
      </c>
      <c r="M2184" s="36" t="str">
        <f t="shared" si="34"/>
        <v>19670824</v>
      </c>
    </row>
    <row r="2185" s="1" customFormat="1" spans="1:13">
      <c r="A2185" s="2">
        <v>5667</v>
      </c>
      <c r="B2185" s="30" t="s">
        <v>11090</v>
      </c>
      <c r="C2185" s="30" t="s">
        <v>11419</v>
      </c>
      <c r="D2185" s="30" t="s">
        <v>11420</v>
      </c>
      <c r="E2185" s="5" t="s">
        <v>15</v>
      </c>
      <c r="F2185" s="5" t="s">
        <v>10250</v>
      </c>
      <c r="G2185" s="6" t="s">
        <v>16</v>
      </c>
      <c r="H2185" s="32">
        <v>500</v>
      </c>
      <c r="I2185" s="32">
        <v>500</v>
      </c>
      <c r="J2185" s="6"/>
      <c r="K2185" s="48"/>
      <c r="L2185" s="10">
        <v>20201118</v>
      </c>
      <c r="M2185" s="36" t="str">
        <f t="shared" si="34"/>
        <v>19670824</v>
      </c>
    </row>
    <row r="2186" s="1" customFormat="1" spans="1:13">
      <c r="A2186" s="2">
        <v>7156</v>
      </c>
      <c r="B2186" s="5" t="s">
        <v>13908</v>
      </c>
      <c r="C2186" s="5" t="s">
        <v>13970</v>
      </c>
      <c r="D2186" s="5" t="s">
        <v>13971</v>
      </c>
      <c r="E2186" s="5" t="s">
        <v>15</v>
      </c>
      <c r="F2186" s="5" t="s">
        <v>15</v>
      </c>
      <c r="G2186" s="14" t="s">
        <v>16</v>
      </c>
      <c r="H2186" s="17">
        <v>200</v>
      </c>
      <c r="I2186" s="17">
        <v>200</v>
      </c>
      <c r="J2186" s="5"/>
      <c r="K2186" s="10"/>
      <c r="L2186" s="10">
        <v>20201118</v>
      </c>
      <c r="M2186" s="36" t="str">
        <f t="shared" si="34"/>
        <v>19670825</v>
      </c>
    </row>
    <row r="2187" s="1" customFormat="1" spans="1:13">
      <c r="A2187" s="2">
        <v>382</v>
      </c>
      <c r="B2187" s="14" t="s">
        <v>327</v>
      </c>
      <c r="C2187" s="3" t="s">
        <v>1033</v>
      </c>
      <c r="D2187" s="315" t="s">
        <v>1034</v>
      </c>
      <c r="E2187" s="5">
        <v>2013</v>
      </c>
      <c r="F2187" s="5">
        <v>2020</v>
      </c>
      <c r="G2187" s="17" t="s">
        <v>1007</v>
      </c>
      <c r="H2187" s="3">
        <v>200</v>
      </c>
      <c r="I2187" s="3">
        <v>1600</v>
      </c>
      <c r="J2187" s="3"/>
      <c r="K2187" s="10"/>
      <c r="L2187" s="14" t="s">
        <v>330</v>
      </c>
      <c r="M2187" s="36" t="str">
        <f t="shared" si="34"/>
        <v>19670827</v>
      </c>
    </row>
    <row r="2188" s="1" customFormat="1" spans="1:13">
      <c r="A2188" s="2">
        <v>1024</v>
      </c>
      <c r="B2188" s="5" t="s">
        <v>2469</v>
      </c>
      <c r="C2188" s="9" t="s">
        <v>2639</v>
      </c>
      <c r="D2188" s="9" t="s">
        <v>2640</v>
      </c>
      <c r="E2188" s="5">
        <v>2020</v>
      </c>
      <c r="F2188" s="5">
        <v>2020</v>
      </c>
      <c r="G2188" s="9" t="s">
        <v>2480</v>
      </c>
      <c r="H2188" s="9">
        <v>200</v>
      </c>
      <c r="I2188" s="9">
        <v>200</v>
      </c>
      <c r="J2188" s="5"/>
      <c r="K2188" s="5"/>
      <c r="L2188" s="10">
        <v>20201118</v>
      </c>
      <c r="M2188" s="36" t="str">
        <f t="shared" si="34"/>
        <v>19670829</v>
      </c>
    </row>
    <row r="2189" s="1" customFormat="1" spans="1:13">
      <c r="A2189" s="2">
        <v>3748</v>
      </c>
      <c r="B2189" s="5" t="s">
        <v>7412</v>
      </c>
      <c r="C2189" s="5" t="s">
        <v>7748</v>
      </c>
      <c r="D2189" s="5" t="s">
        <v>7749</v>
      </c>
      <c r="E2189" s="6">
        <v>2020</v>
      </c>
      <c r="F2189" s="6">
        <v>2020</v>
      </c>
      <c r="G2189" s="5" t="s">
        <v>3359</v>
      </c>
      <c r="H2189" s="5">
        <v>200</v>
      </c>
      <c r="I2189" s="5">
        <v>200</v>
      </c>
      <c r="J2189" s="5"/>
      <c r="K2189" s="5"/>
      <c r="L2189" s="10">
        <v>20201118</v>
      </c>
      <c r="M2189" s="36" t="str">
        <f t="shared" si="34"/>
        <v>19670829</v>
      </c>
    </row>
    <row r="2190" s="1" customFormat="1" spans="1:13">
      <c r="A2190" s="2">
        <v>3437</v>
      </c>
      <c r="B2190" s="5" t="s">
        <v>3375</v>
      </c>
      <c r="C2190" s="6" t="s">
        <v>7214</v>
      </c>
      <c r="D2190" s="6" t="str">
        <f>"152326196708306876"</f>
        <v>152326196708306876</v>
      </c>
      <c r="E2190" s="5" t="s">
        <v>15</v>
      </c>
      <c r="F2190" s="5">
        <v>2020</v>
      </c>
      <c r="G2190" s="14" t="s">
        <v>16</v>
      </c>
      <c r="H2190" s="17">
        <v>200</v>
      </c>
      <c r="I2190" s="17">
        <v>200</v>
      </c>
      <c r="J2190" s="6"/>
      <c r="K2190" s="10"/>
      <c r="L2190" s="10">
        <v>20201118</v>
      </c>
      <c r="M2190" s="36" t="str">
        <f t="shared" si="34"/>
        <v>19670830</v>
      </c>
    </row>
    <row r="2191" s="1" customFormat="1" ht="14.25" spans="1:13">
      <c r="A2191" s="2">
        <v>5283</v>
      </c>
      <c r="B2191" s="33" t="s">
        <v>10535</v>
      </c>
      <c r="C2191" s="34" t="s">
        <v>10682</v>
      </c>
      <c r="D2191" s="34" t="s">
        <v>10683</v>
      </c>
      <c r="E2191" s="35">
        <v>2020</v>
      </c>
      <c r="F2191" s="35">
        <v>2020</v>
      </c>
      <c r="G2191" s="35" t="s">
        <v>16</v>
      </c>
      <c r="H2191" s="34">
        <v>200</v>
      </c>
      <c r="I2191" s="34">
        <v>200</v>
      </c>
      <c r="J2191" s="49"/>
      <c r="K2191" s="10"/>
      <c r="L2191" s="10">
        <v>20201118</v>
      </c>
      <c r="M2191" s="36" t="str">
        <f t="shared" si="34"/>
        <v>19670830</v>
      </c>
    </row>
    <row r="2192" s="1" customFormat="1" spans="1:13">
      <c r="A2192" s="2">
        <v>5735</v>
      </c>
      <c r="B2192" s="30" t="s">
        <v>11090</v>
      </c>
      <c r="C2192" s="30" t="s">
        <v>11554</v>
      </c>
      <c r="D2192" s="30" t="s">
        <v>11555</v>
      </c>
      <c r="E2192" s="5" t="s">
        <v>15</v>
      </c>
      <c r="F2192" s="5" t="s">
        <v>10250</v>
      </c>
      <c r="G2192" s="6" t="s">
        <v>16</v>
      </c>
      <c r="H2192" s="32">
        <v>200</v>
      </c>
      <c r="I2192" s="32">
        <v>200</v>
      </c>
      <c r="J2192" s="6"/>
      <c r="K2192" s="48"/>
      <c r="L2192" s="10">
        <v>20201118</v>
      </c>
      <c r="M2192" s="36" t="str">
        <f t="shared" si="34"/>
        <v>19670830</v>
      </c>
    </row>
    <row r="2193" s="1" customFormat="1" spans="1:13">
      <c r="A2193" s="2">
        <v>6980</v>
      </c>
      <c r="B2193" s="5" t="s">
        <v>13533</v>
      </c>
      <c r="C2193" s="32" t="s">
        <v>13729</v>
      </c>
      <c r="D2193" s="32" t="str">
        <f>"152326196709027115"</f>
        <v>152326196709027115</v>
      </c>
      <c r="E2193" s="5">
        <v>2020</v>
      </c>
      <c r="F2193" s="5">
        <v>2020</v>
      </c>
      <c r="G2193" s="9" t="s">
        <v>2480</v>
      </c>
      <c r="H2193" s="32">
        <v>200</v>
      </c>
      <c r="I2193" s="32">
        <v>200</v>
      </c>
      <c r="J2193" s="32"/>
      <c r="K2193" s="10"/>
      <c r="L2193" s="10">
        <v>20201118</v>
      </c>
      <c r="M2193" s="36" t="str">
        <f t="shared" si="34"/>
        <v>19670902</v>
      </c>
    </row>
    <row r="2194" s="1" customFormat="1" spans="1:13">
      <c r="A2194" s="2">
        <v>6245</v>
      </c>
      <c r="B2194" s="5" t="s">
        <v>12263</v>
      </c>
      <c r="C2194" s="5" t="s">
        <v>12512</v>
      </c>
      <c r="D2194" s="5" t="s">
        <v>12513</v>
      </c>
      <c r="E2194" s="5" t="s">
        <v>10250</v>
      </c>
      <c r="F2194" s="5">
        <v>2020</v>
      </c>
      <c r="G2194" s="17" t="s">
        <v>3359</v>
      </c>
      <c r="H2194" s="5">
        <v>200</v>
      </c>
      <c r="I2194" s="5">
        <v>200</v>
      </c>
      <c r="J2194" s="5"/>
      <c r="K2194" s="5"/>
      <c r="L2194" s="10">
        <v>20201118</v>
      </c>
      <c r="M2194" s="36" t="str">
        <f t="shared" si="34"/>
        <v>19670905</v>
      </c>
    </row>
    <row r="2195" s="1" customFormat="1" spans="1:13">
      <c r="A2195" s="2">
        <v>1541</v>
      </c>
      <c r="B2195" s="5" t="s">
        <v>3381</v>
      </c>
      <c r="C2195" s="9" t="s">
        <v>3648</v>
      </c>
      <c r="D2195" s="9" t="s">
        <v>3649</v>
      </c>
      <c r="E2195" s="5">
        <v>2020</v>
      </c>
      <c r="F2195" s="5">
        <v>2020</v>
      </c>
      <c r="G2195" s="14" t="s">
        <v>16</v>
      </c>
      <c r="H2195" s="6">
        <v>200</v>
      </c>
      <c r="I2195" s="6">
        <v>200</v>
      </c>
      <c r="J2195" s="5"/>
      <c r="K2195" s="13"/>
      <c r="L2195" s="10">
        <v>20201118</v>
      </c>
      <c r="M2195" s="36" t="str">
        <f t="shared" si="34"/>
        <v>19670906</v>
      </c>
    </row>
    <row r="2196" s="1" customFormat="1" ht="14.25" spans="1:13">
      <c r="A2196" s="2">
        <v>1542</v>
      </c>
      <c r="B2196" s="5" t="s">
        <v>3381</v>
      </c>
      <c r="C2196" s="9" t="s">
        <v>3650</v>
      </c>
      <c r="D2196" s="9" t="s">
        <v>3651</v>
      </c>
      <c r="E2196" s="5">
        <v>2020</v>
      </c>
      <c r="F2196" s="5">
        <v>2020</v>
      </c>
      <c r="G2196" s="14" t="s">
        <v>16</v>
      </c>
      <c r="H2196" s="6">
        <v>200</v>
      </c>
      <c r="I2196" s="6">
        <v>200</v>
      </c>
      <c r="J2196" s="24" t="s">
        <v>3405</v>
      </c>
      <c r="K2196" s="13"/>
      <c r="L2196" s="10">
        <v>20201118</v>
      </c>
      <c r="M2196" s="36" t="str">
        <f t="shared" si="34"/>
        <v>19670909</v>
      </c>
    </row>
    <row r="2197" s="1" customFormat="1" spans="1:13">
      <c r="A2197" s="2">
        <v>4731</v>
      </c>
      <c r="B2197" s="6" t="s">
        <v>9015</v>
      </c>
      <c r="C2197" s="6" t="s">
        <v>9619</v>
      </c>
      <c r="D2197" s="6" t="s">
        <v>9620</v>
      </c>
      <c r="E2197" s="6">
        <v>2020</v>
      </c>
      <c r="F2197" s="6">
        <v>2020</v>
      </c>
      <c r="G2197" s="6" t="s">
        <v>16</v>
      </c>
      <c r="H2197" s="6">
        <v>200</v>
      </c>
      <c r="I2197" s="6">
        <v>200</v>
      </c>
      <c r="J2197" s="6"/>
      <c r="K2197" s="6"/>
      <c r="L2197" s="10">
        <v>20201118</v>
      </c>
      <c r="M2197" s="36" t="str">
        <f t="shared" si="34"/>
        <v>19670909</v>
      </c>
    </row>
    <row r="2198" s="1" customFormat="1" spans="1:13">
      <c r="A2198" s="2">
        <v>2587</v>
      </c>
      <c r="B2198" s="32" t="s">
        <v>5602</v>
      </c>
      <c r="C2198" s="9" t="s">
        <v>5709</v>
      </c>
      <c r="D2198" s="9" t="s">
        <v>5710</v>
      </c>
      <c r="E2198" s="32">
        <v>2020</v>
      </c>
      <c r="F2198" s="32">
        <v>2020</v>
      </c>
      <c r="G2198" s="32" t="s">
        <v>16</v>
      </c>
      <c r="H2198" s="9">
        <v>200</v>
      </c>
      <c r="I2198" s="9">
        <v>200</v>
      </c>
      <c r="J2198" s="32"/>
      <c r="K2198" s="52"/>
      <c r="L2198" s="10">
        <v>20201118</v>
      </c>
      <c r="M2198" s="36" t="str">
        <f t="shared" si="34"/>
        <v>19670910</v>
      </c>
    </row>
    <row r="2199" s="1" customFormat="1" spans="1:13">
      <c r="A2199" s="2">
        <v>2222</v>
      </c>
      <c r="B2199" s="9" t="s">
        <v>4837</v>
      </c>
      <c r="C2199" s="9" t="s">
        <v>4991</v>
      </c>
      <c r="D2199" s="9" t="s">
        <v>4992</v>
      </c>
      <c r="E2199" s="6" t="s">
        <v>15</v>
      </c>
      <c r="F2199" s="6">
        <v>2020</v>
      </c>
      <c r="G2199" s="9" t="s">
        <v>2480</v>
      </c>
      <c r="H2199" s="9">
        <v>200</v>
      </c>
      <c r="I2199" s="9">
        <v>200</v>
      </c>
      <c r="J2199" s="6" t="s">
        <v>768</v>
      </c>
      <c r="K2199" s="10"/>
      <c r="L2199" s="10">
        <v>20201118</v>
      </c>
      <c r="M2199" s="36" t="str">
        <f t="shared" si="34"/>
        <v>19670914</v>
      </c>
    </row>
    <row r="2200" s="1" customFormat="1" spans="1:13">
      <c r="A2200" s="2">
        <v>4745</v>
      </c>
      <c r="B2200" s="6" t="s">
        <v>9015</v>
      </c>
      <c r="C2200" s="6" t="s">
        <v>9647</v>
      </c>
      <c r="D2200" s="6" t="s">
        <v>9648</v>
      </c>
      <c r="E2200" s="6">
        <v>2020</v>
      </c>
      <c r="F2200" s="6">
        <v>2020</v>
      </c>
      <c r="G2200" s="6" t="s">
        <v>16</v>
      </c>
      <c r="H2200" s="6">
        <v>200</v>
      </c>
      <c r="I2200" s="6">
        <v>200</v>
      </c>
      <c r="J2200" s="6"/>
      <c r="K2200" s="6"/>
      <c r="L2200" s="10">
        <v>20201118</v>
      </c>
      <c r="M2200" s="36" t="str">
        <f t="shared" si="34"/>
        <v>19670914</v>
      </c>
    </row>
    <row r="2201" s="1" customFormat="1" spans="1:13">
      <c r="A2201" s="2">
        <v>8107</v>
      </c>
      <c r="B2201" s="5" t="s">
        <v>15406</v>
      </c>
      <c r="C2201" s="6" t="s">
        <v>15409</v>
      </c>
      <c r="D2201" s="6" t="s">
        <v>15410</v>
      </c>
      <c r="E2201" s="5" t="s">
        <v>15</v>
      </c>
      <c r="F2201" s="5">
        <v>2020</v>
      </c>
      <c r="G2201" s="14" t="s">
        <v>16</v>
      </c>
      <c r="H2201" s="6">
        <v>200</v>
      </c>
      <c r="I2201" s="6">
        <v>200</v>
      </c>
      <c r="J2201" s="5"/>
      <c r="K2201" s="10"/>
      <c r="L2201" s="10">
        <v>20201118</v>
      </c>
      <c r="M2201" s="36" t="str">
        <f t="shared" si="34"/>
        <v>19670915</v>
      </c>
    </row>
    <row r="2202" s="1" customFormat="1" spans="1:13">
      <c r="A2202" s="2">
        <v>6487</v>
      </c>
      <c r="B2202" s="5" t="s">
        <v>12263</v>
      </c>
      <c r="C2202" s="5" t="s">
        <v>12977</v>
      </c>
      <c r="D2202" s="5" t="s">
        <v>12978</v>
      </c>
      <c r="E2202" s="5" t="s">
        <v>1047</v>
      </c>
      <c r="F2202" s="5">
        <v>2020</v>
      </c>
      <c r="G2202" s="5" t="s">
        <v>289</v>
      </c>
      <c r="H2202" s="5">
        <v>200</v>
      </c>
      <c r="I2202" s="5">
        <v>400</v>
      </c>
      <c r="J2202" s="5"/>
      <c r="K2202" s="5"/>
      <c r="L2202" s="10">
        <v>20201118</v>
      </c>
      <c r="M2202" s="36" t="str">
        <f t="shared" si="34"/>
        <v>19670917</v>
      </c>
    </row>
    <row r="2203" s="1" customFormat="1" spans="1:13">
      <c r="A2203" s="2">
        <v>286</v>
      </c>
      <c r="B2203" s="14" t="s">
        <v>327</v>
      </c>
      <c r="C2203" s="17" t="s">
        <v>744</v>
      </c>
      <c r="D2203" s="306" t="s">
        <v>745</v>
      </c>
      <c r="E2203" s="5">
        <v>2020</v>
      </c>
      <c r="F2203" s="5">
        <v>2020</v>
      </c>
      <c r="G2203" s="14" t="s">
        <v>16</v>
      </c>
      <c r="H2203" s="17">
        <v>200</v>
      </c>
      <c r="I2203" s="17">
        <v>200</v>
      </c>
      <c r="J2203" s="17"/>
      <c r="K2203" s="10"/>
      <c r="L2203" s="14" t="s">
        <v>330</v>
      </c>
      <c r="M2203" s="36" t="str">
        <f t="shared" si="34"/>
        <v>19670918</v>
      </c>
    </row>
    <row r="2204" s="1" customFormat="1" spans="1:13">
      <c r="A2204" s="2">
        <v>5699</v>
      </c>
      <c r="B2204" s="30" t="s">
        <v>11090</v>
      </c>
      <c r="C2204" s="30" t="s">
        <v>11483</v>
      </c>
      <c r="D2204" s="30" t="s">
        <v>11484</v>
      </c>
      <c r="E2204" s="5" t="s">
        <v>15</v>
      </c>
      <c r="F2204" s="5" t="s">
        <v>10250</v>
      </c>
      <c r="G2204" s="6" t="s">
        <v>16</v>
      </c>
      <c r="H2204" s="32">
        <v>500</v>
      </c>
      <c r="I2204" s="32">
        <v>500</v>
      </c>
      <c r="J2204" s="6"/>
      <c r="K2204" s="48"/>
      <c r="L2204" s="10">
        <v>20201118</v>
      </c>
      <c r="M2204" s="36" t="str">
        <f t="shared" si="34"/>
        <v>19670918</v>
      </c>
    </row>
    <row r="2205" s="1" customFormat="1" spans="1:13">
      <c r="A2205" s="2">
        <v>1025</v>
      </c>
      <c r="B2205" s="5" t="s">
        <v>2469</v>
      </c>
      <c r="C2205" s="9" t="s">
        <v>2641</v>
      </c>
      <c r="D2205" s="9" t="s">
        <v>2642</v>
      </c>
      <c r="E2205" s="5">
        <v>2020</v>
      </c>
      <c r="F2205" s="5">
        <v>2020</v>
      </c>
      <c r="G2205" s="9" t="s">
        <v>2480</v>
      </c>
      <c r="H2205" s="9">
        <v>200</v>
      </c>
      <c r="I2205" s="9">
        <v>200</v>
      </c>
      <c r="J2205" s="5"/>
      <c r="K2205" s="5"/>
      <c r="L2205" s="10">
        <v>20201118</v>
      </c>
      <c r="M2205" s="36" t="str">
        <f t="shared" si="34"/>
        <v>19670919</v>
      </c>
    </row>
    <row r="2206" s="1" customFormat="1" spans="1:13">
      <c r="A2206" s="2">
        <v>5099</v>
      </c>
      <c r="B2206" s="6" t="s">
        <v>10242</v>
      </c>
      <c r="C2206" s="9" t="s">
        <v>10328</v>
      </c>
      <c r="D2206" s="9" t="s">
        <v>10329</v>
      </c>
      <c r="E2206" s="5" t="s">
        <v>10250</v>
      </c>
      <c r="F2206" s="5">
        <v>2020</v>
      </c>
      <c r="G2206" s="6" t="s">
        <v>16</v>
      </c>
      <c r="H2206" s="6">
        <v>200</v>
      </c>
      <c r="I2206" s="6">
        <v>200</v>
      </c>
      <c r="J2206" s="6"/>
      <c r="K2206" s="5"/>
      <c r="L2206" s="10">
        <v>20201118</v>
      </c>
      <c r="M2206" s="36" t="str">
        <f t="shared" si="34"/>
        <v>19670919</v>
      </c>
    </row>
    <row r="2207" s="1" customFormat="1" spans="1:13">
      <c r="A2207" s="2">
        <v>3117</v>
      </c>
      <c r="B2207" s="3" t="s">
        <v>6671</v>
      </c>
      <c r="C2207" s="9" t="s">
        <v>6756</v>
      </c>
      <c r="D2207" s="9" t="s">
        <v>6757</v>
      </c>
      <c r="E2207" s="3" t="s">
        <v>15</v>
      </c>
      <c r="F2207" s="3" t="s">
        <v>15</v>
      </c>
      <c r="G2207" s="6" t="s">
        <v>3359</v>
      </c>
      <c r="H2207" s="9">
        <v>200</v>
      </c>
      <c r="I2207" s="9">
        <v>200</v>
      </c>
      <c r="J2207" s="6"/>
      <c r="K2207" s="5"/>
      <c r="L2207" s="10">
        <v>20201118</v>
      </c>
      <c r="M2207" s="36" t="str">
        <f t="shared" si="34"/>
        <v>19670921</v>
      </c>
    </row>
    <row r="2208" s="1" customFormat="1" spans="1:13">
      <c r="A2208" s="2">
        <v>5576</v>
      </c>
      <c r="B2208" s="30" t="s">
        <v>11090</v>
      </c>
      <c r="C2208" s="30" t="s">
        <v>11246</v>
      </c>
      <c r="D2208" s="30" t="s">
        <v>11247</v>
      </c>
      <c r="E2208" s="5" t="s">
        <v>15</v>
      </c>
      <c r="F2208" s="5" t="s">
        <v>10250</v>
      </c>
      <c r="G2208" s="6" t="s">
        <v>16</v>
      </c>
      <c r="H2208" s="32">
        <v>200</v>
      </c>
      <c r="I2208" s="32">
        <v>200</v>
      </c>
      <c r="J2208" s="6"/>
      <c r="K2208" s="48"/>
      <c r="L2208" s="10">
        <v>20201118</v>
      </c>
      <c r="M2208" s="36" t="str">
        <f t="shared" si="34"/>
        <v>19670922</v>
      </c>
    </row>
    <row r="2209" s="1" customFormat="1" spans="1:13">
      <c r="A2209" s="2">
        <v>6127</v>
      </c>
      <c r="B2209" s="5" t="s">
        <v>12263</v>
      </c>
      <c r="C2209" s="5" t="s">
        <v>12290</v>
      </c>
      <c r="D2209" s="5" t="s">
        <v>12291</v>
      </c>
      <c r="E2209" s="5" t="s">
        <v>10250</v>
      </c>
      <c r="F2209" s="5">
        <v>2020</v>
      </c>
      <c r="G2209" s="17" t="s">
        <v>3359</v>
      </c>
      <c r="H2209" s="5">
        <v>200</v>
      </c>
      <c r="I2209" s="5">
        <v>200</v>
      </c>
      <c r="J2209" s="5"/>
      <c r="K2209" s="5"/>
      <c r="L2209" s="10">
        <v>20201118</v>
      </c>
      <c r="M2209" s="36" t="str">
        <f t="shared" si="34"/>
        <v>19670923</v>
      </c>
    </row>
    <row r="2210" s="1" customFormat="1" spans="1:13">
      <c r="A2210" s="2">
        <v>6114</v>
      </c>
      <c r="B2210" s="5" t="s">
        <v>12263</v>
      </c>
      <c r="C2210" s="17" t="s">
        <v>2898</v>
      </c>
      <c r="D2210" s="18" t="s">
        <v>12266</v>
      </c>
      <c r="E2210" s="5" t="s">
        <v>10245</v>
      </c>
      <c r="F2210" s="5">
        <v>2020</v>
      </c>
      <c r="G2210" s="17" t="s">
        <v>3359</v>
      </c>
      <c r="H2210" s="17">
        <v>200</v>
      </c>
      <c r="I2210" s="17">
        <v>200</v>
      </c>
      <c r="J2210" s="17"/>
      <c r="K2210" s="5"/>
      <c r="L2210" s="10">
        <v>20201118</v>
      </c>
      <c r="M2210" s="36" t="str">
        <f t="shared" si="34"/>
        <v>19670924</v>
      </c>
    </row>
    <row r="2211" s="1" customFormat="1" spans="1:13">
      <c r="A2211" s="2">
        <v>3749</v>
      </c>
      <c r="B2211" s="5" t="s">
        <v>7412</v>
      </c>
      <c r="C2211" s="5" t="s">
        <v>7750</v>
      </c>
      <c r="D2211" s="5" t="s">
        <v>7751</v>
      </c>
      <c r="E2211" s="6">
        <v>2020</v>
      </c>
      <c r="F2211" s="6">
        <v>2020</v>
      </c>
      <c r="G2211" s="5" t="s">
        <v>3359</v>
      </c>
      <c r="H2211" s="5">
        <v>200</v>
      </c>
      <c r="I2211" s="5">
        <v>200</v>
      </c>
      <c r="J2211" s="5"/>
      <c r="K2211" s="5"/>
      <c r="L2211" s="10">
        <v>20201118</v>
      </c>
      <c r="M2211" s="36" t="str">
        <f t="shared" si="34"/>
        <v>19670929</v>
      </c>
    </row>
    <row r="2212" s="1" customFormat="1" spans="1:13">
      <c r="A2212" s="2">
        <v>736</v>
      </c>
      <c r="B2212" s="29" t="s">
        <v>1040</v>
      </c>
      <c r="C2212" s="5" t="s">
        <v>1858</v>
      </c>
      <c r="D2212" s="317" t="s">
        <v>1859</v>
      </c>
      <c r="E2212" s="30">
        <v>2020</v>
      </c>
      <c r="F2212" s="30">
        <v>2020</v>
      </c>
      <c r="G2212" s="29" t="s">
        <v>16</v>
      </c>
      <c r="H2212" s="29">
        <v>200</v>
      </c>
      <c r="I2212" s="29">
        <v>200</v>
      </c>
      <c r="J2212" s="32"/>
      <c r="K2212" s="32"/>
      <c r="L2212" s="14" t="s">
        <v>330</v>
      </c>
      <c r="M2212" s="36" t="str">
        <f t="shared" si="34"/>
        <v>19671001</v>
      </c>
    </row>
    <row r="2213" s="1" customFormat="1" spans="1:13">
      <c r="A2213" s="2">
        <v>3750</v>
      </c>
      <c r="B2213" s="5" t="s">
        <v>7412</v>
      </c>
      <c r="C2213" s="5" t="s">
        <v>7752</v>
      </c>
      <c r="D2213" s="5" t="s">
        <v>7753</v>
      </c>
      <c r="E2213" s="6">
        <v>2020</v>
      </c>
      <c r="F2213" s="6">
        <v>2020</v>
      </c>
      <c r="G2213" s="5" t="s">
        <v>3359</v>
      </c>
      <c r="H2213" s="5">
        <v>200</v>
      </c>
      <c r="I2213" s="5">
        <v>200</v>
      </c>
      <c r="J2213" s="5"/>
      <c r="K2213" s="5"/>
      <c r="L2213" s="10">
        <v>20201118</v>
      </c>
      <c r="M2213" s="36" t="str">
        <f t="shared" si="34"/>
        <v>19671002</v>
      </c>
    </row>
    <row r="2214" s="1" customFormat="1" spans="1:13">
      <c r="A2214" s="2">
        <v>4230</v>
      </c>
      <c r="B2214" s="9" t="s">
        <v>8515</v>
      </c>
      <c r="C2214" s="9" t="s">
        <v>8661</v>
      </c>
      <c r="D2214" s="9" t="s">
        <v>8662</v>
      </c>
      <c r="E2214" s="5" t="s">
        <v>15</v>
      </c>
      <c r="F2214" s="5">
        <v>2020</v>
      </c>
      <c r="G2214" s="9" t="s">
        <v>2480</v>
      </c>
      <c r="H2214" s="9">
        <v>200</v>
      </c>
      <c r="I2214" s="9">
        <v>200</v>
      </c>
      <c r="J2214" s="9"/>
      <c r="K2214" s="9"/>
      <c r="L2214" s="10">
        <v>20201118</v>
      </c>
      <c r="M2214" s="36" t="str">
        <f t="shared" si="34"/>
        <v>19671002</v>
      </c>
    </row>
    <row r="2215" s="1" customFormat="1" ht="14.25" spans="1:13">
      <c r="A2215" s="2">
        <v>2811</v>
      </c>
      <c r="B2215" s="6" t="s">
        <v>6075</v>
      </c>
      <c r="C2215" s="25" t="s">
        <v>6150</v>
      </c>
      <c r="D2215" s="26" t="s">
        <v>6151</v>
      </c>
      <c r="E2215" s="5" t="s">
        <v>15</v>
      </c>
      <c r="F2215" s="5">
        <v>2020</v>
      </c>
      <c r="G2215" s="6" t="s">
        <v>16</v>
      </c>
      <c r="H2215" s="6">
        <v>200</v>
      </c>
      <c r="I2215" s="6">
        <v>200</v>
      </c>
      <c r="J2215" s="6"/>
      <c r="K2215" s="10"/>
      <c r="L2215" s="10">
        <v>20201118</v>
      </c>
      <c r="M2215" s="36" t="str">
        <f t="shared" si="34"/>
        <v>19671005</v>
      </c>
    </row>
    <row r="2216" s="1" customFormat="1" spans="1:13">
      <c r="A2216" s="2">
        <v>220</v>
      </c>
      <c r="B2216" s="14" t="s">
        <v>327</v>
      </c>
      <c r="C2216" s="14" t="s">
        <v>546</v>
      </c>
      <c r="D2216" s="14" t="s">
        <v>547</v>
      </c>
      <c r="E2216" s="5">
        <v>2020</v>
      </c>
      <c r="F2216" s="5">
        <v>2020</v>
      </c>
      <c r="G2216" s="14" t="s">
        <v>16</v>
      </c>
      <c r="H2216" s="14">
        <v>200</v>
      </c>
      <c r="I2216" s="14">
        <v>200</v>
      </c>
      <c r="J2216" s="14"/>
      <c r="K2216" s="10"/>
      <c r="L2216" s="14" t="s">
        <v>330</v>
      </c>
      <c r="M2216" s="36" t="str">
        <f t="shared" si="34"/>
        <v>19671006</v>
      </c>
    </row>
    <row r="2217" s="1" customFormat="1" ht="14.25" spans="1:13">
      <c r="A2217" s="2">
        <v>5284</v>
      </c>
      <c r="B2217" s="33" t="s">
        <v>10535</v>
      </c>
      <c r="C2217" s="34" t="s">
        <v>2657</v>
      </c>
      <c r="D2217" s="64" t="s">
        <v>10684</v>
      </c>
      <c r="E2217" s="35">
        <v>2020</v>
      </c>
      <c r="F2217" s="35">
        <v>2020</v>
      </c>
      <c r="G2217" s="35" t="s">
        <v>16</v>
      </c>
      <c r="H2217" s="34">
        <v>200</v>
      </c>
      <c r="I2217" s="34">
        <v>200</v>
      </c>
      <c r="J2217" s="49"/>
      <c r="K2217" s="10"/>
      <c r="L2217" s="10">
        <v>20201118</v>
      </c>
      <c r="M2217" s="36" t="str">
        <f t="shared" si="34"/>
        <v>19671006</v>
      </c>
    </row>
    <row r="2218" s="1" customFormat="1" spans="1:13">
      <c r="A2218" s="2">
        <v>6484</v>
      </c>
      <c r="B2218" s="5" t="s">
        <v>12263</v>
      </c>
      <c r="C2218" s="5" t="s">
        <v>12971</v>
      </c>
      <c r="D2218" s="5" t="s">
        <v>12972</v>
      </c>
      <c r="E2218" s="5" t="s">
        <v>310</v>
      </c>
      <c r="F2218" s="5">
        <v>2020</v>
      </c>
      <c r="G2218" s="5" t="s">
        <v>295</v>
      </c>
      <c r="H2218" s="5">
        <v>200</v>
      </c>
      <c r="I2218" s="5">
        <v>2000</v>
      </c>
      <c r="J2218" s="5" t="s">
        <v>108</v>
      </c>
      <c r="K2218" s="5"/>
      <c r="L2218" s="10">
        <v>20201118</v>
      </c>
      <c r="M2218" s="36" t="str">
        <f t="shared" si="34"/>
        <v>19671008</v>
      </c>
    </row>
    <row r="2219" s="1" customFormat="1" spans="1:13">
      <c r="A2219" s="2">
        <v>5529</v>
      </c>
      <c r="B2219" s="30" t="s">
        <v>11090</v>
      </c>
      <c r="C2219" s="30" t="s">
        <v>11154</v>
      </c>
      <c r="D2219" s="30" t="s">
        <v>11155</v>
      </c>
      <c r="E2219" s="5" t="s">
        <v>15</v>
      </c>
      <c r="F2219" s="5" t="s">
        <v>10250</v>
      </c>
      <c r="G2219" s="6" t="s">
        <v>16</v>
      </c>
      <c r="H2219" s="32">
        <v>300</v>
      </c>
      <c r="I2219" s="32">
        <v>300</v>
      </c>
      <c r="J2219" s="6" t="s">
        <v>11156</v>
      </c>
      <c r="K2219" s="48"/>
      <c r="L2219" s="10">
        <v>20201118</v>
      </c>
      <c r="M2219" s="36" t="str">
        <f t="shared" si="34"/>
        <v>19671010</v>
      </c>
    </row>
    <row r="2220" s="1" customFormat="1" spans="1:13">
      <c r="A2220" s="2">
        <v>6254</v>
      </c>
      <c r="B2220" s="5" t="s">
        <v>12263</v>
      </c>
      <c r="C2220" s="5" t="s">
        <v>12530</v>
      </c>
      <c r="D2220" s="5" t="s">
        <v>12531</v>
      </c>
      <c r="E2220" s="5" t="s">
        <v>10250</v>
      </c>
      <c r="F2220" s="5">
        <v>2020</v>
      </c>
      <c r="G2220" s="17" t="s">
        <v>3359</v>
      </c>
      <c r="H2220" s="5">
        <v>200</v>
      </c>
      <c r="I2220" s="5">
        <v>200</v>
      </c>
      <c r="J2220" s="5"/>
      <c r="K2220" s="5"/>
      <c r="L2220" s="10">
        <v>20201118</v>
      </c>
      <c r="M2220" s="36" t="str">
        <f t="shared" si="34"/>
        <v>19671010</v>
      </c>
    </row>
    <row r="2221" s="1" customFormat="1" ht="14.25" spans="1:13">
      <c r="A2221" s="2">
        <v>7758</v>
      </c>
      <c r="B2221" s="5" t="s">
        <v>14875</v>
      </c>
      <c r="C2221" s="51" t="s">
        <v>15002</v>
      </c>
      <c r="D2221" s="24" t="str">
        <f>"152326196710107147"</f>
        <v>152326196710107147</v>
      </c>
      <c r="E2221" s="6" t="s">
        <v>15</v>
      </c>
      <c r="F2221" s="6">
        <v>2020</v>
      </c>
      <c r="G2221" s="24" t="s">
        <v>14877</v>
      </c>
      <c r="H2221" s="6">
        <v>200</v>
      </c>
      <c r="I2221" s="6">
        <v>200</v>
      </c>
      <c r="J2221" s="6"/>
      <c r="K2221" s="10"/>
      <c r="L2221" s="10">
        <v>20201118</v>
      </c>
      <c r="M2221" s="36" t="str">
        <f t="shared" si="34"/>
        <v>19671010</v>
      </c>
    </row>
    <row r="2222" s="1" customFormat="1" spans="1:13">
      <c r="A2222" s="2">
        <v>7357</v>
      </c>
      <c r="B2222" s="5" t="s">
        <v>13908</v>
      </c>
      <c r="C2222" s="5" t="s">
        <v>14344</v>
      </c>
      <c r="D2222" s="5" t="s">
        <v>14345</v>
      </c>
      <c r="E2222" s="5" t="s">
        <v>15</v>
      </c>
      <c r="F2222" s="5" t="s">
        <v>15</v>
      </c>
      <c r="G2222" s="14" t="s">
        <v>16</v>
      </c>
      <c r="H2222" s="17">
        <v>200</v>
      </c>
      <c r="I2222" s="17">
        <v>200</v>
      </c>
      <c r="J2222" s="5" t="s">
        <v>108</v>
      </c>
      <c r="K2222" s="10"/>
      <c r="L2222" s="10">
        <v>20201118</v>
      </c>
      <c r="M2222" s="36" t="str">
        <f t="shared" si="34"/>
        <v>19671011</v>
      </c>
    </row>
    <row r="2223" s="1" customFormat="1" spans="1:13">
      <c r="A2223" s="2">
        <v>1543</v>
      </c>
      <c r="B2223" s="5" t="s">
        <v>3381</v>
      </c>
      <c r="C2223" s="9" t="s">
        <v>3004</v>
      </c>
      <c r="D2223" s="9" t="s">
        <v>3652</v>
      </c>
      <c r="E2223" s="5">
        <v>2020</v>
      </c>
      <c r="F2223" s="5">
        <v>2020</v>
      </c>
      <c r="G2223" s="14" t="s">
        <v>16</v>
      </c>
      <c r="H2223" s="6">
        <v>200</v>
      </c>
      <c r="I2223" s="6">
        <v>200</v>
      </c>
      <c r="J2223" s="5"/>
      <c r="K2223" s="13"/>
      <c r="L2223" s="10">
        <v>20201118</v>
      </c>
      <c r="M2223" s="36" t="str">
        <f t="shared" si="34"/>
        <v>19671012</v>
      </c>
    </row>
    <row r="2224" s="1" customFormat="1" spans="1:13">
      <c r="A2224" s="2">
        <v>7387</v>
      </c>
      <c r="B2224" s="5" t="s">
        <v>13908</v>
      </c>
      <c r="C2224" s="5" t="s">
        <v>14396</v>
      </c>
      <c r="D2224" s="5" t="s">
        <v>14397</v>
      </c>
      <c r="E2224" s="5" t="s">
        <v>310</v>
      </c>
      <c r="F2224" s="5" t="s">
        <v>15</v>
      </c>
      <c r="G2224" s="14" t="s">
        <v>2460</v>
      </c>
      <c r="H2224" s="17">
        <v>200</v>
      </c>
      <c r="I2224" s="17">
        <v>2000</v>
      </c>
      <c r="J2224" s="5"/>
      <c r="K2224" s="10"/>
      <c r="L2224" s="10">
        <v>20201118</v>
      </c>
      <c r="M2224" s="36" t="str">
        <f t="shared" si="34"/>
        <v>19671012</v>
      </c>
    </row>
    <row r="2225" s="1" customFormat="1" spans="1:13">
      <c r="A2225" s="2">
        <v>8015</v>
      </c>
      <c r="B2225" s="5" t="s">
        <v>15086</v>
      </c>
      <c r="C2225" s="6" t="s">
        <v>15290</v>
      </c>
      <c r="D2225" s="6" t="str">
        <f>"152326196710126874"</f>
        <v>152326196710126874</v>
      </c>
      <c r="E2225" s="5" t="s">
        <v>15</v>
      </c>
      <c r="F2225" s="5">
        <v>2020</v>
      </c>
      <c r="G2225" s="5" t="s">
        <v>16</v>
      </c>
      <c r="H2225" s="5">
        <v>200</v>
      </c>
      <c r="I2225" s="5">
        <v>200</v>
      </c>
      <c r="J2225" s="5"/>
      <c r="K2225" s="5"/>
      <c r="L2225" s="10">
        <v>20201118</v>
      </c>
      <c r="M2225" s="36" t="str">
        <f t="shared" si="34"/>
        <v>19671012</v>
      </c>
    </row>
    <row r="2226" s="1" customFormat="1" spans="1:13">
      <c r="A2226" s="2">
        <v>1026</v>
      </c>
      <c r="B2226" s="5" t="s">
        <v>2469</v>
      </c>
      <c r="C2226" s="9" t="s">
        <v>2643</v>
      </c>
      <c r="D2226" s="9" t="s">
        <v>2644</v>
      </c>
      <c r="E2226" s="5">
        <v>2020</v>
      </c>
      <c r="F2226" s="5">
        <v>2020</v>
      </c>
      <c r="G2226" s="9" t="s">
        <v>2480</v>
      </c>
      <c r="H2226" s="9">
        <v>200</v>
      </c>
      <c r="I2226" s="9">
        <v>200</v>
      </c>
      <c r="J2226" s="5"/>
      <c r="K2226" s="5"/>
      <c r="L2226" s="10">
        <v>20201118</v>
      </c>
      <c r="M2226" s="36" t="str">
        <f t="shared" si="34"/>
        <v>19671013</v>
      </c>
    </row>
    <row r="2227" s="1" customFormat="1" spans="1:13">
      <c r="A2227" s="2">
        <v>8011</v>
      </c>
      <c r="B2227" s="5" t="s">
        <v>15086</v>
      </c>
      <c r="C2227" s="6" t="s">
        <v>15286</v>
      </c>
      <c r="D2227" s="6" t="s">
        <v>15287</v>
      </c>
      <c r="E2227" s="5" t="s">
        <v>15</v>
      </c>
      <c r="F2227" s="5">
        <v>2020</v>
      </c>
      <c r="G2227" s="5" t="s">
        <v>16</v>
      </c>
      <c r="H2227" s="5">
        <v>200</v>
      </c>
      <c r="I2227" s="5">
        <v>200</v>
      </c>
      <c r="J2227" s="5"/>
      <c r="K2227" s="5"/>
      <c r="L2227" s="10">
        <v>20201118</v>
      </c>
      <c r="M2227" s="36" t="str">
        <f t="shared" si="34"/>
        <v>19671013</v>
      </c>
    </row>
    <row r="2228" s="1" customFormat="1" spans="1:13">
      <c r="A2228" s="2">
        <v>2588</v>
      </c>
      <c r="B2228" s="32" t="s">
        <v>5602</v>
      </c>
      <c r="C2228" s="9" t="s">
        <v>5711</v>
      </c>
      <c r="D2228" s="9" t="s">
        <v>5712</v>
      </c>
      <c r="E2228" s="32">
        <v>2020</v>
      </c>
      <c r="F2228" s="32">
        <v>2020</v>
      </c>
      <c r="G2228" s="32" t="s">
        <v>16</v>
      </c>
      <c r="H2228" s="9">
        <v>200</v>
      </c>
      <c r="I2228" s="9">
        <v>200</v>
      </c>
      <c r="J2228" s="32"/>
      <c r="K2228" s="52"/>
      <c r="L2228" s="10">
        <v>20201118</v>
      </c>
      <c r="M2228" s="36" t="str">
        <f t="shared" si="34"/>
        <v>19671014</v>
      </c>
    </row>
    <row r="2229" s="1" customFormat="1" ht="14.25" spans="1:13">
      <c r="A2229" s="2">
        <v>1544</v>
      </c>
      <c r="B2229" s="5" t="s">
        <v>3381</v>
      </c>
      <c r="C2229" s="9" t="s">
        <v>3653</v>
      </c>
      <c r="D2229" s="9" t="s">
        <v>3654</v>
      </c>
      <c r="E2229" s="5">
        <v>2020</v>
      </c>
      <c r="F2229" s="5">
        <v>2020</v>
      </c>
      <c r="G2229" s="14" t="s">
        <v>16</v>
      </c>
      <c r="H2229" s="6">
        <v>200</v>
      </c>
      <c r="I2229" s="6">
        <v>200</v>
      </c>
      <c r="J2229" s="24" t="s">
        <v>1242</v>
      </c>
      <c r="K2229" s="13"/>
      <c r="L2229" s="10">
        <v>20201118</v>
      </c>
      <c r="M2229" s="36" t="str">
        <f t="shared" si="34"/>
        <v>19671015</v>
      </c>
    </row>
    <row r="2230" s="1" customFormat="1" ht="14.25" spans="1:13">
      <c r="A2230" s="2">
        <v>6070</v>
      </c>
      <c r="B2230" s="30" t="s">
        <v>11090</v>
      </c>
      <c r="C2230" s="32" t="s">
        <v>12182</v>
      </c>
      <c r="D2230" s="12" t="s">
        <v>12183</v>
      </c>
      <c r="E2230" s="5" t="s">
        <v>15</v>
      </c>
      <c r="F2230" s="5" t="s">
        <v>10250</v>
      </c>
      <c r="G2230" s="6" t="s">
        <v>16</v>
      </c>
      <c r="H2230" s="32">
        <v>200</v>
      </c>
      <c r="I2230" s="32">
        <v>200</v>
      </c>
      <c r="J2230" s="5"/>
      <c r="K2230" s="48"/>
      <c r="L2230" s="10">
        <v>20201118</v>
      </c>
      <c r="M2230" s="36" t="str">
        <f t="shared" si="34"/>
        <v>19671015</v>
      </c>
    </row>
    <row r="2231" s="1" customFormat="1" spans="1:13">
      <c r="A2231" s="2">
        <v>7557</v>
      </c>
      <c r="B2231" s="5" t="s">
        <v>14402</v>
      </c>
      <c r="C2231" s="5" t="s">
        <v>14717</v>
      </c>
      <c r="D2231" s="5" t="s">
        <v>14718</v>
      </c>
      <c r="E2231" s="5">
        <v>2020</v>
      </c>
      <c r="F2231" s="5">
        <v>2020</v>
      </c>
      <c r="G2231" s="17" t="s">
        <v>16</v>
      </c>
      <c r="H2231" s="5">
        <v>200</v>
      </c>
      <c r="I2231" s="5">
        <v>200</v>
      </c>
      <c r="J2231" s="5"/>
      <c r="K2231" s="10"/>
      <c r="L2231" s="10">
        <v>20201118</v>
      </c>
      <c r="M2231" s="36" t="str">
        <f t="shared" si="34"/>
        <v>19671015</v>
      </c>
    </row>
    <row r="2232" s="1" customFormat="1" spans="1:13">
      <c r="A2232" s="2">
        <v>129</v>
      </c>
      <c r="B2232" s="3" t="s">
        <v>12</v>
      </c>
      <c r="C2232" s="6" t="s">
        <v>274</v>
      </c>
      <c r="D2232" s="6" t="s">
        <v>275</v>
      </c>
      <c r="E2232" s="3" t="s">
        <v>15</v>
      </c>
      <c r="F2232" s="3" t="s">
        <v>15</v>
      </c>
      <c r="G2232" s="3" t="s">
        <v>189</v>
      </c>
      <c r="H2232" s="3">
        <v>200</v>
      </c>
      <c r="I2232" s="3">
        <v>200</v>
      </c>
      <c r="J2232" s="3"/>
      <c r="K2232" s="3"/>
      <c r="L2232" s="10">
        <v>20201118</v>
      </c>
      <c r="M2232" s="36" t="str">
        <f t="shared" si="34"/>
        <v>19671017</v>
      </c>
    </row>
    <row r="2233" s="1" customFormat="1" spans="1:13">
      <c r="A2233" s="2">
        <v>4231</v>
      </c>
      <c r="B2233" s="9" t="s">
        <v>8515</v>
      </c>
      <c r="C2233" s="9" t="s">
        <v>1558</v>
      </c>
      <c r="D2233" s="9" t="s">
        <v>8663</v>
      </c>
      <c r="E2233" s="5" t="s">
        <v>15</v>
      </c>
      <c r="F2233" s="5">
        <v>2020</v>
      </c>
      <c r="G2233" s="9" t="s">
        <v>2480</v>
      </c>
      <c r="H2233" s="9">
        <v>200</v>
      </c>
      <c r="I2233" s="9">
        <v>200</v>
      </c>
      <c r="J2233" s="9"/>
      <c r="K2233" s="9"/>
      <c r="L2233" s="10">
        <v>20201118</v>
      </c>
      <c r="M2233" s="36" t="str">
        <f t="shared" si="34"/>
        <v>19671017</v>
      </c>
    </row>
    <row r="2234" s="1" customFormat="1" ht="14.25" spans="1:13">
      <c r="A2234" s="2">
        <v>5285</v>
      </c>
      <c r="B2234" s="33" t="s">
        <v>10535</v>
      </c>
      <c r="C2234" s="34" t="s">
        <v>10685</v>
      </c>
      <c r="D2234" s="34" t="s">
        <v>10686</v>
      </c>
      <c r="E2234" s="35">
        <v>2020</v>
      </c>
      <c r="F2234" s="35">
        <v>2020</v>
      </c>
      <c r="G2234" s="35" t="s">
        <v>16</v>
      </c>
      <c r="H2234" s="34">
        <v>200</v>
      </c>
      <c r="I2234" s="34">
        <v>200</v>
      </c>
      <c r="J2234" s="49"/>
      <c r="K2234" s="10"/>
      <c r="L2234" s="10">
        <v>20201118</v>
      </c>
      <c r="M2234" s="36" t="str">
        <f t="shared" si="34"/>
        <v>19671017</v>
      </c>
    </row>
    <row r="2235" s="1" customFormat="1" ht="14.25" spans="1:13">
      <c r="A2235" s="2">
        <v>5286</v>
      </c>
      <c r="B2235" s="33" t="s">
        <v>10535</v>
      </c>
      <c r="C2235" s="34" t="s">
        <v>10687</v>
      </c>
      <c r="D2235" s="34" t="s">
        <v>10688</v>
      </c>
      <c r="E2235" s="35">
        <v>2020</v>
      </c>
      <c r="F2235" s="35">
        <v>2020</v>
      </c>
      <c r="G2235" s="35" t="s">
        <v>16</v>
      </c>
      <c r="H2235" s="34">
        <v>200</v>
      </c>
      <c r="I2235" s="34">
        <v>200</v>
      </c>
      <c r="J2235" s="49"/>
      <c r="K2235" s="10"/>
      <c r="L2235" s="10">
        <v>20201118</v>
      </c>
      <c r="M2235" s="36" t="str">
        <f t="shared" si="34"/>
        <v>19671017</v>
      </c>
    </row>
    <row r="2236" s="1" customFormat="1" spans="1:13">
      <c r="A2236" s="2">
        <v>1545</v>
      </c>
      <c r="B2236" s="5" t="s">
        <v>3381</v>
      </c>
      <c r="C2236" s="9" t="s">
        <v>3655</v>
      </c>
      <c r="D2236" s="9" t="s">
        <v>3656</v>
      </c>
      <c r="E2236" s="5">
        <v>2020</v>
      </c>
      <c r="F2236" s="5">
        <v>2020</v>
      </c>
      <c r="G2236" s="14" t="s">
        <v>16</v>
      </c>
      <c r="H2236" s="6">
        <v>200</v>
      </c>
      <c r="I2236" s="6">
        <v>200</v>
      </c>
      <c r="J2236" s="5"/>
      <c r="K2236" s="13"/>
      <c r="L2236" s="10">
        <v>20201118</v>
      </c>
      <c r="M2236" s="36" t="str">
        <f t="shared" si="34"/>
        <v>19671018</v>
      </c>
    </row>
    <row r="2237" s="1" customFormat="1" spans="1:13">
      <c r="A2237" s="2">
        <v>1546</v>
      </c>
      <c r="B2237" s="5" t="s">
        <v>3381</v>
      </c>
      <c r="C2237" s="9" t="s">
        <v>3657</v>
      </c>
      <c r="D2237" s="9" t="s">
        <v>3658</v>
      </c>
      <c r="E2237" s="5">
        <v>2020</v>
      </c>
      <c r="F2237" s="5">
        <v>2020</v>
      </c>
      <c r="G2237" s="14" t="s">
        <v>16</v>
      </c>
      <c r="H2237" s="6">
        <v>200</v>
      </c>
      <c r="I2237" s="6">
        <v>200</v>
      </c>
      <c r="J2237" s="5"/>
      <c r="K2237" s="13"/>
      <c r="L2237" s="10">
        <v>20201118</v>
      </c>
      <c r="M2237" s="36" t="str">
        <f t="shared" si="34"/>
        <v>19671025</v>
      </c>
    </row>
    <row r="2238" s="1" customFormat="1" spans="1:13">
      <c r="A2238" s="2">
        <v>2424</v>
      </c>
      <c r="B2238" s="5" t="s">
        <v>5328</v>
      </c>
      <c r="C2238" s="16" t="s">
        <v>5389</v>
      </c>
      <c r="D2238" s="16" t="s">
        <v>5390</v>
      </c>
      <c r="E2238" s="5" t="s">
        <v>15</v>
      </c>
      <c r="F2238" s="5" t="s">
        <v>15</v>
      </c>
      <c r="G2238" s="14" t="s">
        <v>16</v>
      </c>
      <c r="H2238" s="6">
        <v>200</v>
      </c>
      <c r="I2238" s="6">
        <v>200</v>
      </c>
      <c r="J2238" s="5"/>
      <c r="K2238" s="5"/>
      <c r="L2238" s="10">
        <v>20201118</v>
      </c>
      <c r="M2238" s="36" t="str">
        <f t="shared" si="34"/>
        <v>19671025</v>
      </c>
    </row>
    <row r="2239" s="1" customFormat="1" spans="1:13">
      <c r="A2239" s="2">
        <v>4458</v>
      </c>
      <c r="B2239" s="6" t="s">
        <v>9015</v>
      </c>
      <c r="C2239" s="6" t="s">
        <v>9102</v>
      </c>
      <c r="D2239" s="6" t="s">
        <v>9103</v>
      </c>
      <c r="E2239" s="6">
        <v>2020</v>
      </c>
      <c r="F2239" s="6">
        <v>2020</v>
      </c>
      <c r="G2239" s="6" t="s">
        <v>16</v>
      </c>
      <c r="H2239" s="6">
        <v>200</v>
      </c>
      <c r="I2239" s="6">
        <v>200</v>
      </c>
      <c r="J2239" s="6"/>
      <c r="K2239" s="6"/>
      <c r="L2239" s="10">
        <v>20201118</v>
      </c>
      <c r="M2239" s="36" t="str">
        <f t="shared" si="34"/>
        <v>19671025</v>
      </c>
    </row>
    <row r="2240" s="1" customFormat="1" spans="1:13">
      <c r="A2240" s="2">
        <v>4940</v>
      </c>
      <c r="B2240" s="6" t="s">
        <v>9954</v>
      </c>
      <c r="C2240" s="53" t="s">
        <v>10021</v>
      </c>
      <c r="D2240" s="53" t="s">
        <v>10022</v>
      </c>
      <c r="E2240" s="5" t="s">
        <v>15</v>
      </c>
      <c r="F2240" s="5" t="s">
        <v>15</v>
      </c>
      <c r="G2240" s="14" t="s">
        <v>16</v>
      </c>
      <c r="H2240" s="6">
        <v>200</v>
      </c>
      <c r="I2240" s="6">
        <v>200</v>
      </c>
      <c r="J2240" s="6" t="s">
        <v>108</v>
      </c>
      <c r="K2240" s="6"/>
      <c r="L2240" s="10">
        <v>20201118</v>
      </c>
      <c r="M2240" s="36" t="str">
        <f t="shared" si="34"/>
        <v>19671025</v>
      </c>
    </row>
    <row r="2241" s="1" customFormat="1" spans="1:13">
      <c r="A2241" s="2">
        <v>8136</v>
      </c>
      <c r="B2241" s="5" t="s">
        <v>15406</v>
      </c>
      <c r="C2241" s="6" t="s">
        <v>15465</v>
      </c>
      <c r="D2241" s="6" t="s">
        <v>15466</v>
      </c>
      <c r="E2241" s="5" t="s">
        <v>15</v>
      </c>
      <c r="F2241" s="5">
        <v>2020</v>
      </c>
      <c r="G2241" s="14" t="s">
        <v>16</v>
      </c>
      <c r="H2241" s="6">
        <v>200</v>
      </c>
      <c r="I2241" s="6">
        <v>200</v>
      </c>
      <c r="J2241" s="5"/>
      <c r="K2241" s="10"/>
      <c r="L2241" s="10">
        <v>20201118</v>
      </c>
      <c r="M2241" s="36" t="str">
        <f t="shared" si="34"/>
        <v>19671028</v>
      </c>
    </row>
    <row r="2242" s="1" customFormat="1" spans="1:13">
      <c r="A2242" s="2">
        <v>4232</v>
      </c>
      <c r="B2242" s="9" t="s">
        <v>8515</v>
      </c>
      <c r="C2242" s="9" t="s">
        <v>8664</v>
      </c>
      <c r="D2242" s="9" t="s">
        <v>8665</v>
      </c>
      <c r="E2242" s="5" t="s">
        <v>15</v>
      </c>
      <c r="F2242" s="5">
        <v>2020</v>
      </c>
      <c r="G2242" s="9" t="s">
        <v>2480</v>
      </c>
      <c r="H2242" s="9">
        <v>200</v>
      </c>
      <c r="I2242" s="9">
        <v>200</v>
      </c>
      <c r="J2242" s="9"/>
      <c r="K2242" s="9"/>
      <c r="L2242" s="10">
        <v>20201118</v>
      </c>
      <c r="M2242" s="36" t="str">
        <f t="shared" ref="M2242:M2305" si="35">MID(D2242,7,8)</f>
        <v>19671029</v>
      </c>
    </row>
    <row r="2243" s="1" customFormat="1" spans="1:13">
      <c r="A2243" s="2">
        <v>6467</v>
      </c>
      <c r="B2243" s="5" t="s">
        <v>12263</v>
      </c>
      <c r="C2243" s="5" t="s">
        <v>12937</v>
      </c>
      <c r="D2243" s="5" t="s">
        <v>12938</v>
      </c>
      <c r="E2243" s="5" t="s">
        <v>10250</v>
      </c>
      <c r="F2243" s="5">
        <v>2020</v>
      </c>
      <c r="G2243" s="17" t="s">
        <v>3359</v>
      </c>
      <c r="H2243" s="5">
        <v>200</v>
      </c>
      <c r="I2243" s="5">
        <v>200</v>
      </c>
      <c r="J2243" s="5"/>
      <c r="K2243" s="5"/>
      <c r="L2243" s="10">
        <v>20201118</v>
      </c>
      <c r="M2243" s="36" t="str">
        <f t="shared" si="35"/>
        <v>19671101</v>
      </c>
    </row>
    <row r="2244" s="1" customFormat="1" spans="1:13">
      <c r="A2244" s="2">
        <v>3444</v>
      </c>
      <c r="B2244" s="5" t="s">
        <v>3375</v>
      </c>
      <c r="C2244" s="6" t="s">
        <v>7221</v>
      </c>
      <c r="D2244" s="6" t="str">
        <f>"152326196711026883"</f>
        <v>152326196711026883</v>
      </c>
      <c r="E2244" s="5" t="s">
        <v>15</v>
      </c>
      <c r="F2244" s="5">
        <v>2020</v>
      </c>
      <c r="G2244" s="14" t="s">
        <v>16</v>
      </c>
      <c r="H2244" s="17">
        <v>200</v>
      </c>
      <c r="I2244" s="17">
        <v>200</v>
      </c>
      <c r="J2244" s="6"/>
      <c r="K2244" s="10"/>
      <c r="L2244" s="10">
        <v>20201118</v>
      </c>
      <c r="M2244" s="36" t="str">
        <f t="shared" si="35"/>
        <v>19671102</v>
      </c>
    </row>
    <row r="2245" s="1" customFormat="1" spans="1:13">
      <c r="A2245" s="2">
        <v>7169</v>
      </c>
      <c r="B2245" s="5" t="s">
        <v>13908</v>
      </c>
      <c r="C2245" s="5" t="s">
        <v>13994</v>
      </c>
      <c r="D2245" s="5" t="s">
        <v>13995</v>
      </c>
      <c r="E2245" s="5" t="s">
        <v>15</v>
      </c>
      <c r="F2245" s="5" t="s">
        <v>15</v>
      </c>
      <c r="G2245" s="14" t="s">
        <v>16</v>
      </c>
      <c r="H2245" s="17">
        <v>200</v>
      </c>
      <c r="I2245" s="17">
        <v>200</v>
      </c>
      <c r="J2245" s="5"/>
      <c r="K2245" s="10"/>
      <c r="L2245" s="10">
        <v>20201118</v>
      </c>
      <c r="M2245" s="36" t="str">
        <f t="shared" si="35"/>
        <v>19671102</v>
      </c>
    </row>
    <row r="2246" s="1" customFormat="1" spans="1:13">
      <c r="A2246" s="2">
        <v>8172</v>
      </c>
      <c r="B2246" s="5" t="s">
        <v>15406</v>
      </c>
      <c r="C2246" s="6" t="s">
        <v>9007</v>
      </c>
      <c r="D2246" s="6" t="s">
        <v>15533</v>
      </c>
      <c r="E2246" s="5" t="s">
        <v>15</v>
      </c>
      <c r="F2246" s="5">
        <v>2020</v>
      </c>
      <c r="G2246" s="14" t="s">
        <v>16</v>
      </c>
      <c r="H2246" s="6">
        <v>200</v>
      </c>
      <c r="I2246" s="6">
        <v>200</v>
      </c>
      <c r="J2246" s="5"/>
      <c r="K2246" s="10"/>
      <c r="L2246" s="10">
        <v>20201118</v>
      </c>
      <c r="M2246" s="36" t="str">
        <f t="shared" si="35"/>
        <v>19671102</v>
      </c>
    </row>
    <row r="2247" s="1" customFormat="1" spans="1:13">
      <c r="A2247" s="2">
        <v>8014</v>
      </c>
      <c r="B2247" s="5" t="s">
        <v>15086</v>
      </c>
      <c r="C2247" s="6" t="s">
        <v>15289</v>
      </c>
      <c r="D2247" s="6" t="str">
        <f>"152326196711036870"</f>
        <v>152326196711036870</v>
      </c>
      <c r="E2247" s="5" t="s">
        <v>15</v>
      </c>
      <c r="F2247" s="5">
        <v>2020</v>
      </c>
      <c r="G2247" s="5" t="s">
        <v>16</v>
      </c>
      <c r="H2247" s="5">
        <v>200</v>
      </c>
      <c r="I2247" s="5">
        <v>200</v>
      </c>
      <c r="J2247" s="5"/>
      <c r="K2247" s="5"/>
      <c r="L2247" s="10">
        <v>20201118</v>
      </c>
      <c r="M2247" s="36" t="str">
        <f t="shared" si="35"/>
        <v>19671103</v>
      </c>
    </row>
    <row r="2248" s="1" customFormat="1" spans="1:13">
      <c r="A2248" s="2">
        <v>2425</v>
      </c>
      <c r="B2248" s="5" t="s">
        <v>5328</v>
      </c>
      <c r="C2248" s="16" t="s">
        <v>5391</v>
      </c>
      <c r="D2248" s="16" t="s">
        <v>5392</v>
      </c>
      <c r="E2248" s="5" t="s">
        <v>15</v>
      </c>
      <c r="F2248" s="5" t="s">
        <v>15</v>
      </c>
      <c r="G2248" s="14" t="s">
        <v>16</v>
      </c>
      <c r="H2248" s="6">
        <v>200</v>
      </c>
      <c r="I2248" s="6">
        <v>200</v>
      </c>
      <c r="J2248" s="5"/>
      <c r="K2248" s="5"/>
      <c r="L2248" s="10">
        <v>20201118</v>
      </c>
      <c r="M2248" s="36" t="str">
        <f t="shared" si="35"/>
        <v>19671106</v>
      </c>
    </row>
    <row r="2249" s="1" customFormat="1" spans="1:13">
      <c r="A2249" s="2">
        <v>2589</v>
      </c>
      <c r="B2249" s="32" t="s">
        <v>5602</v>
      </c>
      <c r="C2249" s="9" t="s">
        <v>5713</v>
      </c>
      <c r="D2249" s="9" t="s">
        <v>5714</v>
      </c>
      <c r="E2249" s="32">
        <v>2020</v>
      </c>
      <c r="F2249" s="32">
        <v>2020</v>
      </c>
      <c r="G2249" s="32" t="s">
        <v>16</v>
      </c>
      <c r="H2249" s="9">
        <v>200</v>
      </c>
      <c r="I2249" s="9">
        <v>200</v>
      </c>
      <c r="J2249" s="32"/>
      <c r="K2249" s="52"/>
      <c r="L2249" s="10">
        <v>20201118</v>
      </c>
      <c r="M2249" s="36" t="str">
        <f t="shared" si="35"/>
        <v>19671106</v>
      </c>
    </row>
    <row r="2250" s="1" customFormat="1" spans="1:13">
      <c r="A2250" s="2">
        <v>6585</v>
      </c>
      <c r="B2250" s="5" t="s">
        <v>13027</v>
      </c>
      <c r="C2250" s="15" t="s">
        <v>13160</v>
      </c>
      <c r="D2250" s="15" t="s">
        <v>13161</v>
      </c>
      <c r="E2250" s="5">
        <v>2020</v>
      </c>
      <c r="F2250" s="5">
        <v>2020</v>
      </c>
      <c r="G2250" s="14" t="s">
        <v>16</v>
      </c>
      <c r="H2250" s="15">
        <v>200</v>
      </c>
      <c r="I2250" s="15">
        <v>200</v>
      </c>
      <c r="J2250" s="5"/>
      <c r="K2250" s="10"/>
      <c r="L2250" s="10">
        <v>20201118</v>
      </c>
      <c r="M2250" s="36" t="str">
        <f t="shared" si="35"/>
        <v>19671106</v>
      </c>
    </row>
    <row r="2251" s="1" customFormat="1" spans="1:13">
      <c r="A2251" s="2">
        <v>5722</v>
      </c>
      <c r="B2251" s="30" t="s">
        <v>11090</v>
      </c>
      <c r="C2251" s="30" t="s">
        <v>11529</v>
      </c>
      <c r="D2251" s="30" t="s">
        <v>11530</v>
      </c>
      <c r="E2251" s="5" t="s">
        <v>15</v>
      </c>
      <c r="F2251" s="5" t="s">
        <v>10250</v>
      </c>
      <c r="G2251" s="6" t="s">
        <v>16</v>
      </c>
      <c r="H2251" s="32">
        <v>200</v>
      </c>
      <c r="I2251" s="32">
        <v>200</v>
      </c>
      <c r="J2251" s="6"/>
      <c r="K2251" s="48"/>
      <c r="L2251" s="10">
        <v>20201118</v>
      </c>
      <c r="M2251" s="36" t="str">
        <f t="shared" si="35"/>
        <v>19671109</v>
      </c>
    </row>
    <row r="2252" s="1" customFormat="1" spans="1:13">
      <c r="A2252" s="2">
        <v>6586</v>
      </c>
      <c r="B2252" s="5" t="s">
        <v>13027</v>
      </c>
      <c r="C2252" s="15" t="s">
        <v>13162</v>
      </c>
      <c r="D2252" s="15" t="s">
        <v>13163</v>
      </c>
      <c r="E2252" s="5">
        <v>2020</v>
      </c>
      <c r="F2252" s="5">
        <v>2020</v>
      </c>
      <c r="G2252" s="14" t="s">
        <v>16</v>
      </c>
      <c r="H2252" s="15">
        <v>200</v>
      </c>
      <c r="I2252" s="15">
        <v>200</v>
      </c>
      <c r="J2252" s="5"/>
      <c r="K2252" s="10"/>
      <c r="L2252" s="10">
        <v>20201118</v>
      </c>
      <c r="M2252" s="36" t="str">
        <f t="shared" si="35"/>
        <v>19671109</v>
      </c>
    </row>
    <row r="2253" s="1" customFormat="1" spans="1:13">
      <c r="A2253" s="2">
        <v>1768</v>
      </c>
      <c r="B2253" s="5" t="s">
        <v>3381</v>
      </c>
      <c r="C2253" s="9" t="s">
        <v>4097</v>
      </c>
      <c r="D2253" s="287" t="s">
        <v>4098</v>
      </c>
      <c r="E2253" s="5">
        <v>2012</v>
      </c>
      <c r="F2253" s="5">
        <v>2020</v>
      </c>
      <c r="G2253" s="14" t="s">
        <v>289</v>
      </c>
      <c r="H2253" s="18">
        <v>200</v>
      </c>
      <c r="I2253" s="6">
        <v>1800</v>
      </c>
      <c r="J2253" s="5"/>
      <c r="K2253" s="13"/>
      <c r="L2253" s="10">
        <v>20201118</v>
      </c>
      <c r="M2253" s="36" t="str">
        <f t="shared" si="35"/>
        <v>19671110</v>
      </c>
    </row>
    <row r="2254" s="1" customFormat="1" spans="1:13">
      <c r="A2254" s="2">
        <v>2101</v>
      </c>
      <c r="B2254" s="5" t="s">
        <v>4189</v>
      </c>
      <c r="C2254" s="9" t="s">
        <v>4753</v>
      </c>
      <c r="D2254" s="287" t="s">
        <v>4754</v>
      </c>
      <c r="E2254" s="5" t="s">
        <v>15</v>
      </c>
      <c r="F2254" s="5" t="s">
        <v>15</v>
      </c>
      <c r="G2254" s="5" t="s">
        <v>3359</v>
      </c>
      <c r="H2254" s="16">
        <v>200</v>
      </c>
      <c r="I2254" s="16">
        <v>200</v>
      </c>
      <c r="J2254" s="5"/>
      <c r="K2254" s="10"/>
      <c r="L2254" s="10">
        <v>20201118</v>
      </c>
      <c r="M2254" s="36" t="str">
        <f t="shared" si="35"/>
        <v>19671110</v>
      </c>
    </row>
    <row r="2255" s="1" customFormat="1" spans="1:13">
      <c r="A2255" s="2">
        <v>6978</v>
      </c>
      <c r="B2255" s="5" t="s">
        <v>13533</v>
      </c>
      <c r="C2255" s="32" t="s">
        <v>13727</v>
      </c>
      <c r="D2255" s="32" t="str">
        <f>"152326196711107114"</f>
        <v>152326196711107114</v>
      </c>
      <c r="E2255" s="5">
        <v>2020</v>
      </c>
      <c r="F2255" s="5">
        <v>2020</v>
      </c>
      <c r="G2255" s="9" t="s">
        <v>2480</v>
      </c>
      <c r="H2255" s="32">
        <v>3000</v>
      </c>
      <c r="I2255" s="32">
        <v>3000</v>
      </c>
      <c r="J2255" s="62"/>
      <c r="K2255" s="10"/>
      <c r="L2255" s="10">
        <v>20201118</v>
      </c>
      <c r="M2255" s="36" t="str">
        <f t="shared" si="35"/>
        <v>19671110</v>
      </c>
    </row>
    <row r="2256" s="1" customFormat="1" spans="1:13">
      <c r="A2256" s="2">
        <v>1027</v>
      </c>
      <c r="B2256" s="5" t="s">
        <v>2469</v>
      </c>
      <c r="C2256" s="9" t="s">
        <v>2645</v>
      </c>
      <c r="D2256" s="9" t="s">
        <v>2646</v>
      </c>
      <c r="E2256" s="5">
        <v>2020</v>
      </c>
      <c r="F2256" s="5">
        <v>2020</v>
      </c>
      <c r="G2256" s="9" t="s">
        <v>2480</v>
      </c>
      <c r="H2256" s="9">
        <v>200</v>
      </c>
      <c r="I2256" s="9">
        <v>200</v>
      </c>
      <c r="J2256" s="5"/>
      <c r="K2256" s="5"/>
      <c r="L2256" s="10">
        <v>20201118</v>
      </c>
      <c r="M2256" s="36" t="str">
        <f t="shared" si="35"/>
        <v>19671112</v>
      </c>
    </row>
    <row r="2257" s="1" customFormat="1" spans="1:13">
      <c r="A2257" s="2">
        <v>3751</v>
      </c>
      <c r="B2257" s="5" t="s">
        <v>7412</v>
      </c>
      <c r="C2257" s="5" t="s">
        <v>7754</v>
      </c>
      <c r="D2257" s="5" t="s">
        <v>7755</v>
      </c>
      <c r="E2257" s="6">
        <v>2020</v>
      </c>
      <c r="F2257" s="6">
        <v>2020</v>
      </c>
      <c r="G2257" s="5" t="s">
        <v>3359</v>
      </c>
      <c r="H2257" s="5">
        <v>200</v>
      </c>
      <c r="I2257" s="5">
        <v>200</v>
      </c>
      <c r="J2257" s="5"/>
      <c r="K2257" s="5"/>
      <c r="L2257" s="10">
        <v>20201118</v>
      </c>
      <c r="M2257" s="36" t="str">
        <f t="shared" si="35"/>
        <v>19671112</v>
      </c>
    </row>
    <row r="2258" s="1" customFormat="1" spans="1:13">
      <c r="A2258" s="2">
        <v>4480</v>
      </c>
      <c r="B2258" s="6" t="s">
        <v>9015</v>
      </c>
      <c r="C2258" s="6" t="s">
        <v>9143</v>
      </c>
      <c r="D2258" s="6" t="s">
        <v>9144</v>
      </c>
      <c r="E2258" s="6">
        <v>2020</v>
      </c>
      <c r="F2258" s="6">
        <v>2020</v>
      </c>
      <c r="G2258" s="6" t="s">
        <v>16</v>
      </c>
      <c r="H2258" s="6">
        <v>200</v>
      </c>
      <c r="I2258" s="6">
        <v>200</v>
      </c>
      <c r="J2258" s="6"/>
      <c r="K2258" s="6"/>
      <c r="L2258" s="10">
        <v>20201118</v>
      </c>
      <c r="M2258" s="36" t="str">
        <f t="shared" si="35"/>
        <v>19671113</v>
      </c>
    </row>
    <row r="2259" s="1" customFormat="1" ht="14.25" spans="1:13">
      <c r="A2259" s="2">
        <v>2813</v>
      </c>
      <c r="B2259" s="6" t="s">
        <v>6075</v>
      </c>
      <c r="C2259" s="25" t="s">
        <v>6153</v>
      </c>
      <c r="D2259" s="26" t="s">
        <v>6154</v>
      </c>
      <c r="E2259" s="5" t="s">
        <v>15</v>
      </c>
      <c r="F2259" s="5">
        <v>2020</v>
      </c>
      <c r="G2259" s="6" t="s">
        <v>16</v>
      </c>
      <c r="H2259" s="6">
        <v>200</v>
      </c>
      <c r="I2259" s="6">
        <v>200</v>
      </c>
      <c r="J2259" s="6"/>
      <c r="K2259" s="10"/>
      <c r="L2259" s="10">
        <v>20201118</v>
      </c>
      <c r="M2259" s="36" t="str">
        <f t="shared" si="35"/>
        <v>19671115</v>
      </c>
    </row>
    <row r="2260" s="1" customFormat="1" spans="1:13">
      <c r="A2260" s="2">
        <v>3442</v>
      </c>
      <c r="B2260" s="5" t="s">
        <v>3375</v>
      </c>
      <c r="C2260" s="6" t="s">
        <v>7219</v>
      </c>
      <c r="D2260" s="6" t="str">
        <f>"152326196711166894"</f>
        <v>152326196711166894</v>
      </c>
      <c r="E2260" s="5" t="s">
        <v>15</v>
      </c>
      <c r="F2260" s="5">
        <v>2020</v>
      </c>
      <c r="G2260" s="14" t="s">
        <v>16</v>
      </c>
      <c r="H2260" s="17">
        <v>300</v>
      </c>
      <c r="I2260" s="17">
        <v>300</v>
      </c>
      <c r="J2260" s="6"/>
      <c r="K2260" s="10"/>
      <c r="L2260" s="10">
        <v>20201118</v>
      </c>
      <c r="M2260" s="36" t="str">
        <f t="shared" si="35"/>
        <v>19671116</v>
      </c>
    </row>
    <row r="2261" s="1" customFormat="1" spans="1:13">
      <c r="A2261" s="2">
        <v>6210</v>
      </c>
      <c r="B2261" s="5" t="s">
        <v>12263</v>
      </c>
      <c r="C2261" s="5" t="s">
        <v>12448</v>
      </c>
      <c r="D2261" s="5" t="s">
        <v>12449</v>
      </c>
      <c r="E2261" s="5" t="s">
        <v>10250</v>
      </c>
      <c r="F2261" s="5">
        <v>2020</v>
      </c>
      <c r="G2261" s="17" t="s">
        <v>3359</v>
      </c>
      <c r="H2261" s="5">
        <v>3000</v>
      </c>
      <c r="I2261" s="5">
        <v>3000</v>
      </c>
      <c r="J2261" s="5"/>
      <c r="K2261" s="5"/>
      <c r="L2261" s="10">
        <v>20201118</v>
      </c>
      <c r="M2261" s="36" t="str">
        <f t="shared" si="35"/>
        <v>19671116</v>
      </c>
    </row>
    <row r="2262" s="1" customFormat="1" spans="1:13">
      <c r="A2262" s="2">
        <v>1028</v>
      </c>
      <c r="B2262" s="5" t="s">
        <v>2469</v>
      </c>
      <c r="C2262" s="9" t="s">
        <v>2647</v>
      </c>
      <c r="D2262" s="9" t="s">
        <v>2648</v>
      </c>
      <c r="E2262" s="5">
        <v>2020</v>
      </c>
      <c r="F2262" s="5">
        <v>2020</v>
      </c>
      <c r="G2262" s="9" t="s">
        <v>2480</v>
      </c>
      <c r="H2262" s="9">
        <v>200</v>
      </c>
      <c r="I2262" s="9">
        <v>200</v>
      </c>
      <c r="J2262" s="5"/>
      <c r="K2262" s="5"/>
      <c r="L2262" s="10">
        <v>20201118</v>
      </c>
      <c r="M2262" s="36" t="str">
        <f t="shared" si="35"/>
        <v>19671118</v>
      </c>
    </row>
    <row r="2263" s="1" customFormat="1" spans="1:13">
      <c r="A2263" s="2">
        <v>2223</v>
      </c>
      <c r="B2263" s="9" t="s">
        <v>4837</v>
      </c>
      <c r="C2263" s="9" t="s">
        <v>4993</v>
      </c>
      <c r="D2263" s="9" t="s">
        <v>4994</v>
      </c>
      <c r="E2263" s="6" t="s">
        <v>15</v>
      </c>
      <c r="F2263" s="6">
        <v>2020</v>
      </c>
      <c r="G2263" s="9" t="s">
        <v>2480</v>
      </c>
      <c r="H2263" s="9">
        <v>200</v>
      </c>
      <c r="I2263" s="9">
        <v>200</v>
      </c>
      <c r="J2263" s="6" t="s">
        <v>108</v>
      </c>
      <c r="K2263" s="10"/>
      <c r="L2263" s="10">
        <v>20201118</v>
      </c>
      <c r="M2263" s="36" t="str">
        <f t="shared" si="35"/>
        <v>19671119</v>
      </c>
    </row>
    <row r="2264" s="1" customFormat="1" spans="1:13">
      <c r="A2264" s="2">
        <v>5642</v>
      </c>
      <c r="B2264" s="30" t="s">
        <v>11090</v>
      </c>
      <c r="C2264" s="30" t="s">
        <v>11372</v>
      </c>
      <c r="D2264" s="30" t="s">
        <v>11373</v>
      </c>
      <c r="E2264" s="5" t="s">
        <v>15</v>
      </c>
      <c r="F2264" s="5" t="s">
        <v>10250</v>
      </c>
      <c r="G2264" s="6" t="s">
        <v>16</v>
      </c>
      <c r="H2264" s="32">
        <v>200</v>
      </c>
      <c r="I2264" s="32">
        <v>200</v>
      </c>
      <c r="J2264" s="6"/>
      <c r="K2264" s="48"/>
      <c r="L2264" s="10">
        <v>20201118</v>
      </c>
      <c r="M2264" s="36" t="str">
        <f t="shared" si="35"/>
        <v>19671120</v>
      </c>
    </row>
    <row r="2265" s="1" customFormat="1" spans="1:13">
      <c r="A2265" s="2">
        <v>6174</v>
      </c>
      <c r="B2265" s="5" t="s">
        <v>12263</v>
      </c>
      <c r="C2265" s="5" t="s">
        <v>12379</v>
      </c>
      <c r="D2265" s="5" t="s">
        <v>12380</v>
      </c>
      <c r="E2265" s="5" t="s">
        <v>10250</v>
      </c>
      <c r="F2265" s="5">
        <v>2020</v>
      </c>
      <c r="G2265" s="17" t="s">
        <v>3359</v>
      </c>
      <c r="H2265" s="5">
        <v>200</v>
      </c>
      <c r="I2265" s="5">
        <v>200</v>
      </c>
      <c r="J2265" s="5"/>
      <c r="K2265" s="5"/>
      <c r="L2265" s="10">
        <v>20201118</v>
      </c>
      <c r="M2265" s="36" t="str">
        <f t="shared" si="35"/>
        <v>19671120</v>
      </c>
    </row>
    <row r="2266" s="1" customFormat="1" spans="1:13">
      <c r="A2266" s="2">
        <v>3157</v>
      </c>
      <c r="B2266" s="3" t="s">
        <v>6671</v>
      </c>
      <c r="C2266" s="9" t="s">
        <v>6830</v>
      </c>
      <c r="D2266" s="9" t="s">
        <v>6831</v>
      </c>
      <c r="E2266" s="3" t="s">
        <v>15</v>
      </c>
      <c r="F2266" s="3" t="s">
        <v>15</v>
      </c>
      <c r="G2266" s="6" t="s">
        <v>3359</v>
      </c>
      <c r="H2266" s="9">
        <v>200</v>
      </c>
      <c r="I2266" s="9">
        <v>200</v>
      </c>
      <c r="J2266" s="6"/>
      <c r="K2266" s="5"/>
      <c r="L2266" s="10">
        <v>20201118</v>
      </c>
      <c r="M2266" s="36" t="str">
        <f t="shared" si="35"/>
        <v>19671121</v>
      </c>
    </row>
    <row r="2267" s="1" customFormat="1" spans="1:13">
      <c r="A2267" s="2">
        <v>3215</v>
      </c>
      <c r="B2267" s="3" t="s">
        <v>6671</v>
      </c>
      <c r="C2267" s="9" t="s">
        <v>6937</v>
      </c>
      <c r="D2267" s="9" t="s">
        <v>6938</v>
      </c>
      <c r="E2267" s="3" t="s">
        <v>15</v>
      </c>
      <c r="F2267" s="3" t="s">
        <v>15</v>
      </c>
      <c r="G2267" s="6" t="s">
        <v>3359</v>
      </c>
      <c r="H2267" s="9">
        <v>200</v>
      </c>
      <c r="I2267" s="9">
        <v>200</v>
      </c>
      <c r="J2267" s="6" t="s">
        <v>6753</v>
      </c>
      <c r="K2267" s="5"/>
      <c r="L2267" s="10">
        <v>20201118</v>
      </c>
      <c r="M2267" s="36" t="str">
        <f t="shared" si="35"/>
        <v>19671125</v>
      </c>
    </row>
    <row r="2268" s="1" customFormat="1" spans="1:13">
      <c r="A2268" s="2">
        <v>6517</v>
      </c>
      <c r="B2268" s="5" t="s">
        <v>13027</v>
      </c>
      <c r="C2268" s="15" t="s">
        <v>13034</v>
      </c>
      <c r="D2268" s="15" t="s">
        <v>13035</v>
      </c>
      <c r="E2268" s="5">
        <v>2020</v>
      </c>
      <c r="F2268" s="5">
        <v>2020</v>
      </c>
      <c r="G2268" s="14" t="s">
        <v>16</v>
      </c>
      <c r="H2268" s="15">
        <v>200</v>
      </c>
      <c r="I2268" s="15">
        <v>200</v>
      </c>
      <c r="J2268" s="5"/>
      <c r="K2268" s="10"/>
      <c r="L2268" s="10">
        <v>20201118</v>
      </c>
      <c r="M2268" s="36" t="str">
        <f t="shared" si="35"/>
        <v>19671125</v>
      </c>
    </row>
    <row r="2269" s="1" customFormat="1" spans="1:13">
      <c r="A2269" s="2">
        <v>3441</v>
      </c>
      <c r="B2269" s="5" t="s">
        <v>3375</v>
      </c>
      <c r="C2269" s="6" t="s">
        <v>7217</v>
      </c>
      <c r="D2269" s="6" t="s">
        <v>7218</v>
      </c>
      <c r="E2269" s="5" t="s">
        <v>15</v>
      </c>
      <c r="F2269" s="5">
        <v>2020</v>
      </c>
      <c r="G2269" s="14" t="s">
        <v>16</v>
      </c>
      <c r="H2269" s="17">
        <v>200</v>
      </c>
      <c r="I2269" s="17">
        <v>200</v>
      </c>
      <c r="J2269" s="6"/>
      <c r="K2269" s="10"/>
      <c r="L2269" s="10">
        <v>20201118</v>
      </c>
      <c r="M2269" s="36" t="str">
        <f t="shared" si="35"/>
        <v>19671126</v>
      </c>
    </row>
    <row r="2270" s="1" customFormat="1" spans="1:13">
      <c r="A2270" s="2">
        <v>475</v>
      </c>
      <c r="B2270" s="29" t="s">
        <v>1040</v>
      </c>
      <c r="C2270" s="29" t="s">
        <v>1226</v>
      </c>
      <c r="D2270" s="29" t="s">
        <v>1227</v>
      </c>
      <c r="E2270" s="30">
        <v>2020</v>
      </c>
      <c r="F2270" s="30">
        <v>2020</v>
      </c>
      <c r="G2270" s="29" t="s">
        <v>16</v>
      </c>
      <c r="H2270" s="29">
        <v>200</v>
      </c>
      <c r="I2270" s="29">
        <v>200</v>
      </c>
      <c r="J2270" s="29"/>
      <c r="K2270" s="47"/>
      <c r="L2270" s="14" t="s">
        <v>330</v>
      </c>
      <c r="M2270" s="36" t="str">
        <f t="shared" si="35"/>
        <v>19671127</v>
      </c>
    </row>
    <row r="2271" s="1" customFormat="1" spans="1:13">
      <c r="A2271" s="2">
        <v>7331</v>
      </c>
      <c r="B2271" s="5" t="s">
        <v>13908</v>
      </c>
      <c r="C2271" s="5" t="s">
        <v>14295</v>
      </c>
      <c r="D2271" s="5" t="s">
        <v>14296</v>
      </c>
      <c r="E2271" s="5" t="s">
        <v>15</v>
      </c>
      <c r="F2271" s="5" t="s">
        <v>15</v>
      </c>
      <c r="G2271" s="14" t="s">
        <v>16</v>
      </c>
      <c r="H2271" s="17">
        <v>200</v>
      </c>
      <c r="I2271" s="17">
        <v>200</v>
      </c>
      <c r="J2271" s="5"/>
      <c r="K2271" s="10"/>
      <c r="L2271" s="10">
        <v>20201118</v>
      </c>
      <c r="M2271" s="36" t="str">
        <f t="shared" si="35"/>
        <v>19671128</v>
      </c>
    </row>
    <row r="2272" s="1" customFormat="1" spans="1:13">
      <c r="A2272" s="2">
        <v>388</v>
      </c>
      <c r="B2272" s="76" t="s">
        <v>1040</v>
      </c>
      <c r="C2272" s="76" t="s">
        <v>1052</v>
      </c>
      <c r="D2272" s="29" t="s">
        <v>1053</v>
      </c>
      <c r="E2272" s="10">
        <v>2020</v>
      </c>
      <c r="F2272" s="2" t="s">
        <v>15</v>
      </c>
      <c r="G2272" s="76" t="s">
        <v>16</v>
      </c>
      <c r="H2272" s="76">
        <v>200</v>
      </c>
      <c r="I2272" s="76">
        <v>200</v>
      </c>
      <c r="J2272" s="44"/>
      <c r="K2272" s="45"/>
      <c r="L2272" s="2" t="s">
        <v>325</v>
      </c>
      <c r="M2272" s="36" t="str">
        <f t="shared" si="35"/>
        <v>19671129</v>
      </c>
    </row>
    <row r="2273" s="1" customFormat="1" spans="1:13">
      <c r="A2273" s="2">
        <v>4947</v>
      </c>
      <c r="B2273" s="6" t="s">
        <v>9954</v>
      </c>
      <c r="C2273" s="60" t="s">
        <v>10035</v>
      </c>
      <c r="D2273" s="60" t="s">
        <v>10036</v>
      </c>
      <c r="E2273" s="5" t="s">
        <v>15</v>
      </c>
      <c r="F2273" s="5" t="s">
        <v>15</v>
      </c>
      <c r="G2273" s="14" t="s">
        <v>16</v>
      </c>
      <c r="H2273" s="6">
        <v>200</v>
      </c>
      <c r="I2273" s="6">
        <v>200</v>
      </c>
      <c r="J2273" s="6"/>
      <c r="K2273" s="6"/>
      <c r="L2273" s="10">
        <v>20201118</v>
      </c>
      <c r="M2273" s="36" t="str">
        <f t="shared" si="35"/>
        <v>19671201</v>
      </c>
    </row>
    <row r="2274" s="1" customFormat="1" spans="1:13">
      <c r="A2274" s="2">
        <v>203</v>
      </c>
      <c r="B2274" s="14" t="s">
        <v>327</v>
      </c>
      <c r="C2274" s="14" t="s">
        <v>497</v>
      </c>
      <c r="D2274" s="14" t="s">
        <v>498</v>
      </c>
      <c r="E2274" s="5">
        <v>2020</v>
      </c>
      <c r="F2274" s="5">
        <v>2020</v>
      </c>
      <c r="G2274" s="14" t="s">
        <v>16</v>
      </c>
      <c r="H2274" s="14">
        <v>200</v>
      </c>
      <c r="I2274" s="14">
        <v>200</v>
      </c>
      <c r="J2274" s="14"/>
      <c r="K2274" s="10"/>
      <c r="L2274" s="2" t="s">
        <v>330</v>
      </c>
      <c r="M2274" s="36" t="str">
        <f t="shared" si="35"/>
        <v>19671202</v>
      </c>
    </row>
    <row r="2275" s="1" customFormat="1" spans="1:13">
      <c r="A2275" s="2">
        <v>7558</v>
      </c>
      <c r="B2275" s="5" t="s">
        <v>14402</v>
      </c>
      <c r="C2275" s="5" t="s">
        <v>230</v>
      </c>
      <c r="D2275" s="5" t="s">
        <v>14719</v>
      </c>
      <c r="E2275" s="5">
        <v>2020</v>
      </c>
      <c r="F2275" s="5">
        <v>2020</v>
      </c>
      <c r="G2275" s="17" t="s">
        <v>16</v>
      </c>
      <c r="H2275" s="5">
        <v>200</v>
      </c>
      <c r="I2275" s="5">
        <v>200</v>
      </c>
      <c r="J2275" s="5"/>
      <c r="K2275" s="10"/>
      <c r="L2275" s="10">
        <v>20201118</v>
      </c>
      <c r="M2275" s="36" t="str">
        <f t="shared" si="35"/>
        <v>19671209</v>
      </c>
    </row>
    <row r="2276" s="1" customFormat="1" spans="1:13">
      <c r="A2276" s="2">
        <v>3436</v>
      </c>
      <c r="B2276" s="5" t="s">
        <v>3375</v>
      </c>
      <c r="C2276" s="6" t="s">
        <v>7213</v>
      </c>
      <c r="D2276" s="6" t="str">
        <f>"152326196712106877"</f>
        <v>152326196712106877</v>
      </c>
      <c r="E2276" s="5" t="s">
        <v>15</v>
      </c>
      <c r="F2276" s="5">
        <v>2020</v>
      </c>
      <c r="G2276" s="14" t="s">
        <v>16</v>
      </c>
      <c r="H2276" s="17">
        <v>200</v>
      </c>
      <c r="I2276" s="17">
        <v>200</v>
      </c>
      <c r="J2276" s="6"/>
      <c r="K2276" s="10"/>
      <c r="L2276" s="10">
        <v>20201118</v>
      </c>
      <c r="M2276" s="36" t="str">
        <f t="shared" si="35"/>
        <v>19671210</v>
      </c>
    </row>
    <row r="2277" s="1" customFormat="1" spans="1:13">
      <c r="A2277" s="2">
        <v>8012</v>
      </c>
      <c r="B2277" s="5" t="s">
        <v>15086</v>
      </c>
      <c r="C2277" s="6" t="s">
        <v>15288</v>
      </c>
      <c r="D2277" s="6" t="str">
        <f>"152326196712106869"</f>
        <v>152326196712106869</v>
      </c>
      <c r="E2277" s="5" t="s">
        <v>15</v>
      </c>
      <c r="F2277" s="5">
        <v>2020</v>
      </c>
      <c r="G2277" s="5" t="s">
        <v>16</v>
      </c>
      <c r="H2277" s="5">
        <v>200</v>
      </c>
      <c r="I2277" s="5">
        <v>200</v>
      </c>
      <c r="J2277" s="5"/>
      <c r="K2277" s="5"/>
      <c r="L2277" s="10">
        <v>20201118</v>
      </c>
      <c r="M2277" s="36" t="str">
        <f t="shared" si="35"/>
        <v>19671210</v>
      </c>
    </row>
    <row r="2278" s="1" customFormat="1" spans="1:13">
      <c r="A2278" s="2">
        <v>582</v>
      </c>
      <c r="B2278" s="29" t="s">
        <v>1040</v>
      </c>
      <c r="C2278" s="29" t="s">
        <v>1440</v>
      </c>
      <c r="D2278" s="29" t="s">
        <v>1441</v>
      </c>
      <c r="E2278" s="30">
        <v>2020</v>
      </c>
      <c r="F2278" s="30">
        <v>2020</v>
      </c>
      <c r="G2278" s="29" t="s">
        <v>16</v>
      </c>
      <c r="H2278" s="29">
        <v>200</v>
      </c>
      <c r="I2278" s="29">
        <v>200</v>
      </c>
      <c r="J2278" s="29"/>
      <c r="K2278" s="47"/>
      <c r="L2278" s="2" t="s">
        <v>330</v>
      </c>
      <c r="M2278" s="36" t="str">
        <f t="shared" si="35"/>
        <v>19671211</v>
      </c>
    </row>
    <row r="2279" s="1" customFormat="1" spans="1:13">
      <c r="A2279" s="2">
        <v>7634</v>
      </c>
      <c r="B2279" s="5" t="s">
        <v>14402</v>
      </c>
      <c r="C2279" s="5" t="s">
        <v>14864</v>
      </c>
      <c r="D2279" s="5" t="s">
        <v>14865</v>
      </c>
      <c r="E2279" s="5">
        <v>2020</v>
      </c>
      <c r="F2279" s="5">
        <v>2020</v>
      </c>
      <c r="G2279" s="17" t="s">
        <v>16</v>
      </c>
      <c r="H2279" s="5">
        <v>200</v>
      </c>
      <c r="I2279" s="5">
        <v>200</v>
      </c>
      <c r="J2279" s="5" t="s">
        <v>749</v>
      </c>
      <c r="K2279" s="10"/>
      <c r="L2279" s="10">
        <v>20201118</v>
      </c>
      <c r="M2279" s="36" t="str">
        <f t="shared" si="35"/>
        <v>19671211</v>
      </c>
    </row>
    <row r="2280" s="1" customFormat="1" spans="1:13">
      <c r="A2280" s="2">
        <v>6235</v>
      </c>
      <c r="B2280" s="5" t="s">
        <v>12263</v>
      </c>
      <c r="C2280" s="5" t="s">
        <v>12494</v>
      </c>
      <c r="D2280" s="5" t="s">
        <v>12495</v>
      </c>
      <c r="E2280" s="5" t="s">
        <v>10250</v>
      </c>
      <c r="F2280" s="5">
        <v>2020</v>
      </c>
      <c r="G2280" s="17" t="s">
        <v>3359</v>
      </c>
      <c r="H2280" s="5">
        <v>200</v>
      </c>
      <c r="I2280" s="5">
        <v>200</v>
      </c>
      <c r="J2280" s="5"/>
      <c r="K2280" s="5"/>
      <c r="L2280" s="10">
        <v>20201118</v>
      </c>
      <c r="M2280" s="36" t="str">
        <f t="shared" si="35"/>
        <v>19671212</v>
      </c>
    </row>
    <row r="2281" s="1" customFormat="1" spans="1:13">
      <c r="A2281" s="2">
        <v>779</v>
      </c>
      <c r="B2281" s="29" t="s">
        <v>1040</v>
      </c>
      <c r="C2281" s="5" t="s">
        <v>1987</v>
      </c>
      <c r="D2281" s="317" t="s">
        <v>1988</v>
      </c>
      <c r="E2281" s="30">
        <v>2020</v>
      </c>
      <c r="F2281" s="30">
        <v>2020</v>
      </c>
      <c r="G2281" s="29" t="s">
        <v>16</v>
      </c>
      <c r="H2281" s="29">
        <v>200</v>
      </c>
      <c r="I2281" s="29">
        <v>200</v>
      </c>
      <c r="J2281" s="32"/>
      <c r="K2281" s="32"/>
      <c r="L2281" s="2" t="s">
        <v>330</v>
      </c>
      <c r="M2281" s="36" t="str">
        <f t="shared" si="35"/>
        <v>19671213</v>
      </c>
    </row>
    <row r="2282" s="1" customFormat="1" ht="14.25" spans="1:13">
      <c r="A2282" s="2">
        <v>5287</v>
      </c>
      <c r="B2282" s="33" t="s">
        <v>10535</v>
      </c>
      <c r="C2282" s="34" t="s">
        <v>10689</v>
      </c>
      <c r="D2282" s="34" t="s">
        <v>10690</v>
      </c>
      <c r="E2282" s="35">
        <v>2020</v>
      </c>
      <c r="F2282" s="35">
        <v>2020</v>
      </c>
      <c r="G2282" s="35" t="s">
        <v>16</v>
      </c>
      <c r="H2282" s="34">
        <v>200</v>
      </c>
      <c r="I2282" s="34">
        <v>200</v>
      </c>
      <c r="J2282" s="49" t="s">
        <v>10691</v>
      </c>
      <c r="K2282" s="10"/>
      <c r="L2282" s="10">
        <v>20201118</v>
      </c>
      <c r="M2282" s="36" t="str">
        <f t="shared" si="35"/>
        <v>19671213</v>
      </c>
    </row>
    <row r="2283" s="1" customFormat="1" spans="1:13">
      <c r="A2283" s="2">
        <v>1547</v>
      </c>
      <c r="B2283" s="5" t="s">
        <v>3381</v>
      </c>
      <c r="C2283" s="9" t="s">
        <v>3659</v>
      </c>
      <c r="D2283" s="9" t="s">
        <v>3660</v>
      </c>
      <c r="E2283" s="5">
        <v>2020</v>
      </c>
      <c r="F2283" s="5">
        <v>2020</v>
      </c>
      <c r="G2283" s="14" t="s">
        <v>16</v>
      </c>
      <c r="H2283" s="6">
        <v>200</v>
      </c>
      <c r="I2283" s="6">
        <v>200</v>
      </c>
      <c r="J2283" s="5"/>
      <c r="K2283" s="13"/>
      <c r="L2283" s="10">
        <v>20201118</v>
      </c>
      <c r="M2283" s="36" t="str">
        <f t="shared" si="35"/>
        <v>19671214</v>
      </c>
    </row>
    <row r="2284" s="1" customFormat="1" spans="1:13">
      <c r="A2284" s="2">
        <v>2224</v>
      </c>
      <c r="B2284" s="9" t="s">
        <v>4837</v>
      </c>
      <c r="C2284" s="9" t="s">
        <v>4995</v>
      </c>
      <c r="D2284" s="9" t="s">
        <v>4996</v>
      </c>
      <c r="E2284" s="6" t="s">
        <v>15</v>
      </c>
      <c r="F2284" s="6">
        <v>2020</v>
      </c>
      <c r="G2284" s="9" t="s">
        <v>2480</v>
      </c>
      <c r="H2284" s="9">
        <v>200</v>
      </c>
      <c r="I2284" s="9">
        <v>200</v>
      </c>
      <c r="J2284" s="6"/>
      <c r="K2284" s="10"/>
      <c r="L2284" s="10">
        <v>20201118</v>
      </c>
      <c r="M2284" s="36" t="str">
        <f t="shared" si="35"/>
        <v>19671214</v>
      </c>
    </row>
    <row r="2285" s="1" customFormat="1" spans="1:13">
      <c r="A2285" s="2">
        <v>5558</v>
      </c>
      <c r="B2285" s="30" t="s">
        <v>11090</v>
      </c>
      <c r="C2285" s="30" t="s">
        <v>11211</v>
      </c>
      <c r="D2285" s="30" t="s">
        <v>11212</v>
      </c>
      <c r="E2285" s="5" t="s">
        <v>15</v>
      </c>
      <c r="F2285" s="5" t="s">
        <v>10250</v>
      </c>
      <c r="G2285" s="6" t="s">
        <v>16</v>
      </c>
      <c r="H2285" s="32">
        <v>200</v>
      </c>
      <c r="I2285" s="32">
        <v>200</v>
      </c>
      <c r="J2285" s="6"/>
      <c r="K2285" s="48"/>
      <c r="L2285" s="10">
        <v>20201118</v>
      </c>
      <c r="M2285" s="36" t="str">
        <f t="shared" si="35"/>
        <v>19671214</v>
      </c>
    </row>
    <row r="2286" s="1" customFormat="1" spans="1:13">
      <c r="A2286" s="2">
        <v>2590</v>
      </c>
      <c r="B2286" s="32" t="s">
        <v>5602</v>
      </c>
      <c r="C2286" s="9" t="s">
        <v>5715</v>
      </c>
      <c r="D2286" s="9" t="s">
        <v>5716</v>
      </c>
      <c r="E2286" s="32">
        <v>2020</v>
      </c>
      <c r="F2286" s="32">
        <v>2020</v>
      </c>
      <c r="G2286" s="32" t="s">
        <v>16</v>
      </c>
      <c r="H2286" s="9">
        <v>200</v>
      </c>
      <c r="I2286" s="9">
        <v>200</v>
      </c>
      <c r="J2286" s="32"/>
      <c r="K2286" s="52"/>
      <c r="L2286" s="10">
        <v>20201118</v>
      </c>
      <c r="M2286" s="36" t="str">
        <f t="shared" si="35"/>
        <v>19671215</v>
      </c>
    </row>
    <row r="2287" s="1" customFormat="1" spans="1:13">
      <c r="A2287" s="2">
        <v>6982</v>
      </c>
      <c r="B2287" s="5" t="s">
        <v>13533</v>
      </c>
      <c r="C2287" s="32" t="s">
        <v>13731</v>
      </c>
      <c r="D2287" s="32" t="str">
        <f>"152326196712167127"</f>
        <v>152326196712167127</v>
      </c>
      <c r="E2287" s="5">
        <v>2020</v>
      </c>
      <c r="F2287" s="5">
        <v>2020</v>
      </c>
      <c r="G2287" s="9" t="s">
        <v>2480</v>
      </c>
      <c r="H2287" s="32">
        <v>200</v>
      </c>
      <c r="I2287" s="32">
        <v>200</v>
      </c>
      <c r="J2287" s="32"/>
      <c r="K2287" s="10"/>
      <c r="L2287" s="10">
        <v>20201118</v>
      </c>
      <c r="M2287" s="36" t="str">
        <f t="shared" si="35"/>
        <v>19671216</v>
      </c>
    </row>
    <row r="2288" s="1" customFormat="1" spans="1:13">
      <c r="A2288" s="2">
        <v>5853</v>
      </c>
      <c r="B2288" s="30" t="s">
        <v>11090</v>
      </c>
      <c r="C2288" s="30" t="s">
        <v>11769</v>
      </c>
      <c r="D2288" s="30" t="s">
        <v>11770</v>
      </c>
      <c r="E2288" s="5" t="s">
        <v>15</v>
      </c>
      <c r="F2288" s="5" t="s">
        <v>10250</v>
      </c>
      <c r="G2288" s="6" t="s">
        <v>16</v>
      </c>
      <c r="H2288" s="32">
        <v>200</v>
      </c>
      <c r="I2288" s="32">
        <v>200</v>
      </c>
      <c r="J2288" s="6"/>
      <c r="K2288" s="48"/>
      <c r="L2288" s="10">
        <v>20201118</v>
      </c>
      <c r="M2288" s="36" t="str">
        <f t="shared" si="35"/>
        <v>19671221</v>
      </c>
    </row>
    <row r="2289" s="1" customFormat="1" spans="1:13">
      <c r="A2289" s="2">
        <v>4233</v>
      </c>
      <c r="B2289" s="9" t="s">
        <v>8515</v>
      </c>
      <c r="C2289" s="9" t="s">
        <v>8666</v>
      </c>
      <c r="D2289" s="9" t="s">
        <v>8667</v>
      </c>
      <c r="E2289" s="5" t="s">
        <v>15</v>
      </c>
      <c r="F2289" s="5">
        <v>2020</v>
      </c>
      <c r="G2289" s="9" t="s">
        <v>2480</v>
      </c>
      <c r="H2289" s="9">
        <v>200</v>
      </c>
      <c r="I2289" s="9">
        <v>200</v>
      </c>
      <c r="J2289" s="9"/>
      <c r="K2289" s="9"/>
      <c r="L2289" s="10">
        <v>20201118</v>
      </c>
      <c r="M2289" s="36" t="str">
        <f t="shared" si="35"/>
        <v>19671222</v>
      </c>
    </row>
    <row r="2290" s="1" customFormat="1" spans="1:13">
      <c r="A2290" s="2">
        <v>797</v>
      </c>
      <c r="B2290" s="29" t="s">
        <v>1040</v>
      </c>
      <c r="C2290" s="5" t="s">
        <v>2041</v>
      </c>
      <c r="D2290" s="317" t="s">
        <v>2042</v>
      </c>
      <c r="E2290" s="30">
        <v>2020</v>
      </c>
      <c r="F2290" s="30">
        <v>2020</v>
      </c>
      <c r="G2290" s="29" t="s">
        <v>16</v>
      </c>
      <c r="H2290" s="5">
        <v>3000</v>
      </c>
      <c r="I2290" s="5">
        <v>3000</v>
      </c>
      <c r="J2290" s="32"/>
      <c r="K2290" s="32"/>
      <c r="L2290" s="2" t="s">
        <v>330</v>
      </c>
      <c r="M2290" s="36" t="str">
        <f t="shared" si="35"/>
        <v>19671223</v>
      </c>
    </row>
    <row r="2291" s="1" customFormat="1" spans="1:13">
      <c r="A2291" s="2">
        <v>6587</v>
      </c>
      <c r="B2291" s="5" t="s">
        <v>13027</v>
      </c>
      <c r="C2291" s="15" t="s">
        <v>13164</v>
      </c>
      <c r="D2291" s="15" t="s">
        <v>13165</v>
      </c>
      <c r="E2291" s="5">
        <v>2020</v>
      </c>
      <c r="F2291" s="5">
        <v>2020</v>
      </c>
      <c r="G2291" s="14" t="s">
        <v>16</v>
      </c>
      <c r="H2291" s="15">
        <v>200</v>
      </c>
      <c r="I2291" s="15">
        <v>200</v>
      </c>
      <c r="J2291" s="5"/>
      <c r="K2291" s="10"/>
      <c r="L2291" s="10">
        <v>20201118</v>
      </c>
      <c r="M2291" s="36" t="str">
        <f t="shared" si="35"/>
        <v>19671224</v>
      </c>
    </row>
    <row r="2292" s="1" customFormat="1" spans="1:13">
      <c r="A2292" s="2">
        <v>3156</v>
      </c>
      <c r="B2292" s="3" t="s">
        <v>6671</v>
      </c>
      <c r="C2292" s="9" t="s">
        <v>6828</v>
      </c>
      <c r="D2292" s="9" t="s">
        <v>6829</v>
      </c>
      <c r="E2292" s="3" t="s">
        <v>15</v>
      </c>
      <c r="F2292" s="3" t="s">
        <v>15</v>
      </c>
      <c r="G2292" s="6" t="s">
        <v>3359</v>
      </c>
      <c r="H2292" s="9">
        <v>200</v>
      </c>
      <c r="I2292" s="9">
        <v>200</v>
      </c>
      <c r="J2292" s="6"/>
      <c r="K2292" s="5"/>
      <c r="L2292" s="10">
        <v>20201118</v>
      </c>
      <c r="M2292" s="36" t="str">
        <f t="shared" si="35"/>
        <v>19671225</v>
      </c>
    </row>
    <row r="2293" s="1" customFormat="1" spans="1:13">
      <c r="A2293" s="2">
        <v>6588</v>
      </c>
      <c r="B2293" s="5" t="s">
        <v>13027</v>
      </c>
      <c r="C2293" s="15" t="s">
        <v>13166</v>
      </c>
      <c r="D2293" s="15" t="s">
        <v>13167</v>
      </c>
      <c r="E2293" s="5">
        <v>2020</v>
      </c>
      <c r="F2293" s="5">
        <v>2020</v>
      </c>
      <c r="G2293" s="14" t="s">
        <v>16</v>
      </c>
      <c r="H2293" s="15">
        <v>200</v>
      </c>
      <c r="I2293" s="15">
        <v>200</v>
      </c>
      <c r="J2293" s="5"/>
      <c r="K2293" s="10"/>
      <c r="L2293" s="10">
        <v>20201118</v>
      </c>
      <c r="M2293" s="36" t="str">
        <f t="shared" si="35"/>
        <v>19671226</v>
      </c>
    </row>
    <row r="2294" s="1" customFormat="1" spans="1:13">
      <c r="A2294" s="2">
        <v>7633</v>
      </c>
      <c r="B2294" s="5" t="s">
        <v>14402</v>
      </c>
      <c r="C2294" s="5" t="s">
        <v>14862</v>
      </c>
      <c r="D2294" s="5" t="s">
        <v>14863</v>
      </c>
      <c r="E2294" s="5">
        <v>2020</v>
      </c>
      <c r="F2294" s="5">
        <v>2020</v>
      </c>
      <c r="G2294" s="17" t="s">
        <v>16</v>
      </c>
      <c r="H2294" s="5">
        <v>200</v>
      </c>
      <c r="I2294" s="5">
        <v>200</v>
      </c>
      <c r="J2294" s="5"/>
      <c r="K2294" s="10"/>
      <c r="L2294" s="10">
        <v>20201118</v>
      </c>
      <c r="M2294" s="36" t="str">
        <f t="shared" si="35"/>
        <v>19671227</v>
      </c>
    </row>
    <row r="2295" s="1" customFormat="1" ht="14.25" spans="1:13">
      <c r="A2295" s="2">
        <v>2985</v>
      </c>
      <c r="B2295" s="6" t="s">
        <v>6075</v>
      </c>
      <c r="C2295" s="25" t="s">
        <v>6495</v>
      </c>
      <c r="D2295" s="26" t="s">
        <v>6496</v>
      </c>
      <c r="E2295" s="5" t="s">
        <v>15</v>
      </c>
      <c r="F2295" s="5">
        <v>2020</v>
      </c>
      <c r="G2295" s="6" t="s">
        <v>16</v>
      </c>
      <c r="H2295" s="6">
        <v>200</v>
      </c>
      <c r="I2295" s="6">
        <v>200</v>
      </c>
      <c r="J2295" s="6"/>
      <c r="K2295" s="10"/>
      <c r="L2295" s="10">
        <v>20201118</v>
      </c>
      <c r="M2295" s="36" t="str">
        <f t="shared" si="35"/>
        <v>19671228</v>
      </c>
    </row>
    <row r="2296" s="1" customFormat="1" spans="1:13">
      <c r="A2296" s="2">
        <v>1548</v>
      </c>
      <c r="B2296" s="5" t="s">
        <v>3381</v>
      </c>
      <c r="C2296" s="9" t="s">
        <v>3661</v>
      </c>
      <c r="D2296" s="9" t="s">
        <v>3662</v>
      </c>
      <c r="E2296" s="5">
        <v>2020</v>
      </c>
      <c r="F2296" s="5">
        <v>2020</v>
      </c>
      <c r="G2296" s="14" t="s">
        <v>16</v>
      </c>
      <c r="H2296" s="6">
        <v>200</v>
      </c>
      <c r="I2296" s="6">
        <v>200</v>
      </c>
      <c r="J2296" s="5"/>
      <c r="K2296" s="13"/>
      <c r="L2296" s="10">
        <v>20201118</v>
      </c>
      <c r="M2296" s="36" t="str">
        <f t="shared" si="35"/>
        <v>19671230</v>
      </c>
    </row>
    <row r="2297" s="1" customFormat="1" spans="1:13">
      <c r="A2297" s="2">
        <v>2591</v>
      </c>
      <c r="B2297" s="32" t="s">
        <v>5602</v>
      </c>
      <c r="C2297" s="9" t="s">
        <v>5717</v>
      </c>
      <c r="D2297" s="9" t="s">
        <v>5718</v>
      </c>
      <c r="E2297" s="32">
        <v>2020</v>
      </c>
      <c r="F2297" s="32">
        <v>2020</v>
      </c>
      <c r="G2297" s="32" t="s">
        <v>16</v>
      </c>
      <c r="H2297" s="9">
        <v>200</v>
      </c>
      <c r="I2297" s="9">
        <v>200</v>
      </c>
      <c r="J2297" s="32"/>
      <c r="K2297" s="52"/>
      <c r="L2297" s="10">
        <v>20201118</v>
      </c>
      <c r="M2297" s="36" t="str">
        <f t="shared" si="35"/>
        <v>19680102</v>
      </c>
    </row>
    <row r="2298" s="1" customFormat="1" spans="1:13">
      <c r="A2298" s="2">
        <v>3752</v>
      </c>
      <c r="B2298" s="5" t="s">
        <v>7412</v>
      </c>
      <c r="C2298" s="5" t="s">
        <v>6495</v>
      </c>
      <c r="D2298" s="5" t="s">
        <v>7756</v>
      </c>
      <c r="E2298" s="6">
        <v>2020</v>
      </c>
      <c r="F2298" s="6">
        <v>2020</v>
      </c>
      <c r="G2298" s="5" t="s">
        <v>3359</v>
      </c>
      <c r="H2298" s="5">
        <v>200</v>
      </c>
      <c r="I2298" s="5">
        <v>200</v>
      </c>
      <c r="J2298" s="5"/>
      <c r="K2298" s="5"/>
      <c r="L2298" s="10">
        <v>20201118</v>
      </c>
      <c r="M2298" s="36" t="str">
        <f t="shared" si="35"/>
        <v>19680102</v>
      </c>
    </row>
    <row r="2299" s="1" customFormat="1" spans="1:13">
      <c r="A2299" s="2">
        <v>4911</v>
      </c>
      <c r="B2299" s="6" t="s">
        <v>9954</v>
      </c>
      <c r="C2299" s="60" t="s">
        <v>9963</v>
      </c>
      <c r="D2299" s="60" t="s">
        <v>9964</v>
      </c>
      <c r="E2299" s="5" t="s">
        <v>15</v>
      </c>
      <c r="F2299" s="5" t="s">
        <v>15</v>
      </c>
      <c r="G2299" s="14" t="s">
        <v>16</v>
      </c>
      <c r="H2299" s="6">
        <v>200</v>
      </c>
      <c r="I2299" s="6">
        <v>200</v>
      </c>
      <c r="J2299" s="6"/>
      <c r="K2299" s="6"/>
      <c r="L2299" s="10">
        <v>20201118</v>
      </c>
      <c r="M2299" s="36" t="str">
        <f t="shared" si="35"/>
        <v>19680102</v>
      </c>
    </row>
    <row r="2300" s="1" customFormat="1" spans="1:13">
      <c r="A2300" s="2">
        <v>6201</v>
      </c>
      <c r="B2300" s="5" t="s">
        <v>12263</v>
      </c>
      <c r="C2300" s="5" t="s">
        <v>12430</v>
      </c>
      <c r="D2300" s="5" t="s">
        <v>12431</v>
      </c>
      <c r="E2300" s="5" t="s">
        <v>10250</v>
      </c>
      <c r="F2300" s="5">
        <v>2020</v>
      </c>
      <c r="G2300" s="17" t="s">
        <v>3359</v>
      </c>
      <c r="H2300" s="5">
        <v>200</v>
      </c>
      <c r="I2300" s="5">
        <v>200</v>
      </c>
      <c r="J2300" s="5"/>
      <c r="K2300" s="5"/>
      <c r="L2300" s="10">
        <v>20201118</v>
      </c>
      <c r="M2300" s="36" t="str">
        <f t="shared" si="35"/>
        <v>19680102</v>
      </c>
    </row>
    <row r="2301" s="1" customFormat="1" spans="1:13">
      <c r="A2301" s="2">
        <v>2102</v>
      </c>
      <c r="B2301" s="5" t="s">
        <v>4189</v>
      </c>
      <c r="C2301" s="9" t="s">
        <v>4755</v>
      </c>
      <c r="D2301" s="9" t="s">
        <v>4756</v>
      </c>
      <c r="E2301" s="5" t="s">
        <v>15</v>
      </c>
      <c r="F2301" s="5" t="s">
        <v>15</v>
      </c>
      <c r="G2301" s="5" t="s">
        <v>3359</v>
      </c>
      <c r="H2301" s="16">
        <v>200</v>
      </c>
      <c r="I2301" s="16">
        <v>200</v>
      </c>
      <c r="J2301" s="5"/>
      <c r="K2301" s="10"/>
      <c r="L2301" s="10">
        <v>20201118</v>
      </c>
      <c r="M2301" s="36" t="str">
        <f t="shared" si="35"/>
        <v>19680104</v>
      </c>
    </row>
    <row r="2302" s="1" customFormat="1" spans="1:13">
      <c r="A2302" s="2">
        <v>3122</v>
      </c>
      <c r="B2302" s="3" t="s">
        <v>6671</v>
      </c>
      <c r="C2302" s="9" t="s">
        <v>6766</v>
      </c>
      <c r="D2302" s="9" t="s">
        <v>6767</v>
      </c>
      <c r="E2302" s="3" t="s">
        <v>15</v>
      </c>
      <c r="F2302" s="3" t="s">
        <v>15</v>
      </c>
      <c r="G2302" s="6" t="s">
        <v>3359</v>
      </c>
      <c r="H2302" s="9">
        <v>200</v>
      </c>
      <c r="I2302" s="9">
        <v>200</v>
      </c>
      <c r="J2302" s="6"/>
      <c r="K2302" s="5"/>
      <c r="L2302" s="10">
        <v>20201118</v>
      </c>
      <c r="M2302" s="36" t="str">
        <f t="shared" si="35"/>
        <v>19680104</v>
      </c>
    </row>
    <row r="2303" s="1" customFormat="1" spans="1:13">
      <c r="A2303" s="2">
        <v>6776</v>
      </c>
      <c r="B2303" s="5" t="s">
        <v>13027</v>
      </c>
      <c r="C2303" s="15" t="s">
        <v>2401</v>
      </c>
      <c r="D2303" s="15" t="s">
        <v>13513</v>
      </c>
      <c r="E2303" s="5">
        <v>2020</v>
      </c>
      <c r="F2303" s="5">
        <v>2020</v>
      </c>
      <c r="G2303" s="14" t="s">
        <v>16</v>
      </c>
      <c r="H2303" s="15">
        <v>200</v>
      </c>
      <c r="I2303" s="15">
        <v>200</v>
      </c>
      <c r="J2303" s="5"/>
      <c r="K2303" s="10"/>
      <c r="L2303" s="10">
        <v>20201118</v>
      </c>
      <c r="M2303" s="36" t="str">
        <f t="shared" si="35"/>
        <v>19680105</v>
      </c>
    </row>
    <row r="2304" s="1" customFormat="1" ht="14.25" spans="1:13">
      <c r="A2304" s="2">
        <v>2883</v>
      </c>
      <c r="B2304" s="6" t="s">
        <v>6075</v>
      </c>
      <c r="C2304" s="25" t="s">
        <v>6295</v>
      </c>
      <c r="D2304" s="26" t="s">
        <v>6296</v>
      </c>
      <c r="E2304" s="5" t="s">
        <v>15</v>
      </c>
      <c r="F2304" s="5">
        <v>2020</v>
      </c>
      <c r="G2304" s="6" t="s">
        <v>16</v>
      </c>
      <c r="H2304" s="6">
        <v>200</v>
      </c>
      <c r="I2304" s="6">
        <v>200</v>
      </c>
      <c r="J2304" s="6"/>
      <c r="K2304" s="10"/>
      <c r="L2304" s="10">
        <v>20201118</v>
      </c>
      <c r="M2304" s="36" t="str">
        <f t="shared" si="35"/>
        <v>19680106</v>
      </c>
    </row>
    <row r="2305" s="1" customFormat="1" spans="1:13">
      <c r="A2305" s="2">
        <v>7999</v>
      </c>
      <c r="B2305" s="5" t="s">
        <v>15086</v>
      </c>
      <c r="C2305" s="6" t="s">
        <v>15273</v>
      </c>
      <c r="D2305" s="6" t="s">
        <v>15274</v>
      </c>
      <c r="E2305" s="5" t="s">
        <v>15</v>
      </c>
      <c r="F2305" s="5">
        <v>2020</v>
      </c>
      <c r="G2305" s="5" t="s">
        <v>16</v>
      </c>
      <c r="H2305" s="5">
        <v>200</v>
      </c>
      <c r="I2305" s="5">
        <v>200</v>
      </c>
      <c r="J2305" s="5"/>
      <c r="K2305" s="5"/>
      <c r="L2305" s="10">
        <v>20201118</v>
      </c>
      <c r="M2305" s="36" t="str">
        <f t="shared" si="35"/>
        <v>19680106</v>
      </c>
    </row>
    <row r="2306" s="1" customFormat="1" ht="14.25" spans="1:13">
      <c r="A2306" s="2">
        <v>5288</v>
      </c>
      <c r="B2306" s="33" t="s">
        <v>10535</v>
      </c>
      <c r="C2306" s="34" t="s">
        <v>10692</v>
      </c>
      <c r="D2306" s="34" t="s">
        <v>10693</v>
      </c>
      <c r="E2306" s="35">
        <v>2020</v>
      </c>
      <c r="F2306" s="35">
        <v>2020</v>
      </c>
      <c r="G2306" s="35" t="s">
        <v>16</v>
      </c>
      <c r="H2306" s="34">
        <v>200</v>
      </c>
      <c r="I2306" s="34">
        <v>200</v>
      </c>
      <c r="J2306" s="49"/>
      <c r="K2306" s="10"/>
      <c r="L2306" s="10">
        <v>20201118</v>
      </c>
      <c r="M2306" s="36" t="str">
        <f t="shared" ref="M2306:M2369" si="36">MID(D2306,7,8)</f>
        <v>19680108</v>
      </c>
    </row>
    <row r="2307" s="1" customFormat="1" spans="1:13">
      <c r="A2307" s="2">
        <v>7219</v>
      </c>
      <c r="B2307" s="5" t="s">
        <v>13908</v>
      </c>
      <c r="C2307" s="5" t="s">
        <v>14084</v>
      </c>
      <c r="D2307" s="5" t="s">
        <v>14085</v>
      </c>
      <c r="E2307" s="5" t="s">
        <v>15</v>
      </c>
      <c r="F2307" s="5" t="s">
        <v>15</v>
      </c>
      <c r="G2307" s="14" t="s">
        <v>16</v>
      </c>
      <c r="H2307" s="17">
        <v>200</v>
      </c>
      <c r="I2307" s="17">
        <v>200</v>
      </c>
      <c r="J2307" s="5"/>
      <c r="K2307" s="10"/>
      <c r="L2307" s="10">
        <v>20201118</v>
      </c>
      <c r="M2307" s="36" t="str">
        <f t="shared" si="36"/>
        <v>19680110</v>
      </c>
    </row>
    <row r="2308" s="1" customFormat="1" spans="1:13">
      <c r="A2308" s="2">
        <v>8179</v>
      </c>
      <c r="B2308" s="5" t="s">
        <v>15406</v>
      </c>
      <c r="C2308" s="6" t="s">
        <v>15546</v>
      </c>
      <c r="D2308" s="6" t="s">
        <v>15547</v>
      </c>
      <c r="E2308" s="5" t="s">
        <v>15</v>
      </c>
      <c r="F2308" s="5">
        <v>2020</v>
      </c>
      <c r="G2308" s="14" t="s">
        <v>16</v>
      </c>
      <c r="H2308" s="6">
        <v>200</v>
      </c>
      <c r="I2308" s="6">
        <v>200</v>
      </c>
      <c r="J2308" s="5"/>
      <c r="K2308" s="10"/>
      <c r="L2308" s="10">
        <v>20201118</v>
      </c>
      <c r="M2308" s="36" t="str">
        <f t="shared" si="36"/>
        <v>19680110</v>
      </c>
    </row>
    <row r="2309" s="1" customFormat="1" spans="1:13">
      <c r="A2309" s="2">
        <v>4633</v>
      </c>
      <c r="B2309" s="6" t="s">
        <v>9015</v>
      </c>
      <c r="C2309" s="6" t="s">
        <v>9433</v>
      </c>
      <c r="D2309" s="6" t="s">
        <v>9434</v>
      </c>
      <c r="E2309" s="6">
        <v>2020</v>
      </c>
      <c r="F2309" s="6">
        <v>2020</v>
      </c>
      <c r="G2309" s="6" t="s">
        <v>16</v>
      </c>
      <c r="H2309" s="6">
        <v>200</v>
      </c>
      <c r="I2309" s="6">
        <v>200</v>
      </c>
      <c r="J2309" s="6"/>
      <c r="K2309" s="6"/>
      <c r="L2309" s="10">
        <v>20201118</v>
      </c>
      <c r="M2309" s="36" t="str">
        <f t="shared" si="36"/>
        <v>19680112</v>
      </c>
    </row>
    <row r="2310" s="1" customFormat="1" spans="1:13">
      <c r="A2310" s="2">
        <v>3753</v>
      </c>
      <c r="B2310" s="5" t="s">
        <v>7412</v>
      </c>
      <c r="C2310" s="5" t="s">
        <v>7757</v>
      </c>
      <c r="D2310" s="5" t="s">
        <v>7758</v>
      </c>
      <c r="E2310" s="6">
        <v>2020</v>
      </c>
      <c r="F2310" s="6">
        <v>2020</v>
      </c>
      <c r="G2310" s="5" t="s">
        <v>3359</v>
      </c>
      <c r="H2310" s="5">
        <v>200</v>
      </c>
      <c r="I2310" s="5">
        <v>200</v>
      </c>
      <c r="J2310" s="5"/>
      <c r="K2310" s="5"/>
      <c r="L2310" s="10">
        <v>20201118</v>
      </c>
      <c r="M2310" s="36" t="str">
        <f t="shared" si="36"/>
        <v>19680116</v>
      </c>
    </row>
    <row r="2311" s="1" customFormat="1" ht="14.25" spans="1:13">
      <c r="A2311" s="2">
        <v>5289</v>
      </c>
      <c r="B2311" s="33" t="s">
        <v>10535</v>
      </c>
      <c r="C2311" s="34" t="s">
        <v>10694</v>
      </c>
      <c r="D2311" s="34" t="s">
        <v>10695</v>
      </c>
      <c r="E2311" s="35">
        <v>2020</v>
      </c>
      <c r="F2311" s="35">
        <v>2020</v>
      </c>
      <c r="G2311" s="35" t="s">
        <v>16</v>
      </c>
      <c r="H2311" s="34">
        <v>200</v>
      </c>
      <c r="I2311" s="34">
        <v>200</v>
      </c>
      <c r="J2311" s="49"/>
      <c r="K2311" s="10"/>
      <c r="L2311" s="10">
        <v>20201118</v>
      </c>
      <c r="M2311" s="36" t="str">
        <f t="shared" si="36"/>
        <v>19680116</v>
      </c>
    </row>
    <row r="2312" s="1" customFormat="1" ht="14.25" spans="1:13">
      <c r="A2312" s="2">
        <v>2942</v>
      </c>
      <c r="B2312" s="6" t="s">
        <v>6075</v>
      </c>
      <c r="C2312" s="25" t="s">
        <v>6411</v>
      </c>
      <c r="D2312" s="26" t="s">
        <v>6412</v>
      </c>
      <c r="E2312" s="5" t="s">
        <v>15</v>
      </c>
      <c r="F2312" s="5">
        <v>2020</v>
      </c>
      <c r="G2312" s="6" t="s">
        <v>16</v>
      </c>
      <c r="H2312" s="6">
        <v>200</v>
      </c>
      <c r="I2312" s="6">
        <v>200</v>
      </c>
      <c r="J2312" s="6"/>
      <c r="K2312" s="10"/>
      <c r="L2312" s="10">
        <v>20201118</v>
      </c>
      <c r="M2312" s="36" t="str">
        <f t="shared" si="36"/>
        <v>19680117</v>
      </c>
    </row>
    <row r="2313" s="1" customFormat="1" spans="1:13">
      <c r="A2313" s="2">
        <v>3434</v>
      </c>
      <c r="B2313" s="5" t="s">
        <v>3375</v>
      </c>
      <c r="C2313" s="6" t="s">
        <v>4788</v>
      </c>
      <c r="D2313" s="6" t="str">
        <f>"152326196801176893"</f>
        <v>152326196801176893</v>
      </c>
      <c r="E2313" s="5" t="s">
        <v>15</v>
      </c>
      <c r="F2313" s="5">
        <v>2020</v>
      </c>
      <c r="G2313" s="14" t="s">
        <v>16</v>
      </c>
      <c r="H2313" s="17">
        <v>200</v>
      </c>
      <c r="I2313" s="17">
        <v>200</v>
      </c>
      <c r="J2313" s="6"/>
      <c r="K2313" s="10"/>
      <c r="L2313" s="10">
        <v>20201118</v>
      </c>
      <c r="M2313" s="36" t="str">
        <f t="shared" si="36"/>
        <v>19680117</v>
      </c>
    </row>
    <row r="2314" s="1" customFormat="1" spans="1:13">
      <c r="A2314" s="2">
        <v>4522</v>
      </c>
      <c r="B2314" s="6" t="s">
        <v>9015</v>
      </c>
      <c r="C2314" s="6" t="s">
        <v>9226</v>
      </c>
      <c r="D2314" s="6" t="s">
        <v>9227</v>
      </c>
      <c r="E2314" s="6">
        <v>2020</v>
      </c>
      <c r="F2314" s="6">
        <v>2020</v>
      </c>
      <c r="G2314" s="6" t="s">
        <v>16</v>
      </c>
      <c r="H2314" s="6">
        <v>200</v>
      </c>
      <c r="I2314" s="6">
        <v>200</v>
      </c>
      <c r="J2314" s="6"/>
      <c r="K2314" s="6"/>
      <c r="L2314" s="10">
        <v>20201118</v>
      </c>
      <c r="M2314" s="36" t="str">
        <f t="shared" si="36"/>
        <v>19680117</v>
      </c>
    </row>
    <row r="2315" s="1" customFormat="1" spans="1:13">
      <c r="A2315" s="2">
        <v>2592</v>
      </c>
      <c r="B2315" s="32" t="s">
        <v>5602</v>
      </c>
      <c r="C2315" s="9" t="s">
        <v>5719</v>
      </c>
      <c r="D2315" s="9" t="s">
        <v>5720</v>
      </c>
      <c r="E2315" s="32">
        <v>2020</v>
      </c>
      <c r="F2315" s="32">
        <v>2020</v>
      </c>
      <c r="G2315" s="32" t="s">
        <v>16</v>
      </c>
      <c r="H2315" s="9">
        <v>200</v>
      </c>
      <c r="I2315" s="9">
        <v>200</v>
      </c>
      <c r="J2315" s="32"/>
      <c r="K2315" s="52"/>
      <c r="L2315" s="10">
        <v>20201118</v>
      </c>
      <c r="M2315" s="36" t="str">
        <f t="shared" si="36"/>
        <v>19680118</v>
      </c>
    </row>
    <row r="2316" s="1" customFormat="1" spans="1:13">
      <c r="A2316" s="2">
        <v>4629</v>
      </c>
      <c r="B2316" s="6" t="s">
        <v>9015</v>
      </c>
      <c r="C2316" s="6" t="s">
        <v>9425</v>
      </c>
      <c r="D2316" s="6" t="s">
        <v>9426</v>
      </c>
      <c r="E2316" s="6">
        <v>2020</v>
      </c>
      <c r="F2316" s="6">
        <v>2020</v>
      </c>
      <c r="G2316" s="6" t="s">
        <v>16</v>
      </c>
      <c r="H2316" s="6">
        <v>200</v>
      </c>
      <c r="I2316" s="6">
        <v>200</v>
      </c>
      <c r="J2316" s="6"/>
      <c r="K2316" s="6"/>
      <c r="L2316" s="10">
        <v>20201118</v>
      </c>
      <c r="M2316" s="36" t="str">
        <f t="shared" si="36"/>
        <v>19680119</v>
      </c>
    </row>
    <row r="2317" s="1" customFormat="1" ht="14.25" spans="1:13">
      <c r="A2317" s="2">
        <v>2797</v>
      </c>
      <c r="B2317" s="6" t="s">
        <v>6075</v>
      </c>
      <c r="C2317" s="25" t="s">
        <v>6124</v>
      </c>
      <c r="D2317" s="26" t="s">
        <v>6125</v>
      </c>
      <c r="E2317" s="5" t="s">
        <v>15</v>
      </c>
      <c r="F2317" s="5">
        <v>2020</v>
      </c>
      <c r="G2317" s="6" t="s">
        <v>16</v>
      </c>
      <c r="H2317" s="6">
        <v>200</v>
      </c>
      <c r="I2317" s="6">
        <v>200</v>
      </c>
      <c r="J2317" s="6"/>
      <c r="K2317" s="10"/>
      <c r="L2317" s="10">
        <v>20201118</v>
      </c>
      <c r="M2317" s="36" t="str">
        <f t="shared" si="36"/>
        <v>19680120</v>
      </c>
    </row>
    <row r="2318" s="1" customFormat="1" ht="14.25" spans="1:13">
      <c r="A2318" s="2">
        <v>2914</v>
      </c>
      <c r="B2318" s="6" t="s">
        <v>6075</v>
      </c>
      <c r="C2318" s="25" t="s">
        <v>6356</v>
      </c>
      <c r="D2318" s="26" t="s">
        <v>6357</v>
      </c>
      <c r="E2318" s="5" t="s">
        <v>15</v>
      </c>
      <c r="F2318" s="5">
        <v>2020</v>
      </c>
      <c r="G2318" s="6" t="s">
        <v>16</v>
      </c>
      <c r="H2318" s="6">
        <v>200</v>
      </c>
      <c r="I2318" s="6">
        <v>200</v>
      </c>
      <c r="J2318" s="6"/>
      <c r="K2318" s="10"/>
      <c r="L2318" s="10">
        <v>20201118</v>
      </c>
      <c r="M2318" s="36" t="str">
        <f t="shared" si="36"/>
        <v>19680120</v>
      </c>
    </row>
    <row r="2319" s="1" customFormat="1" spans="1:13">
      <c r="A2319" s="2">
        <v>7270</v>
      </c>
      <c r="B2319" s="5" t="s">
        <v>13908</v>
      </c>
      <c r="C2319" s="5" t="s">
        <v>14182</v>
      </c>
      <c r="D2319" s="5" t="s">
        <v>14183</v>
      </c>
      <c r="E2319" s="5" t="s">
        <v>15</v>
      </c>
      <c r="F2319" s="5" t="s">
        <v>15</v>
      </c>
      <c r="G2319" s="14" t="s">
        <v>16</v>
      </c>
      <c r="H2319" s="17">
        <v>200</v>
      </c>
      <c r="I2319" s="17">
        <v>200</v>
      </c>
      <c r="J2319" s="5"/>
      <c r="K2319" s="10"/>
      <c r="L2319" s="10">
        <v>20201118</v>
      </c>
      <c r="M2319" s="36" t="str">
        <f t="shared" si="36"/>
        <v>19680121</v>
      </c>
    </row>
    <row r="2320" s="1" customFormat="1" spans="1:13">
      <c r="A2320" s="2">
        <v>3754</v>
      </c>
      <c r="B2320" s="5" t="s">
        <v>7412</v>
      </c>
      <c r="C2320" s="5" t="s">
        <v>7759</v>
      </c>
      <c r="D2320" s="5" t="s">
        <v>7760</v>
      </c>
      <c r="E2320" s="6">
        <v>2020</v>
      </c>
      <c r="F2320" s="6">
        <v>2020</v>
      </c>
      <c r="G2320" s="5" t="s">
        <v>3359</v>
      </c>
      <c r="H2320" s="5">
        <v>200</v>
      </c>
      <c r="I2320" s="5">
        <v>200</v>
      </c>
      <c r="J2320" s="5"/>
      <c r="K2320" s="5"/>
      <c r="L2320" s="10">
        <v>20201118</v>
      </c>
      <c r="M2320" s="36" t="str">
        <f t="shared" si="36"/>
        <v>19680122</v>
      </c>
    </row>
    <row r="2321" s="1" customFormat="1" ht="14.25" spans="1:13">
      <c r="A2321" s="2">
        <v>5290</v>
      </c>
      <c r="B2321" s="33" t="s">
        <v>10535</v>
      </c>
      <c r="C2321" s="34" t="s">
        <v>10696</v>
      </c>
      <c r="D2321" s="34" t="s">
        <v>10697</v>
      </c>
      <c r="E2321" s="35">
        <v>2020</v>
      </c>
      <c r="F2321" s="35">
        <v>2020</v>
      </c>
      <c r="G2321" s="35" t="s">
        <v>16</v>
      </c>
      <c r="H2321" s="34">
        <v>200</v>
      </c>
      <c r="I2321" s="34">
        <v>200</v>
      </c>
      <c r="J2321" s="49"/>
      <c r="K2321" s="10"/>
      <c r="L2321" s="10">
        <v>20201118</v>
      </c>
      <c r="M2321" s="36" t="str">
        <f t="shared" si="36"/>
        <v>19680123</v>
      </c>
    </row>
    <row r="2322" s="1" customFormat="1" spans="1:13">
      <c r="A2322" s="2">
        <v>3433</v>
      </c>
      <c r="B2322" s="5" t="s">
        <v>3375</v>
      </c>
      <c r="C2322" s="6" t="s">
        <v>7211</v>
      </c>
      <c r="D2322" s="6" t="str">
        <f>"152326196801246871"</f>
        <v>152326196801246871</v>
      </c>
      <c r="E2322" s="5" t="s">
        <v>15</v>
      </c>
      <c r="F2322" s="5">
        <v>2020</v>
      </c>
      <c r="G2322" s="14" t="s">
        <v>16</v>
      </c>
      <c r="H2322" s="17">
        <v>200</v>
      </c>
      <c r="I2322" s="17">
        <v>200</v>
      </c>
      <c r="J2322" s="6"/>
      <c r="K2322" s="10"/>
      <c r="L2322" s="10">
        <v>20201118</v>
      </c>
      <c r="M2322" s="36" t="str">
        <f t="shared" si="36"/>
        <v>19680124</v>
      </c>
    </row>
    <row r="2323" s="1" customFormat="1" spans="1:13">
      <c r="A2323" s="2">
        <v>6589</v>
      </c>
      <c r="B2323" s="5" t="s">
        <v>13027</v>
      </c>
      <c r="C2323" s="15" t="s">
        <v>13168</v>
      </c>
      <c r="D2323" s="15" t="s">
        <v>13169</v>
      </c>
      <c r="E2323" s="5">
        <v>2020</v>
      </c>
      <c r="F2323" s="5">
        <v>2020</v>
      </c>
      <c r="G2323" s="14" t="s">
        <v>16</v>
      </c>
      <c r="H2323" s="15">
        <v>200</v>
      </c>
      <c r="I2323" s="15">
        <v>200</v>
      </c>
      <c r="J2323" s="5"/>
      <c r="K2323" s="10"/>
      <c r="L2323" s="10">
        <v>20201118</v>
      </c>
      <c r="M2323" s="36" t="str">
        <f t="shared" si="36"/>
        <v>19680124</v>
      </c>
    </row>
    <row r="2324" s="1" customFormat="1" spans="1:13">
      <c r="A2324" s="2">
        <v>4446</v>
      </c>
      <c r="B2324" s="6" t="s">
        <v>9015</v>
      </c>
      <c r="C2324" s="6" t="s">
        <v>9079</v>
      </c>
      <c r="D2324" s="6" t="s">
        <v>9080</v>
      </c>
      <c r="E2324" s="6">
        <v>2020</v>
      </c>
      <c r="F2324" s="6">
        <v>2020</v>
      </c>
      <c r="G2324" s="6" t="s">
        <v>16</v>
      </c>
      <c r="H2324" s="6">
        <v>200</v>
      </c>
      <c r="I2324" s="6">
        <v>200</v>
      </c>
      <c r="J2324" s="6"/>
      <c r="K2324" s="6"/>
      <c r="L2324" s="10">
        <v>20201118</v>
      </c>
      <c r="M2324" s="36" t="str">
        <f t="shared" si="36"/>
        <v>19680125</v>
      </c>
    </row>
    <row r="2325" s="1" customFormat="1" ht="14.25" spans="1:13">
      <c r="A2325" s="2">
        <v>7743</v>
      </c>
      <c r="B2325" s="5" t="s">
        <v>14875</v>
      </c>
      <c r="C2325" s="51" t="s">
        <v>14986</v>
      </c>
      <c r="D2325" s="24" t="str">
        <f>"152326196801257116"</f>
        <v>152326196801257116</v>
      </c>
      <c r="E2325" s="6" t="s">
        <v>15</v>
      </c>
      <c r="F2325" s="6">
        <v>2020</v>
      </c>
      <c r="G2325" s="24" t="s">
        <v>14877</v>
      </c>
      <c r="H2325" s="6">
        <v>200</v>
      </c>
      <c r="I2325" s="6">
        <v>200</v>
      </c>
      <c r="J2325" s="6"/>
      <c r="K2325" s="10"/>
      <c r="L2325" s="10">
        <v>20201118</v>
      </c>
      <c r="M2325" s="36" t="str">
        <f t="shared" si="36"/>
        <v>19680125</v>
      </c>
    </row>
    <row r="2326" s="1" customFormat="1" spans="1:13">
      <c r="A2326" s="2">
        <v>4632</v>
      </c>
      <c r="B2326" s="6" t="s">
        <v>9015</v>
      </c>
      <c r="C2326" s="6" t="s">
        <v>9431</v>
      </c>
      <c r="D2326" s="6" t="s">
        <v>9432</v>
      </c>
      <c r="E2326" s="6">
        <v>2020</v>
      </c>
      <c r="F2326" s="6">
        <v>2020</v>
      </c>
      <c r="G2326" s="6" t="s">
        <v>16</v>
      </c>
      <c r="H2326" s="6">
        <v>200</v>
      </c>
      <c r="I2326" s="6">
        <v>200</v>
      </c>
      <c r="J2326" s="6"/>
      <c r="K2326" s="6"/>
      <c r="L2326" s="10">
        <v>20201118</v>
      </c>
      <c r="M2326" s="36" t="str">
        <f t="shared" si="36"/>
        <v>19680126</v>
      </c>
    </row>
    <row r="2327" s="1" customFormat="1" spans="1:13">
      <c r="A2327" s="2">
        <v>729</v>
      </c>
      <c r="B2327" s="29" t="s">
        <v>1040</v>
      </c>
      <c r="C2327" s="5" t="s">
        <v>1837</v>
      </c>
      <c r="D2327" s="5" t="s">
        <v>1838</v>
      </c>
      <c r="E2327" s="30">
        <v>2020</v>
      </c>
      <c r="F2327" s="30">
        <v>2020</v>
      </c>
      <c r="G2327" s="29" t="s">
        <v>16</v>
      </c>
      <c r="H2327" s="29">
        <v>200</v>
      </c>
      <c r="I2327" s="29">
        <v>200</v>
      </c>
      <c r="J2327" s="29"/>
      <c r="K2327" s="54"/>
      <c r="L2327" s="14" t="s">
        <v>330</v>
      </c>
      <c r="M2327" s="36" t="str">
        <f t="shared" si="36"/>
        <v>19680127</v>
      </c>
    </row>
    <row r="2328" s="1" customFormat="1" spans="1:13">
      <c r="A2328" s="2">
        <v>1029</v>
      </c>
      <c r="B2328" s="5" t="s">
        <v>2469</v>
      </c>
      <c r="C2328" s="9" t="s">
        <v>2649</v>
      </c>
      <c r="D2328" s="9" t="s">
        <v>2650</v>
      </c>
      <c r="E2328" s="5">
        <v>2020</v>
      </c>
      <c r="F2328" s="5">
        <v>2020</v>
      </c>
      <c r="G2328" s="9" t="s">
        <v>2480</v>
      </c>
      <c r="H2328" s="9">
        <v>200</v>
      </c>
      <c r="I2328" s="9">
        <v>200</v>
      </c>
      <c r="J2328" s="5"/>
      <c r="K2328" s="5"/>
      <c r="L2328" s="10">
        <v>20201118</v>
      </c>
      <c r="M2328" s="36" t="str">
        <f t="shared" si="36"/>
        <v>19680127</v>
      </c>
    </row>
    <row r="2329" s="1" customFormat="1" spans="1:13">
      <c r="A2329" s="2">
        <v>2426</v>
      </c>
      <c r="B2329" s="5" t="s">
        <v>5328</v>
      </c>
      <c r="C2329" s="16" t="s">
        <v>1106</v>
      </c>
      <c r="D2329" s="16" t="s">
        <v>5393</v>
      </c>
      <c r="E2329" s="5" t="s">
        <v>15</v>
      </c>
      <c r="F2329" s="5" t="s">
        <v>15</v>
      </c>
      <c r="G2329" s="14" t="s">
        <v>16</v>
      </c>
      <c r="H2329" s="6">
        <v>200</v>
      </c>
      <c r="I2329" s="6">
        <v>200</v>
      </c>
      <c r="J2329" s="5"/>
      <c r="K2329" s="5"/>
      <c r="L2329" s="10">
        <v>20201118</v>
      </c>
      <c r="M2329" s="36" t="str">
        <f t="shared" si="36"/>
        <v>19680128</v>
      </c>
    </row>
    <row r="2330" s="1" customFormat="1" spans="1:13">
      <c r="A2330" s="2">
        <v>1549</v>
      </c>
      <c r="B2330" s="5" t="s">
        <v>3381</v>
      </c>
      <c r="C2330" s="9" t="s">
        <v>3663</v>
      </c>
      <c r="D2330" s="9" t="s">
        <v>3664</v>
      </c>
      <c r="E2330" s="5">
        <v>2020</v>
      </c>
      <c r="F2330" s="5">
        <v>2020</v>
      </c>
      <c r="G2330" s="14" t="s">
        <v>16</v>
      </c>
      <c r="H2330" s="6">
        <v>200</v>
      </c>
      <c r="I2330" s="6">
        <v>200</v>
      </c>
      <c r="J2330" s="5"/>
      <c r="K2330" s="13"/>
      <c r="L2330" s="10">
        <v>20201118</v>
      </c>
      <c r="M2330" s="36" t="str">
        <f t="shared" si="36"/>
        <v>19680129</v>
      </c>
    </row>
    <row r="2331" s="1" customFormat="1" spans="1:13">
      <c r="A2331" s="2">
        <v>3755</v>
      </c>
      <c r="B2331" s="5" t="s">
        <v>7412</v>
      </c>
      <c r="C2331" s="5" t="s">
        <v>1377</v>
      </c>
      <c r="D2331" s="5" t="s">
        <v>7761</v>
      </c>
      <c r="E2331" s="6">
        <v>2020</v>
      </c>
      <c r="F2331" s="6">
        <v>2020</v>
      </c>
      <c r="G2331" s="5" t="s">
        <v>3359</v>
      </c>
      <c r="H2331" s="5">
        <v>200</v>
      </c>
      <c r="I2331" s="5">
        <v>200</v>
      </c>
      <c r="J2331" s="5"/>
      <c r="K2331" s="5"/>
      <c r="L2331" s="10">
        <v>20201118</v>
      </c>
      <c r="M2331" s="36" t="str">
        <f t="shared" si="36"/>
        <v>19680201</v>
      </c>
    </row>
    <row r="2332" s="1" customFormat="1" spans="1:13">
      <c r="A2332" s="2">
        <v>5766</v>
      </c>
      <c r="B2332" s="30" t="s">
        <v>11090</v>
      </c>
      <c r="C2332" s="30" t="s">
        <v>11608</v>
      </c>
      <c r="D2332" s="30" t="s">
        <v>11609</v>
      </c>
      <c r="E2332" s="5" t="s">
        <v>15</v>
      </c>
      <c r="F2332" s="5" t="s">
        <v>10250</v>
      </c>
      <c r="G2332" s="6" t="s">
        <v>16</v>
      </c>
      <c r="H2332" s="32">
        <v>200</v>
      </c>
      <c r="I2332" s="32">
        <v>200</v>
      </c>
      <c r="J2332" s="6"/>
      <c r="K2332" s="48"/>
      <c r="L2332" s="10">
        <v>20201118</v>
      </c>
      <c r="M2332" s="36" t="str">
        <f t="shared" si="36"/>
        <v>19680201</v>
      </c>
    </row>
    <row r="2333" s="1" customFormat="1" spans="1:13">
      <c r="A2333" s="2">
        <v>506</v>
      </c>
      <c r="B2333" s="29" t="s">
        <v>1040</v>
      </c>
      <c r="C2333" s="29" t="s">
        <v>1289</v>
      </c>
      <c r="D2333" s="29" t="s">
        <v>1290</v>
      </c>
      <c r="E2333" s="30">
        <v>2020</v>
      </c>
      <c r="F2333" s="30">
        <v>2020</v>
      </c>
      <c r="G2333" s="29" t="s">
        <v>16</v>
      </c>
      <c r="H2333" s="29">
        <v>200</v>
      </c>
      <c r="I2333" s="29">
        <v>200</v>
      </c>
      <c r="J2333" s="29"/>
      <c r="K2333" s="47"/>
      <c r="L2333" s="2" t="s">
        <v>330</v>
      </c>
      <c r="M2333" s="36" t="str">
        <f t="shared" si="36"/>
        <v>19680202</v>
      </c>
    </row>
    <row r="2334" s="1" customFormat="1" spans="1:13">
      <c r="A2334" s="2">
        <v>3134</v>
      </c>
      <c r="B2334" s="3" t="s">
        <v>6671</v>
      </c>
      <c r="C2334" s="9" t="s">
        <v>4786</v>
      </c>
      <c r="D2334" s="9" t="s">
        <v>6789</v>
      </c>
      <c r="E2334" s="3" t="s">
        <v>15</v>
      </c>
      <c r="F2334" s="3" t="s">
        <v>15</v>
      </c>
      <c r="G2334" s="6" t="s">
        <v>3359</v>
      </c>
      <c r="H2334" s="9">
        <v>200</v>
      </c>
      <c r="I2334" s="9">
        <v>200</v>
      </c>
      <c r="J2334" s="6"/>
      <c r="K2334" s="5"/>
      <c r="L2334" s="10">
        <v>20201118</v>
      </c>
      <c r="M2334" s="36" t="str">
        <f t="shared" si="36"/>
        <v>19680202</v>
      </c>
    </row>
    <row r="2335" s="1" customFormat="1" spans="1:13">
      <c r="A2335" s="2">
        <v>3428</v>
      </c>
      <c r="B2335" s="5" t="s">
        <v>3375</v>
      </c>
      <c r="C2335" s="6" t="s">
        <v>7207</v>
      </c>
      <c r="D2335" s="6" t="str">
        <f>"152326196802026870"</f>
        <v>152326196802026870</v>
      </c>
      <c r="E2335" s="5" t="s">
        <v>15</v>
      </c>
      <c r="F2335" s="5">
        <v>2020</v>
      </c>
      <c r="G2335" s="14" t="s">
        <v>16</v>
      </c>
      <c r="H2335" s="17">
        <v>200</v>
      </c>
      <c r="I2335" s="17">
        <v>200</v>
      </c>
      <c r="J2335" s="6"/>
      <c r="K2335" s="10"/>
      <c r="L2335" s="10">
        <v>20201118</v>
      </c>
      <c r="M2335" s="36" t="str">
        <f t="shared" si="36"/>
        <v>19680202</v>
      </c>
    </row>
    <row r="2336" s="1" customFormat="1" spans="1:13">
      <c r="A2336" s="2">
        <v>3756</v>
      </c>
      <c r="B2336" s="5" t="s">
        <v>7412</v>
      </c>
      <c r="C2336" s="5" t="s">
        <v>7762</v>
      </c>
      <c r="D2336" s="5" t="s">
        <v>7763</v>
      </c>
      <c r="E2336" s="6">
        <v>2020</v>
      </c>
      <c r="F2336" s="6">
        <v>2020</v>
      </c>
      <c r="G2336" s="5" t="s">
        <v>3359</v>
      </c>
      <c r="H2336" s="5">
        <v>200</v>
      </c>
      <c r="I2336" s="5">
        <v>200</v>
      </c>
      <c r="J2336" s="5"/>
      <c r="K2336" s="5"/>
      <c r="L2336" s="10">
        <v>20201118</v>
      </c>
      <c r="M2336" s="36" t="str">
        <f t="shared" si="36"/>
        <v>19680202</v>
      </c>
    </row>
    <row r="2337" s="1" customFormat="1" spans="1:13">
      <c r="A2337" s="2">
        <v>4234</v>
      </c>
      <c r="B2337" s="9" t="s">
        <v>8515</v>
      </c>
      <c r="C2337" s="9" t="s">
        <v>8668</v>
      </c>
      <c r="D2337" s="9" t="s">
        <v>8669</v>
      </c>
      <c r="E2337" s="5" t="s">
        <v>15</v>
      </c>
      <c r="F2337" s="5">
        <v>2020</v>
      </c>
      <c r="G2337" s="9" t="s">
        <v>2480</v>
      </c>
      <c r="H2337" s="9">
        <v>200</v>
      </c>
      <c r="I2337" s="9">
        <v>200</v>
      </c>
      <c r="J2337" s="9"/>
      <c r="K2337" s="9"/>
      <c r="L2337" s="10">
        <v>20201118</v>
      </c>
      <c r="M2337" s="36" t="str">
        <f t="shared" si="36"/>
        <v>19680204</v>
      </c>
    </row>
    <row r="2338" s="1" customFormat="1" spans="1:13">
      <c r="A2338" s="2">
        <v>7637</v>
      </c>
      <c r="B2338" s="5" t="s">
        <v>14402</v>
      </c>
      <c r="C2338" s="5" t="s">
        <v>14870</v>
      </c>
      <c r="D2338" s="5" t="s">
        <v>14871</v>
      </c>
      <c r="E2338" s="5">
        <v>2020</v>
      </c>
      <c r="F2338" s="5">
        <v>2020</v>
      </c>
      <c r="G2338" s="17" t="s">
        <v>16</v>
      </c>
      <c r="H2338" s="5">
        <v>200</v>
      </c>
      <c r="I2338" s="5">
        <v>200</v>
      </c>
      <c r="J2338" s="5"/>
      <c r="K2338" s="10"/>
      <c r="L2338" s="10">
        <v>20201118</v>
      </c>
      <c r="M2338" s="36" t="str">
        <f t="shared" si="36"/>
        <v>19680206</v>
      </c>
    </row>
    <row r="2339" s="1" customFormat="1" ht="14.25" spans="1:13">
      <c r="A2339" s="2">
        <v>7749</v>
      </c>
      <c r="B2339" s="5" t="s">
        <v>14875</v>
      </c>
      <c r="C2339" s="51" t="s">
        <v>14991</v>
      </c>
      <c r="D2339" s="24" t="str">
        <f>"152326196802077117"</f>
        <v>152326196802077117</v>
      </c>
      <c r="E2339" s="6" t="s">
        <v>15</v>
      </c>
      <c r="F2339" s="6">
        <v>2020</v>
      </c>
      <c r="G2339" s="24" t="s">
        <v>14877</v>
      </c>
      <c r="H2339" s="6">
        <v>200</v>
      </c>
      <c r="I2339" s="6">
        <v>200</v>
      </c>
      <c r="J2339" s="6"/>
      <c r="K2339" s="10"/>
      <c r="L2339" s="10">
        <v>20201118</v>
      </c>
      <c r="M2339" s="36" t="str">
        <f t="shared" si="36"/>
        <v>19680207</v>
      </c>
    </row>
    <row r="2340" s="1" customFormat="1" spans="1:13">
      <c r="A2340" s="2">
        <v>2225</v>
      </c>
      <c r="B2340" s="9" t="s">
        <v>4837</v>
      </c>
      <c r="C2340" s="9" t="s">
        <v>4997</v>
      </c>
      <c r="D2340" s="9" t="s">
        <v>4998</v>
      </c>
      <c r="E2340" s="6" t="s">
        <v>15</v>
      </c>
      <c r="F2340" s="6">
        <v>2020</v>
      </c>
      <c r="G2340" s="9" t="s">
        <v>2480</v>
      </c>
      <c r="H2340" s="9">
        <v>200</v>
      </c>
      <c r="I2340" s="9">
        <v>200</v>
      </c>
      <c r="J2340" s="6"/>
      <c r="K2340" s="10"/>
      <c r="L2340" s="10">
        <v>20201118</v>
      </c>
      <c r="M2340" s="36" t="str">
        <f t="shared" si="36"/>
        <v>19680208</v>
      </c>
    </row>
    <row r="2341" s="1" customFormat="1" spans="1:13">
      <c r="A2341" s="2">
        <v>4235</v>
      </c>
      <c r="B2341" s="9" t="s">
        <v>8515</v>
      </c>
      <c r="C2341" s="9" t="s">
        <v>8670</v>
      </c>
      <c r="D2341" s="9" t="s">
        <v>8671</v>
      </c>
      <c r="E2341" s="5" t="s">
        <v>15</v>
      </c>
      <c r="F2341" s="5">
        <v>2020</v>
      </c>
      <c r="G2341" s="9" t="s">
        <v>2480</v>
      </c>
      <c r="H2341" s="9">
        <v>200</v>
      </c>
      <c r="I2341" s="9">
        <v>200</v>
      </c>
      <c r="J2341" s="9"/>
      <c r="K2341" s="9"/>
      <c r="L2341" s="10">
        <v>20201118</v>
      </c>
      <c r="M2341" s="36" t="str">
        <f t="shared" si="36"/>
        <v>19680208</v>
      </c>
    </row>
    <row r="2342" s="1" customFormat="1" spans="1:13">
      <c r="A2342" s="2">
        <v>2226</v>
      </c>
      <c r="B2342" s="9" t="s">
        <v>4837</v>
      </c>
      <c r="C2342" s="9" t="s">
        <v>4999</v>
      </c>
      <c r="D2342" s="9" t="s">
        <v>5000</v>
      </c>
      <c r="E2342" s="6" t="s">
        <v>15</v>
      </c>
      <c r="F2342" s="6">
        <v>2020</v>
      </c>
      <c r="G2342" s="9" t="s">
        <v>2480</v>
      </c>
      <c r="H2342" s="9">
        <v>200</v>
      </c>
      <c r="I2342" s="9">
        <v>200</v>
      </c>
      <c r="J2342" s="6"/>
      <c r="K2342" s="10"/>
      <c r="L2342" s="10">
        <v>20201118</v>
      </c>
      <c r="M2342" s="36" t="str">
        <f t="shared" si="36"/>
        <v>19680209</v>
      </c>
    </row>
    <row r="2343" s="1" customFormat="1" spans="1:13">
      <c r="A2343" s="2">
        <v>6425</v>
      </c>
      <c r="B2343" s="5" t="s">
        <v>12263</v>
      </c>
      <c r="C2343" s="5" t="s">
        <v>12856</v>
      </c>
      <c r="D2343" s="5" t="s">
        <v>12857</v>
      </c>
      <c r="E2343" s="5" t="s">
        <v>10250</v>
      </c>
      <c r="F2343" s="5">
        <v>2020</v>
      </c>
      <c r="G2343" s="17" t="s">
        <v>3359</v>
      </c>
      <c r="H2343" s="5">
        <v>200</v>
      </c>
      <c r="I2343" s="5">
        <v>200</v>
      </c>
      <c r="J2343" s="5"/>
      <c r="K2343" s="5"/>
      <c r="L2343" s="10">
        <v>20201118</v>
      </c>
      <c r="M2343" s="36" t="str">
        <f t="shared" si="36"/>
        <v>19680209</v>
      </c>
    </row>
    <row r="2344" s="1" customFormat="1" ht="14.25" spans="1:13">
      <c r="A2344" s="2">
        <v>2889</v>
      </c>
      <c r="B2344" s="6" t="s">
        <v>6075</v>
      </c>
      <c r="C2344" s="25" t="s">
        <v>6307</v>
      </c>
      <c r="D2344" s="26" t="s">
        <v>6308</v>
      </c>
      <c r="E2344" s="5" t="s">
        <v>15</v>
      </c>
      <c r="F2344" s="5">
        <v>2020</v>
      </c>
      <c r="G2344" s="6" t="s">
        <v>16</v>
      </c>
      <c r="H2344" s="6">
        <v>200</v>
      </c>
      <c r="I2344" s="6">
        <v>200</v>
      </c>
      <c r="J2344" s="6"/>
      <c r="K2344" s="10"/>
      <c r="L2344" s="10">
        <v>20201118</v>
      </c>
      <c r="M2344" s="36" t="str">
        <f t="shared" si="36"/>
        <v>19680210</v>
      </c>
    </row>
    <row r="2345" s="1" customFormat="1" spans="1:13">
      <c r="A2345" s="2">
        <v>5100</v>
      </c>
      <c r="B2345" s="6" t="s">
        <v>10242</v>
      </c>
      <c r="C2345" s="9" t="s">
        <v>10330</v>
      </c>
      <c r="D2345" s="9" t="s">
        <v>10331</v>
      </c>
      <c r="E2345" s="5" t="s">
        <v>10250</v>
      </c>
      <c r="F2345" s="5">
        <v>2020</v>
      </c>
      <c r="G2345" s="6" t="s">
        <v>16</v>
      </c>
      <c r="H2345" s="6">
        <v>200</v>
      </c>
      <c r="I2345" s="6">
        <v>200</v>
      </c>
      <c r="J2345" s="6"/>
      <c r="K2345" s="5"/>
      <c r="L2345" s="10">
        <v>20201118</v>
      </c>
      <c r="M2345" s="36" t="str">
        <f t="shared" si="36"/>
        <v>19680210</v>
      </c>
    </row>
    <row r="2346" s="1" customFormat="1" spans="1:13">
      <c r="A2346" s="2">
        <v>5806</v>
      </c>
      <c r="B2346" s="30" t="s">
        <v>11090</v>
      </c>
      <c r="C2346" s="30" t="s">
        <v>11681</v>
      </c>
      <c r="D2346" s="30" t="s">
        <v>11682</v>
      </c>
      <c r="E2346" s="5" t="s">
        <v>15</v>
      </c>
      <c r="F2346" s="5" t="s">
        <v>10250</v>
      </c>
      <c r="G2346" s="6" t="s">
        <v>16</v>
      </c>
      <c r="H2346" s="32">
        <v>200</v>
      </c>
      <c r="I2346" s="32">
        <v>200</v>
      </c>
      <c r="J2346" s="6"/>
      <c r="K2346" s="48"/>
      <c r="L2346" s="10">
        <v>20201118</v>
      </c>
      <c r="M2346" s="36" t="str">
        <f t="shared" si="36"/>
        <v>19680211</v>
      </c>
    </row>
    <row r="2347" s="1" customFormat="1" spans="1:13">
      <c r="A2347" s="2">
        <v>870</v>
      </c>
      <c r="B2347" s="29" t="s">
        <v>1040</v>
      </c>
      <c r="C2347" s="6" t="s">
        <v>2257</v>
      </c>
      <c r="D2347" s="6" t="s">
        <v>2258</v>
      </c>
      <c r="E2347" s="30">
        <v>2020</v>
      </c>
      <c r="F2347" s="30">
        <v>2020</v>
      </c>
      <c r="G2347" s="29" t="s">
        <v>16</v>
      </c>
      <c r="H2347" s="29">
        <v>200</v>
      </c>
      <c r="I2347" s="29">
        <v>200</v>
      </c>
      <c r="J2347" s="32"/>
      <c r="K2347" s="32"/>
      <c r="L2347" s="2" t="s">
        <v>330</v>
      </c>
      <c r="M2347" s="36" t="str">
        <f t="shared" si="36"/>
        <v>19680212</v>
      </c>
    </row>
    <row r="2348" s="1" customFormat="1" ht="14.25" spans="1:13">
      <c r="A2348" s="2">
        <v>2895</v>
      </c>
      <c r="B2348" s="6" t="s">
        <v>6075</v>
      </c>
      <c r="C2348" s="25" t="s">
        <v>6318</v>
      </c>
      <c r="D2348" s="26" t="s">
        <v>6319</v>
      </c>
      <c r="E2348" s="5" t="s">
        <v>15</v>
      </c>
      <c r="F2348" s="5">
        <v>2020</v>
      </c>
      <c r="G2348" s="6" t="s">
        <v>16</v>
      </c>
      <c r="H2348" s="6">
        <v>200</v>
      </c>
      <c r="I2348" s="6">
        <v>200</v>
      </c>
      <c r="J2348" s="6"/>
      <c r="K2348" s="10"/>
      <c r="L2348" s="10">
        <v>20201118</v>
      </c>
      <c r="M2348" s="36" t="str">
        <f t="shared" si="36"/>
        <v>19680212</v>
      </c>
    </row>
    <row r="2349" s="1" customFormat="1" spans="1:13">
      <c r="A2349" s="2">
        <v>5721</v>
      </c>
      <c r="B2349" s="30" t="s">
        <v>11090</v>
      </c>
      <c r="C2349" s="30" t="s">
        <v>11527</v>
      </c>
      <c r="D2349" s="30" t="s">
        <v>11528</v>
      </c>
      <c r="E2349" s="5" t="s">
        <v>15</v>
      </c>
      <c r="F2349" s="5" t="s">
        <v>10250</v>
      </c>
      <c r="G2349" s="6" t="s">
        <v>16</v>
      </c>
      <c r="H2349" s="32">
        <v>200</v>
      </c>
      <c r="I2349" s="32">
        <v>200</v>
      </c>
      <c r="J2349" s="6"/>
      <c r="K2349" s="48"/>
      <c r="L2349" s="10">
        <v>20201118</v>
      </c>
      <c r="M2349" s="36" t="str">
        <f t="shared" si="36"/>
        <v>19680213</v>
      </c>
    </row>
    <row r="2350" s="1" customFormat="1" ht="14.25" spans="1:13">
      <c r="A2350" s="2">
        <v>2844</v>
      </c>
      <c r="B2350" s="6" t="s">
        <v>6075</v>
      </c>
      <c r="C2350" s="25" t="s">
        <v>6216</v>
      </c>
      <c r="D2350" s="26" t="s">
        <v>6217</v>
      </c>
      <c r="E2350" s="5" t="s">
        <v>15</v>
      </c>
      <c r="F2350" s="5">
        <v>2020</v>
      </c>
      <c r="G2350" s="6" t="s">
        <v>16</v>
      </c>
      <c r="H2350" s="6">
        <v>200</v>
      </c>
      <c r="I2350" s="6">
        <v>200</v>
      </c>
      <c r="J2350" s="6"/>
      <c r="K2350" s="10"/>
      <c r="L2350" s="10">
        <v>20201118</v>
      </c>
      <c r="M2350" s="36" t="str">
        <f t="shared" si="36"/>
        <v>19680214</v>
      </c>
    </row>
    <row r="2351" s="1" customFormat="1" spans="1:13">
      <c r="A2351" s="2">
        <v>6184</v>
      </c>
      <c r="B2351" s="5" t="s">
        <v>12263</v>
      </c>
      <c r="C2351" s="5" t="s">
        <v>12397</v>
      </c>
      <c r="D2351" s="5" t="s">
        <v>12398</v>
      </c>
      <c r="E2351" s="5" t="s">
        <v>10250</v>
      </c>
      <c r="F2351" s="5">
        <v>2020</v>
      </c>
      <c r="G2351" s="17" t="s">
        <v>3359</v>
      </c>
      <c r="H2351" s="5">
        <v>200</v>
      </c>
      <c r="I2351" s="5">
        <v>200</v>
      </c>
      <c r="J2351" s="5"/>
      <c r="K2351" s="5"/>
      <c r="L2351" s="10">
        <v>20201118</v>
      </c>
      <c r="M2351" s="36" t="str">
        <f t="shared" si="36"/>
        <v>19680214</v>
      </c>
    </row>
    <row r="2352" s="1" customFormat="1" spans="1:13">
      <c r="A2352" s="2">
        <v>241</v>
      </c>
      <c r="B2352" s="14" t="s">
        <v>327</v>
      </c>
      <c r="C2352" s="14" t="s">
        <v>609</v>
      </c>
      <c r="D2352" s="14" t="s">
        <v>610</v>
      </c>
      <c r="E2352" s="5">
        <v>2020</v>
      </c>
      <c r="F2352" s="5">
        <v>2020</v>
      </c>
      <c r="G2352" s="14" t="s">
        <v>16</v>
      </c>
      <c r="H2352" s="14">
        <v>200</v>
      </c>
      <c r="I2352" s="14">
        <v>200</v>
      </c>
      <c r="J2352" s="14"/>
      <c r="K2352" s="10"/>
      <c r="L2352" s="2" t="s">
        <v>330</v>
      </c>
      <c r="M2352" s="36" t="str">
        <f t="shared" si="36"/>
        <v>19680215</v>
      </c>
    </row>
    <row r="2353" s="1" customFormat="1" spans="1:13">
      <c r="A2353" s="2">
        <v>124</v>
      </c>
      <c r="B2353" s="3" t="s">
        <v>12</v>
      </c>
      <c r="C2353" s="6" t="s">
        <v>264</v>
      </c>
      <c r="D2353" s="6" t="s">
        <v>265</v>
      </c>
      <c r="E2353" s="3" t="s">
        <v>15</v>
      </c>
      <c r="F2353" s="3" t="s">
        <v>15</v>
      </c>
      <c r="G2353" s="3" t="s">
        <v>189</v>
      </c>
      <c r="H2353" s="3">
        <v>200</v>
      </c>
      <c r="I2353" s="3">
        <v>200</v>
      </c>
      <c r="J2353" s="3"/>
      <c r="K2353" s="3"/>
      <c r="L2353" s="10">
        <v>20201118</v>
      </c>
      <c r="M2353" s="36" t="str">
        <f t="shared" si="36"/>
        <v>19680216</v>
      </c>
    </row>
    <row r="2354" s="1" customFormat="1" spans="1:13">
      <c r="A2354" s="2">
        <v>1550</v>
      </c>
      <c r="B2354" s="5" t="s">
        <v>3381</v>
      </c>
      <c r="C2354" s="9" t="s">
        <v>3665</v>
      </c>
      <c r="D2354" s="9" t="s">
        <v>3666</v>
      </c>
      <c r="E2354" s="5">
        <v>2020</v>
      </c>
      <c r="F2354" s="5">
        <v>2020</v>
      </c>
      <c r="G2354" s="14" t="s">
        <v>16</v>
      </c>
      <c r="H2354" s="6">
        <v>200</v>
      </c>
      <c r="I2354" s="6">
        <v>200</v>
      </c>
      <c r="J2354" s="5"/>
      <c r="K2354" s="13"/>
      <c r="L2354" s="10">
        <v>20201118</v>
      </c>
      <c r="M2354" s="36" t="str">
        <f t="shared" si="36"/>
        <v>19680216</v>
      </c>
    </row>
    <row r="2355" s="1" customFormat="1" spans="1:13">
      <c r="A2355" s="2">
        <v>1551</v>
      </c>
      <c r="B2355" s="5" t="s">
        <v>3381</v>
      </c>
      <c r="C2355" s="9" t="s">
        <v>3667</v>
      </c>
      <c r="D2355" s="9" t="s">
        <v>3668</v>
      </c>
      <c r="E2355" s="5">
        <v>2020</v>
      </c>
      <c r="F2355" s="5">
        <v>2020</v>
      </c>
      <c r="G2355" s="14" t="s">
        <v>16</v>
      </c>
      <c r="H2355" s="6">
        <v>200</v>
      </c>
      <c r="I2355" s="6">
        <v>200</v>
      </c>
      <c r="J2355" s="5"/>
      <c r="K2355" s="13"/>
      <c r="L2355" s="10">
        <v>20201118</v>
      </c>
      <c r="M2355" s="36" t="str">
        <f t="shared" si="36"/>
        <v>19680216</v>
      </c>
    </row>
    <row r="2356" s="1" customFormat="1" spans="1:13">
      <c r="A2356" s="2">
        <v>253</v>
      </c>
      <c r="B2356" s="14" t="s">
        <v>327</v>
      </c>
      <c r="C2356" s="17" t="s">
        <v>645</v>
      </c>
      <c r="D2356" s="306" t="s">
        <v>646</v>
      </c>
      <c r="E2356" s="5">
        <v>2020</v>
      </c>
      <c r="F2356" s="5">
        <v>2020</v>
      </c>
      <c r="G2356" s="14" t="s">
        <v>16</v>
      </c>
      <c r="H2356" s="14">
        <v>200</v>
      </c>
      <c r="I2356" s="14">
        <v>200</v>
      </c>
      <c r="J2356" s="17"/>
      <c r="K2356" s="10"/>
      <c r="L2356" s="2" t="s">
        <v>330</v>
      </c>
      <c r="M2356" s="36" t="str">
        <f t="shared" si="36"/>
        <v>19680217</v>
      </c>
    </row>
    <row r="2357" s="1" customFormat="1" spans="1:13">
      <c r="A2357" s="2">
        <v>1896</v>
      </c>
      <c r="B2357" s="5" t="s">
        <v>4189</v>
      </c>
      <c r="C2357" s="16" t="s">
        <v>4353</v>
      </c>
      <c r="D2357" s="16" t="s">
        <v>4354</v>
      </c>
      <c r="E2357" s="5" t="s">
        <v>15</v>
      </c>
      <c r="F2357" s="5" t="s">
        <v>15</v>
      </c>
      <c r="G2357" s="5" t="s">
        <v>3359</v>
      </c>
      <c r="H2357" s="16">
        <v>200</v>
      </c>
      <c r="I2357" s="16">
        <v>200</v>
      </c>
      <c r="J2357" s="5"/>
      <c r="K2357" s="10"/>
      <c r="L2357" s="10">
        <v>20201118</v>
      </c>
      <c r="M2357" s="36" t="str">
        <f t="shared" si="36"/>
        <v>19680218</v>
      </c>
    </row>
    <row r="2358" s="1" customFormat="1" spans="1:13">
      <c r="A2358" s="2">
        <v>1552</v>
      </c>
      <c r="B2358" s="5" t="s">
        <v>3381</v>
      </c>
      <c r="C2358" s="9" t="s">
        <v>3669</v>
      </c>
      <c r="D2358" s="9" t="s">
        <v>3670</v>
      </c>
      <c r="E2358" s="5">
        <v>2020</v>
      </c>
      <c r="F2358" s="5">
        <v>2020</v>
      </c>
      <c r="G2358" s="14" t="s">
        <v>16</v>
      </c>
      <c r="H2358" s="6">
        <v>200</v>
      </c>
      <c r="I2358" s="6">
        <v>200</v>
      </c>
      <c r="J2358" s="5"/>
      <c r="K2358" s="13"/>
      <c r="L2358" s="10">
        <v>20201118</v>
      </c>
      <c r="M2358" s="36" t="str">
        <f t="shared" si="36"/>
        <v>19680220</v>
      </c>
    </row>
    <row r="2359" s="1" customFormat="1" spans="1:13">
      <c r="A2359" s="2">
        <v>4236</v>
      </c>
      <c r="B2359" s="9" t="s">
        <v>8515</v>
      </c>
      <c r="C2359" s="9" t="s">
        <v>8672</v>
      </c>
      <c r="D2359" s="9" t="s">
        <v>8673</v>
      </c>
      <c r="E2359" s="5" t="s">
        <v>15</v>
      </c>
      <c r="F2359" s="5">
        <v>2020</v>
      </c>
      <c r="G2359" s="9" t="s">
        <v>2480</v>
      </c>
      <c r="H2359" s="9">
        <v>200</v>
      </c>
      <c r="I2359" s="9">
        <v>200</v>
      </c>
      <c r="J2359" s="9"/>
      <c r="K2359" s="9"/>
      <c r="L2359" s="10">
        <v>20201118</v>
      </c>
      <c r="M2359" s="36" t="str">
        <f t="shared" si="36"/>
        <v>19680220</v>
      </c>
    </row>
    <row r="2360" s="1" customFormat="1" spans="1:13">
      <c r="A2360" s="2">
        <v>8001</v>
      </c>
      <c r="B2360" s="5" t="s">
        <v>15086</v>
      </c>
      <c r="C2360" s="6" t="s">
        <v>15276</v>
      </c>
      <c r="D2360" s="6" t="str">
        <f>"152326196802206898"</f>
        <v>152326196802206898</v>
      </c>
      <c r="E2360" s="5" t="s">
        <v>15</v>
      </c>
      <c r="F2360" s="5">
        <v>2020</v>
      </c>
      <c r="G2360" s="5" t="s">
        <v>16</v>
      </c>
      <c r="H2360" s="5">
        <v>200</v>
      </c>
      <c r="I2360" s="5">
        <v>200</v>
      </c>
      <c r="J2360" s="5"/>
      <c r="K2360" s="5"/>
      <c r="L2360" s="10">
        <v>20201118</v>
      </c>
      <c r="M2360" s="36" t="str">
        <f t="shared" si="36"/>
        <v>19680220</v>
      </c>
    </row>
    <row r="2361" s="1" customFormat="1" spans="1:13">
      <c r="A2361" s="2">
        <v>6194</v>
      </c>
      <c r="B2361" s="5" t="s">
        <v>12263</v>
      </c>
      <c r="C2361" s="5" t="s">
        <v>12417</v>
      </c>
      <c r="D2361" s="5" t="s">
        <v>12418</v>
      </c>
      <c r="E2361" s="5" t="s">
        <v>10250</v>
      </c>
      <c r="F2361" s="5">
        <v>2020</v>
      </c>
      <c r="G2361" s="17" t="s">
        <v>3359</v>
      </c>
      <c r="H2361" s="5">
        <v>200</v>
      </c>
      <c r="I2361" s="5">
        <v>200</v>
      </c>
      <c r="J2361" s="5"/>
      <c r="K2361" s="5"/>
      <c r="L2361" s="10">
        <v>20201118</v>
      </c>
      <c r="M2361" s="36" t="str">
        <f t="shared" si="36"/>
        <v>19680224</v>
      </c>
    </row>
    <row r="2362" s="1" customFormat="1" ht="14.25" spans="1:13">
      <c r="A2362" s="2">
        <v>2880</v>
      </c>
      <c r="B2362" s="6" t="s">
        <v>6075</v>
      </c>
      <c r="C2362" s="25" t="s">
        <v>6289</v>
      </c>
      <c r="D2362" s="26" t="s">
        <v>6290</v>
      </c>
      <c r="E2362" s="5" t="s">
        <v>15</v>
      </c>
      <c r="F2362" s="5">
        <v>2020</v>
      </c>
      <c r="G2362" s="6" t="s">
        <v>16</v>
      </c>
      <c r="H2362" s="6">
        <v>200</v>
      </c>
      <c r="I2362" s="6">
        <v>200</v>
      </c>
      <c r="J2362" s="6" t="s">
        <v>6097</v>
      </c>
      <c r="K2362" s="10"/>
      <c r="L2362" s="10">
        <v>20201118</v>
      </c>
      <c r="M2362" s="36" t="str">
        <f t="shared" si="36"/>
        <v>19680225</v>
      </c>
    </row>
    <row r="2363" s="1" customFormat="1" spans="1:13">
      <c r="A2363" s="2">
        <v>3757</v>
      </c>
      <c r="B2363" s="5" t="s">
        <v>7412</v>
      </c>
      <c r="C2363" s="5" t="s">
        <v>7764</v>
      </c>
      <c r="D2363" s="5" t="s">
        <v>7765</v>
      </c>
      <c r="E2363" s="6">
        <v>2020</v>
      </c>
      <c r="F2363" s="6">
        <v>2020</v>
      </c>
      <c r="G2363" s="5" t="s">
        <v>3359</v>
      </c>
      <c r="H2363" s="5">
        <v>200</v>
      </c>
      <c r="I2363" s="5">
        <v>200</v>
      </c>
      <c r="J2363" s="5"/>
      <c r="K2363" s="5"/>
      <c r="L2363" s="10">
        <v>20201118</v>
      </c>
      <c r="M2363" s="36" t="str">
        <f t="shared" si="36"/>
        <v>19680225</v>
      </c>
    </row>
    <row r="2364" s="1" customFormat="1" spans="1:13">
      <c r="A2364" s="2">
        <v>4489</v>
      </c>
      <c r="B2364" s="6" t="s">
        <v>9015</v>
      </c>
      <c r="C2364" s="6" t="s">
        <v>9161</v>
      </c>
      <c r="D2364" s="6" t="s">
        <v>9162</v>
      </c>
      <c r="E2364" s="6">
        <v>2020</v>
      </c>
      <c r="F2364" s="6">
        <v>2020</v>
      </c>
      <c r="G2364" s="6" t="s">
        <v>16</v>
      </c>
      <c r="H2364" s="6">
        <v>200</v>
      </c>
      <c r="I2364" s="6">
        <v>200</v>
      </c>
      <c r="J2364" s="6"/>
      <c r="K2364" s="6"/>
      <c r="L2364" s="10">
        <v>20201118</v>
      </c>
      <c r="M2364" s="36" t="str">
        <f t="shared" si="36"/>
        <v>19680226</v>
      </c>
    </row>
    <row r="2365" s="1" customFormat="1" spans="1:13">
      <c r="A2365" s="2">
        <v>7172</v>
      </c>
      <c r="B2365" s="5" t="s">
        <v>13908</v>
      </c>
      <c r="C2365" s="5" t="s">
        <v>13999</v>
      </c>
      <c r="D2365" s="5" t="s">
        <v>14000</v>
      </c>
      <c r="E2365" s="5" t="s">
        <v>15</v>
      </c>
      <c r="F2365" s="5" t="s">
        <v>15</v>
      </c>
      <c r="G2365" s="14" t="s">
        <v>16</v>
      </c>
      <c r="H2365" s="17">
        <v>200</v>
      </c>
      <c r="I2365" s="17">
        <v>200</v>
      </c>
      <c r="J2365" s="5"/>
      <c r="K2365" s="10"/>
      <c r="L2365" s="10">
        <v>20201118</v>
      </c>
      <c r="M2365" s="36" t="str">
        <f t="shared" si="36"/>
        <v>19680227</v>
      </c>
    </row>
    <row r="2366" s="1" customFormat="1" spans="1:13">
      <c r="A2366" s="2">
        <v>547</v>
      </c>
      <c r="B2366" s="29" t="s">
        <v>1040</v>
      </c>
      <c r="C2366" s="29" t="s">
        <v>1371</v>
      </c>
      <c r="D2366" s="29" t="s">
        <v>1372</v>
      </c>
      <c r="E2366" s="30">
        <v>2020</v>
      </c>
      <c r="F2366" s="30">
        <v>2020</v>
      </c>
      <c r="G2366" s="29" t="s">
        <v>16</v>
      </c>
      <c r="H2366" s="29">
        <v>200</v>
      </c>
      <c r="I2366" s="29">
        <v>200</v>
      </c>
      <c r="J2366" s="29"/>
      <c r="K2366" s="47"/>
      <c r="L2366" s="14" t="s">
        <v>330</v>
      </c>
      <c r="M2366" s="36" t="str">
        <f t="shared" si="36"/>
        <v>19680228</v>
      </c>
    </row>
    <row r="2367" s="1" customFormat="1" spans="1:13">
      <c r="A2367" s="2">
        <v>5925</v>
      </c>
      <c r="B2367" s="30" t="s">
        <v>11090</v>
      </c>
      <c r="C2367" s="6" t="s">
        <v>11899</v>
      </c>
      <c r="D2367" s="306" t="s">
        <v>11900</v>
      </c>
      <c r="E2367" s="5" t="s">
        <v>15</v>
      </c>
      <c r="F2367" s="5" t="s">
        <v>10250</v>
      </c>
      <c r="G2367" s="6" t="s">
        <v>16</v>
      </c>
      <c r="H2367" s="32">
        <v>200</v>
      </c>
      <c r="I2367" s="32">
        <v>200</v>
      </c>
      <c r="J2367" s="6"/>
      <c r="K2367" s="48"/>
      <c r="L2367" s="10">
        <v>20201118</v>
      </c>
      <c r="M2367" s="36" t="str">
        <f t="shared" si="36"/>
        <v>19680228</v>
      </c>
    </row>
    <row r="2368" s="1" customFormat="1" spans="1:13">
      <c r="A2368" s="2">
        <v>2593</v>
      </c>
      <c r="B2368" s="32" t="s">
        <v>5602</v>
      </c>
      <c r="C2368" s="9" t="s">
        <v>2071</v>
      </c>
      <c r="D2368" s="9" t="s">
        <v>5721</v>
      </c>
      <c r="E2368" s="32">
        <v>2020</v>
      </c>
      <c r="F2368" s="32">
        <v>2020</v>
      </c>
      <c r="G2368" s="32" t="s">
        <v>16</v>
      </c>
      <c r="H2368" s="9">
        <v>200</v>
      </c>
      <c r="I2368" s="9">
        <v>200</v>
      </c>
      <c r="J2368" s="32"/>
      <c r="K2368" s="52"/>
      <c r="L2368" s="10">
        <v>20201118</v>
      </c>
      <c r="M2368" s="36" t="str">
        <f t="shared" si="36"/>
        <v>19680301</v>
      </c>
    </row>
    <row r="2369" s="1" customFormat="1" spans="1:13">
      <c r="A2369" s="2">
        <v>113</v>
      </c>
      <c r="B2369" s="3" t="s">
        <v>12</v>
      </c>
      <c r="C2369" s="6" t="s">
        <v>242</v>
      </c>
      <c r="D2369" s="6" t="s">
        <v>243</v>
      </c>
      <c r="E2369" s="3" t="s">
        <v>15</v>
      </c>
      <c r="F2369" s="3" t="s">
        <v>15</v>
      </c>
      <c r="G2369" s="3" t="s">
        <v>189</v>
      </c>
      <c r="H2369" s="3">
        <v>200</v>
      </c>
      <c r="I2369" s="3">
        <v>200</v>
      </c>
      <c r="J2369" s="3"/>
      <c r="K2369" s="3"/>
      <c r="L2369" s="10">
        <v>20201118</v>
      </c>
      <c r="M2369" s="36" t="str">
        <f t="shared" si="36"/>
        <v>19680302</v>
      </c>
    </row>
    <row r="2370" s="1" customFormat="1" ht="14.25" spans="1:13">
      <c r="A2370" s="2">
        <v>5291</v>
      </c>
      <c r="B2370" s="33" t="s">
        <v>10535</v>
      </c>
      <c r="C2370" s="34" t="s">
        <v>10698</v>
      </c>
      <c r="D2370" s="34" t="s">
        <v>10699</v>
      </c>
      <c r="E2370" s="35">
        <v>2020</v>
      </c>
      <c r="F2370" s="35">
        <v>2020</v>
      </c>
      <c r="G2370" s="35" t="s">
        <v>16</v>
      </c>
      <c r="H2370" s="34">
        <v>200</v>
      </c>
      <c r="I2370" s="34">
        <v>200</v>
      </c>
      <c r="J2370" s="49"/>
      <c r="K2370" s="10"/>
      <c r="L2370" s="10">
        <v>20201118</v>
      </c>
      <c r="M2370" s="36" t="str">
        <f t="shared" ref="M2370:M2433" si="37">MID(D2370,7,8)</f>
        <v>19680302</v>
      </c>
    </row>
    <row r="2371" s="1" customFormat="1" spans="1:13">
      <c r="A2371" s="2">
        <v>5042</v>
      </c>
      <c r="B2371" s="6" t="s">
        <v>9954</v>
      </c>
      <c r="C2371" s="32" t="s">
        <v>10217</v>
      </c>
      <c r="D2371" s="32" t="s">
        <v>10218</v>
      </c>
      <c r="E2371" s="5" t="s">
        <v>15</v>
      </c>
      <c r="F2371" s="5" t="s">
        <v>15</v>
      </c>
      <c r="G2371" s="14" t="s">
        <v>16</v>
      </c>
      <c r="H2371" s="6">
        <v>200</v>
      </c>
      <c r="I2371" s="6">
        <v>200</v>
      </c>
      <c r="J2371" s="6"/>
      <c r="K2371" s="6"/>
      <c r="L2371" s="10">
        <v>20201118</v>
      </c>
      <c r="M2371" s="36" t="str">
        <f t="shared" si="37"/>
        <v>19680303</v>
      </c>
    </row>
    <row r="2372" s="1" customFormat="1" spans="1:13">
      <c r="A2372" s="2">
        <v>6970</v>
      </c>
      <c r="B2372" s="5" t="s">
        <v>13533</v>
      </c>
      <c r="C2372" s="32" t="s">
        <v>13718</v>
      </c>
      <c r="D2372" s="32" t="str">
        <f>"152326196803037141"</f>
        <v>152326196803037141</v>
      </c>
      <c r="E2372" s="5">
        <v>2020</v>
      </c>
      <c r="F2372" s="5">
        <v>2020</v>
      </c>
      <c r="G2372" s="9" t="s">
        <v>2480</v>
      </c>
      <c r="H2372" s="32">
        <v>200</v>
      </c>
      <c r="I2372" s="32">
        <v>200</v>
      </c>
      <c r="J2372" s="32"/>
      <c r="K2372" s="10"/>
      <c r="L2372" s="10">
        <v>20201118</v>
      </c>
      <c r="M2372" s="36" t="str">
        <f t="shared" si="37"/>
        <v>19680303</v>
      </c>
    </row>
    <row r="2373" s="1" customFormat="1" spans="1:13">
      <c r="A2373" s="2">
        <v>1553</v>
      </c>
      <c r="B2373" s="5" t="s">
        <v>3381</v>
      </c>
      <c r="C2373" s="9" t="s">
        <v>3671</v>
      </c>
      <c r="D2373" s="9" t="s">
        <v>3672</v>
      </c>
      <c r="E2373" s="5">
        <v>2020</v>
      </c>
      <c r="F2373" s="5">
        <v>2020</v>
      </c>
      <c r="G2373" s="14" t="s">
        <v>16</v>
      </c>
      <c r="H2373" s="6">
        <v>200</v>
      </c>
      <c r="I2373" s="6">
        <v>200</v>
      </c>
      <c r="J2373" s="5"/>
      <c r="K2373" s="13"/>
      <c r="L2373" s="10">
        <v>20201118</v>
      </c>
      <c r="M2373" s="36" t="str">
        <f t="shared" si="37"/>
        <v>19680304</v>
      </c>
    </row>
    <row r="2374" s="1" customFormat="1" ht="14.25" spans="1:13">
      <c r="A2374" s="2">
        <v>2841</v>
      </c>
      <c r="B2374" s="6" t="s">
        <v>6075</v>
      </c>
      <c r="C2374" s="25" t="s">
        <v>6209</v>
      </c>
      <c r="D2374" s="26" t="s">
        <v>6210</v>
      </c>
      <c r="E2374" s="5" t="s">
        <v>15</v>
      </c>
      <c r="F2374" s="5">
        <v>2020</v>
      </c>
      <c r="G2374" s="6" t="s">
        <v>16</v>
      </c>
      <c r="H2374" s="6">
        <v>200</v>
      </c>
      <c r="I2374" s="6">
        <v>200</v>
      </c>
      <c r="J2374" s="6"/>
      <c r="K2374" s="10"/>
      <c r="L2374" s="10">
        <v>20201118</v>
      </c>
      <c r="M2374" s="36" t="str">
        <f t="shared" si="37"/>
        <v>19680305</v>
      </c>
    </row>
    <row r="2375" s="1" customFormat="1" ht="14.25" spans="1:13">
      <c r="A2375" s="2">
        <v>5292</v>
      </c>
      <c r="B2375" s="33" t="s">
        <v>10535</v>
      </c>
      <c r="C2375" s="34" t="s">
        <v>10700</v>
      </c>
      <c r="D2375" s="34" t="s">
        <v>10701</v>
      </c>
      <c r="E2375" s="35">
        <v>2020</v>
      </c>
      <c r="F2375" s="35">
        <v>2020</v>
      </c>
      <c r="G2375" s="35" t="s">
        <v>16</v>
      </c>
      <c r="H2375" s="34">
        <v>200</v>
      </c>
      <c r="I2375" s="34">
        <v>200</v>
      </c>
      <c r="J2375" s="49"/>
      <c r="K2375" s="10"/>
      <c r="L2375" s="10">
        <v>20201118</v>
      </c>
      <c r="M2375" s="36" t="str">
        <f t="shared" si="37"/>
        <v>19680305</v>
      </c>
    </row>
    <row r="2376" s="1" customFormat="1" spans="1:13">
      <c r="A2376" s="2">
        <v>6285</v>
      </c>
      <c r="B2376" s="5" t="s">
        <v>12263</v>
      </c>
      <c r="C2376" s="5" t="s">
        <v>12591</v>
      </c>
      <c r="D2376" s="5" t="s">
        <v>12592</v>
      </c>
      <c r="E2376" s="5" t="s">
        <v>10250</v>
      </c>
      <c r="F2376" s="5">
        <v>2020</v>
      </c>
      <c r="G2376" s="17" t="s">
        <v>3359</v>
      </c>
      <c r="H2376" s="5">
        <v>500</v>
      </c>
      <c r="I2376" s="5">
        <v>500</v>
      </c>
      <c r="J2376" s="5"/>
      <c r="K2376" s="5"/>
      <c r="L2376" s="10">
        <v>20201118</v>
      </c>
      <c r="M2376" s="36" t="str">
        <f t="shared" si="37"/>
        <v>19680305</v>
      </c>
    </row>
    <row r="2377" s="1" customFormat="1" spans="1:13">
      <c r="A2377" s="2">
        <v>5101</v>
      </c>
      <c r="B2377" s="6" t="s">
        <v>10242</v>
      </c>
      <c r="C2377" s="9" t="s">
        <v>10332</v>
      </c>
      <c r="D2377" s="9" t="s">
        <v>10333</v>
      </c>
      <c r="E2377" s="5" t="s">
        <v>10250</v>
      </c>
      <c r="F2377" s="5">
        <v>2020</v>
      </c>
      <c r="G2377" s="6" t="s">
        <v>16</v>
      </c>
      <c r="H2377" s="6">
        <v>200</v>
      </c>
      <c r="I2377" s="6">
        <v>200</v>
      </c>
      <c r="J2377" s="6"/>
      <c r="K2377" s="5"/>
      <c r="L2377" s="10">
        <v>20201118</v>
      </c>
      <c r="M2377" s="36" t="str">
        <f t="shared" si="37"/>
        <v>19680306</v>
      </c>
    </row>
    <row r="2378" s="1" customFormat="1" spans="1:13">
      <c r="A2378" s="2">
        <v>1030</v>
      </c>
      <c r="B2378" s="5" t="s">
        <v>2469</v>
      </c>
      <c r="C2378" s="9" t="s">
        <v>2651</v>
      </c>
      <c r="D2378" s="9" t="s">
        <v>2652</v>
      </c>
      <c r="E2378" s="5">
        <v>2020</v>
      </c>
      <c r="F2378" s="5">
        <v>2020</v>
      </c>
      <c r="G2378" s="9" t="s">
        <v>2480</v>
      </c>
      <c r="H2378" s="9">
        <v>200</v>
      </c>
      <c r="I2378" s="9">
        <v>200</v>
      </c>
      <c r="J2378" s="5"/>
      <c r="K2378" s="5"/>
      <c r="L2378" s="10">
        <v>20201118</v>
      </c>
      <c r="M2378" s="36" t="str">
        <f t="shared" si="37"/>
        <v>19680310</v>
      </c>
    </row>
    <row r="2379" s="1" customFormat="1" spans="1:13">
      <c r="A2379" s="2">
        <v>3431</v>
      </c>
      <c r="B2379" s="5" t="s">
        <v>3375</v>
      </c>
      <c r="C2379" s="6" t="s">
        <v>7208</v>
      </c>
      <c r="D2379" s="6" t="s">
        <v>7209</v>
      </c>
      <c r="E2379" s="5" t="s">
        <v>15</v>
      </c>
      <c r="F2379" s="5">
        <v>2020</v>
      </c>
      <c r="G2379" s="14" t="s">
        <v>16</v>
      </c>
      <c r="H2379" s="17">
        <v>200</v>
      </c>
      <c r="I2379" s="17">
        <v>200</v>
      </c>
      <c r="J2379" s="6"/>
      <c r="K2379" s="10"/>
      <c r="L2379" s="10">
        <v>20201118</v>
      </c>
      <c r="M2379" s="36" t="str">
        <f t="shared" si="37"/>
        <v>19680310</v>
      </c>
    </row>
    <row r="2380" s="1" customFormat="1" spans="1:13">
      <c r="A2380" s="2">
        <v>4642</v>
      </c>
      <c r="B2380" s="6" t="s">
        <v>9015</v>
      </c>
      <c r="C2380" s="6" t="s">
        <v>9449</v>
      </c>
      <c r="D2380" s="6" t="s">
        <v>9450</v>
      </c>
      <c r="E2380" s="6">
        <v>2020</v>
      </c>
      <c r="F2380" s="6">
        <v>2020</v>
      </c>
      <c r="G2380" s="6" t="s">
        <v>16</v>
      </c>
      <c r="H2380" s="6">
        <v>200</v>
      </c>
      <c r="I2380" s="6">
        <v>200</v>
      </c>
      <c r="J2380" s="6"/>
      <c r="K2380" s="6"/>
      <c r="L2380" s="10">
        <v>20201118</v>
      </c>
      <c r="M2380" s="36" t="str">
        <f t="shared" si="37"/>
        <v>19680310</v>
      </c>
    </row>
    <row r="2381" s="1" customFormat="1" spans="1:13">
      <c r="A2381" s="2">
        <v>4987</v>
      </c>
      <c r="B2381" s="6" t="s">
        <v>9954</v>
      </c>
      <c r="C2381" s="60" t="s">
        <v>10113</v>
      </c>
      <c r="D2381" s="60" t="s">
        <v>10114</v>
      </c>
      <c r="E2381" s="5" t="s">
        <v>15</v>
      </c>
      <c r="F2381" s="5" t="s">
        <v>15</v>
      </c>
      <c r="G2381" s="14" t="s">
        <v>16</v>
      </c>
      <c r="H2381" s="6">
        <v>200</v>
      </c>
      <c r="I2381" s="6">
        <v>200</v>
      </c>
      <c r="J2381" s="6"/>
      <c r="K2381" s="6"/>
      <c r="L2381" s="10">
        <v>20201118</v>
      </c>
      <c r="M2381" s="36" t="str">
        <f t="shared" si="37"/>
        <v>19680310</v>
      </c>
    </row>
    <row r="2382" s="1" customFormat="1" spans="1:13">
      <c r="A2382" s="2">
        <v>721</v>
      </c>
      <c r="B2382" s="29" t="s">
        <v>1040</v>
      </c>
      <c r="C2382" s="5" t="s">
        <v>1814</v>
      </c>
      <c r="D2382" s="317" t="s">
        <v>1815</v>
      </c>
      <c r="E2382" s="30">
        <v>2020</v>
      </c>
      <c r="F2382" s="30">
        <v>2020</v>
      </c>
      <c r="G2382" s="29" t="s">
        <v>16</v>
      </c>
      <c r="H2382" s="29">
        <v>200</v>
      </c>
      <c r="I2382" s="29">
        <v>200</v>
      </c>
      <c r="J2382" s="29"/>
      <c r="K2382" s="54"/>
      <c r="L2382" s="2" t="s">
        <v>330</v>
      </c>
      <c r="M2382" s="36" t="str">
        <f t="shared" si="37"/>
        <v>19680311</v>
      </c>
    </row>
    <row r="2383" s="1" customFormat="1" spans="1:13">
      <c r="A2383" s="2">
        <v>3240</v>
      </c>
      <c r="B2383" s="3" t="s">
        <v>6671</v>
      </c>
      <c r="C2383" s="9" t="s">
        <v>6984</v>
      </c>
      <c r="D2383" s="9" t="s">
        <v>6985</v>
      </c>
      <c r="E2383" s="3" t="s">
        <v>15</v>
      </c>
      <c r="F2383" s="3" t="s">
        <v>15</v>
      </c>
      <c r="G2383" s="6" t="s">
        <v>3359</v>
      </c>
      <c r="H2383" s="9">
        <v>200</v>
      </c>
      <c r="I2383" s="9">
        <v>200</v>
      </c>
      <c r="J2383" s="6"/>
      <c r="K2383" s="5"/>
      <c r="L2383" s="10">
        <v>20201118</v>
      </c>
      <c r="M2383" s="36" t="str">
        <f t="shared" si="37"/>
        <v>19680311</v>
      </c>
    </row>
    <row r="2384" s="1" customFormat="1" ht="14.25" spans="1:13">
      <c r="A2384" s="2">
        <v>5293</v>
      </c>
      <c r="B2384" s="33" t="s">
        <v>10535</v>
      </c>
      <c r="C2384" s="34" t="s">
        <v>10702</v>
      </c>
      <c r="D2384" s="34" t="s">
        <v>10703</v>
      </c>
      <c r="E2384" s="35">
        <v>2020</v>
      </c>
      <c r="F2384" s="35">
        <v>2020</v>
      </c>
      <c r="G2384" s="35" t="s">
        <v>16</v>
      </c>
      <c r="H2384" s="34">
        <v>1000</v>
      </c>
      <c r="I2384" s="34">
        <v>1000</v>
      </c>
      <c r="J2384" s="49"/>
      <c r="K2384" s="10"/>
      <c r="L2384" s="10">
        <v>20201118</v>
      </c>
      <c r="M2384" s="36" t="str">
        <f t="shared" si="37"/>
        <v>19680312</v>
      </c>
    </row>
    <row r="2385" s="1" customFormat="1" spans="1:13">
      <c r="A2385" s="2">
        <v>1392</v>
      </c>
      <c r="B2385" s="5" t="s">
        <v>2469</v>
      </c>
      <c r="C2385" s="6" t="s">
        <v>3348</v>
      </c>
      <c r="D2385" s="6" t="str">
        <f>"152326196803136895"</f>
        <v>152326196803136895</v>
      </c>
      <c r="E2385" s="5">
        <v>2020</v>
      </c>
      <c r="F2385" s="5">
        <v>2020</v>
      </c>
      <c r="G2385" s="9" t="s">
        <v>2480</v>
      </c>
      <c r="H2385" s="9">
        <v>200</v>
      </c>
      <c r="I2385" s="9">
        <v>200</v>
      </c>
      <c r="J2385" s="5"/>
      <c r="K2385" s="10"/>
      <c r="L2385" s="10">
        <v>20201118</v>
      </c>
      <c r="M2385" s="36" t="str">
        <f t="shared" si="37"/>
        <v>19680313</v>
      </c>
    </row>
    <row r="2386" s="1" customFormat="1" spans="1:13">
      <c r="A2386" s="2">
        <v>1554</v>
      </c>
      <c r="B2386" s="5" t="s">
        <v>3381</v>
      </c>
      <c r="C2386" s="9" t="s">
        <v>3673</v>
      </c>
      <c r="D2386" s="9" t="s">
        <v>3674</v>
      </c>
      <c r="E2386" s="5">
        <v>2020</v>
      </c>
      <c r="F2386" s="5">
        <v>2020</v>
      </c>
      <c r="G2386" s="14" t="s">
        <v>16</v>
      </c>
      <c r="H2386" s="6">
        <v>200</v>
      </c>
      <c r="I2386" s="6">
        <v>200</v>
      </c>
      <c r="J2386" s="5"/>
      <c r="K2386" s="13"/>
      <c r="L2386" s="10">
        <v>20201118</v>
      </c>
      <c r="M2386" s="36" t="str">
        <f t="shared" si="37"/>
        <v>19680313</v>
      </c>
    </row>
    <row r="2387" s="1" customFormat="1" ht="14.25" spans="1:13">
      <c r="A2387" s="2">
        <v>7755</v>
      </c>
      <c r="B2387" s="5" t="s">
        <v>14875</v>
      </c>
      <c r="C2387" s="51" t="s">
        <v>14998</v>
      </c>
      <c r="D2387" s="24" t="str">
        <f>"152326196803147113"</f>
        <v>152326196803147113</v>
      </c>
      <c r="E2387" s="6" t="s">
        <v>15</v>
      </c>
      <c r="F2387" s="6">
        <v>2020</v>
      </c>
      <c r="G2387" s="24" t="s">
        <v>14877</v>
      </c>
      <c r="H2387" s="6">
        <v>200</v>
      </c>
      <c r="I2387" s="6">
        <v>200</v>
      </c>
      <c r="J2387" s="6"/>
      <c r="K2387" s="10"/>
      <c r="L2387" s="10">
        <v>20201118</v>
      </c>
      <c r="M2387" s="36" t="str">
        <f t="shared" si="37"/>
        <v>19680314</v>
      </c>
    </row>
    <row r="2388" s="1" customFormat="1" spans="1:13">
      <c r="A2388" s="2">
        <v>1031</v>
      </c>
      <c r="B2388" s="5" t="s">
        <v>2469</v>
      </c>
      <c r="C2388" s="9" t="s">
        <v>2653</v>
      </c>
      <c r="D2388" s="9" t="s">
        <v>2654</v>
      </c>
      <c r="E2388" s="5">
        <v>2020</v>
      </c>
      <c r="F2388" s="5">
        <v>2020</v>
      </c>
      <c r="G2388" s="9" t="s">
        <v>2480</v>
      </c>
      <c r="H2388" s="9">
        <v>200</v>
      </c>
      <c r="I2388" s="9">
        <v>200</v>
      </c>
      <c r="J2388" s="5"/>
      <c r="K2388" s="5"/>
      <c r="L2388" s="10">
        <v>20201118</v>
      </c>
      <c r="M2388" s="36" t="str">
        <f t="shared" si="37"/>
        <v>19680316</v>
      </c>
    </row>
    <row r="2389" s="1" customFormat="1" spans="1:13">
      <c r="A2389" s="2">
        <v>2427</v>
      </c>
      <c r="B2389" s="5" t="s">
        <v>5328</v>
      </c>
      <c r="C2389" s="16" t="s">
        <v>5394</v>
      </c>
      <c r="D2389" s="16" t="s">
        <v>5395</v>
      </c>
      <c r="E2389" s="5" t="s">
        <v>15</v>
      </c>
      <c r="F2389" s="5" t="s">
        <v>15</v>
      </c>
      <c r="G2389" s="14" t="s">
        <v>16</v>
      </c>
      <c r="H2389" s="6">
        <v>200</v>
      </c>
      <c r="I2389" s="6">
        <v>200</v>
      </c>
      <c r="J2389" s="5" t="s">
        <v>108</v>
      </c>
      <c r="K2389" s="5"/>
      <c r="L2389" s="10">
        <v>20201118</v>
      </c>
      <c r="M2389" s="36" t="str">
        <f t="shared" si="37"/>
        <v>19680317</v>
      </c>
    </row>
    <row r="2390" s="1" customFormat="1" ht="14.25" spans="1:13">
      <c r="A2390" s="2">
        <v>2910</v>
      </c>
      <c r="B2390" s="6" t="s">
        <v>6075</v>
      </c>
      <c r="C2390" s="25" t="s">
        <v>6348</v>
      </c>
      <c r="D2390" s="26" t="s">
        <v>6349</v>
      </c>
      <c r="E2390" s="5" t="s">
        <v>15</v>
      </c>
      <c r="F2390" s="5">
        <v>2020</v>
      </c>
      <c r="G2390" s="6" t="s">
        <v>16</v>
      </c>
      <c r="H2390" s="6">
        <v>200</v>
      </c>
      <c r="I2390" s="6">
        <v>200</v>
      </c>
      <c r="J2390" s="6"/>
      <c r="K2390" s="10"/>
      <c r="L2390" s="10">
        <v>20201118</v>
      </c>
      <c r="M2390" s="36" t="str">
        <f t="shared" si="37"/>
        <v>19680317</v>
      </c>
    </row>
    <row r="2391" s="1" customFormat="1" spans="1:13">
      <c r="A2391" s="2">
        <v>1555</v>
      </c>
      <c r="B2391" s="5" t="s">
        <v>3381</v>
      </c>
      <c r="C2391" s="9" t="s">
        <v>3675</v>
      </c>
      <c r="D2391" s="9" t="s">
        <v>3676</v>
      </c>
      <c r="E2391" s="5">
        <v>2020</v>
      </c>
      <c r="F2391" s="5">
        <v>2020</v>
      </c>
      <c r="G2391" s="14" t="s">
        <v>16</v>
      </c>
      <c r="H2391" s="6">
        <v>200</v>
      </c>
      <c r="I2391" s="6">
        <v>200</v>
      </c>
      <c r="J2391" s="5"/>
      <c r="K2391" s="13"/>
      <c r="L2391" s="10">
        <v>20201118</v>
      </c>
      <c r="M2391" s="36" t="str">
        <f t="shared" si="37"/>
        <v>19680322</v>
      </c>
    </row>
    <row r="2392" s="1" customFormat="1" spans="1:13">
      <c r="A2392" s="2">
        <v>635</v>
      </c>
      <c r="B2392" s="29" t="s">
        <v>1040</v>
      </c>
      <c r="C2392" s="29" t="s">
        <v>1558</v>
      </c>
      <c r="D2392" s="29" t="s">
        <v>1559</v>
      </c>
      <c r="E2392" s="30">
        <v>2020</v>
      </c>
      <c r="F2392" s="30">
        <v>2020</v>
      </c>
      <c r="G2392" s="29" t="s">
        <v>16</v>
      </c>
      <c r="H2392" s="29">
        <v>200</v>
      </c>
      <c r="I2392" s="29">
        <v>200</v>
      </c>
      <c r="J2392" s="29"/>
      <c r="K2392" s="47"/>
      <c r="L2392" s="14" t="s">
        <v>330</v>
      </c>
      <c r="M2392" s="36" t="str">
        <f t="shared" si="37"/>
        <v>19680323</v>
      </c>
    </row>
    <row r="2393" s="1" customFormat="1" spans="1:13">
      <c r="A2393" s="2">
        <v>3758</v>
      </c>
      <c r="B2393" s="5" t="s">
        <v>7412</v>
      </c>
      <c r="C2393" s="5" t="s">
        <v>7766</v>
      </c>
      <c r="D2393" s="5" t="s">
        <v>7767</v>
      </c>
      <c r="E2393" s="6">
        <v>2020</v>
      </c>
      <c r="F2393" s="6">
        <v>2020</v>
      </c>
      <c r="G2393" s="5" t="s">
        <v>3359</v>
      </c>
      <c r="H2393" s="5">
        <v>200</v>
      </c>
      <c r="I2393" s="5">
        <v>200</v>
      </c>
      <c r="J2393" s="5"/>
      <c r="K2393" s="5"/>
      <c r="L2393" s="10">
        <v>20201118</v>
      </c>
      <c r="M2393" s="36" t="str">
        <f t="shared" si="37"/>
        <v>19680323</v>
      </c>
    </row>
    <row r="2394" s="1" customFormat="1" spans="1:13">
      <c r="A2394" s="2">
        <v>1556</v>
      </c>
      <c r="B2394" s="5" t="s">
        <v>3381</v>
      </c>
      <c r="C2394" s="9" t="s">
        <v>3677</v>
      </c>
      <c r="D2394" s="9" t="s">
        <v>3678</v>
      </c>
      <c r="E2394" s="5">
        <v>2020</v>
      </c>
      <c r="F2394" s="5">
        <v>2020</v>
      </c>
      <c r="G2394" s="14" t="s">
        <v>16</v>
      </c>
      <c r="H2394" s="6">
        <v>200</v>
      </c>
      <c r="I2394" s="6">
        <v>200</v>
      </c>
      <c r="J2394" s="5"/>
      <c r="K2394" s="13"/>
      <c r="L2394" s="10">
        <v>20201118</v>
      </c>
      <c r="M2394" s="36" t="str">
        <f t="shared" si="37"/>
        <v>19680324</v>
      </c>
    </row>
    <row r="2395" s="1" customFormat="1" spans="1:13">
      <c r="A2395" s="2">
        <v>2396</v>
      </c>
      <c r="B2395" s="5" t="s">
        <v>5328</v>
      </c>
      <c r="C2395" s="16" t="s">
        <v>5334</v>
      </c>
      <c r="D2395" s="16" t="s">
        <v>5335</v>
      </c>
      <c r="E2395" s="5" t="s">
        <v>15</v>
      </c>
      <c r="F2395" s="5" t="s">
        <v>15</v>
      </c>
      <c r="G2395" s="14" t="s">
        <v>16</v>
      </c>
      <c r="H2395" s="6">
        <v>200</v>
      </c>
      <c r="I2395" s="6">
        <v>200</v>
      </c>
      <c r="J2395" s="17" t="s">
        <v>5331</v>
      </c>
      <c r="K2395" s="5"/>
      <c r="L2395" s="10">
        <v>20201118</v>
      </c>
      <c r="M2395" s="36" t="str">
        <f t="shared" si="37"/>
        <v>19680325</v>
      </c>
    </row>
    <row r="2396" s="1" customFormat="1" spans="1:13">
      <c r="A2396" s="2">
        <v>3759</v>
      </c>
      <c r="B2396" s="5" t="s">
        <v>7412</v>
      </c>
      <c r="C2396" s="5" t="s">
        <v>7768</v>
      </c>
      <c r="D2396" s="5" t="s">
        <v>7769</v>
      </c>
      <c r="E2396" s="6">
        <v>2020</v>
      </c>
      <c r="F2396" s="6">
        <v>2020</v>
      </c>
      <c r="G2396" s="5" t="s">
        <v>3359</v>
      </c>
      <c r="H2396" s="5">
        <v>200</v>
      </c>
      <c r="I2396" s="5">
        <v>200</v>
      </c>
      <c r="J2396" s="5"/>
      <c r="K2396" s="5"/>
      <c r="L2396" s="10">
        <v>20201118</v>
      </c>
      <c r="M2396" s="36" t="str">
        <f t="shared" si="37"/>
        <v>19680325</v>
      </c>
    </row>
    <row r="2397" s="1" customFormat="1" spans="1:13">
      <c r="A2397" s="2">
        <v>7188</v>
      </c>
      <c r="B2397" s="5" t="s">
        <v>13908</v>
      </c>
      <c r="C2397" s="5" t="s">
        <v>14028</v>
      </c>
      <c r="D2397" s="5" t="s">
        <v>14029</v>
      </c>
      <c r="E2397" s="5" t="s">
        <v>15</v>
      </c>
      <c r="F2397" s="5" t="s">
        <v>15</v>
      </c>
      <c r="G2397" s="14" t="s">
        <v>16</v>
      </c>
      <c r="H2397" s="17">
        <v>200</v>
      </c>
      <c r="I2397" s="17">
        <v>200</v>
      </c>
      <c r="J2397" s="5" t="s">
        <v>108</v>
      </c>
      <c r="K2397" s="10"/>
      <c r="L2397" s="10">
        <v>20201118</v>
      </c>
      <c r="M2397" s="36" t="str">
        <f t="shared" si="37"/>
        <v>19680327</v>
      </c>
    </row>
    <row r="2398" s="1" customFormat="1" spans="1:13">
      <c r="A2398" s="2">
        <v>1032</v>
      </c>
      <c r="B2398" s="5" t="s">
        <v>2469</v>
      </c>
      <c r="C2398" s="9" t="s">
        <v>2655</v>
      </c>
      <c r="D2398" s="9" t="s">
        <v>2656</v>
      </c>
      <c r="E2398" s="5">
        <v>2020</v>
      </c>
      <c r="F2398" s="5">
        <v>2020</v>
      </c>
      <c r="G2398" s="9" t="s">
        <v>2480</v>
      </c>
      <c r="H2398" s="9">
        <v>200</v>
      </c>
      <c r="I2398" s="9">
        <v>200</v>
      </c>
      <c r="J2398" s="5"/>
      <c r="K2398" s="5"/>
      <c r="L2398" s="10">
        <v>20201118</v>
      </c>
      <c r="M2398" s="36" t="str">
        <f t="shared" si="37"/>
        <v>19680329</v>
      </c>
    </row>
    <row r="2399" s="1" customFormat="1" spans="1:13">
      <c r="A2399" s="2">
        <v>6964</v>
      </c>
      <c r="B2399" s="5" t="s">
        <v>13533</v>
      </c>
      <c r="C2399" s="32" t="s">
        <v>1752</v>
      </c>
      <c r="D2399" s="32" t="str">
        <f>"152326196803307121"</f>
        <v>152326196803307121</v>
      </c>
      <c r="E2399" s="5">
        <v>2020</v>
      </c>
      <c r="F2399" s="5">
        <v>2020</v>
      </c>
      <c r="G2399" s="9" t="s">
        <v>2480</v>
      </c>
      <c r="H2399" s="32">
        <v>200</v>
      </c>
      <c r="I2399" s="32">
        <v>200</v>
      </c>
      <c r="J2399" s="62"/>
      <c r="K2399" s="10"/>
      <c r="L2399" s="10">
        <v>20201118</v>
      </c>
      <c r="M2399" s="36" t="str">
        <f t="shared" si="37"/>
        <v>19680330</v>
      </c>
    </row>
    <row r="2400" s="1" customFormat="1" spans="1:13">
      <c r="A2400" s="2">
        <v>6971</v>
      </c>
      <c r="B2400" s="5" t="s">
        <v>13533</v>
      </c>
      <c r="C2400" s="32" t="s">
        <v>13719</v>
      </c>
      <c r="D2400" s="32" t="str">
        <f>"152326196803307148"</f>
        <v>152326196803307148</v>
      </c>
      <c r="E2400" s="5">
        <v>2020</v>
      </c>
      <c r="F2400" s="5">
        <v>2020</v>
      </c>
      <c r="G2400" s="9" t="s">
        <v>2480</v>
      </c>
      <c r="H2400" s="32">
        <v>200</v>
      </c>
      <c r="I2400" s="32">
        <v>200</v>
      </c>
      <c r="J2400" s="62"/>
      <c r="K2400" s="10"/>
      <c r="L2400" s="10">
        <v>20201118</v>
      </c>
      <c r="M2400" s="36" t="str">
        <f t="shared" si="37"/>
        <v>19680330</v>
      </c>
    </row>
    <row r="2401" s="1" customFormat="1" spans="1:13">
      <c r="A2401" s="2">
        <v>1901</v>
      </c>
      <c r="B2401" s="5" t="s">
        <v>4189</v>
      </c>
      <c r="C2401" s="16" t="s">
        <v>4363</v>
      </c>
      <c r="D2401" s="16" t="s">
        <v>4364</v>
      </c>
      <c r="E2401" s="5" t="s">
        <v>15</v>
      </c>
      <c r="F2401" s="5" t="s">
        <v>15</v>
      </c>
      <c r="G2401" s="5" t="s">
        <v>3359</v>
      </c>
      <c r="H2401" s="16">
        <v>200</v>
      </c>
      <c r="I2401" s="16">
        <v>200</v>
      </c>
      <c r="J2401" s="5"/>
      <c r="K2401" s="10"/>
      <c r="L2401" s="10">
        <v>20201118</v>
      </c>
      <c r="M2401" s="36" t="str">
        <f t="shared" si="37"/>
        <v>19680401</v>
      </c>
    </row>
    <row r="2402" s="1" customFormat="1" spans="1:13">
      <c r="A2402" s="2">
        <v>470</v>
      </c>
      <c r="B2402" s="29" t="s">
        <v>1040</v>
      </c>
      <c r="C2402" s="29" t="s">
        <v>1216</v>
      </c>
      <c r="D2402" s="29" t="s">
        <v>1217</v>
      </c>
      <c r="E2402" s="30">
        <v>2020</v>
      </c>
      <c r="F2402" s="30">
        <v>2020</v>
      </c>
      <c r="G2402" s="29" t="s">
        <v>16</v>
      </c>
      <c r="H2402" s="29">
        <v>200</v>
      </c>
      <c r="I2402" s="29">
        <v>200</v>
      </c>
      <c r="J2402" s="29"/>
      <c r="K2402" s="47"/>
      <c r="L2402" s="2" t="s">
        <v>330</v>
      </c>
      <c r="M2402" s="36" t="str">
        <f t="shared" si="37"/>
        <v>19680402</v>
      </c>
    </row>
    <row r="2403" s="1" customFormat="1" spans="1:13">
      <c r="A2403" s="2">
        <v>1557</v>
      </c>
      <c r="B2403" s="5" t="s">
        <v>3381</v>
      </c>
      <c r="C2403" s="9" t="s">
        <v>3679</v>
      </c>
      <c r="D2403" s="9" t="s">
        <v>3680</v>
      </c>
      <c r="E2403" s="5">
        <v>2020</v>
      </c>
      <c r="F2403" s="5">
        <v>2020</v>
      </c>
      <c r="G2403" s="14" t="s">
        <v>16</v>
      </c>
      <c r="H2403" s="6">
        <v>200</v>
      </c>
      <c r="I2403" s="6">
        <v>200</v>
      </c>
      <c r="J2403" s="5"/>
      <c r="K2403" s="13"/>
      <c r="L2403" s="10">
        <v>20201118</v>
      </c>
      <c r="M2403" s="36" t="str">
        <f t="shared" si="37"/>
        <v>19680403</v>
      </c>
    </row>
    <row r="2404" s="1" customFormat="1" spans="1:13">
      <c r="A2404" s="2">
        <v>4237</v>
      </c>
      <c r="B2404" s="9" t="s">
        <v>8515</v>
      </c>
      <c r="C2404" s="9" t="s">
        <v>8674</v>
      </c>
      <c r="D2404" s="9" t="s">
        <v>8675</v>
      </c>
      <c r="E2404" s="5" t="s">
        <v>15</v>
      </c>
      <c r="F2404" s="5">
        <v>2020</v>
      </c>
      <c r="G2404" s="9" t="s">
        <v>2480</v>
      </c>
      <c r="H2404" s="9">
        <v>200</v>
      </c>
      <c r="I2404" s="9">
        <v>200</v>
      </c>
      <c r="J2404" s="9"/>
      <c r="K2404" s="9"/>
      <c r="L2404" s="10">
        <v>20201118</v>
      </c>
      <c r="M2404" s="36" t="str">
        <f t="shared" si="37"/>
        <v>19680405</v>
      </c>
    </row>
    <row r="2405" s="1" customFormat="1" spans="1:13">
      <c r="A2405" s="2">
        <v>3760</v>
      </c>
      <c r="B2405" s="5" t="s">
        <v>7412</v>
      </c>
      <c r="C2405" s="5" t="s">
        <v>7770</v>
      </c>
      <c r="D2405" s="5" t="s">
        <v>7771</v>
      </c>
      <c r="E2405" s="6">
        <v>2020</v>
      </c>
      <c r="F2405" s="6">
        <v>2020</v>
      </c>
      <c r="G2405" s="5" t="s">
        <v>3359</v>
      </c>
      <c r="H2405" s="5">
        <v>200</v>
      </c>
      <c r="I2405" s="5">
        <v>200</v>
      </c>
      <c r="J2405" s="5"/>
      <c r="K2405" s="5"/>
      <c r="L2405" s="10">
        <v>20201118</v>
      </c>
      <c r="M2405" s="36" t="str">
        <f t="shared" si="37"/>
        <v>19680409</v>
      </c>
    </row>
    <row r="2406" s="1" customFormat="1" spans="1:13">
      <c r="A2406" s="2">
        <v>2594</v>
      </c>
      <c r="B2406" s="32" t="s">
        <v>5602</v>
      </c>
      <c r="C2406" s="9" t="s">
        <v>5722</v>
      </c>
      <c r="D2406" s="9" t="s">
        <v>5723</v>
      </c>
      <c r="E2406" s="32">
        <v>2020</v>
      </c>
      <c r="F2406" s="32">
        <v>2020</v>
      </c>
      <c r="G2406" s="32" t="s">
        <v>16</v>
      </c>
      <c r="H2406" s="9">
        <v>200</v>
      </c>
      <c r="I2406" s="9">
        <v>200</v>
      </c>
      <c r="J2406" s="32"/>
      <c r="K2406" s="52"/>
      <c r="L2406" s="10">
        <v>20201118</v>
      </c>
      <c r="M2406" s="36" t="str">
        <f t="shared" si="37"/>
        <v>19680411</v>
      </c>
    </row>
    <row r="2407" s="1" customFormat="1" spans="1:13">
      <c r="A2407" s="2">
        <v>4694</v>
      </c>
      <c r="B2407" s="6" t="s">
        <v>9015</v>
      </c>
      <c r="C2407" s="6" t="s">
        <v>9548</v>
      </c>
      <c r="D2407" s="6" t="s">
        <v>9549</v>
      </c>
      <c r="E2407" s="6">
        <v>2020</v>
      </c>
      <c r="F2407" s="6">
        <v>2020</v>
      </c>
      <c r="G2407" s="6" t="s">
        <v>16</v>
      </c>
      <c r="H2407" s="6">
        <v>200</v>
      </c>
      <c r="I2407" s="6">
        <v>200</v>
      </c>
      <c r="J2407" s="6"/>
      <c r="K2407" s="6"/>
      <c r="L2407" s="10">
        <v>20201118</v>
      </c>
      <c r="M2407" s="36" t="str">
        <f t="shared" si="37"/>
        <v>19680414</v>
      </c>
    </row>
    <row r="2408" s="1" customFormat="1" spans="1:13">
      <c r="A2408" s="2">
        <v>6271</v>
      </c>
      <c r="B2408" s="5" t="s">
        <v>12263</v>
      </c>
      <c r="C2408" s="5" t="s">
        <v>12564</v>
      </c>
      <c r="D2408" s="5" t="s">
        <v>12565</v>
      </c>
      <c r="E2408" s="5" t="s">
        <v>10250</v>
      </c>
      <c r="F2408" s="5">
        <v>2020</v>
      </c>
      <c r="G2408" s="17" t="s">
        <v>3359</v>
      </c>
      <c r="H2408" s="5">
        <v>200</v>
      </c>
      <c r="I2408" s="5">
        <v>200</v>
      </c>
      <c r="J2408" s="5"/>
      <c r="K2408" s="5"/>
      <c r="L2408" s="10">
        <v>20201118</v>
      </c>
      <c r="M2408" s="36" t="str">
        <f t="shared" si="37"/>
        <v>19680414</v>
      </c>
    </row>
    <row r="2409" s="1" customFormat="1" spans="1:13">
      <c r="A2409" s="2">
        <v>8002</v>
      </c>
      <c r="B2409" s="5" t="s">
        <v>15086</v>
      </c>
      <c r="C2409" s="6" t="s">
        <v>15277</v>
      </c>
      <c r="D2409" s="6" t="str">
        <f>"152326196804146876"</f>
        <v>152326196804146876</v>
      </c>
      <c r="E2409" s="5" t="s">
        <v>15</v>
      </c>
      <c r="F2409" s="5">
        <v>2020</v>
      </c>
      <c r="G2409" s="5" t="s">
        <v>16</v>
      </c>
      <c r="H2409" s="5">
        <v>200</v>
      </c>
      <c r="I2409" s="5">
        <v>200</v>
      </c>
      <c r="J2409" s="5"/>
      <c r="K2409" s="5"/>
      <c r="L2409" s="10">
        <v>20201118</v>
      </c>
      <c r="M2409" s="36" t="str">
        <f t="shared" si="37"/>
        <v>19680414</v>
      </c>
    </row>
    <row r="2410" s="1" customFormat="1" spans="1:13">
      <c r="A2410" s="2">
        <v>1558</v>
      </c>
      <c r="B2410" s="5" t="s">
        <v>3381</v>
      </c>
      <c r="C2410" s="9" t="s">
        <v>3681</v>
      </c>
      <c r="D2410" s="9" t="s">
        <v>3682</v>
      </c>
      <c r="E2410" s="5">
        <v>2020</v>
      </c>
      <c r="F2410" s="5">
        <v>2020</v>
      </c>
      <c r="G2410" s="14" t="s">
        <v>16</v>
      </c>
      <c r="H2410" s="6">
        <v>200</v>
      </c>
      <c r="I2410" s="6">
        <v>200</v>
      </c>
      <c r="J2410" s="5"/>
      <c r="K2410" s="13"/>
      <c r="L2410" s="10">
        <v>20201118</v>
      </c>
      <c r="M2410" s="36" t="str">
        <f t="shared" si="37"/>
        <v>19680416</v>
      </c>
    </row>
    <row r="2411" s="1" customFormat="1" spans="1:13">
      <c r="A2411" s="2">
        <v>1559</v>
      </c>
      <c r="B2411" s="5" t="s">
        <v>3381</v>
      </c>
      <c r="C2411" s="9" t="s">
        <v>3683</v>
      </c>
      <c r="D2411" s="9" t="s">
        <v>3684</v>
      </c>
      <c r="E2411" s="5">
        <v>2020</v>
      </c>
      <c r="F2411" s="5">
        <v>2020</v>
      </c>
      <c r="G2411" s="14" t="s">
        <v>16</v>
      </c>
      <c r="H2411" s="6">
        <v>200</v>
      </c>
      <c r="I2411" s="6">
        <v>200</v>
      </c>
      <c r="J2411" s="5"/>
      <c r="K2411" s="13"/>
      <c r="L2411" s="10">
        <v>20201118</v>
      </c>
      <c r="M2411" s="36" t="str">
        <f t="shared" si="37"/>
        <v>19680416</v>
      </c>
    </row>
    <row r="2412" s="1" customFormat="1" spans="1:13">
      <c r="A2412" s="2">
        <v>6185</v>
      </c>
      <c r="B2412" s="5" t="s">
        <v>12263</v>
      </c>
      <c r="C2412" s="5" t="s">
        <v>12399</v>
      </c>
      <c r="D2412" s="5" t="s">
        <v>12400</v>
      </c>
      <c r="E2412" s="5" t="s">
        <v>10250</v>
      </c>
      <c r="F2412" s="5">
        <v>2020</v>
      </c>
      <c r="G2412" s="17" t="s">
        <v>3359</v>
      </c>
      <c r="H2412" s="5">
        <v>200</v>
      </c>
      <c r="I2412" s="5">
        <v>200</v>
      </c>
      <c r="J2412" s="5"/>
      <c r="K2412" s="5"/>
      <c r="L2412" s="10">
        <v>20201118</v>
      </c>
      <c r="M2412" s="36" t="str">
        <f t="shared" si="37"/>
        <v>19680416</v>
      </c>
    </row>
    <row r="2413" s="1" customFormat="1" spans="1:13">
      <c r="A2413" s="2">
        <v>8003</v>
      </c>
      <c r="B2413" s="5" t="s">
        <v>15086</v>
      </c>
      <c r="C2413" s="6" t="s">
        <v>15278</v>
      </c>
      <c r="D2413" s="6" t="str">
        <f>"152326196804166869"</f>
        <v>152326196804166869</v>
      </c>
      <c r="E2413" s="5" t="s">
        <v>15</v>
      </c>
      <c r="F2413" s="5">
        <v>2020</v>
      </c>
      <c r="G2413" s="5" t="s">
        <v>16</v>
      </c>
      <c r="H2413" s="5">
        <v>200</v>
      </c>
      <c r="I2413" s="5">
        <v>200</v>
      </c>
      <c r="J2413" s="5"/>
      <c r="K2413" s="5"/>
      <c r="L2413" s="10">
        <v>20201118</v>
      </c>
      <c r="M2413" s="36" t="str">
        <f t="shared" si="37"/>
        <v>19680416</v>
      </c>
    </row>
    <row r="2414" s="1" customFormat="1" spans="1:13">
      <c r="A2414" s="2">
        <v>3432</v>
      </c>
      <c r="B2414" s="5" t="s">
        <v>3375</v>
      </c>
      <c r="C2414" s="6" t="s">
        <v>7210</v>
      </c>
      <c r="D2414" s="6" t="str">
        <f>"152326196804176880"</f>
        <v>152326196804176880</v>
      </c>
      <c r="E2414" s="5" t="s">
        <v>15</v>
      </c>
      <c r="F2414" s="5">
        <v>2020</v>
      </c>
      <c r="G2414" s="14" t="s">
        <v>16</v>
      </c>
      <c r="H2414" s="17">
        <v>200</v>
      </c>
      <c r="I2414" s="17">
        <v>200</v>
      </c>
      <c r="J2414" s="6"/>
      <c r="K2414" s="10"/>
      <c r="L2414" s="10">
        <v>20201118</v>
      </c>
      <c r="M2414" s="36" t="str">
        <f t="shared" si="37"/>
        <v>19680417</v>
      </c>
    </row>
    <row r="2415" s="1" customFormat="1" ht="14.25" spans="1:13">
      <c r="A2415" s="2">
        <v>3039</v>
      </c>
      <c r="B2415" s="6" t="s">
        <v>6075</v>
      </c>
      <c r="C2415" s="25" t="s">
        <v>6601</v>
      </c>
      <c r="D2415" s="26" t="s">
        <v>6602</v>
      </c>
      <c r="E2415" s="5" t="s">
        <v>15</v>
      </c>
      <c r="F2415" s="5">
        <v>2020</v>
      </c>
      <c r="G2415" s="6" t="s">
        <v>16</v>
      </c>
      <c r="H2415" s="6">
        <v>200</v>
      </c>
      <c r="I2415" s="6">
        <v>200</v>
      </c>
      <c r="J2415" s="6"/>
      <c r="K2415" s="10"/>
      <c r="L2415" s="10">
        <v>20201118</v>
      </c>
      <c r="M2415" s="36" t="str">
        <f t="shared" si="37"/>
        <v>19680418</v>
      </c>
    </row>
    <row r="2416" s="1" customFormat="1" spans="1:13">
      <c r="A2416" s="2">
        <v>7550</v>
      </c>
      <c r="B2416" s="5" t="s">
        <v>14402</v>
      </c>
      <c r="C2416" s="5" t="s">
        <v>2920</v>
      </c>
      <c r="D2416" s="5" t="s">
        <v>14707</v>
      </c>
      <c r="E2416" s="5">
        <v>2020</v>
      </c>
      <c r="F2416" s="5">
        <v>2020</v>
      </c>
      <c r="G2416" s="17" t="s">
        <v>16</v>
      </c>
      <c r="H2416" s="5">
        <v>200</v>
      </c>
      <c r="I2416" s="5">
        <v>200</v>
      </c>
      <c r="J2416" s="5"/>
      <c r="K2416" s="10"/>
      <c r="L2416" s="10">
        <v>20201118</v>
      </c>
      <c r="M2416" s="36" t="str">
        <f t="shared" si="37"/>
        <v>19680419</v>
      </c>
    </row>
    <row r="2417" s="1" customFormat="1" spans="1:13">
      <c r="A2417" s="2">
        <v>6135</v>
      </c>
      <c r="B2417" s="5" t="s">
        <v>12263</v>
      </c>
      <c r="C2417" s="5" t="s">
        <v>12305</v>
      </c>
      <c r="D2417" s="5" t="s">
        <v>12306</v>
      </c>
      <c r="E2417" s="5" t="s">
        <v>10250</v>
      </c>
      <c r="F2417" s="5">
        <v>2020</v>
      </c>
      <c r="G2417" s="17" t="s">
        <v>3359</v>
      </c>
      <c r="H2417" s="5">
        <v>200</v>
      </c>
      <c r="I2417" s="5">
        <v>200</v>
      </c>
      <c r="J2417" s="5"/>
      <c r="K2417" s="5"/>
      <c r="L2417" s="10">
        <v>20201118</v>
      </c>
      <c r="M2417" s="36" t="str">
        <f t="shared" si="37"/>
        <v>19680420</v>
      </c>
    </row>
    <row r="2418" s="1" customFormat="1" spans="1:13">
      <c r="A2418" s="2">
        <v>3427</v>
      </c>
      <c r="B2418" s="5" t="s">
        <v>3375</v>
      </c>
      <c r="C2418" s="6" t="s">
        <v>7206</v>
      </c>
      <c r="D2418" s="6" t="str">
        <f>"152326196804226868"</f>
        <v>152326196804226868</v>
      </c>
      <c r="E2418" s="5" t="s">
        <v>15</v>
      </c>
      <c r="F2418" s="5">
        <v>2020</v>
      </c>
      <c r="G2418" s="14" t="s">
        <v>16</v>
      </c>
      <c r="H2418" s="17">
        <v>200</v>
      </c>
      <c r="I2418" s="17">
        <v>200</v>
      </c>
      <c r="J2418" s="6"/>
      <c r="K2418" s="10"/>
      <c r="L2418" s="10">
        <v>20201118</v>
      </c>
      <c r="M2418" s="36" t="str">
        <f t="shared" si="37"/>
        <v>19680422</v>
      </c>
    </row>
    <row r="2419" s="1" customFormat="1" spans="1:13">
      <c r="A2419" s="2">
        <v>8009</v>
      </c>
      <c r="B2419" s="5" t="s">
        <v>15086</v>
      </c>
      <c r="C2419" s="6" t="s">
        <v>15284</v>
      </c>
      <c r="D2419" s="6" t="str">
        <f>"152326196804236898"</f>
        <v>152326196804236898</v>
      </c>
      <c r="E2419" s="5" t="s">
        <v>15</v>
      </c>
      <c r="F2419" s="5">
        <v>2020</v>
      </c>
      <c r="G2419" s="5" t="s">
        <v>16</v>
      </c>
      <c r="H2419" s="5">
        <v>200</v>
      </c>
      <c r="I2419" s="5">
        <v>200</v>
      </c>
      <c r="J2419" s="5"/>
      <c r="K2419" s="5"/>
      <c r="L2419" s="10">
        <v>20201118</v>
      </c>
      <c r="M2419" s="36" t="str">
        <f t="shared" si="37"/>
        <v>19680423</v>
      </c>
    </row>
    <row r="2420" s="1" customFormat="1" spans="1:13">
      <c r="A2420" s="2">
        <v>1560</v>
      </c>
      <c r="B2420" s="5" t="s">
        <v>3381</v>
      </c>
      <c r="C2420" s="9" t="s">
        <v>3685</v>
      </c>
      <c r="D2420" s="9" t="s">
        <v>3686</v>
      </c>
      <c r="E2420" s="5">
        <v>2020</v>
      </c>
      <c r="F2420" s="5">
        <v>2020</v>
      </c>
      <c r="G2420" s="14" t="s">
        <v>16</v>
      </c>
      <c r="H2420" s="6">
        <v>200</v>
      </c>
      <c r="I2420" s="6">
        <v>200</v>
      </c>
      <c r="J2420" s="5"/>
      <c r="K2420" s="13"/>
      <c r="L2420" s="10">
        <v>20201118</v>
      </c>
      <c r="M2420" s="36" t="str">
        <f t="shared" si="37"/>
        <v>19680424</v>
      </c>
    </row>
    <row r="2421" s="1" customFormat="1" spans="1:13">
      <c r="A2421" s="2">
        <v>6972</v>
      </c>
      <c r="B2421" s="5" t="s">
        <v>13533</v>
      </c>
      <c r="C2421" s="32" t="s">
        <v>13720</v>
      </c>
      <c r="D2421" s="32" t="str">
        <f>"152326196804247124"</f>
        <v>152326196804247124</v>
      </c>
      <c r="E2421" s="5">
        <v>2020</v>
      </c>
      <c r="F2421" s="5">
        <v>2020</v>
      </c>
      <c r="G2421" s="9" t="s">
        <v>2480</v>
      </c>
      <c r="H2421" s="32">
        <v>200</v>
      </c>
      <c r="I2421" s="32">
        <v>200</v>
      </c>
      <c r="J2421" s="32"/>
      <c r="K2421" s="10"/>
      <c r="L2421" s="10">
        <v>20201118</v>
      </c>
      <c r="M2421" s="36" t="str">
        <f t="shared" si="37"/>
        <v>19680424</v>
      </c>
    </row>
    <row r="2422" s="1" customFormat="1" spans="1:13">
      <c r="A2422" s="2">
        <v>6590</v>
      </c>
      <c r="B2422" s="5" t="s">
        <v>13027</v>
      </c>
      <c r="C2422" s="15" t="s">
        <v>13170</v>
      </c>
      <c r="D2422" s="15" t="s">
        <v>13171</v>
      </c>
      <c r="E2422" s="5">
        <v>2020</v>
      </c>
      <c r="F2422" s="5">
        <v>2020</v>
      </c>
      <c r="G2422" s="14" t="s">
        <v>16</v>
      </c>
      <c r="H2422" s="15">
        <v>200</v>
      </c>
      <c r="I2422" s="15">
        <v>200</v>
      </c>
      <c r="J2422" s="5"/>
      <c r="K2422" s="10"/>
      <c r="L2422" s="10">
        <v>20201118</v>
      </c>
      <c r="M2422" s="36" t="str">
        <f t="shared" si="37"/>
        <v>19680425</v>
      </c>
    </row>
    <row r="2423" s="1" customFormat="1" spans="1:13">
      <c r="A2423" s="2">
        <v>2595</v>
      </c>
      <c r="B2423" s="32" t="s">
        <v>5602</v>
      </c>
      <c r="C2423" s="9" t="s">
        <v>5724</v>
      </c>
      <c r="D2423" s="9" t="s">
        <v>5725</v>
      </c>
      <c r="E2423" s="32">
        <v>2020</v>
      </c>
      <c r="F2423" s="32">
        <v>2020</v>
      </c>
      <c r="G2423" s="32" t="s">
        <v>16</v>
      </c>
      <c r="H2423" s="9">
        <v>200</v>
      </c>
      <c r="I2423" s="9">
        <v>200</v>
      </c>
      <c r="J2423" s="32"/>
      <c r="K2423" s="52"/>
      <c r="L2423" s="10">
        <v>20201118</v>
      </c>
      <c r="M2423" s="36" t="str">
        <f t="shared" si="37"/>
        <v>19680428</v>
      </c>
    </row>
    <row r="2424" s="1" customFormat="1" spans="1:13">
      <c r="A2424" s="2">
        <v>1816</v>
      </c>
      <c r="B2424" s="5" t="s">
        <v>4189</v>
      </c>
      <c r="C2424" s="16" t="s">
        <v>4197</v>
      </c>
      <c r="D2424" s="16" t="s">
        <v>4198</v>
      </c>
      <c r="E2424" s="5" t="s">
        <v>15</v>
      </c>
      <c r="F2424" s="5" t="s">
        <v>15</v>
      </c>
      <c r="G2424" s="5" t="s">
        <v>3359</v>
      </c>
      <c r="H2424" s="16">
        <v>200</v>
      </c>
      <c r="I2424" s="16">
        <v>200</v>
      </c>
      <c r="J2424" s="5"/>
      <c r="K2424" s="10"/>
      <c r="L2424" s="10">
        <v>20201118</v>
      </c>
      <c r="M2424" s="36" t="str">
        <f t="shared" si="37"/>
        <v>19680503</v>
      </c>
    </row>
    <row r="2425" s="1" customFormat="1" spans="1:13">
      <c r="A2425" s="2">
        <v>2596</v>
      </c>
      <c r="B2425" s="32" t="s">
        <v>5602</v>
      </c>
      <c r="C2425" s="9" t="s">
        <v>5726</v>
      </c>
      <c r="D2425" s="9" t="s">
        <v>5727</v>
      </c>
      <c r="E2425" s="32">
        <v>2020</v>
      </c>
      <c r="F2425" s="32">
        <v>2020</v>
      </c>
      <c r="G2425" s="32" t="s">
        <v>16</v>
      </c>
      <c r="H2425" s="9">
        <v>200</v>
      </c>
      <c r="I2425" s="9">
        <v>200</v>
      </c>
      <c r="J2425" s="32"/>
      <c r="K2425" s="52"/>
      <c r="L2425" s="10">
        <v>20201118</v>
      </c>
      <c r="M2425" s="36" t="str">
        <f t="shared" si="37"/>
        <v>19680503</v>
      </c>
    </row>
    <row r="2426" s="1" customFormat="1" spans="1:13">
      <c r="A2426" s="2">
        <v>7556</v>
      </c>
      <c r="B2426" s="5" t="s">
        <v>14402</v>
      </c>
      <c r="C2426" s="5" t="s">
        <v>7620</v>
      </c>
      <c r="D2426" s="5" t="s">
        <v>14716</v>
      </c>
      <c r="E2426" s="5">
        <v>2020</v>
      </c>
      <c r="F2426" s="5">
        <v>2020</v>
      </c>
      <c r="G2426" s="17" t="s">
        <v>16</v>
      </c>
      <c r="H2426" s="5">
        <v>500</v>
      </c>
      <c r="I2426" s="5">
        <v>500</v>
      </c>
      <c r="J2426" s="5"/>
      <c r="K2426" s="10"/>
      <c r="L2426" s="10">
        <v>20201118</v>
      </c>
      <c r="M2426" s="36" t="str">
        <f t="shared" si="37"/>
        <v>19680504</v>
      </c>
    </row>
    <row r="2427" s="1" customFormat="1" spans="1:13">
      <c r="A2427" s="2">
        <v>2597</v>
      </c>
      <c r="B2427" s="32" t="s">
        <v>5602</v>
      </c>
      <c r="C2427" s="9" t="s">
        <v>5728</v>
      </c>
      <c r="D2427" s="9" t="s">
        <v>5729</v>
      </c>
      <c r="E2427" s="32">
        <v>2020</v>
      </c>
      <c r="F2427" s="32">
        <v>2020</v>
      </c>
      <c r="G2427" s="32" t="s">
        <v>16</v>
      </c>
      <c r="H2427" s="9">
        <v>200</v>
      </c>
      <c r="I2427" s="9">
        <v>200</v>
      </c>
      <c r="J2427" s="32"/>
      <c r="K2427" s="52"/>
      <c r="L2427" s="10">
        <v>20201118</v>
      </c>
      <c r="M2427" s="36" t="str">
        <f t="shared" si="37"/>
        <v>19680505</v>
      </c>
    </row>
    <row r="2428" s="1" customFormat="1" spans="1:13">
      <c r="A2428" s="2">
        <v>3761</v>
      </c>
      <c r="B2428" s="5" t="s">
        <v>7412</v>
      </c>
      <c r="C2428" s="5" t="s">
        <v>7772</v>
      </c>
      <c r="D2428" s="5" t="s">
        <v>7773</v>
      </c>
      <c r="E2428" s="6">
        <v>2020</v>
      </c>
      <c r="F2428" s="6">
        <v>2020</v>
      </c>
      <c r="G2428" s="5" t="s">
        <v>3359</v>
      </c>
      <c r="H2428" s="5">
        <v>200</v>
      </c>
      <c r="I2428" s="5">
        <v>200</v>
      </c>
      <c r="J2428" s="5"/>
      <c r="K2428" s="5"/>
      <c r="L2428" s="10">
        <v>20201118</v>
      </c>
      <c r="M2428" s="36" t="str">
        <f t="shared" si="37"/>
        <v>19680505</v>
      </c>
    </row>
    <row r="2429" s="1" customFormat="1" ht="14.25" spans="1:13">
      <c r="A2429" s="2">
        <v>5294</v>
      </c>
      <c r="B2429" s="33" t="s">
        <v>10535</v>
      </c>
      <c r="C2429" s="34" t="s">
        <v>10704</v>
      </c>
      <c r="D2429" s="34" t="s">
        <v>10705</v>
      </c>
      <c r="E2429" s="35">
        <v>2020</v>
      </c>
      <c r="F2429" s="35">
        <v>2020</v>
      </c>
      <c r="G2429" s="35" t="s">
        <v>16</v>
      </c>
      <c r="H2429" s="34">
        <v>200</v>
      </c>
      <c r="I2429" s="34">
        <v>200</v>
      </c>
      <c r="J2429" s="49"/>
      <c r="K2429" s="10"/>
      <c r="L2429" s="10">
        <v>20201118</v>
      </c>
      <c r="M2429" s="36" t="str">
        <f t="shared" si="37"/>
        <v>19680506</v>
      </c>
    </row>
    <row r="2430" s="1" customFormat="1" spans="1:13">
      <c r="A2430" s="2">
        <v>837</v>
      </c>
      <c r="B2430" s="29" t="s">
        <v>1040</v>
      </c>
      <c r="C2430" s="29" t="s">
        <v>2160</v>
      </c>
      <c r="D2430" s="29" t="s">
        <v>2161</v>
      </c>
      <c r="E2430" s="30">
        <v>2020</v>
      </c>
      <c r="F2430" s="30">
        <v>2020</v>
      </c>
      <c r="G2430" s="29" t="s">
        <v>16</v>
      </c>
      <c r="H2430" s="29">
        <v>200</v>
      </c>
      <c r="I2430" s="29">
        <v>200</v>
      </c>
      <c r="J2430" s="32"/>
      <c r="K2430" s="32"/>
      <c r="L2430" s="2" t="s">
        <v>330</v>
      </c>
      <c r="M2430" s="36" t="str">
        <f t="shared" si="37"/>
        <v>19680508</v>
      </c>
    </row>
    <row r="2431" s="1" customFormat="1" spans="1:13">
      <c r="A2431" s="2">
        <v>6301</v>
      </c>
      <c r="B2431" s="5" t="s">
        <v>12263</v>
      </c>
      <c r="C2431" s="5" t="s">
        <v>12621</v>
      </c>
      <c r="D2431" s="5" t="s">
        <v>12622</v>
      </c>
      <c r="E2431" s="5" t="s">
        <v>10250</v>
      </c>
      <c r="F2431" s="5">
        <v>2020</v>
      </c>
      <c r="G2431" s="17" t="s">
        <v>3359</v>
      </c>
      <c r="H2431" s="5">
        <v>200</v>
      </c>
      <c r="I2431" s="5">
        <v>200</v>
      </c>
      <c r="J2431" s="5" t="s">
        <v>108</v>
      </c>
      <c r="K2431" s="5"/>
      <c r="L2431" s="10">
        <v>20201118</v>
      </c>
      <c r="M2431" s="36" t="str">
        <f t="shared" si="37"/>
        <v>19680508</v>
      </c>
    </row>
    <row r="2432" s="1" customFormat="1" spans="1:13">
      <c r="A2432" s="2">
        <v>2598</v>
      </c>
      <c r="B2432" s="32" t="s">
        <v>5602</v>
      </c>
      <c r="C2432" s="9" t="s">
        <v>5730</v>
      </c>
      <c r="D2432" s="9" t="s">
        <v>5731</v>
      </c>
      <c r="E2432" s="32">
        <v>2020</v>
      </c>
      <c r="F2432" s="32">
        <v>2020</v>
      </c>
      <c r="G2432" s="32" t="s">
        <v>16</v>
      </c>
      <c r="H2432" s="9">
        <v>200</v>
      </c>
      <c r="I2432" s="9">
        <v>200</v>
      </c>
      <c r="J2432" s="32"/>
      <c r="K2432" s="52"/>
      <c r="L2432" s="10">
        <v>20201118</v>
      </c>
      <c r="M2432" s="36" t="str">
        <f t="shared" si="37"/>
        <v>19680509</v>
      </c>
    </row>
    <row r="2433" s="1" customFormat="1" ht="14.25" spans="1:13">
      <c r="A2433" s="2">
        <v>7754</v>
      </c>
      <c r="B2433" s="5" t="s">
        <v>14875</v>
      </c>
      <c r="C2433" s="51" t="s">
        <v>14997</v>
      </c>
      <c r="D2433" s="24" t="str">
        <f>"152326196805097121"</f>
        <v>152326196805097121</v>
      </c>
      <c r="E2433" s="6" t="s">
        <v>15</v>
      </c>
      <c r="F2433" s="6">
        <v>2020</v>
      </c>
      <c r="G2433" s="24" t="s">
        <v>14877</v>
      </c>
      <c r="H2433" s="6">
        <v>200</v>
      </c>
      <c r="I2433" s="6">
        <v>200</v>
      </c>
      <c r="J2433" s="6"/>
      <c r="K2433" s="10"/>
      <c r="L2433" s="10">
        <v>20201118</v>
      </c>
      <c r="M2433" s="36" t="str">
        <f t="shared" si="37"/>
        <v>19680509</v>
      </c>
    </row>
    <row r="2434" s="1" customFormat="1" ht="14.25" spans="1:13">
      <c r="A2434" s="2">
        <v>2139</v>
      </c>
      <c r="B2434" s="5" t="s">
        <v>4189</v>
      </c>
      <c r="C2434" s="17" t="s">
        <v>4331</v>
      </c>
      <c r="D2434" s="318" t="s">
        <v>4827</v>
      </c>
      <c r="E2434" s="5" t="s">
        <v>310</v>
      </c>
      <c r="F2434" s="5" t="s">
        <v>15</v>
      </c>
      <c r="G2434" s="5" t="s">
        <v>289</v>
      </c>
      <c r="H2434" s="6" t="s">
        <v>311</v>
      </c>
      <c r="I2434" s="6">
        <v>2000</v>
      </c>
      <c r="J2434" s="6"/>
      <c r="K2434" s="10"/>
      <c r="L2434" s="10">
        <v>20201118</v>
      </c>
      <c r="M2434" s="36" t="str">
        <f t="shared" ref="M2434:M2497" si="38">MID(D2434,7,8)</f>
        <v>19680510</v>
      </c>
    </row>
    <row r="2435" s="1" customFormat="1" spans="1:13">
      <c r="A2435" s="2">
        <v>8000</v>
      </c>
      <c r="B2435" s="5" t="s">
        <v>15086</v>
      </c>
      <c r="C2435" s="6" t="s">
        <v>15275</v>
      </c>
      <c r="D2435" s="6" t="str">
        <f>"152326196805106876"</f>
        <v>152326196805106876</v>
      </c>
      <c r="E2435" s="5" t="s">
        <v>15</v>
      </c>
      <c r="F2435" s="5">
        <v>2020</v>
      </c>
      <c r="G2435" s="5" t="s">
        <v>16</v>
      </c>
      <c r="H2435" s="5">
        <v>200</v>
      </c>
      <c r="I2435" s="5">
        <v>200</v>
      </c>
      <c r="J2435" s="5"/>
      <c r="K2435" s="5"/>
      <c r="L2435" s="10">
        <v>20201118</v>
      </c>
      <c r="M2435" s="36" t="str">
        <f t="shared" si="38"/>
        <v>19680510</v>
      </c>
    </row>
    <row r="2436" s="1" customFormat="1" spans="1:13">
      <c r="A2436" s="2">
        <v>7147</v>
      </c>
      <c r="B2436" s="5" t="s">
        <v>13908</v>
      </c>
      <c r="C2436" s="5" t="s">
        <v>13953</v>
      </c>
      <c r="D2436" s="5" t="s">
        <v>13954</v>
      </c>
      <c r="E2436" s="5" t="s">
        <v>15</v>
      </c>
      <c r="F2436" s="5" t="s">
        <v>15</v>
      </c>
      <c r="G2436" s="14" t="s">
        <v>16</v>
      </c>
      <c r="H2436" s="17">
        <v>200</v>
      </c>
      <c r="I2436" s="17">
        <v>200</v>
      </c>
      <c r="J2436" s="5"/>
      <c r="K2436" s="10"/>
      <c r="L2436" s="10">
        <v>20201118</v>
      </c>
      <c r="M2436" s="36" t="str">
        <f t="shared" si="38"/>
        <v>19680511</v>
      </c>
    </row>
    <row r="2437" s="1" customFormat="1" spans="1:13">
      <c r="A2437" s="2">
        <v>3095</v>
      </c>
      <c r="B2437" s="3" t="s">
        <v>6671</v>
      </c>
      <c r="C2437" s="9" t="s">
        <v>6714</v>
      </c>
      <c r="D2437" s="9" t="s">
        <v>6715</v>
      </c>
      <c r="E2437" s="3" t="s">
        <v>15</v>
      </c>
      <c r="F2437" s="3" t="s">
        <v>15</v>
      </c>
      <c r="G2437" s="6" t="s">
        <v>3359</v>
      </c>
      <c r="H2437" s="9">
        <v>200</v>
      </c>
      <c r="I2437" s="9">
        <v>200</v>
      </c>
      <c r="J2437" s="6"/>
      <c r="K2437" s="5"/>
      <c r="L2437" s="10">
        <v>20201118</v>
      </c>
      <c r="M2437" s="36" t="str">
        <f t="shared" si="38"/>
        <v>19680515</v>
      </c>
    </row>
    <row r="2438" s="1" customFormat="1" spans="1:13">
      <c r="A2438" s="2">
        <v>3762</v>
      </c>
      <c r="B2438" s="5" t="s">
        <v>7412</v>
      </c>
      <c r="C2438" s="5" t="s">
        <v>7774</v>
      </c>
      <c r="D2438" s="5" t="s">
        <v>7775</v>
      </c>
      <c r="E2438" s="6">
        <v>2020</v>
      </c>
      <c r="F2438" s="6">
        <v>2020</v>
      </c>
      <c r="G2438" s="5" t="s">
        <v>3359</v>
      </c>
      <c r="H2438" s="5">
        <v>200</v>
      </c>
      <c r="I2438" s="5">
        <v>200</v>
      </c>
      <c r="J2438" s="5"/>
      <c r="K2438" s="5"/>
      <c r="L2438" s="10">
        <v>20201118</v>
      </c>
      <c r="M2438" s="36" t="str">
        <f t="shared" si="38"/>
        <v>19680515</v>
      </c>
    </row>
    <row r="2439" s="1" customFormat="1" spans="1:13">
      <c r="A2439" s="2">
        <v>4700</v>
      </c>
      <c r="B2439" s="6" t="s">
        <v>9015</v>
      </c>
      <c r="C2439" s="6" t="s">
        <v>9560</v>
      </c>
      <c r="D2439" s="6" t="s">
        <v>9561</v>
      </c>
      <c r="E2439" s="6">
        <v>2020</v>
      </c>
      <c r="F2439" s="6">
        <v>2020</v>
      </c>
      <c r="G2439" s="6" t="s">
        <v>16</v>
      </c>
      <c r="H2439" s="6">
        <v>200</v>
      </c>
      <c r="I2439" s="6">
        <v>200</v>
      </c>
      <c r="J2439" s="6"/>
      <c r="K2439" s="6"/>
      <c r="L2439" s="10">
        <v>20201118</v>
      </c>
      <c r="M2439" s="36" t="str">
        <f t="shared" si="38"/>
        <v>19680517</v>
      </c>
    </row>
    <row r="2440" s="1" customFormat="1" spans="1:13">
      <c r="A2440" s="2">
        <v>4693</v>
      </c>
      <c r="B2440" s="6" t="s">
        <v>9015</v>
      </c>
      <c r="C2440" s="6" t="s">
        <v>9546</v>
      </c>
      <c r="D2440" s="6" t="s">
        <v>9547</v>
      </c>
      <c r="E2440" s="6">
        <v>2020</v>
      </c>
      <c r="F2440" s="6">
        <v>2020</v>
      </c>
      <c r="G2440" s="6" t="s">
        <v>16</v>
      </c>
      <c r="H2440" s="6">
        <v>200</v>
      </c>
      <c r="I2440" s="6">
        <v>200</v>
      </c>
      <c r="J2440" s="6"/>
      <c r="K2440" s="6"/>
      <c r="L2440" s="10">
        <v>20201118</v>
      </c>
      <c r="M2440" s="36" t="str">
        <f t="shared" si="38"/>
        <v>19680520</v>
      </c>
    </row>
    <row r="2441" s="1" customFormat="1" spans="1:13">
      <c r="A2441" s="2">
        <v>3763</v>
      </c>
      <c r="B2441" s="5" t="s">
        <v>7412</v>
      </c>
      <c r="C2441" s="5" t="s">
        <v>7776</v>
      </c>
      <c r="D2441" s="5" t="s">
        <v>7777</v>
      </c>
      <c r="E2441" s="6">
        <v>2020</v>
      </c>
      <c r="F2441" s="6">
        <v>2020</v>
      </c>
      <c r="G2441" s="5" t="s">
        <v>3359</v>
      </c>
      <c r="H2441" s="5">
        <v>200</v>
      </c>
      <c r="I2441" s="5">
        <v>200</v>
      </c>
      <c r="J2441" s="5"/>
      <c r="K2441" s="5"/>
      <c r="L2441" s="10">
        <v>20201118</v>
      </c>
      <c r="M2441" s="36" t="str">
        <f t="shared" si="38"/>
        <v>19680523</v>
      </c>
    </row>
    <row r="2442" s="1" customFormat="1" spans="1:13">
      <c r="A2442" s="2">
        <v>4433</v>
      </c>
      <c r="B2442" s="6" t="s">
        <v>9015</v>
      </c>
      <c r="C2442" s="6" t="s">
        <v>3565</v>
      </c>
      <c r="D2442" s="6" t="s">
        <v>9055</v>
      </c>
      <c r="E2442" s="6">
        <v>2020</v>
      </c>
      <c r="F2442" s="6">
        <v>2020</v>
      </c>
      <c r="G2442" s="6" t="s">
        <v>16</v>
      </c>
      <c r="H2442" s="6">
        <v>200</v>
      </c>
      <c r="I2442" s="6">
        <v>200</v>
      </c>
      <c r="J2442" s="6"/>
      <c r="K2442" s="6"/>
      <c r="L2442" s="10">
        <v>20201118</v>
      </c>
      <c r="M2442" s="36" t="str">
        <f t="shared" si="38"/>
        <v>19680523</v>
      </c>
    </row>
    <row r="2443" s="1" customFormat="1" spans="1:13">
      <c r="A2443" s="2">
        <v>7170</v>
      </c>
      <c r="B2443" s="5" t="s">
        <v>13908</v>
      </c>
      <c r="C2443" s="5" t="s">
        <v>4069</v>
      </c>
      <c r="D2443" s="5" t="s">
        <v>13996</v>
      </c>
      <c r="E2443" s="5" t="s">
        <v>15</v>
      </c>
      <c r="F2443" s="5" t="s">
        <v>15</v>
      </c>
      <c r="G2443" s="14" t="s">
        <v>16</v>
      </c>
      <c r="H2443" s="17">
        <v>200</v>
      </c>
      <c r="I2443" s="17">
        <v>200</v>
      </c>
      <c r="J2443" s="5"/>
      <c r="K2443" s="10"/>
      <c r="L2443" s="10">
        <v>20201118</v>
      </c>
      <c r="M2443" s="36" t="str">
        <f t="shared" si="38"/>
        <v>19680524</v>
      </c>
    </row>
    <row r="2444" s="1" customFormat="1" spans="1:13">
      <c r="A2444" s="2">
        <v>3764</v>
      </c>
      <c r="B2444" s="5" t="s">
        <v>7412</v>
      </c>
      <c r="C2444" s="5" t="s">
        <v>7778</v>
      </c>
      <c r="D2444" s="5" t="s">
        <v>7779</v>
      </c>
      <c r="E2444" s="6">
        <v>2020</v>
      </c>
      <c r="F2444" s="6">
        <v>2020</v>
      </c>
      <c r="G2444" s="5" t="s">
        <v>3359</v>
      </c>
      <c r="H2444" s="5">
        <v>200</v>
      </c>
      <c r="I2444" s="5">
        <v>200</v>
      </c>
      <c r="J2444" s="5"/>
      <c r="K2444" s="5"/>
      <c r="L2444" s="10">
        <v>20201118</v>
      </c>
      <c r="M2444" s="36" t="str">
        <f t="shared" si="38"/>
        <v>19680525</v>
      </c>
    </row>
    <row r="2445" s="1" customFormat="1" spans="1:13">
      <c r="A2445" s="2">
        <v>690</v>
      </c>
      <c r="B2445" s="29" t="s">
        <v>1040</v>
      </c>
      <c r="C2445" s="47" t="s">
        <v>1722</v>
      </c>
      <c r="D2445" s="47" t="s">
        <v>1723</v>
      </c>
      <c r="E2445" s="30">
        <v>2020</v>
      </c>
      <c r="F2445" s="30">
        <v>2020</v>
      </c>
      <c r="G2445" s="29" t="s">
        <v>16</v>
      </c>
      <c r="H2445" s="29">
        <v>200</v>
      </c>
      <c r="I2445" s="29">
        <v>200</v>
      </c>
      <c r="J2445" s="29"/>
      <c r="K2445" s="54"/>
      <c r="L2445" s="2" t="s">
        <v>330</v>
      </c>
      <c r="M2445" s="36" t="str">
        <f t="shared" si="38"/>
        <v>19680528</v>
      </c>
    </row>
    <row r="2446" s="1" customFormat="1" spans="1:13">
      <c r="A2446" s="2">
        <v>5633</v>
      </c>
      <c r="B2446" s="30" t="s">
        <v>11090</v>
      </c>
      <c r="C2446" s="30" t="s">
        <v>11354</v>
      </c>
      <c r="D2446" s="30" t="s">
        <v>11355</v>
      </c>
      <c r="E2446" s="5" t="s">
        <v>15</v>
      </c>
      <c r="F2446" s="5" t="s">
        <v>10250</v>
      </c>
      <c r="G2446" s="6" t="s">
        <v>16</v>
      </c>
      <c r="H2446" s="32">
        <v>200</v>
      </c>
      <c r="I2446" s="32">
        <v>200</v>
      </c>
      <c r="J2446" s="6"/>
      <c r="K2446" s="48"/>
      <c r="L2446" s="10">
        <v>20201118</v>
      </c>
      <c r="M2446" s="36" t="str">
        <f t="shared" si="38"/>
        <v>19680529</v>
      </c>
    </row>
    <row r="2447" s="1" customFormat="1" ht="14.25" spans="1:13">
      <c r="A2447" s="2">
        <v>2837</v>
      </c>
      <c r="B2447" s="6" t="s">
        <v>6075</v>
      </c>
      <c r="C2447" s="25" t="s">
        <v>6201</v>
      </c>
      <c r="D2447" s="26" t="s">
        <v>6202</v>
      </c>
      <c r="E2447" s="5" t="s">
        <v>15</v>
      </c>
      <c r="F2447" s="5">
        <v>2020</v>
      </c>
      <c r="G2447" s="6" t="s">
        <v>16</v>
      </c>
      <c r="H2447" s="6">
        <v>200</v>
      </c>
      <c r="I2447" s="6">
        <v>200</v>
      </c>
      <c r="J2447" s="6"/>
      <c r="K2447" s="10"/>
      <c r="L2447" s="10">
        <v>20201118</v>
      </c>
      <c r="M2447" s="36" t="str">
        <f t="shared" si="38"/>
        <v>19680602</v>
      </c>
    </row>
    <row r="2448" s="1" customFormat="1" spans="1:13">
      <c r="A2448" s="2">
        <v>6591</v>
      </c>
      <c r="B2448" s="5" t="s">
        <v>13027</v>
      </c>
      <c r="C2448" s="15" t="s">
        <v>13172</v>
      </c>
      <c r="D2448" s="15" t="s">
        <v>13173</v>
      </c>
      <c r="E2448" s="5">
        <v>2020</v>
      </c>
      <c r="F2448" s="5">
        <v>2020</v>
      </c>
      <c r="G2448" s="14" t="s">
        <v>16</v>
      </c>
      <c r="H2448" s="15">
        <v>200</v>
      </c>
      <c r="I2448" s="15">
        <v>200</v>
      </c>
      <c r="J2448" s="5"/>
      <c r="K2448" s="10"/>
      <c r="L2448" s="10">
        <v>20201118</v>
      </c>
      <c r="M2448" s="36" t="str">
        <f t="shared" si="38"/>
        <v>19680602</v>
      </c>
    </row>
    <row r="2449" s="1" customFormat="1" ht="14.25" spans="1:13">
      <c r="A2449" s="2">
        <v>7747</v>
      </c>
      <c r="B2449" s="5" t="s">
        <v>14875</v>
      </c>
      <c r="C2449" s="51" t="s">
        <v>14989</v>
      </c>
      <c r="D2449" s="24" t="str">
        <f>"152326196806057121"</f>
        <v>152326196806057121</v>
      </c>
      <c r="E2449" s="6" t="s">
        <v>15</v>
      </c>
      <c r="F2449" s="6">
        <v>2020</v>
      </c>
      <c r="G2449" s="24" t="s">
        <v>14877</v>
      </c>
      <c r="H2449" s="6">
        <v>200</v>
      </c>
      <c r="I2449" s="6">
        <v>200</v>
      </c>
      <c r="J2449" s="6"/>
      <c r="K2449" s="10"/>
      <c r="L2449" s="10">
        <v>20201118</v>
      </c>
      <c r="M2449" s="36" t="str">
        <f t="shared" si="38"/>
        <v>19680605</v>
      </c>
    </row>
    <row r="2450" s="1" customFormat="1" spans="1:13">
      <c r="A2450" s="2">
        <v>544</v>
      </c>
      <c r="B2450" s="29" t="s">
        <v>1040</v>
      </c>
      <c r="C2450" s="29" t="s">
        <v>1365</v>
      </c>
      <c r="D2450" s="29" t="s">
        <v>1366</v>
      </c>
      <c r="E2450" s="30">
        <v>2020</v>
      </c>
      <c r="F2450" s="30">
        <v>2020</v>
      </c>
      <c r="G2450" s="29" t="s">
        <v>16</v>
      </c>
      <c r="H2450" s="29">
        <v>200</v>
      </c>
      <c r="I2450" s="29">
        <v>200</v>
      </c>
      <c r="J2450" s="29"/>
      <c r="K2450" s="47"/>
      <c r="L2450" s="2" t="s">
        <v>330</v>
      </c>
      <c r="M2450" s="36" t="str">
        <f t="shared" si="38"/>
        <v>19680606</v>
      </c>
    </row>
    <row r="2451" s="1" customFormat="1" spans="1:13">
      <c r="A2451" s="2">
        <v>4532</v>
      </c>
      <c r="B2451" s="6" t="s">
        <v>9015</v>
      </c>
      <c r="C2451" s="6" t="s">
        <v>9245</v>
      </c>
      <c r="D2451" s="6" t="s">
        <v>9246</v>
      </c>
      <c r="E2451" s="6">
        <v>2020</v>
      </c>
      <c r="F2451" s="6">
        <v>2020</v>
      </c>
      <c r="G2451" s="6" t="s">
        <v>16</v>
      </c>
      <c r="H2451" s="6">
        <v>200</v>
      </c>
      <c r="I2451" s="6">
        <v>200</v>
      </c>
      <c r="J2451" s="6"/>
      <c r="K2451" s="6"/>
      <c r="L2451" s="10">
        <v>20201118</v>
      </c>
      <c r="M2451" s="36" t="str">
        <f t="shared" si="38"/>
        <v>19680606</v>
      </c>
    </row>
    <row r="2452" s="1" customFormat="1" ht="14.25" spans="1:13">
      <c r="A2452" s="2">
        <v>7748</v>
      </c>
      <c r="B2452" s="5" t="s">
        <v>14875</v>
      </c>
      <c r="C2452" s="51" t="s">
        <v>14990</v>
      </c>
      <c r="D2452" s="24" t="str">
        <f>"152326196806067143"</f>
        <v>152326196806067143</v>
      </c>
      <c r="E2452" s="6" t="s">
        <v>15</v>
      </c>
      <c r="F2452" s="6">
        <v>2020</v>
      </c>
      <c r="G2452" s="24" t="s">
        <v>14877</v>
      </c>
      <c r="H2452" s="6">
        <v>200</v>
      </c>
      <c r="I2452" s="6">
        <v>200</v>
      </c>
      <c r="J2452" s="6"/>
      <c r="K2452" s="10"/>
      <c r="L2452" s="10">
        <v>20201118</v>
      </c>
      <c r="M2452" s="36" t="str">
        <f t="shared" si="38"/>
        <v>19680606</v>
      </c>
    </row>
    <row r="2453" s="1" customFormat="1" spans="1:13">
      <c r="A2453" s="2">
        <v>1561</v>
      </c>
      <c r="B2453" s="5" t="s">
        <v>3381</v>
      </c>
      <c r="C2453" s="9" t="s">
        <v>3687</v>
      </c>
      <c r="D2453" s="9" t="s">
        <v>3688</v>
      </c>
      <c r="E2453" s="5">
        <v>2020</v>
      </c>
      <c r="F2453" s="5">
        <v>2020</v>
      </c>
      <c r="G2453" s="14" t="s">
        <v>16</v>
      </c>
      <c r="H2453" s="6">
        <v>200</v>
      </c>
      <c r="I2453" s="6">
        <v>200</v>
      </c>
      <c r="J2453" s="5"/>
      <c r="K2453" s="13"/>
      <c r="L2453" s="10">
        <v>20201118</v>
      </c>
      <c r="M2453" s="36" t="str">
        <f t="shared" si="38"/>
        <v>19680607</v>
      </c>
    </row>
    <row r="2454" s="1" customFormat="1" spans="1:13">
      <c r="A2454" s="2">
        <v>3765</v>
      </c>
      <c r="B2454" s="5" t="s">
        <v>7412</v>
      </c>
      <c r="C2454" s="5" t="s">
        <v>7780</v>
      </c>
      <c r="D2454" s="5" t="s">
        <v>7781</v>
      </c>
      <c r="E2454" s="6">
        <v>2020</v>
      </c>
      <c r="F2454" s="6">
        <v>2020</v>
      </c>
      <c r="G2454" s="5" t="s">
        <v>3359</v>
      </c>
      <c r="H2454" s="5">
        <v>200</v>
      </c>
      <c r="I2454" s="5">
        <v>200</v>
      </c>
      <c r="J2454" s="5"/>
      <c r="K2454" s="5"/>
      <c r="L2454" s="10">
        <v>20201118</v>
      </c>
      <c r="M2454" s="36" t="str">
        <f t="shared" si="38"/>
        <v>19680607</v>
      </c>
    </row>
    <row r="2455" s="1" customFormat="1" spans="1:13">
      <c r="A2455" s="2">
        <v>6777</v>
      </c>
      <c r="B2455" s="5" t="s">
        <v>13027</v>
      </c>
      <c r="C2455" s="15" t="s">
        <v>13514</v>
      </c>
      <c r="D2455" s="15" t="s">
        <v>13515</v>
      </c>
      <c r="E2455" s="5">
        <v>2020</v>
      </c>
      <c r="F2455" s="5">
        <v>2020</v>
      </c>
      <c r="G2455" s="14" t="s">
        <v>16</v>
      </c>
      <c r="H2455" s="15">
        <v>200</v>
      </c>
      <c r="I2455" s="15">
        <v>200</v>
      </c>
      <c r="J2455" s="5"/>
      <c r="K2455" s="10"/>
      <c r="L2455" s="10">
        <v>20201118</v>
      </c>
      <c r="M2455" s="36" t="str">
        <f t="shared" si="38"/>
        <v>19680608</v>
      </c>
    </row>
    <row r="2456" s="1" customFormat="1" spans="1:13">
      <c r="A2456" s="2">
        <v>4467</v>
      </c>
      <c r="B2456" s="6" t="s">
        <v>9015</v>
      </c>
      <c r="C2456" s="6" t="s">
        <v>8224</v>
      </c>
      <c r="D2456" s="6" t="s">
        <v>9119</v>
      </c>
      <c r="E2456" s="6">
        <v>2020</v>
      </c>
      <c r="F2456" s="6">
        <v>2020</v>
      </c>
      <c r="G2456" s="6" t="s">
        <v>16</v>
      </c>
      <c r="H2456" s="6">
        <v>200</v>
      </c>
      <c r="I2456" s="6">
        <v>200</v>
      </c>
      <c r="J2456" s="6"/>
      <c r="K2456" s="6"/>
      <c r="L2456" s="10">
        <v>20201118</v>
      </c>
      <c r="M2456" s="36" t="str">
        <f t="shared" si="38"/>
        <v>19680610</v>
      </c>
    </row>
    <row r="2457" s="1" customFormat="1" spans="1:13">
      <c r="A2457" s="2">
        <v>74</v>
      </c>
      <c r="B2457" s="3" t="s">
        <v>12</v>
      </c>
      <c r="C2457" s="3" t="s">
        <v>163</v>
      </c>
      <c r="D2457" s="3" t="s">
        <v>164</v>
      </c>
      <c r="E2457" s="3" t="s">
        <v>15</v>
      </c>
      <c r="F2457" s="3" t="s">
        <v>15</v>
      </c>
      <c r="G2457" s="2" t="s">
        <v>16</v>
      </c>
      <c r="H2457" s="3">
        <v>200</v>
      </c>
      <c r="I2457" s="3">
        <v>200</v>
      </c>
      <c r="J2457" s="3"/>
      <c r="K2457" s="3"/>
      <c r="L2457" s="10">
        <v>20201118</v>
      </c>
      <c r="M2457" s="36" t="str">
        <f t="shared" si="38"/>
        <v>19680611</v>
      </c>
    </row>
    <row r="2458" s="1" customFormat="1" spans="1:13">
      <c r="A2458" s="2">
        <v>2227</v>
      </c>
      <c r="B2458" s="9" t="s">
        <v>4837</v>
      </c>
      <c r="C2458" s="9" t="s">
        <v>5001</v>
      </c>
      <c r="D2458" s="9" t="s">
        <v>5002</v>
      </c>
      <c r="E2458" s="6" t="s">
        <v>15</v>
      </c>
      <c r="F2458" s="6">
        <v>2020</v>
      </c>
      <c r="G2458" s="9" t="s">
        <v>2480</v>
      </c>
      <c r="H2458" s="9">
        <v>200</v>
      </c>
      <c r="I2458" s="9">
        <v>200</v>
      </c>
      <c r="J2458" s="6"/>
      <c r="K2458" s="10"/>
      <c r="L2458" s="10">
        <v>20201118</v>
      </c>
      <c r="M2458" s="36" t="str">
        <f t="shared" si="38"/>
        <v>19680616</v>
      </c>
    </row>
    <row r="2459" s="1" customFormat="1" spans="1:13">
      <c r="A2459" s="2">
        <v>7286</v>
      </c>
      <c r="B2459" s="5" t="s">
        <v>13908</v>
      </c>
      <c r="C2459" s="5" t="s">
        <v>14211</v>
      </c>
      <c r="D2459" s="5" t="s">
        <v>14212</v>
      </c>
      <c r="E2459" s="5" t="s">
        <v>15</v>
      </c>
      <c r="F2459" s="5" t="s">
        <v>15</v>
      </c>
      <c r="G2459" s="14" t="s">
        <v>16</v>
      </c>
      <c r="H2459" s="17">
        <v>200</v>
      </c>
      <c r="I2459" s="17">
        <v>200</v>
      </c>
      <c r="J2459" s="5"/>
      <c r="K2459" s="10"/>
      <c r="L2459" s="10">
        <v>20201118</v>
      </c>
      <c r="M2459" s="36" t="str">
        <f t="shared" si="38"/>
        <v>19680617</v>
      </c>
    </row>
    <row r="2460" s="1" customFormat="1" spans="1:13">
      <c r="A2460" s="2">
        <v>8167</v>
      </c>
      <c r="B2460" s="5" t="s">
        <v>15406</v>
      </c>
      <c r="C2460" s="6" t="s">
        <v>15524</v>
      </c>
      <c r="D2460" s="293" t="s">
        <v>15525</v>
      </c>
      <c r="E2460" s="5" t="s">
        <v>15</v>
      </c>
      <c r="F2460" s="5">
        <v>2020</v>
      </c>
      <c r="G2460" s="14" t="s">
        <v>16</v>
      </c>
      <c r="H2460" s="6">
        <v>200</v>
      </c>
      <c r="I2460" s="6">
        <v>200</v>
      </c>
      <c r="J2460" s="5"/>
      <c r="K2460" s="10"/>
      <c r="L2460" s="10">
        <v>20201118</v>
      </c>
      <c r="M2460" s="36" t="str">
        <f t="shared" si="38"/>
        <v>19680617</v>
      </c>
    </row>
    <row r="2461" s="1" customFormat="1" spans="1:13">
      <c r="A2461" s="2">
        <v>483</v>
      </c>
      <c r="B2461" s="29" t="s">
        <v>1040</v>
      </c>
      <c r="C2461" s="29" t="s">
        <v>1243</v>
      </c>
      <c r="D2461" s="29" t="s">
        <v>1244</v>
      </c>
      <c r="E2461" s="30">
        <v>2020</v>
      </c>
      <c r="F2461" s="30">
        <v>2020</v>
      </c>
      <c r="G2461" s="29" t="s">
        <v>16</v>
      </c>
      <c r="H2461" s="29">
        <v>200</v>
      </c>
      <c r="I2461" s="29">
        <v>200</v>
      </c>
      <c r="J2461" s="29" t="s">
        <v>1242</v>
      </c>
      <c r="K2461" s="47"/>
      <c r="L2461" s="14" t="s">
        <v>330</v>
      </c>
      <c r="M2461" s="36" t="str">
        <f t="shared" si="38"/>
        <v>19680618</v>
      </c>
    </row>
    <row r="2462" s="1" customFormat="1" spans="1:13">
      <c r="A2462" s="2">
        <v>6974</v>
      </c>
      <c r="B2462" s="5" t="s">
        <v>13533</v>
      </c>
      <c r="C2462" s="32" t="s">
        <v>13722</v>
      </c>
      <c r="D2462" s="32" t="s">
        <v>13723</v>
      </c>
      <c r="E2462" s="5">
        <v>2020</v>
      </c>
      <c r="F2462" s="5">
        <v>2020</v>
      </c>
      <c r="G2462" s="9" t="s">
        <v>2480</v>
      </c>
      <c r="H2462" s="32">
        <v>200</v>
      </c>
      <c r="I2462" s="32">
        <v>200</v>
      </c>
      <c r="J2462" s="32"/>
      <c r="K2462" s="10"/>
      <c r="L2462" s="10">
        <v>20201118</v>
      </c>
      <c r="M2462" s="36" t="str">
        <f t="shared" si="38"/>
        <v>19680624</v>
      </c>
    </row>
    <row r="2463" s="1" customFormat="1" spans="1:13">
      <c r="A2463" s="2">
        <v>1033</v>
      </c>
      <c r="B2463" s="5" t="s">
        <v>2469</v>
      </c>
      <c r="C2463" s="9" t="s">
        <v>2657</v>
      </c>
      <c r="D2463" s="9" t="s">
        <v>2658</v>
      </c>
      <c r="E2463" s="5">
        <v>2020</v>
      </c>
      <c r="F2463" s="5">
        <v>2020</v>
      </c>
      <c r="G2463" s="9" t="s">
        <v>2480</v>
      </c>
      <c r="H2463" s="9">
        <v>200</v>
      </c>
      <c r="I2463" s="9">
        <v>200</v>
      </c>
      <c r="J2463" s="5"/>
      <c r="K2463" s="5"/>
      <c r="L2463" s="10">
        <v>20201118</v>
      </c>
      <c r="M2463" s="36" t="str">
        <f t="shared" si="38"/>
        <v>19680625</v>
      </c>
    </row>
    <row r="2464" s="1" customFormat="1" spans="1:13">
      <c r="A2464" s="2">
        <v>4804</v>
      </c>
      <c r="B2464" s="6" t="s">
        <v>9015</v>
      </c>
      <c r="C2464" s="6" t="s">
        <v>9756</v>
      </c>
      <c r="D2464" s="6" t="s">
        <v>9757</v>
      </c>
      <c r="E2464" s="6">
        <v>2020</v>
      </c>
      <c r="F2464" s="6">
        <v>2020</v>
      </c>
      <c r="G2464" s="6" t="s">
        <v>16</v>
      </c>
      <c r="H2464" s="6">
        <v>200</v>
      </c>
      <c r="I2464" s="6">
        <v>200</v>
      </c>
      <c r="J2464" s="6"/>
      <c r="K2464" s="6"/>
      <c r="L2464" s="10">
        <v>20201118</v>
      </c>
      <c r="M2464" s="36" t="str">
        <f t="shared" si="38"/>
        <v>19680625</v>
      </c>
    </row>
    <row r="2465" s="1" customFormat="1" spans="1:13">
      <c r="A2465" s="2">
        <v>8006</v>
      </c>
      <c r="B2465" s="5" t="s">
        <v>15086</v>
      </c>
      <c r="C2465" s="6" t="s">
        <v>15281</v>
      </c>
      <c r="D2465" s="6" t="str">
        <f>"152326196806266863"</f>
        <v>152326196806266863</v>
      </c>
      <c r="E2465" s="5" t="s">
        <v>15</v>
      </c>
      <c r="F2465" s="5">
        <v>2020</v>
      </c>
      <c r="G2465" s="5" t="s">
        <v>16</v>
      </c>
      <c r="H2465" s="5">
        <v>1000</v>
      </c>
      <c r="I2465" s="5">
        <v>1000</v>
      </c>
      <c r="J2465" s="5"/>
      <c r="K2465" s="5"/>
      <c r="L2465" s="10">
        <v>20201118</v>
      </c>
      <c r="M2465" s="36" t="str">
        <f t="shared" si="38"/>
        <v>19680626</v>
      </c>
    </row>
    <row r="2466" s="1" customFormat="1" spans="1:13">
      <c r="A2466" s="2">
        <v>1562</v>
      </c>
      <c r="B2466" s="5" t="s">
        <v>3381</v>
      </c>
      <c r="C2466" s="9" t="s">
        <v>3689</v>
      </c>
      <c r="D2466" s="9" t="s">
        <v>3690</v>
      </c>
      <c r="E2466" s="5">
        <v>2020</v>
      </c>
      <c r="F2466" s="5">
        <v>2020</v>
      </c>
      <c r="G2466" s="14" t="s">
        <v>16</v>
      </c>
      <c r="H2466" s="6">
        <v>200</v>
      </c>
      <c r="I2466" s="6">
        <v>200</v>
      </c>
      <c r="J2466" s="5"/>
      <c r="K2466" s="13"/>
      <c r="L2466" s="10">
        <v>20201118</v>
      </c>
      <c r="M2466" s="36" t="str">
        <f t="shared" si="38"/>
        <v>19680629</v>
      </c>
    </row>
    <row r="2467" s="1" customFormat="1" spans="1:13">
      <c r="A2467" s="2">
        <v>4504</v>
      </c>
      <c r="B2467" s="6" t="s">
        <v>9015</v>
      </c>
      <c r="C2467" s="6" t="s">
        <v>9190</v>
      </c>
      <c r="D2467" s="6" t="s">
        <v>9191</v>
      </c>
      <c r="E2467" s="6">
        <v>2020</v>
      </c>
      <c r="F2467" s="6">
        <v>2020</v>
      </c>
      <c r="G2467" s="6" t="s">
        <v>16</v>
      </c>
      <c r="H2467" s="6">
        <v>200</v>
      </c>
      <c r="I2467" s="6">
        <v>200</v>
      </c>
      <c r="J2467" s="6"/>
      <c r="K2467" s="6"/>
      <c r="L2467" s="10">
        <v>20201118</v>
      </c>
      <c r="M2467" s="36" t="str">
        <f t="shared" si="38"/>
        <v>19680630</v>
      </c>
    </row>
    <row r="2468" s="1" customFormat="1" spans="1:13">
      <c r="A2468" s="2">
        <v>402</v>
      </c>
      <c r="B2468" s="29" t="s">
        <v>1040</v>
      </c>
      <c r="C2468" s="29" t="s">
        <v>1080</v>
      </c>
      <c r="D2468" s="29" t="s">
        <v>1081</v>
      </c>
      <c r="E2468" s="30">
        <v>2020</v>
      </c>
      <c r="F2468" s="30">
        <v>2020</v>
      </c>
      <c r="G2468" s="29" t="s">
        <v>16</v>
      </c>
      <c r="H2468" s="29">
        <v>200</v>
      </c>
      <c r="I2468" s="29">
        <v>200</v>
      </c>
      <c r="J2468" s="29" t="s">
        <v>1082</v>
      </c>
      <c r="K2468" s="47"/>
      <c r="L2468" s="2" t="s">
        <v>330</v>
      </c>
      <c r="M2468" s="36" t="str">
        <f t="shared" si="38"/>
        <v>19680701</v>
      </c>
    </row>
    <row r="2469" s="1" customFormat="1" spans="1:13">
      <c r="A2469" s="2">
        <v>1563</v>
      </c>
      <c r="B2469" s="5" t="s">
        <v>3381</v>
      </c>
      <c r="C2469" s="9" t="s">
        <v>3691</v>
      </c>
      <c r="D2469" s="9" t="s">
        <v>3692</v>
      </c>
      <c r="E2469" s="5">
        <v>2020</v>
      </c>
      <c r="F2469" s="5">
        <v>2020</v>
      </c>
      <c r="G2469" s="14" t="s">
        <v>16</v>
      </c>
      <c r="H2469" s="6">
        <v>200</v>
      </c>
      <c r="I2469" s="6">
        <v>200</v>
      </c>
      <c r="J2469" s="5"/>
      <c r="K2469" s="13"/>
      <c r="L2469" s="10">
        <v>20201118</v>
      </c>
      <c r="M2469" s="36" t="str">
        <f t="shared" si="38"/>
        <v>19680701</v>
      </c>
    </row>
    <row r="2470" s="1" customFormat="1" spans="1:13">
      <c r="A2470" s="2">
        <v>6359</v>
      </c>
      <c r="B2470" s="5" t="s">
        <v>12263</v>
      </c>
      <c r="C2470" s="5" t="s">
        <v>12734</v>
      </c>
      <c r="D2470" s="5" t="s">
        <v>12735</v>
      </c>
      <c r="E2470" s="5" t="s">
        <v>10250</v>
      </c>
      <c r="F2470" s="5">
        <v>2020</v>
      </c>
      <c r="G2470" s="17" t="s">
        <v>3359</v>
      </c>
      <c r="H2470" s="5" t="s">
        <v>311</v>
      </c>
      <c r="I2470" s="5">
        <v>200</v>
      </c>
      <c r="J2470" s="5"/>
      <c r="K2470" s="5"/>
      <c r="L2470" s="10">
        <v>20201118</v>
      </c>
      <c r="M2470" s="36" t="str">
        <f t="shared" si="38"/>
        <v>19680701</v>
      </c>
    </row>
    <row r="2471" s="1" customFormat="1" spans="1:13">
      <c r="A2471" s="2">
        <v>3146</v>
      </c>
      <c r="B2471" s="3" t="s">
        <v>6671</v>
      </c>
      <c r="C2471" s="9" t="s">
        <v>6811</v>
      </c>
      <c r="D2471" s="9" t="s">
        <v>6812</v>
      </c>
      <c r="E2471" s="3" t="s">
        <v>15</v>
      </c>
      <c r="F2471" s="3" t="s">
        <v>15</v>
      </c>
      <c r="G2471" s="6" t="s">
        <v>3359</v>
      </c>
      <c r="H2471" s="9">
        <v>200</v>
      </c>
      <c r="I2471" s="9">
        <v>200</v>
      </c>
      <c r="J2471" s="6"/>
      <c r="K2471" s="5"/>
      <c r="L2471" s="10">
        <v>20201118</v>
      </c>
      <c r="M2471" s="36" t="str">
        <f t="shared" si="38"/>
        <v>19680704</v>
      </c>
    </row>
    <row r="2472" s="1" customFormat="1" ht="14.25" spans="1:13">
      <c r="A2472" s="2">
        <v>5295</v>
      </c>
      <c r="B2472" s="33" t="s">
        <v>10535</v>
      </c>
      <c r="C2472" s="34" t="s">
        <v>10706</v>
      </c>
      <c r="D2472" s="34" t="s">
        <v>10707</v>
      </c>
      <c r="E2472" s="35">
        <v>2020</v>
      </c>
      <c r="F2472" s="35">
        <v>2020</v>
      </c>
      <c r="G2472" s="35" t="s">
        <v>16</v>
      </c>
      <c r="H2472" s="34">
        <v>200</v>
      </c>
      <c r="I2472" s="34">
        <v>200</v>
      </c>
      <c r="J2472" s="49"/>
      <c r="K2472" s="10"/>
      <c r="L2472" s="10">
        <v>20201118</v>
      </c>
      <c r="M2472" s="36" t="str">
        <f t="shared" si="38"/>
        <v>19680705</v>
      </c>
    </row>
    <row r="2473" s="1" customFormat="1" ht="14.25" spans="1:13">
      <c r="A2473" s="2">
        <v>5296</v>
      </c>
      <c r="B2473" s="33" t="s">
        <v>10535</v>
      </c>
      <c r="C2473" s="34" t="s">
        <v>10708</v>
      </c>
      <c r="D2473" s="34" t="s">
        <v>10709</v>
      </c>
      <c r="E2473" s="35">
        <v>2020</v>
      </c>
      <c r="F2473" s="35">
        <v>2020</v>
      </c>
      <c r="G2473" s="35" t="s">
        <v>16</v>
      </c>
      <c r="H2473" s="34">
        <v>200</v>
      </c>
      <c r="I2473" s="34">
        <v>200</v>
      </c>
      <c r="J2473" s="49"/>
      <c r="K2473" s="10"/>
      <c r="L2473" s="10">
        <v>20201118</v>
      </c>
      <c r="M2473" s="36" t="str">
        <f t="shared" si="38"/>
        <v>19680705</v>
      </c>
    </row>
    <row r="2474" s="1" customFormat="1" spans="1:13">
      <c r="A2474" s="2">
        <v>6592</v>
      </c>
      <c r="B2474" s="5" t="s">
        <v>13027</v>
      </c>
      <c r="C2474" s="15" t="s">
        <v>13174</v>
      </c>
      <c r="D2474" s="15" t="s">
        <v>13175</v>
      </c>
      <c r="E2474" s="5">
        <v>2020</v>
      </c>
      <c r="F2474" s="5">
        <v>2020</v>
      </c>
      <c r="G2474" s="14" t="s">
        <v>16</v>
      </c>
      <c r="H2474" s="15">
        <v>200</v>
      </c>
      <c r="I2474" s="15">
        <v>200</v>
      </c>
      <c r="J2474" s="5"/>
      <c r="K2474" s="10"/>
      <c r="L2474" s="10">
        <v>20201118</v>
      </c>
      <c r="M2474" s="36" t="str">
        <f t="shared" si="38"/>
        <v>19680705</v>
      </c>
    </row>
    <row r="2475" s="1" customFormat="1" spans="1:13">
      <c r="A2475" s="2">
        <v>1564</v>
      </c>
      <c r="B2475" s="5" t="s">
        <v>3381</v>
      </c>
      <c r="C2475" s="9" t="s">
        <v>3693</v>
      </c>
      <c r="D2475" s="9" t="s">
        <v>3694</v>
      </c>
      <c r="E2475" s="5">
        <v>2020</v>
      </c>
      <c r="F2475" s="5">
        <v>2020</v>
      </c>
      <c r="G2475" s="14" t="s">
        <v>16</v>
      </c>
      <c r="H2475" s="6">
        <v>200</v>
      </c>
      <c r="I2475" s="6">
        <v>200</v>
      </c>
      <c r="J2475" s="5"/>
      <c r="K2475" s="13"/>
      <c r="L2475" s="10">
        <v>20201118</v>
      </c>
      <c r="M2475" s="36" t="str">
        <f t="shared" si="38"/>
        <v>19680706</v>
      </c>
    </row>
    <row r="2476" s="1" customFormat="1" spans="1:13">
      <c r="A2476" s="2">
        <v>1874</v>
      </c>
      <c r="B2476" s="5" t="s">
        <v>4189</v>
      </c>
      <c r="C2476" s="16" t="s">
        <v>4311</v>
      </c>
      <c r="D2476" s="320" t="s">
        <v>4312</v>
      </c>
      <c r="E2476" s="5" t="s">
        <v>15</v>
      </c>
      <c r="F2476" s="5" t="s">
        <v>15</v>
      </c>
      <c r="G2476" s="5" t="s">
        <v>3359</v>
      </c>
      <c r="H2476" s="16">
        <v>200</v>
      </c>
      <c r="I2476" s="16">
        <v>200</v>
      </c>
      <c r="J2476" s="5"/>
      <c r="K2476" s="10"/>
      <c r="L2476" s="10">
        <v>20201118</v>
      </c>
      <c r="M2476" s="36" t="str">
        <f t="shared" si="38"/>
        <v>19680706</v>
      </c>
    </row>
    <row r="2477" s="1" customFormat="1" ht="14.25" spans="1:13">
      <c r="A2477" s="2">
        <v>2857</v>
      </c>
      <c r="B2477" s="6" t="s">
        <v>6075</v>
      </c>
      <c r="C2477" s="25" t="s">
        <v>6243</v>
      </c>
      <c r="D2477" s="26" t="s">
        <v>6244</v>
      </c>
      <c r="E2477" s="5" t="s">
        <v>15</v>
      </c>
      <c r="F2477" s="5">
        <v>2020</v>
      </c>
      <c r="G2477" s="6" t="s">
        <v>16</v>
      </c>
      <c r="H2477" s="6">
        <v>200</v>
      </c>
      <c r="I2477" s="6">
        <v>200</v>
      </c>
      <c r="J2477" s="6"/>
      <c r="K2477" s="10"/>
      <c r="L2477" s="10">
        <v>20201118</v>
      </c>
      <c r="M2477" s="36" t="str">
        <f t="shared" si="38"/>
        <v>19680706</v>
      </c>
    </row>
    <row r="2478" s="1" customFormat="1" spans="1:13">
      <c r="A2478" s="2">
        <v>6593</v>
      </c>
      <c r="B2478" s="5" t="s">
        <v>13027</v>
      </c>
      <c r="C2478" s="15" t="s">
        <v>13176</v>
      </c>
      <c r="D2478" s="15" t="s">
        <v>13177</v>
      </c>
      <c r="E2478" s="5">
        <v>2020</v>
      </c>
      <c r="F2478" s="5">
        <v>2020</v>
      </c>
      <c r="G2478" s="14" t="s">
        <v>16</v>
      </c>
      <c r="H2478" s="15">
        <v>200</v>
      </c>
      <c r="I2478" s="15">
        <v>200</v>
      </c>
      <c r="J2478" s="5"/>
      <c r="K2478" s="10"/>
      <c r="L2478" s="10">
        <v>20201118</v>
      </c>
      <c r="M2478" s="36" t="str">
        <f t="shared" si="38"/>
        <v>19680706</v>
      </c>
    </row>
    <row r="2479" s="1" customFormat="1" ht="14.25" spans="1:13">
      <c r="A2479" s="2">
        <v>7753</v>
      </c>
      <c r="B2479" s="5" t="s">
        <v>14875</v>
      </c>
      <c r="C2479" s="51" t="s">
        <v>14996</v>
      </c>
      <c r="D2479" s="24" t="str">
        <f>"152326196807067129"</f>
        <v>152326196807067129</v>
      </c>
      <c r="E2479" s="6" t="s">
        <v>15</v>
      </c>
      <c r="F2479" s="6">
        <v>2020</v>
      </c>
      <c r="G2479" s="24" t="s">
        <v>14877</v>
      </c>
      <c r="H2479" s="6">
        <v>500</v>
      </c>
      <c r="I2479" s="6">
        <v>500</v>
      </c>
      <c r="J2479" s="6"/>
      <c r="K2479" s="10"/>
      <c r="L2479" s="10">
        <v>20201118</v>
      </c>
      <c r="M2479" s="36" t="str">
        <f t="shared" si="38"/>
        <v>19680706</v>
      </c>
    </row>
    <row r="2480" s="1" customFormat="1" spans="1:13">
      <c r="A2480" s="2">
        <v>1393</v>
      </c>
      <c r="B2480" s="5" t="s">
        <v>2469</v>
      </c>
      <c r="C2480" s="6" t="s">
        <v>3349</v>
      </c>
      <c r="D2480" s="6" t="str">
        <f>"152326196807076877"</f>
        <v>152326196807076877</v>
      </c>
      <c r="E2480" s="5">
        <v>2020</v>
      </c>
      <c r="F2480" s="5">
        <v>2020</v>
      </c>
      <c r="G2480" s="9" t="s">
        <v>2480</v>
      </c>
      <c r="H2480" s="9">
        <v>200</v>
      </c>
      <c r="I2480" s="9">
        <v>200</v>
      </c>
      <c r="J2480" s="5"/>
      <c r="K2480" s="10"/>
      <c r="L2480" s="10">
        <v>20201118</v>
      </c>
      <c r="M2480" s="36" t="str">
        <f t="shared" si="38"/>
        <v>19680707</v>
      </c>
    </row>
    <row r="2481" s="1" customFormat="1" spans="1:13">
      <c r="A2481" s="2">
        <v>6444</v>
      </c>
      <c r="B2481" s="5" t="s">
        <v>12263</v>
      </c>
      <c r="C2481" s="5" t="s">
        <v>12893</v>
      </c>
      <c r="D2481" s="5" t="s">
        <v>12894</v>
      </c>
      <c r="E2481" s="5" t="s">
        <v>10250</v>
      </c>
      <c r="F2481" s="5">
        <v>2020</v>
      </c>
      <c r="G2481" s="17" t="s">
        <v>3359</v>
      </c>
      <c r="H2481" s="5">
        <v>200</v>
      </c>
      <c r="I2481" s="5">
        <v>200</v>
      </c>
      <c r="J2481" s="5"/>
      <c r="K2481" s="5"/>
      <c r="L2481" s="10">
        <v>20201118</v>
      </c>
      <c r="M2481" s="36" t="str">
        <f t="shared" si="38"/>
        <v>19680707</v>
      </c>
    </row>
    <row r="2482" s="1" customFormat="1" ht="14.25" spans="1:13">
      <c r="A2482" s="2">
        <v>7744</v>
      </c>
      <c r="B2482" s="5" t="s">
        <v>14875</v>
      </c>
      <c r="C2482" s="51" t="s">
        <v>14987</v>
      </c>
      <c r="D2482" s="24" t="str">
        <f>"152326196807077116"</f>
        <v>152326196807077116</v>
      </c>
      <c r="E2482" s="6" t="s">
        <v>15</v>
      </c>
      <c r="F2482" s="6">
        <v>2020</v>
      </c>
      <c r="G2482" s="24" t="s">
        <v>14877</v>
      </c>
      <c r="H2482" s="6">
        <v>200</v>
      </c>
      <c r="I2482" s="6">
        <v>200</v>
      </c>
      <c r="J2482" s="6"/>
      <c r="K2482" s="10"/>
      <c r="L2482" s="10">
        <v>20201118</v>
      </c>
      <c r="M2482" s="36" t="str">
        <f t="shared" si="38"/>
        <v>19680707</v>
      </c>
    </row>
    <row r="2483" s="1" customFormat="1" spans="1:13">
      <c r="A2483" s="2">
        <v>4517</v>
      </c>
      <c r="B2483" s="6" t="s">
        <v>9015</v>
      </c>
      <c r="C2483" s="6" t="s">
        <v>9216</v>
      </c>
      <c r="D2483" s="6" t="s">
        <v>9217</v>
      </c>
      <c r="E2483" s="6">
        <v>2020</v>
      </c>
      <c r="F2483" s="6">
        <v>2020</v>
      </c>
      <c r="G2483" s="6" t="s">
        <v>16</v>
      </c>
      <c r="H2483" s="6">
        <v>200</v>
      </c>
      <c r="I2483" s="6">
        <v>200</v>
      </c>
      <c r="J2483" s="6"/>
      <c r="K2483" s="6"/>
      <c r="L2483" s="10">
        <v>20201118</v>
      </c>
      <c r="M2483" s="36" t="str">
        <f t="shared" si="38"/>
        <v>19680708</v>
      </c>
    </row>
    <row r="2484" s="1" customFormat="1" spans="1:13">
      <c r="A2484" s="2">
        <v>5004</v>
      </c>
      <c r="B2484" s="6" t="s">
        <v>9954</v>
      </c>
      <c r="C2484" s="32" t="s">
        <v>8695</v>
      </c>
      <c r="D2484" s="304" t="s">
        <v>10146</v>
      </c>
      <c r="E2484" s="5" t="s">
        <v>15</v>
      </c>
      <c r="F2484" s="5" t="s">
        <v>15</v>
      </c>
      <c r="G2484" s="14" t="s">
        <v>16</v>
      </c>
      <c r="H2484" s="6">
        <v>200</v>
      </c>
      <c r="I2484" s="6">
        <v>200</v>
      </c>
      <c r="J2484" s="6"/>
      <c r="K2484" s="6"/>
      <c r="L2484" s="10">
        <v>20201118</v>
      </c>
      <c r="M2484" s="36" t="str">
        <f t="shared" si="38"/>
        <v>19680708</v>
      </c>
    </row>
    <row r="2485" s="1" customFormat="1" spans="1:13">
      <c r="A2485" s="2">
        <v>6594</v>
      </c>
      <c r="B2485" s="5" t="s">
        <v>13027</v>
      </c>
      <c r="C2485" s="15" t="s">
        <v>13178</v>
      </c>
      <c r="D2485" s="15" t="s">
        <v>13179</v>
      </c>
      <c r="E2485" s="5">
        <v>2020</v>
      </c>
      <c r="F2485" s="5">
        <v>2020</v>
      </c>
      <c r="G2485" s="14" t="s">
        <v>16</v>
      </c>
      <c r="H2485" s="15">
        <v>200</v>
      </c>
      <c r="I2485" s="15">
        <v>200</v>
      </c>
      <c r="J2485" s="5"/>
      <c r="K2485" s="10"/>
      <c r="L2485" s="10">
        <v>20201118</v>
      </c>
      <c r="M2485" s="36" t="str">
        <f t="shared" si="38"/>
        <v>19680708</v>
      </c>
    </row>
    <row r="2486" s="1" customFormat="1" spans="1:13">
      <c r="A2486" s="2">
        <v>2599</v>
      </c>
      <c r="B2486" s="32" t="s">
        <v>5602</v>
      </c>
      <c r="C2486" s="9" t="s">
        <v>5732</v>
      </c>
      <c r="D2486" s="9" t="s">
        <v>5733</v>
      </c>
      <c r="E2486" s="32">
        <v>2020</v>
      </c>
      <c r="F2486" s="32">
        <v>2020</v>
      </c>
      <c r="G2486" s="32" t="s">
        <v>16</v>
      </c>
      <c r="H2486" s="9">
        <v>1000</v>
      </c>
      <c r="I2486" s="9">
        <v>1000</v>
      </c>
      <c r="J2486" s="32"/>
      <c r="K2486" s="52"/>
      <c r="L2486" s="10">
        <v>20201118</v>
      </c>
      <c r="M2486" s="36" t="str">
        <f t="shared" si="38"/>
        <v>19680710</v>
      </c>
    </row>
    <row r="2487" s="1" customFormat="1" ht="14.25" spans="1:13">
      <c r="A2487" s="2">
        <v>7745</v>
      </c>
      <c r="B2487" s="5" t="s">
        <v>14875</v>
      </c>
      <c r="C2487" s="51" t="s">
        <v>14988</v>
      </c>
      <c r="D2487" s="24" t="str">
        <f>"152326196807107119"</f>
        <v>152326196807107119</v>
      </c>
      <c r="E2487" s="6" t="s">
        <v>15</v>
      </c>
      <c r="F2487" s="6">
        <v>2020</v>
      </c>
      <c r="G2487" s="24" t="s">
        <v>14877</v>
      </c>
      <c r="H2487" s="6">
        <v>200</v>
      </c>
      <c r="I2487" s="6">
        <v>200</v>
      </c>
      <c r="J2487" s="6"/>
      <c r="K2487" s="10"/>
      <c r="L2487" s="10">
        <v>20201118</v>
      </c>
      <c r="M2487" s="36" t="str">
        <f t="shared" si="38"/>
        <v>19680710</v>
      </c>
    </row>
    <row r="2488" s="1" customFormat="1" spans="1:13">
      <c r="A2488" s="2">
        <v>3766</v>
      </c>
      <c r="B2488" s="5" t="s">
        <v>7412</v>
      </c>
      <c r="C2488" s="5" t="s">
        <v>7782</v>
      </c>
      <c r="D2488" s="5" t="s">
        <v>7783</v>
      </c>
      <c r="E2488" s="6">
        <v>2020</v>
      </c>
      <c r="F2488" s="6">
        <v>2020</v>
      </c>
      <c r="G2488" s="5" t="s">
        <v>3359</v>
      </c>
      <c r="H2488" s="5">
        <v>200</v>
      </c>
      <c r="I2488" s="5">
        <v>200</v>
      </c>
      <c r="J2488" s="5"/>
      <c r="K2488" s="5"/>
      <c r="L2488" s="10">
        <v>20201118</v>
      </c>
      <c r="M2488" s="36" t="str">
        <f t="shared" si="38"/>
        <v>19680713</v>
      </c>
    </row>
    <row r="2489" s="1" customFormat="1" spans="1:13">
      <c r="A2489" s="2">
        <v>5102</v>
      </c>
      <c r="B2489" s="6" t="s">
        <v>10242</v>
      </c>
      <c r="C2489" s="9" t="s">
        <v>10334</v>
      </c>
      <c r="D2489" s="9" t="s">
        <v>10335</v>
      </c>
      <c r="E2489" s="5" t="s">
        <v>10250</v>
      </c>
      <c r="F2489" s="5">
        <v>2020</v>
      </c>
      <c r="G2489" s="6" t="s">
        <v>16</v>
      </c>
      <c r="H2489" s="6">
        <v>200</v>
      </c>
      <c r="I2489" s="6">
        <v>200</v>
      </c>
      <c r="J2489" s="6"/>
      <c r="K2489" s="5"/>
      <c r="L2489" s="10">
        <v>20201118</v>
      </c>
      <c r="M2489" s="36" t="str">
        <f t="shared" si="38"/>
        <v>19680713</v>
      </c>
    </row>
    <row r="2490" s="1" customFormat="1" spans="1:13">
      <c r="A2490" s="2">
        <v>6421</v>
      </c>
      <c r="B2490" s="5" t="s">
        <v>12263</v>
      </c>
      <c r="C2490" s="5" t="s">
        <v>12848</v>
      </c>
      <c r="D2490" s="5" t="s">
        <v>12849</v>
      </c>
      <c r="E2490" s="5" t="s">
        <v>10250</v>
      </c>
      <c r="F2490" s="5">
        <v>2020</v>
      </c>
      <c r="G2490" s="17" t="s">
        <v>3359</v>
      </c>
      <c r="H2490" s="5">
        <v>200</v>
      </c>
      <c r="I2490" s="5">
        <v>200</v>
      </c>
      <c r="J2490" s="5"/>
      <c r="K2490" s="5"/>
      <c r="L2490" s="10">
        <v>20201118</v>
      </c>
      <c r="M2490" s="36" t="str">
        <f t="shared" si="38"/>
        <v>19680714</v>
      </c>
    </row>
    <row r="2491" s="1" customFormat="1" spans="1:13">
      <c r="A2491" s="2">
        <v>221</v>
      </c>
      <c r="B2491" s="14" t="s">
        <v>327</v>
      </c>
      <c r="C2491" s="14" t="s">
        <v>549</v>
      </c>
      <c r="D2491" s="14" t="s">
        <v>550</v>
      </c>
      <c r="E2491" s="5">
        <v>2020</v>
      </c>
      <c r="F2491" s="5">
        <v>2020</v>
      </c>
      <c r="G2491" s="14" t="s">
        <v>16</v>
      </c>
      <c r="H2491" s="14">
        <v>200</v>
      </c>
      <c r="I2491" s="14">
        <v>200</v>
      </c>
      <c r="J2491" s="14"/>
      <c r="K2491" s="10"/>
      <c r="L2491" s="2" t="s">
        <v>330</v>
      </c>
      <c r="M2491" s="36" t="str">
        <f t="shared" si="38"/>
        <v>19680715</v>
      </c>
    </row>
    <row r="2492" s="1" customFormat="1" spans="1:13">
      <c r="A2492" s="2">
        <v>4531</v>
      </c>
      <c r="B2492" s="6" t="s">
        <v>9015</v>
      </c>
      <c r="C2492" s="6" t="s">
        <v>9243</v>
      </c>
      <c r="D2492" s="6" t="s">
        <v>9244</v>
      </c>
      <c r="E2492" s="6">
        <v>2020</v>
      </c>
      <c r="F2492" s="6">
        <v>2020</v>
      </c>
      <c r="G2492" s="6" t="s">
        <v>16</v>
      </c>
      <c r="H2492" s="6">
        <v>200</v>
      </c>
      <c r="I2492" s="6">
        <v>200</v>
      </c>
      <c r="J2492" s="6"/>
      <c r="K2492" s="6"/>
      <c r="L2492" s="10">
        <v>20201118</v>
      </c>
      <c r="M2492" s="36" t="str">
        <f t="shared" si="38"/>
        <v>19680715</v>
      </c>
    </row>
    <row r="2493" s="1" customFormat="1" spans="1:13">
      <c r="A2493" s="2">
        <v>8099</v>
      </c>
      <c r="B2493" s="5" t="s">
        <v>15086</v>
      </c>
      <c r="C2493" s="5" t="s">
        <v>15391</v>
      </c>
      <c r="D2493" s="5" t="s">
        <v>15392</v>
      </c>
      <c r="E2493" s="5" t="s">
        <v>320</v>
      </c>
      <c r="F2493" s="5">
        <v>2020</v>
      </c>
      <c r="G2493" s="5" t="s">
        <v>289</v>
      </c>
      <c r="H2493" s="5" t="s">
        <v>311</v>
      </c>
      <c r="I2493" s="43">
        <v>1600</v>
      </c>
      <c r="J2493" s="10"/>
      <c r="K2493" s="5"/>
      <c r="L2493" s="10">
        <v>20201118</v>
      </c>
      <c r="M2493" s="36" t="str">
        <f t="shared" si="38"/>
        <v>19680715</v>
      </c>
    </row>
    <row r="2494" s="1" customFormat="1" spans="1:13">
      <c r="A2494" s="2">
        <v>3424</v>
      </c>
      <c r="B2494" s="5" t="s">
        <v>3375</v>
      </c>
      <c r="C2494" s="6" t="s">
        <v>7202</v>
      </c>
      <c r="D2494" s="6" t="str">
        <f>"152326196807166864"</f>
        <v>152326196807166864</v>
      </c>
      <c r="E2494" s="5" t="s">
        <v>15</v>
      </c>
      <c r="F2494" s="5">
        <v>2020</v>
      </c>
      <c r="G2494" s="14" t="s">
        <v>16</v>
      </c>
      <c r="H2494" s="17">
        <v>200</v>
      </c>
      <c r="I2494" s="17">
        <v>200</v>
      </c>
      <c r="J2494" s="6"/>
      <c r="K2494" s="10"/>
      <c r="L2494" s="10">
        <v>20201118</v>
      </c>
      <c r="M2494" s="36" t="str">
        <f t="shared" si="38"/>
        <v>19680716</v>
      </c>
    </row>
    <row r="2495" s="1" customFormat="1" spans="1:13">
      <c r="A2495" s="2">
        <v>3430</v>
      </c>
      <c r="B2495" s="5" t="s">
        <v>3375</v>
      </c>
      <c r="C2495" s="6" t="s">
        <v>1078</v>
      </c>
      <c r="D2495" s="6" t="str">
        <f>"152326196807186881"</f>
        <v>152326196807186881</v>
      </c>
      <c r="E2495" s="5" t="s">
        <v>15</v>
      </c>
      <c r="F2495" s="5">
        <v>2020</v>
      </c>
      <c r="G2495" s="14" t="s">
        <v>16</v>
      </c>
      <c r="H2495" s="17">
        <v>200</v>
      </c>
      <c r="I2495" s="17">
        <v>200</v>
      </c>
      <c r="J2495" s="6"/>
      <c r="K2495" s="10"/>
      <c r="L2495" s="10">
        <v>20201118</v>
      </c>
      <c r="M2495" s="36" t="str">
        <f t="shared" si="38"/>
        <v>19680718</v>
      </c>
    </row>
    <row r="2496" s="1" customFormat="1" spans="1:13">
      <c r="A2496" s="2">
        <v>4799</v>
      </c>
      <c r="B2496" s="6" t="s">
        <v>9015</v>
      </c>
      <c r="C2496" s="6" t="s">
        <v>6112</v>
      </c>
      <c r="D2496" s="6" t="s">
        <v>9747</v>
      </c>
      <c r="E2496" s="6">
        <v>2020</v>
      </c>
      <c r="F2496" s="6">
        <v>2020</v>
      </c>
      <c r="G2496" s="6" t="s">
        <v>16</v>
      </c>
      <c r="H2496" s="6">
        <v>200</v>
      </c>
      <c r="I2496" s="6">
        <v>200</v>
      </c>
      <c r="J2496" s="6"/>
      <c r="K2496" s="6"/>
      <c r="L2496" s="10">
        <v>20201118</v>
      </c>
      <c r="M2496" s="36" t="str">
        <f t="shared" si="38"/>
        <v>19680718</v>
      </c>
    </row>
    <row r="2497" s="1" customFormat="1" spans="1:13">
      <c r="A2497" s="2">
        <v>1565</v>
      </c>
      <c r="B2497" s="5" t="s">
        <v>3381</v>
      </c>
      <c r="C2497" s="9" t="s">
        <v>3695</v>
      </c>
      <c r="D2497" s="9" t="s">
        <v>3696</v>
      </c>
      <c r="E2497" s="5">
        <v>2020</v>
      </c>
      <c r="F2497" s="5">
        <v>2020</v>
      </c>
      <c r="G2497" s="14" t="s">
        <v>16</v>
      </c>
      <c r="H2497" s="6">
        <v>200</v>
      </c>
      <c r="I2497" s="6">
        <v>200</v>
      </c>
      <c r="J2497" s="5"/>
      <c r="K2497" s="13"/>
      <c r="L2497" s="10">
        <v>20201118</v>
      </c>
      <c r="M2497" s="36" t="str">
        <f t="shared" si="38"/>
        <v>19680719</v>
      </c>
    </row>
    <row r="2498" s="1" customFormat="1" spans="1:13">
      <c r="A2498" s="2">
        <v>692</v>
      </c>
      <c r="B2498" s="29" t="s">
        <v>1040</v>
      </c>
      <c r="C2498" s="47" t="s">
        <v>1728</v>
      </c>
      <c r="D2498" s="47" t="s">
        <v>1729</v>
      </c>
      <c r="E2498" s="30">
        <v>2020</v>
      </c>
      <c r="F2498" s="30">
        <v>2020</v>
      </c>
      <c r="G2498" s="29" t="s">
        <v>16</v>
      </c>
      <c r="H2498" s="29">
        <v>200</v>
      </c>
      <c r="I2498" s="29">
        <v>200</v>
      </c>
      <c r="J2498" s="29"/>
      <c r="K2498" s="54"/>
      <c r="L2498" s="2" t="s">
        <v>330</v>
      </c>
      <c r="M2498" s="36" t="str">
        <f t="shared" ref="M2498:M2561" si="39">MID(D2498,7,8)</f>
        <v>19680720</v>
      </c>
    </row>
    <row r="2499" s="1" customFormat="1" spans="1:13">
      <c r="A2499" s="2">
        <v>3767</v>
      </c>
      <c r="B2499" s="5" t="s">
        <v>7412</v>
      </c>
      <c r="C2499" s="5" t="s">
        <v>7784</v>
      </c>
      <c r="D2499" s="5" t="s">
        <v>7785</v>
      </c>
      <c r="E2499" s="6">
        <v>2020</v>
      </c>
      <c r="F2499" s="6">
        <v>2020</v>
      </c>
      <c r="G2499" s="5" t="s">
        <v>3359</v>
      </c>
      <c r="H2499" s="5">
        <v>1000</v>
      </c>
      <c r="I2499" s="5">
        <v>1000</v>
      </c>
      <c r="J2499" s="5"/>
      <c r="K2499" s="5"/>
      <c r="L2499" s="10">
        <v>20201118</v>
      </c>
      <c r="M2499" s="36" t="str">
        <f t="shared" si="39"/>
        <v>19680721</v>
      </c>
    </row>
    <row r="2500" s="1" customFormat="1" spans="1:13">
      <c r="A2500" s="2">
        <v>8007</v>
      </c>
      <c r="B2500" s="5" t="s">
        <v>15086</v>
      </c>
      <c r="C2500" s="6" t="s">
        <v>15282</v>
      </c>
      <c r="D2500" s="6" t="str">
        <f>"152326196807216876"</f>
        <v>152326196807216876</v>
      </c>
      <c r="E2500" s="5" t="s">
        <v>15</v>
      </c>
      <c r="F2500" s="5">
        <v>2020</v>
      </c>
      <c r="G2500" s="5" t="s">
        <v>16</v>
      </c>
      <c r="H2500" s="5">
        <v>500</v>
      </c>
      <c r="I2500" s="5">
        <v>500</v>
      </c>
      <c r="J2500" s="5"/>
      <c r="K2500" s="5"/>
      <c r="L2500" s="10">
        <v>20201118</v>
      </c>
      <c r="M2500" s="36" t="str">
        <f t="shared" si="39"/>
        <v>19680721</v>
      </c>
    </row>
    <row r="2501" s="1" customFormat="1" spans="1:13">
      <c r="A2501" s="2">
        <v>505</v>
      </c>
      <c r="B2501" s="29" t="s">
        <v>1040</v>
      </c>
      <c r="C2501" s="29" t="s">
        <v>1287</v>
      </c>
      <c r="D2501" s="29" t="s">
        <v>1288</v>
      </c>
      <c r="E2501" s="30">
        <v>2020</v>
      </c>
      <c r="F2501" s="30">
        <v>2020</v>
      </c>
      <c r="G2501" s="29" t="s">
        <v>16</v>
      </c>
      <c r="H2501" s="29">
        <v>200</v>
      </c>
      <c r="I2501" s="29">
        <v>200</v>
      </c>
      <c r="J2501" s="29"/>
      <c r="K2501" s="47"/>
      <c r="L2501" s="14" t="s">
        <v>330</v>
      </c>
      <c r="M2501" s="36" t="str">
        <f t="shared" si="39"/>
        <v>19680723</v>
      </c>
    </row>
    <row r="2502" s="1" customFormat="1" spans="1:13">
      <c r="A2502" s="2">
        <v>1898</v>
      </c>
      <c r="B2502" s="5" t="s">
        <v>4189</v>
      </c>
      <c r="C2502" s="16" t="s">
        <v>4357</v>
      </c>
      <c r="D2502" s="16" t="s">
        <v>4358</v>
      </c>
      <c r="E2502" s="5" t="s">
        <v>15</v>
      </c>
      <c r="F2502" s="5" t="s">
        <v>15</v>
      </c>
      <c r="G2502" s="5" t="s">
        <v>3359</v>
      </c>
      <c r="H2502" s="16">
        <v>200</v>
      </c>
      <c r="I2502" s="16">
        <v>200</v>
      </c>
      <c r="J2502" s="5"/>
      <c r="K2502" s="10"/>
      <c r="L2502" s="10">
        <v>20201118</v>
      </c>
      <c r="M2502" s="36" t="str">
        <f t="shared" si="39"/>
        <v>19680723</v>
      </c>
    </row>
    <row r="2503" s="1" customFormat="1" spans="1:13">
      <c r="A2503" s="2">
        <v>5777</v>
      </c>
      <c r="B2503" s="30" t="s">
        <v>11090</v>
      </c>
      <c r="C2503" s="30" t="s">
        <v>11629</v>
      </c>
      <c r="D2503" s="30" t="s">
        <v>11630</v>
      </c>
      <c r="E2503" s="5" t="s">
        <v>15</v>
      </c>
      <c r="F2503" s="5" t="s">
        <v>10250</v>
      </c>
      <c r="G2503" s="6" t="s">
        <v>16</v>
      </c>
      <c r="H2503" s="32">
        <v>200</v>
      </c>
      <c r="I2503" s="32">
        <v>200</v>
      </c>
      <c r="J2503" s="6"/>
      <c r="K2503" s="48"/>
      <c r="L2503" s="10">
        <v>20201118</v>
      </c>
      <c r="M2503" s="36" t="str">
        <f t="shared" si="39"/>
        <v>19680723</v>
      </c>
    </row>
    <row r="2504" s="1" customFormat="1" ht="14.25" spans="1:13">
      <c r="A2504" s="2">
        <v>2987</v>
      </c>
      <c r="B2504" s="6" t="s">
        <v>6075</v>
      </c>
      <c r="C2504" s="25" t="s">
        <v>6499</v>
      </c>
      <c r="D2504" s="26" t="s">
        <v>6500</v>
      </c>
      <c r="E2504" s="5" t="s">
        <v>15</v>
      </c>
      <c r="F2504" s="5">
        <v>2020</v>
      </c>
      <c r="G2504" s="6" t="s">
        <v>16</v>
      </c>
      <c r="H2504" s="6">
        <v>200</v>
      </c>
      <c r="I2504" s="6">
        <v>200</v>
      </c>
      <c r="J2504" s="6"/>
      <c r="K2504" s="10"/>
      <c r="L2504" s="10">
        <v>20201118</v>
      </c>
      <c r="M2504" s="36" t="str">
        <f t="shared" si="39"/>
        <v>19680724</v>
      </c>
    </row>
    <row r="2505" s="1" customFormat="1" spans="1:13">
      <c r="A2505" s="2">
        <v>6343</v>
      </c>
      <c r="B2505" s="5" t="s">
        <v>12263</v>
      </c>
      <c r="C2505" s="5" t="s">
        <v>12702</v>
      </c>
      <c r="D2505" s="5" t="s">
        <v>12703</v>
      </c>
      <c r="E2505" s="5" t="s">
        <v>10250</v>
      </c>
      <c r="F2505" s="5">
        <v>2020</v>
      </c>
      <c r="G2505" s="17" t="s">
        <v>3359</v>
      </c>
      <c r="H2505" s="5" t="s">
        <v>1700</v>
      </c>
      <c r="I2505" s="5">
        <v>300</v>
      </c>
      <c r="J2505" s="5"/>
      <c r="K2505" s="5"/>
      <c r="L2505" s="10">
        <v>20201118</v>
      </c>
      <c r="M2505" s="36" t="str">
        <f t="shared" si="39"/>
        <v>19680724</v>
      </c>
    </row>
    <row r="2506" s="1" customFormat="1" spans="1:13">
      <c r="A2506" s="2">
        <v>222</v>
      </c>
      <c r="B2506" s="14" t="s">
        <v>327</v>
      </c>
      <c r="C2506" s="14" t="s">
        <v>552</v>
      </c>
      <c r="D2506" s="14" t="s">
        <v>553</v>
      </c>
      <c r="E2506" s="5">
        <v>2020</v>
      </c>
      <c r="F2506" s="5">
        <v>2020</v>
      </c>
      <c r="G2506" s="14" t="s">
        <v>16</v>
      </c>
      <c r="H2506" s="14">
        <v>200</v>
      </c>
      <c r="I2506" s="14">
        <v>200</v>
      </c>
      <c r="J2506" s="14"/>
      <c r="K2506" s="10"/>
      <c r="L2506" s="14" t="s">
        <v>330</v>
      </c>
      <c r="M2506" s="36" t="str">
        <f t="shared" si="39"/>
        <v>19680726</v>
      </c>
    </row>
    <row r="2507" s="1" customFormat="1" spans="1:13">
      <c r="A2507" s="2">
        <v>3429</v>
      </c>
      <c r="B2507" s="5" t="s">
        <v>3375</v>
      </c>
      <c r="C2507" s="6" t="s">
        <v>1858</v>
      </c>
      <c r="D2507" s="6" t="str">
        <f>"152326196807266873"</f>
        <v>152326196807266873</v>
      </c>
      <c r="E2507" s="5" t="s">
        <v>15</v>
      </c>
      <c r="F2507" s="5">
        <v>2020</v>
      </c>
      <c r="G2507" s="14" t="s">
        <v>16</v>
      </c>
      <c r="H2507" s="17">
        <v>200</v>
      </c>
      <c r="I2507" s="17">
        <v>200</v>
      </c>
      <c r="J2507" s="6"/>
      <c r="K2507" s="10"/>
      <c r="L2507" s="10">
        <v>20201118</v>
      </c>
      <c r="M2507" s="36" t="str">
        <f t="shared" si="39"/>
        <v>19680726</v>
      </c>
    </row>
    <row r="2508" s="1" customFormat="1" spans="1:13">
      <c r="A2508" s="2">
        <v>4868</v>
      </c>
      <c r="B2508" s="6" t="s">
        <v>9015</v>
      </c>
      <c r="C2508" s="6" t="s">
        <v>9879</v>
      </c>
      <c r="D2508" s="293" t="s">
        <v>9880</v>
      </c>
      <c r="E2508" s="6">
        <v>2020</v>
      </c>
      <c r="F2508" s="6">
        <v>2020</v>
      </c>
      <c r="G2508" s="6" t="s">
        <v>16</v>
      </c>
      <c r="H2508" s="6">
        <v>200</v>
      </c>
      <c r="I2508" s="6">
        <v>200</v>
      </c>
      <c r="J2508" s="6"/>
      <c r="K2508" s="6"/>
      <c r="L2508" s="10">
        <v>20201118</v>
      </c>
      <c r="M2508" s="36" t="str">
        <f t="shared" si="39"/>
        <v>19680726</v>
      </c>
    </row>
    <row r="2509" s="1" customFormat="1" spans="1:13">
      <c r="A2509" s="2">
        <v>5730</v>
      </c>
      <c r="B2509" s="30" t="s">
        <v>11090</v>
      </c>
      <c r="C2509" s="30" t="s">
        <v>11545</v>
      </c>
      <c r="D2509" s="30" t="s">
        <v>11546</v>
      </c>
      <c r="E2509" s="5" t="s">
        <v>15</v>
      </c>
      <c r="F2509" s="5" t="s">
        <v>10250</v>
      </c>
      <c r="G2509" s="6" t="s">
        <v>16</v>
      </c>
      <c r="H2509" s="32">
        <v>200</v>
      </c>
      <c r="I2509" s="32">
        <v>200</v>
      </c>
      <c r="J2509" s="6" t="s">
        <v>6097</v>
      </c>
      <c r="K2509" s="48"/>
      <c r="L2509" s="10">
        <v>20201118</v>
      </c>
      <c r="M2509" s="36" t="str">
        <f t="shared" si="39"/>
        <v>19680726</v>
      </c>
    </row>
    <row r="2510" s="1" customFormat="1" spans="1:13">
      <c r="A2510" s="2">
        <v>4815</v>
      </c>
      <c r="B2510" s="6" t="s">
        <v>9015</v>
      </c>
      <c r="C2510" s="6" t="s">
        <v>9778</v>
      </c>
      <c r="D2510" s="293" t="s">
        <v>9779</v>
      </c>
      <c r="E2510" s="6">
        <v>2020</v>
      </c>
      <c r="F2510" s="6">
        <v>2020</v>
      </c>
      <c r="G2510" s="6" t="s">
        <v>16</v>
      </c>
      <c r="H2510" s="6">
        <v>200</v>
      </c>
      <c r="I2510" s="6">
        <v>200</v>
      </c>
      <c r="J2510" s="6"/>
      <c r="K2510" s="6"/>
      <c r="L2510" s="10">
        <v>20201118</v>
      </c>
      <c r="M2510" s="36" t="str">
        <f t="shared" si="39"/>
        <v>19680801</v>
      </c>
    </row>
    <row r="2511" s="1" customFormat="1" spans="1:13">
      <c r="A2511" s="2">
        <v>2228</v>
      </c>
      <c r="B2511" s="9" t="s">
        <v>4837</v>
      </c>
      <c r="C2511" s="9" t="s">
        <v>5003</v>
      </c>
      <c r="D2511" s="9" t="s">
        <v>5004</v>
      </c>
      <c r="E2511" s="6" t="s">
        <v>15</v>
      </c>
      <c r="F2511" s="6">
        <v>2020</v>
      </c>
      <c r="G2511" s="9" t="s">
        <v>2480</v>
      </c>
      <c r="H2511" s="9">
        <v>200</v>
      </c>
      <c r="I2511" s="9">
        <v>200</v>
      </c>
      <c r="J2511" s="6"/>
      <c r="K2511" s="10"/>
      <c r="L2511" s="10">
        <v>20201118</v>
      </c>
      <c r="M2511" s="36" t="str">
        <f t="shared" si="39"/>
        <v>19680803</v>
      </c>
    </row>
    <row r="2512" s="1" customFormat="1" spans="1:13">
      <c r="A2512" s="2">
        <v>3768</v>
      </c>
      <c r="B2512" s="5" t="s">
        <v>7412</v>
      </c>
      <c r="C2512" s="5" t="s">
        <v>7786</v>
      </c>
      <c r="D2512" s="5" t="s">
        <v>7787</v>
      </c>
      <c r="E2512" s="6">
        <v>2020</v>
      </c>
      <c r="F2512" s="6">
        <v>2020</v>
      </c>
      <c r="G2512" s="5" t="s">
        <v>3359</v>
      </c>
      <c r="H2512" s="5">
        <v>200</v>
      </c>
      <c r="I2512" s="5">
        <v>200</v>
      </c>
      <c r="J2512" s="5"/>
      <c r="K2512" s="5"/>
      <c r="L2512" s="10">
        <v>20201118</v>
      </c>
      <c r="M2512" s="36" t="str">
        <f t="shared" si="39"/>
        <v>19680803</v>
      </c>
    </row>
    <row r="2513" s="1" customFormat="1" spans="1:13">
      <c r="A2513" s="2">
        <v>2600</v>
      </c>
      <c r="B2513" s="32" t="s">
        <v>5602</v>
      </c>
      <c r="C2513" s="9" t="s">
        <v>5734</v>
      </c>
      <c r="D2513" s="9" t="s">
        <v>5735</v>
      </c>
      <c r="E2513" s="32">
        <v>2020</v>
      </c>
      <c r="F2513" s="32">
        <v>2020</v>
      </c>
      <c r="G2513" s="32" t="s">
        <v>16</v>
      </c>
      <c r="H2513" s="9">
        <v>200</v>
      </c>
      <c r="I2513" s="9">
        <v>200</v>
      </c>
      <c r="J2513" s="32"/>
      <c r="K2513" s="52"/>
      <c r="L2513" s="10">
        <v>20201118</v>
      </c>
      <c r="M2513" s="36" t="str">
        <f t="shared" si="39"/>
        <v>19680804</v>
      </c>
    </row>
    <row r="2514" s="1" customFormat="1" spans="1:13">
      <c r="A2514" s="2">
        <v>6434</v>
      </c>
      <c r="B2514" s="5" t="s">
        <v>12263</v>
      </c>
      <c r="C2514" s="5" t="s">
        <v>12873</v>
      </c>
      <c r="D2514" s="5" t="s">
        <v>12874</v>
      </c>
      <c r="E2514" s="5" t="s">
        <v>10250</v>
      </c>
      <c r="F2514" s="5">
        <v>2020</v>
      </c>
      <c r="G2514" s="17" t="s">
        <v>3359</v>
      </c>
      <c r="H2514" s="5">
        <v>200</v>
      </c>
      <c r="I2514" s="5">
        <v>200</v>
      </c>
      <c r="J2514" s="5"/>
      <c r="K2514" s="5"/>
      <c r="L2514" s="10">
        <v>20201118</v>
      </c>
      <c r="M2514" s="36" t="str">
        <f t="shared" si="39"/>
        <v>19680805</v>
      </c>
    </row>
    <row r="2515" s="1" customFormat="1" spans="1:13">
      <c r="A2515" s="2">
        <v>2428</v>
      </c>
      <c r="B2515" s="5" t="s">
        <v>5328</v>
      </c>
      <c r="C2515" s="16" t="s">
        <v>5396</v>
      </c>
      <c r="D2515" s="16" t="s">
        <v>5397</v>
      </c>
      <c r="E2515" s="5" t="s">
        <v>15</v>
      </c>
      <c r="F2515" s="5" t="s">
        <v>15</v>
      </c>
      <c r="G2515" s="14" t="s">
        <v>16</v>
      </c>
      <c r="H2515" s="6">
        <v>200</v>
      </c>
      <c r="I2515" s="6">
        <v>200</v>
      </c>
      <c r="J2515" s="5"/>
      <c r="K2515" s="5"/>
      <c r="L2515" s="10">
        <v>20201118</v>
      </c>
      <c r="M2515" s="36" t="str">
        <f t="shared" si="39"/>
        <v>19680807</v>
      </c>
    </row>
    <row r="2516" s="1" customFormat="1" ht="14.25" spans="1:13">
      <c r="A2516" s="2">
        <v>7752</v>
      </c>
      <c r="B2516" s="5" t="s">
        <v>14875</v>
      </c>
      <c r="C2516" s="51" t="s">
        <v>14995</v>
      </c>
      <c r="D2516" s="24" t="str">
        <f>"152326196808077134"</f>
        <v>152326196808077134</v>
      </c>
      <c r="E2516" s="6" t="s">
        <v>15</v>
      </c>
      <c r="F2516" s="6">
        <v>2020</v>
      </c>
      <c r="G2516" s="24" t="s">
        <v>14877</v>
      </c>
      <c r="H2516" s="6">
        <v>200</v>
      </c>
      <c r="I2516" s="6">
        <v>200</v>
      </c>
      <c r="J2516" s="6"/>
      <c r="K2516" s="10"/>
      <c r="L2516" s="10">
        <v>20201118</v>
      </c>
      <c r="M2516" s="36" t="str">
        <f t="shared" si="39"/>
        <v>19680807</v>
      </c>
    </row>
    <row r="2517" s="1" customFormat="1" spans="1:13">
      <c r="A2517" s="2">
        <v>1897</v>
      </c>
      <c r="B2517" s="5" t="s">
        <v>4189</v>
      </c>
      <c r="C2517" s="16" t="s">
        <v>4355</v>
      </c>
      <c r="D2517" s="16" t="s">
        <v>4356</v>
      </c>
      <c r="E2517" s="5" t="s">
        <v>15</v>
      </c>
      <c r="F2517" s="5" t="s">
        <v>15</v>
      </c>
      <c r="G2517" s="5" t="s">
        <v>3359</v>
      </c>
      <c r="H2517" s="16">
        <v>200</v>
      </c>
      <c r="I2517" s="16">
        <v>200</v>
      </c>
      <c r="J2517" s="5"/>
      <c r="K2517" s="10"/>
      <c r="L2517" s="10">
        <v>20201118</v>
      </c>
      <c r="M2517" s="36" t="str">
        <f t="shared" si="39"/>
        <v>19680808</v>
      </c>
    </row>
    <row r="2518" s="1" customFormat="1" spans="1:13">
      <c r="A2518" s="2">
        <v>2601</v>
      </c>
      <c r="B2518" s="32" t="s">
        <v>5602</v>
      </c>
      <c r="C2518" s="9" t="s">
        <v>5736</v>
      </c>
      <c r="D2518" s="9" t="s">
        <v>5737</v>
      </c>
      <c r="E2518" s="32">
        <v>2020</v>
      </c>
      <c r="F2518" s="32">
        <v>2020</v>
      </c>
      <c r="G2518" s="32" t="s">
        <v>16</v>
      </c>
      <c r="H2518" s="9">
        <v>200</v>
      </c>
      <c r="I2518" s="9">
        <v>200</v>
      </c>
      <c r="J2518" s="32"/>
      <c r="K2518" s="52"/>
      <c r="L2518" s="10">
        <v>20201118</v>
      </c>
      <c r="M2518" s="36" t="str">
        <f t="shared" si="39"/>
        <v>19680808</v>
      </c>
    </row>
    <row r="2519" s="1" customFormat="1" spans="1:13">
      <c r="A2519" s="2">
        <v>4238</v>
      </c>
      <c r="B2519" s="9" t="s">
        <v>8515</v>
      </c>
      <c r="C2519" s="9" t="s">
        <v>8676</v>
      </c>
      <c r="D2519" s="9" t="s">
        <v>8677</v>
      </c>
      <c r="E2519" s="5" t="s">
        <v>15</v>
      </c>
      <c r="F2519" s="5">
        <v>2020</v>
      </c>
      <c r="G2519" s="9" t="s">
        <v>2480</v>
      </c>
      <c r="H2519" s="9">
        <v>200</v>
      </c>
      <c r="I2519" s="9">
        <v>200</v>
      </c>
      <c r="J2519" s="9"/>
      <c r="K2519" s="9"/>
      <c r="L2519" s="10">
        <v>20201118</v>
      </c>
      <c r="M2519" s="36" t="str">
        <f t="shared" si="39"/>
        <v>19680808</v>
      </c>
    </row>
    <row r="2520" s="1" customFormat="1" spans="1:13">
      <c r="A2520" s="2">
        <v>593</v>
      </c>
      <c r="B2520" s="29" t="s">
        <v>1040</v>
      </c>
      <c r="C2520" s="29" t="s">
        <v>1462</v>
      </c>
      <c r="D2520" s="29" t="s">
        <v>1463</v>
      </c>
      <c r="E2520" s="30">
        <v>2020</v>
      </c>
      <c r="F2520" s="30">
        <v>2020</v>
      </c>
      <c r="G2520" s="29" t="s">
        <v>16</v>
      </c>
      <c r="H2520" s="29">
        <v>200</v>
      </c>
      <c r="I2520" s="29">
        <v>200</v>
      </c>
      <c r="J2520" s="29"/>
      <c r="K2520" s="47"/>
      <c r="L2520" s="14" t="s">
        <v>330</v>
      </c>
      <c r="M2520" s="36" t="str">
        <f t="shared" si="39"/>
        <v>19680809</v>
      </c>
    </row>
    <row r="2521" s="1" customFormat="1" spans="1:13">
      <c r="A2521" s="2">
        <v>4905</v>
      </c>
      <c r="B2521" s="6" t="s">
        <v>9015</v>
      </c>
      <c r="C2521" s="6" t="s">
        <v>9948</v>
      </c>
      <c r="D2521" s="293" t="s">
        <v>9949</v>
      </c>
      <c r="E2521" s="6">
        <v>2013</v>
      </c>
      <c r="F2521" s="6">
        <v>2020</v>
      </c>
      <c r="G2521" s="6" t="s">
        <v>289</v>
      </c>
      <c r="H2521" s="6">
        <v>200</v>
      </c>
      <c r="I2521" s="6">
        <v>1600</v>
      </c>
      <c r="J2521" s="6"/>
      <c r="K2521" s="6"/>
      <c r="L2521" s="10">
        <v>20201118</v>
      </c>
      <c r="M2521" s="36" t="str">
        <f t="shared" si="39"/>
        <v>19680811</v>
      </c>
    </row>
    <row r="2522" s="1" customFormat="1" spans="1:13">
      <c r="A2522" s="2">
        <v>1566</v>
      </c>
      <c r="B2522" s="5" t="s">
        <v>3381</v>
      </c>
      <c r="C2522" s="9" t="s">
        <v>3697</v>
      </c>
      <c r="D2522" s="9" t="s">
        <v>3698</v>
      </c>
      <c r="E2522" s="5">
        <v>2020</v>
      </c>
      <c r="F2522" s="5">
        <v>2020</v>
      </c>
      <c r="G2522" s="14" t="s">
        <v>16</v>
      </c>
      <c r="H2522" s="6">
        <v>200</v>
      </c>
      <c r="I2522" s="6">
        <v>200</v>
      </c>
      <c r="J2522" s="5"/>
      <c r="K2522" s="13"/>
      <c r="L2522" s="10">
        <v>20201118</v>
      </c>
      <c r="M2522" s="36" t="str">
        <f t="shared" si="39"/>
        <v>19680812</v>
      </c>
    </row>
    <row r="2523" s="1" customFormat="1" spans="1:13">
      <c r="A2523" s="2">
        <v>3769</v>
      </c>
      <c r="B2523" s="5" t="s">
        <v>7412</v>
      </c>
      <c r="C2523" s="5" t="s">
        <v>7788</v>
      </c>
      <c r="D2523" s="5" t="s">
        <v>7789</v>
      </c>
      <c r="E2523" s="6">
        <v>2020</v>
      </c>
      <c r="F2523" s="6">
        <v>2020</v>
      </c>
      <c r="G2523" s="5" t="s">
        <v>3359</v>
      </c>
      <c r="H2523" s="5">
        <v>1000</v>
      </c>
      <c r="I2523" s="5">
        <v>1000</v>
      </c>
      <c r="J2523" s="5"/>
      <c r="K2523" s="5"/>
      <c r="L2523" s="10">
        <v>20201118</v>
      </c>
      <c r="M2523" s="36" t="str">
        <f t="shared" si="39"/>
        <v>19680812</v>
      </c>
    </row>
    <row r="2524" s="1" customFormat="1" spans="1:13">
      <c r="A2524" s="2">
        <v>5689</v>
      </c>
      <c r="B2524" s="30" t="s">
        <v>11090</v>
      </c>
      <c r="C2524" s="30" t="s">
        <v>11463</v>
      </c>
      <c r="D2524" s="30" t="s">
        <v>11464</v>
      </c>
      <c r="E2524" s="5" t="s">
        <v>15</v>
      </c>
      <c r="F2524" s="5" t="s">
        <v>10250</v>
      </c>
      <c r="G2524" s="6" t="s">
        <v>16</v>
      </c>
      <c r="H2524" s="32">
        <v>200</v>
      </c>
      <c r="I2524" s="32">
        <v>200</v>
      </c>
      <c r="J2524" s="6"/>
      <c r="K2524" s="48"/>
      <c r="L2524" s="10">
        <v>20201118</v>
      </c>
      <c r="M2524" s="36" t="str">
        <f t="shared" si="39"/>
        <v>19680812</v>
      </c>
    </row>
    <row r="2525" s="1" customFormat="1" ht="14.25" spans="1:13">
      <c r="A2525" s="2">
        <v>2908</v>
      </c>
      <c r="B2525" s="6" t="s">
        <v>6075</v>
      </c>
      <c r="C2525" s="25" t="s">
        <v>6343</v>
      </c>
      <c r="D2525" s="26" t="s">
        <v>6344</v>
      </c>
      <c r="E2525" s="5" t="s">
        <v>15</v>
      </c>
      <c r="F2525" s="5">
        <v>2020</v>
      </c>
      <c r="G2525" s="6" t="s">
        <v>16</v>
      </c>
      <c r="H2525" s="6">
        <v>200</v>
      </c>
      <c r="I2525" s="6">
        <v>200</v>
      </c>
      <c r="J2525" s="6" t="s">
        <v>6345</v>
      </c>
      <c r="K2525" s="10"/>
      <c r="L2525" s="10">
        <v>20201118</v>
      </c>
      <c r="M2525" s="36" t="str">
        <f t="shared" si="39"/>
        <v>19680813</v>
      </c>
    </row>
    <row r="2526" s="1" customFormat="1" spans="1:13">
      <c r="A2526" s="2">
        <v>1567</v>
      </c>
      <c r="B2526" s="5" t="s">
        <v>3381</v>
      </c>
      <c r="C2526" s="9" t="s">
        <v>3699</v>
      </c>
      <c r="D2526" s="9" t="s">
        <v>3700</v>
      </c>
      <c r="E2526" s="5">
        <v>2020</v>
      </c>
      <c r="F2526" s="5">
        <v>2020</v>
      </c>
      <c r="G2526" s="14" t="s">
        <v>16</v>
      </c>
      <c r="H2526" s="6">
        <v>200</v>
      </c>
      <c r="I2526" s="6">
        <v>200</v>
      </c>
      <c r="J2526" s="5"/>
      <c r="K2526" s="13"/>
      <c r="L2526" s="10">
        <v>20201118</v>
      </c>
      <c r="M2526" s="36" t="str">
        <f t="shared" si="39"/>
        <v>19680814</v>
      </c>
    </row>
    <row r="2527" s="1" customFormat="1" spans="1:13">
      <c r="A2527" s="2">
        <v>1893</v>
      </c>
      <c r="B2527" s="5" t="s">
        <v>4189</v>
      </c>
      <c r="C2527" s="16" t="s">
        <v>4348</v>
      </c>
      <c r="D2527" s="16" t="s">
        <v>4349</v>
      </c>
      <c r="E2527" s="5" t="s">
        <v>15</v>
      </c>
      <c r="F2527" s="5" t="s">
        <v>15</v>
      </c>
      <c r="G2527" s="5" t="s">
        <v>3359</v>
      </c>
      <c r="H2527" s="16">
        <v>200</v>
      </c>
      <c r="I2527" s="16">
        <v>200</v>
      </c>
      <c r="J2527" s="5"/>
      <c r="K2527" s="10"/>
      <c r="L2527" s="10">
        <v>20201118</v>
      </c>
      <c r="M2527" s="36" t="str">
        <f t="shared" si="39"/>
        <v>19680815</v>
      </c>
    </row>
    <row r="2528" s="1" customFormat="1" ht="14.25" spans="1:13">
      <c r="A2528" s="2">
        <v>2799</v>
      </c>
      <c r="B2528" s="6" t="s">
        <v>6075</v>
      </c>
      <c r="C2528" s="25" t="s">
        <v>6127</v>
      </c>
      <c r="D2528" s="26" t="s">
        <v>6128</v>
      </c>
      <c r="E2528" s="5" t="s">
        <v>15</v>
      </c>
      <c r="F2528" s="5">
        <v>2020</v>
      </c>
      <c r="G2528" s="6" t="s">
        <v>16</v>
      </c>
      <c r="H2528" s="6">
        <v>200</v>
      </c>
      <c r="I2528" s="6">
        <v>200</v>
      </c>
      <c r="J2528" s="6" t="s">
        <v>108</v>
      </c>
      <c r="K2528" s="10"/>
      <c r="L2528" s="10">
        <v>20201118</v>
      </c>
      <c r="M2528" s="36" t="str">
        <f t="shared" si="39"/>
        <v>19680817</v>
      </c>
    </row>
    <row r="2529" s="1" customFormat="1" ht="14.25" spans="1:13">
      <c r="A2529" s="2">
        <v>5297</v>
      </c>
      <c r="B2529" s="33" t="s">
        <v>10535</v>
      </c>
      <c r="C2529" s="34" t="s">
        <v>10710</v>
      </c>
      <c r="D2529" s="34" t="s">
        <v>10711</v>
      </c>
      <c r="E2529" s="35">
        <v>2020</v>
      </c>
      <c r="F2529" s="35">
        <v>2020</v>
      </c>
      <c r="G2529" s="35" t="s">
        <v>16</v>
      </c>
      <c r="H2529" s="34">
        <v>200</v>
      </c>
      <c r="I2529" s="34">
        <v>200</v>
      </c>
      <c r="J2529" s="49"/>
      <c r="K2529" s="10"/>
      <c r="L2529" s="10">
        <v>20201118</v>
      </c>
      <c r="M2529" s="36" t="str">
        <f t="shared" si="39"/>
        <v>19680821</v>
      </c>
    </row>
    <row r="2530" s="1" customFormat="1" ht="14.25" spans="1:13">
      <c r="A2530" s="2">
        <v>5983</v>
      </c>
      <c r="B2530" s="30" t="s">
        <v>11090</v>
      </c>
      <c r="C2530" s="32" t="s">
        <v>12012</v>
      </c>
      <c r="D2530" s="12" t="s">
        <v>12013</v>
      </c>
      <c r="E2530" s="5" t="s">
        <v>15</v>
      </c>
      <c r="F2530" s="5" t="s">
        <v>10250</v>
      </c>
      <c r="G2530" s="6" t="s">
        <v>16</v>
      </c>
      <c r="H2530" s="32">
        <v>200</v>
      </c>
      <c r="I2530" s="32">
        <v>200</v>
      </c>
      <c r="J2530" s="6" t="s">
        <v>108</v>
      </c>
      <c r="K2530" s="48"/>
      <c r="L2530" s="10">
        <v>20201118</v>
      </c>
      <c r="M2530" s="36" t="str">
        <f t="shared" si="39"/>
        <v>19680822</v>
      </c>
    </row>
    <row r="2531" s="1" customFormat="1" spans="1:13">
      <c r="A2531" s="2">
        <v>3426</v>
      </c>
      <c r="B2531" s="5" t="s">
        <v>3375</v>
      </c>
      <c r="C2531" s="6" t="s">
        <v>7205</v>
      </c>
      <c r="D2531" s="6" t="str">
        <f>"152326196808236879"</f>
        <v>152326196808236879</v>
      </c>
      <c r="E2531" s="5" t="s">
        <v>15</v>
      </c>
      <c r="F2531" s="5">
        <v>2020</v>
      </c>
      <c r="G2531" s="14" t="s">
        <v>16</v>
      </c>
      <c r="H2531" s="17">
        <v>200</v>
      </c>
      <c r="I2531" s="17">
        <v>200</v>
      </c>
      <c r="J2531" s="6"/>
      <c r="K2531" s="10"/>
      <c r="L2531" s="10">
        <v>20201118</v>
      </c>
      <c r="M2531" s="36" t="str">
        <f t="shared" si="39"/>
        <v>19680823</v>
      </c>
    </row>
    <row r="2532" s="1" customFormat="1" spans="1:13">
      <c r="A2532" s="2">
        <v>5898</v>
      </c>
      <c r="B2532" s="30" t="s">
        <v>11090</v>
      </c>
      <c r="C2532" s="30" t="s">
        <v>11848</v>
      </c>
      <c r="D2532" s="30" t="s">
        <v>11849</v>
      </c>
      <c r="E2532" s="5" t="s">
        <v>15</v>
      </c>
      <c r="F2532" s="5" t="s">
        <v>10250</v>
      </c>
      <c r="G2532" s="6" t="s">
        <v>16</v>
      </c>
      <c r="H2532" s="32">
        <v>200</v>
      </c>
      <c r="I2532" s="32">
        <v>200</v>
      </c>
      <c r="J2532" s="6"/>
      <c r="K2532" s="48"/>
      <c r="L2532" s="10">
        <v>20201118</v>
      </c>
      <c r="M2532" s="36" t="str">
        <f t="shared" si="39"/>
        <v>19680823</v>
      </c>
    </row>
    <row r="2533" s="1" customFormat="1" spans="1:13">
      <c r="A2533" s="2">
        <v>3770</v>
      </c>
      <c r="B2533" s="5" t="s">
        <v>7412</v>
      </c>
      <c r="C2533" s="5" t="s">
        <v>7790</v>
      </c>
      <c r="D2533" s="5" t="s">
        <v>7791</v>
      </c>
      <c r="E2533" s="6">
        <v>2020</v>
      </c>
      <c r="F2533" s="6">
        <v>2020</v>
      </c>
      <c r="G2533" s="5" t="s">
        <v>3359</v>
      </c>
      <c r="H2533" s="5">
        <v>200</v>
      </c>
      <c r="I2533" s="5">
        <v>200</v>
      </c>
      <c r="J2533" s="5"/>
      <c r="K2533" s="5"/>
      <c r="L2533" s="10">
        <v>20201118</v>
      </c>
      <c r="M2533" s="36" t="str">
        <f t="shared" si="39"/>
        <v>19680824</v>
      </c>
    </row>
    <row r="2534" s="1" customFormat="1" spans="1:13">
      <c r="A2534" s="2">
        <v>6973</v>
      </c>
      <c r="B2534" s="5" t="s">
        <v>13533</v>
      </c>
      <c r="C2534" s="32" t="s">
        <v>13721</v>
      </c>
      <c r="D2534" s="32" t="str">
        <f>"152326196808247121"</f>
        <v>152326196808247121</v>
      </c>
      <c r="E2534" s="5">
        <v>2020</v>
      </c>
      <c r="F2534" s="5">
        <v>2020</v>
      </c>
      <c r="G2534" s="9" t="s">
        <v>2480</v>
      </c>
      <c r="H2534" s="32">
        <v>200</v>
      </c>
      <c r="I2534" s="32">
        <v>200</v>
      </c>
      <c r="J2534" s="32"/>
      <c r="K2534" s="10"/>
      <c r="L2534" s="10">
        <v>20201118</v>
      </c>
      <c r="M2534" s="36" t="str">
        <f t="shared" si="39"/>
        <v>19680824</v>
      </c>
    </row>
    <row r="2535" s="1" customFormat="1" spans="1:13">
      <c r="A2535" s="2">
        <v>1394</v>
      </c>
      <c r="B2535" s="5" t="s">
        <v>2469</v>
      </c>
      <c r="C2535" s="6" t="s">
        <v>3350</v>
      </c>
      <c r="D2535" s="6" t="str">
        <f>"152326196808266883"</f>
        <v>152326196808266883</v>
      </c>
      <c r="E2535" s="5">
        <v>2020</v>
      </c>
      <c r="F2535" s="5">
        <v>2020</v>
      </c>
      <c r="G2535" s="9" t="s">
        <v>2480</v>
      </c>
      <c r="H2535" s="9">
        <v>200</v>
      </c>
      <c r="I2535" s="9">
        <v>200</v>
      </c>
      <c r="J2535" s="5"/>
      <c r="K2535" s="10"/>
      <c r="L2535" s="10">
        <v>20201118</v>
      </c>
      <c r="M2535" s="36" t="str">
        <f t="shared" si="39"/>
        <v>19680826</v>
      </c>
    </row>
    <row r="2536" s="1" customFormat="1" spans="1:13">
      <c r="A2536" s="2">
        <v>3771</v>
      </c>
      <c r="B2536" s="5" t="s">
        <v>7412</v>
      </c>
      <c r="C2536" s="5" t="s">
        <v>7792</v>
      </c>
      <c r="D2536" s="5" t="s">
        <v>7793</v>
      </c>
      <c r="E2536" s="6">
        <v>2020</v>
      </c>
      <c r="F2536" s="6">
        <v>2020</v>
      </c>
      <c r="G2536" s="5" t="s">
        <v>3359</v>
      </c>
      <c r="H2536" s="5">
        <v>200</v>
      </c>
      <c r="I2536" s="5">
        <v>200</v>
      </c>
      <c r="J2536" s="5"/>
      <c r="K2536" s="5"/>
      <c r="L2536" s="10">
        <v>20201118</v>
      </c>
      <c r="M2536" s="36" t="str">
        <f t="shared" si="39"/>
        <v>19680827</v>
      </c>
    </row>
    <row r="2537" s="1" customFormat="1" spans="1:13">
      <c r="A2537" s="2">
        <v>5909</v>
      </c>
      <c r="B2537" s="30" t="s">
        <v>11090</v>
      </c>
      <c r="C2537" s="30" t="s">
        <v>11869</v>
      </c>
      <c r="D2537" s="30" t="s">
        <v>11870</v>
      </c>
      <c r="E2537" s="5" t="s">
        <v>15</v>
      </c>
      <c r="F2537" s="5" t="s">
        <v>10250</v>
      </c>
      <c r="G2537" s="6" t="s">
        <v>16</v>
      </c>
      <c r="H2537" s="32">
        <v>200</v>
      </c>
      <c r="I2537" s="32">
        <v>200</v>
      </c>
      <c r="J2537" s="6"/>
      <c r="K2537" s="48"/>
      <c r="L2537" s="10">
        <v>20201118</v>
      </c>
      <c r="M2537" s="36" t="str">
        <f t="shared" si="39"/>
        <v>19680828</v>
      </c>
    </row>
    <row r="2538" s="1" customFormat="1" spans="1:13">
      <c r="A2538" s="2">
        <v>565</v>
      </c>
      <c r="B2538" s="29" t="s">
        <v>1040</v>
      </c>
      <c r="C2538" s="29" t="s">
        <v>1406</v>
      </c>
      <c r="D2538" s="29" t="s">
        <v>1407</v>
      </c>
      <c r="E2538" s="30">
        <v>2020</v>
      </c>
      <c r="F2538" s="30">
        <v>2020</v>
      </c>
      <c r="G2538" s="29" t="s">
        <v>16</v>
      </c>
      <c r="H2538" s="29">
        <v>200</v>
      </c>
      <c r="I2538" s="29">
        <v>200</v>
      </c>
      <c r="J2538" s="29"/>
      <c r="K2538" s="47"/>
      <c r="L2538" s="14" t="s">
        <v>330</v>
      </c>
      <c r="M2538" s="36" t="str">
        <f t="shared" si="39"/>
        <v>19680829</v>
      </c>
    </row>
    <row r="2539" s="1" customFormat="1" spans="1:13">
      <c r="A2539" s="2">
        <v>6389</v>
      </c>
      <c r="B2539" s="5" t="s">
        <v>12263</v>
      </c>
      <c r="C2539" s="5" t="s">
        <v>12790</v>
      </c>
      <c r="D2539" s="5" t="s">
        <v>12791</v>
      </c>
      <c r="E2539" s="5" t="s">
        <v>10250</v>
      </c>
      <c r="F2539" s="5">
        <v>2020</v>
      </c>
      <c r="G2539" s="17" t="s">
        <v>3359</v>
      </c>
      <c r="H2539" s="5" t="s">
        <v>311</v>
      </c>
      <c r="I2539" s="5">
        <v>200</v>
      </c>
      <c r="J2539" s="5"/>
      <c r="K2539" s="5"/>
      <c r="L2539" s="10">
        <v>20201118</v>
      </c>
      <c r="M2539" s="36" t="str">
        <f t="shared" si="39"/>
        <v>19680829</v>
      </c>
    </row>
    <row r="2540" s="1" customFormat="1" spans="1:13">
      <c r="A2540" s="2">
        <v>3435</v>
      </c>
      <c r="B2540" s="5" t="s">
        <v>3375</v>
      </c>
      <c r="C2540" s="6" t="s">
        <v>3782</v>
      </c>
      <c r="D2540" s="6" t="s">
        <v>7212</v>
      </c>
      <c r="E2540" s="5" t="s">
        <v>15</v>
      </c>
      <c r="F2540" s="5">
        <v>2020</v>
      </c>
      <c r="G2540" s="14" t="s">
        <v>16</v>
      </c>
      <c r="H2540" s="17">
        <v>200</v>
      </c>
      <c r="I2540" s="17">
        <v>200</v>
      </c>
      <c r="J2540" s="6"/>
      <c r="K2540" s="10"/>
      <c r="L2540" s="10">
        <v>20201118</v>
      </c>
      <c r="M2540" s="36" t="str">
        <f t="shared" si="39"/>
        <v>19680901</v>
      </c>
    </row>
    <row r="2541" s="1" customFormat="1" spans="1:13">
      <c r="A2541" s="2">
        <v>6595</v>
      </c>
      <c r="B2541" s="5" t="s">
        <v>13027</v>
      </c>
      <c r="C2541" s="15" t="s">
        <v>13180</v>
      </c>
      <c r="D2541" s="15" t="s">
        <v>13181</v>
      </c>
      <c r="E2541" s="5">
        <v>2020</v>
      </c>
      <c r="F2541" s="5">
        <v>2020</v>
      </c>
      <c r="G2541" s="14" t="s">
        <v>16</v>
      </c>
      <c r="H2541" s="15">
        <v>200</v>
      </c>
      <c r="I2541" s="15">
        <v>200</v>
      </c>
      <c r="J2541" s="5"/>
      <c r="K2541" s="10"/>
      <c r="L2541" s="10">
        <v>20201118</v>
      </c>
      <c r="M2541" s="36" t="str">
        <f t="shared" si="39"/>
        <v>19680901</v>
      </c>
    </row>
    <row r="2542" s="1" customFormat="1" spans="1:13">
      <c r="A2542" s="2">
        <v>1568</v>
      </c>
      <c r="B2542" s="5" t="s">
        <v>3381</v>
      </c>
      <c r="C2542" s="9" t="s">
        <v>3701</v>
      </c>
      <c r="D2542" s="9" t="s">
        <v>3702</v>
      </c>
      <c r="E2542" s="5">
        <v>2020</v>
      </c>
      <c r="F2542" s="5">
        <v>2020</v>
      </c>
      <c r="G2542" s="14" t="s">
        <v>16</v>
      </c>
      <c r="H2542" s="6">
        <v>500</v>
      </c>
      <c r="I2542" s="6">
        <v>500</v>
      </c>
      <c r="J2542" s="5"/>
      <c r="K2542" s="13"/>
      <c r="L2542" s="10">
        <v>20201118</v>
      </c>
      <c r="M2542" s="36" t="str">
        <f t="shared" si="39"/>
        <v>19680904</v>
      </c>
    </row>
    <row r="2543" s="1" customFormat="1" spans="1:13">
      <c r="A2543" s="2">
        <v>1034</v>
      </c>
      <c r="B2543" s="5" t="s">
        <v>2469</v>
      </c>
      <c r="C2543" s="9" t="s">
        <v>2659</v>
      </c>
      <c r="D2543" s="9" t="s">
        <v>2660</v>
      </c>
      <c r="E2543" s="5">
        <v>2020</v>
      </c>
      <c r="F2543" s="5">
        <v>2020</v>
      </c>
      <c r="G2543" s="9" t="s">
        <v>2480</v>
      </c>
      <c r="H2543" s="9">
        <v>200</v>
      </c>
      <c r="I2543" s="9">
        <v>200</v>
      </c>
      <c r="J2543" s="5"/>
      <c r="K2543" s="5"/>
      <c r="L2543" s="10">
        <v>20201118</v>
      </c>
      <c r="M2543" s="36" t="str">
        <f t="shared" si="39"/>
        <v>19680905</v>
      </c>
    </row>
    <row r="2544" s="1" customFormat="1" spans="1:13">
      <c r="A2544" s="2">
        <v>3772</v>
      </c>
      <c r="B2544" s="5" t="s">
        <v>7412</v>
      </c>
      <c r="C2544" s="5" t="s">
        <v>7794</v>
      </c>
      <c r="D2544" s="5" t="s">
        <v>7795</v>
      </c>
      <c r="E2544" s="6">
        <v>2020</v>
      </c>
      <c r="F2544" s="6">
        <v>2020</v>
      </c>
      <c r="G2544" s="5" t="s">
        <v>3359</v>
      </c>
      <c r="H2544" s="5">
        <v>200</v>
      </c>
      <c r="I2544" s="5">
        <v>200</v>
      </c>
      <c r="J2544" s="5"/>
      <c r="K2544" s="5"/>
      <c r="L2544" s="10">
        <v>20201118</v>
      </c>
      <c r="M2544" s="36" t="str">
        <f t="shared" si="39"/>
        <v>19680905</v>
      </c>
    </row>
    <row r="2545" s="1" customFormat="1" spans="1:13">
      <c r="A2545" s="2">
        <v>4239</v>
      </c>
      <c r="B2545" s="9" t="s">
        <v>8515</v>
      </c>
      <c r="C2545" s="9" t="s">
        <v>8678</v>
      </c>
      <c r="D2545" s="9" t="s">
        <v>8679</v>
      </c>
      <c r="E2545" s="5" t="s">
        <v>15</v>
      </c>
      <c r="F2545" s="5">
        <v>2020</v>
      </c>
      <c r="G2545" s="9" t="s">
        <v>2480</v>
      </c>
      <c r="H2545" s="9">
        <v>200</v>
      </c>
      <c r="I2545" s="9">
        <v>200</v>
      </c>
      <c r="J2545" s="9"/>
      <c r="K2545" s="9"/>
      <c r="L2545" s="10">
        <v>20201118</v>
      </c>
      <c r="M2545" s="36" t="str">
        <f t="shared" si="39"/>
        <v>19680905</v>
      </c>
    </row>
    <row r="2546" s="1" customFormat="1" spans="1:13">
      <c r="A2546" s="2">
        <v>7551</v>
      </c>
      <c r="B2546" s="62" t="s">
        <v>14402</v>
      </c>
      <c r="C2546" s="62" t="s">
        <v>14708</v>
      </c>
      <c r="D2546" s="62" t="s">
        <v>14709</v>
      </c>
      <c r="E2546" s="62">
        <v>2020</v>
      </c>
      <c r="F2546" s="62">
        <v>2020</v>
      </c>
      <c r="G2546" s="3" t="s">
        <v>16</v>
      </c>
      <c r="H2546" s="62">
        <v>200</v>
      </c>
      <c r="I2546" s="62">
        <v>200</v>
      </c>
      <c r="J2546" s="62"/>
      <c r="K2546" s="10"/>
      <c r="L2546" s="10">
        <v>20201118</v>
      </c>
      <c r="M2546" s="36" t="str">
        <f t="shared" si="39"/>
        <v>19680906</v>
      </c>
    </row>
    <row r="2547" s="1" customFormat="1" spans="1:13">
      <c r="A2547" s="2">
        <v>4945</v>
      </c>
      <c r="B2547" s="6" t="s">
        <v>9954</v>
      </c>
      <c r="C2547" s="68" t="s">
        <v>10031</v>
      </c>
      <c r="D2547" s="68" t="s">
        <v>10032</v>
      </c>
      <c r="E2547" s="5" t="s">
        <v>15</v>
      </c>
      <c r="F2547" s="5" t="s">
        <v>15</v>
      </c>
      <c r="G2547" s="14" t="s">
        <v>16</v>
      </c>
      <c r="H2547" s="6">
        <v>1000</v>
      </c>
      <c r="I2547" s="6">
        <v>1000</v>
      </c>
      <c r="J2547" s="6"/>
      <c r="K2547" s="6"/>
      <c r="L2547" s="10">
        <v>20201118</v>
      </c>
      <c r="M2547" s="36" t="str">
        <f t="shared" si="39"/>
        <v>19680907</v>
      </c>
    </row>
    <row r="2548" s="1" customFormat="1" spans="1:13">
      <c r="A2548" s="2">
        <v>223</v>
      </c>
      <c r="B2548" s="14" t="s">
        <v>327</v>
      </c>
      <c r="C2548" s="14" t="s">
        <v>555</v>
      </c>
      <c r="D2548" s="14" t="s">
        <v>556</v>
      </c>
      <c r="E2548" s="5">
        <v>2020</v>
      </c>
      <c r="F2548" s="5">
        <v>2020</v>
      </c>
      <c r="G2548" s="14" t="s">
        <v>16</v>
      </c>
      <c r="H2548" s="14">
        <v>200</v>
      </c>
      <c r="I2548" s="14">
        <v>200</v>
      </c>
      <c r="J2548" s="14"/>
      <c r="K2548" s="10"/>
      <c r="L2548" s="2" t="s">
        <v>330</v>
      </c>
      <c r="M2548" s="36" t="str">
        <f t="shared" si="39"/>
        <v>19680909</v>
      </c>
    </row>
    <row r="2549" s="1" customFormat="1" spans="1:13">
      <c r="A2549" s="2">
        <v>196</v>
      </c>
      <c r="B2549" s="14" t="s">
        <v>327</v>
      </c>
      <c r="C2549" s="14" t="s">
        <v>476</v>
      </c>
      <c r="D2549" s="14" t="s">
        <v>477</v>
      </c>
      <c r="E2549" s="5">
        <v>2020</v>
      </c>
      <c r="F2549" s="5">
        <v>2020</v>
      </c>
      <c r="G2549" s="14" t="s">
        <v>16</v>
      </c>
      <c r="H2549" s="14">
        <v>200</v>
      </c>
      <c r="I2549" s="14">
        <v>200</v>
      </c>
      <c r="J2549" s="14"/>
      <c r="K2549" s="10"/>
      <c r="L2549" s="14" t="s">
        <v>330</v>
      </c>
      <c r="M2549" s="36" t="str">
        <f t="shared" si="39"/>
        <v>19680910</v>
      </c>
    </row>
    <row r="2550" s="1" customFormat="1" spans="1:13">
      <c r="A2550" s="2">
        <v>8004</v>
      </c>
      <c r="B2550" s="5" t="s">
        <v>15086</v>
      </c>
      <c r="C2550" s="6" t="s">
        <v>15279</v>
      </c>
      <c r="D2550" s="6" t="str">
        <f>"152326196809106881"</f>
        <v>152326196809106881</v>
      </c>
      <c r="E2550" s="5" t="s">
        <v>15</v>
      </c>
      <c r="F2550" s="5">
        <v>2020</v>
      </c>
      <c r="G2550" s="5" t="s">
        <v>16</v>
      </c>
      <c r="H2550" s="5">
        <v>200</v>
      </c>
      <c r="I2550" s="5">
        <v>200</v>
      </c>
      <c r="J2550" s="5"/>
      <c r="K2550" s="5"/>
      <c r="L2550" s="10">
        <v>20201118</v>
      </c>
      <c r="M2550" s="36" t="str">
        <f t="shared" si="39"/>
        <v>19680910</v>
      </c>
    </row>
    <row r="2551" s="1" customFormat="1" spans="1:13">
      <c r="A2551" s="2">
        <v>1569</v>
      </c>
      <c r="B2551" s="5" t="s">
        <v>3381</v>
      </c>
      <c r="C2551" s="9" t="s">
        <v>3703</v>
      </c>
      <c r="D2551" s="9" t="s">
        <v>3704</v>
      </c>
      <c r="E2551" s="5">
        <v>2020</v>
      </c>
      <c r="F2551" s="5">
        <v>2020</v>
      </c>
      <c r="G2551" s="14" t="s">
        <v>16</v>
      </c>
      <c r="H2551" s="6">
        <v>200</v>
      </c>
      <c r="I2551" s="6">
        <v>200</v>
      </c>
      <c r="J2551" s="5"/>
      <c r="K2551" s="13"/>
      <c r="L2551" s="10">
        <v>20201118</v>
      </c>
      <c r="M2551" s="36" t="str">
        <f t="shared" si="39"/>
        <v>19680912</v>
      </c>
    </row>
    <row r="2552" s="1" customFormat="1" spans="1:13">
      <c r="A2552" s="2">
        <v>7555</v>
      </c>
      <c r="B2552" s="5" t="s">
        <v>14402</v>
      </c>
      <c r="C2552" s="5" t="s">
        <v>14714</v>
      </c>
      <c r="D2552" s="5" t="s">
        <v>14715</v>
      </c>
      <c r="E2552" s="5">
        <v>2020</v>
      </c>
      <c r="F2552" s="5">
        <v>2020</v>
      </c>
      <c r="G2552" s="17" t="s">
        <v>16</v>
      </c>
      <c r="H2552" s="5">
        <v>200</v>
      </c>
      <c r="I2552" s="5">
        <v>200</v>
      </c>
      <c r="J2552" s="5"/>
      <c r="K2552" s="10"/>
      <c r="L2552" s="10">
        <v>20201118</v>
      </c>
      <c r="M2552" s="36" t="str">
        <f t="shared" si="39"/>
        <v>19680912</v>
      </c>
    </row>
    <row r="2553" s="1" customFormat="1" spans="1:13">
      <c r="A2553" s="2">
        <v>4654</v>
      </c>
      <c r="B2553" s="6" t="s">
        <v>9015</v>
      </c>
      <c r="C2553" s="6" t="s">
        <v>9472</v>
      </c>
      <c r="D2553" s="6" t="s">
        <v>9473</v>
      </c>
      <c r="E2553" s="6">
        <v>2020</v>
      </c>
      <c r="F2553" s="6">
        <v>2020</v>
      </c>
      <c r="G2553" s="6" t="s">
        <v>16</v>
      </c>
      <c r="H2553" s="6">
        <v>200</v>
      </c>
      <c r="I2553" s="6">
        <v>200</v>
      </c>
      <c r="J2553" s="6"/>
      <c r="K2553" s="6"/>
      <c r="L2553" s="10">
        <v>20201118</v>
      </c>
      <c r="M2553" s="36" t="str">
        <f t="shared" si="39"/>
        <v>19680913</v>
      </c>
    </row>
    <row r="2554" s="1" customFormat="1" spans="1:13">
      <c r="A2554" s="2">
        <v>6596</v>
      </c>
      <c r="B2554" s="5" t="s">
        <v>13027</v>
      </c>
      <c r="C2554" s="15" t="s">
        <v>13182</v>
      </c>
      <c r="D2554" s="15" t="s">
        <v>13183</v>
      </c>
      <c r="E2554" s="5">
        <v>2020</v>
      </c>
      <c r="F2554" s="5">
        <v>2020</v>
      </c>
      <c r="G2554" s="14" t="s">
        <v>16</v>
      </c>
      <c r="H2554" s="15">
        <v>200</v>
      </c>
      <c r="I2554" s="15">
        <v>200</v>
      </c>
      <c r="J2554" s="5"/>
      <c r="K2554" s="10"/>
      <c r="L2554" s="10">
        <v>20201118</v>
      </c>
      <c r="M2554" s="36" t="str">
        <f t="shared" si="39"/>
        <v>19680919</v>
      </c>
    </row>
    <row r="2555" s="1" customFormat="1" ht="14.25" spans="1:13">
      <c r="A2555" s="2">
        <v>7751</v>
      </c>
      <c r="B2555" s="5" t="s">
        <v>14875</v>
      </c>
      <c r="C2555" s="51" t="s">
        <v>14994</v>
      </c>
      <c r="D2555" s="24" t="str">
        <f>"152326196809197111"</f>
        <v>152326196809197111</v>
      </c>
      <c r="E2555" s="6" t="s">
        <v>15</v>
      </c>
      <c r="F2555" s="6">
        <v>2020</v>
      </c>
      <c r="G2555" s="24" t="s">
        <v>14877</v>
      </c>
      <c r="H2555" s="6">
        <v>200</v>
      </c>
      <c r="I2555" s="6">
        <v>200</v>
      </c>
      <c r="J2555" s="6"/>
      <c r="K2555" s="10"/>
      <c r="L2555" s="10">
        <v>20201118</v>
      </c>
      <c r="M2555" s="36" t="str">
        <f t="shared" si="39"/>
        <v>19680919</v>
      </c>
    </row>
    <row r="2556" s="1" customFormat="1" spans="1:13">
      <c r="A2556" s="2">
        <v>3425</v>
      </c>
      <c r="B2556" s="5" t="s">
        <v>3375</v>
      </c>
      <c r="C2556" s="6" t="s">
        <v>7203</v>
      </c>
      <c r="D2556" s="6" t="s">
        <v>7204</v>
      </c>
      <c r="E2556" s="5" t="s">
        <v>15</v>
      </c>
      <c r="F2556" s="5">
        <v>2020</v>
      </c>
      <c r="G2556" s="14" t="s">
        <v>16</v>
      </c>
      <c r="H2556" s="17">
        <v>200</v>
      </c>
      <c r="I2556" s="17">
        <v>200</v>
      </c>
      <c r="J2556" s="6"/>
      <c r="K2556" s="10"/>
      <c r="L2556" s="10">
        <v>20201118</v>
      </c>
      <c r="M2556" s="36" t="str">
        <f t="shared" si="39"/>
        <v>19680924</v>
      </c>
    </row>
    <row r="2557" s="1" customFormat="1" spans="1:13">
      <c r="A2557" s="2">
        <v>4496</v>
      </c>
      <c r="B2557" s="6" t="s">
        <v>9015</v>
      </c>
      <c r="C2557" s="6" t="s">
        <v>9175</v>
      </c>
      <c r="D2557" s="6" t="s">
        <v>9176</v>
      </c>
      <c r="E2557" s="6">
        <v>2020</v>
      </c>
      <c r="F2557" s="6">
        <v>2020</v>
      </c>
      <c r="G2557" s="6" t="s">
        <v>16</v>
      </c>
      <c r="H2557" s="6">
        <v>200</v>
      </c>
      <c r="I2557" s="6">
        <v>200</v>
      </c>
      <c r="J2557" s="6"/>
      <c r="K2557" s="6"/>
      <c r="L2557" s="10">
        <v>20201118</v>
      </c>
      <c r="M2557" s="36" t="str">
        <f t="shared" si="39"/>
        <v>19680924</v>
      </c>
    </row>
    <row r="2558" s="1" customFormat="1" spans="1:13">
      <c r="A2558" s="2">
        <v>3100</v>
      </c>
      <c r="B2558" s="3" t="s">
        <v>6671</v>
      </c>
      <c r="C2558" s="9" t="s">
        <v>6605</v>
      </c>
      <c r="D2558" s="9" t="s">
        <v>6724</v>
      </c>
      <c r="E2558" s="3" t="s">
        <v>15</v>
      </c>
      <c r="F2558" s="3" t="s">
        <v>15</v>
      </c>
      <c r="G2558" s="6" t="s">
        <v>3359</v>
      </c>
      <c r="H2558" s="9">
        <v>200</v>
      </c>
      <c r="I2558" s="9">
        <v>200</v>
      </c>
      <c r="J2558" s="6"/>
      <c r="K2558" s="5"/>
      <c r="L2558" s="10">
        <v>20201118</v>
      </c>
      <c r="M2558" s="36" t="str">
        <f t="shared" si="39"/>
        <v>19680926</v>
      </c>
    </row>
    <row r="2559" s="1" customFormat="1" spans="1:13">
      <c r="A2559" s="2">
        <v>168</v>
      </c>
      <c r="B2559" s="14" t="s">
        <v>327</v>
      </c>
      <c r="C2559" s="14" t="s">
        <v>392</v>
      </c>
      <c r="D2559" s="14" t="s">
        <v>393</v>
      </c>
      <c r="E2559" s="5">
        <v>2020</v>
      </c>
      <c r="F2559" s="5">
        <v>2020</v>
      </c>
      <c r="G2559" s="14" t="s">
        <v>16</v>
      </c>
      <c r="H2559" s="14">
        <v>200</v>
      </c>
      <c r="I2559" s="14">
        <v>200</v>
      </c>
      <c r="J2559" s="14"/>
      <c r="K2559" s="10"/>
      <c r="L2559" s="14" t="s">
        <v>330</v>
      </c>
      <c r="M2559" s="36" t="str">
        <f t="shared" si="39"/>
        <v>19680927</v>
      </c>
    </row>
    <row r="2560" s="1" customFormat="1" spans="1:13">
      <c r="A2560" s="2">
        <v>75</v>
      </c>
      <c r="B2560" s="3" t="s">
        <v>12</v>
      </c>
      <c r="C2560" s="3" t="s">
        <v>165</v>
      </c>
      <c r="D2560" s="3" t="s">
        <v>166</v>
      </c>
      <c r="E2560" s="3" t="s">
        <v>15</v>
      </c>
      <c r="F2560" s="3" t="s">
        <v>15</v>
      </c>
      <c r="G2560" s="2" t="s">
        <v>16</v>
      </c>
      <c r="H2560" s="3">
        <v>200</v>
      </c>
      <c r="I2560" s="3">
        <v>200</v>
      </c>
      <c r="J2560" s="3"/>
      <c r="K2560" s="3"/>
      <c r="L2560" s="10">
        <v>20201118</v>
      </c>
      <c r="M2560" s="36" t="str">
        <f t="shared" si="39"/>
        <v>19681001</v>
      </c>
    </row>
    <row r="2561" s="1" customFormat="1" spans="1:13">
      <c r="A2561" s="2">
        <v>794</v>
      </c>
      <c r="B2561" s="29" t="s">
        <v>1040</v>
      </c>
      <c r="C2561" s="5" t="s">
        <v>2032</v>
      </c>
      <c r="D2561" s="317" t="s">
        <v>2033</v>
      </c>
      <c r="E2561" s="30">
        <v>2020</v>
      </c>
      <c r="F2561" s="30">
        <v>2020</v>
      </c>
      <c r="G2561" s="29" t="s">
        <v>16</v>
      </c>
      <c r="H2561" s="29">
        <v>200</v>
      </c>
      <c r="I2561" s="29">
        <v>200</v>
      </c>
      <c r="J2561" s="32"/>
      <c r="K2561" s="32"/>
      <c r="L2561" s="14" t="s">
        <v>330</v>
      </c>
      <c r="M2561" s="36" t="str">
        <f t="shared" si="39"/>
        <v>19681001</v>
      </c>
    </row>
    <row r="2562" s="1" customFormat="1" spans="1:13">
      <c r="A2562" s="2">
        <v>3158</v>
      </c>
      <c r="B2562" s="3" t="s">
        <v>6671</v>
      </c>
      <c r="C2562" s="9" t="s">
        <v>6832</v>
      </c>
      <c r="D2562" s="9" t="s">
        <v>6833</v>
      </c>
      <c r="E2562" s="3" t="s">
        <v>15</v>
      </c>
      <c r="F2562" s="3" t="s">
        <v>15</v>
      </c>
      <c r="G2562" s="6" t="s">
        <v>3359</v>
      </c>
      <c r="H2562" s="9">
        <v>200</v>
      </c>
      <c r="I2562" s="9">
        <v>200</v>
      </c>
      <c r="J2562" s="6"/>
      <c r="K2562" s="5"/>
      <c r="L2562" s="10">
        <v>20201118</v>
      </c>
      <c r="M2562" s="36" t="str">
        <f t="shared" ref="M2562:M2625" si="40">MID(D2562,7,8)</f>
        <v>19681001</v>
      </c>
    </row>
    <row r="2563" s="1" customFormat="1" spans="1:13">
      <c r="A2563" s="2">
        <v>4556</v>
      </c>
      <c r="B2563" s="6" t="s">
        <v>9015</v>
      </c>
      <c r="C2563" s="6" t="s">
        <v>9291</v>
      </c>
      <c r="D2563" s="6" t="s">
        <v>9292</v>
      </c>
      <c r="E2563" s="6">
        <v>2020</v>
      </c>
      <c r="F2563" s="6">
        <v>2020</v>
      </c>
      <c r="G2563" s="6" t="s">
        <v>16</v>
      </c>
      <c r="H2563" s="6">
        <v>200</v>
      </c>
      <c r="I2563" s="6">
        <v>200</v>
      </c>
      <c r="J2563" s="6"/>
      <c r="K2563" s="6"/>
      <c r="L2563" s="10">
        <v>20201118</v>
      </c>
      <c r="M2563" s="36" t="str">
        <f t="shared" si="40"/>
        <v>19681001</v>
      </c>
    </row>
    <row r="2564" s="1" customFormat="1" spans="1:13">
      <c r="A2564" s="2">
        <v>6433</v>
      </c>
      <c r="B2564" s="5" t="s">
        <v>12263</v>
      </c>
      <c r="C2564" s="5" t="s">
        <v>12871</v>
      </c>
      <c r="D2564" s="5" t="s">
        <v>12872</v>
      </c>
      <c r="E2564" s="5" t="s">
        <v>10250</v>
      </c>
      <c r="F2564" s="5">
        <v>2020</v>
      </c>
      <c r="G2564" s="17" t="s">
        <v>3359</v>
      </c>
      <c r="H2564" s="5">
        <v>500</v>
      </c>
      <c r="I2564" s="5">
        <v>500</v>
      </c>
      <c r="J2564" s="5"/>
      <c r="K2564" s="5"/>
      <c r="L2564" s="10">
        <v>20201118</v>
      </c>
      <c r="M2564" s="36" t="str">
        <f t="shared" si="40"/>
        <v>19681001</v>
      </c>
    </row>
    <row r="2565" s="1" customFormat="1" spans="1:13">
      <c r="A2565" s="2">
        <v>6962</v>
      </c>
      <c r="B2565" s="5" t="s">
        <v>13533</v>
      </c>
      <c r="C2565" s="32" t="s">
        <v>13711</v>
      </c>
      <c r="D2565" s="32" t="str">
        <f>"152326196810017149"</f>
        <v>152326196810017149</v>
      </c>
      <c r="E2565" s="5">
        <v>2020</v>
      </c>
      <c r="F2565" s="5">
        <v>2020</v>
      </c>
      <c r="G2565" s="9" t="s">
        <v>2480</v>
      </c>
      <c r="H2565" s="32">
        <v>200</v>
      </c>
      <c r="I2565" s="32">
        <v>200</v>
      </c>
      <c r="J2565" s="62"/>
      <c r="K2565" s="10"/>
      <c r="L2565" s="10">
        <v>20201118</v>
      </c>
      <c r="M2565" s="36" t="str">
        <f t="shared" si="40"/>
        <v>19681001</v>
      </c>
    </row>
    <row r="2566" s="1" customFormat="1" ht="14.25" spans="1:13">
      <c r="A2566" s="2">
        <v>7746</v>
      </c>
      <c r="B2566" s="5" t="s">
        <v>14875</v>
      </c>
      <c r="C2566" s="51" t="s">
        <v>8531</v>
      </c>
      <c r="D2566" s="24" t="str">
        <f>"152326196810037123"</f>
        <v>152326196810037123</v>
      </c>
      <c r="E2566" s="6" t="s">
        <v>15</v>
      </c>
      <c r="F2566" s="6">
        <v>2020</v>
      </c>
      <c r="G2566" s="24" t="s">
        <v>14877</v>
      </c>
      <c r="H2566" s="6">
        <v>200</v>
      </c>
      <c r="I2566" s="6">
        <v>200</v>
      </c>
      <c r="J2566" s="6"/>
      <c r="K2566" s="10"/>
      <c r="L2566" s="10">
        <v>20201118</v>
      </c>
      <c r="M2566" s="36" t="str">
        <f t="shared" si="40"/>
        <v>19681003</v>
      </c>
    </row>
    <row r="2567" s="1" customFormat="1" spans="1:13">
      <c r="A2567" s="2">
        <v>4240</v>
      </c>
      <c r="B2567" s="9" t="s">
        <v>8515</v>
      </c>
      <c r="C2567" s="9" t="s">
        <v>8680</v>
      </c>
      <c r="D2567" s="9" t="s">
        <v>8681</v>
      </c>
      <c r="E2567" s="5" t="s">
        <v>15</v>
      </c>
      <c r="F2567" s="5">
        <v>2020</v>
      </c>
      <c r="G2567" s="9" t="s">
        <v>2480</v>
      </c>
      <c r="H2567" s="9">
        <v>200</v>
      </c>
      <c r="I2567" s="9">
        <v>200</v>
      </c>
      <c r="J2567" s="9"/>
      <c r="K2567" s="9"/>
      <c r="L2567" s="10">
        <v>20201118</v>
      </c>
      <c r="M2567" s="36" t="str">
        <f t="shared" si="40"/>
        <v>19681004</v>
      </c>
    </row>
    <row r="2568" s="1" customFormat="1" spans="1:13">
      <c r="A2568" s="2">
        <v>802</v>
      </c>
      <c r="B2568" s="29" t="s">
        <v>1040</v>
      </c>
      <c r="C2568" s="5" t="s">
        <v>2056</v>
      </c>
      <c r="D2568" s="317" t="s">
        <v>2057</v>
      </c>
      <c r="E2568" s="30">
        <v>2020</v>
      </c>
      <c r="F2568" s="30">
        <v>2020</v>
      </c>
      <c r="G2568" s="29" t="s">
        <v>16</v>
      </c>
      <c r="H2568" s="29">
        <v>200</v>
      </c>
      <c r="I2568" s="29">
        <v>200</v>
      </c>
      <c r="J2568" s="32"/>
      <c r="K2568" s="32"/>
      <c r="L2568" s="2" t="s">
        <v>330</v>
      </c>
      <c r="M2568" s="36" t="str">
        <f t="shared" si="40"/>
        <v>19681005</v>
      </c>
    </row>
    <row r="2569" s="1" customFormat="1" spans="1:13">
      <c r="A2569" s="2">
        <v>7549</v>
      </c>
      <c r="B2569" s="5" t="s">
        <v>14402</v>
      </c>
      <c r="C2569" s="5" t="s">
        <v>10207</v>
      </c>
      <c r="D2569" s="5" t="s">
        <v>14706</v>
      </c>
      <c r="E2569" s="5">
        <v>2020</v>
      </c>
      <c r="F2569" s="5">
        <v>2020</v>
      </c>
      <c r="G2569" s="17" t="s">
        <v>16</v>
      </c>
      <c r="H2569" s="5">
        <v>1000</v>
      </c>
      <c r="I2569" s="5">
        <v>1000</v>
      </c>
      <c r="J2569" s="5"/>
      <c r="K2569" s="10"/>
      <c r="L2569" s="10">
        <v>20201118</v>
      </c>
      <c r="M2569" s="36" t="str">
        <f t="shared" si="40"/>
        <v>19681005</v>
      </c>
    </row>
    <row r="2570" s="1" customFormat="1" spans="1:13">
      <c r="A2570" s="2">
        <v>7552</v>
      </c>
      <c r="B2570" s="5" t="s">
        <v>14402</v>
      </c>
      <c r="C2570" s="5" t="s">
        <v>14710</v>
      </c>
      <c r="D2570" s="5" t="s">
        <v>14711</v>
      </c>
      <c r="E2570" s="5">
        <v>2020</v>
      </c>
      <c r="F2570" s="5">
        <v>2020</v>
      </c>
      <c r="G2570" s="17" t="s">
        <v>16</v>
      </c>
      <c r="H2570" s="5">
        <v>200</v>
      </c>
      <c r="I2570" s="5">
        <v>200</v>
      </c>
      <c r="J2570" s="5" t="s">
        <v>749</v>
      </c>
      <c r="K2570" s="10"/>
      <c r="L2570" s="10">
        <v>20201118</v>
      </c>
      <c r="M2570" s="36" t="str">
        <f t="shared" si="40"/>
        <v>19681005</v>
      </c>
    </row>
    <row r="2571" s="1" customFormat="1" spans="1:13">
      <c r="A2571" s="2">
        <v>7638</v>
      </c>
      <c r="B2571" s="5" t="s">
        <v>14402</v>
      </c>
      <c r="C2571" s="5" t="s">
        <v>14872</v>
      </c>
      <c r="D2571" s="5" t="s">
        <v>14873</v>
      </c>
      <c r="E2571" s="5">
        <v>2020</v>
      </c>
      <c r="F2571" s="5">
        <v>2020</v>
      </c>
      <c r="G2571" s="17" t="s">
        <v>16</v>
      </c>
      <c r="H2571" s="5">
        <v>200</v>
      </c>
      <c r="I2571" s="5">
        <v>200</v>
      </c>
      <c r="J2571" s="5"/>
      <c r="K2571" s="10"/>
      <c r="L2571" s="10">
        <v>20201118</v>
      </c>
      <c r="M2571" s="36" t="str">
        <f t="shared" si="40"/>
        <v>19681005</v>
      </c>
    </row>
    <row r="2572" s="1" customFormat="1" spans="1:13">
      <c r="A2572" s="2">
        <v>6164</v>
      </c>
      <c r="B2572" s="5" t="s">
        <v>12263</v>
      </c>
      <c r="C2572" s="5" t="s">
        <v>12359</v>
      </c>
      <c r="D2572" s="5" t="s">
        <v>12360</v>
      </c>
      <c r="E2572" s="5" t="s">
        <v>10250</v>
      </c>
      <c r="F2572" s="5">
        <v>2020</v>
      </c>
      <c r="G2572" s="17" t="s">
        <v>3359</v>
      </c>
      <c r="H2572" s="5">
        <v>200</v>
      </c>
      <c r="I2572" s="5">
        <v>200</v>
      </c>
      <c r="J2572" s="5"/>
      <c r="K2572" s="5"/>
      <c r="L2572" s="10">
        <v>20201118</v>
      </c>
      <c r="M2572" s="36" t="str">
        <f t="shared" si="40"/>
        <v>19681008</v>
      </c>
    </row>
    <row r="2573" s="1" customFormat="1" ht="14.25" spans="1:13">
      <c r="A2573" s="2">
        <v>5298</v>
      </c>
      <c r="B2573" s="33" t="s">
        <v>10535</v>
      </c>
      <c r="C2573" s="34" t="s">
        <v>10712</v>
      </c>
      <c r="D2573" s="34" t="s">
        <v>10713</v>
      </c>
      <c r="E2573" s="35">
        <v>2020</v>
      </c>
      <c r="F2573" s="35">
        <v>2020</v>
      </c>
      <c r="G2573" s="35" t="s">
        <v>16</v>
      </c>
      <c r="H2573" s="34">
        <v>200</v>
      </c>
      <c r="I2573" s="34">
        <v>200</v>
      </c>
      <c r="J2573" s="49"/>
      <c r="K2573" s="10"/>
      <c r="L2573" s="10">
        <v>20201118</v>
      </c>
      <c r="M2573" s="36" t="str">
        <f t="shared" si="40"/>
        <v>19681010</v>
      </c>
    </row>
    <row r="2574" s="1" customFormat="1" spans="1:13">
      <c r="A2574" s="2">
        <v>5594</v>
      </c>
      <c r="B2574" s="30" t="s">
        <v>11090</v>
      </c>
      <c r="C2574" s="30" t="s">
        <v>11281</v>
      </c>
      <c r="D2574" s="30" t="s">
        <v>11282</v>
      </c>
      <c r="E2574" s="5" t="s">
        <v>15</v>
      </c>
      <c r="F2574" s="5" t="s">
        <v>10250</v>
      </c>
      <c r="G2574" s="6" t="s">
        <v>16</v>
      </c>
      <c r="H2574" s="32">
        <v>500</v>
      </c>
      <c r="I2574" s="32">
        <v>500</v>
      </c>
      <c r="J2574" s="6"/>
      <c r="K2574" s="48"/>
      <c r="L2574" s="10">
        <v>20201118</v>
      </c>
      <c r="M2574" s="36" t="str">
        <f t="shared" si="40"/>
        <v>19681010</v>
      </c>
    </row>
    <row r="2575" s="1" customFormat="1" spans="1:13">
      <c r="A2575" s="2">
        <v>6975</v>
      </c>
      <c r="B2575" s="5" t="s">
        <v>13533</v>
      </c>
      <c r="C2575" s="32" t="s">
        <v>13724</v>
      </c>
      <c r="D2575" s="32" t="str">
        <f>"152326196810107128"</f>
        <v>152326196810107128</v>
      </c>
      <c r="E2575" s="5">
        <v>2020</v>
      </c>
      <c r="F2575" s="5">
        <v>2020</v>
      </c>
      <c r="G2575" s="9" t="s">
        <v>2480</v>
      </c>
      <c r="H2575" s="32">
        <v>200</v>
      </c>
      <c r="I2575" s="32">
        <v>200</v>
      </c>
      <c r="J2575" s="62"/>
      <c r="K2575" s="10"/>
      <c r="L2575" s="10">
        <v>20201118</v>
      </c>
      <c r="M2575" s="36" t="str">
        <f t="shared" si="40"/>
        <v>19681010</v>
      </c>
    </row>
    <row r="2576" s="1" customFormat="1" spans="1:13">
      <c r="A2576" s="2">
        <v>5830</v>
      </c>
      <c r="B2576" s="30" t="s">
        <v>11090</v>
      </c>
      <c r="C2576" s="30" t="s">
        <v>11727</v>
      </c>
      <c r="D2576" s="30" t="s">
        <v>11728</v>
      </c>
      <c r="E2576" s="5" t="s">
        <v>15</v>
      </c>
      <c r="F2576" s="5" t="s">
        <v>10250</v>
      </c>
      <c r="G2576" s="6" t="s">
        <v>16</v>
      </c>
      <c r="H2576" s="32">
        <v>200</v>
      </c>
      <c r="I2576" s="32">
        <v>200</v>
      </c>
      <c r="J2576" s="6"/>
      <c r="K2576" s="48"/>
      <c r="L2576" s="10">
        <v>20201118</v>
      </c>
      <c r="M2576" s="36" t="str">
        <f t="shared" si="40"/>
        <v>19681011</v>
      </c>
    </row>
    <row r="2577" s="1" customFormat="1" ht="14.25" spans="1:13">
      <c r="A2577" s="2">
        <v>7750</v>
      </c>
      <c r="B2577" s="5" t="s">
        <v>14875</v>
      </c>
      <c r="C2577" s="51" t="s">
        <v>14992</v>
      </c>
      <c r="D2577" s="24" t="s">
        <v>14993</v>
      </c>
      <c r="E2577" s="6" t="s">
        <v>15</v>
      </c>
      <c r="F2577" s="6">
        <v>2020</v>
      </c>
      <c r="G2577" s="24" t="s">
        <v>14877</v>
      </c>
      <c r="H2577" s="6">
        <v>200</v>
      </c>
      <c r="I2577" s="6">
        <v>200</v>
      </c>
      <c r="J2577" s="6"/>
      <c r="K2577" s="10"/>
      <c r="L2577" s="10">
        <v>20201118</v>
      </c>
      <c r="M2577" s="36" t="str">
        <f t="shared" si="40"/>
        <v>19681011</v>
      </c>
    </row>
    <row r="2578" s="1" customFormat="1" spans="1:13">
      <c r="A2578" s="2">
        <v>1035</v>
      </c>
      <c r="B2578" s="5" t="s">
        <v>2469</v>
      </c>
      <c r="C2578" s="9" t="s">
        <v>2661</v>
      </c>
      <c r="D2578" s="9" t="s">
        <v>2662</v>
      </c>
      <c r="E2578" s="5">
        <v>2020</v>
      </c>
      <c r="F2578" s="5">
        <v>2020</v>
      </c>
      <c r="G2578" s="9" t="s">
        <v>2480</v>
      </c>
      <c r="H2578" s="9">
        <v>200</v>
      </c>
      <c r="I2578" s="9">
        <v>200</v>
      </c>
      <c r="J2578" s="5"/>
      <c r="K2578" s="5"/>
      <c r="L2578" s="10">
        <v>20201118</v>
      </c>
      <c r="M2578" s="36" t="str">
        <f t="shared" si="40"/>
        <v>19681013</v>
      </c>
    </row>
    <row r="2579" s="1" customFormat="1" ht="14.25" spans="1:13">
      <c r="A2579" s="2">
        <v>4410</v>
      </c>
      <c r="B2579" s="73" t="s">
        <v>8515</v>
      </c>
      <c r="C2579" s="74" t="s">
        <v>9007</v>
      </c>
      <c r="D2579" s="319" t="s">
        <v>9008</v>
      </c>
      <c r="E2579" s="5" t="s">
        <v>320</v>
      </c>
      <c r="F2579" s="5">
        <v>2020</v>
      </c>
      <c r="G2579" s="74" t="s">
        <v>295</v>
      </c>
      <c r="H2579" s="73">
        <v>200</v>
      </c>
      <c r="I2579" s="73">
        <v>1600</v>
      </c>
      <c r="J2579" s="75"/>
      <c r="K2579" s="75"/>
      <c r="L2579" s="10">
        <v>20201118</v>
      </c>
      <c r="M2579" s="36" t="str">
        <f t="shared" si="40"/>
        <v>19681013</v>
      </c>
    </row>
    <row r="2580" s="1" customFormat="1" spans="1:13">
      <c r="A2580" s="2">
        <v>6360</v>
      </c>
      <c r="B2580" s="5" t="s">
        <v>12263</v>
      </c>
      <c r="C2580" s="5" t="s">
        <v>11873</v>
      </c>
      <c r="D2580" s="5" t="s">
        <v>12736</v>
      </c>
      <c r="E2580" s="5" t="s">
        <v>10250</v>
      </c>
      <c r="F2580" s="5">
        <v>2020</v>
      </c>
      <c r="G2580" s="17" t="s">
        <v>3359</v>
      </c>
      <c r="H2580" s="5" t="s">
        <v>311</v>
      </c>
      <c r="I2580" s="5">
        <v>200</v>
      </c>
      <c r="J2580" s="5"/>
      <c r="K2580" s="5"/>
      <c r="L2580" s="10">
        <v>20201118</v>
      </c>
      <c r="M2580" s="36" t="str">
        <f t="shared" si="40"/>
        <v>19681013</v>
      </c>
    </row>
    <row r="2581" s="1" customFormat="1" spans="1:13">
      <c r="A2581" s="2">
        <v>149</v>
      </c>
      <c r="B2581" s="14" t="s">
        <v>327</v>
      </c>
      <c r="C2581" s="14" t="s">
        <v>335</v>
      </c>
      <c r="D2581" s="14" t="s">
        <v>336</v>
      </c>
      <c r="E2581" s="5">
        <v>2020</v>
      </c>
      <c r="F2581" s="5">
        <v>2020</v>
      </c>
      <c r="G2581" s="14" t="s">
        <v>16</v>
      </c>
      <c r="H2581" s="14">
        <v>200</v>
      </c>
      <c r="I2581" s="14">
        <v>200</v>
      </c>
      <c r="J2581" s="14"/>
      <c r="K2581" s="10"/>
      <c r="L2581" s="2" t="s">
        <v>330</v>
      </c>
      <c r="M2581" s="36" t="str">
        <f t="shared" si="40"/>
        <v>19681014</v>
      </c>
    </row>
    <row r="2582" s="1" customFormat="1" spans="1:13">
      <c r="A2582" s="2">
        <v>6966</v>
      </c>
      <c r="B2582" s="5" t="s">
        <v>13533</v>
      </c>
      <c r="C2582" s="32" t="s">
        <v>13714</v>
      </c>
      <c r="D2582" s="32" t="str">
        <f>"152326196810147138"</f>
        <v>152326196810147138</v>
      </c>
      <c r="E2582" s="5">
        <v>2020</v>
      </c>
      <c r="F2582" s="5">
        <v>2020</v>
      </c>
      <c r="G2582" s="9" t="s">
        <v>2480</v>
      </c>
      <c r="H2582" s="32">
        <v>200</v>
      </c>
      <c r="I2582" s="32">
        <v>200</v>
      </c>
      <c r="J2582" s="32"/>
      <c r="K2582" s="10"/>
      <c r="L2582" s="10">
        <v>20201118</v>
      </c>
      <c r="M2582" s="36" t="str">
        <f t="shared" si="40"/>
        <v>19681014</v>
      </c>
    </row>
    <row r="2583" s="1" customFormat="1" spans="1:13">
      <c r="A2583" s="2">
        <v>8008</v>
      </c>
      <c r="B2583" s="5" t="s">
        <v>15086</v>
      </c>
      <c r="C2583" s="6" t="s">
        <v>15283</v>
      </c>
      <c r="D2583" s="6" t="str">
        <f>"152326196810156878"</f>
        <v>152326196810156878</v>
      </c>
      <c r="E2583" s="5" t="s">
        <v>15</v>
      </c>
      <c r="F2583" s="5">
        <v>2020</v>
      </c>
      <c r="G2583" s="5" t="s">
        <v>16</v>
      </c>
      <c r="H2583" s="5">
        <v>200</v>
      </c>
      <c r="I2583" s="5">
        <v>200</v>
      </c>
      <c r="J2583" s="5"/>
      <c r="K2583" s="5"/>
      <c r="L2583" s="10">
        <v>20201118</v>
      </c>
      <c r="M2583" s="36" t="str">
        <f t="shared" si="40"/>
        <v>19681015</v>
      </c>
    </row>
    <row r="2584" s="1" customFormat="1" spans="1:13">
      <c r="A2584" s="2">
        <v>2229</v>
      </c>
      <c r="B2584" s="9" t="s">
        <v>4837</v>
      </c>
      <c r="C2584" s="9" t="s">
        <v>5005</v>
      </c>
      <c r="D2584" s="9" t="s">
        <v>5006</v>
      </c>
      <c r="E2584" s="6" t="s">
        <v>15</v>
      </c>
      <c r="F2584" s="6">
        <v>2020</v>
      </c>
      <c r="G2584" s="9" t="s">
        <v>2480</v>
      </c>
      <c r="H2584" s="9">
        <v>200</v>
      </c>
      <c r="I2584" s="9">
        <v>200</v>
      </c>
      <c r="J2584" s="6"/>
      <c r="K2584" s="10"/>
      <c r="L2584" s="10">
        <v>20201118</v>
      </c>
      <c r="M2584" s="36" t="str">
        <f t="shared" si="40"/>
        <v>19681016</v>
      </c>
    </row>
    <row r="2585" s="1" customFormat="1" spans="1:13">
      <c r="A2585" s="2">
        <v>4241</v>
      </c>
      <c r="B2585" s="9" t="s">
        <v>8515</v>
      </c>
      <c r="C2585" s="9" t="s">
        <v>8682</v>
      </c>
      <c r="D2585" s="9" t="s">
        <v>8683</v>
      </c>
      <c r="E2585" s="5" t="s">
        <v>15</v>
      </c>
      <c r="F2585" s="5">
        <v>2020</v>
      </c>
      <c r="G2585" s="9" t="s">
        <v>2480</v>
      </c>
      <c r="H2585" s="9">
        <v>200</v>
      </c>
      <c r="I2585" s="9">
        <v>200</v>
      </c>
      <c r="J2585" s="9"/>
      <c r="K2585" s="9"/>
      <c r="L2585" s="10">
        <v>20201118</v>
      </c>
      <c r="M2585" s="36" t="str">
        <f t="shared" si="40"/>
        <v>19681016</v>
      </c>
    </row>
    <row r="2586" s="1" customFormat="1" spans="1:13">
      <c r="A2586" s="2">
        <v>4497</v>
      </c>
      <c r="B2586" s="6" t="s">
        <v>9015</v>
      </c>
      <c r="C2586" s="6" t="s">
        <v>9177</v>
      </c>
      <c r="D2586" s="6" t="s">
        <v>9178</v>
      </c>
      <c r="E2586" s="6">
        <v>2020</v>
      </c>
      <c r="F2586" s="6">
        <v>2020</v>
      </c>
      <c r="G2586" s="6" t="s">
        <v>16</v>
      </c>
      <c r="H2586" s="6">
        <v>200</v>
      </c>
      <c r="I2586" s="6">
        <v>200</v>
      </c>
      <c r="J2586" s="6"/>
      <c r="K2586" s="6"/>
      <c r="L2586" s="10">
        <v>20201118</v>
      </c>
      <c r="M2586" s="36" t="str">
        <f t="shared" si="40"/>
        <v>19681017</v>
      </c>
    </row>
    <row r="2587" s="1" customFormat="1" spans="1:13">
      <c r="A2587" s="2">
        <v>1570</v>
      </c>
      <c r="B2587" s="5" t="s">
        <v>3381</v>
      </c>
      <c r="C2587" s="9" t="s">
        <v>3705</v>
      </c>
      <c r="D2587" s="9" t="s">
        <v>3706</v>
      </c>
      <c r="E2587" s="5">
        <v>2020</v>
      </c>
      <c r="F2587" s="5">
        <v>2020</v>
      </c>
      <c r="G2587" s="14" t="s">
        <v>16</v>
      </c>
      <c r="H2587" s="6">
        <v>200</v>
      </c>
      <c r="I2587" s="6">
        <v>200</v>
      </c>
      <c r="J2587" s="5"/>
      <c r="K2587" s="13"/>
      <c r="L2587" s="10">
        <v>20201118</v>
      </c>
      <c r="M2587" s="36" t="str">
        <f t="shared" si="40"/>
        <v>19681019</v>
      </c>
    </row>
    <row r="2588" s="1" customFormat="1" spans="1:13">
      <c r="A2588" s="2">
        <v>2230</v>
      </c>
      <c r="B2588" s="9" t="s">
        <v>4837</v>
      </c>
      <c r="C2588" s="9" t="s">
        <v>5007</v>
      </c>
      <c r="D2588" s="9" t="s">
        <v>5008</v>
      </c>
      <c r="E2588" s="6" t="s">
        <v>15</v>
      </c>
      <c r="F2588" s="6">
        <v>2020</v>
      </c>
      <c r="G2588" s="9" t="s">
        <v>2480</v>
      </c>
      <c r="H2588" s="9">
        <v>200</v>
      </c>
      <c r="I2588" s="9">
        <v>200</v>
      </c>
      <c r="J2588" s="6"/>
      <c r="K2588" s="10"/>
      <c r="L2588" s="10">
        <v>20201118</v>
      </c>
      <c r="M2588" s="36" t="str">
        <f t="shared" si="40"/>
        <v>19681019</v>
      </c>
    </row>
    <row r="2589" s="1" customFormat="1" spans="1:13">
      <c r="A2589" s="2">
        <v>2429</v>
      </c>
      <c r="B2589" s="5" t="s">
        <v>5328</v>
      </c>
      <c r="C2589" s="16" t="s">
        <v>5398</v>
      </c>
      <c r="D2589" s="16" t="s">
        <v>5399</v>
      </c>
      <c r="E2589" s="5" t="s">
        <v>15</v>
      </c>
      <c r="F2589" s="5" t="s">
        <v>15</v>
      </c>
      <c r="G2589" s="14" t="s">
        <v>16</v>
      </c>
      <c r="H2589" s="6">
        <v>200</v>
      </c>
      <c r="I2589" s="6">
        <v>200</v>
      </c>
      <c r="J2589" s="5"/>
      <c r="K2589" s="5"/>
      <c r="L2589" s="10">
        <v>20201118</v>
      </c>
      <c r="M2589" s="36" t="str">
        <f t="shared" si="40"/>
        <v>19681020</v>
      </c>
    </row>
    <row r="2590" s="1" customFormat="1" ht="14.25" spans="1:13">
      <c r="A2590" s="2">
        <v>6081</v>
      </c>
      <c r="B2590" s="30" t="s">
        <v>11090</v>
      </c>
      <c r="C2590" s="6" t="s">
        <v>12201</v>
      </c>
      <c r="D2590" s="12" t="s">
        <v>12202</v>
      </c>
      <c r="E2590" s="5" t="s">
        <v>15</v>
      </c>
      <c r="F2590" s="5" t="s">
        <v>10250</v>
      </c>
      <c r="G2590" s="6" t="s">
        <v>16</v>
      </c>
      <c r="H2590" s="32">
        <v>200</v>
      </c>
      <c r="I2590" s="32">
        <v>200</v>
      </c>
      <c r="J2590" s="5" t="s">
        <v>6097</v>
      </c>
      <c r="K2590" s="48"/>
      <c r="L2590" s="10">
        <v>20201118</v>
      </c>
      <c r="M2590" s="36" t="str">
        <f t="shared" si="40"/>
        <v>19681020</v>
      </c>
    </row>
    <row r="2591" s="1" customFormat="1" spans="1:13">
      <c r="A2591" s="2">
        <v>7262</v>
      </c>
      <c r="B2591" s="5" t="s">
        <v>13908</v>
      </c>
      <c r="C2591" s="5" t="s">
        <v>14166</v>
      </c>
      <c r="D2591" s="5" t="s">
        <v>14167</v>
      </c>
      <c r="E2591" s="5" t="s">
        <v>15</v>
      </c>
      <c r="F2591" s="5" t="s">
        <v>15</v>
      </c>
      <c r="G2591" s="14" t="s">
        <v>16</v>
      </c>
      <c r="H2591" s="17">
        <v>200</v>
      </c>
      <c r="I2591" s="17">
        <v>200</v>
      </c>
      <c r="J2591" s="5"/>
      <c r="K2591" s="10"/>
      <c r="L2591" s="10">
        <v>20201118</v>
      </c>
      <c r="M2591" s="36" t="str">
        <f t="shared" si="40"/>
        <v>19681021</v>
      </c>
    </row>
    <row r="2592" s="1" customFormat="1" spans="1:13">
      <c r="A2592" s="2">
        <v>1571</v>
      </c>
      <c r="B2592" s="5" t="s">
        <v>3381</v>
      </c>
      <c r="C2592" s="9" t="s">
        <v>3707</v>
      </c>
      <c r="D2592" s="9" t="s">
        <v>3708</v>
      </c>
      <c r="E2592" s="5">
        <v>2020</v>
      </c>
      <c r="F2592" s="5">
        <v>2020</v>
      </c>
      <c r="G2592" s="14" t="s">
        <v>16</v>
      </c>
      <c r="H2592" s="6">
        <v>200</v>
      </c>
      <c r="I2592" s="6">
        <v>200</v>
      </c>
      <c r="J2592" s="5"/>
      <c r="K2592" s="13"/>
      <c r="L2592" s="10">
        <v>20201118</v>
      </c>
      <c r="M2592" s="36" t="str">
        <f t="shared" si="40"/>
        <v>19681024</v>
      </c>
    </row>
    <row r="2593" s="1" customFormat="1" spans="1:13">
      <c r="A2593" s="2">
        <v>1909</v>
      </c>
      <c r="B2593" s="5" t="s">
        <v>4189</v>
      </c>
      <c r="C2593" s="16" t="s">
        <v>1106</v>
      </c>
      <c r="D2593" s="16" t="s">
        <v>4379</v>
      </c>
      <c r="E2593" s="5" t="s">
        <v>15</v>
      </c>
      <c r="F2593" s="5" t="s">
        <v>15</v>
      </c>
      <c r="G2593" s="5" t="s">
        <v>3359</v>
      </c>
      <c r="H2593" s="16">
        <v>200</v>
      </c>
      <c r="I2593" s="16">
        <v>200</v>
      </c>
      <c r="J2593" s="5"/>
      <c r="K2593" s="10"/>
      <c r="L2593" s="10">
        <v>20201118</v>
      </c>
      <c r="M2593" s="36" t="str">
        <f t="shared" si="40"/>
        <v>19681024</v>
      </c>
    </row>
    <row r="2594" s="1" customFormat="1" spans="1:13">
      <c r="A2594" s="2">
        <v>827</v>
      </c>
      <c r="B2594" s="29" t="s">
        <v>1040</v>
      </c>
      <c r="C2594" s="5" t="s">
        <v>2130</v>
      </c>
      <c r="D2594" s="317" t="s">
        <v>2131</v>
      </c>
      <c r="E2594" s="30">
        <v>2020</v>
      </c>
      <c r="F2594" s="30">
        <v>2020</v>
      </c>
      <c r="G2594" s="29" t="s">
        <v>16</v>
      </c>
      <c r="H2594" s="29">
        <v>200</v>
      </c>
      <c r="I2594" s="29">
        <v>200</v>
      </c>
      <c r="J2594" s="32"/>
      <c r="K2594" s="32"/>
      <c r="L2594" s="14" t="s">
        <v>330</v>
      </c>
      <c r="M2594" s="36" t="str">
        <f t="shared" si="40"/>
        <v>19681025</v>
      </c>
    </row>
    <row r="2595" s="1" customFormat="1" spans="1:13">
      <c r="A2595" s="2">
        <v>720</v>
      </c>
      <c r="B2595" s="29" t="s">
        <v>1040</v>
      </c>
      <c r="C2595" s="5" t="s">
        <v>1811</v>
      </c>
      <c r="D2595" s="5" t="s">
        <v>1812</v>
      </c>
      <c r="E2595" s="30">
        <v>2020</v>
      </c>
      <c r="F2595" s="30">
        <v>2020</v>
      </c>
      <c r="G2595" s="29" t="s">
        <v>16</v>
      </c>
      <c r="H2595" s="29">
        <v>200</v>
      </c>
      <c r="I2595" s="29">
        <v>200</v>
      </c>
      <c r="J2595" s="29"/>
      <c r="K2595" s="54"/>
      <c r="L2595" s="2" t="s">
        <v>330</v>
      </c>
      <c r="M2595" s="36" t="str">
        <f t="shared" si="40"/>
        <v>19681027</v>
      </c>
    </row>
    <row r="2596" s="1" customFormat="1" spans="1:13">
      <c r="A2596" s="2">
        <v>6965</v>
      </c>
      <c r="B2596" s="5" t="s">
        <v>13533</v>
      </c>
      <c r="C2596" s="32" t="s">
        <v>13713</v>
      </c>
      <c r="D2596" s="32" t="str">
        <f>"152326196810287114"</f>
        <v>152326196810287114</v>
      </c>
      <c r="E2596" s="5">
        <v>2020</v>
      </c>
      <c r="F2596" s="5">
        <v>2020</v>
      </c>
      <c r="G2596" s="9" t="s">
        <v>2480</v>
      </c>
      <c r="H2596" s="32">
        <v>200</v>
      </c>
      <c r="I2596" s="32">
        <v>200</v>
      </c>
      <c r="J2596" s="32"/>
      <c r="K2596" s="10"/>
      <c r="L2596" s="10">
        <v>20201118</v>
      </c>
      <c r="M2596" s="36" t="str">
        <f t="shared" si="40"/>
        <v>19681028</v>
      </c>
    </row>
    <row r="2597" s="1" customFormat="1" spans="1:13">
      <c r="A2597" s="2">
        <v>6968</v>
      </c>
      <c r="B2597" s="5" t="s">
        <v>13533</v>
      </c>
      <c r="C2597" s="32" t="s">
        <v>13716</v>
      </c>
      <c r="D2597" s="32" t="str">
        <f>"152326196810287149"</f>
        <v>152326196810287149</v>
      </c>
      <c r="E2597" s="5">
        <v>2020</v>
      </c>
      <c r="F2597" s="5">
        <v>2020</v>
      </c>
      <c r="G2597" s="9" t="s">
        <v>2480</v>
      </c>
      <c r="H2597" s="32">
        <v>200</v>
      </c>
      <c r="I2597" s="32">
        <v>200</v>
      </c>
      <c r="J2597" s="32"/>
      <c r="K2597" s="10"/>
      <c r="L2597" s="10">
        <v>20201118</v>
      </c>
      <c r="M2597" s="36" t="str">
        <f t="shared" si="40"/>
        <v>19681028</v>
      </c>
    </row>
    <row r="2598" s="1" customFormat="1" spans="1:13">
      <c r="A2598" s="2">
        <v>7379</v>
      </c>
      <c r="B2598" s="5" t="s">
        <v>13908</v>
      </c>
      <c r="C2598" s="5" t="s">
        <v>14383</v>
      </c>
      <c r="D2598" s="5" t="s">
        <v>14384</v>
      </c>
      <c r="E2598" s="5" t="s">
        <v>15</v>
      </c>
      <c r="F2598" s="5" t="s">
        <v>15</v>
      </c>
      <c r="G2598" s="14" t="s">
        <v>16</v>
      </c>
      <c r="H2598" s="17">
        <v>200</v>
      </c>
      <c r="I2598" s="17">
        <v>200</v>
      </c>
      <c r="J2598" s="5"/>
      <c r="K2598" s="10"/>
      <c r="L2598" s="10">
        <v>20201118</v>
      </c>
      <c r="M2598" s="36" t="str">
        <f t="shared" si="40"/>
        <v>19681028</v>
      </c>
    </row>
    <row r="2599" s="1" customFormat="1" spans="1:13">
      <c r="A2599" s="2">
        <v>8196</v>
      </c>
      <c r="B2599" s="5" t="s">
        <v>15406</v>
      </c>
      <c r="C2599" s="6" t="s">
        <v>12371</v>
      </c>
      <c r="D2599" s="6" t="s">
        <v>15577</v>
      </c>
      <c r="E2599" s="5" t="s">
        <v>15</v>
      </c>
      <c r="F2599" s="5">
        <v>2020</v>
      </c>
      <c r="G2599" s="14" t="s">
        <v>16</v>
      </c>
      <c r="H2599" s="6">
        <v>200</v>
      </c>
      <c r="I2599" s="6">
        <v>200</v>
      </c>
      <c r="J2599" s="5"/>
      <c r="K2599" s="10"/>
      <c r="L2599" s="10">
        <v>20201118</v>
      </c>
      <c r="M2599" s="36" t="str">
        <f t="shared" si="40"/>
        <v>19681028</v>
      </c>
    </row>
    <row r="2600" s="1" customFormat="1" spans="1:13">
      <c r="A2600" s="2">
        <v>1572</v>
      </c>
      <c r="B2600" s="5" t="s">
        <v>3381</v>
      </c>
      <c r="C2600" s="9" t="s">
        <v>3709</v>
      </c>
      <c r="D2600" s="9" t="s">
        <v>3710</v>
      </c>
      <c r="E2600" s="5">
        <v>2020</v>
      </c>
      <c r="F2600" s="5">
        <v>2020</v>
      </c>
      <c r="G2600" s="14" t="s">
        <v>16</v>
      </c>
      <c r="H2600" s="6">
        <v>500</v>
      </c>
      <c r="I2600" s="6">
        <v>500</v>
      </c>
      <c r="J2600" s="5"/>
      <c r="K2600" s="13"/>
      <c r="L2600" s="10">
        <v>20201118</v>
      </c>
      <c r="M2600" s="36" t="str">
        <f t="shared" si="40"/>
        <v>19681102</v>
      </c>
    </row>
    <row r="2601" s="1" customFormat="1" ht="14.25" spans="1:13">
      <c r="A2601" s="2">
        <v>3184</v>
      </c>
      <c r="B2601" s="3" t="s">
        <v>6671</v>
      </c>
      <c r="C2601" s="8" t="s">
        <v>6879</v>
      </c>
      <c r="D2601" s="8" t="s">
        <v>6880</v>
      </c>
      <c r="E2601" s="3" t="s">
        <v>15</v>
      </c>
      <c r="F2601" s="3" t="s">
        <v>15</v>
      </c>
      <c r="G2601" s="6" t="s">
        <v>3359</v>
      </c>
      <c r="H2601" s="9">
        <v>200</v>
      </c>
      <c r="I2601" s="9">
        <v>200</v>
      </c>
      <c r="J2601" s="6"/>
      <c r="K2601" s="5"/>
      <c r="L2601" s="10">
        <v>20201118</v>
      </c>
      <c r="M2601" s="36" t="str">
        <f t="shared" si="40"/>
        <v>19681102</v>
      </c>
    </row>
    <row r="2602" s="1" customFormat="1" spans="1:13">
      <c r="A2602" s="2">
        <v>1573</v>
      </c>
      <c r="B2602" s="5" t="s">
        <v>3381</v>
      </c>
      <c r="C2602" s="9" t="s">
        <v>2538</v>
      </c>
      <c r="D2602" s="9" t="s">
        <v>3711</v>
      </c>
      <c r="E2602" s="5">
        <v>2020</v>
      </c>
      <c r="F2602" s="5">
        <v>2020</v>
      </c>
      <c r="G2602" s="14" t="s">
        <v>16</v>
      </c>
      <c r="H2602" s="6">
        <v>200</v>
      </c>
      <c r="I2602" s="6">
        <v>200</v>
      </c>
      <c r="J2602" s="5"/>
      <c r="K2602" s="13"/>
      <c r="L2602" s="10">
        <v>20201118</v>
      </c>
      <c r="M2602" s="36" t="str">
        <f t="shared" si="40"/>
        <v>19681103</v>
      </c>
    </row>
    <row r="2603" s="1" customFormat="1" spans="1:13">
      <c r="A2603" s="2">
        <v>3773</v>
      </c>
      <c r="B2603" s="5" t="s">
        <v>7412</v>
      </c>
      <c r="C2603" s="5" t="s">
        <v>7796</v>
      </c>
      <c r="D2603" s="5" t="s">
        <v>7797</v>
      </c>
      <c r="E2603" s="6">
        <v>2020</v>
      </c>
      <c r="F2603" s="6">
        <v>2020</v>
      </c>
      <c r="G2603" s="5" t="s">
        <v>3359</v>
      </c>
      <c r="H2603" s="5">
        <v>200</v>
      </c>
      <c r="I2603" s="5">
        <v>200</v>
      </c>
      <c r="J2603" s="5"/>
      <c r="K2603" s="5"/>
      <c r="L2603" s="10">
        <v>20201118</v>
      </c>
      <c r="M2603" s="36" t="str">
        <f t="shared" si="40"/>
        <v>19681103</v>
      </c>
    </row>
    <row r="2604" s="1" customFormat="1" spans="1:13">
      <c r="A2604" s="2">
        <v>2602</v>
      </c>
      <c r="B2604" s="32" t="s">
        <v>5602</v>
      </c>
      <c r="C2604" s="9" t="s">
        <v>5738</v>
      </c>
      <c r="D2604" s="9" t="s">
        <v>5739</v>
      </c>
      <c r="E2604" s="32">
        <v>2020</v>
      </c>
      <c r="F2604" s="32">
        <v>2020</v>
      </c>
      <c r="G2604" s="32" t="s">
        <v>16</v>
      </c>
      <c r="H2604" s="9">
        <v>200</v>
      </c>
      <c r="I2604" s="9">
        <v>200</v>
      </c>
      <c r="J2604" s="32"/>
      <c r="K2604" s="52"/>
      <c r="L2604" s="10">
        <v>20201118</v>
      </c>
      <c r="M2604" s="36" t="str">
        <f t="shared" si="40"/>
        <v>19681104</v>
      </c>
    </row>
    <row r="2605" s="1" customFormat="1" ht="14.25" spans="1:13">
      <c r="A2605" s="2">
        <v>2840</v>
      </c>
      <c r="B2605" s="6" t="s">
        <v>6075</v>
      </c>
      <c r="C2605" s="25" t="s">
        <v>6207</v>
      </c>
      <c r="D2605" s="26" t="s">
        <v>6208</v>
      </c>
      <c r="E2605" s="5" t="s">
        <v>15</v>
      </c>
      <c r="F2605" s="5">
        <v>2020</v>
      </c>
      <c r="G2605" s="6" t="s">
        <v>16</v>
      </c>
      <c r="H2605" s="6">
        <v>200</v>
      </c>
      <c r="I2605" s="6">
        <v>200</v>
      </c>
      <c r="J2605" s="6"/>
      <c r="K2605" s="10"/>
      <c r="L2605" s="10">
        <v>20201118</v>
      </c>
      <c r="M2605" s="36" t="str">
        <f t="shared" si="40"/>
        <v>19681105</v>
      </c>
    </row>
    <row r="2606" s="1" customFormat="1" spans="1:13">
      <c r="A2606" s="2">
        <v>4487</v>
      </c>
      <c r="B2606" s="6" t="s">
        <v>9015</v>
      </c>
      <c r="C2606" s="6" t="s">
        <v>9157</v>
      </c>
      <c r="D2606" s="6" t="s">
        <v>9158</v>
      </c>
      <c r="E2606" s="6">
        <v>2020</v>
      </c>
      <c r="F2606" s="6">
        <v>2020</v>
      </c>
      <c r="G2606" s="6" t="s">
        <v>16</v>
      </c>
      <c r="H2606" s="6">
        <v>200</v>
      </c>
      <c r="I2606" s="6">
        <v>200</v>
      </c>
      <c r="J2606" s="6"/>
      <c r="K2606" s="6"/>
      <c r="L2606" s="10">
        <v>20201118</v>
      </c>
      <c r="M2606" s="36" t="str">
        <f t="shared" si="40"/>
        <v>19681105</v>
      </c>
    </row>
    <row r="2607" s="1" customFormat="1" spans="1:13">
      <c r="A2607" s="2">
        <v>403</v>
      </c>
      <c r="B2607" s="29" t="s">
        <v>1040</v>
      </c>
      <c r="C2607" s="29" t="s">
        <v>1083</v>
      </c>
      <c r="D2607" s="29" t="s">
        <v>1084</v>
      </c>
      <c r="E2607" s="30">
        <v>2020</v>
      </c>
      <c r="F2607" s="30">
        <v>2020</v>
      </c>
      <c r="G2607" s="29" t="s">
        <v>16</v>
      </c>
      <c r="H2607" s="29">
        <v>200</v>
      </c>
      <c r="I2607" s="29">
        <v>200</v>
      </c>
      <c r="J2607" s="29" t="s">
        <v>1082</v>
      </c>
      <c r="K2607" s="47"/>
      <c r="L2607" s="14" t="s">
        <v>330</v>
      </c>
      <c r="M2607" s="36" t="str">
        <f t="shared" si="40"/>
        <v>19681112</v>
      </c>
    </row>
    <row r="2608" s="1" customFormat="1" spans="1:13">
      <c r="A2608" s="2">
        <v>6255</v>
      </c>
      <c r="B2608" s="5" t="s">
        <v>12263</v>
      </c>
      <c r="C2608" s="5" t="s">
        <v>12532</v>
      </c>
      <c r="D2608" s="5" t="s">
        <v>12533</v>
      </c>
      <c r="E2608" s="5" t="s">
        <v>10250</v>
      </c>
      <c r="F2608" s="5">
        <v>2020</v>
      </c>
      <c r="G2608" s="17" t="s">
        <v>3359</v>
      </c>
      <c r="H2608" s="5">
        <v>200</v>
      </c>
      <c r="I2608" s="5">
        <v>200</v>
      </c>
      <c r="J2608" s="5"/>
      <c r="K2608" s="5"/>
      <c r="L2608" s="10">
        <v>20201118</v>
      </c>
      <c r="M2608" s="36" t="str">
        <f t="shared" si="40"/>
        <v>19681113</v>
      </c>
    </row>
    <row r="2609" s="1" customFormat="1" spans="1:13">
      <c r="A2609" s="2">
        <v>7248</v>
      </c>
      <c r="B2609" s="5" t="s">
        <v>13908</v>
      </c>
      <c r="C2609" s="5" t="s">
        <v>14139</v>
      </c>
      <c r="D2609" s="5" t="s">
        <v>14140</v>
      </c>
      <c r="E2609" s="5" t="s">
        <v>15</v>
      </c>
      <c r="F2609" s="5" t="s">
        <v>15</v>
      </c>
      <c r="G2609" s="14" t="s">
        <v>16</v>
      </c>
      <c r="H2609" s="17">
        <v>500</v>
      </c>
      <c r="I2609" s="17">
        <v>500</v>
      </c>
      <c r="J2609" s="5"/>
      <c r="K2609" s="10"/>
      <c r="L2609" s="10">
        <v>20201118</v>
      </c>
      <c r="M2609" s="36" t="str">
        <f t="shared" si="40"/>
        <v>19681114</v>
      </c>
    </row>
    <row r="2610" s="1" customFormat="1" spans="1:13">
      <c r="A2610" s="2">
        <v>1036</v>
      </c>
      <c r="B2610" s="5" t="s">
        <v>2469</v>
      </c>
      <c r="C2610" s="9" t="s">
        <v>2663</v>
      </c>
      <c r="D2610" s="9" t="s">
        <v>2664</v>
      </c>
      <c r="E2610" s="5">
        <v>2020</v>
      </c>
      <c r="F2610" s="5">
        <v>2020</v>
      </c>
      <c r="G2610" s="9" t="s">
        <v>2480</v>
      </c>
      <c r="H2610" s="9">
        <v>200</v>
      </c>
      <c r="I2610" s="9">
        <v>200</v>
      </c>
      <c r="J2610" s="5"/>
      <c r="K2610" s="5"/>
      <c r="L2610" s="10">
        <v>20201118</v>
      </c>
      <c r="M2610" s="36" t="str">
        <f t="shared" si="40"/>
        <v>19681115</v>
      </c>
    </row>
    <row r="2611" s="1" customFormat="1" spans="1:13">
      <c r="A2611" s="2">
        <v>2231</v>
      </c>
      <c r="B2611" s="9" t="s">
        <v>4837</v>
      </c>
      <c r="C2611" s="9" t="s">
        <v>5009</v>
      </c>
      <c r="D2611" s="9" t="s">
        <v>5010</v>
      </c>
      <c r="E2611" s="6" t="s">
        <v>15</v>
      </c>
      <c r="F2611" s="6">
        <v>2020</v>
      </c>
      <c r="G2611" s="9" t="s">
        <v>2480</v>
      </c>
      <c r="H2611" s="9">
        <v>200</v>
      </c>
      <c r="I2611" s="9">
        <v>200</v>
      </c>
      <c r="J2611" s="6"/>
      <c r="K2611" s="10"/>
      <c r="L2611" s="10">
        <v>20201118</v>
      </c>
      <c r="M2611" s="36" t="str">
        <f t="shared" si="40"/>
        <v>19681117</v>
      </c>
    </row>
    <row r="2612" s="1" customFormat="1" spans="1:13">
      <c r="A2612" s="2">
        <v>6331</v>
      </c>
      <c r="B2612" s="5" t="s">
        <v>12263</v>
      </c>
      <c r="C2612" s="5" t="s">
        <v>12678</v>
      </c>
      <c r="D2612" s="5" t="s">
        <v>12679</v>
      </c>
      <c r="E2612" s="5" t="s">
        <v>10250</v>
      </c>
      <c r="F2612" s="5">
        <v>2020</v>
      </c>
      <c r="G2612" s="17" t="s">
        <v>3359</v>
      </c>
      <c r="H2612" s="5" t="s">
        <v>311</v>
      </c>
      <c r="I2612" s="5">
        <v>200</v>
      </c>
      <c r="J2612" s="5"/>
      <c r="K2612" s="5"/>
      <c r="L2612" s="10">
        <v>20201118</v>
      </c>
      <c r="M2612" s="36" t="str">
        <f t="shared" si="40"/>
        <v>19681117</v>
      </c>
    </row>
    <row r="2613" s="1" customFormat="1" spans="1:13">
      <c r="A2613" s="2">
        <v>224</v>
      </c>
      <c r="B2613" s="14" t="s">
        <v>327</v>
      </c>
      <c r="C2613" s="14" t="s">
        <v>558</v>
      </c>
      <c r="D2613" s="14" t="s">
        <v>559</v>
      </c>
      <c r="E2613" s="5">
        <v>2020</v>
      </c>
      <c r="F2613" s="5">
        <v>2020</v>
      </c>
      <c r="G2613" s="14" t="s">
        <v>16</v>
      </c>
      <c r="H2613" s="14">
        <v>200</v>
      </c>
      <c r="I2613" s="14">
        <v>200</v>
      </c>
      <c r="J2613" s="14"/>
      <c r="K2613" s="10"/>
      <c r="L2613" s="14" t="s">
        <v>330</v>
      </c>
      <c r="M2613" s="36" t="str">
        <f t="shared" si="40"/>
        <v>19681118</v>
      </c>
    </row>
    <row r="2614" s="1" customFormat="1" ht="14.25" spans="1:13">
      <c r="A2614" s="2">
        <v>2804</v>
      </c>
      <c r="B2614" s="6" t="s">
        <v>6075</v>
      </c>
      <c r="C2614" s="25" t="s">
        <v>6137</v>
      </c>
      <c r="D2614" s="26" t="s">
        <v>6138</v>
      </c>
      <c r="E2614" s="5" t="s">
        <v>15</v>
      </c>
      <c r="F2614" s="5">
        <v>2020</v>
      </c>
      <c r="G2614" s="6" t="s">
        <v>16</v>
      </c>
      <c r="H2614" s="6">
        <v>200</v>
      </c>
      <c r="I2614" s="6">
        <v>200</v>
      </c>
      <c r="J2614" s="6"/>
      <c r="K2614" s="10"/>
      <c r="L2614" s="10">
        <v>20201118</v>
      </c>
      <c r="M2614" s="36" t="str">
        <f t="shared" si="40"/>
        <v>19681120</v>
      </c>
    </row>
    <row r="2615" s="1" customFormat="1" spans="1:13">
      <c r="A2615" s="2">
        <v>6963</v>
      </c>
      <c r="B2615" s="5" t="s">
        <v>13533</v>
      </c>
      <c r="C2615" s="32" t="s">
        <v>13712</v>
      </c>
      <c r="D2615" s="32" t="str">
        <f>"152326196811207120"</f>
        <v>152326196811207120</v>
      </c>
      <c r="E2615" s="5">
        <v>2020</v>
      </c>
      <c r="F2615" s="5">
        <v>2020</v>
      </c>
      <c r="G2615" s="9" t="s">
        <v>2480</v>
      </c>
      <c r="H2615" s="32">
        <v>200</v>
      </c>
      <c r="I2615" s="32">
        <v>200</v>
      </c>
      <c r="J2615" s="32"/>
      <c r="K2615" s="10"/>
      <c r="L2615" s="10">
        <v>20201118</v>
      </c>
      <c r="M2615" s="36" t="str">
        <f t="shared" si="40"/>
        <v>19681120</v>
      </c>
    </row>
    <row r="2616" s="1" customFormat="1" spans="1:13">
      <c r="A2616" s="2">
        <v>4242</v>
      </c>
      <c r="B2616" s="9" t="s">
        <v>8515</v>
      </c>
      <c r="C2616" s="9" t="s">
        <v>8684</v>
      </c>
      <c r="D2616" s="9" t="s">
        <v>8685</v>
      </c>
      <c r="E2616" s="5" t="s">
        <v>15</v>
      </c>
      <c r="F2616" s="5">
        <v>2020</v>
      </c>
      <c r="G2616" s="9" t="s">
        <v>2480</v>
      </c>
      <c r="H2616" s="9">
        <v>200</v>
      </c>
      <c r="I2616" s="9">
        <v>200</v>
      </c>
      <c r="J2616" s="9"/>
      <c r="K2616" s="9"/>
      <c r="L2616" s="10">
        <v>20201118</v>
      </c>
      <c r="M2616" s="36" t="str">
        <f t="shared" si="40"/>
        <v>19681121</v>
      </c>
    </row>
    <row r="2617" s="1" customFormat="1" spans="1:13">
      <c r="A2617" s="2">
        <v>1037</v>
      </c>
      <c r="B2617" s="5" t="s">
        <v>2469</v>
      </c>
      <c r="C2617" s="9" t="s">
        <v>2665</v>
      </c>
      <c r="D2617" s="9" t="s">
        <v>2666</v>
      </c>
      <c r="E2617" s="5">
        <v>2020</v>
      </c>
      <c r="F2617" s="5">
        <v>2020</v>
      </c>
      <c r="G2617" s="9" t="s">
        <v>2480</v>
      </c>
      <c r="H2617" s="9">
        <v>200</v>
      </c>
      <c r="I2617" s="9">
        <v>200</v>
      </c>
      <c r="J2617" s="5"/>
      <c r="K2617" s="5"/>
      <c r="L2617" s="10">
        <v>20201118</v>
      </c>
      <c r="M2617" s="36" t="str">
        <f t="shared" si="40"/>
        <v>19681126</v>
      </c>
    </row>
    <row r="2618" s="1" customFormat="1" spans="1:13">
      <c r="A2618" s="2">
        <v>6199</v>
      </c>
      <c r="B2618" s="5" t="s">
        <v>12263</v>
      </c>
      <c r="C2618" s="5" t="s">
        <v>1369</v>
      </c>
      <c r="D2618" s="5" t="s">
        <v>12427</v>
      </c>
      <c r="E2618" s="5" t="s">
        <v>10250</v>
      </c>
      <c r="F2618" s="5">
        <v>2020</v>
      </c>
      <c r="G2618" s="17" t="s">
        <v>3359</v>
      </c>
      <c r="H2618" s="5">
        <v>200</v>
      </c>
      <c r="I2618" s="5">
        <v>200</v>
      </c>
      <c r="J2618" s="5"/>
      <c r="K2618" s="5"/>
      <c r="L2618" s="10">
        <v>20201118</v>
      </c>
      <c r="M2618" s="36" t="str">
        <f t="shared" si="40"/>
        <v>19681126</v>
      </c>
    </row>
    <row r="2619" s="1" customFormat="1" spans="1:13">
      <c r="A2619" s="2">
        <v>6597</v>
      </c>
      <c r="B2619" s="5" t="s">
        <v>13027</v>
      </c>
      <c r="C2619" s="15" t="s">
        <v>13184</v>
      </c>
      <c r="D2619" s="15" t="s">
        <v>13185</v>
      </c>
      <c r="E2619" s="5">
        <v>2020</v>
      </c>
      <c r="F2619" s="5">
        <v>2020</v>
      </c>
      <c r="G2619" s="14" t="s">
        <v>16</v>
      </c>
      <c r="H2619" s="15">
        <v>200</v>
      </c>
      <c r="I2619" s="15">
        <v>200</v>
      </c>
      <c r="J2619" s="5"/>
      <c r="K2619" s="10"/>
      <c r="L2619" s="10">
        <v>20201118</v>
      </c>
      <c r="M2619" s="36" t="str">
        <f t="shared" si="40"/>
        <v>19681126</v>
      </c>
    </row>
    <row r="2620" s="1" customFormat="1" spans="1:13">
      <c r="A2620" s="2">
        <v>899</v>
      </c>
      <c r="B2620" s="29" t="s">
        <v>1040</v>
      </c>
      <c r="C2620" s="6" t="s">
        <v>2344</v>
      </c>
      <c r="D2620" s="6" t="s">
        <v>2345</v>
      </c>
      <c r="E2620" s="30">
        <v>2020</v>
      </c>
      <c r="F2620" s="30">
        <v>2020</v>
      </c>
      <c r="G2620" s="29" t="s">
        <v>16</v>
      </c>
      <c r="H2620" s="29">
        <v>200</v>
      </c>
      <c r="I2620" s="29">
        <v>200</v>
      </c>
      <c r="J2620" s="32"/>
      <c r="K2620" s="32"/>
      <c r="L2620" s="14" t="s">
        <v>330</v>
      </c>
      <c r="M2620" s="36" t="str">
        <f t="shared" si="40"/>
        <v>19681127</v>
      </c>
    </row>
    <row r="2621" s="1" customFormat="1" spans="1:13">
      <c r="A2621" s="2">
        <v>4801</v>
      </c>
      <c r="B2621" s="6" t="s">
        <v>9015</v>
      </c>
      <c r="C2621" s="6" t="s">
        <v>9750</v>
      </c>
      <c r="D2621" s="6" t="s">
        <v>9751</v>
      </c>
      <c r="E2621" s="6">
        <v>2020</v>
      </c>
      <c r="F2621" s="6">
        <v>2020</v>
      </c>
      <c r="G2621" s="6" t="s">
        <v>16</v>
      </c>
      <c r="H2621" s="6">
        <v>200</v>
      </c>
      <c r="I2621" s="6">
        <v>200</v>
      </c>
      <c r="J2621" s="6"/>
      <c r="K2621" s="6"/>
      <c r="L2621" s="10">
        <v>20201118</v>
      </c>
      <c r="M2621" s="36" t="str">
        <f t="shared" si="40"/>
        <v>19681127</v>
      </c>
    </row>
    <row r="2622" s="1" customFormat="1" spans="1:13">
      <c r="A2622" s="2">
        <v>7553</v>
      </c>
      <c r="B2622" s="5" t="s">
        <v>14402</v>
      </c>
      <c r="C2622" s="5" t="s">
        <v>5379</v>
      </c>
      <c r="D2622" s="5" t="s">
        <v>14712</v>
      </c>
      <c r="E2622" s="5">
        <v>2020</v>
      </c>
      <c r="F2622" s="5">
        <v>2020</v>
      </c>
      <c r="G2622" s="17" t="s">
        <v>16</v>
      </c>
      <c r="H2622" s="5">
        <v>200</v>
      </c>
      <c r="I2622" s="5">
        <v>200</v>
      </c>
      <c r="J2622" s="5"/>
      <c r="K2622" s="10"/>
      <c r="L2622" s="10">
        <v>20201118</v>
      </c>
      <c r="M2622" s="36" t="str">
        <f t="shared" si="40"/>
        <v>19681129</v>
      </c>
    </row>
    <row r="2623" s="1" customFormat="1" spans="1:13">
      <c r="A2623" s="2">
        <v>1766</v>
      </c>
      <c r="B2623" s="5" t="s">
        <v>3381</v>
      </c>
      <c r="C2623" s="9" t="s">
        <v>4093</v>
      </c>
      <c r="D2623" s="287" t="s">
        <v>4094</v>
      </c>
      <c r="E2623" s="5">
        <v>2011</v>
      </c>
      <c r="F2623" s="5">
        <v>2020</v>
      </c>
      <c r="G2623" s="14" t="s">
        <v>289</v>
      </c>
      <c r="H2623" s="18">
        <v>200</v>
      </c>
      <c r="I2623" s="6">
        <v>2000</v>
      </c>
      <c r="J2623" s="5"/>
      <c r="K2623" s="13"/>
      <c r="L2623" s="10">
        <v>20201118</v>
      </c>
      <c r="M2623" s="36" t="str">
        <f t="shared" si="40"/>
        <v>19681201</v>
      </c>
    </row>
    <row r="2624" s="1" customFormat="1" spans="1:13">
      <c r="A2624" s="2">
        <v>6967</v>
      </c>
      <c r="B2624" s="5" t="s">
        <v>13533</v>
      </c>
      <c r="C2624" s="32" t="s">
        <v>13715</v>
      </c>
      <c r="D2624" s="32" t="str">
        <f>"152326196812027113"</f>
        <v>152326196812027113</v>
      </c>
      <c r="E2624" s="5">
        <v>2020</v>
      </c>
      <c r="F2624" s="5">
        <v>2020</v>
      </c>
      <c r="G2624" s="9" t="s">
        <v>2480</v>
      </c>
      <c r="H2624" s="32">
        <v>200</v>
      </c>
      <c r="I2624" s="32">
        <v>200</v>
      </c>
      <c r="J2624" s="32"/>
      <c r="K2624" s="10"/>
      <c r="L2624" s="10">
        <v>20201118</v>
      </c>
      <c r="M2624" s="36" t="str">
        <f t="shared" si="40"/>
        <v>19681202</v>
      </c>
    </row>
    <row r="2625" s="1" customFormat="1" spans="1:13">
      <c r="A2625" s="2">
        <v>4805</v>
      </c>
      <c r="B2625" s="6" t="s">
        <v>9015</v>
      </c>
      <c r="C2625" s="6" t="s">
        <v>9758</v>
      </c>
      <c r="D2625" s="6" t="s">
        <v>9759</v>
      </c>
      <c r="E2625" s="6">
        <v>2020</v>
      </c>
      <c r="F2625" s="6">
        <v>2020</v>
      </c>
      <c r="G2625" s="6" t="s">
        <v>16</v>
      </c>
      <c r="H2625" s="6">
        <v>200</v>
      </c>
      <c r="I2625" s="6">
        <v>200</v>
      </c>
      <c r="J2625" s="6"/>
      <c r="K2625" s="6"/>
      <c r="L2625" s="10">
        <v>20201118</v>
      </c>
      <c r="M2625" s="36" t="str">
        <f t="shared" si="40"/>
        <v>19681204</v>
      </c>
    </row>
    <row r="2626" s="1" customFormat="1" spans="1:13">
      <c r="A2626" s="2">
        <v>1905</v>
      </c>
      <c r="B2626" s="5" t="s">
        <v>4189</v>
      </c>
      <c r="C2626" s="16" t="s">
        <v>4371</v>
      </c>
      <c r="D2626" s="16" t="s">
        <v>4372</v>
      </c>
      <c r="E2626" s="5" t="s">
        <v>15</v>
      </c>
      <c r="F2626" s="5" t="s">
        <v>15</v>
      </c>
      <c r="G2626" s="5" t="s">
        <v>3359</v>
      </c>
      <c r="H2626" s="16">
        <v>200</v>
      </c>
      <c r="I2626" s="16">
        <v>200</v>
      </c>
      <c r="J2626" s="5"/>
      <c r="K2626" s="10"/>
      <c r="L2626" s="10">
        <v>20201118</v>
      </c>
      <c r="M2626" s="36" t="str">
        <f t="shared" ref="M2626:M2689" si="41">MID(D2626,7,8)</f>
        <v>19681208</v>
      </c>
    </row>
    <row r="2627" s="1" customFormat="1" spans="1:13">
      <c r="A2627" s="2">
        <v>5843</v>
      </c>
      <c r="B2627" s="30" t="s">
        <v>11090</v>
      </c>
      <c r="C2627" s="30" t="s">
        <v>11752</v>
      </c>
      <c r="D2627" s="30" t="s">
        <v>11753</v>
      </c>
      <c r="E2627" s="5" t="s">
        <v>15</v>
      </c>
      <c r="F2627" s="5" t="s">
        <v>10250</v>
      </c>
      <c r="G2627" s="6" t="s">
        <v>16</v>
      </c>
      <c r="H2627" s="32">
        <v>200</v>
      </c>
      <c r="I2627" s="32">
        <v>200</v>
      </c>
      <c r="J2627" s="6"/>
      <c r="K2627" s="48"/>
      <c r="L2627" s="10">
        <v>20201118</v>
      </c>
      <c r="M2627" s="36" t="str">
        <f t="shared" si="41"/>
        <v>19681208</v>
      </c>
    </row>
    <row r="2628" s="1" customFormat="1" spans="1:13">
      <c r="A2628" s="2">
        <v>1574</v>
      </c>
      <c r="B2628" s="5" t="s">
        <v>3381</v>
      </c>
      <c r="C2628" s="9" t="s">
        <v>3712</v>
      </c>
      <c r="D2628" s="9" t="s">
        <v>3713</v>
      </c>
      <c r="E2628" s="5">
        <v>2020</v>
      </c>
      <c r="F2628" s="5">
        <v>2020</v>
      </c>
      <c r="G2628" s="14" t="s">
        <v>16</v>
      </c>
      <c r="H2628" s="6">
        <v>500</v>
      </c>
      <c r="I2628" s="6">
        <v>500</v>
      </c>
      <c r="J2628" s="5"/>
      <c r="K2628" s="13"/>
      <c r="L2628" s="10">
        <v>20201118</v>
      </c>
      <c r="M2628" s="36" t="str">
        <f t="shared" si="41"/>
        <v>19681210</v>
      </c>
    </row>
    <row r="2629" s="1" customFormat="1" spans="1:13">
      <c r="A2629" s="2">
        <v>7554</v>
      </c>
      <c r="B2629" s="5" t="s">
        <v>14402</v>
      </c>
      <c r="C2629" s="5" t="s">
        <v>8324</v>
      </c>
      <c r="D2629" s="5" t="s">
        <v>14713</v>
      </c>
      <c r="E2629" s="5">
        <v>2020</v>
      </c>
      <c r="F2629" s="5">
        <v>2020</v>
      </c>
      <c r="G2629" s="17" t="s">
        <v>16</v>
      </c>
      <c r="H2629" s="5">
        <v>200</v>
      </c>
      <c r="I2629" s="5">
        <v>200</v>
      </c>
      <c r="J2629" s="5"/>
      <c r="K2629" s="10"/>
      <c r="L2629" s="10">
        <v>20201118</v>
      </c>
      <c r="M2629" s="36" t="str">
        <f t="shared" si="41"/>
        <v>19681211</v>
      </c>
    </row>
    <row r="2630" s="1" customFormat="1" ht="14.25" spans="1:13">
      <c r="A2630" s="2">
        <v>7756</v>
      </c>
      <c r="B2630" s="5" t="s">
        <v>14875</v>
      </c>
      <c r="C2630" s="51" t="s">
        <v>14999</v>
      </c>
      <c r="D2630" s="24" t="str">
        <f>"152326196812127114"</f>
        <v>152326196812127114</v>
      </c>
      <c r="E2630" s="6" t="s">
        <v>15</v>
      </c>
      <c r="F2630" s="6">
        <v>2020</v>
      </c>
      <c r="G2630" s="24" t="s">
        <v>14877</v>
      </c>
      <c r="H2630" s="6">
        <v>200</v>
      </c>
      <c r="I2630" s="6">
        <v>200</v>
      </c>
      <c r="J2630" s="6"/>
      <c r="K2630" s="10"/>
      <c r="L2630" s="10">
        <v>20201118</v>
      </c>
      <c r="M2630" s="36" t="str">
        <f t="shared" si="41"/>
        <v>19681212</v>
      </c>
    </row>
    <row r="2631" s="1" customFormat="1" spans="1:13">
      <c r="A2631" s="2">
        <v>6598</v>
      </c>
      <c r="B2631" s="5" t="s">
        <v>13027</v>
      </c>
      <c r="C2631" s="15" t="s">
        <v>13186</v>
      </c>
      <c r="D2631" s="15" t="s">
        <v>13187</v>
      </c>
      <c r="E2631" s="5">
        <v>2020</v>
      </c>
      <c r="F2631" s="5">
        <v>2020</v>
      </c>
      <c r="G2631" s="14" t="s">
        <v>16</v>
      </c>
      <c r="H2631" s="15">
        <v>200</v>
      </c>
      <c r="I2631" s="15">
        <v>200</v>
      </c>
      <c r="J2631" s="5"/>
      <c r="K2631" s="10"/>
      <c r="L2631" s="10">
        <v>20201118</v>
      </c>
      <c r="M2631" s="36" t="str">
        <f t="shared" si="41"/>
        <v>19681214</v>
      </c>
    </row>
    <row r="2632" s="1" customFormat="1" spans="1:13">
      <c r="A2632" s="2">
        <v>6969</v>
      </c>
      <c r="B2632" s="5" t="s">
        <v>13533</v>
      </c>
      <c r="C2632" s="32" t="s">
        <v>13717</v>
      </c>
      <c r="D2632" s="32" t="str">
        <f>"152326196812157110"</f>
        <v>152326196812157110</v>
      </c>
      <c r="E2632" s="5">
        <v>2020</v>
      </c>
      <c r="F2632" s="5">
        <v>2020</v>
      </c>
      <c r="G2632" s="9" t="s">
        <v>2480</v>
      </c>
      <c r="H2632" s="32">
        <v>200</v>
      </c>
      <c r="I2632" s="32">
        <v>200</v>
      </c>
      <c r="J2632" s="62"/>
      <c r="K2632" s="10"/>
      <c r="L2632" s="10">
        <v>20201118</v>
      </c>
      <c r="M2632" s="36" t="str">
        <f t="shared" si="41"/>
        <v>19681215</v>
      </c>
    </row>
    <row r="2633" s="1" customFormat="1" spans="1:13">
      <c r="A2633" s="2">
        <v>1575</v>
      </c>
      <c r="B2633" s="5" t="s">
        <v>3381</v>
      </c>
      <c r="C2633" s="9" t="s">
        <v>3714</v>
      </c>
      <c r="D2633" s="9" t="s">
        <v>3715</v>
      </c>
      <c r="E2633" s="5">
        <v>2020</v>
      </c>
      <c r="F2633" s="5">
        <v>2020</v>
      </c>
      <c r="G2633" s="14" t="s">
        <v>16</v>
      </c>
      <c r="H2633" s="6">
        <v>200</v>
      </c>
      <c r="I2633" s="6">
        <v>200</v>
      </c>
      <c r="J2633" s="5"/>
      <c r="K2633" s="13"/>
      <c r="L2633" s="10">
        <v>20201118</v>
      </c>
      <c r="M2633" s="36" t="str">
        <f t="shared" si="41"/>
        <v>19681218</v>
      </c>
    </row>
    <row r="2634" s="1" customFormat="1" spans="1:13">
      <c r="A2634" s="2">
        <v>5856</v>
      </c>
      <c r="B2634" s="30" t="s">
        <v>11090</v>
      </c>
      <c r="C2634" s="30" t="s">
        <v>10842</v>
      </c>
      <c r="D2634" s="30" t="s">
        <v>11774</v>
      </c>
      <c r="E2634" s="5" t="s">
        <v>15</v>
      </c>
      <c r="F2634" s="5" t="s">
        <v>10250</v>
      </c>
      <c r="G2634" s="6" t="s">
        <v>16</v>
      </c>
      <c r="H2634" s="32">
        <v>500</v>
      </c>
      <c r="I2634" s="32">
        <v>500</v>
      </c>
      <c r="J2634" s="6"/>
      <c r="K2634" s="48"/>
      <c r="L2634" s="10">
        <v>20201118</v>
      </c>
      <c r="M2634" s="36" t="str">
        <f t="shared" si="41"/>
        <v>19681218</v>
      </c>
    </row>
    <row r="2635" s="1" customFormat="1" spans="1:13">
      <c r="A2635" s="2">
        <v>6193</v>
      </c>
      <c r="B2635" s="5" t="s">
        <v>12263</v>
      </c>
      <c r="C2635" s="5" t="s">
        <v>12415</v>
      </c>
      <c r="D2635" s="5" t="s">
        <v>12416</v>
      </c>
      <c r="E2635" s="5" t="s">
        <v>10250</v>
      </c>
      <c r="F2635" s="5">
        <v>2020</v>
      </c>
      <c r="G2635" s="17" t="s">
        <v>3359</v>
      </c>
      <c r="H2635" s="5">
        <v>200</v>
      </c>
      <c r="I2635" s="5">
        <v>200</v>
      </c>
      <c r="J2635" s="5"/>
      <c r="K2635" s="5"/>
      <c r="L2635" s="10">
        <v>20201118</v>
      </c>
      <c r="M2635" s="36" t="str">
        <f t="shared" si="41"/>
        <v>19681219</v>
      </c>
    </row>
    <row r="2636" s="1" customFormat="1" spans="1:13">
      <c r="A2636" s="2">
        <v>1576</v>
      </c>
      <c r="B2636" s="5" t="s">
        <v>3381</v>
      </c>
      <c r="C2636" s="9" t="s">
        <v>3716</v>
      </c>
      <c r="D2636" s="9" t="s">
        <v>3717</v>
      </c>
      <c r="E2636" s="5">
        <v>2020</v>
      </c>
      <c r="F2636" s="5">
        <v>2020</v>
      </c>
      <c r="G2636" s="14" t="s">
        <v>16</v>
      </c>
      <c r="H2636" s="6">
        <v>200</v>
      </c>
      <c r="I2636" s="6">
        <v>200</v>
      </c>
      <c r="J2636" s="5"/>
      <c r="K2636" s="13"/>
      <c r="L2636" s="10">
        <v>20201118</v>
      </c>
      <c r="M2636" s="36" t="str">
        <f t="shared" si="41"/>
        <v>19681220</v>
      </c>
    </row>
    <row r="2637" s="1" customFormat="1" spans="1:13">
      <c r="A2637" s="2">
        <v>3774</v>
      </c>
      <c r="B2637" s="5" t="s">
        <v>7412</v>
      </c>
      <c r="C2637" s="5" t="s">
        <v>7798</v>
      </c>
      <c r="D2637" s="5" t="s">
        <v>7799</v>
      </c>
      <c r="E2637" s="6">
        <v>2020</v>
      </c>
      <c r="F2637" s="6">
        <v>2020</v>
      </c>
      <c r="G2637" s="5" t="s">
        <v>3359</v>
      </c>
      <c r="H2637" s="5">
        <v>200</v>
      </c>
      <c r="I2637" s="5">
        <v>200</v>
      </c>
      <c r="J2637" s="5"/>
      <c r="K2637" s="5"/>
      <c r="L2637" s="10">
        <v>20201118</v>
      </c>
      <c r="M2637" s="36" t="str">
        <f t="shared" si="41"/>
        <v>19681220</v>
      </c>
    </row>
    <row r="2638" s="1" customFormat="1" spans="1:13">
      <c r="A2638" s="2">
        <v>4243</v>
      </c>
      <c r="B2638" s="9" t="s">
        <v>8515</v>
      </c>
      <c r="C2638" s="9" t="s">
        <v>8686</v>
      </c>
      <c r="D2638" s="9" t="s">
        <v>8687</v>
      </c>
      <c r="E2638" s="5" t="s">
        <v>15</v>
      </c>
      <c r="F2638" s="5">
        <v>2020</v>
      </c>
      <c r="G2638" s="9" t="s">
        <v>2480</v>
      </c>
      <c r="H2638" s="9">
        <v>1000</v>
      </c>
      <c r="I2638" s="9">
        <v>1000</v>
      </c>
      <c r="J2638" s="9"/>
      <c r="K2638" s="9"/>
      <c r="L2638" s="10">
        <v>20201118</v>
      </c>
      <c r="M2638" s="36" t="str">
        <f t="shared" si="41"/>
        <v>19681220</v>
      </c>
    </row>
    <row r="2639" s="1" customFormat="1" spans="1:13">
      <c r="A2639" s="2">
        <v>3775</v>
      </c>
      <c r="B2639" s="5" t="s">
        <v>7412</v>
      </c>
      <c r="C2639" s="5" t="s">
        <v>7800</v>
      </c>
      <c r="D2639" s="5" t="s">
        <v>7801</v>
      </c>
      <c r="E2639" s="6">
        <v>2020</v>
      </c>
      <c r="F2639" s="6">
        <v>2020</v>
      </c>
      <c r="G2639" s="5" t="s">
        <v>3359</v>
      </c>
      <c r="H2639" s="5">
        <v>200</v>
      </c>
      <c r="I2639" s="5">
        <v>200</v>
      </c>
      <c r="J2639" s="5"/>
      <c r="K2639" s="5"/>
      <c r="L2639" s="10">
        <v>20201118</v>
      </c>
      <c r="M2639" s="36" t="str">
        <f t="shared" si="41"/>
        <v>19681223</v>
      </c>
    </row>
    <row r="2640" s="1" customFormat="1" spans="1:13">
      <c r="A2640" s="2">
        <v>8005</v>
      </c>
      <c r="B2640" s="5" t="s">
        <v>15086</v>
      </c>
      <c r="C2640" s="6" t="s">
        <v>15280</v>
      </c>
      <c r="D2640" s="6" t="str">
        <f>"152326196812236863"</f>
        <v>152326196812236863</v>
      </c>
      <c r="E2640" s="5" t="s">
        <v>15</v>
      </c>
      <c r="F2640" s="5">
        <v>2020</v>
      </c>
      <c r="G2640" s="5" t="s">
        <v>16</v>
      </c>
      <c r="H2640" s="5">
        <v>200</v>
      </c>
      <c r="I2640" s="5">
        <v>200</v>
      </c>
      <c r="J2640" s="5"/>
      <c r="K2640" s="5"/>
      <c r="L2640" s="10">
        <v>20201118</v>
      </c>
      <c r="M2640" s="36" t="str">
        <f t="shared" si="41"/>
        <v>19681223</v>
      </c>
    </row>
    <row r="2641" s="1" customFormat="1" spans="1:13">
      <c r="A2641" s="2">
        <v>1577</v>
      </c>
      <c r="B2641" s="5" t="s">
        <v>3381</v>
      </c>
      <c r="C2641" s="9" t="s">
        <v>3718</v>
      </c>
      <c r="D2641" s="9" t="s">
        <v>3719</v>
      </c>
      <c r="E2641" s="5">
        <v>2020</v>
      </c>
      <c r="F2641" s="5">
        <v>2020</v>
      </c>
      <c r="G2641" s="14" t="s">
        <v>16</v>
      </c>
      <c r="H2641" s="6">
        <v>200</v>
      </c>
      <c r="I2641" s="6">
        <v>200</v>
      </c>
      <c r="J2641" s="5"/>
      <c r="K2641" s="13"/>
      <c r="L2641" s="10">
        <v>20201118</v>
      </c>
      <c r="M2641" s="36" t="str">
        <f t="shared" si="41"/>
        <v>19681224</v>
      </c>
    </row>
    <row r="2642" s="1" customFormat="1" ht="14.25" spans="1:13">
      <c r="A2642" s="2">
        <v>3011</v>
      </c>
      <c r="B2642" s="6" t="s">
        <v>6075</v>
      </c>
      <c r="C2642" s="25" t="s">
        <v>6546</v>
      </c>
      <c r="D2642" s="26" t="s">
        <v>6547</v>
      </c>
      <c r="E2642" s="5" t="s">
        <v>15</v>
      </c>
      <c r="F2642" s="5">
        <v>2020</v>
      </c>
      <c r="G2642" s="6" t="s">
        <v>189</v>
      </c>
      <c r="H2642" s="6">
        <v>200</v>
      </c>
      <c r="I2642" s="6">
        <v>200</v>
      </c>
      <c r="J2642" s="6"/>
      <c r="K2642" s="10"/>
      <c r="L2642" s="10">
        <v>20201118</v>
      </c>
      <c r="M2642" s="36" t="str">
        <f t="shared" si="41"/>
        <v>19681224</v>
      </c>
    </row>
    <row r="2643" s="1" customFormat="1" spans="1:13">
      <c r="A2643" s="2">
        <v>3776</v>
      </c>
      <c r="B2643" s="5" t="s">
        <v>7412</v>
      </c>
      <c r="C2643" s="5" t="s">
        <v>7802</v>
      </c>
      <c r="D2643" s="5" t="s">
        <v>7803</v>
      </c>
      <c r="E2643" s="6">
        <v>2020</v>
      </c>
      <c r="F2643" s="6">
        <v>2020</v>
      </c>
      <c r="G2643" s="5" t="s">
        <v>3359</v>
      </c>
      <c r="H2643" s="5">
        <v>200</v>
      </c>
      <c r="I2643" s="5">
        <v>200</v>
      </c>
      <c r="J2643" s="5"/>
      <c r="K2643" s="5"/>
      <c r="L2643" s="10">
        <v>20201118</v>
      </c>
      <c r="M2643" s="36" t="str">
        <f t="shared" si="41"/>
        <v>19681225</v>
      </c>
    </row>
    <row r="2644" s="1" customFormat="1" spans="1:13">
      <c r="A2644" s="2">
        <v>1038</v>
      </c>
      <c r="B2644" s="5" t="s">
        <v>2469</v>
      </c>
      <c r="C2644" s="9" t="s">
        <v>2667</v>
      </c>
      <c r="D2644" s="9" t="s">
        <v>2668</v>
      </c>
      <c r="E2644" s="5">
        <v>2020</v>
      </c>
      <c r="F2644" s="5">
        <v>2020</v>
      </c>
      <c r="G2644" s="9" t="s">
        <v>2480</v>
      </c>
      <c r="H2644" s="9">
        <v>200</v>
      </c>
      <c r="I2644" s="9">
        <v>200</v>
      </c>
      <c r="J2644" s="5"/>
      <c r="K2644" s="5"/>
      <c r="L2644" s="10">
        <v>20201118</v>
      </c>
      <c r="M2644" s="36" t="str">
        <f t="shared" si="41"/>
        <v>19681228</v>
      </c>
    </row>
    <row r="2645" s="1" customFormat="1" ht="14.25" spans="1:13">
      <c r="A2645" s="2">
        <v>3038</v>
      </c>
      <c r="B2645" s="6" t="s">
        <v>6075</v>
      </c>
      <c r="C2645" s="25" t="s">
        <v>6599</v>
      </c>
      <c r="D2645" s="26" t="s">
        <v>6600</v>
      </c>
      <c r="E2645" s="5" t="s">
        <v>15</v>
      </c>
      <c r="F2645" s="5">
        <v>2020</v>
      </c>
      <c r="G2645" s="6" t="s">
        <v>16</v>
      </c>
      <c r="H2645" s="6">
        <v>200</v>
      </c>
      <c r="I2645" s="6">
        <v>200</v>
      </c>
      <c r="J2645" s="6"/>
      <c r="K2645" s="10"/>
      <c r="L2645" s="10">
        <v>20201118</v>
      </c>
      <c r="M2645" s="36" t="str">
        <f t="shared" si="41"/>
        <v>19681229</v>
      </c>
    </row>
    <row r="2646" s="1" customFormat="1" spans="1:13">
      <c r="A2646" s="2">
        <v>6204</v>
      </c>
      <c r="B2646" s="5" t="s">
        <v>12263</v>
      </c>
      <c r="C2646" s="5" t="s">
        <v>12436</v>
      </c>
      <c r="D2646" s="5" t="s">
        <v>12437</v>
      </c>
      <c r="E2646" s="5" t="s">
        <v>10250</v>
      </c>
      <c r="F2646" s="5">
        <v>2020</v>
      </c>
      <c r="G2646" s="17" t="s">
        <v>3359</v>
      </c>
      <c r="H2646" s="5">
        <v>200</v>
      </c>
      <c r="I2646" s="5">
        <v>200</v>
      </c>
      <c r="J2646" s="5"/>
      <c r="K2646" s="5"/>
      <c r="L2646" s="10">
        <v>20201118</v>
      </c>
      <c r="M2646" s="36" t="str">
        <f t="shared" si="41"/>
        <v>19690101</v>
      </c>
    </row>
    <row r="2647" s="1" customFormat="1" spans="1:13">
      <c r="A2647" s="2">
        <v>1578</v>
      </c>
      <c r="B2647" s="5" t="s">
        <v>3381</v>
      </c>
      <c r="C2647" s="9" t="s">
        <v>3720</v>
      </c>
      <c r="D2647" s="9" t="s">
        <v>3721</v>
      </c>
      <c r="E2647" s="5">
        <v>2020</v>
      </c>
      <c r="F2647" s="5">
        <v>2020</v>
      </c>
      <c r="G2647" s="14" t="s">
        <v>16</v>
      </c>
      <c r="H2647" s="6">
        <v>200</v>
      </c>
      <c r="I2647" s="6">
        <v>200</v>
      </c>
      <c r="J2647" s="5"/>
      <c r="K2647" s="13"/>
      <c r="L2647" s="10">
        <v>20201118</v>
      </c>
      <c r="M2647" s="36" t="str">
        <f t="shared" si="41"/>
        <v>19690102</v>
      </c>
    </row>
    <row r="2648" s="1" customFormat="1" spans="1:13">
      <c r="A2648" s="2">
        <v>2232</v>
      </c>
      <c r="B2648" s="9" t="s">
        <v>4837</v>
      </c>
      <c r="C2648" s="9" t="s">
        <v>5011</v>
      </c>
      <c r="D2648" s="9" t="s">
        <v>5012</v>
      </c>
      <c r="E2648" s="6" t="s">
        <v>15</v>
      </c>
      <c r="F2648" s="6">
        <v>2020</v>
      </c>
      <c r="G2648" s="9" t="s">
        <v>2480</v>
      </c>
      <c r="H2648" s="9">
        <v>200</v>
      </c>
      <c r="I2648" s="9">
        <v>200</v>
      </c>
      <c r="J2648" s="6"/>
      <c r="K2648" s="10"/>
      <c r="L2648" s="10">
        <v>20201118</v>
      </c>
      <c r="M2648" s="36" t="str">
        <f t="shared" si="41"/>
        <v>19690102</v>
      </c>
    </row>
    <row r="2649" s="1" customFormat="1" spans="1:13">
      <c r="A2649" s="2">
        <v>6157</v>
      </c>
      <c r="B2649" s="5" t="s">
        <v>12263</v>
      </c>
      <c r="C2649" s="5" t="s">
        <v>12346</v>
      </c>
      <c r="D2649" s="5" t="s">
        <v>12347</v>
      </c>
      <c r="E2649" s="5" t="s">
        <v>10250</v>
      </c>
      <c r="F2649" s="5">
        <v>2020</v>
      </c>
      <c r="G2649" s="17" t="s">
        <v>3359</v>
      </c>
      <c r="H2649" s="5">
        <v>200</v>
      </c>
      <c r="I2649" s="5">
        <v>200</v>
      </c>
      <c r="J2649" s="5"/>
      <c r="K2649" s="5"/>
      <c r="L2649" s="10">
        <v>20201118</v>
      </c>
      <c r="M2649" s="36" t="str">
        <f t="shared" si="41"/>
        <v>19690102</v>
      </c>
    </row>
    <row r="2650" s="1" customFormat="1" spans="1:13">
      <c r="A2650" s="2">
        <v>5680</v>
      </c>
      <c r="B2650" s="30" t="s">
        <v>11090</v>
      </c>
      <c r="C2650" s="30" t="s">
        <v>11445</v>
      </c>
      <c r="D2650" s="30" t="s">
        <v>11446</v>
      </c>
      <c r="E2650" s="5" t="s">
        <v>15</v>
      </c>
      <c r="F2650" s="5" t="s">
        <v>10250</v>
      </c>
      <c r="G2650" s="6" t="s">
        <v>16</v>
      </c>
      <c r="H2650" s="32">
        <v>200</v>
      </c>
      <c r="I2650" s="32">
        <v>200</v>
      </c>
      <c r="J2650" s="6"/>
      <c r="K2650" s="48"/>
      <c r="L2650" s="10">
        <v>20201118</v>
      </c>
      <c r="M2650" s="36" t="str">
        <f t="shared" si="41"/>
        <v>19690103</v>
      </c>
    </row>
    <row r="2651" s="1" customFormat="1" spans="1:13">
      <c r="A2651" s="2">
        <v>5742</v>
      </c>
      <c r="B2651" s="30" t="s">
        <v>11090</v>
      </c>
      <c r="C2651" s="30" t="s">
        <v>11568</v>
      </c>
      <c r="D2651" s="30" t="s">
        <v>11569</v>
      </c>
      <c r="E2651" s="5" t="s">
        <v>15</v>
      </c>
      <c r="F2651" s="5" t="s">
        <v>10250</v>
      </c>
      <c r="G2651" s="6" t="s">
        <v>16</v>
      </c>
      <c r="H2651" s="32">
        <v>200</v>
      </c>
      <c r="I2651" s="32">
        <v>200</v>
      </c>
      <c r="J2651" s="6"/>
      <c r="K2651" s="48"/>
      <c r="L2651" s="10">
        <v>20201118</v>
      </c>
      <c r="M2651" s="36" t="str">
        <f t="shared" si="41"/>
        <v>19690103</v>
      </c>
    </row>
    <row r="2652" s="1" customFormat="1" ht="14.25" spans="1:13">
      <c r="A2652" s="2">
        <v>7741</v>
      </c>
      <c r="B2652" s="5" t="s">
        <v>14875</v>
      </c>
      <c r="C2652" s="51" t="s">
        <v>14983</v>
      </c>
      <c r="D2652" s="24" t="str">
        <f>"152326196901037145"</f>
        <v>152326196901037145</v>
      </c>
      <c r="E2652" s="6" t="s">
        <v>15</v>
      </c>
      <c r="F2652" s="6">
        <v>2020</v>
      </c>
      <c r="G2652" s="24" t="s">
        <v>14877</v>
      </c>
      <c r="H2652" s="6">
        <v>200</v>
      </c>
      <c r="I2652" s="6">
        <v>200</v>
      </c>
      <c r="J2652" s="6"/>
      <c r="K2652" s="10"/>
      <c r="L2652" s="10">
        <v>20201118</v>
      </c>
      <c r="M2652" s="36" t="str">
        <f t="shared" si="41"/>
        <v>19690103</v>
      </c>
    </row>
    <row r="2653" s="1" customFormat="1" spans="1:13">
      <c r="A2653" s="2">
        <v>814</v>
      </c>
      <c r="B2653" s="29" t="s">
        <v>1040</v>
      </c>
      <c r="C2653" s="5" t="s">
        <v>2092</v>
      </c>
      <c r="D2653" s="317" t="s">
        <v>2093</v>
      </c>
      <c r="E2653" s="30">
        <v>2020</v>
      </c>
      <c r="F2653" s="30">
        <v>2020</v>
      </c>
      <c r="G2653" s="29" t="s">
        <v>16</v>
      </c>
      <c r="H2653" s="29">
        <v>200</v>
      </c>
      <c r="I2653" s="29">
        <v>200</v>
      </c>
      <c r="J2653" s="32"/>
      <c r="K2653" s="32"/>
      <c r="L2653" s="2" t="s">
        <v>330</v>
      </c>
      <c r="M2653" s="36" t="str">
        <f t="shared" si="41"/>
        <v>19690104</v>
      </c>
    </row>
    <row r="2654" s="1" customFormat="1" spans="1:13">
      <c r="A2654" s="2">
        <v>2603</v>
      </c>
      <c r="B2654" s="32" t="s">
        <v>5602</v>
      </c>
      <c r="C2654" s="9" t="s">
        <v>5740</v>
      </c>
      <c r="D2654" s="9" t="s">
        <v>5741</v>
      </c>
      <c r="E2654" s="32">
        <v>2020</v>
      </c>
      <c r="F2654" s="32">
        <v>2020</v>
      </c>
      <c r="G2654" s="32" t="s">
        <v>16</v>
      </c>
      <c r="H2654" s="9">
        <v>200</v>
      </c>
      <c r="I2654" s="9">
        <v>200</v>
      </c>
      <c r="J2654" s="32"/>
      <c r="K2654" s="52"/>
      <c r="L2654" s="10">
        <v>20201118</v>
      </c>
      <c r="M2654" s="36" t="str">
        <f t="shared" si="41"/>
        <v>19690104</v>
      </c>
    </row>
    <row r="2655" s="1" customFormat="1" spans="1:13">
      <c r="A2655" s="2">
        <v>3224</v>
      </c>
      <c r="B2655" s="3" t="s">
        <v>6671</v>
      </c>
      <c r="C2655" s="9" t="s">
        <v>6954</v>
      </c>
      <c r="D2655" s="9" t="s">
        <v>6955</v>
      </c>
      <c r="E2655" s="3" t="s">
        <v>15</v>
      </c>
      <c r="F2655" s="3" t="s">
        <v>15</v>
      </c>
      <c r="G2655" s="6" t="s">
        <v>3359</v>
      </c>
      <c r="H2655" s="9">
        <v>200</v>
      </c>
      <c r="I2655" s="9">
        <v>200</v>
      </c>
      <c r="J2655" s="6"/>
      <c r="K2655" s="5"/>
      <c r="L2655" s="10">
        <v>20201118</v>
      </c>
      <c r="M2655" s="36" t="str">
        <f t="shared" si="41"/>
        <v>19690104</v>
      </c>
    </row>
    <row r="2656" s="1" customFormat="1" ht="14.25" spans="1:13">
      <c r="A2656" s="2">
        <v>2856</v>
      </c>
      <c r="B2656" s="6" t="s">
        <v>6075</v>
      </c>
      <c r="C2656" s="25" t="s">
        <v>6241</v>
      </c>
      <c r="D2656" s="26" t="s">
        <v>6242</v>
      </c>
      <c r="E2656" s="5" t="s">
        <v>15</v>
      </c>
      <c r="F2656" s="5">
        <v>2020</v>
      </c>
      <c r="G2656" s="6" t="s">
        <v>16</v>
      </c>
      <c r="H2656" s="6">
        <v>200</v>
      </c>
      <c r="I2656" s="6">
        <v>200</v>
      </c>
      <c r="J2656" s="6"/>
      <c r="K2656" s="10"/>
      <c r="L2656" s="10">
        <v>20201118</v>
      </c>
      <c r="M2656" s="36" t="str">
        <f t="shared" si="41"/>
        <v>19690106</v>
      </c>
    </row>
    <row r="2657" s="1" customFormat="1" spans="1:13">
      <c r="A2657" s="2">
        <v>6599</v>
      </c>
      <c r="B2657" s="5" t="s">
        <v>13027</v>
      </c>
      <c r="C2657" s="15" t="s">
        <v>13188</v>
      </c>
      <c r="D2657" s="15" t="s">
        <v>13189</v>
      </c>
      <c r="E2657" s="5">
        <v>2020</v>
      </c>
      <c r="F2657" s="5">
        <v>2020</v>
      </c>
      <c r="G2657" s="14" t="s">
        <v>16</v>
      </c>
      <c r="H2657" s="15">
        <v>200</v>
      </c>
      <c r="I2657" s="15">
        <v>200</v>
      </c>
      <c r="J2657" s="5"/>
      <c r="K2657" s="10"/>
      <c r="L2657" s="10">
        <v>20201118</v>
      </c>
      <c r="M2657" s="36" t="str">
        <f t="shared" si="41"/>
        <v>19690106</v>
      </c>
    </row>
    <row r="2658" s="1" customFormat="1" spans="1:13">
      <c r="A2658" s="2">
        <v>3777</v>
      </c>
      <c r="B2658" s="5" t="s">
        <v>7412</v>
      </c>
      <c r="C2658" s="5" t="s">
        <v>7804</v>
      </c>
      <c r="D2658" s="5" t="s">
        <v>7805</v>
      </c>
      <c r="E2658" s="6">
        <v>2020</v>
      </c>
      <c r="F2658" s="6">
        <v>2020</v>
      </c>
      <c r="G2658" s="5" t="s">
        <v>3359</v>
      </c>
      <c r="H2658" s="5">
        <v>200</v>
      </c>
      <c r="I2658" s="5">
        <v>200</v>
      </c>
      <c r="J2658" s="5"/>
      <c r="K2658" s="5"/>
      <c r="L2658" s="10">
        <v>20201118</v>
      </c>
      <c r="M2658" s="36" t="str">
        <f t="shared" si="41"/>
        <v>19690108</v>
      </c>
    </row>
    <row r="2659" s="1" customFormat="1" ht="14.25" spans="1:13">
      <c r="A2659" s="2">
        <v>7810</v>
      </c>
      <c r="B2659" s="5" t="s">
        <v>14875</v>
      </c>
      <c r="C2659" s="6" t="s">
        <v>15063</v>
      </c>
      <c r="D2659" s="6" t="str">
        <f>"152326196901087126"</f>
        <v>152326196901087126</v>
      </c>
      <c r="E2659" s="6" t="s">
        <v>15</v>
      </c>
      <c r="F2659" s="6">
        <v>2020</v>
      </c>
      <c r="G2659" s="24" t="s">
        <v>14877</v>
      </c>
      <c r="H2659" s="6">
        <v>200</v>
      </c>
      <c r="I2659" s="6">
        <v>200</v>
      </c>
      <c r="J2659" s="6"/>
      <c r="K2659" s="10"/>
      <c r="L2659" s="10">
        <v>20201118</v>
      </c>
      <c r="M2659" s="36" t="str">
        <f t="shared" si="41"/>
        <v>19690108</v>
      </c>
    </row>
    <row r="2660" s="1" customFormat="1" spans="1:13">
      <c r="A2660" s="2">
        <v>568</v>
      </c>
      <c r="B2660" s="29" t="s">
        <v>1040</v>
      </c>
      <c r="C2660" s="29" t="s">
        <v>1412</v>
      </c>
      <c r="D2660" s="29" t="s">
        <v>1413</v>
      </c>
      <c r="E2660" s="30">
        <v>2020</v>
      </c>
      <c r="F2660" s="30">
        <v>2020</v>
      </c>
      <c r="G2660" s="29" t="s">
        <v>16</v>
      </c>
      <c r="H2660" s="29">
        <v>200</v>
      </c>
      <c r="I2660" s="29">
        <v>200</v>
      </c>
      <c r="J2660" s="29"/>
      <c r="K2660" s="47"/>
      <c r="L2660" s="2" t="s">
        <v>330</v>
      </c>
      <c r="M2660" s="36" t="str">
        <f t="shared" si="41"/>
        <v>19690109</v>
      </c>
    </row>
    <row r="2661" s="1" customFormat="1" spans="1:13">
      <c r="A2661" s="2">
        <v>1039</v>
      </c>
      <c r="B2661" s="5" t="s">
        <v>2469</v>
      </c>
      <c r="C2661" s="9" t="s">
        <v>2669</v>
      </c>
      <c r="D2661" s="9" t="s">
        <v>2670</v>
      </c>
      <c r="E2661" s="5">
        <v>2020</v>
      </c>
      <c r="F2661" s="5">
        <v>2020</v>
      </c>
      <c r="G2661" s="9" t="s">
        <v>2480</v>
      </c>
      <c r="H2661" s="9">
        <v>200</v>
      </c>
      <c r="I2661" s="9">
        <v>200</v>
      </c>
      <c r="J2661" s="5"/>
      <c r="K2661" s="5"/>
      <c r="L2661" s="10">
        <v>20201118</v>
      </c>
      <c r="M2661" s="36" t="str">
        <f t="shared" si="41"/>
        <v>19690109</v>
      </c>
    </row>
    <row r="2662" s="1" customFormat="1" spans="1:13">
      <c r="A2662" s="2">
        <v>6224</v>
      </c>
      <c r="B2662" s="5" t="s">
        <v>12263</v>
      </c>
      <c r="C2662" s="5" t="s">
        <v>12474</v>
      </c>
      <c r="D2662" s="5" t="s">
        <v>12475</v>
      </c>
      <c r="E2662" s="5" t="s">
        <v>10250</v>
      </c>
      <c r="F2662" s="5">
        <v>2020</v>
      </c>
      <c r="G2662" s="17" t="s">
        <v>3359</v>
      </c>
      <c r="H2662" s="5">
        <v>200</v>
      </c>
      <c r="I2662" s="5">
        <v>200</v>
      </c>
      <c r="J2662" s="5"/>
      <c r="K2662" s="5"/>
      <c r="L2662" s="10">
        <v>20201118</v>
      </c>
      <c r="M2662" s="36" t="str">
        <f t="shared" si="41"/>
        <v>19690109</v>
      </c>
    </row>
    <row r="2663" s="1" customFormat="1" spans="1:13">
      <c r="A2663" s="2">
        <v>566</v>
      </c>
      <c r="B2663" s="29" t="s">
        <v>1040</v>
      </c>
      <c r="C2663" s="29" t="s">
        <v>1408</v>
      </c>
      <c r="D2663" s="29" t="s">
        <v>1409</v>
      </c>
      <c r="E2663" s="30">
        <v>2020</v>
      </c>
      <c r="F2663" s="30">
        <v>2020</v>
      </c>
      <c r="G2663" s="29" t="s">
        <v>16</v>
      </c>
      <c r="H2663" s="29">
        <v>200</v>
      </c>
      <c r="I2663" s="29">
        <v>200</v>
      </c>
      <c r="J2663" s="29"/>
      <c r="K2663" s="47"/>
      <c r="L2663" s="2" t="s">
        <v>330</v>
      </c>
      <c r="M2663" s="36" t="str">
        <f t="shared" si="41"/>
        <v>19690110</v>
      </c>
    </row>
    <row r="2664" s="1" customFormat="1" spans="1:13">
      <c r="A2664" s="2">
        <v>1040</v>
      </c>
      <c r="B2664" s="5" t="s">
        <v>2469</v>
      </c>
      <c r="C2664" s="9" t="s">
        <v>2671</v>
      </c>
      <c r="D2664" s="9" t="s">
        <v>2672</v>
      </c>
      <c r="E2664" s="5">
        <v>2020</v>
      </c>
      <c r="F2664" s="5">
        <v>2020</v>
      </c>
      <c r="G2664" s="9" t="s">
        <v>2480</v>
      </c>
      <c r="H2664" s="9">
        <v>200</v>
      </c>
      <c r="I2664" s="9">
        <v>200</v>
      </c>
      <c r="J2664" s="5"/>
      <c r="K2664" s="5"/>
      <c r="L2664" s="10">
        <v>20201118</v>
      </c>
      <c r="M2664" s="36" t="str">
        <f t="shared" si="41"/>
        <v>19690110</v>
      </c>
    </row>
    <row r="2665" s="1" customFormat="1" spans="1:13">
      <c r="A2665" s="2">
        <v>1041</v>
      </c>
      <c r="B2665" s="5" t="s">
        <v>2469</v>
      </c>
      <c r="C2665" s="9" t="s">
        <v>2673</v>
      </c>
      <c r="D2665" s="9" t="s">
        <v>2674</v>
      </c>
      <c r="E2665" s="5">
        <v>2020</v>
      </c>
      <c r="F2665" s="5">
        <v>2020</v>
      </c>
      <c r="G2665" s="9" t="s">
        <v>2480</v>
      </c>
      <c r="H2665" s="9">
        <v>200</v>
      </c>
      <c r="I2665" s="9">
        <v>200</v>
      </c>
      <c r="J2665" s="5"/>
      <c r="K2665" s="5"/>
      <c r="L2665" s="10">
        <v>20201118</v>
      </c>
      <c r="M2665" s="36" t="str">
        <f t="shared" si="41"/>
        <v>19690115</v>
      </c>
    </row>
    <row r="2666" s="1" customFormat="1" spans="1:13">
      <c r="A2666" s="2">
        <v>4727</v>
      </c>
      <c r="B2666" s="6" t="s">
        <v>9015</v>
      </c>
      <c r="C2666" s="6" t="s">
        <v>9611</v>
      </c>
      <c r="D2666" s="6" t="s">
        <v>9612</v>
      </c>
      <c r="E2666" s="6">
        <v>2020</v>
      </c>
      <c r="F2666" s="6">
        <v>2020</v>
      </c>
      <c r="G2666" s="6" t="s">
        <v>16</v>
      </c>
      <c r="H2666" s="6">
        <v>200</v>
      </c>
      <c r="I2666" s="6">
        <v>200</v>
      </c>
      <c r="J2666" s="6"/>
      <c r="K2666" s="6"/>
      <c r="L2666" s="10">
        <v>20201118</v>
      </c>
      <c r="M2666" s="36" t="str">
        <f t="shared" si="41"/>
        <v>19690116</v>
      </c>
    </row>
    <row r="2667" s="1" customFormat="1" spans="1:13">
      <c r="A2667" s="2">
        <v>4244</v>
      </c>
      <c r="B2667" s="9" t="s">
        <v>8515</v>
      </c>
      <c r="C2667" s="9" t="s">
        <v>8320</v>
      </c>
      <c r="D2667" s="9" t="s">
        <v>8688</v>
      </c>
      <c r="E2667" s="5" t="s">
        <v>15</v>
      </c>
      <c r="F2667" s="5">
        <v>2020</v>
      </c>
      <c r="G2667" s="9" t="s">
        <v>2480</v>
      </c>
      <c r="H2667" s="9">
        <v>200</v>
      </c>
      <c r="I2667" s="9">
        <v>200</v>
      </c>
      <c r="J2667" s="9"/>
      <c r="K2667" s="9"/>
      <c r="L2667" s="10">
        <v>20201118</v>
      </c>
      <c r="M2667" s="36" t="str">
        <f t="shared" si="41"/>
        <v>19690117</v>
      </c>
    </row>
    <row r="2668" s="1" customFormat="1" spans="1:13">
      <c r="A2668" s="2">
        <v>5019</v>
      </c>
      <c r="B2668" s="6" t="s">
        <v>9954</v>
      </c>
      <c r="C2668" s="60" t="s">
        <v>10173</v>
      </c>
      <c r="D2668" s="60" t="s">
        <v>10174</v>
      </c>
      <c r="E2668" s="5" t="s">
        <v>15</v>
      </c>
      <c r="F2668" s="5" t="s">
        <v>15</v>
      </c>
      <c r="G2668" s="14" t="s">
        <v>16</v>
      </c>
      <c r="H2668" s="6">
        <v>200</v>
      </c>
      <c r="I2668" s="6">
        <v>200</v>
      </c>
      <c r="J2668" s="6" t="s">
        <v>1038</v>
      </c>
      <c r="K2668" s="6"/>
      <c r="L2668" s="10">
        <v>20201118</v>
      </c>
      <c r="M2668" s="36" t="str">
        <f t="shared" si="41"/>
        <v>19690119</v>
      </c>
    </row>
    <row r="2669" s="1" customFormat="1" spans="1:13">
      <c r="A2669" s="2">
        <v>5817</v>
      </c>
      <c r="B2669" s="30" t="s">
        <v>11090</v>
      </c>
      <c r="C2669" s="30" t="s">
        <v>11703</v>
      </c>
      <c r="D2669" s="30" t="s">
        <v>11704</v>
      </c>
      <c r="E2669" s="5" t="s">
        <v>15</v>
      </c>
      <c r="F2669" s="5" t="s">
        <v>10250</v>
      </c>
      <c r="G2669" s="6" t="s">
        <v>16</v>
      </c>
      <c r="H2669" s="32">
        <v>200</v>
      </c>
      <c r="I2669" s="32">
        <v>200</v>
      </c>
      <c r="J2669" s="6"/>
      <c r="K2669" s="48"/>
      <c r="L2669" s="10">
        <v>20201118</v>
      </c>
      <c r="M2669" s="36" t="str">
        <f t="shared" si="41"/>
        <v>19690119</v>
      </c>
    </row>
    <row r="2670" s="1" customFormat="1" spans="1:13">
      <c r="A2670" s="2">
        <v>7196</v>
      </c>
      <c r="B2670" s="5" t="s">
        <v>13908</v>
      </c>
      <c r="C2670" s="5" t="s">
        <v>14041</v>
      </c>
      <c r="D2670" s="5" t="s">
        <v>14042</v>
      </c>
      <c r="E2670" s="5" t="s">
        <v>15</v>
      </c>
      <c r="F2670" s="5" t="s">
        <v>15</v>
      </c>
      <c r="G2670" s="14" t="s">
        <v>16</v>
      </c>
      <c r="H2670" s="17">
        <v>200</v>
      </c>
      <c r="I2670" s="17">
        <v>200</v>
      </c>
      <c r="J2670" s="5"/>
      <c r="K2670" s="10"/>
      <c r="L2670" s="10">
        <v>20201118</v>
      </c>
      <c r="M2670" s="36" t="str">
        <f t="shared" si="41"/>
        <v>19690119</v>
      </c>
    </row>
    <row r="2671" s="1" customFormat="1" spans="1:13">
      <c r="A2671" s="2">
        <v>4245</v>
      </c>
      <c r="B2671" s="9" t="s">
        <v>8515</v>
      </c>
      <c r="C2671" s="9" t="s">
        <v>8689</v>
      </c>
      <c r="D2671" s="9" t="s">
        <v>8690</v>
      </c>
      <c r="E2671" s="5" t="s">
        <v>15</v>
      </c>
      <c r="F2671" s="5">
        <v>2020</v>
      </c>
      <c r="G2671" s="9" t="s">
        <v>2480</v>
      </c>
      <c r="H2671" s="9">
        <v>200</v>
      </c>
      <c r="I2671" s="9">
        <v>200</v>
      </c>
      <c r="J2671" s="9"/>
      <c r="K2671" s="9"/>
      <c r="L2671" s="10">
        <v>20201118</v>
      </c>
      <c r="M2671" s="36" t="str">
        <f t="shared" si="41"/>
        <v>19690123</v>
      </c>
    </row>
    <row r="2672" s="1" customFormat="1" spans="1:13">
      <c r="A2672" s="2">
        <v>6945</v>
      </c>
      <c r="B2672" s="5" t="s">
        <v>13533</v>
      </c>
      <c r="C2672" s="32" t="s">
        <v>13695</v>
      </c>
      <c r="D2672" s="32" t="str">
        <f>"152326196901247126"</f>
        <v>152326196901247126</v>
      </c>
      <c r="E2672" s="5">
        <v>2020</v>
      </c>
      <c r="F2672" s="5">
        <v>2020</v>
      </c>
      <c r="G2672" s="9" t="s">
        <v>2480</v>
      </c>
      <c r="H2672" s="32">
        <v>7000</v>
      </c>
      <c r="I2672" s="32">
        <v>7000</v>
      </c>
      <c r="J2672" s="62"/>
      <c r="K2672" s="10"/>
      <c r="L2672" s="10">
        <v>20201118</v>
      </c>
      <c r="M2672" s="36" t="str">
        <f t="shared" si="41"/>
        <v>19690124</v>
      </c>
    </row>
    <row r="2673" s="1" customFormat="1" spans="1:13">
      <c r="A2673" s="2">
        <v>3421</v>
      </c>
      <c r="B2673" s="5" t="s">
        <v>3375</v>
      </c>
      <c r="C2673" s="6" t="s">
        <v>7199</v>
      </c>
      <c r="D2673" s="6" t="str">
        <f>"152326196901276867"</f>
        <v>152326196901276867</v>
      </c>
      <c r="E2673" s="5" t="s">
        <v>15</v>
      </c>
      <c r="F2673" s="5">
        <v>2020</v>
      </c>
      <c r="G2673" s="14" t="s">
        <v>16</v>
      </c>
      <c r="H2673" s="17">
        <v>200</v>
      </c>
      <c r="I2673" s="17">
        <v>200</v>
      </c>
      <c r="J2673" s="6"/>
      <c r="K2673" s="10"/>
      <c r="L2673" s="10">
        <v>20201118</v>
      </c>
      <c r="M2673" s="36" t="str">
        <f t="shared" si="41"/>
        <v>19690127</v>
      </c>
    </row>
    <row r="2674" s="1" customFormat="1" spans="1:13">
      <c r="A2674" s="2">
        <v>462</v>
      </c>
      <c r="B2674" s="29" t="s">
        <v>1040</v>
      </c>
      <c r="C2674" s="29" t="s">
        <v>1200</v>
      </c>
      <c r="D2674" s="29" t="s">
        <v>1201</v>
      </c>
      <c r="E2674" s="30">
        <v>2020</v>
      </c>
      <c r="F2674" s="30">
        <v>2020</v>
      </c>
      <c r="G2674" s="29" t="s">
        <v>16</v>
      </c>
      <c r="H2674" s="29">
        <v>200</v>
      </c>
      <c r="I2674" s="29">
        <v>200</v>
      </c>
      <c r="J2674" s="29"/>
      <c r="K2674" s="47"/>
      <c r="L2674" s="2" t="s">
        <v>330</v>
      </c>
      <c r="M2674" s="36" t="str">
        <f t="shared" si="41"/>
        <v>19690128</v>
      </c>
    </row>
    <row r="2675" s="1" customFormat="1" spans="1:13">
      <c r="A2675" s="2">
        <v>53</v>
      </c>
      <c r="B2675" s="31" t="s">
        <v>12</v>
      </c>
      <c r="C2675" s="17" t="s">
        <v>121</v>
      </c>
      <c r="D2675" s="17" t="s">
        <v>122</v>
      </c>
      <c r="E2675" s="3" t="s">
        <v>15</v>
      </c>
      <c r="F2675" s="3" t="s">
        <v>15</v>
      </c>
      <c r="G2675" s="2" t="s">
        <v>16</v>
      </c>
      <c r="H2675" s="17">
        <v>200</v>
      </c>
      <c r="I2675" s="17">
        <v>200</v>
      </c>
      <c r="J2675" s="17"/>
      <c r="K2675" s="17"/>
      <c r="L2675" s="10">
        <v>20201118</v>
      </c>
      <c r="M2675" s="36" t="str">
        <f t="shared" si="41"/>
        <v>19690202</v>
      </c>
    </row>
    <row r="2676" s="1" customFormat="1" spans="1:13">
      <c r="A2676" s="2">
        <v>490</v>
      </c>
      <c r="B2676" s="29" t="s">
        <v>1040</v>
      </c>
      <c r="C2676" s="29" t="s">
        <v>1257</v>
      </c>
      <c r="D2676" s="29" t="s">
        <v>1258</v>
      </c>
      <c r="E2676" s="30">
        <v>2020</v>
      </c>
      <c r="F2676" s="30">
        <v>2020</v>
      </c>
      <c r="G2676" s="29" t="s">
        <v>16</v>
      </c>
      <c r="H2676" s="29">
        <v>200</v>
      </c>
      <c r="I2676" s="29">
        <v>200</v>
      </c>
      <c r="J2676" s="29"/>
      <c r="K2676" s="47"/>
      <c r="L2676" s="2" t="s">
        <v>330</v>
      </c>
      <c r="M2676" s="36" t="str">
        <f t="shared" si="41"/>
        <v>19690202</v>
      </c>
    </row>
    <row r="2677" s="1" customFormat="1" spans="1:13">
      <c r="A2677" s="2">
        <v>3778</v>
      </c>
      <c r="B2677" s="5" t="s">
        <v>7412</v>
      </c>
      <c r="C2677" s="5" t="s">
        <v>7806</v>
      </c>
      <c r="D2677" s="5" t="s">
        <v>7807</v>
      </c>
      <c r="E2677" s="6">
        <v>2020</v>
      </c>
      <c r="F2677" s="6">
        <v>2020</v>
      </c>
      <c r="G2677" s="5" t="s">
        <v>3359</v>
      </c>
      <c r="H2677" s="5">
        <v>200</v>
      </c>
      <c r="I2677" s="5">
        <v>200</v>
      </c>
      <c r="J2677" s="5"/>
      <c r="K2677" s="5"/>
      <c r="L2677" s="10">
        <v>20201118</v>
      </c>
      <c r="M2677" s="36" t="str">
        <f t="shared" si="41"/>
        <v>19690202</v>
      </c>
    </row>
    <row r="2678" s="1" customFormat="1" spans="1:13">
      <c r="A2678" s="2">
        <v>3779</v>
      </c>
      <c r="B2678" s="5" t="s">
        <v>7412</v>
      </c>
      <c r="C2678" s="5" t="s">
        <v>7808</v>
      </c>
      <c r="D2678" s="5" t="s">
        <v>7809</v>
      </c>
      <c r="E2678" s="6">
        <v>2020</v>
      </c>
      <c r="F2678" s="6">
        <v>2020</v>
      </c>
      <c r="G2678" s="5" t="s">
        <v>3359</v>
      </c>
      <c r="H2678" s="5">
        <v>200</v>
      </c>
      <c r="I2678" s="5">
        <v>200</v>
      </c>
      <c r="J2678" s="5"/>
      <c r="K2678" s="5"/>
      <c r="L2678" s="10">
        <v>20201118</v>
      </c>
      <c r="M2678" s="36" t="str">
        <f t="shared" si="41"/>
        <v>19690202</v>
      </c>
    </row>
    <row r="2679" s="1" customFormat="1" spans="1:13">
      <c r="A2679" s="2">
        <v>4827</v>
      </c>
      <c r="B2679" s="6" t="s">
        <v>9015</v>
      </c>
      <c r="C2679" s="6" t="s">
        <v>9591</v>
      </c>
      <c r="D2679" s="6" t="s">
        <v>9802</v>
      </c>
      <c r="E2679" s="6">
        <v>2020</v>
      </c>
      <c r="F2679" s="6">
        <v>2020</v>
      </c>
      <c r="G2679" s="6" t="s">
        <v>16</v>
      </c>
      <c r="H2679" s="6">
        <v>200</v>
      </c>
      <c r="I2679" s="6">
        <v>200</v>
      </c>
      <c r="J2679" s="6"/>
      <c r="K2679" s="6"/>
      <c r="L2679" s="10">
        <v>20201118</v>
      </c>
      <c r="M2679" s="36" t="str">
        <f t="shared" si="41"/>
        <v>19690202</v>
      </c>
    </row>
    <row r="2680" s="1" customFormat="1" spans="1:13">
      <c r="A2680" s="2">
        <v>5041</v>
      </c>
      <c r="B2680" s="6" t="s">
        <v>9954</v>
      </c>
      <c r="C2680" s="32" t="s">
        <v>10215</v>
      </c>
      <c r="D2680" s="32" t="s">
        <v>10216</v>
      </c>
      <c r="E2680" s="5" t="s">
        <v>15</v>
      </c>
      <c r="F2680" s="5" t="s">
        <v>15</v>
      </c>
      <c r="G2680" s="14" t="s">
        <v>16</v>
      </c>
      <c r="H2680" s="6">
        <v>200</v>
      </c>
      <c r="I2680" s="6">
        <v>200</v>
      </c>
      <c r="J2680" s="6"/>
      <c r="K2680" s="6"/>
      <c r="L2680" s="10">
        <v>20201118</v>
      </c>
      <c r="M2680" s="36" t="str">
        <f t="shared" si="41"/>
        <v>19690202</v>
      </c>
    </row>
    <row r="2681" s="1" customFormat="1" spans="1:13">
      <c r="A2681" s="2">
        <v>6171</v>
      </c>
      <c r="B2681" s="5" t="s">
        <v>12263</v>
      </c>
      <c r="C2681" s="5" t="s">
        <v>12373</v>
      </c>
      <c r="D2681" s="5" t="s">
        <v>12374</v>
      </c>
      <c r="E2681" s="5" t="s">
        <v>10250</v>
      </c>
      <c r="F2681" s="5">
        <v>2020</v>
      </c>
      <c r="G2681" s="17" t="s">
        <v>3359</v>
      </c>
      <c r="H2681" s="5">
        <v>200</v>
      </c>
      <c r="I2681" s="5">
        <v>200</v>
      </c>
      <c r="J2681" s="5"/>
      <c r="K2681" s="5"/>
      <c r="L2681" s="10">
        <v>20201118</v>
      </c>
      <c r="M2681" s="36" t="str">
        <f t="shared" si="41"/>
        <v>19690202</v>
      </c>
    </row>
    <row r="2682" s="1" customFormat="1" spans="1:13">
      <c r="A2682" s="2">
        <v>821</v>
      </c>
      <c r="B2682" s="29" t="s">
        <v>1040</v>
      </c>
      <c r="C2682" s="5" t="s">
        <v>2113</v>
      </c>
      <c r="D2682" s="317" t="s">
        <v>2114</v>
      </c>
      <c r="E2682" s="30">
        <v>2020</v>
      </c>
      <c r="F2682" s="30">
        <v>2020</v>
      </c>
      <c r="G2682" s="29" t="s">
        <v>16</v>
      </c>
      <c r="H2682" s="29">
        <v>200</v>
      </c>
      <c r="I2682" s="29">
        <v>200</v>
      </c>
      <c r="J2682" s="32"/>
      <c r="K2682" s="32"/>
      <c r="L2682" s="2" t="s">
        <v>330</v>
      </c>
      <c r="M2682" s="36" t="str">
        <f t="shared" si="41"/>
        <v>19690203</v>
      </c>
    </row>
    <row r="2683" s="1" customFormat="1" ht="14.25" spans="1:13">
      <c r="A2683" s="2">
        <v>2966</v>
      </c>
      <c r="B2683" s="6" t="s">
        <v>6075</v>
      </c>
      <c r="C2683" s="25" t="s">
        <v>6457</v>
      </c>
      <c r="D2683" s="26" t="s">
        <v>6458</v>
      </c>
      <c r="E2683" s="5" t="s">
        <v>15</v>
      </c>
      <c r="F2683" s="5">
        <v>2020</v>
      </c>
      <c r="G2683" s="6" t="s">
        <v>16</v>
      </c>
      <c r="H2683" s="6">
        <v>200</v>
      </c>
      <c r="I2683" s="6">
        <v>200</v>
      </c>
      <c r="J2683" s="6"/>
      <c r="K2683" s="10"/>
      <c r="L2683" s="10">
        <v>20201118</v>
      </c>
      <c r="M2683" s="36" t="str">
        <f t="shared" si="41"/>
        <v>19690203</v>
      </c>
    </row>
    <row r="2684" s="1" customFormat="1" spans="1:13">
      <c r="A2684" s="2">
        <v>4246</v>
      </c>
      <c r="B2684" s="9" t="s">
        <v>8515</v>
      </c>
      <c r="C2684" s="9" t="s">
        <v>8691</v>
      </c>
      <c r="D2684" s="9" t="s">
        <v>8692</v>
      </c>
      <c r="E2684" s="5" t="s">
        <v>15</v>
      </c>
      <c r="F2684" s="5">
        <v>2020</v>
      </c>
      <c r="G2684" s="9" t="s">
        <v>2480</v>
      </c>
      <c r="H2684" s="9">
        <v>200</v>
      </c>
      <c r="I2684" s="9">
        <v>200</v>
      </c>
      <c r="J2684" s="9"/>
      <c r="K2684" s="9"/>
      <c r="L2684" s="10">
        <v>20201118</v>
      </c>
      <c r="M2684" s="36" t="str">
        <f t="shared" si="41"/>
        <v>19690203</v>
      </c>
    </row>
    <row r="2685" s="1" customFormat="1" spans="1:13">
      <c r="A2685" s="2">
        <v>6956</v>
      </c>
      <c r="B2685" s="5" t="s">
        <v>13533</v>
      </c>
      <c r="C2685" s="32" t="s">
        <v>13706</v>
      </c>
      <c r="D2685" s="32" t="str">
        <f>"152326196902037139"</f>
        <v>152326196902037139</v>
      </c>
      <c r="E2685" s="5">
        <v>2020</v>
      </c>
      <c r="F2685" s="5">
        <v>2020</v>
      </c>
      <c r="G2685" s="9" t="s">
        <v>2480</v>
      </c>
      <c r="H2685" s="32">
        <v>200</v>
      </c>
      <c r="I2685" s="32">
        <v>200</v>
      </c>
      <c r="J2685" s="32"/>
      <c r="K2685" s="10"/>
      <c r="L2685" s="10">
        <v>20201118</v>
      </c>
      <c r="M2685" s="36" t="str">
        <f t="shared" si="41"/>
        <v>19690203</v>
      </c>
    </row>
    <row r="2686" s="1" customFormat="1" spans="1:13">
      <c r="A2686" s="2">
        <v>4483</v>
      </c>
      <c r="B2686" s="6" t="s">
        <v>9015</v>
      </c>
      <c r="C2686" s="6" t="s">
        <v>9149</v>
      </c>
      <c r="D2686" s="6" t="s">
        <v>9150</v>
      </c>
      <c r="E2686" s="6">
        <v>2020</v>
      </c>
      <c r="F2686" s="6">
        <v>2020</v>
      </c>
      <c r="G2686" s="6" t="s">
        <v>16</v>
      </c>
      <c r="H2686" s="6">
        <v>200</v>
      </c>
      <c r="I2686" s="6">
        <v>200</v>
      </c>
      <c r="J2686" s="6"/>
      <c r="K2686" s="6"/>
      <c r="L2686" s="10">
        <v>20201118</v>
      </c>
      <c r="M2686" s="36" t="str">
        <f t="shared" si="41"/>
        <v>19690204</v>
      </c>
    </row>
    <row r="2687" s="1" customFormat="1" spans="1:13">
      <c r="A2687" s="2">
        <v>1042</v>
      </c>
      <c r="B2687" s="5" t="s">
        <v>2469</v>
      </c>
      <c r="C2687" s="9" t="s">
        <v>2675</v>
      </c>
      <c r="D2687" s="9" t="s">
        <v>2676</v>
      </c>
      <c r="E2687" s="5">
        <v>2020</v>
      </c>
      <c r="F2687" s="5">
        <v>2020</v>
      </c>
      <c r="G2687" s="9" t="s">
        <v>2480</v>
      </c>
      <c r="H2687" s="9">
        <v>200</v>
      </c>
      <c r="I2687" s="9">
        <v>200</v>
      </c>
      <c r="J2687" s="5"/>
      <c r="K2687" s="5"/>
      <c r="L2687" s="10">
        <v>20201118</v>
      </c>
      <c r="M2687" s="36" t="str">
        <f t="shared" si="41"/>
        <v>19690206</v>
      </c>
    </row>
    <row r="2688" s="1" customFormat="1" spans="1:13">
      <c r="A2688" s="2">
        <v>1579</v>
      </c>
      <c r="B2688" s="5" t="s">
        <v>3381</v>
      </c>
      <c r="C2688" s="9" t="s">
        <v>3722</v>
      </c>
      <c r="D2688" s="9" t="s">
        <v>3723</v>
      </c>
      <c r="E2688" s="5">
        <v>2020</v>
      </c>
      <c r="F2688" s="5">
        <v>2020</v>
      </c>
      <c r="G2688" s="14" t="s">
        <v>16</v>
      </c>
      <c r="H2688" s="6">
        <v>200</v>
      </c>
      <c r="I2688" s="6">
        <v>200</v>
      </c>
      <c r="J2688" s="5"/>
      <c r="K2688" s="13"/>
      <c r="L2688" s="10">
        <v>20201118</v>
      </c>
      <c r="M2688" s="36" t="str">
        <f t="shared" si="41"/>
        <v>19690207</v>
      </c>
    </row>
    <row r="2689" s="1" customFormat="1" ht="14.25" spans="1:13">
      <c r="A2689" s="2">
        <v>5299</v>
      </c>
      <c r="B2689" s="33" t="s">
        <v>10535</v>
      </c>
      <c r="C2689" s="34" t="s">
        <v>10714</v>
      </c>
      <c r="D2689" s="34" t="s">
        <v>10715</v>
      </c>
      <c r="E2689" s="35">
        <v>2020</v>
      </c>
      <c r="F2689" s="35">
        <v>2020</v>
      </c>
      <c r="G2689" s="35" t="s">
        <v>16</v>
      </c>
      <c r="H2689" s="34">
        <v>200</v>
      </c>
      <c r="I2689" s="34">
        <v>200</v>
      </c>
      <c r="J2689" s="49"/>
      <c r="K2689" s="10"/>
      <c r="L2689" s="10">
        <v>20201118</v>
      </c>
      <c r="M2689" s="36" t="str">
        <f t="shared" si="41"/>
        <v>19690207</v>
      </c>
    </row>
    <row r="2690" s="1" customFormat="1" spans="1:13">
      <c r="A2690" s="2">
        <v>1580</v>
      </c>
      <c r="B2690" s="5" t="s">
        <v>3381</v>
      </c>
      <c r="C2690" s="9" t="s">
        <v>3724</v>
      </c>
      <c r="D2690" s="9" t="s">
        <v>3725</v>
      </c>
      <c r="E2690" s="5">
        <v>2020</v>
      </c>
      <c r="F2690" s="5">
        <v>2020</v>
      </c>
      <c r="G2690" s="14" t="s">
        <v>16</v>
      </c>
      <c r="H2690" s="6">
        <v>200</v>
      </c>
      <c r="I2690" s="6">
        <v>200</v>
      </c>
      <c r="J2690" s="5"/>
      <c r="K2690" s="13"/>
      <c r="L2690" s="10">
        <v>20201118</v>
      </c>
      <c r="M2690" s="36" t="str">
        <f t="shared" ref="M2690:M2753" si="42">MID(D2690,7,8)</f>
        <v>19690208</v>
      </c>
    </row>
    <row r="2691" s="1" customFormat="1" ht="14.25" spans="1:13">
      <c r="A2691" s="2">
        <v>7742</v>
      </c>
      <c r="B2691" s="5" t="s">
        <v>14875</v>
      </c>
      <c r="C2691" s="51" t="s">
        <v>14984</v>
      </c>
      <c r="D2691" s="24" t="s">
        <v>14985</v>
      </c>
      <c r="E2691" s="6" t="s">
        <v>15</v>
      </c>
      <c r="F2691" s="6">
        <v>2020</v>
      </c>
      <c r="G2691" s="24" t="s">
        <v>14877</v>
      </c>
      <c r="H2691" s="6">
        <v>200</v>
      </c>
      <c r="I2691" s="6">
        <v>200</v>
      </c>
      <c r="J2691" s="6"/>
      <c r="K2691" s="10"/>
      <c r="L2691" s="10">
        <v>20201118</v>
      </c>
      <c r="M2691" s="36" t="str">
        <f t="shared" si="42"/>
        <v>19690208</v>
      </c>
    </row>
    <row r="2692" s="1" customFormat="1" spans="1:13">
      <c r="A2692" s="2">
        <v>4429</v>
      </c>
      <c r="B2692" s="6" t="s">
        <v>9015</v>
      </c>
      <c r="C2692" s="6" t="s">
        <v>9047</v>
      </c>
      <c r="D2692" s="6" t="s">
        <v>9048</v>
      </c>
      <c r="E2692" s="6">
        <v>2020</v>
      </c>
      <c r="F2692" s="6">
        <v>2020</v>
      </c>
      <c r="G2692" s="6" t="s">
        <v>16</v>
      </c>
      <c r="H2692" s="6">
        <v>200</v>
      </c>
      <c r="I2692" s="6">
        <v>200</v>
      </c>
      <c r="J2692" s="6"/>
      <c r="K2692" s="6"/>
      <c r="L2692" s="10">
        <v>20201118</v>
      </c>
      <c r="M2692" s="36" t="str">
        <f t="shared" si="42"/>
        <v>19690210</v>
      </c>
    </row>
    <row r="2693" s="1" customFormat="1" spans="1:13">
      <c r="A2693" s="2">
        <v>1043</v>
      </c>
      <c r="B2693" s="5" t="s">
        <v>2469</v>
      </c>
      <c r="C2693" s="9" t="s">
        <v>2677</v>
      </c>
      <c r="D2693" s="9" t="s">
        <v>2678</v>
      </c>
      <c r="E2693" s="5">
        <v>2020</v>
      </c>
      <c r="F2693" s="5">
        <v>2020</v>
      </c>
      <c r="G2693" s="9" t="s">
        <v>2480</v>
      </c>
      <c r="H2693" s="9">
        <v>500</v>
      </c>
      <c r="I2693" s="9">
        <v>500</v>
      </c>
      <c r="J2693" s="5"/>
      <c r="K2693" s="5"/>
      <c r="L2693" s="10">
        <v>20201118</v>
      </c>
      <c r="M2693" s="36" t="str">
        <f t="shared" si="42"/>
        <v>19690214</v>
      </c>
    </row>
    <row r="2694" s="1" customFormat="1" spans="1:13">
      <c r="A2694" s="2">
        <v>6600</v>
      </c>
      <c r="B2694" s="5" t="s">
        <v>13027</v>
      </c>
      <c r="C2694" s="15" t="s">
        <v>8881</v>
      </c>
      <c r="D2694" s="15" t="s">
        <v>13190</v>
      </c>
      <c r="E2694" s="5">
        <v>2020</v>
      </c>
      <c r="F2694" s="5">
        <v>2020</v>
      </c>
      <c r="G2694" s="14" t="s">
        <v>16</v>
      </c>
      <c r="H2694" s="15">
        <v>200</v>
      </c>
      <c r="I2694" s="15">
        <v>200</v>
      </c>
      <c r="J2694" s="5"/>
      <c r="K2694" s="10"/>
      <c r="L2694" s="10">
        <v>20201118</v>
      </c>
      <c r="M2694" s="36" t="str">
        <f t="shared" si="42"/>
        <v>19690214</v>
      </c>
    </row>
    <row r="2695" s="1" customFormat="1" spans="1:13">
      <c r="A2695" s="2">
        <v>796</v>
      </c>
      <c r="B2695" s="29" t="s">
        <v>1040</v>
      </c>
      <c r="C2695" s="5" t="s">
        <v>2038</v>
      </c>
      <c r="D2695" s="317" t="s">
        <v>2039</v>
      </c>
      <c r="E2695" s="30">
        <v>2020</v>
      </c>
      <c r="F2695" s="30">
        <v>2020</v>
      </c>
      <c r="G2695" s="29" t="s">
        <v>16</v>
      </c>
      <c r="H2695" s="5">
        <v>3000</v>
      </c>
      <c r="I2695" s="5">
        <v>3000</v>
      </c>
      <c r="J2695" s="32"/>
      <c r="K2695" s="32"/>
      <c r="L2695" s="14" t="s">
        <v>330</v>
      </c>
      <c r="M2695" s="36" t="str">
        <f t="shared" si="42"/>
        <v>19690215</v>
      </c>
    </row>
    <row r="2696" s="1" customFormat="1" spans="1:13">
      <c r="A2696" s="2">
        <v>1581</v>
      </c>
      <c r="B2696" s="5" t="s">
        <v>3381</v>
      </c>
      <c r="C2696" s="9" t="s">
        <v>3726</v>
      </c>
      <c r="D2696" s="9" t="s">
        <v>3727</v>
      </c>
      <c r="E2696" s="5">
        <v>2020</v>
      </c>
      <c r="F2696" s="5">
        <v>2020</v>
      </c>
      <c r="G2696" s="14" t="s">
        <v>16</v>
      </c>
      <c r="H2696" s="6">
        <v>200</v>
      </c>
      <c r="I2696" s="6">
        <v>200</v>
      </c>
      <c r="J2696" s="5"/>
      <c r="K2696" s="13"/>
      <c r="L2696" s="10">
        <v>20201118</v>
      </c>
      <c r="M2696" s="36" t="str">
        <f t="shared" si="42"/>
        <v>19690215</v>
      </c>
    </row>
    <row r="2697" s="1" customFormat="1" spans="1:13">
      <c r="A2697" s="2">
        <v>5103</v>
      </c>
      <c r="B2697" s="6" t="s">
        <v>10242</v>
      </c>
      <c r="C2697" s="9" t="s">
        <v>10336</v>
      </c>
      <c r="D2697" s="9" t="s">
        <v>10337</v>
      </c>
      <c r="E2697" s="5" t="s">
        <v>10250</v>
      </c>
      <c r="F2697" s="5">
        <v>2020</v>
      </c>
      <c r="G2697" s="6" t="s">
        <v>16</v>
      </c>
      <c r="H2697" s="6">
        <v>200</v>
      </c>
      <c r="I2697" s="6">
        <v>200</v>
      </c>
      <c r="J2697" s="6" t="s">
        <v>108</v>
      </c>
      <c r="K2697" s="5"/>
      <c r="L2697" s="10">
        <v>20201118</v>
      </c>
      <c r="M2697" s="36" t="str">
        <f t="shared" si="42"/>
        <v>19690215</v>
      </c>
    </row>
    <row r="2698" s="1" customFormat="1" spans="1:13">
      <c r="A2698" s="2">
        <v>6601</v>
      </c>
      <c r="B2698" s="5" t="s">
        <v>13027</v>
      </c>
      <c r="C2698" s="15" t="s">
        <v>13191</v>
      </c>
      <c r="D2698" s="15" t="s">
        <v>13192</v>
      </c>
      <c r="E2698" s="5">
        <v>2020</v>
      </c>
      <c r="F2698" s="5">
        <v>2020</v>
      </c>
      <c r="G2698" s="14" t="s">
        <v>16</v>
      </c>
      <c r="H2698" s="15">
        <v>200</v>
      </c>
      <c r="I2698" s="15">
        <v>200</v>
      </c>
      <c r="J2698" s="5"/>
      <c r="K2698" s="10"/>
      <c r="L2698" s="10">
        <v>20201118</v>
      </c>
      <c r="M2698" s="36" t="str">
        <f t="shared" si="42"/>
        <v>19690215</v>
      </c>
    </row>
    <row r="2699" s="1" customFormat="1" spans="1:13">
      <c r="A2699" s="2">
        <v>2430</v>
      </c>
      <c r="B2699" s="5" t="s">
        <v>5328</v>
      </c>
      <c r="C2699" s="16" t="s">
        <v>5400</v>
      </c>
      <c r="D2699" s="16" t="s">
        <v>5401</v>
      </c>
      <c r="E2699" s="5" t="s">
        <v>15</v>
      </c>
      <c r="F2699" s="5" t="s">
        <v>15</v>
      </c>
      <c r="G2699" s="14" t="s">
        <v>16</v>
      </c>
      <c r="H2699" s="6">
        <v>200</v>
      </c>
      <c r="I2699" s="6">
        <v>200</v>
      </c>
      <c r="J2699" s="5"/>
      <c r="K2699" s="5"/>
      <c r="L2699" s="10">
        <v>20201118</v>
      </c>
      <c r="M2699" s="36" t="str">
        <f t="shared" si="42"/>
        <v>19690217</v>
      </c>
    </row>
    <row r="2700" s="1" customFormat="1" spans="1:13">
      <c r="A2700" s="2">
        <v>7997</v>
      </c>
      <c r="B2700" s="5" t="s">
        <v>15086</v>
      </c>
      <c r="C2700" s="6" t="s">
        <v>15271</v>
      </c>
      <c r="D2700" s="6" t="str">
        <f>"152326196902216874"</f>
        <v>152326196902216874</v>
      </c>
      <c r="E2700" s="5" t="s">
        <v>15</v>
      </c>
      <c r="F2700" s="5">
        <v>2020</v>
      </c>
      <c r="G2700" s="5" t="s">
        <v>16</v>
      </c>
      <c r="H2700" s="5">
        <v>200</v>
      </c>
      <c r="I2700" s="5">
        <v>200</v>
      </c>
      <c r="J2700" s="5"/>
      <c r="K2700" s="5"/>
      <c r="L2700" s="10">
        <v>20201118</v>
      </c>
      <c r="M2700" s="36" t="str">
        <f t="shared" si="42"/>
        <v>19690221</v>
      </c>
    </row>
    <row r="2701" s="1" customFormat="1" spans="1:13">
      <c r="A2701" s="2">
        <v>3780</v>
      </c>
      <c r="B2701" s="5" t="s">
        <v>7412</v>
      </c>
      <c r="C2701" s="5" t="s">
        <v>7810</v>
      </c>
      <c r="D2701" s="5" t="s">
        <v>7811</v>
      </c>
      <c r="E2701" s="6">
        <v>2020</v>
      </c>
      <c r="F2701" s="6">
        <v>2020</v>
      </c>
      <c r="G2701" s="5" t="s">
        <v>3359</v>
      </c>
      <c r="H2701" s="5">
        <v>200</v>
      </c>
      <c r="I2701" s="5">
        <v>200</v>
      </c>
      <c r="J2701" s="5"/>
      <c r="K2701" s="5"/>
      <c r="L2701" s="10">
        <v>20201118</v>
      </c>
      <c r="M2701" s="36" t="str">
        <f t="shared" si="42"/>
        <v>19690222</v>
      </c>
    </row>
    <row r="2702" s="1" customFormat="1" spans="1:13">
      <c r="A2702" s="2">
        <v>6958</v>
      </c>
      <c r="B2702" s="5" t="s">
        <v>13533</v>
      </c>
      <c r="C2702" s="32" t="s">
        <v>13707</v>
      </c>
      <c r="D2702" s="32" t="str">
        <f>"152326196902237114"</f>
        <v>152326196902237114</v>
      </c>
      <c r="E2702" s="5">
        <v>2020</v>
      </c>
      <c r="F2702" s="5">
        <v>2020</v>
      </c>
      <c r="G2702" s="9" t="s">
        <v>2480</v>
      </c>
      <c r="H2702" s="32">
        <v>200</v>
      </c>
      <c r="I2702" s="32">
        <v>200</v>
      </c>
      <c r="J2702" s="32"/>
      <c r="K2702" s="10"/>
      <c r="L2702" s="10">
        <v>20201118</v>
      </c>
      <c r="M2702" s="36" t="str">
        <f t="shared" si="42"/>
        <v>19690223</v>
      </c>
    </row>
    <row r="2703" s="1" customFormat="1" spans="1:13">
      <c r="A2703" s="2">
        <v>4247</v>
      </c>
      <c r="B2703" s="9" t="s">
        <v>8515</v>
      </c>
      <c r="C2703" s="9" t="s">
        <v>8693</v>
      </c>
      <c r="D2703" s="9" t="s">
        <v>8694</v>
      </c>
      <c r="E2703" s="5" t="s">
        <v>15</v>
      </c>
      <c r="F2703" s="5">
        <v>2020</v>
      </c>
      <c r="G2703" s="9" t="s">
        <v>2480</v>
      </c>
      <c r="H2703" s="9">
        <v>200</v>
      </c>
      <c r="I2703" s="9">
        <v>200</v>
      </c>
      <c r="J2703" s="9"/>
      <c r="K2703" s="9"/>
      <c r="L2703" s="10">
        <v>20201118</v>
      </c>
      <c r="M2703" s="36" t="str">
        <f t="shared" si="42"/>
        <v>19690224</v>
      </c>
    </row>
    <row r="2704" s="1" customFormat="1" spans="1:13">
      <c r="A2704" s="2">
        <v>463</v>
      </c>
      <c r="B2704" s="29" t="s">
        <v>1040</v>
      </c>
      <c r="C2704" s="29" t="s">
        <v>1202</v>
      </c>
      <c r="D2704" s="29" t="s">
        <v>1203</v>
      </c>
      <c r="E2704" s="30">
        <v>2020</v>
      </c>
      <c r="F2704" s="30">
        <v>2020</v>
      </c>
      <c r="G2704" s="29" t="s">
        <v>16</v>
      </c>
      <c r="H2704" s="29">
        <v>200</v>
      </c>
      <c r="I2704" s="29">
        <v>200</v>
      </c>
      <c r="J2704" s="29"/>
      <c r="K2704" s="47"/>
      <c r="L2704" s="14" t="s">
        <v>330</v>
      </c>
      <c r="M2704" s="36" t="str">
        <f t="shared" si="42"/>
        <v>19690225</v>
      </c>
    </row>
    <row r="2705" s="1" customFormat="1" spans="1:13">
      <c r="A2705" s="2">
        <v>2524</v>
      </c>
      <c r="B2705" s="5" t="s">
        <v>5328</v>
      </c>
      <c r="C2705" s="16" t="s">
        <v>5582</v>
      </c>
      <c r="D2705" s="16" t="s">
        <v>5583</v>
      </c>
      <c r="E2705" s="5" t="s">
        <v>15</v>
      </c>
      <c r="F2705" s="5" t="s">
        <v>15</v>
      </c>
      <c r="G2705" s="14" t="s">
        <v>16</v>
      </c>
      <c r="H2705" s="6">
        <v>200</v>
      </c>
      <c r="I2705" s="6">
        <v>200</v>
      </c>
      <c r="J2705" s="5"/>
      <c r="K2705" s="5"/>
      <c r="L2705" s="10">
        <v>20201118</v>
      </c>
      <c r="M2705" s="36" t="str">
        <f t="shared" si="42"/>
        <v>19690225</v>
      </c>
    </row>
    <row r="2706" s="1" customFormat="1" spans="1:13">
      <c r="A2706" s="2">
        <v>1582</v>
      </c>
      <c r="B2706" s="5" t="s">
        <v>3381</v>
      </c>
      <c r="C2706" s="9" t="s">
        <v>3728</v>
      </c>
      <c r="D2706" s="9" t="s">
        <v>3729</v>
      </c>
      <c r="E2706" s="5">
        <v>2020</v>
      </c>
      <c r="F2706" s="5">
        <v>2020</v>
      </c>
      <c r="G2706" s="14" t="s">
        <v>16</v>
      </c>
      <c r="H2706" s="6">
        <v>200</v>
      </c>
      <c r="I2706" s="6">
        <v>200</v>
      </c>
      <c r="J2706" s="5"/>
      <c r="K2706" s="13"/>
      <c r="L2706" s="10">
        <v>20201118</v>
      </c>
      <c r="M2706" s="36" t="str">
        <f t="shared" si="42"/>
        <v>19690226</v>
      </c>
    </row>
    <row r="2707" s="1" customFormat="1" spans="1:13">
      <c r="A2707" s="2">
        <v>6265</v>
      </c>
      <c r="B2707" s="5" t="s">
        <v>12263</v>
      </c>
      <c r="C2707" s="5" t="s">
        <v>12553</v>
      </c>
      <c r="D2707" s="5" t="s">
        <v>12554</v>
      </c>
      <c r="E2707" s="5" t="s">
        <v>10250</v>
      </c>
      <c r="F2707" s="5">
        <v>2020</v>
      </c>
      <c r="G2707" s="17" t="s">
        <v>3359</v>
      </c>
      <c r="H2707" s="5">
        <v>200</v>
      </c>
      <c r="I2707" s="5">
        <v>200</v>
      </c>
      <c r="J2707" s="5"/>
      <c r="K2707" s="5"/>
      <c r="L2707" s="10">
        <v>20201118</v>
      </c>
      <c r="M2707" s="36" t="str">
        <f t="shared" si="42"/>
        <v>19690226</v>
      </c>
    </row>
    <row r="2708" s="1" customFormat="1" ht="14.25" spans="1:13">
      <c r="A2708" s="2">
        <v>5300</v>
      </c>
      <c r="B2708" s="33" t="s">
        <v>10535</v>
      </c>
      <c r="C2708" s="34" t="s">
        <v>10716</v>
      </c>
      <c r="D2708" s="34" t="s">
        <v>10717</v>
      </c>
      <c r="E2708" s="35">
        <v>2020</v>
      </c>
      <c r="F2708" s="35">
        <v>2020</v>
      </c>
      <c r="G2708" s="35" t="s">
        <v>16</v>
      </c>
      <c r="H2708" s="34">
        <v>200</v>
      </c>
      <c r="I2708" s="34">
        <v>200</v>
      </c>
      <c r="J2708" s="49"/>
      <c r="K2708" s="10"/>
      <c r="L2708" s="10">
        <v>20201118</v>
      </c>
      <c r="M2708" s="36" t="str">
        <f t="shared" si="42"/>
        <v>19690228</v>
      </c>
    </row>
    <row r="2709" s="1" customFormat="1" spans="1:13">
      <c r="A2709" s="2">
        <v>6470</v>
      </c>
      <c r="B2709" s="5" t="s">
        <v>12263</v>
      </c>
      <c r="C2709" s="5" t="s">
        <v>12943</v>
      </c>
      <c r="D2709" s="5" t="s">
        <v>12944</v>
      </c>
      <c r="E2709" s="5" t="s">
        <v>10250</v>
      </c>
      <c r="F2709" s="5">
        <v>2020</v>
      </c>
      <c r="G2709" s="17" t="s">
        <v>3359</v>
      </c>
      <c r="H2709" s="5">
        <v>500</v>
      </c>
      <c r="I2709" s="5">
        <v>500</v>
      </c>
      <c r="J2709" s="5"/>
      <c r="K2709" s="5"/>
      <c r="L2709" s="10">
        <v>20201118</v>
      </c>
      <c r="M2709" s="36" t="str">
        <f t="shared" si="42"/>
        <v>19690228</v>
      </c>
    </row>
    <row r="2710" s="1" customFormat="1" spans="1:13">
      <c r="A2710" s="2">
        <v>4248</v>
      </c>
      <c r="B2710" s="9" t="s">
        <v>8515</v>
      </c>
      <c r="C2710" s="9" t="s">
        <v>8695</v>
      </c>
      <c r="D2710" s="9" t="s">
        <v>8696</v>
      </c>
      <c r="E2710" s="5" t="s">
        <v>15</v>
      </c>
      <c r="F2710" s="5">
        <v>2020</v>
      </c>
      <c r="G2710" s="9" t="s">
        <v>2480</v>
      </c>
      <c r="H2710" s="9">
        <v>200</v>
      </c>
      <c r="I2710" s="9">
        <v>200</v>
      </c>
      <c r="J2710" s="9"/>
      <c r="K2710" s="9"/>
      <c r="L2710" s="10">
        <v>20201118</v>
      </c>
      <c r="M2710" s="36" t="str">
        <f t="shared" si="42"/>
        <v>19690301</v>
      </c>
    </row>
    <row r="2711" s="1" customFormat="1" ht="14.25" spans="1:13">
      <c r="A2711" s="2">
        <v>5301</v>
      </c>
      <c r="B2711" s="33" t="s">
        <v>10535</v>
      </c>
      <c r="C2711" s="34" t="s">
        <v>3040</v>
      </c>
      <c r="D2711" s="34" t="s">
        <v>10718</v>
      </c>
      <c r="E2711" s="35">
        <v>2020</v>
      </c>
      <c r="F2711" s="35">
        <v>2020</v>
      </c>
      <c r="G2711" s="35" t="s">
        <v>16</v>
      </c>
      <c r="H2711" s="34">
        <v>200</v>
      </c>
      <c r="I2711" s="34">
        <v>200</v>
      </c>
      <c r="J2711" s="49"/>
      <c r="K2711" s="10"/>
      <c r="L2711" s="10">
        <v>20201118</v>
      </c>
      <c r="M2711" s="36" t="str">
        <f t="shared" si="42"/>
        <v>19690301</v>
      </c>
    </row>
    <row r="2712" s="1" customFormat="1" spans="1:13">
      <c r="A2712" s="2">
        <v>6211</v>
      </c>
      <c r="B2712" s="5" t="s">
        <v>12263</v>
      </c>
      <c r="C2712" s="5" t="s">
        <v>12450</v>
      </c>
      <c r="D2712" s="5" t="s">
        <v>12451</v>
      </c>
      <c r="E2712" s="5" t="s">
        <v>10250</v>
      </c>
      <c r="F2712" s="5">
        <v>2020</v>
      </c>
      <c r="G2712" s="17" t="s">
        <v>3359</v>
      </c>
      <c r="H2712" s="5">
        <v>200</v>
      </c>
      <c r="I2712" s="5">
        <v>200</v>
      </c>
      <c r="J2712" s="5"/>
      <c r="K2712" s="5"/>
      <c r="L2712" s="10">
        <v>20201118</v>
      </c>
      <c r="M2712" s="36" t="str">
        <f t="shared" si="42"/>
        <v>19690301</v>
      </c>
    </row>
    <row r="2713" s="1" customFormat="1" spans="1:13">
      <c r="A2713" s="2">
        <v>6266</v>
      </c>
      <c r="B2713" s="5" t="s">
        <v>12263</v>
      </c>
      <c r="C2713" s="5" t="s">
        <v>12555</v>
      </c>
      <c r="D2713" s="5" t="s">
        <v>12556</v>
      </c>
      <c r="E2713" s="5" t="s">
        <v>10250</v>
      </c>
      <c r="F2713" s="5">
        <v>2020</v>
      </c>
      <c r="G2713" s="17" t="s">
        <v>3359</v>
      </c>
      <c r="H2713" s="5">
        <v>200</v>
      </c>
      <c r="I2713" s="5">
        <v>200</v>
      </c>
      <c r="J2713" s="5"/>
      <c r="K2713" s="5"/>
      <c r="L2713" s="10">
        <v>20201118</v>
      </c>
      <c r="M2713" s="36" t="str">
        <f t="shared" si="42"/>
        <v>19690301</v>
      </c>
    </row>
    <row r="2714" s="1" customFormat="1" spans="1:13">
      <c r="A2714" s="2">
        <v>7547</v>
      </c>
      <c r="B2714" s="5" t="s">
        <v>14402</v>
      </c>
      <c r="C2714" s="5" t="s">
        <v>14702</v>
      </c>
      <c r="D2714" s="5" t="s">
        <v>14703</v>
      </c>
      <c r="E2714" s="5">
        <v>2020</v>
      </c>
      <c r="F2714" s="5">
        <v>2020</v>
      </c>
      <c r="G2714" s="17" t="s">
        <v>16</v>
      </c>
      <c r="H2714" s="5">
        <v>1000</v>
      </c>
      <c r="I2714" s="5">
        <v>1000</v>
      </c>
      <c r="J2714" s="5"/>
      <c r="K2714" s="10"/>
      <c r="L2714" s="10">
        <v>20201118</v>
      </c>
      <c r="M2714" s="36" t="str">
        <f t="shared" si="42"/>
        <v>19690303</v>
      </c>
    </row>
    <row r="2715" s="1" customFormat="1" spans="1:13">
      <c r="A2715" s="2">
        <v>1895</v>
      </c>
      <c r="B2715" s="5" t="s">
        <v>4189</v>
      </c>
      <c r="C2715" s="16" t="s">
        <v>4351</v>
      </c>
      <c r="D2715" s="16" t="s">
        <v>4352</v>
      </c>
      <c r="E2715" s="5" t="s">
        <v>15</v>
      </c>
      <c r="F2715" s="5" t="s">
        <v>15</v>
      </c>
      <c r="G2715" s="5" t="s">
        <v>3359</v>
      </c>
      <c r="H2715" s="16">
        <v>200</v>
      </c>
      <c r="I2715" s="16">
        <v>200</v>
      </c>
      <c r="J2715" s="5"/>
      <c r="K2715" s="10"/>
      <c r="L2715" s="10">
        <v>20201118</v>
      </c>
      <c r="M2715" s="36" t="str">
        <f t="shared" si="42"/>
        <v>19690304</v>
      </c>
    </row>
    <row r="2716" s="1" customFormat="1" spans="1:13">
      <c r="A2716" s="2">
        <v>3781</v>
      </c>
      <c r="B2716" s="5" t="s">
        <v>7412</v>
      </c>
      <c r="C2716" s="5" t="s">
        <v>7812</v>
      </c>
      <c r="D2716" s="5" t="s">
        <v>7813</v>
      </c>
      <c r="E2716" s="6">
        <v>2020</v>
      </c>
      <c r="F2716" s="6">
        <v>2020</v>
      </c>
      <c r="G2716" s="5" t="s">
        <v>3359</v>
      </c>
      <c r="H2716" s="5">
        <v>200</v>
      </c>
      <c r="I2716" s="5">
        <v>200</v>
      </c>
      <c r="J2716" s="5"/>
      <c r="K2716" s="5"/>
      <c r="L2716" s="10">
        <v>20201118</v>
      </c>
      <c r="M2716" s="36" t="str">
        <f t="shared" si="42"/>
        <v>19690304</v>
      </c>
    </row>
    <row r="2717" s="1" customFormat="1" spans="1:13">
      <c r="A2717" s="2">
        <v>3782</v>
      </c>
      <c r="B2717" s="5" t="s">
        <v>7412</v>
      </c>
      <c r="C2717" s="5" t="s">
        <v>7814</v>
      </c>
      <c r="D2717" s="5" t="s">
        <v>7815</v>
      </c>
      <c r="E2717" s="6">
        <v>2020</v>
      </c>
      <c r="F2717" s="6">
        <v>2020</v>
      </c>
      <c r="G2717" s="5" t="s">
        <v>3359</v>
      </c>
      <c r="H2717" s="5">
        <v>200</v>
      </c>
      <c r="I2717" s="5">
        <v>200</v>
      </c>
      <c r="J2717" s="5"/>
      <c r="K2717" s="5"/>
      <c r="L2717" s="10">
        <v>20201118</v>
      </c>
      <c r="M2717" s="36" t="str">
        <f t="shared" si="42"/>
        <v>19690304</v>
      </c>
    </row>
    <row r="2718" s="1" customFormat="1" spans="1:13">
      <c r="A2718" s="2">
        <v>3418</v>
      </c>
      <c r="B2718" s="5" t="s">
        <v>3375</v>
      </c>
      <c r="C2718" s="6" t="s">
        <v>7196</v>
      </c>
      <c r="D2718" s="6" t="str">
        <f>"152326196903056884"</f>
        <v>152326196903056884</v>
      </c>
      <c r="E2718" s="5" t="s">
        <v>15</v>
      </c>
      <c r="F2718" s="5">
        <v>2020</v>
      </c>
      <c r="G2718" s="14" t="s">
        <v>16</v>
      </c>
      <c r="H2718" s="17">
        <v>200</v>
      </c>
      <c r="I2718" s="17">
        <v>200</v>
      </c>
      <c r="J2718" s="6"/>
      <c r="K2718" s="10"/>
      <c r="L2718" s="10">
        <v>20201118</v>
      </c>
      <c r="M2718" s="36" t="str">
        <f t="shared" si="42"/>
        <v>19690305</v>
      </c>
    </row>
    <row r="2719" s="1" customFormat="1" spans="1:13">
      <c r="A2719" s="2">
        <v>1044</v>
      </c>
      <c r="B2719" s="5" t="s">
        <v>2469</v>
      </c>
      <c r="C2719" s="9" t="s">
        <v>2679</v>
      </c>
      <c r="D2719" s="9" t="s">
        <v>2680</v>
      </c>
      <c r="E2719" s="5">
        <v>2020</v>
      </c>
      <c r="F2719" s="5">
        <v>2020</v>
      </c>
      <c r="G2719" s="9" t="s">
        <v>2480</v>
      </c>
      <c r="H2719" s="9">
        <v>200</v>
      </c>
      <c r="I2719" s="9">
        <v>200</v>
      </c>
      <c r="J2719" s="5"/>
      <c r="K2719" s="5"/>
      <c r="L2719" s="10">
        <v>20201118</v>
      </c>
      <c r="M2719" s="36" t="str">
        <f t="shared" si="42"/>
        <v>19690306</v>
      </c>
    </row>
    <row r="2720" s="1" customFormat="1" spans="1:13">
      <c r="A2720" s="2">
        <v>6202</v>
      </c>
      <c r="B2720" s="5" t="s">
        <v>12263</v>
      </c>
      <c r="C2720" s="5" t="s">
        <v>12432</v>
      </c>
      <c r="D2720" s="5" t="s">
        <v>12433</v>
      </c>
      <c r="E2720" s="5" t="s">
        <v>10250</v>
      </c>
      <c r="F2720" s="5">
        <v>2020</v>
      </c>
      <c r="G2720" s="17" t="s">
        <v>3359</v>
      </c>
      <c r="H2720" s="5">
        <v>200</v>
      </c>
      <c r="I2720" s="5">
        <v>200</v>
      </c>
      <c r="J2720" s="5"/>
      <c r="K2720" s="5"/>
      <c r="L2720" s="10">
        <v>20201118</v>
      </c>
      <c r="M2720" s="36" t="str">
        <f t="shared" si="42"/>
        <v>19690306</v>
      </c>
    </row>
    <row r="2721" s="1" customFormat="1" spans="1:13">
      <c r="A2721" s="2">
        <v>1583</v>
      </c>
      <c r="B2721" s="5" t="s">
        <v>3381</v>
      </c>
      <c r="C2721" s="9" t="s">
        <v>3730</v>
      </c>
      <c r="D2721" s="9" t="s">
        <v>3731</v>
      </c>
      <c r="E2721" s="5">
        <v>2020</v>
      </c>
      <c r="F2721" s="5">
        <v>2020</v>
      </c>
      <c r="G2721" s="14" t="s">
        <v>16</v>
      </c>
      <c r="H2721" s="6">
        <v>200</v>
      </c>
      <c r="I2721" s="6">
        <v>200</v>
      </c>
      <c r="J2721" s="5"/>
      <c r="K2721" s="13"/>
      <c r="L2721" s="10">
        <v>20201118</v>
      </c>
      <c r="M2721" s="36" t="str">
        <f t="shared" si="42"/>
        <v>19690308</v>
      </c>
    </row>
    <row r="2722" s="1" customFormat="1" spans="1:13">
      <c r="A2722" s="2">
        <v>264</v>
      </c>
      <c r="B2722" s="14" t="s">
        <v>327</v>
      </c>
      <c r="C2722" s="17" t="s">
        <v>678</v>
      </c>
      <c r="D2722" s="17" t="s">
        <v>679</v>
      </c>
      <c r="E2722" s="5">
        <v>2020</v>
      </c>
      <c r="F2722" s="5">
        <v>2020</v>
      </c>
      <c r="G2722" s="14" t="s">
        <v>16</v>
      </c>
      <c r="H2722" s="17">
        <v>500</v>
      </c>
      <c r="I2722" s="17">
        <v>500</v>
      </c>
      <c r="J2722" s="17"/>
      <c r="K2722" s="10"/>
      <c r="L2722" s="14" t="s">
        <v>330</v>
      </c>
      <c r="M2722" s="36" t="str">
        <f t="shared" si="42"/>
        <v>19690310</v>
      </c>
    </row>
    <row r="2723" s="1" customFormat="1" spans="1:13">
      <c r="A2723" s="2">
        <v>584</v>
      </c>
      <c r="B2723" s="29" t="s">
        <v>1040</v>
      </c>
      <c r="C2723" s="29" t="s">
        <v>1444</v>
      </c>
      <c r="D2723" s="29" t="s">
        <v>1445</v>
      </c>
      <c r="E2723" s="30">
        <v>2020</v>
      </c>
      <c r="F2723" s="30">
        <v>2020</v>
      </c>
      <c r="G2723" s="29" t="s">
        <v>16</v>
      </c>
      <c r="H2723" s="29">
        <v>200</v>
      </c>
      <c r="I2723" s="29">
        <v>200</v>
      </c>
      <c r="J2723" s="29"/>
      <c r="K2723" s="47"/>
      <c r="L2723" s="2" t="s">
        <v>330</v>
      </c>
      <c r="M2723" s="36" t="str">
        <f t="shared" si="42"/>
        <v>19690310</v>
      </c>
    </row>
    <row r="2724" s="1" customFormat="1" spans="1:13">
      <c r="A2724" s="2">
        <v>4971</v>
      </c>
      <c r="B2724" s="6" t="s">
        <v>9954</v>
      </c>
      <c r="C2724" s="60" t="s">
        <v>3173</v>
      </c>
      <c r="D2724" s="60" t="s">
        <v>10082</v>
      </c>
      <c r="E2724" s="5" t="s">
        <v>15</v>
      </c>
      <c r="F2724" s="5" t="s">
        <v>15</v>
      </c>
      <c r="G2724" s="14" t="s">
        <v>16</v>
      </c>
      <c r="H2724" s="6">
        <v>200</v>
      </c>
      <c r="I2724" s="6">
        <v>200</v>
      </c>
      <c r="J2724" s="6" t="s">
        <v>108</v>
      </c>
      <c r="K2724" s="6"/>
      <c r="L2724" s="10">
        <v>20201118</v>
      </c>
      <c r="M2724" s="36" t="str">
        <f t="shared" si="42"/>
        <v>19690310</v>
      </c>
    </row>
    <row r="2725" s="1" customFormat="1" spans="1:13">
      <c r="A2725" s="2">
        <v>1584</v>
      </c>
      <c r="B2725" s="5" t="s">
        <v>3381</v>
      </c>
      <c r="C2725" s="9" t="s">
        <v>3732</v>
      </c>
      <c r="D2725" s="9" t="s">
        <v>3733</v>
      </c>
      <c r="E2725" s="5">
        <v>2020</v>
      </c>
      <c r="F2725" s="5">
        <v>2020</v>
      </c>
      <c r="G2725" s="14" t="s">
        <v>16</v>
      </c>
      <c r="H2725" s="6">
        <v>200</v>
      </c>
      <c r="I2725" s="6">
        <v>200</v>
      </c>
      <c r="J2725" s="5"/>
      <c r="K2725" s="13"/>
      <c r="L2725" s="10">
        <v>20201118</v>
      </c>
      <c r="M2725" s="36" t="str">
        <f t="shared" si="42"/>
        <v>19690313</v>
      </c>
    </row>
    <row r="2726" s="1" customFormat="1" spans="1:13">
      <c r="A2726" s="2">
        <v>1900</v>
      </c>
      <c r="B2726" s="5" t="s">
        <v>4189</v>
      </c>
      <c r="C2726" s="16" t="s">
        <v>4361</v>
      </c>
      <c r="D2726" s="16" t="s">
        <v>4362</v>
      </c>
      <c r="E2726" s="5" t="s">
        <v>15</v>
      </c>
      <c r="F2726" s="5" t="s">
        <v>15</v>
      </c>
      <c r="G2726" s="5" t="s">
        <v>3359</v>
      </c>
      <c r="H2726" s="16">
        <v>200</v>
      </c>
      <c r="I2726" s="16">
        <v>200</v>
      </c>
      <c r="J2726" s="5"/>
      <c r="K2726" s="10"/>
      <c r="L2726" s="10">
        <v>20201118</v>
      </c>
      <c r="M2726" s="36" t="str">
        <f t="shared" si="42"/>
        <v>19690313</v>
      </c>
    </row>
    <row r="2727" s="1" customFormat="1" spans="1:13">
      <c r="A2727" s="2">
        <v>3076</v>
      </c>
      <c r="B2727" s="3" t="s">
        <v>6671</v>
      </c>
      <c r="C2727" s="9" t="s">
        <v>6678</v>
      </c>
      <c r="D2727" s="9" t="s">
        <v>6679</v>
      </c>
      <c r="E2727" s="3" t="s">
        <v>15</v>
      </c>
      <c r="F2727" s="3" t="s">
        <v>15</v>
      </c>
      <c r="G2727" s="6" t="s">
        <v>3359</v>
      </c>
      <c r="H2727" s="9">
        <v>200</v>
      </c>
      <c r="I2727" s="9">
        <v>200</v>
      </c>
      <c r="J2727" s="6" t="s">
        <v>108</v>
      </c>
      <c r="K2727" s="5"/>
      <c r="L2727" s="10">
        <v>20201118</v>
      </c>
      <c r="M2727" s="36" t="str">
        <f t="shared" si="42"/>
        <v>19690314</v>
      </c>
    </row>
    <row r="2728" s="1" customFormat="1" spans="1:13">
      <c r="A2728" s="2">
        <v>3783</v>
      </c>
      <c r="B2728" s="5" t="s">
        <v>7412</v>
      </c>
      <c r="C2728" s="5" t="s">
        <v>7816</v>
      </c>
      <c r="D2728" s="5" t="s">
        <v>7817</v>
      </c>
      <c r="E2728" s="6">
        <v>2020</v>
      </c>
      <c r="F2728" s="6">
        <v>2020</v>
      </c>
      <c r="G2728" s="5" t="s">
        <v>3359</v>
      </c>
      <c r="H2728" s="5">
        <v>200</v>
      </c>
      <c r="I2728" s="5">
        <v>200</v>
      </c>
      <c r="J2728" s="5" t="s">
        <v>3647</v>
      </c>
      <c r="K2728" s="5"/>
      <c r="L2728" s="10">
        <v>20201118</v>
      </c>
      <c r="M2728" s="36" t="str">
        <f t="shared" si="42"/>
        <v>19690315</v>
      </c>
    </row>
    <row r="2729" s="1" customFormat="1" spans="1:13">
      <c r="A2729" s="2">
        <v>3103</v>
      </c>
      <c r="B2729" s="3" t="s">
        <v>6671</v>
      </c>
      <c r="C2729" s="9" t="s">
        <v>6729</v>
      </c>
      <c r="D2729" s="9" t="s">
        <v>6730</v>
      </c>
      <c r="E2729" s="3" t="s">
        <v>15</v>
      </c>
      <c r="F2729" s="3" t="s">
        <v>15</v>
      </c>
      <c r="G2729" s="6" t="s">
        <v>3359</v>
      </c>
      <c r="H2729" s="9">
        <v>200</v>
      </c>
      <c r="I2729" s="9">
        <v>200</v>
      </c>
      <c r="J2729" s="6" t="s">
        <v>108</v>
      </c>
      <c r="K2729" s="5"/>
      <c r="L2729" s="10">
        <v>20201118</v>
      </c>
      <c r="M2729" s="36" t="str">
        <f t="shared" si="42"/>
        <v>19690319</v>
      </c>
    </row>
    <row r="2730" s="1" customFormat="1" spans="1:13">
      <c r="A2730" s="2">
        <v>6951</v>
      </c>
      <c r="B2730" s="5" t="s">
        <v>13533</v>
      </c>
      <c r="C2730" s="32" t="s">
        <v>13701</v>
      </c>
      <c r="D2730" s="32" t="str">
        <f>"152326196903197126"</f>
        <v>152326196903197126</v>
      </c>
      <c r="E2730" s="5">
        <v>2020</v>
      </c>
      <c r="F2730" s="5">
        <v>2020</v>
      </c>
      <c r="G2730" s="9" t="s">
        <v>2480</v>
      </c>
      <c r="H2730" s="32">
        <v>200</v>
      </c>
      <c r="I2730" s="32">
        <v>200</v>
      </c>
      <c r="J2730" s="62"/>
      <c r="K2730" s="10"/>
      <c r="L2730" s="10">
        <v>20201118</v>
      </c>
      <c r="M2730" s="36" t="str">
        <f t="shared" si="42"/>
        <v>19690319</v>
      </c>
    </row>
    <row r="2731" s="1" customFormat="1" spans="1:13">
      <c r="A2731" s="2">
        <v>5104</v>
      </c>
      <c r="B2731" s="6" t="s">
        <v>10242</v>
      </c>
      <c r="C2731" s="9" t="s">
        <v>10338</v>
      </c>
      <c r="D2731" s="9" t="s">
        <v>10339</v>
      </c>
      <c r="E2731" s="5" t="s">
        <v>10250</v>
      </c>
      <c r="F2731" s="5">
        <v>2020</v>
      </c>
      <c r="G2731" s="6" t="s">
        <v>16</v>
      </c>
      <c r="H2731" s="6">
        <v>200</v>
      </c>
      <c r="I2731" s="6">
        <v>200</v>
      </c>
      <c r="J2731" s="6"/>
      <c r="K2731" s="5"/>
      <c r="L2731" s="10">
        <v>20201118</v>
      </c>
      <c r="M2731" s="36" t="str">
        <f t="shared" si="42"/>
        <v>19690325</v>
      </c>
    </row>
    <row r="2732" s="1" customFormat="1" spans="1:13">
      <c r="A2732" s="2">
        <v>3419</v>
      </c>
      <c r="B2732" s="5" t="s">
        <v>3375</v>
      </c>
      <c r="C2732" s="6" t="s">
        <v>7197</v>
      </c>
      <c r="D2732" s="6" t="str">
        <f>"152326196903266873"</f>
        <v>152326196903266873</v>
      </c>
      <c r="E2732" s="5" t="s">
        <v>15</v>
      </c>
      <c r="F2732" s="5">
        <v>2020</v>
      </c>
      <c r="G2732" s="14" t="s">
        <v>16</v>
      </c>
      <c r="H2732" s="17">
        <v>200</v>
      </c>
      <c r="I2732" s="17">
        <v>200</v>
      </c>
      <c r="J2732" s="6"/>
      <c r="K2732" s="10"/>
      <c r="L2732" s="10">
        <v>20201118</v>
      </c>
      <c r="M2732" s="36" t="str">
        <f t="shared" si="42"/>
        <v>19690326</v>
      </c>
    </row>
    <row r="2733" s="1" customFormat="1" spans="1:13">
      <c r="A2733" s="2">
        <v>6272</v>
      </c>
      <c r="B2733" s="5" t="s">
        <v>12263</v>
      </c>
      <c r="C2733" s="5" t="s">
        <v>12566</v>
      </c>
      <c r="D2733" s="5" t="s">
        <v>12567</v>
      </c>
      <c r="E2733" s="5" t="s">
        <v>10250</v>
      </c>
      <c r="F2733" s="5">
        <v>2020</v>
      </c>
      <c r="G2733" s="17" t="s">
        <v>3359</v>
      </c>
      <c r="H2733" s="5">
        <v>200</v>
      </c>
      <c r="I2733" s="5">
        <v>200</v>
      </c>
      <c r="J2733" s="5"/>
      <c r="K2733" s="5"/>
      <c r="L2733" s="10">
        <v>20201118</v>
      </c>
      <c r="M2733" s="36" t="str">
        <f t="shared" si="42"/>
        <v>19690327</v>
      </c>
    </row>
    <row r="2734" s="1" customFormat="1" spans="1:13">
      <c r="A2734" s="2">
        <v>6602</v>
      </c>
      <c r="B2734" s="5" t="s">
        <v>13027</v>
      </c>
      <c r="C2734" s="15" t="s">
        <v>13193</v>
      </c>
      <c r="D2734" s="15" t="s">
        <v>13194</v>
      </c>
      <c r="E2734" s="5">
        <v>2020</v>
      </c>
      <c r="F2734" s="5">
        <v>2020</v>
      </c>
      <c r="G2734" s="14" t="s">
        <v>16</v>
      </c>
      <c r="H2734" s="15">
        <v>200</v>
      </c>
      <c r="I2734" s="15">
        <v>200</v>
      </c>
      <c r="J2734" s="5"/>
      <c r="K2734" s="10"/>
      <c r="L2734" s="10">
        <v>20201118</v>
      </c>
      <c r="M2734" s="36" t="str">
        <f t="shared" si="42"/>
        <v>19690327</v>
      </c>
    </row>
    <row r="2735" s="1" customFormat="1" spans="1:13">
      <c r="A2735" s="2">
        <v>3784</v>
      </c>
      <c r="B2735" s="5" t="s">
        <v>7412</v>
      </c>
      <c r="C2735" s="5" t="s">
        <v>7818</v>
      </c>
      <c r="D2735" s="5" t="s">
        <v>7819</v>
      </c>
      <c r="E2735" s="6">
        <v>2020</v>
      </c>
      <c r="F2735" s="6">
        <v>2020</v>
      </c>
      <c r="G2735" s="5" t="s">
        <v>3359</v>
      </c>
      <c r="H2735" s="5">
        <v>200</v>
      </c>
      <c r="I2735" s="5">
        <v>200</v>
      </c>
      <c r="J2735" s="5"/>
      <c r="K2735" s="5"/>
      <c r="L2735" s="10">
        <v>20201118</v>
      </c>
      <c r="M2735" s="36" t="str">
        <f t="shared" si="42"/>
        <v>19690328</v>
      </c>
    </row>
    <row r="2736" s="1" customFormat="1" spans="1:13">
      <c r="A2736" s="2">
        <v>5105</v>
      </c>
      <c r="B2736" s="6" t="s">
        <v>10242</v>
      </c>
      <c r="C2736" s="9" t="s">
        <v>10340</v>
      </c>
      <c r="D2736" s="9" t="s">
        <v>10341</v>
      </c>
      <c r="E2736" s="5" t="s">
        <v>10250</v>
      </c>
      <c r="F2736" s="5">
        <v>2020</v>
      </c>
      <c r="G2736" s="6" t="s">
        <v>16</v>
      </c>
      <c r="H2736" s="6">
        <v>200</v>
      </c>
      <c r="I2736" s="6">
        <v>200</v>
      </c>
      <c r="J2736" s="6"/>
      <c r="K2736" s="5"/>
      <c r="L2736" s="10">
        <v>20201118</v>
      </c>
      <c r="M2736" s="36" t="str">
        <f t="shared" si="42"/>
        <v>19690328</v>
      </c>
    </row>
    <row r="2737" s="1" customFormat="1" ht="14.25" spans="1:13">
      <c r="A2737" s="2">
        <v>2836</v>
      </c>
      <c r="B2737" s="6" t="s">
        <v>6075</v>
      </c>
      <c r="C2737" s="25" t="s">
        <v>6199</v>
      </c>
      <c r="D2737" s="26" t="s">
        <v>6200</v>
      </c>
      <c r="E2737" s="5" t="s">
        <v>15</v>
      </c>
      <c r="F2737" s="5">
        <v>2020</v>
      </c>
      <c r="G2737" s="6" t="s">
        <v>16</v>
      </c>
      <c r="H2737" s="6">
        <v>200</v>
      </c>
      <c r="I2737" s="6">
        <v>200</v>
      </c>
      <c r="J2737" s="6"/>
      <c r="K2737" s="10"/>
      <c r="L2737" s="10">
        <v>20201118</v>
      </c>
      <c r="M2737" s="36" t="str">
        <f t="shared" si="42"/>
        <v>19690329</v>
      </c>
    </row>
    <row r="2738" s="1" customFormat="1" spans="1:13">
      <c r="A2738" s="2">
        <v>5106</v>
      </c>
      <c r="B2738" s="6" t="s">
        <v>10242</v>
      </c>
      <c r="C2738" s="9" t="s">
        <v>1333</v>
      </c>
      <c r="D2738" s="9" t="s">
        <v>10342</v>
      </c>
      <c r="E2738" s="5" t="s">
        <v>10250</v>
      </c>
      <c r="F2738" s="5">
        <v>2020</v>
      </c>
      <c r="G2738" s="6" t="s">
        <v>16</v>
      </c>
      <c r="H2738" s="6">
        <v>200</v>
      </c>
      <c r="I2738" s="6">
        <v>200</v>
      </c>
      <c r="J2738" s="6"/>
      <c r="K2738" s="5"/>
      <c r="L2738" s="10">
        <v>20201118</v>
      </c>
      <c r="M2738" s="36" t="str">
        <f t="shared" si="42"/>
        <v>19690401</v>
      </c>
    </row>
    <row r="2739" s="1" customFormat="1" spans="1:13">
      <c r="A2739" s="2">
        <v>6341</v>
      </c>
      <c r="B2739" s="5" t="s">
        <v>12263</v>
      </c>
      <c r="C2739" s="5" t="s">
        <v>12698</v>
      </c>
      <c r="D2739" s="5" t="s">
        <v>12699</v>
      </c>
      <c r="E2739" s="5" t="s">
        <v>10250</v>
      </c>
      <c r="F2739" s="5">
        <v>2020</v>
      </c>
      <c r="G2739" s="17" t="s">
        <v>3359</v>
      </c>
      <c r="H2739" s="5" t="s">
        <v>311</v>
      </c>
      <c r="I2739" s="5">
        <v>200</v>
      </c>
      <c r="J2739" s="5"/>
      <c r="K2739" s="5"/>
      <c r="L2739" s="10">
        <v>20201118</v>
      </c>
      <c r="M2739" s="36" t="str">
        <f t="shared" si="42"/>
        <v>19690401</v>
      </c>
    </row>
    <row r="2740" s="1" customFormat="1" spans="1:13">
      <c r="A2740" s="2">
        <v>7171</v>
      </c>
      <c r="B2740" s="5" t="s">
        <v>13908</v>
      </c>
      <c r="C2740" s="5" t="s">
        <v>13997</v>
      </c>
      <c r="D2740" s="5" t="s">
        <v>13998</v>
      </c>
      <c r="E2740" s="5" t="s">
        <v>15</v>
      </c>
      <c r="F2740" s="5" t="s">
        <v>15</v>
      </c>
      <c r="G2740" s="14" t="s">
        <v>16</v>
      </c>
      <c r="H2740" s="17">
        <v>200</v>
      </c>
      <c r="I2740" s="17">
        <v>200</v>
      </c>
      <c r="J2740" s="5"/>
      <c r="K2740" s="10"/>
      <c r="L2740" s="10">
        <v>20201118</v>
      </c>
      <c r="M2740" s="36" t="str">
        <f t="shared" si="42"/>
        <v>19690402</v>
      </c>
    </row>
    <row r="2741" s="1" customFormat="1" spans="1:13">
      <c r="A2741" s="2">
        <v>4249</v>
      </c>
      <c r="B2741" s="9" t="s">
        <v>8515</v>
      </c>
      <c r="C2741" s="9" t="s">
        <v>8697</v>
      </c>
      <c r="D2741" s="9" t="s">
        <v>8698</v>
      </c>
      <c r="E2741" s="5" t="s">
        <v>15</v>
      </c>
      <c r="F2741" s="5">
        <v>2020</v>
      </c>
      <c r="G2741" s="9" t="s">
        <v>2480</v>
      </c>
      <c r="H2741" s="9">
        <v>200</v>
      </c>
      <c r="I2741" s="9">
        <v>200</v>
      </c>
      <c r="J2741" s="9"/>
      <c r="K2741" s="9"/>
      <c r="L2741" s="10">
        <v>20201118</v>
      </c>
      <c r="M2741" s="36" t="str">
        <f t="shared" si="42"/>
        <v>19690403</v>
      </c>
    </row>
    <row r="2742" s="1" customFormat="1" ht="14.25" spans="1:13">
      <c r="A2742" s="2">
        <v>3063</v>
      </c>
      <c r="B2742" s="6" t="s">
        <v>6075</v>
      </c>
      <c r="C2742" s="25" t="s">
        <v>6649</v>
      </c>
      <c r="D2742" s="26" t="s">
        <v>6650</v>
      </c>
      <c r="E2742" s="5" t="s">
        <v>6651</v>
      </c>
      <c r="F2742" s="5">
        <v>2020</v>
      </c>
      <c r="G2742" s="6" t="s">
        <v>6642</v>
      </c>
      <c r="H2742" s="6">
        <v>200</v>
      </c>
      <c r="I2742" s="6">
        <v>1400</v>
      </c>
      <c r="J2742" s="6"/>
      <c r="K2742" s="10"/>
      <c r="L2742" s="10">
        <v>20201118</v>
      </c>
      <c r="M2742" s="36" t="str">
        <f t="shared" si="42"/>
        <v>19690404</v>
      </c>
    </row>
    <row r="2743" s="1" customFormat="1" spans="1:13">
      <c r="A2743" s="2">
        <v>3785</v>
      </c>
      <c r="B2743" s="5" t="s">
        <v>7412</v>
      </c>
      <c r="C2743" s="5" t="s">
        <v>7820</v>
      </c>
      <c r="D2743" s="5" t="s">
        <v>7821</v>
      </c>
      <c r="E2743" s="6">
        <v>2020</v>
      </c>
      <c r="F2743" s="6">
        <v>2020</v>
      </c>
      <c r="G2743" s="5" t="s">
        <v>3359</v>
      </c>
      <c r="H2743" s="5">
        <v>200</v>
      </c>
      <c r="I2743" s="5">
        <v>200</v>
      </c>
      <c r="J2743" s="5"/>
      <c r="K2743" s="5"/>
      <c r="L2743" s="10">
        <v>20201118</v>
      </c>
      <c r="M2743" s="36" t="str">
        <f t="shared" si="42"/>
        <v>19690404</v>
      </c>
    </row>
    <row r="2744" s="1" customFormat="1" spans="1:13">
      <c r="A2744" s="2">
        <v>7548</v>
      </c>
      <c r="B2744" s="5" t="s">
        <v>14402</v>
      </c>
      <c r="C2744" s="5" t="s">
        <v>14704</v>
      </c>
      <c r="D2744" s="5" t="s">
        <v>14705</v>
      </c>
      <c r="E2744" s="5">
        <v>2020</v>
      </c>
      <c r="F2744" s="5">
        <v>2020</v>
      </c>
      <c r="G2744" s="17" t="s">
        <v>16</v>
      </c>
      <c r="H2744" s="5">
        <v>200</v>
      </c>
      <c r="I2744" s="5">
        <v>200</v>
      </c>
      <c r="J2744" s="5"/>
      <c r="K2744" s="10"/>
      <c r="L2744" s="10">
        <v>20201118</v>
      </c>
      <c r="M2744" s="36" t="str">
        <f t="shared" si="42"/>
        <v>19690404</v>
      </c>
    </row>
    <row r="2745" s="1" customFormat="1" spans="1:13">
      <c r="A2745" s="2">
        <v>1917</v>
      </c>
      <c r="B2745" s="5" t="s">
        <v>4189</v>
      </c>
      <c r="C2745" s="16" t="s">
        <v>4394</v>
      </c>
      <c r="D2745" s="16" t="s">
        <v>4395</v>
      </c>
      <c r="E2745" s="5" t="s">
        <v>15</v>
      </c>
      <c r="F2745" s="5" t="s">
        <v>15</v>
      </c>
      <c r="G2745" s="5" t="s">
        <v>3359</v>
      </c>
      <c r="H2745" s="16">
        <v>200</v>
      </c>
      <c r="I2745" s="16">
        <v>200</v>
      </c>
      <c r="J2745" s="5"/>
      <c r="K2745" s="10"/>
      <c r="L2745" s="10">
        <v>20201118</v>
      </c>
      <c r="M2745" s="36" t="str">
        <f t="shared" si="42"/>
        <v>19690405</v>
      </c>
    </row>
    <row r="2746" s="1" customFormat="1" spans="1:13">
      <c r="A2746" s="2">
        <v>4250</v>
      </c>
      <c r="B2746" s="9" t="s">
        <v>8515</v>
      </c>
      <c r="C2746" s="9" t="s">
        <v>8699</v>
      </c>
      <c r="D2746" s="9" t="s">
        <v>8700</v>
      </c>
      <c r="E2746" s="5" t="s">
        <v>15</v>
      </c>
      <c r="F2746" s="5">
        <v>2020</v>
      </c>
      <c r="G2746" s="9" t="s">
        <v>2480</v>
      </c>
      <c r="H2746" s="9">
        <v>200</v>
      </c>
      <c r="I2746" s="9">
        <v>200</v>
      </c>
      <c r="J2746" s="9"/>
      <c r="K2746" s="9"/>
      <c r="L2746" s="10">
        <v>20201118</v>
      </c>
      <c r="M2746" s="36" t="str">
        <f t="shared" si="42"/>
        <v>19690405</v>
      </c>
    </row>
    <row r="2747" s="1" customFormat="1" spans="1:13">
      <c r="A2747" s="2">
        <v>6949</v>
      </c>
      <c r="B2747" s="5" t="s">
        <v>13533</v>
      </c>
      <c r="C2747" s="32" t="s">
        <v>13698</v>
      </c>
      <c r="D2747" s="32" t="str">
        <f>"152326196904077126"</f>
        <v>152326196904077126</v>
      </c>
      <c r="E2747" s="5">
        <v>2020</v>
      </c>
      <c r="F2747" s="5">
        <v>2020</v>
      </c>
      <c r="G2747" s="9" t="s">
        <v>2480</v>
      </c>
      <c r="H2747" s="32">
        <v>200</v>
      </c>
      <c r="I2747" s="32">
        <v>200</v>
      </c>
      <c r="J2747" s="62"/>
      <c r="K2747" s="10"/>
      <c r="L2747" s="10">
        <v>20201118</v>
      </c>
      <c r="M2747" s="36" t="str">
        <f t="shared" si="42"/>
        <v>19690407</v>
      </c>
    </row>
    <row r="2748" s="1" customFormat="1" spans="1:13">
      <c r="A2748" s="2">
        <v>510</v>
      </c>
      <c r="B2748" s="29" t="s">
        <v>1040</v>
      </c>
      <c r="C2748" s="29" t="s">
        <v>1297</v>
      </c>
      <c r="D2748" s="29" t="s">
        <v>1298</v>
      </c>
      <c r="E2748" s="30">
        <v>2020</v>
      </c>
      <c r="F2748" s="30">
        <v>2020</v>
      </c>
      <c r="G2748" s="29" t="s">
        <v>16</v>
      </c>
      <c r="H2748" s="29">
        <v>200</v>
      </c>
      <c r="I2748" s="29">
        <v>200</v>
      </c>
      <c r="J2748" s="29"/>
      <c r="K2748" s="47"/>
      <c r="L2748" s="2" t="s">
        <v>330</v>
      </c>
      <c r="M2748" s="36" t="str">
        <f t="shared" si="42"/>
        <v>19690410</v>
      </c>
    </row>
    <row r="2749" s="1" customFormat="1" spans="1:13">
      <c r="A2749" s="2">
        <v>2233</v>
      </c>
      <c r="B2749" s="9" t="s">
        <v>4837</v>
      </c>
      <c r="C2749" s="9" t="s">
        <v>5013</v>
      </c>
      <c r="D2749" s="9" t="s">
        <v>5014</v>
      </c>
      <c r="E2749" s="6" t="s">
        <v>15</v>
      </c>
      <c r="F2749" s="6">
        <v>2020</v>
      </c>
      <c r="G2749" s="9" t="s">
        <v>2480</v>
      </c>
      <c r="H2749" s="9">
        <v>200</v>
      </c>
      <c r="I2749" s="9">
        <v>200</v>
      </c>
      <c r="J2749" s="6"/>
      <c r="K2749" s="10"/>
      <c r="L2749" s="10">
        <v>20201118</v>
      </c>
      <c r="M2749" s="36" t="str">
        <f t="shared" si="42"/>
        <v>19690411</v>
      </c>
    </row>
    <row r="2750" s="1" customFormat="1" spans="1:13">
      <c r="A2750" s="2">
        <v>6603</v>
      </c>
      <c r="B2750" s="5" t="s">
        <v>13027</v>
      </c>
      <c r="C2750" s="15" t="s">
        <v>13195</v>
      </c>
      <c r="D2750" s="15" t="s">
        <v>13196</v>
      </c>
      <c r="E2750" s="5">
        <v>2020</v>
      </c>
      <c r="F2750" s="5">
        <v>2020</v>
      </c>
      <c r="G2750" s="14" t="s">
        <v>16</v>
      </c>
      <c r="H2750" s="15">
        <v>200</v>
      </c>
      <c r="I2750" s="15">
        <v>200</v>
      </c>
      <c r="J2750" s="5"/>
      <c r="K2750" s="10"/>
      <c r="L2750" s="10">
        <v>20201118</v>
      </c>
      <c r="M2750" s="36" t="str">
        <f t="shared" si="42"/>
        <v>19690411</v>
      </c>
    </row>
    <row r="2751" s="1" customFormat="1" spans="1:13">
      <c r="A2751" s="2">
        <v>2234</v>
      </c>
      <c r="B2751" s="9" t="s">
        <v>4837</v>
      </c>
      <c r="C2751" s="9" t="s">
        <v>5015</v>
      </c>
      <c r="D2751" s="9" t="s">
        <v>5016</v>
      </c>
      <c r="E2751" s="6" t="s">
        <v>15</v>
      </c>
      <c r="F2751" s="6">
        <v>2020</v>
      </c>
      <c r="G2751" s="9" t="s">
        <v>2480</v>
      </c>
      <c r="H2751" s="9">
        <v>200</v>
      </c>
      <c r="I2751" s="9">
        <v>200</v>
      </c>
      <c r="J2751" s="6"/>
      <c r="K2751" s="10"/>
      <c r="L2751" s="10">
        <v>20201118</v>
      </c>
      <c r="M2751" s="36" t="str">
        <f t="shared" si="42"/>
        <v>19690413</v>
      </c>
    </row>
    <row r="2752" s="1" customFormat="1" spans="1:13">
      <c r="A2752" s="2">
        <v>3415</v>
      </c>
      <c r="B2752" s="5" t="s">
        <v>3375</v>
      </c>
      <c r="C2752" s="6" t="s">
        <v>7047</v>
      </c>
      <c r="D2752" s="6" t="str">
        <f>"152326196904156879"</f>
        <v>152326196904156879</v>
      </c>
      <c r="E2752" s="5" t="s">
        <v>15</v>
      </c>
      <c r="F2752" s="5">
        <v>2020</v>
      </c>
      <c r="G2752" s="14" t="s">
        <v>16</v>
      </c>
      <c r="H2752" s="17">
        <v>200</v>
      </c>
      <c r="I2752" s="17">
        <v>200</v>
      </c>
      <c r="J2752" s="6"/>
      <c r="K2752" s="10"/>
      <c r="L2752" s="10">
        <v>20201118</v>
      </c>
      <c r="M2752" s="36" t="str">
        <f t="shared" si="42"/>
        <v>19690415</v>
      </c>
    </row>
    <row r="2753" s="1" customFormat="1" spans="1:13">
      <c r="A2753" s="2">
        <v>4619</v>
      </c>
      <c r="B2753" s="6" t="s">
        <v>9015</v>
      </c>
      <c r="C2753" s="6" t="s">
        <v>9407</v>
      </c>
      <c r="D2753" s="6" t="s">
        <v>9408</v>
      </c>
      <c r="E2753" s="6">
        <v>2020</v>
      </c>
      <c r="F2753" s="6">
        <v>2020</v>
      </c>
      <c r="G2753" s="6" t="s">
        <v>16</v>
      </c>
      <c r="H2753" s="6">
        <v>200</v>
      </c>
      <c r="I2753" s="6">
        <v>200</v>
      </c>
      <c r="J2753" s="6"/>
      <c r="K2753" s="6"/>
      <c r="L2753" s="10">
        <v>20201118</v>
      </c>
      <c r="M2753" s="36" t="str">
        <f t="shared" si="42"/>
        <v>19690415</v>
      </c>
    </row>
    <row r="2754" s="1" customFormat="1" spans="1:13">
      <c r="A2754" s="2">
        <v>2088</v>
      </c>
      <c r="B2754" s="5" t="s">
        <v>4189</v>
      </c>
      <c r="C2754" s="16" t="s">
        <v>4727</v>
      </c>
      <c r="D2754" s="16" t="s">
        <v>4728</v>
      </c>
      <c r="E2754" s="5" t="s">
        <v>15</v>
      </c>
      <c r="F2754" s="5" t="s">
        <v>15</v>
      </c>
      <c r="G2754" s="5" t="s">
        <v>3359</v>
      </c>
      <c r="H2754" s="16">
        <v>200</v>
      </c>
      <c r="I2754" s="16">
        <v>200</v>
      </c>
      <c r="J2754" s="5"/>
      <c r="K2754" s="10"/>
      <c r="L2754" s="10">
        <v>20201118</v>
      </c>
      <c r="M2754" s="36" t="str">
        <f t="shared" ref="M2754:M2817" si="43">MID(D2754,7,8)</f>
        <v>19690416</v>
      </c>
    </row>
    <row r="2755" s="1" customFormat="1" spans="1:13">
      <c r="A2755" s="2">
        <v>4251</v>
      </c>
      <c r="B2755" s="9" t="s">
        <v>8515</v>
      </c>
      <c r="C2755" s="9" t="s">
        <v>7740</v>
      </c>
      <c r="D2755" s="9" t="s">
        <v>8701</v>
      </c>
      <c r="E2755" s="5" t="s">
        <v>15</v>
      </c>
      <c r="F2755" s="5">
        <v>2020</v>
      </c>
      <c r="G2755" s="9" t="s">
        <v>2480</v>
      </c>
      <c r="H2755" s="9">
        <v>200</v>
      </c>
      <c r="I2755" s="9">
        <v>200</v>
      </c>
      <c r="J2755" s="9"/>
      <c r="K2755" s="9"/>
      <c r="L2755" s="10">
        <v>20201118</v>
      </c>
      <c r="M2755" s="36" t="str">
        <f t="shared" si="43"/>
        <v>19690417</v>
      </c>
    </row>
    <row r="2756" s="1" customFormat="1" spans="1:13">
      <c r="A2756" s="2">
        <v>7122</v>
      </c>
      <c r="B2756" s="5" t="s">
        <v>13533</v>
      </c>
      <c r="C2756" s="32" t="s">
        <v>13903</v>
      </c>
      <c r="D2756" s="32" t="s">
        <v>13904</v>
      </c>
      <c r="E2756" s="5">
        <v>2014</v>
      </c>
      <c r="F2756" s="5">
        <v>2020</v>
      </c>
      <c r="G2756" s="9" t="s">
        <v>289</v>
      </c>
      <c r="H2756" s="32">
        <v>200</v>
      </c>
      <c r="I2756" s="32">
        <v>1400</v>
      </c>
      <c r="J2756" s="32"/>
      <c r="K2756" s="10"/>
      <c r="L2756" s="10">
        <v>20201118</v>
      </c>
      <c r="M2756" s="36" t="str">
        <f t="shared" si="43"/>
        <v>19690429</v>
      </c>
    </row>
    <row r="2757" s="1" customFormat="1" spans="1:13">
      <c r="A2757" s="2">
        <v>7123</v>
      </c>
      <c r="B2757" s="5" t="s">
        <v>13533</v>
      </c>
      <c r="C2757" s="32" t="s">
        <v>13905</v>
      </c>
      <c r="D2757" s="32" t="s">
        <v>13906</v>
      </c>
      <c r="E2757" s="5">
        <v>2014</v>
      </c>
      <c r="F2757" s="5">
        <v>2020</v>
      </c>
      <c r="G2757" s="9" t="s">
        <v>289</v>
      </c>
      <c r="H2757" s="32">
        <v>200</v>
      </c>
      <c r="I2757" s="32">
        <v>1400</v>
      </c>
      <c r="J2757" s="32"/>
      <c r="K2757" s="10"/>
      <c r="L2757" s="10">
        <v>20201118</v>
      </c>
      <c r="M2757" s="36" t="str">
        <f t="shared" si="43"/>
        <v>19690430</v>
      </c>
    </row>
    <row r="2758" s="1" customFormat="1" spans="1:13">
      <c r="A2758" s="2">
        <v>4484</v>
      </c>
      <c r="B2758" s="6" t="s">
        <v>9015</v>
      </c>
      <c r="C2758" s="6" t="s">
        <v>9151</v>
      </c>
      <c r="D2758" s="6" t="s">
        <v>9152</v>
      </c>
      <c r="E2758" s="6">
        <v>2020</v>
      </c>
      <c r="F2758" s="6">
        <v>2020</v>
      </c>
      <c r="G2758" s="6" t="s">
        <v>16</v>
      </c>
      <c r="H2758" s="6">
        <v>200</v>
      </c>
      <c r="I2758" s="6">
        <v>200</v>
      </c>
      <c r="J2758" s="6"/>
      <c r="K2758" s="6"/>
      <c r="L2758" s="10">
        <v>20201118</v>
      </c>
      <c r="M2758" s="36" t="str">
        <f t="shared" si="43"/>
        <v>19690501</v>
      </c>
    </row>
    <row r="2759" s="1" customFormat="1" spans="1:13">
      <c r="A2759" s="2">
        <v>7998</v>
      </c>
      <c r="B2759" s="5" t="s">
        <v>15086</v>
      </c>
      <c r="C2759" s="6" t="s">
        <v>15272</v>
      </c>
      <c r="D2759" s="6" t="str">
        <f>"152326196905016894"</f>
        <v>152326196905016894</v>
      </c>
      <c r="E2759" s="5" t="s">
        <v>15</v>
      </c>
      <c r="F2759" s="5">
        <v>2020</v>
      </c>
      <c r="G2759" s="5" t="s">
        <v>16</v>
      </c>
      <c r="H2759" s="5">
        <v>200</v>
      </c>
      <c r="I2759" s="5">
        <v>200</v>
      </c>
      <c r="J2759" s="5"/>
      <c r="K2759" s="5"/>
      <c r="L2759" s="10">
        <v>20201118</v>
      </c>
      <c r="M2759" s="36" t="str">
        <f t="shared" si="43"/>
        <v>19690501</v>
      </c>
    </row>
    <row r="2760" s="1" customFormat="1" spans="1:13">
      <c r="A2760" s="2">
        <v>6146</v>
      </c>
      <c r="B2760" s="5" t="s">
        <v>12263</v>
      </c>
      <c r="C2760" s="5" t="s">
        <v>12326</v>
      </c>
      <c r="D2760" s="5" t="s">
        <v>12327</v>
      </c>
      <c r="E2760" s="5" t="s">
        <v>10250</v>
      </c>
      <c r="F2760" s="5">
        <v>2020</v>
      </c>
      <c r="G2760" s="17" t="s">
        <v>3359</v>
      </c>
      <c r="H2760" s="5">
        <v>200</v>
      </c>
      <c r="I2760" s="5">
        <v>200</v>
      </c>
      <c r="J2760" s="5"/>
      <c r="K2760" s="5"/>
      <c r="L2760" s="10">
        <v>20201118</v>
      </c>
      <c r="M2760" s="36" t="str">
        <f t="shared" si="43"/>
        <v>19690502</v>
      </c>
    </row>
    <row r="2761" s="1" customFormat="1" spans="1:13">
      <c r="A2761" s="2">
        <v>6952</v>
      </c>
      <c r="B2761" s="5" t="s">
        <v>13533</v>
      </c>
      <c r="C2761" s="32" t="s">
        <v>13702</v>
      </c>
      <c r="D2761" s="32" t="str">
        <f>"152326196905037126"</f>
        <v>152326196905037126</v>
      </c>
      <c r="E2761" s="5">
        <v>2020</v>
      </c>
      <c r="F2761" s="5">
        <v>2020</v>
      </c>
      <c r="G2761" s="9" t="s">
        <v>2480</v>
      </c>
      <c r="H2761" s="32">
        <v>200</v>
      </c>
      <c r="I2761" s="32">
        <v>200</v>
      </c>
      <c r="J2761" s="32"/>
      <c r="K2761" s="10"/>
      <c r="L2761" s="10">
        <v>20201118</v>
      </c>
      <c r="M2761" s="36" t="str">
        <f t="shared" si="43"/>
        <v>19690503</v>
      </c>
    </row>
    <row r="2762" s="1" customFormat="1" ht="14.25" spans="1:13">
      <c r="A2762" s="2">
        <v>3040</v>
      </c>
      <c r="B2762" s="6" t="s">
        <v>6075</v>
      </c>
      <c r="C2762" s="25" t="s">
        <v>6603</v>
      </c>
      <c r="D2762" s="26" t="s">
        <v>6604</v>
      </c>
      <c r="E2762" s="5" t="s">
        <v>15</v>
      </c>
      <c r="F2762" s="5">
        <v>2020</v>
      </c>
      <c r="G2762" s="6" t="s">
        <v>16</v>
      </c>
      <c r="H2762" s="6">
        <v>200</v>
      </c>
      <c r="I2762" s="6">
        <v>200</v>
      </c>
      <c r="J2762" s="6" t="s">
        <v>6097</v>
      </c>
      <c r="K2762" s="10"/>
      <c r="L2762" s="10">
        <v>20201118</v>
      </c>
      <c r="M2762" s="36" t="str">
        <f t="shared" si="43"/>
        <v>19690504</v>
      </c>
    </row>
    <row r="2763" s="1" customFormat="1" spans="1:13">
      <c r="A2763" s="2">
        <v>8</v>
      </c>
      <c r="B2763" s="2" t="s">
        <v>12</v>
      </c>
      <c r="C2763" s="2" t="s">
        <v>29</v>
      </c>
      <c r="D2763" s="2" t="s">
        <v>30</v>
      </c>
      <c r="E2763" s="3" t="s">
        <v>15</v>
      </c>
      <c r="F2763" s="3" t="s">
        <v>15</v>
      </c>
      <c r="G2763" s="2" t="s">
        <v>16</v>
      </c>
      <c r="H2763" s="2">
        <v>200</v>
      </c>
      <c r="I2763" s="2">
        <v>200</v>
      </c>
      <c r="J2763" s="2"/>
      <c r="K2763" s="2"/>
      <c r="L2763" s="10">
        <v>20201118</v>
      </c>
      <c r="M2763" s="36" t="str">
        <f t="shared" si="43"/>
        <v>19690505</v>
      </c>
    </row>
    <row r="2764" s="1" customFormat="1" spans="1:13">
      <c r="A2764" s="2">
        <v>20</v>
      </c>
      <c r="B2764" s="31" t="s">
        <v>12</v>
      </c>
      <c r="C2764" s="17" t="s">
        <v>54</v>
      </c>
      <c r="D2764" s="17" t="s">
        <v>55</v>
      </c>
      <c r="E2764" s="3" t="s">
        <v>15</v>
      </c>
      <c r="F2764" s="3" t="s">
        <v>15</v>
      </c>
      <c r="G2764" s="2" t="s">
        <v>16</v>
      </c>
      <c r="H2764" s="17">
        <v>300</v>
      </c>
      <c r="I2764" s="17">
        <v>300</v>
      </c>
      <c r="J2764" s="31"/>
      <c r="K2764" s="17"/>
      <c r="L2764" s="10">
        <v>20201118</v>
      </c>
      <c r="M2764" s="36" t="str">
        <f t="shared" si="43"/>
        <v>19690505</v>
      </c>
    </row>
    <row r="2765" s="1" customFormat="1" spans="1:13">
      <c r="A2765" s="2">
        <v>2235</v>
      </c>
      <c r="B2765" s="9" t="s">
        <v>4837</v>
      </c>
      <c r="C2765" s="9" t="s">
        <v>1106</v>
      </c>
      <c r="D2765" s="9" t="s">
        <v>5017</v>
      </c>
      <c r="E2765" s="6" t="s">
        <v>15</v>
      </c>
      <c r="F2765" s="6">
        <v>2020</v>
      </c>
      <c r="G2765" s="9" t="s">
        <v>2480</v>
      </c>
      <c r="H2765" s="9">
        <v>200</v>
      </c>
      <c r="I2765" s="9">
        <v>200</v>
      </c>
      <c r="J2765" s="6"/>
      <c r="K2765" s="10"/>
      <c r="L2765" s="10">
        <v>20201118</v>
      </c>
      <c r="M2765" s="36" t="str">
        <f t="shared" si="43"/>
        <v>19690505</v>
      </c>
    </row>
    <row r="2766" s="1" customFormat="1" spans="1:13">
      <c r="A2766" s="2">
        <v>3417</v>
      </c>
      <c r="B2766" s="5" t="s">
        <v>3375</v>
      </c>
      <c r="C2766" s="6" t="s">
        <v>7195</v>
      </c>
      <c r="D2766" s="6" t="str">
        <f>"152326196905056909"</f>
        <v>152326196905056909</v>
      </c>
      <c r="E2766" s="5" t="s">
        <v>15</v>
      </c>
      <c r="F2766" s="5">
        <v>2020</v>
      </c>
      <c r="G2766" s="14" t="s">
        <v>16</v>
      </c>
      <c r="H2766" s="17">
        <v>200</v>
      </c>
      <c r="I2766" s="17">
        <v>200</v>
      </c>
      <c r="J2766" s="6"/>
      <c r="K2766" s="10"/>
      <c r="L2766" s="10">
        <v>20201118</v>
      </c>
      <c r="M2766" s="36" t="str">
        <f t="shared" si="43"/>
        <v>19690505</v>
      </c>
    </row>
    <row r="2767" s="1" customFormat="1" spans="1:13">
      <c r="A2767" s="2">
        <v>3786</v>
      </c>
      <c r="B2767" s="5" t="s">
        <v>7412</v>
      </c>
      <c r="C2767" s="5" t="s">
        <v>7822</v>
      </c>
      <c r="D2767" s="5" t="s">
        <v>7823</v>
      </c>
      <c r="E2767" s="6">
        <v>2020</v>
      </c>
      <c r="F2767" s="6">
        <v>2020</v>
      </c>
      <c r="G2767" s="5" t="s">
        <v>3359</v>
      </c>
      <c r="H2767" s="5">
        <v>200</v>
      </c>
      <c r="I2767" s="5">
        <v>200</v>
      </c>
      <c r="J2767" s="5"/>
      <c r="K2767" s="5"/>
      <c r="L2767" s="10">
        <v>20201118</v>
      </c>
      <c r="M2767" s="36" t="str">
        <f t="shared" si="43"/>
        <v>19690506</v>
      </c>
    </row>
    <row r="2768" s="1" customFormat="1" spans="1:13">
      <c r="A2768" s="2">
        <v>5701</v>
      </c>
      <c r="B2768" s="30" t="s">
        <v>11090</v>
      </c>
      <c r="C2768" s="30" t="s">
        <v>11487</v>
      </c>
      <c r="D2768" s="30" t="s">
        <v>11488</v>
      </c>
      <c r="E2768" s="5" t="s">
        <v>15</v>
      </c>
      <c r="F2768" s="5" t="s">
        <v>10250</v>
      </c>
      <c r="G2768" s="6" t="s">
        <v>16</v>
      </c>
      <c r="H2768" s="32">
        <v>200</v>
      </c>
      <c r="I2768" s="32">
        <v>200</v>
      </c>
      <c r="J2768" s="6"/>
      <c r="K2768" s="48"/>
      <c r="L2768" s="10">
        <v>20201118</v>
      </c>
      <c r="M2768" s="36" t="str">
        <f t="shared" si="43"/>
        <v>19690506</v>
      </c>
    </row>
    <row r="2769" s="1" customFormat="1" spans="1:13">
      <c r="A2769" s="2">
        <v>1932</v>
      </c>
      <c r="B2769" s="5" t="s">
        <v>4189</v>
      </c>
      <c r="C2769" s="16" t="s">
        <v>4424</v>
      </c>
      <c r="D2769" s="16" t="s">
        <v>4425</v>
      </c>
      <c r="E2769" s="5" t="s">
        <v>15</v>
      </c>
      <c r="F2769" s="5" t="s">
        <v>15</v>
      </c>
      <c r="G2769" s="5" t="s">
        <v>3359</v>
      </c>
      <c r="H2769" s="16">
        <v>200</v>
      </c>
      <c r="I2769" s="16">
        <v>200</v>
      </c>
      <c r="J2769" s="5"/>
      <c r="K2769" s="10"/>
      <c r="L2769" s="10">
        <v>20201118</v>
      </c>
      <c r="M2769" s="36" t="str">
        <f t="shared" si="43"/>
        <v>19690508</v>
      </c>
    </row>
    <row r="2770" s="1" customFormat="1" spans="1:13">
      <c r="A2770" s="2">
        <v>4572</v>
      </c>
      <c r="B2770" s="6" t="s">
        <v>9015</v>
      </c>
      <c r="C2770" s="6" t="s">
        <v>9321</v>
      </c>
      <c r="D2770" s="6" t="s">
        <v>9322</v>
      </c>
      <c r="E2770" s="6">
        <v>2020</v>
      </c>
      <c r="F2770" s="6">
        <v>2020</v>
      </c>
      <c r="G2770" s="6" t="s">
        <v>16</v>
      </c>
      <c r="H2770" s="6">
        <v>200</v>
      </c>
      <c r="I2770" s="6">
        <v>200</v>
      </c>
      <c r="J2770" s="6"/>
      <c r="K2770" s="6"/>
      <c r="L2770" s="10">
        <v>20201118</v>
      </c>
      <c r="M2770" s="36" t="str">
        <f t="shared" si="43"/>
        <v>19690508</v>
      </c>
    </row>
    <row r="2771" s="1" customFormat="1" spans="1:13">
      <c r="A2771" s="2">
        <v>7125</v>
      </c>
      <c r="B2771" s="5" t="s">
        <v>13908</v>
      </c>
      <c r="C2771" s="17" t="s">
        <v>2218</v>
      </c>
      <c r="D2771" s="306" t="s">
        <v>13911</v>
      </c>
      <c r="E2771" s="5" t="s">
        <v>15</v>
      </c>
      <c r="F2771" s="5" t="s">
        <v>15</v>
      </c>
      <c r="G2771" s="14" t="s">
        <v>16</v>
      </c>
      <c r="H2771" s="17">
        <v>200</v>
      </c>
      <c r="I2771" s="17">
        <v>200</v>
      </c>
      <c r="J2771" s="17"/>
      <c r="K2771" s="10"/>
      <c r="L2771" s="10">
        <v>20201118</v>
      </c>
      <c r="M2771" s="36" t="str">
        <f t="shared" si="43"/>
        <v>19690508</v>
      </c>
    </row>
    <row r="2772" s="1" customFormat="1" spans="1:13">
      <c r="A2772" s="2">
        <v>202</v>
      </c>
      <c r="B2772" s="14" t="s">
        <v>327</v>
      </c>
      <c r="C2772" s="14" t="s">
        <v>494</v>
      </c>
      <c r="D2772" s="14" t="s">
        <v>495</v>
      </c>
      <c r="E2772" s="5">
        <v>2020</v>
      </c>
      <c r="F2772" s="5">
        <v>2020</v>
      </c>
      <c r="G2772" s="14" t="s">
        <v>16</v>
      </c>
      <c r="H2772" s="14">
        <v>200</v>
      </c>
      <c r="I2772" s="14">
        <v>200</v>
      </c>
      <c r="J2772" s="14"/>
      <c r="K2772" s="10"/>
      <c r="L2772" s="14" t="s">
        <v>330</v>
      </c>
      <c r="M2772" s="36" t="str">
        <f t="shared" si="43"/>
        <v>19690509</v>
      </c>
    </row>
    <row r="2773" s="1" customFormat="1" spans="1:13">
      <c r="A2773" s="2">
        <v>3787</v>
      </c>
      <c r="B2773" s="5" t="s">
        <v>7412</v>
      </c>
      <c r="C2773" s="5" t="s">
        <v>1731</v>
      </c>
      <c r="D2773" s="5" t="s">
        <v>7824</v>
      </c>
      <c r="E2773" s="6">
        <v>2020</v>
      </c>
      <c r="F2773" s="6">
        <v>2020</v>
      </c>
      <c r="G2773" s="5" t="s">
        <v>3359</v>
      </c>
      <c r="H2773" s="5">
        <v>200</v>
      </c>
      <c r="I2773" s="5">
        <v>200</v>
      </c>
      <c r="J2773" s="5"/>
      <c r="K2773" s="5"/>
      <c r="L2773" s="10">
        <v>20201118</v>
      </c>
      <c r="M2773" s="36" t="str">
        <f t="shared" si="43"/>
        <v>19690509</v>
      </c>
    </row>
    <row r="2774" s="1" customFormat="1" spans="1:13">
      <c r="A2774" s="2">
        <v>114</v>
      </c>
      <c r="B2774" s="3" t="s">
        <v>12</v>
      </c>
      <c r="C2774" s="6" t="s">
        <v>244</v>
      </c>
      <c r="D2774" s="6" t="s">
        <v>245</v>
      </c>
      <c r="E2774" s="3" t="s">
        <v>15</v>
      </c>
      <c r="F2774" s="3" t="s">
        <v>15</v>
      </c>
      <c r="G2774" s="3" t="s">
        <v>189</v>
      </c>
      <c r="H2774" s="3">
        <v>200</v>
      </c>
      <c r="I2774" s="3">
        <v>200</v>
      </c>
      <c r="J2774" s="3"/>
      <c r="K2774" s="3"/>
      <c r="L2774" s="10">
        <v>20201118</v>
      </c>
      <c r="M2774" s="36" t="str">
        <f t="shared" si="43"/>
        <v>19690510</v>
      </c>
    </row>
    <row r="2775" s="1" customFormat="1" ht="14.25" spans="1:13">
      <c r="A2775" s="2">
        <v>2812</v>
      </c>
      <c r="B2775" s="6" t="s">
        <v>6075</v>
      </c>
      <c r="C2775" s="25" t="s">
        <v>845</v>
      </c>
      <c r="D2775" s="26" t="s">
        <v>6152</v>
      </c>
      <c r="E2775" s="5" t="s">
        <v>15</v>
      </c>
      <c r="F2775" s="5">
        <v>2020</v>
      </c>
      <c r="G2775" s="6" t="s">
        <v>16</v>
      </c>
      <c r="H2775" s="6">
        <v>200</v>
      </c>
      <c r="I2775" s="6">
        <v>200</v>
      </c>
      <c r="J2775" s="6"/>
      <c r="K2775" s="10"/>
      <c r="L2775" s="10">
        <v>20201118</v>
      </c>
      <c r="M2775" s="36" t="str">
        <f t="shared" si="43"/>
        <v>19690511</v>
      </c>
    </row>
    <row r="2776" s="1" customFormat="1" spans="1:13">
      <c r="A2776" s="2">
        <v>6132</v>
      </c>
      <c r="B2776" s="5" t="s">
        <v>12263</v>
      </c>
      <c r="C2776" s="5" t="s">
        <v>12300</v>
      </c>
      <c r="D2776" s="5" t="s">
        <v>12301</v>
      </c>
      <c r="E2776" s="5" t="s">
        <v>10250</v>
      </c>
      <c r="F2776" s="5">
        <v>2020</v>
      </c>
      <c r="G2776" s="17" t="s">
        <v>3359</v>
      </c>
      <c r="H2776" s="5">
        <v>200</v>
      </c>
      <c r="I2776" s="5">
        <v>200</v>
      </c>
      <c r="J2776" s="5"/>
      <c r="K2776" s="5"/>
      <c r="L2776" s="10">
        <v>20201118</v>
      </c>
      <c r="M2776" s="36" t="str">
        <f t="shared" si="43"/>
        <v>19690511</v>
      </c>
    </row>
    <row r="2777" s="1" customFormat="1" spans="1:13">
      <c r="A2777" s="2">
        <v>6195</v>
      </c>
      <c r="B2777" s="5" t="s">
        <v>12263</v>
      </c>
      <c r="C2777" s="5" t="s">
        <v>12419</v>
      </c>
      <c r="D2777" s="5" t="s">
        <v>12420</v>
      </c>
      <c r="E2777" s="5" t="s">
        <v>10250</v>
      </c>
      <c r="F2777" s="5">
        <v>2020</v>
      </c>
      <c r="G2777" s="17" t="s">
        <v>3359</v>
      </c>
      <c r="H2777" s="5">
        <v>200</v>
      </c>
      <c r="I2777" s="5">
        <v>200</v>
      </c>
      <c r="J2777" s="5"/>
      <c r="K2777" s="5"/>
      <c r="L2777" s="10">
        <v>20201118</v>
      </c>
      <c r="M2777" s="36" t="str">
        <f t="shared" si="43"/>
        <v>19690512</v>
      </c>
    </row>
    <row r="2778" s="1" customFormat="1" spans="1:13">
      <c r="A2778" s="2">
        <v>2236</v>
      </c>
      <c r="B2778" s="9" t="s">
        <v>4837</v>
      </c>
      <c r="C2778" s="9" t="s">
        <v>5018</v>
      </c>
      <c r="D2778" s="9" t="s">
        <v>5019</v>
      </c>
      <c r="E2778" s="6" t="s">
        <v>15</v>
      </c>
      <c r="F2778" s="6">
        <v>2020</v>
      </c>
      <c r="G2778" s="9" t="s">
        <v>2480</v>
      </c>
      <c r="H2778" s="9">
        <v>200</v>
      </c>
      <c r="I2778" s="9">
        <v>200</v>
      </c>
      <c r="J2778" s="6"/>
      <c r="K2778" s="10"/>
      <c r="L2778" s="10">
        <v>20201118</v>
      </c>
      <c r="M2778" s="36" t="str">
        <f t="shared" si="43"/>
        <v>19690514</v>
      </c>
    </row>
    <row r="2779" s="1" customFormat="1" spans="1:13">
      <c r="A2779" s="2">
        <v>800</v>
      </c>
      <c r="B2779" s="29" t="s">
        <v>1040</v>
      </c>
      <c r="C2779" s="5" t="s">
        <v>2050</v>
      </c>
      <c r="D2779" s="317" t="s">
        <v>2051</v>
      </c>
      <c r="E2779" s="30">
        <v>2020</v>
      </c>
      <c r="F2779" s="30">
        <v>2020</v>
      </c>
      <c r="G2779" s="29" t="s">
        <v>16</v>
      </c>
      <c r="H2779" s="29">
        <v>200</v>
      </c>
      <c r="I2779" s="29">
        <v>200</v>
      </c>
      <c r="J2779" s="32"/>
      <c r="K2779" s="32"/>
      <c r="L2779" s="2" t="s">
        <v>330</v>
      </c>
      <c r="M2779" s="36" t="str">
        <f t="shared" si="43"/>
        <v>19690515</v>
      </c>
    </row>
    <row r="2780" s="1" customFormat="1" spans="1:13">
      <c r="A2780" s="2">
        <v>7994</v>
      </c>
      <c r="B2780" s="5" t="s">
        <v>15086</v>
      </c>
      <c r="C2780" s="6" t="s">
        <v>15267</v>
      </c>
      <c r="D2780" s="6" t="s">
        <v>15268</v>
      </c>
      <c r="E2780" s="5" t="s">
        <v>15</v>
      </c>
      <c r="F2780" s="5">
        <v>2020</v>
      </c>
      <c r="G2780" s="5" t="s">
        <v>16</v>
      </c>
      <c r="H2780" s="5">
        <v>500</v>
      </c>
      <c r="I2780" s="5">
        <v>500</v>
      </c>
      <c r="J2780" s="5"/>
      <c r="K2780" s="5"/>
      <c r="L2780" s="10">
        <v>20201118</v>
      </c>
      <c r="M2780" s="36" t="str">
        <f t="shared" si="43"/>
        <v>19690515</v>
      </c>
    </row>
    <row r="2781" s="1" customFormat="1" spans="1:13">
      <c r="A2781" s="2">
        <v>1887</v>
      </c>
      <c r="B2781" s="5" t="s">
        <v>4189</v>
      </c>
      <c r="C2781" s="16" t="s">
        <v>4337</v>
      </c>
      <c r="D2781" s="16" t="s">
        <v>4338</v>
      </c>
      <c r="E2781" s="5" t="s">
        <v>15</v>
      </c>
      <c r="F2781" s="5" t="s">
        <v>15</v>
      </c>
      <c r="G2781" s="5" t="s">
        <v>3359</v>
      </c>
      <c r="H2781" s="16">
        <v>200</v>
      </c>
      <c r="I2781" s="16">
        <v>200</v>
      </c>
      <c r="J2781" s="5"/>
      <c r="K2781" s="10"/>
      <c r="L2781" s="10">
        <v>20201118</v>
      </c>
      <c r="M2781" s="36" t="str">
        <f t="shared" si="43"/>
        <v>19690516</v>
      </c>
    </row>
    <row r="2782" s="1" customFormat="1" ht="14.25" spans="1:13">
      <c r="A2782" s="2">
        <v>5302</v>
      </c>
      <c r="B2782" s="33" t="s">
        <v>10535</v>
      </c>
      <c r="C2782" s="34" t="s">
        <v>10719</v>
      </c>
      <c r="D2782" s="34" t="s">
        <v>10720</v>
      </c>
      <c r="E2782" s="35">
        <v>2020</v>
      </c>
      <c r="F2782" s="35">
        <v>2020</v>
      </c>
      <c r="G2782" s="35" t="s">
        <v>16</v>
      </c>
      <c r="H2782" s="34">
        <v>200</v>
      </c>
      <c r="I2782" s="34">
        <v>200</v>
      </c>
      <c r="J2782" s="49"/>
      <c r="K2782" s="10"/>
      <c r="L2782" s="10">
        <v>20201118</v>
      </c>
      <c r="M2782" s="36" t="str">
        <f t="shared" si="43"/>
        <v>19690516</v>
      </c>
    </row>
    <row r="2783" s="1" customFormat="1" spans="1:13">
      <c r="A2783" s="2">
        <v>1902</v>
      </c>
      <c r="B2783" s="5" t="s">
        <v>4189</v>
      </c>
      <c r="C2783" s="16" t="s">
        <v>4365</v>
      </c>
      <c r="D2783" s="16" t="s">
        <v>4366</v>
      </c>
      <c r="E2783" s="5" t="s">
        <v>15</v>
      </c>
      <c r="F2783" s="5" t="s">
        <v>15</v>
      </c>
      <c r="G2783" s="5" t="s">
        <v>3359</v>
      </c>
      <c r="H2783" s="16">
        <v>200</v>
      </c>
      <c r="I2783" s="16">
        <v>200</v>
      </c>
      <c r="J2783" s="5"/>
      <c r="K2783" s="10"/>
      <c r="L2783" s="10">
        <v>20201118</v>
      </c>
      <c r="M2783" s="36" t="str">
        <f t="shared" si="43"/>
        <v>19690517</v>
      </c>
    </row>
    <row r="2784" s="1" customFormat="1" ht="14.25" spans="1:13">
      <c r="A2784" s="2">
        <v>3050</v>
      </c>
      <c r="B2784" s="6" t="s">
        <v>6075</v>
      </c>
      <c r="C2784" s="25" t="s">
        <v>6623</v>
      </c>
      <c r="D2784" s="26" t="s">
        <v>6624</v>
      </c>
      <c r="E2784" s="5" t="s">
        <v>15</v>
      </c>
      <c r="F2784" s="5">
        <v>2020</v>
      </c>
      <c r="G2784" s="6" t="s">
        <v>16</v>
      </c>
      <c r="H2784" s="6">
        <v>200</v>
      </c>
      <c r="I2784" s="6">
        <v>200</v>
      </c>
      <c r="J2784" s="6"/>
      <c r="K2784" s="10"/>
      <c r="L2784" s="10">
        <v>20201118</v>
      </c>
      <c r="M2784" s="36" t="str">
        <f t="shared" si="43"/>
        <v>19690518</v>
      </c>
    </row>
    <row r="2785" s="1" customFormat="1" spans="1:13">
      <c r="A2785" s="2">
        <v>2237</v>
      </c>
      <c r="B2785" s="9" t="s">
        <v>4837</v>
      </c>
      <c r="C2785" s="9" t="s">
        <v>5020</v>
      </c>
      <c r="D2785" s="9" t="s">
        <v>5021</v>
      </c>
      <c r="E2785" s="6" t="s">
        <v>15</v>
      </c>
      <c r="F2785" s="6">
        <v>2020</v>
      </c>
      <c r="G2785" s="9" t="s">
        <v>2480</v>
      </c>
      <c r="H2785" s="9">
        <v>500</v>
      </c>
      <c r="I2785" s="9">
        <v>500</v>
      </c>
      <c r="J2785" s="6"/>
      <c r="K2785" s="10"/>
      <c r="L2785" s="10">
        <v>20201118</v>
      </c>
      <c r="M2785" s="36" t="str">
        <f t="shared" si="43"/>
        <v>19690520</v>
      </c>
    </row>
    <row r="2786" s="1" customFormat="1" spans="1:13">
      <c r="A2786" s="2">
        <v>5107</v>
      </c>
      <c r="B2786" s="6" t="s">
        <v>10242</v>
      </c>
      <c r="C2786" s="9" t="s">
        <v>10343</v>
      </c>
      <c r="D2786" s="9" t="s">
        <v>10344</v>
      </c>
      <c r="E2786" s="5" t="s">
        <v>10250</v>
      </c>
      <c r="F2786" s="5">
        <v>2020</v>
      </c>
      <c r="G2786" s="6" t="s">
        <v>16</v>
      </c>
      <c r="H2786" s="6">
        <v>200</v>
      </c>
      <c r="I2786" s="6">
        <v>200</v>
      </c>
      <c r="J2786" s="6"/>
      <c r="K2786" s="5"/>
      <c r="L2786" s="10">
        <v>20201118</v>
      </c>
      <c r="M2786" s="36" t="str">
        <f t="shared" si="43"/>
        <v>19690521</v>
      </c>
    </row>
    <row r="2787" s="1" customFormat="1" spans="1:13">
      <c r="A2787" s="2">
        <v>6604</v>
      </c>
      <c r="B2787" s="5" t="s">
        <v>13027</v>
      </c>
      <c r="C2787" s="15" t="s">
        <v>13197</v>
      </c>
      <c r="D2787" s="15" t="s">
        <v>13198</v>
      </c>
      <c r="E2787" s="5">
        <v>2020</v>
      </c>
      <c r="F2787" s="5">
        <v>2020</v>
      </c>
      <c r="G2787" s="14" t="s">
        <v>16</v>
      </c>
      <c r="H2787" s="15">
        <v>200</v>
      </c>
      <c r="I2787" s="15">
        <v>200</v>
      </c>
      <c r="J2787" s="5"/>
      <c r="K2787" s="10"/>
      <c r="L2787" s="10">
        <v>20201118</v>
      </c>
      <c r="M2787" s="36" t="str">
        <f t="shared" si="43"/>
        <v>19690521</v>
      </c>
    </row>
    <row r="2788" s="1" customFormat="1" ht="14.25" spans="1:13">
      <c r="A2788" s="2">
        <v>3057</v>
      </c>
      <c r="B2788" s="6" t="s">
        <v>6075</v>
      </c>
      <c r="C2788" s="6" t="s">
        <v>6636</v>
      </c>
      <c r="D2788" s="26" t="s">
        <v>6637</v>
      </c>
      <c r="E2788" s="5" t="s">
        <v>15</v>
      </c>
      <c r="F2788" s="5">
        <v>2020</v>
      </c>
      <c r="G2788" s="6" t="s">
        <v>16</v>
      </c>
      <c r="H2788" s="6">
        <v>200</v>
      </c>
      <c r="I2788" s="6">
        <v>200</v>
      </c>
      <c r="J2788" s="6"/>
      <c r="K2788" s="10"/>
      <c r="L2788" s="10">
        <v>20201118</v>
      </c>
      <c r="M2788" s="36" t="str">
        <f t="shared" si="43"/>
        <v>19690527</v>
      </c>
    </row>
    <row r="2789" s="1" customFormat="1" spans="1:13">
      <c r="A2789" s="2">
        <v>4523</v>
      </c>
      <c r="B2789" s="6" t="s">
        <v>9015</v>
      </c>
      <c r="C2789" s="6" t="s">
        <v>5986</v>
      </c>
      <c r="D2789" s="6" t="s">
        <v>9228</v>
      </c>
      <c r="E2789" s="6">
        <v>2020</v>
      </c>
      <c r="F2789" s="6">
        <v>2020</v>
      </c>
      <c r="G2789" s="6" t="s">
        <v>16</v>
      </c>
      <c r="H2789" s="6">
        <v>200</v>
      </c>
      <c r="I2789" s="6">
        <v>200</v>
      </c>
      <c r="J2789" s="6"/>
      <c r="K2789" s="6"/>
      <c r="L2789" s="10">
        <v>20201118</v>
      </c>
      <c r="M2789" s="36" t="str">
        <f t="shared" si="43"/>
        <v>19690527</v>
      </c>
    </row>
    <row r="2790" s="1" customFormat="1" spans="1:13">
      <c r="A2790" s="2">
        <v>8222</v>
      </c>
      <c r="B2790" s="5" t="s">
        <v>15406</v>
      </c>
      <c r="C2790" s="6" t="s">
        <v>15625</v>
      </c>
      <c r="D2790" s="293" t="s">
        <v>15626</v>
      </c>
      <c r="E2790" s="5" t="s">
        <v>2472</v>
      </c>
      <c r="F2790" s="5">
        <v>2020</v>
      </c>
      <c r="G2790" s="5" t="s">
        <v>289</v>
      </c>
      <c r="H2790" s="6">
        <v>200</v>
      </c>
      <c r="I2790" s="6">
        <v>1200</v>
      </c>
      <c r="J2790" s="5"/>
      <c r="K2790" s="10"/>
      <c r="L2790" s="10">
        <v>20201118</v>
      </c>
      <c r="M2790" s="36" t="str">
        <f t="shared" si="43"/>
        <v>19690528</v>
      </c>
    </row>
    <row r="2791" s="1" customFormat="1" spans="1:13">
      <c r="A2791" s="2">
        <v>5714</v>
      </c>
      <c r="B2791" s="30" t="s">
        <v>11090</v>
      </c>
      <c r="C2791" s="30" t="s">
        <v>11513</v>
      </c>
      <c r="D2791" s="30" t="s">
        <v>11514</v>
      </c>
      <c r="E2791" s="5" t="s">
        <v>15</v>
      </c>
      <c r="F2791" s="5" t="s">
        <v>10250</v>
      </c>
      <c r="G2791" s="6" t="s">
        <v>16</v>
      </c>
      <c r="H2791" s="32">
        <v>200</v>
      </c>
      <c r="I2791" s="32">
        <v>200</v>
      </c>
      <c r="J2791" s="6"/>
      <c r="K2791" s="48"/>
      <c r="L2791" s="10">
        <v>20201118</v>
      </c>
      <c r="M2791" s="36" t="str">
        <f t="shared" si="43"/>
        <v>19690529</v>
      </c>
    </row>
    <row r="2792" s="1" customFormat="1" spans="1:13">
      <c r="A2792" s="2">
        <v>8142</v>
      </c>
      <c r="B2792" s="5" t="s">
        <v>15406</v>
      </c>
      <c r="C2792" s="6" t="s">
        <v>15477</v>
      </c>
      <c r="D2792" s="293" t="s">
        <v>15478</v>
      </c>
      <c r="E2792" s="5" t="s">
        <v>15</v>
      </c>
      <c r="F2792" s="5">
        <v>2020</v>
      </c>
      <c r="G2792" s="14" t="s">
        <v>16</v>
      </c>
      <c r="H2792" s="6">
        <v>200</v>
      </c>
      <c r="I2792" s="6">
        <v>200</v>
      </c>
      <c r="J2792" s="5"/>
      <c r="K2792" s="10"/>
      <c r="L2792" s="10">
        <v>20201118</v>
      </c>
      <c r="M2792" s="36" t="str">
        <f t="shared" si="43"/>
        <v>19690529</v>
      </c>
    </row>
    <row r="2793" s="1" customFormat="1" spans="1:13">
      <c r="A2793" s="2">
        <v>3225</v>
      </c>
      <c r="B2793" s="3" t="s">
        <v>6671</v>
      </c>
      <c r="C2793" s="9" t="s">
        <v>6956</v>
      </c>
      <c r="D2793" s="9" t="s">
        <v>6957</v>
      </c>
      <c r="E2793" s="3" t="s">
        <v>15</v>
      </c>
      <c r="F2793" s="3" t="s">
        <v>15</v>
      </c>
      <c r="G2793" s="6" t="s">
        <v>3359</v>
      </c>
      <c r="H2793" s="9">
        <v>200</v>
      </c>
      <c r="I2793" s="9">
        <v>200</v>
      </c>
      <c r="J2793" s="6"/>
      <c r="K2793" s="5"/>
      <c r="L2793" s="10">
        <v>20201118</v>
      </c>
      <c r="M2793" s="36" t="str">
        <f t="shared" si="43"/>
        <v>19690530</v>
      </c>
    </row>
    <row r="2794" s="1" customFormat="1" ht="14.25" spans="1:13">
      <c r="A2794" s="2">
        <v>2931</v>
      </c>
      <c r="B2794" s="6" t="s">
        <v>6075</v>
      </c>
      <c r="C2794" s="25" t="s">
        <v>1858</v>
      </c>
      <c r="D2794" s="26" t="s">
        <v>6389</v>
      </c>
      <c r="E2794" s="5" t="s">
        <v>15</v>
      </c>
      <c r="F2794" s="5">
        <v>2020</v>
      </c>
      <c r="G2794" s="6" t="s">
        <v>16</v>
      </c>
      <c r="H2794" s="6">
        <v>200</v>
      </c>
      <c r="I2794" s="6">
        <v>200</v>
      </c>
      <c r="J2794" s="6" t="s">
        <v>6097</v>
      </c>
      <c r="K2794" s="10"/>
      <c r="L2794" s="10">
        <v>20201118</v>
      </c>
      <c r="M2794" s="36" t="str">
        <f t="shared" si="43"/>
        <v>19690602</v>
      </c>
    </row>
    <row r="2795" s="1" customFormat="1" spans="1:13">
      <c r="A2795" s="2">
        <v>3788</v>
      </c>
      <c r="B2795" s="5" t="s">
        <v>7412</v>
      </c>
      <c r="C2795" s="5" t="s">
        <v>7825</v>
      </c>
      <c r="D2795" s="5" t="s">
        <v>7826</v>
      </c>
      <c r="E2795" s="6">
        <v>2020</v>
      </c>
      <c r="F2795" s="6">
        <v>2020</v>
      </c>
      <c r="G2795" s="5" t="s">
        <v>3359</v>
      </c>
      <c r="H2795" s="5">
        <v>200</v>
      </c>
      <c r="I2795" s="5">
        <v>200</v>
      </c>
      <c r="J2795" s="5"/>
      <c r="K2795" s="5"/>
      <c r="L2795" s="10">
        <v>20201118</v>
      </c>
      <c r="M2795" s="36" t="str">
        <f t="shared" si="43"/>
        <v>19690603</v>
      </c>
    </row>
    <row r="2796" s="1" customFormat="1" spans="1:13">
      <c r="A2796" s="2">
        <v>3789</v>
      </c>
      <c r="B2796" s="5" t="s">
        <v>7412</v>
      </c>
      <c r="C2796" s="5" t="s">
        <v>7827</v>
      </c>
      <c r="D2796" s="5" t="s">
        <v>7828</v>
      </c>
      <c r="E2796" s="6">
        <v>2020</v>
      </c>
      <c r="F2796" s="6">
        <v>2020</v>
      </c>
      <c r="G2796" s="5" t="s">
        <v>3359</v>
      </c>
      <c r="H2796" s="5">
        <v>200</v>
      </c>
      <c r="I2796" s="5">
        <v>200</v>
      </c>
      <c r="J2796" s="5"/>
      <c r="K2796" s="5"/>
      <c r="L2796" s="10">
        <v>20201118</v>
      </c>
      <c r="M2796" s="36" t="str">
        <f t="shared" si="43"/>
        <v>19690603</v>
      </c>
    </row>
    <row r="2797" s="1" customFormat="1" spans="1:13">
      <c r="A2797" s="2">
        <v>4474</v>
      </c>
      <c r="B2797" s="6" t="s">
        <v>9015</v>
      </c>
      <c r="C2797" s="6" t="s">
        <v>9132</v>
      </c>
      <c r="D2797" s="6" t="s">
        <v>9133</v>
      </c>
      <c r="E2797" s="6">
        <v>2020</v>
      </c>
      <c r="F2797" s="6">
        <v>2020</v>
      </c>
      <c r="G2797" s="6" t="s">
        <v>16</v>
      </c>
      <c r="H2797" s="6">
        <v>200</v>
      </c>
      <c r="I2797" s="6">
        <v>200</v>
      </c>
      <c r="J2797" s="6"/>
      <c r="K2797" s="6"/>
      <c r="L2797" s="10">
        <v>20201118</v>
      </c>
      <c r="M2797" s="36" t="str">
        <f t="shared" si="43"/>
        <v>19690606</v>
      </c>
    </row>
    <row r="2798" s="1" customFormat="1" spans="1:13">
      <c r="A2798" s="2">
        <v>4252</v>
      </c>
      <c r="B2798" s="9" t="s">
        <v>8515</v>
      </c>
      <c r="C2798" s="9" t="s">
        <v>8702</v>
      </c>
      <c r="D2798" s="9" t="s">
        <v>8703</v>
      </c>
      <c r="E2798" s="5" t="s">
        <v>15</v>
      </c>
      <c r="F2798" s="5">
        <v>2020</v>
      </c>
      <c r="G2798" s="9" t="s">
        <v>2480</v>
      </c>
      <c r="H2798" s="9">
        <v>200</v>
      </c>
      <c r="I2798" s="9">
        <v>200</v>
      </c>
      <c r="J2798" s="9"/>
      <c r="K2798" s="9"/>
      <c r="L2798" s="10">
        <v>20201118</v>
      </c>
      <c r="M2798" s="36" t="str">
        <f t="shared" si="43"/>
        <v>19690609</v>
      </c>
    </row>
    <row r="2799" s="1" customFormat="1" spans="1:13">
      <c r="A2799" s="2">
        <v>1585</v>
      </c>
      <c r="B2799" s="5" t="s">
        <v>3381</v>
      </c>
      <c r="C2799" s="9" t="s">
        <v>3734</v>
      </c>
      <c r="D2799" s="9" t="s">
        <v>3735</v>
      </c>
      <c r="E2799" s="5">
        <v>2020</v>
      </c>
      <c r="F2799" s="5">
        <v>2020</v>
      </c>
      <c r="G2799" s="14" t="s">
        <v>16</v>
      </c>
      <c r="H2799" s="6">
        <v>200</v>
      </c>
      <c r="I2799" s="6">
        <v>200</v>
      </c>
      <c r="J2799" s="5"/>
      <c r="K2799" s="13"/>
      <c r="L2799" s="10">
        <v>20201118</v>
      </c>
      <c r="M2799" s="36" t="str">
        <f t="shared" si="43"/>
        <v>19690610</v>
      </c>
    </row>
    <row r="2800" s="1" customFormat="1" spans="1:13">
      <c r="A2800" s="2">
        <v>4253</v>
      </c>
      <c r="B2800" s="9" t="s">
        <v>8515</v>
      </c>
      <c r="C2800" s="9" t="s">
        <v>8704</v>
      </c>
      <c r="D2800" s="9" t="s">
        <v>8705</v>
      </c>
      <c r="E2800" s="5" t="s">
        <v>15</v>
      </c>
      <c r="F2800" s="5">
        <v>2020</v>
      </c>
      <c r="G2800" s="9" t="s">
        <v>2480</v>
      </c>
      <c r="H2800" s="9">
        <v>200</v>
      </c>
      <c r="I2800" s="9">
        <v>200</v>
      </c>
      <c r="J2800" s="9"/>
      <c r="K2800" s="9"/>
      <c r="L2800" s="10">
        <v>20201118</v>
      </c>
      <c r="M2800" s="36" t="str">
        <f t="shared" si="43"/>
        <v>19690610</v>
      </c>
    </row>
    <row r="2801" s="1" customFormat="1" spans="1:13">
      <c r="A2801" s="2">
        <v>5108</v>
      </c>
      <c r="B2801" s="6" t="s">
        <v>10242</v>
      </c>
      <c r="C2801" s="9" t="s">
        <v>10345</v>
      </c>
      <c r="D2801" s="9" t="s">
        <v>10346</v>
      </c>
      <c r="E2801" s="5" t="s">
        <v>10250</v>
      </c>
      <c r="F2801" s="5">
        <v>2020</v>
      </c>
      <c r="G2801" s="6" t="s">
        <v>16</v>
      </c>
      <c r="H2801" s="6">
        <v>200</v>
      </c>
      <c r="I2801" s="6">
        <v>200</v>
      </c>
      <c r="J2801" s="6"/>
      <c r="K2801" s="5"/>
      <c r="L2801" s="10">
        <v>20201118</v>
      </c>
      <c r="M2801" s="36" t="str">
        <f t="shared" si="43"/>
        <v>19690611</v>
      </c>
    </row>
    <row r="2802" s="1" customFormat="1" spans="1:13">
      <c r="A2802" s="2">
        <v>7996</v>
      </c>
      <c r="B2802" s="5" t="s">
        <v>15086</v>
      </c>
      <c r="C2802" s="6" t="s">
        <v>15270</v>
      </c>
      <c r="D2802" s="6" t="str">
        <f>"152326196906126892"</f>
        <v>152326196906126892</v>
      </c>
      <c r="E2802" s="5" t="s">
        <v>15</v>
      </c>
      <c r="F2802" s="5">
        <v>2020</v>
      </c>
      <c r="G2802" s="5" t="s">
        <v>16</v>
      </c>
      <c r="H2802" s="5">
        <v>200</v>
      </c>
      <c r="I2802" s="5">
        <v>200</v>
      </c>
      <c r="J2802" s="5"/>
      <c r="K2802" s="5"/>
      <c r="L2802" s="10">
        <v>20201118</v>
      </c>
      <c r="M2802" s="36" t="str">
        <f t="shared" si="43"/>
        <v>19690612</v>
      </c>
    </row>
    <row r="2803" s="1" customFormat="1" spans="1:13">
      <c r="A2803" s="2">
        <v>3416</v>
      </c>
      <c r="B2803" s="5" t="s">
        <v>3375</v>
      </c>
      <c r="C2803" s="6" t="s">
        <v>7194</v>
      </c>
      <c r="D2803" s="6" t="str">
        <f>"152326196906136871"</f>
        <v>152326196906136871</v>
      </c>
      <c r="E2803" s="5" t="s">
        <v>15</v>
      </c>
      <c r="F2803" s="5">
        <v>2020</v>
      </c>
      <c r="G2803" s="14" t="s">
        <v>16</v>
      </c>
      <c r="H2803" s="17">
        <v>200</v>
      </c>
      <c r="I2803" s="17">
        <v>200</v>
      </c>
      <c r="J2803" s="6"/>
      <c r="K2803" s="10"/>
      <c r="L2803" s="10">
        <v>20201118</v>
      </c>
      <c r="M2803" s="36" t="str">
        <f t="shared" si="43"/>
        <v>19690613</v>
      </c>
    </row>
    <row r="2804" s="1" customFormat="1" spans="1:13">
      <c r="A2804" s="2">
        <v>3133</v>
      </c>
      <c r="B2804" s="3" t="s">
        <v>6671</v>
      </c>
      <c r="C2804" s="9" t="s">
        <v>6787</v>
      </c>
      <c r="D2804" s="9" t="s">
        <v>6788</v>
      </c>
      <c r="E2804" s="3" t="s">
        <v>15</v>
      </c>
      <c r="F2804" s="3" t="s">
        <v>15</v>
      </c>
      <c r="G2804" s="6" t="s">
        <v>3359</v>
      </c>
      <c r="H2804" s="9">
        <v>200</v>
      </c>
      <c r="I2804" s="9">
        <v>200</v>
      </c>
      <c r="J2804" s="6"/>
      <c r="K2804" s="5"/>
      <c r="L2804" s="10">
        <v>20201118</v>
      </c>
      <c r="M2804" s="36" t="str">
        <f t="shared" si="43"/>
        <v>19690614</v>
      </c>
    </row>
    <row r="2805" s="1" customFormat="1" spans="1:13">
      <c r="A2805" s="2">
        <v>5773</v>
      </c>
      <c r="B2805" s="30" t="s">
        <v>11090</v>
      </c>
      <c r="C2805" s="30" t="s">
        <v>11621</v>
      </c>
      <c r="D2805" s="30" t="s">
        <v>11622</v>
      </c>
      <c r="E2805" s="5" t="s">
        <v>15</v>
      </c>
      <c r="F2805" s="5" t="s">
        <v>10250</v>
      </c>
      <c r="G2805" s="6" t="s">
        <v>16</v>
      </c>
      <c r="H2805" s="32">
        <v>200</v>
      </c>
      <c r="I2805" s="32">
        <v>200</v>
      </c>
      <c r="J2805" s="6"/>
      <c r="K2805" s="48"/>
      <c r="L2805" s="10">
        <v>20201118</v>
      </c>
      <c r="M2805" s="36" t="str">
        <f t="shared" si="43"/>
        <v>19690619</v>
      </c>
    </row>
    <row r="2806" s="1" customFormat="1" spans="1:13">
      <c r="A2806" s="2">
        <v>6307</v>
      </c>
      <c r="B2806" s="5" t="s">
        <v>12263</v>
      </c>
      <c r="C2806" s="5" t="s">
        <v>12632</v>
      </c>
      <c r="D2806" s="5" t="s">
        <v>12633</v>
      </c>
      <c r="E2806" s="5" t="s">
        <v>10250</v>
      </c>
      <c r="F2806" s="5">
        <v>2020</v>
      </c>
      <c r="G2806" s="17" t="s">
        <v>3359</v>
      </c>
      <c r="H2806" s="5">
        <v>200</v>
      </c>
      <c r="I2806" s="5">
        <v>200</v>
      </c>
      <c r="J2806" s="5"/>
      <c r="K2806" s="5"/>
      <c r="L2806" s="10">
        <v>20201118</v>
      </c>
      <c r="M2806" s="36" t="str">
        <f t="shared" si="43"/>
        <v>19690619</v>
      </c>
    </row>
    <row r="2807" s="1" customFormat="1" spans="1:13">
      <c r="A2807" s="2">
        <v>6605</v>
      </c>
      <c r="B2807" s="5" t="s">
        <v>13027</v>
      </c>
      <c r="C2807" s="15" t="s">
        <v>7222</v>
      </c>
      <c r="D2807" s="15" t="s">
        <v>13199</v>
      </c>
      <c r="E2807" s="5">
        <v>2020</v>
      </c>
      <c r="F2807" s="5">
        <v>2020</v>
      </c>
      <c r="G2807" s="14" t="s">
        <v>16</v>
      </c>
      <c r="H2807" s="15">
        <v>200</v>
      </c>
      <c r="I2807" s="15">
        <v>200</v>
      </c>
      <c r="J2807" s="5"/>
      <c r="K2807" s="10"/>
      <c r="L2807" s="10">
        <v>20201118</v>
      </c>
      <c r="M2807" s="36" t="str">
        <f t="shared" si="43"/>
        <v>19690620</v>
      </c>
    </row>
    <row r="2808" s="1" customFormat="1" spans="1:13">
      <c r="A2808" s="2">
        <v>2604</v>
      </c>
      <c r="B2808" s="32" t="s">
        <v>5602</v>
      </c>
      <c r="C2808" s="9" t="s">
        <v>5742</v>
      </c>
      <c r="D2808" s="9" t="s">
        <v>5743</v>
      </c>
      <c r="E2808" s="32">
        <v>2020</v>
      </c>
      <c r="F2808" s="32">
        <v>2020</v>
      </c>
      <c r="G2808" s="32" t="s">
        <v>16</v>
      </c>
      <c r="H2808" s="9">
        <v>200</v>
      </c>
      <c r="I2808" s="9">
        <v>200</v>
      </c>
      <c r="J2808" s="32"/>
      <c r="K2808" s="52"/>
      <c r="L2808" s="10">
        <v>20201118</v>
      </c>
      <c r="M2808" s="36" t="str">
        <f t="shared" si="43"/>
        <v>19690622</v>
      </c>
    </row>
    <row r="2809" s="1" customFormat="1" spans="1:13">
      <c r="A2809" s="2">
        <v>6353</v>
      </c>
      <c r="B2809" s="5" t="s">
        <v>12263</v>
      </c>
      <c r="C2809" s="5" t="s">
        <v>12722</v>
      </c>
      <c r="D2809" s="5" t="s">
        <v>12723</v>
      </c>
      <c r="E2809" s="5" t="s">
        <v>10250</v>
      </c>
      <c r="F2809" s="5">
        <v>2020</v>
      </c>
      <c r="G2809" s="17" t="s">
        <v>3359</v>
      </c>
      <c r="H2809" s="5" t="s">
        <v>311</v>
      </c>
      <c r="I2809" s="5">
        <v>200</v>
      </c>
      <c r="J2809" s="5"/>
      <c r="K2809" s="5"/>
      <c r="L2809" s="10">
        <v>20201118</v>
      </c>
      <c r="M2809" s="36" t="str">
        <f t="shared" si="43"/>
        <v>19690622</v>
      </c>
    </row>
    <row r="2810" s="1" customFormat="1" spans="1:13">
      <c r="A2810" s="2">
        <v>7993</v>
      </c>
      <c r="B2810" s="5" t="s">
        <v>15086</v>
      </c>
      <c r="C2810" s="6" t="s">
        <v>15266</v>
      </c>
      <c r="D2810" s="6" t="str">
        <f>"152326196906226877"</f>
        <v>152326196906226877</v>
      </c>
      <c r="E2810" s="5" t="s">
        <v>15</v>
      </c>
      <c r="F2810" s="5">
        <v>2020</v>
      </c>
      <c r="G2810" s="5" t="s">
        <v>16</v>
      </c>
      <c r="H2810" s="5">
        <v>200</v>
      </c>
      <c r="I2810" s="5">
        <v>200</v>
      </c>
      <c r="J2810" s="5"/>
      <c r="K2810" s="5"/>
      <c r="L2810" s="10">
        <v>20201118</v>
      </c>
      <c r="M2810" s="36" t="str">
        <f t="shared" si="43"/>
        <v>19690622</v>
      </c>
    </row>
    <row r="2811" s="1" customFormat="1" spans="1:13">
      <c r="A2811" s="2">
        <v>5071</v>
      </c>
      <c r="B2811" s="6" t="s">
        <v>10242</v>
      </c>
      <c r="C2811" s="9" t="s">
        <v>10277</v>
      </c>
      <c r="D2811" s="9" t="s">
        <v>10278</v>
      </c>
      <c r="E2811" s="5" t="s">
        <v>10250</v>
      </c>
      <c r="F2811" s="5">
        <v>2020</v>
      </c>
      <c r="G2811" s="6" t="s">
        <v>16</v>
      </c>
      <c r="H2811" s="6">
        <v>200</v>
      </c>
      <c r="I2811" s="6">
        <v>200</v>
      </c>
      <c r="J2811" s="6"/>
      <c r="K2811" s="5"/>
      <c r="L2811" s="10">
        <v>20201118</v>
      </c>
      <c r="M2811" s="36" t="str">
        <f t="shared" si="43"/>
        <v>19690623</v>
      </c>
    </row>
    <row r="2812" s="1" customFormat="1" spans="1:13">
      <c r="A2812" s="2">
        <v>704</v>
      </c>
      <c r="B2812" s="29" t="s">
        <v>1040</v>
      </c>
      <c r="C2812" s="5" t="s">
        <v>1763</v>
      </c>
      <c r="D2812" s="5" t="s">
        <v>1764</v>
      </c>
      <c r="E2812" s="30">
        <v>2020</v>
      </c>
      <c r="F2812" s="30">
        <v>2020</v>
      </c>
      <c r="G2812" s="29" t="s">
        <v>16</v>
      </c>
      <c r="H2812" s="29">
        <v>200</v>
      </c>
      <c r="I2812" s="29">
        <v>200</v>
      </c>
      <c r="J2812" s="29"/>
      <c r="K2812" s="54"/>
      <c r="L2812" s="2" t="s">
        <v>330</v>
      </c>
      <c r="M2812" s="36" t="str">
        <f t="shared" si="43"/>
        <v>19690625</v>
      </c>
    </row>
    <row r="2813" s="1" customFormat="1" spans="1:13">
      <c r="A2813" s="2">
        <v>2605</v>
      </c>
      <c r="B2813" s="32" t="s">
        <v>5602</v>
      </c>
      <c r="C2813" s="9" t="s">
        <v>5744</v>
      </c>
      <c r="D2813" s="9" t="s">
        <v>5745</v>
      </c>
      <c r="E2813" s="32">
        <v>2020</v>
      </c>
      <c r="F2813" s="32">
        <v>2020</v>
      </c>
      <c r="G2813" s="32" t="s">
        <v>16</v>
      </c>
      <c r="H2813" s="9">
        <v>200</v>
      </c>
      <c r="I2813" s="9">
        <v>200</v>
      </c>
      <c r="J2813" s="32"/>
      <c r="K2813" s="52"/>
      <c r="L2813" s="10">
        <v>20201118</v>
      </c>
      <c r="M2813" s="36" t="str">
        <f t="shared" si="43"/>
        <v>19690628</v>
      </c>
    </row>
    <row r="2814" s="1" customFormat="1" spans="1:13">
      <c r="A2814" s="2">
        <v>3423</v>
      </c>
      <c r="B2814" s="5" t="s">
        <v>3375</v>
      </c>
      <c r="C2814" s="6" t="s">
        <v>7201</v>
      </c>
      <c r="D2814" s="6" t="str">
        <f>"152326196906296891"</f>
        <v>152326196906296891</v>
      </c>
      <c r="E2814" s="5" t="s">
        <v>15</v>
      </c>
      <c r="F2814" s="5">
        <v>2020</v>
      </c>
      <c r="G2814" s="14" t="s">
        <v>16</v>
      </c>
      <c r="H2814" s="17">
        <v>200</v>
      </c>
      <c r="I2814" s="17">
        <v>200</v>
      </c>
      <c r="J2814" s="6"/>
      <c r="K2814" s="10"/>
      <c r="L2814" s="10">
        <v>20201118</v>
      </c>
      <c r="M2814" s="36" t="str">
        <f t="shared" si="43"/>
        <v>19690629</v>
      </c>
    </row>
    <row r="2815" s="1" customFormat="1" spans="1:13">
      <c r="A2815" s="2">
        <v>6946</v>
      </c>
      <c r="B2815" s="5" t="s">
        <v>13533</v>
      </c>
      <c r="C2815" s="32" t="s">
        <v>3888</v>
      </c>
      <c r="D2815" s="32" t="str">
        <f>"152326196906297122"</f>
        <v>152326196906297122</v>
      </c>
      <c r="E2815" s="5">
        <v>2020</v>
      </c>
      <c r="F2815" s="5">
        <v>2020</v>
      </c>
      <c r="G2815" s="9" t="s">
        <v>2480</v>
      </c>
      <c r="H2815" s="32">
        <v>1000</v>
      </c>
      <c r="I2815" s="32">
        <v>1000</v>
      </c>
      <c r="J2815" s="62"/>
      <c r="K2815" s="10"/>
      <c r="L2815" s="10">
        <v>20201118</v>
      </c>
      <c r="M2815" s="36" t="str">
        <f t="shared" si="43"/>
        <v>19690629</v>
      </c>
    </row>
    <row r="2816" s="1" customFormat="1" ht="14.25" spans="1:13">
      <c r="A2816" s="2">
        <v>7740</v>
      </c>
      <c r="B2816" s="5" t="s">
        <v>14875</v>
      </c>
      <c r="C2816" s="51" t="s">
        <v>147</v>
      </c>
      <c r="D2816" s="24" t="str">
        <f>"152326196906297149"</f>
        <v>152326196906297149</v>
      </c>
      <c r="E2816" s="6" t="s">
        <v>15</v>
      </c>
      <c r="F2816" s="6">
        <v>2020</v>
      </c>
      <c r="G2816" s="24" t="s">
        <v>14877</v>
      </c>
      <c r="H2816" s="6">
        <v>200</v>
      </c>
      <c r="I2816" s="6">
        <v>200</v>
      </c>
      <c r="J2816" s="6"/>
      <c r="K2816" s="10"/>
      <c r="L2816" s="10">
        <v>20201118</v>
      </c>
      <c r="M2816" s="36" t="str">
        <f t="shared" si="43"/>
        <v>19690629</v>
      </c>
    </row>
    <row r="2817" s="1" customFormat="1" spans="1:13">
      <c r="A2817" s="2">
        <v>4617</v>
      </c>
      <c r="B2817" s="6" t="s">
        <v>9015</v>
      </c>
      <c r="C2817" s="6" t="s">
        <v>2154</v>
      </c>
      <c r="D2817" s="6" t="s">
        <v>9404</v>
      </c>
      <c r="E2817" s="6">
        <v>2020</v>
      </c>
      <c r="F2817" s="6">
        <v>2020</v>
      </c>
      <c r="G2817" s="6" t="s">
        <v>16</v>
      </c>
      <c r="H2817" s="6">
        <v>200</v>
      </c>
      <c r="I2817" s="6">
        <v>200</v>
      </c>
      <c r="J2817" s="6"/>
      <c r="K2817" s="6"/>
      <c r="L2817" s="10">
        <v>20201118</v>
      </c>
      <c r="M2817" s="36" t="str">
        <f t="shared" si="43"/>
        <v>19690701</v>
      </c>
    </row>
    <row r="2818" s="1" customFormat="1" spans="1:13">
      <c r="A2818" s="2">
        <v>6118</v>
      </c>
      <c r="B2818" s="5" t="s">
        <v>12263</v>
      </c>
      <c r="C2818" s="5" t="s">
        <v>12272</v>
      </c>
      <c r="D2818" s="5" t="s">
        <v>12273</v>
      </c>
      <c r="E2818" s="5" t="s">
        <v>10250</v>
      </c>
      <c r="F2818" s="5">
        <v>2020</v>
      </c>
      <c r="G2818" s="17" t="s">
        <v>3359</v>
      </c>
      <c r="H2818" s="5">
        <v>200</v>
      </c>
      <c r="I2818" s="5">
        <v>200</v>
      </c>
      <c r="J2818" s="5"/>
      <c r="K2818" s="5"/>
      <c r="L2818" s="10">
        <v>20201118</v>
      </c>
      <c r="M2818" s="36" t="str">
        <f t="shared" ref="M2818:M2881" si="44">MID(D2818,7,8)</f>
        <v>19690701</v>
      </c>
    </row>
    <row r="2819" s="1" customFormat="1" spans="1:13">
      <c r="A2819" s="2">
        <v>6391</v>
      </c>
      <c r="B2819" s="5" t="s">
        <v>12263</v>
      </c>
      <c r="C2819" s="5" t="s">
        <v>12793</v>
      </c>
      <c r="D2819" s="5" t="s">
        <v>12794</v>
      </c>
      <c r="E2819" s="5" t="s">
        <v>10250</v>
      </c>
      <c r="F2819" s="5">
        <v>2020</v>
      </c>
      <c r="G2819" s="17" t="s">
        <v>3359</v>
      </c>
      <c r="H2819" s="5" t="s">
        <v>311</v>
      </c>
      <c r="I2819" s="5">
        <v>200</v>
      </c>
      <c r="J2819" s="5"/>
      <c r="K2819" s="5"/>
      <c r="L2819" s="10">
        <v>20201118</v>
      </c>
      <c r="M2819" s="36" t="str">
        <f t="shared" si="44"/>
        <v>19690701</v>
      </c>
    </row>
    <row r="2820" s="1" customFormat="1" spans="1:13">
      <c r="A2820" s="2">
        <v>7542</v>
      </c>
      <c r="B2820" s="5" t="s">
        <v>14402</v>
      </c>
      <c r="C2820" s="5" t="s">
        <v>14693</v>
      </c>
      <c r="D2820" s="5" t="s">
        <v>14694</v>
      </c>
      <c r="E2820" s="5">
        <v>2020</v>
      </c>
      <c r="F2820" s="5">
        <v>2020</v>
      </c>
      <c r="G2820" s="17" t="s">
        <v>16</v>
      </c>
      <c r="H2820" s="5">
        <v>200</v>
      </c>
      <c r="I2820" s="5">
        <v>200</v>
      </c>
      <c r="J2820" s="5"/>
      <c r="K2820" s="10"/>
      <c r="L2820" s="10">
        <v>20201118</v>
      </c>
      <c r="M2820" s="36" t="str">
        <f t="shared" si="44"/>
        <v>19690707</v>
      </c>
    </row>
    <row r="2821" s="1" customFormat="1" spans="1:13">
      <c r="A2821" s="2">
        <v>536</v>
      </c>
      <c r="B2821" s="29" t="s">
        <v>1040</v>
      </c>
      <c r="C2821" s="29" t="s">
        <v>1349</v>
      </c>
      <c r="D2821" s="29" t="s">
        <v>1350</v>
      </c>
      <c r="E2821" s="30">
        <v>2020</v>
      </c>
      <c r="F2821" s="30">
        <v>2020</v>
      </c>
      <c r="G2821" s="29" t="s">
        <v>16</v>
      </c>
      <c r="H2821" s="29">
        <v>200</v>
      </c>
      <c r="I2821" s="29">
        <v>200</v>
      </c>
      <c r="J2821" s="29"/>
      <c r="K2821" s="47"/>
      <c r="L2821" s="2" t="s">
        <v>330</v>
      </c>
      <c r="M2821" s="36" t="str">
        <f t="shared" si="44"/>
        <v>19690708</v>
      </c>
    </row>
    <row r="2822" s="1" customFormat="1" spans="1:13">
      <c r="A2822" s="2">
        <v>5055</v>
      </c>
      <c r="B2822" s="6" t="s">
        <v>10242</v>
      </c>
      <c r="C2822" s="9" t="s">
        <v>10246</v>
      </c>
      <c r="D2822" s="9" t="s">
        <v>10247</v>
      </c>
      <c r="E2822" s="5" t="s">
        <v>10245</v>
      </c>
      <c r="F2822" s="5">
        <v>2020</v>
      </c>
      <c r="G2822" s="6" t="s">
        <v>16</v>
      </c>
      <c r="H2822" s="6">
        <v>200</v>
      </c>
      <c r="I2822" s="6">
        <v>200</v>
      </c>
      <c r="J2822" s="6"/>
      <c r="K2822" s="5"/>
      <c r="L2822" s="10">
        <v>20201118</v>
      </c>
      <c r="M2822" s="36" t="str">
        <f t="shared" si="44"/>
        <v>19690708</v>
      </c>
    </row>
    <row r="2823" s="1" customFormat="1" spans="1:13">
      <c r="A2823" s="2">
        <v>7144</v>
      </c>
      <c r="B2823" s="5" t="s">
        <v>13908</v>
      </c>
      <c r="C2823" s="5" t="s">
        <v>13947</v>
      </c>
      <c r="D2823" s="5" t="s">
        <v>13948</v>
      </c>
      <c r="E2823" s="5" t="s">
        <v>15</v>
      </c>
      <c r="F2823" s="5" t="s">
        <v>15</v>
      </c>
      <c r="G2823" s="14" t="s">
        <v>16</v>
      </c>
      <c r="H2823" s="17">
        <v>200</v>
      </c>
      <c r="I2823" s="17">
        <v>200</v>
      </c>
      <c r="J2823" s="5"/>
      <c r="K2823" s="10"/>
      <c r="L2823" s="10">
        <v>20201118</v>
      </c>
      <c r="M2823" s="36" t="str">
        <f t="shared" si="44"/>
        <v>19690708</v>
      </c>
    </row>
    <row r="2824" s="1" customFormat="1" spans="1:13">
      <c r="A2824" s="2">
        <v>7995</v>
      </c>
      <c r="B2824" s="5" t="s">
        <v>15086</v>
      </c>
      <c r="C2824" s="6" t="s">
        <v>15269</v>
      </c>
      <c r="D2824" s="6" t="str">
        <f>"152326196907086888"</f>
        <v>152326196907086888</v>
      </c>
      <c r="E2824" s="5" t="s">
        <v>15</v>
      </c>
      <c r="F2824" s="5">
        <v>2020</v>
      </c>
      <c r="G2824" s="5" t="s">
        <v>16</v>
      </c>
      <c r="H2824" s="5">
        <v>200</v>
      </c>
      <c r="I2824" s="5">
        <v>200</v>
      </c>
      <c r="J2824" s="5"/>
      <c r="K2824" s="5"/>
      <c r="L2824" s="10">
        <v>20201118</v>
      </c>
      <c r="M2824" s="36" t="str">
        <f t="shared" si="44"/>
        <v>19690708</v>
      </c>
    </row>
    <row r="2825" s="1" customFormat="1" spans="1:13">
      <c r="A2825" s="2">
        <v>6117</v>
      </c>
      <c r="B2825" s="5" t="s">
        <v>12263</v>
      </c>
      <c r="C2825" s="5" t="s">
        <v>12270</v>
      </c>
      <c r="D2825" s="5" t="s">
        <v>12271</v>
      </c>
      <c r="E2825" s="5" t="s">
        <v>10250</v>
      </c>
      <c r="F2825" s="5">
        <v>2020</v>
      </c>
      <c r="G2825" s="17" t="s">
        <v>3359</v>
      </c>
      <c r="H2825" s="5">
        <v>200</v>
      </c>
      <c r="I2825" s="5">
        <v>200</v>
      </c>
      <c r="J2825" s="5"/>
      <c r="K2825" s="5"/>
      <c r="L2825" s="10">
        <v>20201118</v>
      </c>
      <c r="M2825" s="36" t="str">
        <f t="shared" si="44"/>
        <v>19690709</v>
      </c>
    </row>
    <row r="2826" s="1" customFormat="1" spans="1:13">
      <c r="A2826" s="2">
        <v>6362</v>
      </c>
      <c r="B2826" s="5" t="s">
        <v>12263</v>
      </c>
      <c r="C2826" s="5" t="s">
        <v>12739</v>
      </c>
      <c r="D2826" s="5" t="s">
        <v>12740</v>
      </c>
      <c r="E2826" s="5" t="s">
        <v>10250</v>
      </c>
      <c r="F2826" s="5">
        <v>2020</v>
      </c>
      <c r="G2826" s="17" t="s">
        <v>3359</v>
      </c>
      <c r="H2826" s="5" t="s">
        <v>311</v>
      </c>
      <c r="I2826" s="5">
        <v>200</v>
      </c>
      <c r="J2826" s="5"/>
      <c r="K2826" s="5"/>
      <c r="L2826" s="10">
        <v>20201118</v>
      </c>
      <c r="M2826" s="36" t="str">
        <f t="shared" si="44"/>
        <v>19690710</v>
      </c>
    </row>
    <row r="2827" s="1" customFormat="1" spans="1:13">
      <c r="A2827" s="2">
        <v>4854</v>
      </c>
      <c r="B2827" s="6" t="s">
        <v>9015</v>
      </c>
      <c r="C2827" s="6" t="s">
        <v>9851</v>
      </c>
      <c r="D2827" s="293" t="s">
        <v>9852</v>
      </c>
      <c r="E2827" s="6">
        <v>2020</v>
      </c>
      <c r="F2827" s="6">
        <v>2020</v>
      </c>
      <c r="G2827" s="6" t="s">
        <v>16</v>
      </c>
      <c r="H2827" s="6">
        <v>200</v>
      </c>
      <c r="I2827" s="6">
        <v>200</v>
      </c>
      <c r="J2827" s="6"/>
      <c r="K2827" s="6"/>
      <c r="L2827" s="10">
        <v>20201118</v>
      </c>
      <c r="M2827" s="36" t="str">
        <f t="shared" si="44"/>
        <v>19690711</v>
      </c>
    </row>
    <row r="2828" s="1" customFormat="1" spans="1:13">
      <c r="A2828" s="2">
        <v>3790</v>
      </c>
      <c r="B2828" s="5" t="s">
        <v>7412</v>
      </c>
      <c r="C2828" s="5" t="s">
        <v>7829</v>
      </c>
      <c r="D2828" s="5" t="s">
        <v>7830</v>
      </c>
      <c r="E2828" s="6">
        <v>2020</v>
      </c>
      <c r="F2828" s="6">
        <v>2020</v>
      </c>
      <c r="G2828" s="5" t="s">
        <v>3359</v>
      </c>
      <c r="H2828" s="5">
        <v>200</v>
      </c>
      <c r="I2828" s="5">
        <v>200</v>
      </c>
      <c r="J2828" s="5"/>
      <c r="K2828" s="5"/>
      <c r="L2828" s="10">
        <v>20201118</v>
      </c>
      <c r="M2828" s="36" t="str">
        <f t="shared" si="44"/>
        <v>19690712</v>
      </c>
    </row>
    <row r="2829" s="1" customFormat="1" spans="1:13">
      <c r="A2829" s="2">
        <v>1586</v>
      </c>
      <c r="B2829" s="5" t="s">
        <v>3381</v>
      </c>
      <c r="C2829" s="9" t="s">
        <v>3736</v>
      </c>
      <c r="D2829" s="9" t="s">
        <v>3737</v>
      </c>
      <c r="E2829" s="5">
        <v>2020</v>
      </c>
      <c r="F2829" s="5">
        <v>2020</v>
      </c>
      <c r="G2829" s="14" t="s">
        <v>16</v>
      </c>
      <c r="H2829" s="6">
        <v>200</v>
      </c>
      <c r="I2829" s="6">
        <v>200</v>
      </c>
      <c r="J2829" s="5"/>
      <c r="K2829" s="13"/>
      <c r="L2829" s="10">
        <v>20201118</v>
      </c>
      <c r="M2829" s="36" t="str">
        <f t="shared" si="44"/>
        <v>19690713</v>
      </c>
    </row>
    <row r="2830" s="1" customFormat="1" spans="1:13">
      <c r="A2830" s="2">
        <v>3791</v>
      </c>
      <c r="B2830" s="5" t="s">
        <v>7412</v>
      </c>
      <c r="C2830" s="5" t="s">
        <v>2802</v>
      </c>
      <c r="D2830" s="5" t="s">
        <v>7831</v>
      </c>
      <c r="E2830" s="6">
        <v>2020</v>
      </c>
      <c r="F2830" s="6">
        <v>2020</v>
      </c>
      <c r="G2830" s="5" t="s">
        <v>3359</v>
      </c>
      <c r="H2830" s="5">
        <v>200</v>
      </c>
      <c r="I2830" s="5">
        <v>200</v>
      </c>
      <c r="J2830" s="5"/>
      <c r="K2830" s="5"/>
      <c r="L2830" s="10">
        <v>20201118</v>
      </c>
      <c r="M2830" s="36" t="str">
        <f t="shared" si="44"/>
        <v>19690713</v>
      </c>
    </row>
    <row r="2831" s="1" customFormat="1" spans="1:13">
      <c r="A2831" s="2">
        <v>1045</v>
      </c>
      <c r="B2831" s="5" t="s">
        <v>2469</v>
      </c>
      <c r="C2831" s="9" t="s">
        <v>2577</v>
      </c>
      <c r="D2831" s="9" t="s">
        <v>2681</v>
      </c>
      <c r="E2831" s="5">
        <v>2020</v>
      </c>
      <c r="F2831" s="5">
        <v>2020</v>
      </c>
      <c r="G2831" s="9" t="s">
        <v>2480</v>
      </c>
      <c r="H2831" s="9">
        <v>200</v>
      </c>
      <c r="I2831" s="9">
        <v>200</v>
      </c>
      <c r="J2831" s="5"/>
      <c r="K2831" s="5"/>
      <c r="L2831" s="10">
        <v>20201118</v>
      </c>
      <c r="M2831" s="36" t="str">
        <f t="shared" si="44"/>
        <v>19690715</v>
      </c>
    </row>
    <row r="2832" s="1" customFormat="1" spans="1:13">
      <c r="A2832" s="2">
        <v>6606</v>
      </c>
      <c r="B2832" s="5" t="s">
        <v>13027</v>
      </c>
      <c r="C2832" s="15" t="s">
        <v>13200</v>
      </c>
      <c r="D2832" s="15" t="s">
        <v>13201</v>
      </c>
      <c r="E2832" s="5">
        <v>2020</v>
      </c>
      <c r="F2832" s="5">
        <v>2020</v>
      </c>
      <c r="G2832" s="14" t="s">
        <v>16</v>
      </c>
      <c r="H2832" s="15">
        <v>200</v>
      </c>
      <c r="I2832" s="15">
        <v>200</v>
      </c>
      <c r="J2832" s="5"/>
      <c r="K2832" s="10"/>
      <c r="L2832" s="10">
        <v>20201118</v>
      </c>
      <c r="M2832" s="36" t="str">
        <f t="shared" si="44"/>
        <v>19690715</v>
      </c>
    </row>
    <row r="2833" s="1" customFormat="1" spans="1:13">
      <c r="A2833" s="2">
        <v>1587</v>
      </c>
      <c r="B2833" s="5" t="s">
        <v>3381</v>
      </c>
      <c r="C2833" s="9" t="s">
        <v>3738</v>
      </c>
      <c r="D2833" s="9" t="s">
        <v>3739</v>
      </c>
      <c r="E2833" s="5">
        <v>2020</v>
      </c>
      <c r="F2833" s="5">
        <v>2020</v>
      </c>
      <c r="G2833" s="14" t="s">
        <v>16</v>
      </c>
      <c r="H2833" s="6">
        <v>200</v>
      </c>
      <c r="I2833" s="6">
        <v>200</v>
      </c>
      <c r="J2833" s="5"/>
      <c r="K2833" s="13"/>
      <c r="L2833" s="10">
        <v>20201118</v>
      </c>
      <c r="M2833" s="36" t="str">
        <f t="shared" si="44"/>
        <v>19690716</v>
      </c>
    </row>
    <row r="2834" s="1" customFormat="1" spans="1:13">
      <c r="A2834" s="2">
        <v>2238</v>
      </c>
      <c r="B2834" s="9" t="s">
        <v>4837</v>
      </c>
      <c r="C2834" s="9" t="s">
        <v>5022</v>
      </c>
      <c r="D2834" s="9" t="s">
        <v>5023</v>
      </c>
      <c r="E2834" s="6" t="s">
        <v>15</v>
      </c>
      <c r="F2834" s="6">
        <v>2020</v>
      </c>
      <c r="G2834" s="9" t="s">
        <v>2480</v>
      </c>
      <c r="H2834" s="9">
        <v>200</v>
      </c>
      <c r="I2834" s="9">
        <v>200</v>
      </c>
      <c r="J2834" s="6"/>
      <c r="K2834" s="10"/>
      <c r="L2834" s="10">
        <v>20201118</v>
      </c>
      <c r="M2834" s="36" t="str">
        <f t="shared" si="44"/>
        <v>19690717</v>
      </c>
    </row>
    <row r="2835" s="1" customFormat="1" spans="1:13">
      <c r="A2835" s="2">
        <v>3792</v>
      </c>
      <c r="B2835" s="5" t="s">
        <v>7412</v>
      </c>
      <c r="C2835" s="5" t="s">
        <v>7832</v>
      </c>
      <c r="D2835" s="5" t="s">
        <v>7833</v>
      </c>
      <c r="E2835" s="6">
        <v>2020</v>
      </c>
      <c r="F2835" s="6">
        <v>2020</v>
      </c>
      <c r="G2835" s="5" t="s">
        <v>3359</v>
      </c>
      <c r="H2835" s="5">
        <v>200</v>
      </c>
      <c r="I2835" s="5">
        <v>200</v>
      </c>
      <c r="J2835" s="5"/>
      <c r="K2835" s="5"/>
      <c r="L2835" s="10">
        <v>20201118</v>
      </c>
      <c r="M2835" s="36" t="str">
        <f t="shared" si="44"/>
        <v>19690720</v>
      </c>
    </row>
    <row r="2836" s="1" customFormat="1" spans="1:13">
      <c r="A2836" s="2">
        <v>4606</v>
      </c>
      <c r="B2836" s="6" t="s">
        <v>9015</v>
      </c>
      <c r="C2836" s="6" t="s">
        <v>9382</v>
      </c>
      <c r="D2836" s="6" t="s">
        <v>9383</v>
      </c>
      <c r="E2836" s="6">
        <v>2020</v>
      </c>
      <c r="F2836" s="6">
        <v>2020</v>
      </c>
      <c r="G2836" s="6" t="s">
        <v>16</v>
      </c>
      <c r="H2836" s="6">
        <v>200</v>
      </c>
      <c r="I2836" s="6">
        <v>200</v>
      </c>
      <c r="J2836" s="6"/>
      <c r="K2836" s="6"/>
      <c r="L2836" s="10">
        <v>20201118</v>
      </c>
      <c r="M2836" s="36" t="str">
        <f t="shared" si="44"/>
        <v>19690720</v>
      </c>
    </row>
    <row r="2837" s="1" customFormat="1" spans="1:13">
      <c r="A2837" s="2">
        <v>8188</v>
      </c>
      <c r="B2837" s="5" t="s">
        <v>15406</v>
      </c>
      <c r="C2837" s="6" t="s">
        <v>15563</v>
      </c>
      <c r="D2837" s="6" t="s">
        <v>15564</v>
      </c>
      <c r="E2837" s="5" t="s">
        <v>15</v>
      </c>
      <c r="F2837" s="5">
        <v>2020</v>
      </c>
      <c r="G2837" s="14" t="s">
        <v>16</v>
      </c>
      <c r="H2837" s="6">
        <v>200</v>
      </c>
      <c r="I2837" s="6">
        <v>200</v>
      </c>
      <c r="J2837" s="5"/>
      <c r="K2837" s="10"/>
      <c r="L2837" s="10">
        <v>20201118</v>
      </c>
      <c r="M2837" s="36" t="str">
        <f t="shared" si="44"/>
        <v>19690720</v>
      </c>
    </row>
    <row r="2838" s="1" customFormat="1" spans="1:13">
      <c r="A2838" s="2">
        <v>3793</v>
      </c>
      <c r="B2838" s="5" t="s">
        <v>7412</v>
      </c>
      <c r="C2838" s="5" t="s">
        <v>7834</v>
      </c>
      <c r="D2838" s="5" t="s">
        <v>7835</v>
      </c>
      <c r="E2838" s="6">
        <v>2020</v>
      </c>
      <c r="F2838" s="6">
        <v>2020</v>
      </c>
      <c r="G2838" s="5" t="s">
        <v>3359</v>
      </c>
      <c r="H2838" s="5">
        <v>200</v>
      </c>
      <c r="I2838" s="5">
        <v>200</v>
      </c>
      <c r="J2838" s="5"/>
      <c r="K2838" s="5"/>
      <c r="L2838" s="10">
        <v>20201118</v>
      </c>
      <c r="M2838" s="36" t="str">
        <f t="shared" si="44"/>
        <v>19690725</v>
      </c>
    </row>
    <row r="2839" s="1" customFormat="1" spans="1:13">
      <c r="A2839" s="2">
        <v>6390</v>
      </c>
      <c r="B2839" s="5" t="s">
        <v>12263</v>
      </c>
      <c r="C2839" s="5" t="s">
        <v>9085</v>
      </c>
      <c r="D2839" s="5" t="s">
        <v>12792</v>
      </c>
      <c r="E2839" s="5" t="s">
        <v>10250</v>
      </c>
      <c r="F2839" s="5">
        <v>2020</v>
      </c>
      <c r="G2839" s="17" t="s">
        <v>3359</v>
      </c>
      <c r="H2839" s="5" t="s">
        <v>311</v>
      </c>
      <c r="I2839" s="5">
        <v>200</v>
      </c>
      <c r="J2839" s="5"/>
      <c r="K2839" s="5"/>
      <c r="L2839" s="10">
        <v>20201118</v>
      </c>
      <c r="M2839" s="36" t="str">
        <f t="shared" si="44"/>
        <v>19690729</v>
      </c>
    </row>
    <row r="2840" s="1" customFormat="1" ht="14.25" spans="1:13">
      <c r="A2840" s="2">
        <v>2787</v>
      </c>
      <c r="B2840" s="6" t="s">
        <v>6075</v>
      </c>
      <c r="C2840" s="25" t="s">
        <v>6104</v>
      </c>
      <c r="D2840" s="26" t="s">
        <v>6105</v>
      </c>
      <c r="E2840" s="5" t="s">
        <v>15</v>
      </c>
      <c r="F2840" s="5">
        <v>2020</v>
      </c>
      <c r="G2840" s="6" t="s">
        <v>16</v>
      </c>
      <c r="H2840" s="6">
        <v>200</v>
      </c>
      <c r="I2840" s="6">
        <v>200</v>
      </c>
      <c r="J2840" s="6" t="s">
        <v>6097</v>
      </c>
      <c r="K2840" s="10"/>
      <c r="L2840" s="10">
        <v>20201118</v>
      </c>
      <c r="M2840" s="36" t="str">
        <f t="shared" si="44"/>
        <v>19690801</v>
      </c>
    </row>
    <row r="2841" s="1" customFormat="1" spans="1:13">
      <c r="A2841" s="2">
        <v>1588</v>
      </c>
      <c r="B2841" s="5" t="s">
        <v>3381</v>
      </c>
      <c r="C2841" s="9" t="s">
        <v>3740</v>
      </c>
      <c r="D2841" s="9" t="s">
        <v>3741</v>
      </c>
      <c r="E2841" s="5">
        <v>2020</v>
      </c>
      <c r="F2841" s="5">
        <v>2020</v>
      </c>
      <c r="G2841" s="14" t="s">
        <v>16</v>
      </c>
      <c r="H2841" s="6">
        <v>200</v>
      </c>
      <c r="I2841" s="6">
        <v>200</v>
      </c>
      <c r="J2841" s="5"/>
      <c r="K2841" s="13"/>
      <c r="L2841" s="10">
        <v>20201118</v>
      </c>
      <c r="M2841" s="36" t="str">
        <f t="shared" si="44"/>
        <v>19690802</v>
      </c>
    </row>
    <row r="2842" s="1" customFormat="1" spans="1:13">
      <c r="A2842" s="2">
        <v>5596</v>
      </c>
      <c r="B2842" s="30" t="s">
        <v>11090</v>
      </c>
      <c r="C2842" s="30" t="s">
        <v>11285</v>
      </c>
      <c r="D2842" s="30" t="s">
        <v>11286</v>
      </c>
      <c r="E2842" s="5" t="s">
        <v>15</v>
      </c>
      <c r="F2842" s="5" t="s">
        <v>10250</v>
      </c>
      <c r="G2842" s="6" t="s">
        <v>16</v>
      </c>
      <c r="H2842" s="32">
        <v>200</v>
      </c>
      <c r="I2842" s="32">
        <v>200</v>
      </c>
      <c r="J2842" s="6"/>
      <c r="K2842" s="48"/>
      <c r="L2842" s="10">
        <v>20201118</v>
      </c>
      <c r="M2842" s="36" t="str">
        <f t="shared" si="44"/>
        <v>19690802</v>
      </c>
    </row>
    <row r="2843" s="1" customFormat="1" spans="1:13">
      <c r="A2843" s="2">
        <v>1046</v>
      </c>
      <c r="B2843" s="5" t="s">
        <v>2469</v>
      </c>
      <c r="C2843" s="9" t="s">
        <v>2682</v>
      </c>
      <c r="D2843" s="9" t="s">
        <v>2683</v>
      </c>
      <c r="E2843" s="5">
        <v>2020</v>
      </c>
      <c r="F2843" s="5">
        <v>2020</v>
      </c>
      <c r="G2843" s="9" t="s">
        <v>2480</v>
      </c>
      <c r="H2843" s="9">
        <v>200</v>
      </c>
      <c r="I2843" s="9">
        <v>200</v>
      </c>
      <c r="J2843" s="5"/>
      <c r="K2843" s="5"/>
      <c r="L2843" s="10">
        <v>20201118</v>
      </c>
      <c r="M2843" s="36" t="str">
        <f t="shared" si="44"/>
        <v>19690803</v>
      </c>
    </row>
    <row r="2844" s="1" customFormat="1" spans="1:13">
      <c r="A2844" s="2">
        <v>1047</v>
      </c>
      <c r="B2844" s="5" t="s">
        <v>2469</v>
      </c>
      <c r="C2844" s="9" t="s">
        <v>2684</v>
      </c>
      <c r="D2844" s="9" t="s">
        <v>2685</v>
      </c>
      <c r="E2844" s="5">
        <v>2020</v>
      </c>
      <c r="F2844" s="5">
        <v>2020</v>
      </c>
      <c r="G2844" s="9" t="s">
        <v>2480</v>
      </c>
      <c r="H2844" s="9">
        <v>200</v>
      </c>
      <c r="I2844" s="9">
        <v>200</v>
      </c>
      <c r="J2844" s="5"/>
      <c r="K2844" s="5"/>
      <c r="L2844" s="10">
        <v>20201118</v>
      </c>
      <c r="M2844" s="36" t="str">
        <f t="shared" si="44"/>
        <v>19690806</v>
      </c>
    </row>
    <row r="2845" s="1" customFormat="1" spans="1:13">
      <c r="A2845" s="2">
        <v>5109</v>
      </c>
      <c r="B2845" s="6" t="s">
        <v>10242</v>
      </c>
      <c r="C2845" s="9" t="s">
        <v>10347</v>
      </c>
      <c r="D2845" s="9" t="s">
        <v>10348</v>
      </c>
      <c r="E2845" s="5" t="s">
        <v>10250</v>
      </c>
      <c r="F2845" s="5">
        <v>2020</v>
      </c>
      <c r="G2845" s="6" t="s">
        <v>16</v>
      </c>
      <c r="H2845" s="6">
        <v>200</v>
      </c>
      <c r="I2845" s="6">
        <v>200</v>
      </c>
      <c r="J2845" s="6"/>
      <c r="K2845" s="5"/>
      <c r="L2845" s="10">
        <v>20201118</v>
      </c>
      <c r="M2845" s="36" t="str">
        <f t="shared" si="44"/>
        <v>19690807</v>
      </c>
    </row>
    <row r="2846" s="1" customFormat="1" spans="1:13">
      <c r="A2846" s="2">
        <v>1904</v>
      </c>
      <c r="B2846" s="5" t="s">
        <v>4189</v>
      </c>
      <c r="C2846" s="16" t="s">
        <v>4369</v>
      </c>
      <c r="D2846" s="16" t="s">
        <v>4370</v>
      </c>
      <c r="E2846" s="5" t="s">
        <v>15</v>
      </c>
      <c r="F2846" s="5" t="s">
        <v>15</v>
      </c>
      <c r="G2846" s="5" t="s">
        <v>3359</v>
      </c>
      <c r="H2846" s="16">
        <v>200</v>
      </c>
      <c r="I2846" s="16">
        <v>200</v>
      </c>
      <c r="J2846" s="5"/>
      <c r="K2846" s="10"/>
      <c r="L2846" s="10">
        <v>20201118</v>
      </c>
      <c r="M2846" s="36" t="str">
        <f t="shared" si="44"/>
        <v>19690808</v>
      </c>
    </row>
    <row r="2847" s="1" customFormat="1" spans="1:13">
      <c r="A2847" s="2">
        <v>7546</v>
      </c>
      <c r="B2847" s="5" t="s">
        <v>14402</v>
      </c>
      <c r="C2847" s="5" t="s">
        <v>1855</v>
      </c>
      <c r="D2847" s="5" t="s">
        <v>14701</v>
      </c>
      <c r="E2847" s="5">
        <v>2020</v>
      </c>
      <c r="F2847" s="5">
        <v>2020</v>
      </c>
      <c r="G2847" s="17" t="s">
        <v>16</v>
      </c>
      <c r="H2847" s="5">
        <v>200</v>
      </c>
      <c r="I2847" s="5">
        <v>200</v>
      </c>
      <c r="J2847" s="5"/>
      <c r="K2847" s="10"/>
      <c r="L2847" s="10">
        <v>20201118</v>
      </c>
      <c r="M2847" s="36" t="str">
        <f t="shared" si="44"/>
        <v>19690808</v>
      </c>
    </row>
    <row r="2848" s="1" customFormat="1" spans="1:13">
      <c r="A2848" s="2">
        <v>3794</v>
      </c>
      <c r="B2848" s="5" t="s">
        <v>7412</v>
      </c>
      <c r="C2848" s="5" t="s">
        <v>7836</v>
      </c>
      <c r="D2848" s="5" t="s">
        <v>7837</v>
      </c>
      <c r="E2848" s="6">
        <v>2020</v>
      </c>
      <c r="F2848" s="6">
        <v>2020</v>
      </c>
      <c r="G2848" s="5" t="s">
        <v>3359</v>
      </c>
      <c r="H2848" s="5">
        <v>200</v>
      </c>
      <c r="I2848" s="5">
        <v>200</v>
      </c>
      <c r="J2848" s="5"/>
      <c r="K2848" s="5"/>
      <c r="L2848" s="10">
        <v>20201118</v>
      </c>
      <c r="M2848" s="36" t="str">
        <f t="shared" si="44"/>
        <v>19690809</v>
      </c>
    </row>
    <row r="2849" s="1" customFormat="1" spans="1:13">
      <c r="A2849" s="2">
        <v>2606</v>
      </c>
      <c r="B2849" s="32" t="s">
        <v>5602</v>
      </c>
      <c r="C2849" s="9" t="s">
        <v>5746</v>
      </c>
      <c r="D2849" s="9" t="s">
        <v>5747</v>
      </c>
      <c r="E2849" s="32">
        <v>2020</v>
      </c>
      <c r="F2849" s="32">
        <v>2020</v>
      </c>
      <c r="G2849" s="32" t="s">
        <v>16</v>
      </c>
      <c r="H2849" s="9">
        <v>200</v>
      </c>
      <c r="I2849" s="9">
        <v>200</v>
      </c>
      <c r="J2849" s="32"/>
      <c r="K2849" s="52"/>
      <c r="L2849" s="10">
        <v>20201118</v>
      </c>
      <c r="M2849" s="36" t="str">
        <f t="shared" si="44"/>
        <v>19690810</v>
      </c>
    </row>
    <row r="2850" s="1" customFormat="1" ht="14.25" spans="1:13">
      <c r="A2850" s="2">
        <v>2816</v>
      </c>
      <c r="B2850" s="6" t="s">
        <v>6075</v>
      </c>
      <c r="C2850" s="25" t="s">
        <v>6159</v>
      </c>
      <c r="D2850" s="26" t="s">
        <v>6160</v>
      </c>
      <c r="E2850" s="5" t="s">
        <v>15</v>
      </c>
      <c r="F2850" s="5">
        <v>2020</v>
      </c>
      <c r="G2850" s="6" t="s">
        <v>16</v>
      </c>
      <c r="H2850" s="6">
        <v>200</v>
      </c>
      <c r="I2850" s="6">
        <v>200</v>
      </c>
      <c r="J2850" s="6"/>
      <c r="K2850" s="10"/>
      <c r="L2850" s="10">
        <v>20201118</v>
      </c>
      <c r="M2850" s="36" t="str">
        <f t="shared" si="44"/>
        <v>19690810</v>
      </c>
    </row>
    <row r="2851" s="1" customFormat="1" spans="1:13">
      <c r="A2851" s="2">
        <v>2525</v>
      </c>
      <c r="B2851" s="5" t="s">
        <v>5328</v>
      </c>
      <c r="C2851" s="16" t="s">
        <v>5584</v>
      </c>
      <c r="D2851" s="16" t="s">
        <v>5585</v>
      </c>
      <c r="E2851" s="5" t="s">
        <v>15</v>
      </c>
      <c r="F2851" s="5" t="s">
        <v>15</v>
      </c>
      <c r="G2851" s="14" t="s">
        <v>16</v>
      </c>
      <c r="H2851" s="6">
        <v>200</v>
      </c>
      <c r="I2851" s="6">
        <v>200</v>
      </c>
      <c r="J2851" s="5"/>
      <c r="K2851" s="5"/>
      <c r="L2851" s="10">
        <v>20201118</v>
      </c>
      <c r="M2851" s="36" t="str">
        <f t="shared" si="44"/>
        <v>19690814</v>
      </c>
    </row>
    <row r="2852" s="1" customFormat="1" spans="1:13">
      <c r="A2852" s="2">
        <v>2239</v>
      </c>
      <c r="B2852" s="9" t="s">
        <v>4837</v>
      </c>
      <c r="C2852" s="9" t="s">
        <v>5024</v>
      </c>
      <c r="D2852" s="9" t="s">
        <v>5025</v>
      </c>
      <c r="E2852" s="6" t="s">
        <v>15</v>
      </c>
      <c r="F2852" s="6">
        <v>2020</v>
      </c>
      <c r="G2852" s="9" t="s">
        <v>2480</v>
      </c>
      <c r="H2852" s="9">
        <v>200</v>
      </c>
      <c r="I2852" s="9">
        <v>200</v>
      </c>
      <c r="J2852" s="6"/>
      <c r="K2852" s="10"/>
      <c r="L2852" s="10">
        <v>20201118</v>
      </c>
      <c r="M2852" s="36" t="str">
        <f t="shared" si="44"/>
        <v>19690815</v>
      </c>
    </row>
    <row r="2853" s="1" customFormat="1" spans="1:13">
      <c r="A2853" s="2">
        <v>1589</v>
      </c>
      <c r="B2853" s="5" t="s">
        <v>3381</v>
      </c>
      <c r="C2853" s="9" t="s">
        <v>3742</v>
      </c>
      <c r="D2853" s="9" t="s">
        <v>3743</v>
      </c>
      <c r="E2853" s="5">
        <v>2020</v>
      </c>
      <c r="F2853" s="5">
        <v>2020</v>
      </c>
      <c r="G2853" s="14" t="s">
        <v>16</v>
      </c>
      <c r="H2853" s="6">
        <v>200</v>
      </c>
      <c r="I2853" s="6">
        <v>200</v>
      </c>
      <c r="J2853" s="5"/>
      <c r="K2853" s="13"/>
      <c r="L2853" s="10">
        <v>20201118</v>
      </c>
      <c r="M2853" s="36" t="str">
        <f t="shared" si="44"/>
        <v>19690816</v>
      </c>
    </row>
    <row r="2854" s="1" customFormat="1" spans="1:13">
      <c r="A2854" s="2">
        <v>4614</v>
      </c>
      <c r="B2854" s="6" t="s">
        <v>9015</v>
      </c>
      <c r="C2854" s="6" t="s">
        <v>9398</v>
      </c>
      <c r="D2854" s="6" t="s">
        <v>9399</v>
      </c>
      <c r="E2854" s="6">
        <v>2020</v>
      </c>
      <c r="F2854" s="6">
        <v>2020</v>
      </c>
      <c r="G2854" s="6" t="s">
        <v>16</v>
      </c>
      <c r="H2854" s="6">
        <v>200</v>
      </c>
      <c r="I2854" s="6">
        <v>200</v>
      </c>
      <c r="J2854" s="6"/>
      <c r="K2854" s="6"/>
      <c r="L2854" s="10">
        <v>20201118</v>
      </c>
      <c r="M2854" s="36" t="str">
        <f t="shared" si="44"/>
        <v>19690817</v>
      </c>
    </row>
    <row r="2855" s="1" customFormat="1" spans="1:13">
      <c r="A2855" s="2">
        <v>4466</v>
      </c>
      <c r="B2855" s="6" t="s">
        <v>9015</v>
      </c>
      <c r="C2855" s="6" t="s">
        <v>9117</v>
      </c>
      <c r="D2855" s="6" t="s">
        <v>9118</v>
      </c>
      <c r="E2855" s="6">
        <v>2020</v>
      </c>
      <c r="F2855" s="6">
        <v>2020</v>
      </c>
      <c r="G2855" s="6" t="s">
        <v>16</v>
      </c>
      <c r="H2855" s="6">
        <v>200</v>
      </c>
      <c r="I2855" s="6">
        <v>200</v>
      </c>
      <c r="J2855" s="6"/>
      <c r="K2855" s="6"/>
      <c r="L2855" s="10">
        <v>20201118</v>
      </c>
      <c r="M2855" s="36" t="str">
        <f t="shared" si="44"/>
        <v>19690819</v>
      </c>
    </row>
    <row r="2856" s="1" customFormat="1" spans="1:13">
      <c r="A2856" s="2">
        <v>6607</v>
      </c>
      <c r="B2856" s="5" t="s">
        <v>13027</v>
      </c>
      <c r="C2856" s="15" t="s">
        <v>13202</v>
      </c>
      <c r="D2856" s="15" t="s">
        <v>13203</v>
      </c>
      <c r="E2856" s="5">
        <v>2020</v>
      </c>
      <c r="F2856" s="5">
        <v>2020</v>
      </c>
      <c r="G2856" s="14" t="s">
        <v>16</v>
      </c>
      <c r="H2856" s="15">
        <v>200</v>
      </c>
      <c r="I2856" s="15">
        <v>200</v>
      </c>
      <c r="J2856" s="5"/>
      <c r="K2856" s="10"/>
      <c r="L2856" s="10">
        <v>20201118</v>
      </c>
      <c r="M2856" s="36" t="str">
        <f t="shared" si="44"/>
        <v>19690819</v>
      </c>
    </row>
    <row r="2857" s="1" customFormat="1" spans="1:13">
      <c r="A2857" s="2">
        <v>225</v>
      </c>
      <c r="B2857" s="14" t="s">
        <v>327</v>
      </c>
      <c r="C2857" s="14" t="s">
        <v>561</v>
      </c>
      <c r="D2857" s="14" t="s">
        <v>562</v>
      </c>
      <c r="E2857" s="5">
        <v>2020</v>
      </c>
      <c r="F2857" s="5">
        <v>2020</v>
      </c>
      <c r="G2857" s="14" t="s">
        <v>16</v>
      </c>
      <c r="H2857" s="14">
        <v>200</v>
      </c>
      <c r="I2857" s="14">
        <v>200</v>
      </c>
      <c r="J2857" s="14"/>
      <c r="K2857" s="10"/>
      <c r="L2857" s="2" t="s">
        <v>330</v>
      </c>
      <c r="M2857" s="36" t="str">
        <f t="shared" si="44"/>
        <v>19690823</v>
      </c>
    </row>
    <row r="2858" s="1" customFormat="1" spans="1:13">
      <c r="A2858" s="2">
        <v>4691</v>
      </c>
      <c r="B2858" s="6" t="s">
        <v>9015</v>
      </c>
      <c r="C2858" s="6" t="s">
        <v>7087</v>
      </c>
      <c r="D2858" s="6" t="s">
        <v>9543</v>
      </c>
      <c r="E2858" s="6">
        <v>2020</v>
      </c>
      <c r="F2858" s="6">
        <v>2020</v>
      </c>
      <c r="G2858" s="6" t="s">
        <v>16</v>
      </c>
      <c r="H2858" s="6">
        <v>200</v>
      </c>
      <c r="I2858" s="6">
        <v>200</v>
      </c>
      <c r="J2858" s="6"/>
      <c r="K2858" s="6"/>
      <c r="L2858" s="10">
        <v>20201118</v>
      </c>
      <c r="M2858" s="36" t="str">
        <f t="shared" si="44"/>
        <v>19690824</v>
      </c>
    </row>
    <row r="2859" s="1" customFormat="1" ht="14.25" spans="1:13">
      <c r="A2859" s="2">
        <v>1590</v>
      </c>
      <c r="B2859" s="5" t="s">
        <v>3381</v>
      </c>
      <c r="C2859" s="9" t="s">
        <v>3744</v>
      </c>
      <c r="D2859" s="9" t="s">
        <v>3745</v>
      </c>
      <c r="E2859" s="5">
        <v>2020</v>
      </c>
      <c r="F2859" s="5">
        <v>2020</v>
      </c>
      <c r="G2859" s="14" t="s">
        <v>16</v>
      </c>
      <c r="H2859" s="6">
        <v>200</v>
      </c>
      <c r="I2859" s="6">
        <v>200</v>
      </c>
      <c r="J2859" s="24" t="s">
        <v>1242</v>
      </c>
      <c r="K2859" s="13"/>
      <c r="L2859" s="10">
        <v>20201118</v>
      </c>
      <c r="M2859" s="36" t="str">
        <f t="shared" si="44"/>
        <v>19690825</v>
      </c>
    </row>
    <row r="2860" s="1" customFormat="1" spans="1:13">
      <c r="A2860" s="2">
        <v>1048</v>
      </c>
      <c r="B2860" s="5" t="s">
        <v>2469</v>
      </c>
      <c r="C2860" s="9" t="s">
        <v>2686</v>
      </c>
      <c r="D2860" s="9" t="s">
        <v>2687</v>
      </c>
      <c r="E2860" s="5">
        <v>2020</v>
      </c>
      <c r="F2860" s="5">
        <v>2020</v>
      </c>
      <c r="G2860" s="9" t="s">
        <v>2480</v>
      </c>
      <c r="H2860" s="9">
        <v>200</v>
      </c>
      <c r="I2860" s="9">
        <v>200</v>
      </c>
      <c r="J2860" s="5"/>
      <c r="K2860" s="5"/>
      <c r="L2860" s="10">
        <v>20201118</v>
      </c>
      <c r="M2860" s="36" t="str">
        <f t="shared" si="44"/>
        <v>19690826</v>
      </c>
    </row>
    <row r="2861" s="1" customFormat="1" spans="1:13">
      <c r="A2861" s="2">
        <v>6443</v>
      </c>
      <c r="B2861" s="5" t="s">
        <v>12263</v>
      </c>
      <c r="C2861" s="5" t="s">
        <v>12891</v>
      </c>
      <c r="D2861" s="5" t="s">
        <v>12892</v>
      </c>
      <c r="E2861" s="5" t="s">
        <v>10250</v>
      </c>
      <c r="F2861" s="5">
        <v>2020</v>
      </c>
      <c r="G2861" s="17" t="s">
        <v>3359</v>
      </c>
      <c r="H2861" s="5">
        <v>200</v>
      </c>
      <c r="I2861" s="5">
        <v>200</v>
      </c>
      <c r="J2861" s="5"/>
      <c r="K2861" s="5"/>
      <c r="L2861" s="10">
        <v>20201118</v>
      </c>
      <c r="M2861" s="36" t="str">
        <f t="shared" si="44"/>
        <v>19690829</v>
      </c>
    </row>
    <row r="2862" s="1" customFormat="1" spans="1:13">
      <c r="A2862" s="2">
        <v>54</v>
      </c>
      <c r="B2862" s="31" t="s">
        <v>12</v>
      </c>
      <c r="C2862" s="17" t="s">
        <v>123</v>
      </c>
      <c r="D2862" s="17" t="s">
        <v>124</v>
      </c>
      <c r="E2862" s="3" t="s">
        <v>15</v>
      </c>
      <c r="F2862" s="3" t="s">
        <v>15</v>
      </c>
      <c r="G2862" s="2" t="s">
        <v>16</v>
      </c>
      <c r="H2862" s="17">
        <v>200</v>
      </c>
      <c r="I2862" s="17">
        <v>200</v>
      </c>
      <c r="J2862" s="17"/>
      <c r="K2862" s="17"/>
      <c r="L2862" s="10">
        <v>20201118</v>
      </c>
      <c r="M2862" s="36" t="str">
        <f t="shared" si="44"/>
        <v>19690830</v>
      </c>
    </row>
    <row r="2863" s="1" customFormat="1" spans="1:13">
      <c r="A2863" s="2">
        <v>1591</v>
      </c>
      <c r="B2863" s="5" t="s">
        <v>3381</v>
      </c>
      <c r="C2863" s="9" t="s">
        <v>3746</v>
      </c>
      <c r="D2863" s="9" t="s">
        <v>3747</v>
      </c>
      <c r="E2863" s="5">
        <v>2020</v>
      </c>
      <c r="F2863" s="5">
        <v>2020</v>
      </c>
      <c r="G2863" s="14" t="s">
        <v>16</v>
      </c>
      <c r="H2863" s="6">
        <v>200</v>
      </c>
      <c r="I2863" s="6">
        <v>200</v>
      </c>
      <c r="J2863" s="5"/>
      <c r="K2863" s="13"/>
      <c r="L2863" s="10">
        <v>20201118</v>
      </c>
      <c r="M2863" s="36" t="str">
        <f t="shared" si="44"/>
        <v>19690901</v>
      </c>
    </row>
    <row r="2864" s="1" customFormat="1" spans="1:13">
      <c r="A2864" s="2">
        <v>2240</v>
      </c>
      <c r="B2864" s="9" t="s">
        <v>4837</v>
      </c>
      <c r="C2864" s="9" t="s">
        <v>5026</v>
      </c>
      <c r="D2864" s="9" t="s">
        <v>5027</v>
      </c>
      <c r="E2864" s="6" t="s">
        <v>15</v>
      </c>
      <c r="F2864" s="6">
        <v>2020</v>
      </c>
      <c r="G2864" s="9" t="s">
        <v>2480</v>
      </c>
      <c r="H2864" s="9">
        <v>200</v>
      </c>
      <c r="I2864" s="9">
        <v>200</v>
      </c>
      <c r="J2864" s="6"/>
      <c r="K2864" s="10"/>
      <c r="L2864" s="10">
        <v>20201118</v>
      </c>
      <c r="M2864" s="36" t="str">
        <f t="shared" si="44"/>
        <v>19690902</v>
      </c>
    </row>
    <row r="2865" s="1" customFormat="1" spans="1:13">
      <c r="A2865" s="2">
        <v>6953</v>
      </c>
      <c r="B2865" s="5" t="s">
        <v>13533</v>
      </c>
      <c r="C2865" s="32" t="s">
        <v>13703</v>
      </c>
      <c r="D2865" s="32" t="str">
        <f>"152326196909027128"</f>
        <v>152326196909027128</v>
      </c>
      <c r="E2865" s="5">
        <v>2020</v>
      </c>
      <c r="F2865" s="5">
        <v>2020</v>
      </c>
      <c r="G2865" s="9" t="s">
        <v>2480</v>
      </c>
      <c r="H2865" s="32">
        <v>200</v>
      </c>
      <c r="I2865" s="32">
        <v>200</v>
      </c>
      <c r="J2865" s="62"/>
      <c r="K2865" s="10"/>
      <c r="L2865" s="10">
        <v>20201118</v>
      </c>
      <c r="M2865" s="36" t="str">
        <f t="shared" si="44"/>
        <v>19690902</v>
      </c>
    </row>
    <row r="2866" s="1" customFormat="1" spans="1:13">
      <c r="A2866" s="2">
        <v>4950</v>
      </c>
      <c r="B2866" s="6" t="s">
        <v>9954</v>
      </c>
      <c r="C2866" s="6" t="s">
        <v>10041</v>
      </c>
      <c r="D2866" s="6" t="s">
        <v>10042</v>
      </c>
      <c r="E2866" s="5" t="s">
        <v>15</v>
      </c>
      <c r="F2866" s="5" t="s">
        <v>15</v>
      </c>
      <c r="G2866" s="14" t="s">
        <v>16</v>
      </c>
      <c r="H2866" s="6">
        <v>200</v>
      </c>
      <c r="I2866" s="6">
        <v>200</v>
      </c>
      <c r="J2866" s="6"/>
      <c r="K2866" s="6"/>
      <c r="L2866" s="10">
        <v>20201118</v>
      </c>
      <c r="M2866" s="36" t="str">
        <f t="shared" si="44"/>
        <v>19690904</v>
      </c>
    </row>
    <row r="2867" s="1" customFormat="1" spans="1:13">
      <c r="A2867" s="2">
        <v>5664</v>
      </c>
      <c r="B2867" s="30" t="s">
        <v>11090</v>
      </c>
      <c r="C2867" s="30" t="s">
        <v>11413</v>
      </c>
      <c r="D2867" s="30" t="s">
        <v>11414</v>
      </c>
      <c r="E2867" s="5" t="s">
        <v>15</v>
      </c>
      <c r="F2867" s="5" t="s">
        <v>10250</v>
      </c>
      <c r="G2867" s="6" t="s">
        <v>16</v>
      </c>
      <c r="H2867" s="32">
        <v>200</v>
      </c>
      <c r="I2867" s="32">
        <v>200</v>
      </c>
      <c r="J2867" s="6"/>
      <c r="K2867" s="48"/>
      <c r="L2867" s="10">
        <v>20201118</v>
      </c>
      <c r="M2867" s="36" t="str">
        <f t="shared" si="44"/>
        <v>19690904</v>
      </c>
    </row>
    <row r="2868" s="1" customFormat="1" spans="1:13">
      <c r="A2868" s="2">
        <v>3420</v>
      </c>
      <c r="B2868" s="5" t="s">
        <v>3375</v>
      </c>
      <c r="C2868" s="6" t="s">
        <v>7198</v>
      </c>
      <c r="D2868" s="6" t="str">
        <f>"152326196909096879"</f>
        <v>152326196909096879</v>
      </c>
      <c r="E2868" s="5" t="s">
        <v>15</v>
      </c>
      <c r="F2868" s="5">
        <v>2020</v>
      </c>
      <c r="G2868" s="14" t="s">
        <v>16</v>
      </c>
      <c r="H2868" s="17">
        <v>200</v>
      </c>
      <c r="I2868" s="17">
        <v>200</v>
      </c>
      <c r="J2868" s="6"/>
      <c r="K2868" s="10"/>
      <c r="L2868" s="10">
        <v>20201118</v>
      </c>
      <c r="M2868" s="36" t="str">
        <f t="shared" si="44"/>
        <v>19690909</v>
      </c>
    </row>
    <row r="2869" s="1" customFormat="1" spans="1:13">
      <c r="A2869" s="2">
        <v>672</v>
      </c>
      <c r="B2869" s="29" t="s">
        <v>1040</v>
      </c>
      <c r="C2869" s="47" t="s">
        <v>1668</v>
      </c>
      <c r="D2869" s="47" t="s">
        <v>1669</v>
      </c>
      <c r="E2869" s="30">
        <v>2020</v>
      </c>
      <c r="F2869" s="30">
        <v>2020</v>
      </c>
      <c r="G2869" s="29" t="s">
        <v>16</v>
      </c>
      <c r="H2869" s="29">
        <v>200</v>
      </c>
      <c r="I2869" s="29">
        <v>200</v>
      </c>
      <c r="J2869" s="29"/>
      <c r="K2869" s="54"/>
      <c r="L2869" s="2" t="s">
        <v>330</v>
      </c>
      <c r="M2869" s="36" t="str">
        <f t="shared" si="44"/>
        <v>19690910</v>
      </c>
    </row>
    <row r="2870" s="1" customFormat="1" spans="1:13">
      <c r="A2870" s="2">
        <v>6268</v>
      </c>
      <c r="B2870" s="5" t="s">
        <v>12263</v>
      </c>
      <c r="C2870" s="5" t="s">
        <v>7222</v>
      </c>
      <c r="D2870" s="5" t="s">
        <v>12559</v>
      </c>
      <c r="E2870" s="5" t="s">
        <v>10250</v>
      </c>
      <c r="F2870" s="5">
        <v>2020</v>
      </c>
      <c r="G2870" s="17" t="s">
        <v>3359</v>
      </c>
      <c r="H2870" s="5">
        <v>200</v>
      </c>
      <c r="I2870" s="5">
        <v>200</v>
      </c>
      <c r="J2870" s="5"/>
      <c r="K2870" s="5"/>
      <c r="L2870" s="10">
        <v>20201118</v>
      </c>
      <c r="M2870" s="36" t="str">
        <f t="shared" si="44"/>
        <v>19690910</v>
      </c>
    </row>
    <row r="2871" s="1" customFormat="1" spans="1:13">
      <c r="A2871" s="2">
        <v>6464</v>
      </c>
      <c r="B2871" s="5" t="s">
        <v>12263</v>
      </c>
      <c r="C2871" s="5" t="s">
        <v>12931</v>
      </c>
      <c r="D2871" s="5" t="s">
        <v>12932</v>
      </c>
      <c r="E2871" s="5" t="s">
        <v>10250</v>
      </c>
      <c r="F2871" s="5">
        <v>2020</v>
      </c>
      <c r="G2871" s="17" t="s">
        <v>3359</v>
      </c>
      <c r="H2871" s="5">
        <v>200</v>
      </c>
      <c r="I2871" s="5">
        <v>200</v>
      </c>
      <c r="J2871" s="5"/>
      <c r="K2871" s="5"/>
      <c r="L2871" s="10">
        <v>20201118</v>
      </c>
      <c r="M2871" s="36" t="str">
        <f t="shared" si="44"/>
        <v>19690911</v>
      </c>
    </row>
    <row r="2872" s="1" customFormat="1" spans="1:13">
      <c r="A2872" s="2">
        <v>489</v>
      </c>
      <c r="B2872" s="29" t="s">
        <v>1040</v>
      </c>
      <c r="C2872" s="29" t="s">
        <v>1255</v>
      </c>
      <c r="D2872" s="29" t="s">
        <v>1256</v>
      </c>
      <c r="E2872" s="30">
        <v>2020</v>
      </c>
      <c r="F2872" s="30">
        <v>2020</v>
      </c>
      <c r="G2872" s="29" t="s">
        <v>16</v>
      </c>
      <c r="H2872" s="29">
        <v>200</v>
      </c>
      <c r="I2872" s="29">
        <v>200</v>
      </c>
      <c r="J2872" s="29"/>
      <c r="K2872" s="47"/>
      <c r="L2872" s="14" t="s">
        <v>330</v>
      </c>
      <c r="M2872" s="36" t="str">
        <f t="shared" si="44"/>
        <v>19690912</v>
      </c>
    </row>
    <row r="2873" s="1" customFormat="1" spans="1:13">
      <c r="A2873" s="2">
        <v>4526</v>
      </c>
      <c r="B2873" s="6" t="s">
        <v>9015</v>
      </c>
      <c r="C2873" s="6" t="s">
        <v>9233</v>
      </c>
      <c r="D2873" s="6" t="s">
        <v>9234</v>
      </c>
      <c r="E2873" s="6">
        <v>2020</v>
      </c>
      <c r="F2873" s="6">
        <v>2020</v>
      </c>
      <c r="G2873" s="6" t="s">
        <v>16</v>
      </c>
      <c r="H2873" s="6">
        <v>200</v>
      </c>
      <c r="I2873" s="6">
        <v>200</v>
      </c>
      <c r="J2873" s="6"/>
      <c r="K2873" s="6"/>
      <c r="L2873" s="10">
        <v>20201118</v>
      </c>
      <c r="M2873" s="36" t="str">
        <f t="shared" si="44"/>
        <v>19690914</v>
      </c>
    </row>
    <row r="2874" s="1" customFormat="1" spans="1:13">
      <c r="A2874" s="2">
        <v>27</v>
      </c>
      <c r="B2874" s="2" t="s">
        <v>12</v>
      </c>
      <c r="C2874" s="17" t="s">
        <v>68</v>
      </c>
      <c r="D2874" s="17" t="s">
        <v>69</v>
      </c>
      <c r="E2874" s="3" t="s">
        <v>15</v>
      </c>
      <c r="F2874" s="3" t="s">
        <v>15</v>
      </c>
      <c r="G2874" s="2" t="s">
        <v>16</v>
      </c>
      <c r="H2874" s="17">
        <v>300</v>
      </c>
      <c r="I2874" s="17">
        <v>300</v>
      </c>
      <c r="J2874" s="31"/>
      <c r="K2874" s="17"/>
      <c r="L2874" s="10">
        <v>20201118</v>
      </c>
      <c r="M2874" s="36" t="str">
        <f t="shared" si="44"/>
        <v>19690915</v>
      </c>
    </row>
    <row r="2875" s="1" customFormat="1" spans="1:13">
      <c r="A2875" s="2">
        <v>7281</v>
      </c>
      <c r="B2875" s="5" t="s">
        <v>13908</v>
      </c>
      <c r="C2875" s="5" t="s">
        <v>14201</v>
      </c>
      <c r="D2875" s="5" t="s">
        <v>14202</v>
      </c>
      <c r="E2875" s="5" t="s">
        <v>15</v>
      </c>
      <c r="F2875" s="5" t="s">
        <v>15</v>
      </c>
      <c r="G2875" s="14" t="s">
        <v>16</v>
      </c>
      <c r="H2875" s="17">
        <v>200</v>
      </c>
      <c r="I2875" s="17">
        <v>200</v>
      </c>
      <c r="J2875" s="5"/>
      <c r="K2875" s="10"/>
      <c r="L2875" s="10">
        <v>20201118</v>
      </c>
      <c r="M2875" s="36" t="str">
        <f t="shared" si="44"/>
        <v>19690915</v>
      </c>
    </row>
    <row r="2876" s="1" customFormat="1" spans="1:13">
      <c r="A2876" s="2">
        <v>1049</v>
      </c>
      <c r="B2876" s="5" t="s">
        <v>2469</v>
      </c>
      <c r="C2876" s="9" t="s">
        <v>2688</v>
      </c>
      <c r="D2876" s="9" t="s">
        <v>2689</v>
      </c>
      <c r="E2876" s="5">
        <v>2020</v>
      </c>
      <c r="F2876" s="5">
        <v>2020</v>
      </c>
      <c r="G2876" s="9" t="s">
        <v>2480</v>
      </c>
      <c r="H2876" s="9">
        <v>200</v>
      </c>
      <c r="I2876" s="9">
        <v>200</v>
      </c>
      <c r="J2876" s="5"/>
      <c r="K2876" s="5"/>
      <c r="L2876" s="10">
        <v>20201118</v>
      </c>
      <c r="M2876" s="36" t="str">
        <f t="shared" si="44"/>
        <v>19690917</v>
      </c>
    </row>
    <row r="2877" s="1" customFormat="1" spans="1:13">
      <c r="A2877" s="2">
        <v>6608</v>
      </c>
      <c r="B2877" s="5" t="s">
        <v>13027</v>
      </c>
      <c r="C2877" s="15" t="s">
        <v>13204</v>
      </c>
      <c r="D2877" s="15" t="s">
        <v>13205</v>
      </c>
      <c r="E2877" s="5">
        <v>2020</v>
      </c>
      <c r="F2877" s="5">
        <v>2020</v>
      </c>
      <c r="G2877" s="14" t="s">
        <v>16</v>
      </c>
      <c r="H2877" s="15">
        <v>200</v>
      </c>
      <c r="I2877" s="15">
        <v>200</v>
      </c>
      <c r="J2877" s="5"/>
      <c r="K2877" s="10"/>
      <c r="L2877" s="10">
        <v>20201118</v>
      </c>
      <c r="M2877" s="36" t="str">
        <f t="shared" si="44"/>
        <v>19690917</v>
      </c>
    </row>
    <row r="2878" s="1" customFormat="1" spans="1:13">
      <c r="A2878" s="2">
        <v>130</v>
      </c>
      <c r="B2878" s="3" t="s">
        <v>12</v>
      </c>
      <c r="C2878" s="6" t="s">
        <v>276</v>
      </c>
      <c r="D2878" s="6" t="s">
        <v>277</v>
      </c>
      <c r="E2878" s="3" t="s">
        <v>15</v>
      </c>
      <c r="F2878" s="3" t="s">
        <v>15</v>
      </c>
      <c r="G2878" s="3" t="s">
        <v>189</v>
      </c>
      <c r="H2878" s="3">
        <v>200</v>
      </c>
      <c r="I2878" s="3">
        <v>200</v>
      </c>
      <c r="J2878" s="3"/>
      <c r="K2878" s="3"/>
      <c r="L2878" s="10">
        <v>20201118</v>
      </c>
      <c r="M2878" s="36" t="str">
        <f t="shared" si="44"/>
        <v>19690919</v>
      </c>
    </row>
    <row r="2879" s="1" customFormat="1" spans="1:13">
      <c r="A2879" s="2">
        <v>7543</v>
      </c>
      <c r="B2879" s="5" t="s">
        <v>14402</v>
      </c>
      <c r="C2879" s="5" t="s">
        <v>14695</v>
      </c>
      <c r="D2879" s="5" t="s">
        <v>14696</v>
      </c>
      <c r="E2879" s="5">
        <v>2020</v>
      </c>
      <c r="F2879" s="5">
        <v>2020</v>
      </c>
      <c r="G2879" s="17" t="s">
        <v>16</v>
      </c>
      <c r="H2879" s="5">
        <v>200</v>
      </c>
      <c r="I2879" s="5">
        <v>200</v>
      </c>
      <c r="J2879" s="5"/>
      <c r="K2879" s="10"/>
      <c r="L2879" s="10">
        <v>20201118</v>
      </c>
      <c r="M2879" s="36" t="str">
        <f t="shared" si="44"/>
        <v>19690919</v>
      </c>
    </row>
    <row r="2880" s="1" customFormat="1" spans="1:13">
      <c r="A2880" s="2">
        <v>2241</v>
      </c>
      <c r="B2880" s="9" t="s">
        <v>4837</v>
      </c>
      <c r="C2880" s="9" t="s">
        <v>5028</v>
      </c>
      <c r="D2880" s="9" t="s">
        <v>5029</v>
      </c>
      <c r="E2880" s="6" t="s">
        <v>15</v>
      </c>
      <c r="F2880" s="6">
        <v>2020</v>
      </c>
      <c r="G2880" s="9" t="s">
        <v>2480</v>
      </c>
      <c r="H2880" s="9">
        <v>200</v>
      </c>
      <c r="I2880" s="9">
        <v>200</v>
      </c>
      <c r="J2880" s="6"/>
      <c r="K2880" s="10"/>
      <c r="L2880" s="10">
        <v>20201118</v>
      </c>
      <c r="M2880" s="36" t="str">
        <f t="shared" si="44"/>
        <v>19690920</v>
      </c>
    </row>
    <row r="2881" s="1" customFormat="1" spans="1:13">
      <c r="A2881" s="2">
        <v>3795</v>
      </c>
      <c r="B2881" s="5" t="s">
        <v>7412</v>
      </c>
      <c r="C2881" s="5" t="s">
        <v>7838</v>
      </c>
      <c r="D2881" s="5" t="s">
        <v>7839</v>
      </c>
      <c r="E2881" s="6">
        <v>2020</v>
      </c>
      <c r="F2881" s="6">
        <v>2020</v>
      </c>
      <c r="G2881" s="5" t="s">
        <v>3359</v>
      </c>
      <c r="H2881" s="5">
        <v>200</v>
      </c>
      <c r="I2881" s="5">
        <v>200</v>
      </c>
      <c r="J2881" s="5"/>
      <c r="K2881" s="5"/>
      <c r="L2881" s="10">
        <v>20201118</v>
      </c>
      <c r="M2881" s="36" t="str">
        <f t="shared" si="44"/>
        <v>19690920</v>
      </c>
    </row>
    <row r="2882" s="1" customFormat="1" spans="1:13">
      <c r="A2882" s="2">
        <v>1592</v>
      </c>
      <c r="B2882" s="5" t="s">
        <v>3381</v>
      </c>
      <c r="C2882" s="9" t="s">
        <v>3748</v>
      </c>
      <c r="D2882" s="9" t="s">
        <v>3749</v>
      </c>
      <c r="E2882" s="5">
        <v>2020</v>
      </c>
      <c r="F2882" s="5">
        <v>2020</v>
      </c>
      <c r="G2882" s="14" t="s">
        <v>16</v>
      </c>
      <c r="H2882" s="6">
        <v>200</v>
      </c>
      <c r="I2882" s="6">
        <v>200</v>
      </c>
      <c r="J2882" s="5"/>
      <c r="K2882" s="13"/>
      <c r="L2882" s="10">
        <v>20201118</v>
      </c>
      <c r="M2882" s="36" t="str">
        <f t="shared" ref="M2882:M2945" si="45">MID(D2882,7,8)</f>
        <v>19690921</v>
      </c>
    </row>
    <row r="2883" s="1" customFormat="1" ht="14.25" spans="1:13">
      <c r="A2883" s="2">
        <v>5303</v>
      </c>
      <c r="B2883" s="33" t="s">
        <v>10535</v>
      </c>
      <c r="C2883" s="34" t="s">
        <v>10721</v>
      </c>
      <c r="D2883" s="34" t="s">
        <v>10722</v>
      </c>
      <c r="E2883" s="35">
        <v>2020</v>
      </c>
      <c r="F2883" s="35">
        <v>2020</v>
      </c>
      <c r="G2883" s="35" t="s">
        <v>16</v>
      </c>
      <c r="H2883" s="34">
        <v>200</v>
      </c>
      <c r="I2883" s="34">
        <v>200</v>
      </c>
      <c r="J2883" s="49"/>
      <c r="K2883" s="10"/>
      <c r="L2883" s="10">
        <v>20201118</v>
      </c>
      <c r="M2883" s="36" t="str">
        <f t="shared" si="45"/>
        <v>19690921</v>
      </c>
    </row>
    <row r="2884" s="1" customFormat="1" ht="14.25" spans="1:13">
      <c r="A2884" s="2">
        <v>5304</v>
      </c>
      <c r="B2884" s="33" t="s">
        <v>10535</v>
      </c>
      <c r="C2884" s="34" t="s">
        <v>10723</v>
      </c>
      <c r="D2884" s="34" t="s">
        <v>10724</v>
      </c>
      <c r="E2884" s="35">
        <v>2020</v>
      </c>
      <c r="F2884" s="35">
        <v>2020</v>
      </c>
      <c r="G2884" s="35" t="s">
        <v>16</v>
      </c>
      <c r="H2884" s="34">
        <v>200</v>
      </c>
      <c r="I2884" s="34">
        <v>200</v>
      </c>
      <c r="J2884" s="49"/>
      <c r="K2884" s="10"/>
      <c r="L2884" s="10">
        <v>20201118</v>
      </c>
      <c r="M2884" s="36" t="str">
        <f t="shared" si="45"/>
        <v>19690922</v>
      </c>
    </row>
    <row r="2885" s="1" customFormat="1" spans="1:13">
      <c r="A2885" s="2">
        <v>7292</v>
      </c>
      <c r="B2885" s="5" t="s">
        <v>13908</v>
      </c>
      <c r="C2885" s="5" t="s">
        <v>14222</v>
      </c>
      <c r="D2885" s="5" t="s">
        <v>14223</v>
      </c>
      <c r="E2885" s="5" t="s">
        <v>15</v>
      </c>
      <c r="F2885" s="5" t="s">
        <v>15</v>
      </c>
      <c r="G2885" s="14" t="s">
        <v>16</v>
      </c>
      <c r="H2885" s="17">
        <v>200</v>
      </c>
      <c r="I2885" s="17">
        <v>200</v>
      </c>
      <c r="J2885" s="5"/>
      <c r="K2885" s="10"/>
      <c r="L2885" s="10">
        <v>20201118</v>
      </c>
      <c r="M2885" s="36" t="str">
        <f t="shared" si="45"/>
        <v>19690923</v>
      </c>
    </row>
    <row r="2886" s="1" customFormat="1" spans="1:13">
      <c r="A2886" s="2">
        <v>4454</v>
      </c>
      <c r="B2886" s="6" t="s">
        <v>9015</v>
      </c>
      <c r="C2886" s="6" t="s">
        <v>8134</v>
      </c>
      <c r="D2886" s="6" t="s">
        <v>9095</v>
      </c>
      <c r="E2886" s="6">
        <v>2020</v>
      </c>
      <c r="F2886" s="6">
        <v>2020</v>
      </c>
      <c r="G2886" s="6" t="s">
        <v>16</v>
      </c>
      <c r="H2886" s="6">
        <v>200</v>
      </c>
      <c r="I2886" s="6">
        <v>200</v>
      </c>
      <c r="J2886" s="6"/>
      <c r="K2886" s="6"/>
      <c r="L2886" s="10">
        <v>20201118</v>
      </c>
      <c r="M2886" s="36" t="str">
        <f t="shared" si="45"/>
        <v>19690926</v>
      </c>
    </row>
    <row r="2887" s="1" customFormat="1" spans="1:13">
      <c r="A2887" s="2">
        <v>4933</v>
      </c>
      <c r="B2887" s="6" t="s">
        <v>9954</v>
      </c>
      <c r="C2887" s="60" t="s">
        <v>10007</v>
      </c>
      <c r="D2887" s="60" t="s">
        <v>10008</v>
      </c>
      <c r="E2887" s="5" t="s">
        <v>15</v>
      </c>
      <c r="F2887" s="5" t="s">
        <v>15</v>
      </c>
      <c r="G2887" s="14" t="s">
        <v>16</v>
      </c>
      <c r="H2887" s="6">
        <v>200</v>
      </c>
      <c r="I2887" s="6">
        <v>200</v>
      </c>
      <c r="J2887" s="6" t="s">
        <v>108</v>
      </c>
      <c r="K2887" s="6"/>
      <c r="L2887" s="10">
        <v>20201118</v>
      </c>
      <c r="M2887" s="36" t="str">
        <f t="shared" si="45"/>
        <v>19690926</v>
      </c>
    </row>
    <row r="2888" s="1" customFormat="1" spans="1:13">
      <c r="A2888" s="2">
        <v>1050</v>
      </c>
      <c r="B2888" s="5" t="s">
        <v>2469</v>
      </c>
      <c r="C2888" s="9" t="s">
        <v>2690</v>
      </c>
      <c r="D2888" s="9" t="s">
        <v>2691</v>
      </c>
      <c r="E2888" s="5">
        <v>2020</v>
      </c>
      <c r="F2888" s="5">
        <v>2020</v>
      </c>
      <c r="G2888" s="9" t="s">
        <v>2480</v>
      </c>
      <c r="H2888" s="9">
        <v>200</v>
      </c>
      <c r="I2888" s="9">
        <v>200</v>
      </c>
      <c r="J2888" s="5"/>
      <c r="K2888" s="5"/>
      <c r="L2888" s="10">
        <v>20201118</v>
      </c>
      <c r="M2888" s="36" t="str">
        <f t="shared" si="45"/>
        <v>19690929</v>
      </c>
    </row>
    <row r="2889" s="1" customFormat="1" spans="1:13">
      <c r="A2889" s="2">
        <v>780</v>
      </c>
      <c r="B2889" s="29" t="s">
        <v>1040</v>
      </c>
      <c r="C2889" s="5" t="s">
        <v>1990</v>
      </c>
      <c r="D2889" s="317" t="s">
        <v>1991</v>
      </c>
      <c r="E2889" s="30">
        <v>2020</v>
      </c>
      <c r="F2889" s="30">
        <v>2020</v>
      </c>
      <c r="G2889" s="29" t="s">
        <v>16</v>
      </c>
      <c r="H2889" s="29">
        <v>200</v>
      </c>
      <c r="I2889" s="29">
        <v>200</v>
      </c>
      <c r="J2889" s="32"/>
      <c r="K2889" s="32"/>
      <c r="L2889" s="14" t="s">
        <v>330</v>
      </c>
      <c r="M2889" s="36" t="str">
        <f t="shared" si="45"/>
        <v>19690930</v>
      </c>
    </row>
    <row r="2890" s="1" customFormat="1" spans="1:13">
      <c r="A2890" s="2">
        <v>936</v>
      </c>
      <c r="B2890" s="29" t="s">
        <v>1040</v>
      </c>
      <c r="C2890" s="6" t="s">
        <v>2455</v>
      </c>
      <c r="D2890" s="6" t="s">
        <v>2456</v>
      </c>
      <c r="E2890" s="30" t="s">
        <v>1047</v>
      </c>
      <c r="F2890" s="30">
        <v>2020</v>
      </c>
      <c r="G2890" s="29" t="s">
        <v>289</v>
      </c>
      <c r="H2890" s="29" t="s">
        <v>311</v>
      </c>
      <c r="I2890" s="29">
        <v>400</v>
      </c>
      <c r="J2890" s="32"/>
      <c r="K2890" s="32"/>
      <c r="L2890" s="14" t="s">
        <v>330</v>
      </c>
      <c r="M2890" s="36" t="str">
        <f t="shared" si="45"/>
        <v>19691001</v>
      </c>
    </row>
    <row r="2891" s="1" customFormat="1" ht="14.25" spans="1:13">
      <c r="A2891" s="2">
        <v>5305</v>
      </c>
      <c r="B2891" s="33" t="s">
        <v>10535</v>
      </c>
      <c r="C2891" s="34" t="s">
        <v>10725</v>
      </c>
      <c r="D2891" s="64" t="s">
        <v>10726</v>
      </c>
      <c r="E2891" s="35">
        <v>2020</v>
      </c>
      <c r="F2891" s="35">
        <v>2020</v>
      </c>
      <c r="G2891" s="35" t="s">
        <v>16</v>
      </c>
      <c r="H2891" s="34">
        <v>200</v>
      </c>
      <c r="I2891" s="34">
        <v>200</v>
      </c>
      <c r="J2891" s="49"/>
      <c r="K2891" s="10"/>
      <c r="L2891" s="10">
        <v>20201118</v>
      </c>
      <c r="M2891" s="36" t="str">
        <f t="shared" si="45"/>
        <v>19691001</v>
      </c>
    </row>
    <row r="2892" s="1" customFormat="1" spans="1:13">
      <c r="A2892" s="2">
        <v>453</v>
      </c>
      <c r="B2892" s="29" t="s">
        <v>1040</v>
      </c>
      <c r="C2892" s="29" t="s">
        <v>1182</v>
      </c>
      <c r="D2892" s="29" t="s">
        <v>1183</v>
      </c>
      <c r="E2892" s="30">
        <v>2020</v>
      </c>
      <c r="F2892" s="30">
        <v>2020</v>
      </c>
      <c r="G2892" s="29" t="s">
        <v>16</v>
      </c>
      <c r="H2892" s="29">
        <v>200</v>
      </c>
      <c r="I2892" s="29">
        <v>200</v>
      </c>
      <c r="J2892" s="29"/>
      <c r="K2892" s="47"/>
      <c r="L2892" s="14" t="s">
        <v>330</v>
      </c>
      <c r="M2892" s="36" t="str">
        <f t="shared" si="45"/>
        <v>19691002</v>
      </c>
    </row>
    <row r="2893" s="1" customFormat="1" spans="1:13">
      <c r="A2893" s="2">
        <v>6957</v>
      </c>
      <c r="B2893" s="5" t="s">
        <v>13533</v>
      </c>
      <c r="C2893" s="32" t="s">
        <v>2168</v>
      </c>
      <c r="D2893" s="32" t="str">
        <f>"152326196910027117"</f>
        <v>152326196910027117</v>
      </c>
      <c r="E2893" s="5">
        <v>2020</v>
      </c>
      <c r="F2893" s="5">
        <v>2020</v>
      </c>
      <c r="G2893" s="9" t="s">
        <v>2480</v>
      </c>
      <c r="H2893" s="32">
        <v>1000</v>
      </c>
      <c r="I2893" s="32">
        <v>1000</v>
      </c>
      <c r="J2893" s="62"/>
      <c r="K2893" s="10"/>
      <c r="L2893" s="10">
        <v>20201118</v>
      </c>
      <c r="M2893" s="36" t="str">
        <f t="shared" si="45"/>
        <v>19691002</v>
      </c>
    </row>
    <row r="2894" s="1" customFormat="1" ht="14.25" spans="1:13">
      <c r="A2894" s="2">
        <v>7738</v>
      </c>
      <c r="B2894" s="5" t="s">
        <v>14875</v>
      </c>
      <c r="C2894" s="51" t="s">
        <v>14981</v>
      </c>
      <c r="D2894" s="24" t="str">
        <f>"152326196910027133"</f>
        <v>152326196910027133</v>
      </c>
      <c r="E2894" s="6" t="s">
        <v>15</v>
      </c>
      <c r="F2894" s="6">
        <v>2020</v>
      </c>
      <c r="G2894" s="24" t="s">
        <v>14877</v>
      </c>
      <c r="H2894" s="6">
        <v>200</v>
      </c>
      <c r="I2894" s="6">
        <v>200</v>
      </c>
      <c r="J2894" s="6"/>
      <c r="K2894" s="10"/>
      <c r="L2894" s="10">
        <v>20201118</v>
      </c>
      <c r="M2894" s="36" t="str">
        <f t="shared" si="45"/>
        <v>19691002</v>
      </c>
    </row>
    <row r="2895" s="1" customFormat="1" spans="1:13">
      <c r="A2895" s="2">
        <v>1593</v>
      </c>
      <c r="B2895" s="5" t="s">
        <v>3381</v>
      </c>
      <c r="C2895" s="9" t="s">
        <v>3750</v>
      </c>
      <c r="D2895" s="9" t="s">
        <v>3751</v>
      </c>
      <c r="E2895" s="5">
        <v>2020</v>
      </c>
      <c r="F2895" s="5">
        <v>2020</v>
      </c>
      <c r="G2895" s="14" t="s">
        <v>16</v>
      </c>
      <c r="H2895" s="6">
        <v>200</v>
      </c>
      <c r="I2895" s="6">
        <v>200</v>
      </c>
      <c r="J2895" s="5"/>
      <c r="K2895" s="13"/>
      <c r="L2895" s="10">
        <v>20201118</v>
      </c>
      <c r="M2895" s="36" t="str">
        <f t="shared" si="45"/>
        <v>19691005</v>
      </c>
    </row>
    <row r="2896" s="1" customFormat="1" spans="1:13">
      <c r="A2896" s="2">
        <v>4974</v>
      </c>
      <c r="B2896" s="6" t="s">
        <v>9954</v>
      </c>
      <c r="C2896" s="60" t="s">
        <v>10087</v>
      </c>
      <c r="D2896" s="60" t="s">
        <v>10088</v>
      </c>
      <c r="E2896" s="5" t="s">
        <v>15</v>
      </c>
      <c r="F2896" s="5" t="s">
        <v>15</v>
      </c>
      <c r="G2896" s="14" t="s">
        <v>16</v>
      </c>
      <c r="H2896" s="6">
        <v>200</v>
      </c>
      <c r="I2896" s="6">
        <v>200</v>
      </c>
      <c r="J2896" s="6"/>
      <c r="K2896" s="6"/>
      <c r="L2896" s="10">
        <v>20201118</v>
      </c>
      <c r="M2896" s="36" t="str">
        <f t="shared" si="45"/>
        <v>19691008</v>
      </c>
    </row>
    <row r="2897" s="1" customFormat="1" spans="1:13">
      <c r="A2897" s="2">
        <v>5677</v>
      </c>
      <c r="B2897" s="30" t="s">
        <v>11090</v>
      </c>
      <c r="C2897" s="30" t="s">
        <v>11439</v>
      </c>
      <c r="D2897" s="30" t="s">
        <v>11440</v>
      </c>
      <c r="E2897" s="5" t="s">
        <v>15</v>
      </c>
      <c r="F2897" s="5" t="s">
        <v>10250</v>
      </c>
      <c r="G2897" s="6" t="s">
        <v>16</v>
      </c>
      <c r="H2897" s="32">
        <v>200</v>
      </c>
      <c r="I2897" s="32">
        <v>200</v>
      </c>
      <c r="J2897" s="6"/>
      <c r="K2897" s="48"/>
      <c r="L2897" s="10">
        <v>20201118</v>
      </c>
      <c r="M2897" s="36" t="str">
        <f t="shared" si="45"/>
        <v>19691008</v>
      </c>
    </row>
    <row r="2898" s="1" customFormat="1" spans="1:13">
      <c r="A2898" s="2">
        <v>1906</v>
      </c>
      <c r="B2898" s="5" t="s">
        <v>4189</v>
      </c>
      <c r="C2898" s="16" t="s">
        <v>4373</v>
      </c>
      <c r="D2898" s="16" t="s">
        <v>4374</v>
      </c>
      <c r="E2898" s="5" t="s">
        <v>15</v>
      </c>
      <c r="F2898" s="5" t="s">
        <v>15</v>
      </c>
      <c r="G2898" s="5" t="s">
        <v>3359</v>
      </c>
      <c r="H2898" s="16">
        <v>200</v>
      </c>
      <c r="I2898" s="16">
        <v>200</v>
      </c>
      <c r="J2898" s="5"/>
      <c r="K2898" s="10"/>
      <c r="L2898" s="10">
        <v>20201118</v>
      </c>
      <c r="M2898" s="36" t="str">
        <f t="shared" si="45"/>
        <v>19691009</v>
      </c>
    </row>
    <row r="2899" s="1" customFormat="1" spans="1:13">
      <c r="A2899" s="2">
        <v>148</v>
      </c>
      <c r="B2899" s="14" t="s">
        <v>327</v>
      </c>
      <c r="C2899" s="14" t="s">
        <v>332</v>
      </c>
      <c r="D2899" s="14" t="s">
        <v>333</v>
      </c>
      <c r="E2899" s="5">
        <v>2020</v>
      </c>
      <c r="F2899" s="5">
        <v>2020</v>
      </c>
      <c r="G2899" s="14" t="s">
        <v>16</v>
      </c>
      <c r="H2899" s="14">
        <v>200</v>
      </c>
      <c r="I2899" s="14">
        <v>200</v>
      </c>
      <c r="J2899" s="40"/>
      <c r="K2899" s="10"/>
      <c r="L2899" s="14" t="s">
        <v>330</v>
      </c>
      <c r="M2899" s="36" t="str">
        <f t="shared" si="45"/>
        <v>19691010</v>
      </c>
    </row>
    <row r="2900" s="1" customFormat="1" spans="1:13">
      <c r="A2900" s="2">
        <v>1594</v>
      </c>
      <c r="B2900" s="5" t="s">
        <v>3381</v>
      </c>
      <c r="C2900" s="9" t="s">
        <v>3752</v>
      </c>
      <c r="D2900" s="9" t="s">
        <v>3753</v>
      </c>
      <c r="E2900" s="5">
        <v>2020</v>
      </c>
      <c r="F2900" s="5">
        <v>2020</v>
      </c>
      <c r="G2900" s="14" t="s">
        <v>16</v>
      </c>
      <c r="H2900" s="6">
        <v>200</v>
      </c>
      <c r="I2900" s="6">
        <v>200</v>
      </c>
      <c r="J2900" s="5"/>
      <c r="K2900" s="13"/>
      <c r="L2900" s="10">
        <v>20201118</v>
      </c>
      <c r="M2900" s="36" t="str">
        <f t="shared" si="45"/>
        <v>19691010</v>
      </c>
    </row>
    <row r="2901" s="1" customFormat="1" spans="1:13">
      <c r="A2901" s="2">
        <v>4595</v>
      </c>
      <c r="B2901" s="6" t="s">
        <v>9015</v>
      </c>
      <c r="C2901" s="6" t="s">
        <v>9363</v>
      </c>
      <c r="D2901" s="6" t="s">
        <v>9364</v>
      </c>
      <c r="E2901" s="6">
        <v>2020</v>
      </c>
      <c r="F2901" s="6">
        <v>2020</v>
      </c>
      <c r="G2901" s="6" t="s">
        <v>16</v>
      </c>
      <c r="H2901" s="6">
        <v>200</v>
      </c>
      <c r="I2901" s="6">
        <v>200</v>
      </c>
      <c r="J2901" s="6"/>
      <c r="K2901" s="6"/>
      <c r="L2901" s="10">
        <v>20201118</v>
      </c>
      <c r="M2901" s="36" t="str">
        <f t="shared" si="45"/>
        <v>19691011</v>
      </c>
    </row>
    <row r="2902" s="1" customFormat="1" spans="1:13">
      <c r="A2902" s="2">
        <v>1774</v>
      </c>
      <c r="B2902" s="5" t="s">
        <v>3381</v>
      </c>
      <c r="C2902" s="9" t="s">
        <v>4109</v>
      </c>
      <c r="D2902" s="9" t="s">
        <v>4110</v>
      </c>
      <c r="E2902" s="5">
        <v>2014</v>
      </c>
      <c r="F2902" s="5">
        <v>2020</v>
      </c>
      <c r="G2902" s="14" t="s">
        <v>289</v>
      </c>
      <c r="H2902" s="18">
        <v>200</v>
      </c>
      <c r="I2902" s="6">
        <v>1400</v>
      </c>
      <c r="J2902" s="5"/>
      <c r="K2902" s="13"/>
      <c r="L2902" s="10">
        <v>20201118</v>
      </c>
      <c r="M2902" s="36" t="str">
        <f t="shared" si="45"/>
        <v>19691012</v>
      </c>
    </row>
    <row r="2903" s="1" customFormat="1" spans="1:13">
      <c r="A2903" s="2">
        <v>1595</v>
      </c>
      <c r="B2903" s="5" t="s">
        <v>3381</v>
      </c>
      <c r="C2903" s="9" t="s">
        <v>3754</v>
      </c>
      <c r="D2903" s="9" t="s">
        <v>3755</v>
      </c>
      <c r="E2903" s="5">
        <v>2020</v>
      </c>
      <c r="F2903" s="5">
        <v>2020</v>
      </c>
      <c r="G2903" s="14" t="s">
        <v>16</v>
      </c>
      <c r="H2903" s="6">
        <v>200</v>
      </c>
      <c r="I2903" s="6">
        <v>200</v>
      </c>
      <c r="J2903" s="5"/>
      <c r="K2903" s="13"/>
      <c r="L2903" s="10">
        <v>20201118</v>
      </c>
      <c r="M2903" s="36" t="str">
        <f t="shared" si="45"/>
        <v>19691014</v>
      </c>
    </row>
    <row r="2904" s="1" customFormat="1" spans="1:13">
      <c r="A2904" s="2">
        <v>2242</v>
      </c>
      <c r="B2904" s="9" t="s">
        <v>4837</v>
      </c>
      <c r="C2904" s="9" t="s">
        <v>5030</v>
      </c>
      <c r="D2904" s="9" t="s">
        <v>5031</v>
      </c>
      <c r="E2904" s="6" t="s">
        <v>15</v>
      </c>
      <c r="F2904" s="6">
        <v>2020</v>
      </c>
      <c r="G2904" s="9" t="s">
        <v>2480</v>
      </c>
      <c r="H2904" s="9">
        <v>200</v>
      </c>
      <c r="I2904" s="9">
        <v>200</v>
      </c>
      <c r="J2904" s="6"/>
      <c r="K2904" s="10"/>
      <c r="L2904" s="10">
        <v>20201118</v>
      </c>
      <c r="M2904" s="36" t="str">
        <f t="shared" si="45"/>
        <v>19691014</v>
      </c>
    </row>
    <row r="2905" s="1" customFormat="1" spans="1:13">
      <c r="A2905" s="2">
        <v>3796</v>
      </c>
      <c r="B2905" s="5" t="s">
        <v>7412</v>
      </c>
      <c r="C2905" s="5" t="s">
        <v>7840</v>
      </c>
      <c r="D2905" s="5" t="s">
        <v>7841</v>
      </c>
      <c r="E2905" s="6">
        <v>2020</v>
      </c>
      <c r="F2905" s="6">
        <v>2020</v>
      </c>
      <c r="G2905" s="5" t="s">
        <v>3359</v>
      </c>
      <c r="H2905" s="5">
        <v>200</v>
      </c>
      <c r="I2905" s="5">
        <v>200</v>
      </c>
      <c r="J2905" s="5" t="s">
        <v>7435</v>
      </c>
      <c r="K2905" s="5"/>
      <c r="L2905" s="10">
        <v>20201118</v>
      </c>
      <c r="M2905" s="36" t="str">
        <f t="shared" si="45"/>
        <v>19691015</v>
      </c>
    </row>
    <row r="2906" s="1" customFormat="1" spans="1:13">
      <c r="A2906" s="2">
        <v>7140</v>
      </c>
      <c r="B2906" s="5" t="s">
        <v>13908</v>
      </c>
      <c r="C2906" s="5" t="s">
        <v>13939</v>
      </c>
      <c r="D2906" s="5" t="s">
        <v>13940</v>
      </c>
      <c r="E2906" s="5" t="s">
        <v>15</v>
      </c>
      <c r="F2906" s="5" t="s">
        <v>15</v>
      </c>
      <c r="G2906" s="14" t="s">
        <v>16</v>
      </c>
      <c r="H2906" s="17">
        <v>200</v>
      </c>
      <c r="I2906" s="17">
        <v>200</v>
      </c>
      <c r="J2906" s="5"/>
      <c r="K2906" s="10"/>
      <c r="L2906" s="10">
        <v>20201118</v>
      </c>
      <c r="M2906" s="36" t="str">
        <f t="shared" si="45"/>
        <v>19691015</v>
      </c>
    </row>
    <row r="2907" s="1" customFormat="1" spans="1:13">
      <c r="A2907" s="2">
        <v>2243</v>
      </c>
      <c r="B2907" s="9" t="s">
        <v>4837</v>
      </c>
      <c r="C2907" s="9" t="s">
        <v>5032</v>
      </c>
      <c r="D2907" s="9" t="s">
        <v>5033</v>
      </c>
      <c r="E2907" s="6" t="s">
        <v>15</v>
      </c>
      <c r="F2907" s="6">
        <v>2020</v>
      </c>
      <c r="G2907" s="9" t="s">
        <v>2480</v>
      </c>
      <c r="H2907" s="9">
        <v>200</v>
      </c>
      <c r="I2907" s="9">
        <v>200</v>
      </c>
      <c r="J2907" s="6"/>
      <c r="K2907" s="10"/>
      <c r="L2907" s="10">
        <v>20201118</v>
      </c>
      <c r="M2907" s="36" t="str">
        <f t="shared" si="45"/>
        <v>19691016</v>
      </c>
    </row>
    <row r="2908" s="1" customFormat="1" spans="1:13">
      <c r="A2908" s="2">
        <v>6961</v>
      </c>
      <c r="B2908" s="5" t="s">
        <v>13533</v>
      </c>
      <c r="C2908" s="32" t="s">
        <v>13710</v>
      </c>
      <c r="D2908" s="32" t="str">
        <f>"152326196910167128"</f>
        <v>152326196910167128</v>
      </c>
      <c r="E2908" s="5">
        <v>2020</v>
      </c>
      <c r="F2908" s="5">
        <v>2020</v>
      </c>
      <c r="G2908" s="9" t="s">
        <v>2480</v>
      </c>
      <c r="H2908" s="32">
        <v>200</v>
      </c>
      <c r="I2908" s="32">
        <v>200</v>
      </c>
      <c r="J2908" s="32"/>
      <c r="K2908" s="10"/>
      <c r="L2908" s="10">
        <v>20201118</v>
      </c>
      <c r="M2908" s="36" t="str">
        <f t="shared" si="45"/>
        <v>19691016</v>
      </c>
    </row>
    <row r="2909" s="1" customFormat="1" spans="1:13">
      <c r="A2909" s="2">
        <v>559</v>
      </c>
      <c r="B2909" s="29" t="s">
        <v>1040</v>
      </c>
      <c r="C2909" s="29" t="s">
        <v>1395</v>
      </c>
      <c r="D2909" s="29" t="s">
        <v>1396</v>
      </c>
      <c r="E2909" s="30">
        <v>2020</v>
      </c>
      <c r="F2909" s="30">
        <v>2020</v>
      </c>
      <c r="G2909" s="29" t="s">
        <v>16</v>
      </c>
      <c r="H2909" s="29">
        <v>200</v>
      </c>
      <c r="I2909" s="29">
        <v>200</v>
      </c>
      <c r="J2909" s="29"/>
      <c r="K2909" s="47"/>
      <c r="L2909" s="14" t="s">
        <v>330</v>
      </c>
      <c r="M2909" s="36" t="str">
        <f t="shared" si="45"/>
        <v>19691017</v>
      </c>
    </row>
    <row r="2910" s="1" customFormat="1" spans="1:13">
      <c r="A2910" s="2">
        <v>763</v>
      </c>
      <c r="B2910" s="29" t="s">
        <v>1040</v>
      </c>
      <c r="C2910" s="5" t="s">
        <v>1939</v>
      </c>
      <c r="D2910" s="317" t="s">
        <v>1940</v>
      </c>
      <c r="E2910" s="30">
        <v>2020</v>
      </c>
      <c r="F2910" s="30">
        <v>2020</v>
      </c>
      <c r="G2910" s="29" t="s">
        <v>16</v>
      </c>
      <c r="H2910" s="29">
        <v>200</v>
      </c>
      <c r="I2910" s="29">
        <v>200</v>
      </c>
      <c r="J2910" s="32"/>
      <c r="K2910" s="32"/>
      <c r="L2910" s="2" t="s">
        <v>330</v>
      </c>
      <c r="M2910" s="36" t="str">
        <f t="shared" si="45"/>
        <v>19691017</v>
      </c>
    </row>
    <row r="2911" s="1" customFormat="1" spans="1:13">
      <c r="A2911" s="2">
        <v>1051</v>
      </c>
      <c r="B2911" s="5" t="s">
        <v>2469</v>
      </c>
      <c r="C2911" s="9" t="s">
        <v>2692</v>
      </c>
      <c r="D2911" s="9" t="s">
        <v>2693</v>
      </c>
      <c r="E2911" s="5">
        <v>2020</v>
      </c>
      <c r="F2911" s="5">
        <v>2020</v>
      </c>
      <c r="G2911" s="9" t="s">
        <v>2480</v>
      </c>
      <c r="H2911" s="9">
        <v>200</v>
      </c>
      <c r="I2911" s="9">
        <v>200</v>
      </c>
      <c r="J2911" s="5"/>
      <c r="K2911" s="5"/>
      <c r="L2911" s="10">
        <v>20201118</v>
      </c>
      <c r="M2911" s="36" t="str">
        <f t="shared" si="45"/>
        <v>19691017</v>
      </c>
    </row>
    <row r="2912" s="1" customFormat="1" spans="1:13">
      <c r="A2912" s="2">
        <v>1391</v>
      </c>
      <c r="B2912" s="5" t="s">
        <v>2469</v>
      </c>
      <c r="C2912" s="6" t="s">
        <v>3347</v>
      </c>
      <c r="D2912" s="6" t="str">
        <f>"152326196910176876"</f>
        <v>152326196910176876</v>
      </c>
      <c r="E2912" s="5">
        <v>2020</v>
      </c>
      <c r="F2912" s="5">
        <v>2020</v>
      </c>
      <c r="G2912" s="9" t="s">
        <v>2480</v>
      </c>
      <c r="H2912" s="9">
        <v>200</v>
      </c>
      <c r="I2912" s="9">
        <v>200</v>
      </c>
      <c r="J2912" s="5"/>
      <c r="K2912" s="10"/>
      <c r="L2912" s="10">
        <v>20201118</v>
      </c>
      <c r="M2912" s="36" t="str">
        <f t="shared" si="45"/>
        <v>19691017</v>
      </c>
    </row>
    <row r="2913" s="1" customFormat="1" spans="1:13">
      <c r="A2913" s="2">
        <v>5700</v>
      </c>
      <c r="B2913" s="30" t="s">
        <v>11090</v>
      </c>
      <c r="C2913" s="30" t="s">
        <v>11485</v>
      </c>
      <c r="D2913" s="30" t="s">
        <v>11486</v>
      </c>
      <c r="E2913" s="5" t="s">
        <v>15</v>
      </c>
      <c r="F2913" s="5" t="s">
        <v>10250</v>
      </c>
      <c r="G2913" s="6" t="s">
        <v>16</v>
      </c>
      <c r="H2913" s="32">
        <v>200</v>
      </c>
      <c r="I2913" s="32">
        <v>200</v>
      </c>
      <c r="J2913" s="6"/>
      <c r="K2913" s="48"/>
      <c r="L2913" s="10">
        <v>20201118</v>
      </c>
      <c r="M2913" s="36" t="str">
        <f t="shared" si="45"/>
        <v>19691017</v>
      </c>
    </row>
    <row r="2914" s="1" customFormat="1" spans="1:13">
      <c r="A2914" s="2">
        <v>3139</v>
      </c>
      <c r="B2914" s="3" t="s">
        <v>6671</v>
      </c>
      <c r="C2914" s="9" t="s">
        <v>6798</v>
      </c>
      <c r="D2914" s="9" t="s">
        <v>6799</v>
      </c>
      <c r="E2914" s="3" t="s">
        <v>15</v>
      </c>
      <c r="F2914" s="3" t="s">
        <v>15</v>
      </c>
      <c r="G2914" s="6" t="s">
        <v>3359</v>
      </c>
      <c r="H2914" s="9">
        <v>200</v>
      </c>
      <c r="I2914" s="9">
        <v>200</v>
      </c>
      <c r="J2914" s="6"/>
      <c r="K2914" s="5"/>
      <c r="L2914" s="10">
        <v>20201118</v>
      </c>
      <c r="M2914" s="36" t="str">
        <f t="shared" si="45"/>
        <v>19691018</v>
      </c>
    </row>
    <row r="2915" s="1" customFormat="1" spans="1:13">
      <c r="A2915" s="2">
        <v>6275</v>
      </c>
      <c r="B2915" s="5" t="s">
        <v>12263</v>
      </c>
      <c r="C2915" s="5" t="s">
        <v>12572</v>
      </c>
      <c r="D2915" s="5" t="s">
        <v>12573</v>
      </c>
      <c r="E2915" s="5" t="s">
        <v>10250</v>
      </c>
      <c r="F2915" s="5">
        <v>2020</v>
      </c>
      <c r="G2915" s="17" t="s">
        <v>3359</v>
      </c>
      <c r="H2915" s="5">
        <v>500</v>
      </c>
      <c r="I2915" s="5">
        <v>500</v>
      </c>
      <c r="J2915" s="5"/>
      <c r="K2915" s="5"/>
      <c r="L2915" s="10">
        <v>20201118</v>
      </c>
      <c r="M2915" s="36" t="str">
        <f t="shared" si="45"/>
        <v>19691019</v>
      </c>
    </row>
    <row r="2916" s="1" customFormat="1" spans="1:13">
      <c r="A2916" s="2">
        <v>6947</v>
      </c>
      <c r="B2916" s="5" t="s">
        <v>13533</v>
      </c>
      <c r="C2916" s="32" t="s">
        <v>13696</v>
      </c>
      <c r="D2916" s="32" t="str">
        <f>"152326196910207126"</f>
        <v>152326196910207126</v>
      </c>
      <c r="E2916" s="5">
        <v>2020</v>
      </c>
      <c r="F2916" s="5">
        <v>2020</v>
      </c>
      <c r="G2916" s="9" t="s">
        <v>2480</v>
      </c>
      <c r="H2916" s="32">
        <v>200</v>
      </c>
      <c r="I2916" s="32">
        <v>200</v>
      </c>
      <c r="J2916" s="32"/>
      <c r="K2916" s="10"/>
      <c r="L2916" s="10">
        <v>20201118</v>
      </c>
      <c r="M2916" s="36" t="str">
        <f t="shared" si="45"/>
        <v>19691020</v>
      </c>
    </row>
    <row r="2917" s="1" customFormat="1" spans="1:13">
      <c r="A2917" s="2">
        <v>6959</v>
      </c>
      <c r="B2917" s="5" t="s">
        <v>13533</v>
      </c>
      <c r="C2917" s="32" t="s">
        <v>13708</v>
      </c>
      <c r="D2917" s="32" t="str">
        <f>"152326196910207118"</f>
        <v>152326196910207118</v>
      </c>
      <c r="E2917" s="5">
        <v>2020</v>
      </c>
      <c r="F2917" s="5">
        <v>2020</v>
      </c>
      <c r="G2917" s="9" t="s">
        <v>2480</v>
      </c>
      <c r="H2917" s="32">
        <v>200</v>
      </c>
      <c r="I2917" s="32">
        <v>200</v>
      </c>
      <c r="J2917" s="62"/>
      <c r="K2917" s="10"/>
      <c r="L2917" s="10">
        <v>20201118</v>
      </c>
      <c r="M2917" s="36" t="str">
        <f t="shared" si="45"/>
        <v>19691020</v>
      </c>
    </row>
    <row r="2918" s="1" customFormat="1" spans="1:13">
      <c r="A2918" s="2">
        <v>1908</v>
      </c>
      <c r="B2918" s="5" t="s">
        <v>4189</v>
      </c>
      <c r="C2918" s="16" t="s">
        <v>4377</v>
      </c>
      <c r="D2918" s="16" t="s">
        <v>4378</v>
      </c>
      <c r="E2918" s="5" t="s">
        <v>15</v>
      </c>
      <c r="F2918" s="5" t="s">
        <v>15</v>
      </c>
      <c r="G2918" s="5" t="s">
        <v>3359</v>
      </c>
      <c r="H2918" s="16">
        <v>200</v>
      </c>
      <c r="I2918" s="16">
        <v>200</v>
      </c>
      <c r="J2918" s="5"/>
      <c r="K2918" s="10"/>
      <c r="L2918" s="10">
        <v>20201118</v>
      </c>
      <c r="M2918" s="36" t="str">
        <f t="shared" si="45"/>
        <v>19691021</v>
      </c>
    </row>
    <row r="2919" s="1" customFormat="1" ht="14.25" spans="1:13">
      <c r="A2919" s="2">
        <v>5306</v>
      </c>
      <c r="B2919" s="33" t="s">
        <v>10535</v>
      </c>
      <c r="C2919" s="34" t="s">
        <v>10727</v>
      </c>
      <c r="D2919" s="34" t="s">
        <v>10728</v>
      </c>
      <c r="E2919" s="35">
        <v>2020</v>
      </c>
      <c r="F2919" s="35">
        <v>2020</v>
      </c>
      <c r="G2919" s="35" t="s">
        <v>16</v>
      </c>
      <c r="H2919" s="34">
        <v>200</v>
      </c>
      <c r="I2919" s="34">
        <v>200</v>
      </c>
      <c r="J2919" s="49"/>
      <c r="K2919" s="10"/>
      <c r="L2919" s="10">
        <v>20201118</v>
      </c>
      <c r="M2919" s="36" t="str">
        <f t="shared" si="45"/>
        <v>19691023</v>
      </c>
    </row>
    <row r="2920" s="1" customFormat="1" spans="1:13">
      <c r="A2920" s="2">
        <v>5665</v>
      </c>
      <c r="B2920" s="30" t="s">
        <v>11090</v>
      </c>
      <c r="C2920" s="30" t="s">
        <v>11415</v>
      </c>
      <c r="D2920" s="30" t="s">
        <v>11416</v>
      </c>
      <c r="E2920" s="5" t="s">
        <v>15</v>
      </c>
      <c r="F2920" s="5" t="s">
        <v>10250</v>
      </c>
      <c r="G2920" s="6" t="s">
        <v>16</v>
      </c>
      <c r="H2920" s="32">
        <v>200</v>
      </c>
      <c r="I2920" s="32">
        <v>200</v>
      </c>
      <c r="J2920" s="6" t="s">
        <v>6097</v>
      </c>
      <c r="K2920" s="48"/>
      <c r="L2920" s="10">
        <v>20201118</v>
      </c>
      <c r="M2920" s="36" t="str">
        <f t="shared" si="45"/>
        <v>19691024</v>
      </c>
    </row>
    <row r="2921" s="1" customFormat="1" spans="1:13">
      <c r="A2921" s="2">
        <v>5006</v>
      </c>
      <c r="B2921" s="6" t="s">
        <v>9954</v>
      </c>
      <c r="C2921" s="60" t="s">
        <v>10148</v>
      </c>
      <c r="D2921" s="60" t="s">
        <v>10149</v>
      </c>
      <c r="E2921" s="5" t="s">
        <v>15</v>
      </c>
      <c r="F2921" s="5" t="s">
        <v>15</v>
      </c>
      <c r="G2921" s="14" t="s">
        <v>16</v>
      </c>
      <c r="H2921" s="6">
        <v>200</v>
      </c>
      <c r="I2921" s="6">
        <v>200</v>
      </c>
      <c r="J2921" s="6"/>
      <c r="K2921" s="6"/>
      <c r="L2921" s="10">
        <v>20201118</v>
      </c>
      <c r="M2921" s="36" t="str">
        <f t="shared" si="45"/>
        <v>19691025</v>
      </c>
    </row>
    <row r="2922" s="1" customFormat="1" spans="1:13">
      <c r="A2922" s="2">
        <v>6212</v>
      </c>
      <c r="B2922" s="5" t="s">
        <v>12263</v>
      </c>
      <c r="C2922" s="5" t="s">
        <v>104</v>
      </c>
      <c r="D2922" s="5" t="s">
        <v>12452</v>
      </c>
      <c r="E2922" s="5" t="s">
        <v>10250</v>
      </c>
      <c r="F2922" s="5">
        <v>2020</v>
      </c>
      <c r="G2922" s="17" t="s">
        <v>3359</v>
      </c>
      <c r="H2922" s="5">
        <v>200</v>
      </c>
      <c r="I2922" s="5">
        <v>200</v>
      </c>
      <c r="J2922" s="5"/>
      <c r="K2922" s="5"/>
      <c r="L2922" s="10">
        <v>20201118</v>
      </c>
      <c r="M2922" s="36" t="str">
        <f t="shared" si="45"/>
        <v>19691025</v>
      </c>
    </row>
    <row r="2923" s="1" customFormat="1" spans="1:13">
      <c r="A2923" s="2">
        <v>9</v>
      </c>
      <c r="B2923" s="2" t="s">
        <v>12</v>
      </c>
      <c r="C2923" s="2" t="s">
        <v>31</v>
      </c>
      <c r="D2923" s="2" t="s">
        <v>32</v>
      </c>
      <c r="E2923" s="3" t="s">
        <v>15</v>
      </c>
      <c r="F2923" s="3" t="s">
        <v>15</v>
      </c>
      <c r="G2923" s="2" t="s">
        <v>16</v>
      </c>
      <c r="H2923" s="2">
        <v>200</v>
      </c>
      <c r="I2923" s="2">
        <v>200</v>
      </c>
      <c r="J2923" s="2"/>
      <c r="K2923" s="2"/>
      <c r="L2923" s="10">
        <v>20201118</v>
      </c>
      <c r="M2923" s="36" t="str">
        <f t="shared" si="45"/>
        <v>19691026</v>
      </c>
    </row>
    <row r="2924" s="1" customFormat="1" spans="1:13">
      <c r="A2924" s="2">
        <v>2607</v>
      </c>
      <c r="B2924" s="32" t="s">
        <v>5602</v>
      </c>
      <c r="C2924" s="9" t="s">
        <v>5748</v>
      </c>
      <c r="D2924" s="9" t="s">
        <v>5749</v>
      </c>
      <c r="E2924" s="32">
        <v>2020</v>
      </c>
      <c r="F2924" s="32">
        <v>2020</v>
      </c>
      <c r="G2924" s="32" t="s">
        <v>16</v>
      </c>
      <c r="H2924" s="9">
        <v>200</v>
      </c>
      <c r="I2924" s="9">
        <v>200</v>
      </c>
      <c r="J2924" s="32"/>
      <c r="K2924" s="52"/>
      <c r="L2924" s="10">
        <v>20201118</v>
      </c>
      <c r="M2924" s="36" t="str">
        <f t="shared" si="45"/>
        <v>19691026</v>
      </c>
    </row>
    <row r="2925" s="1" customFormat="1" spans="1:13">
      <c r="A2925" s="2">
        <v>3797</v>
      </c>
      <c r="B2925" s="5" t="s">
        <v>7412</v>
      </c>
      <c r="C2925" s="5" t="s">
        <v>7842</v>
      </c>
      <c r="D2925" s="5" t="s">
        <v>7843</v>
      </c>
      <c r="E2925" s="6">
        <v>2020</v>
      </c>
      <c r="F2925" s="6">
        <v>2020</v>
      </c>
      <c r="G2925" s="5" t="s">
        <v>3359</v>
      </c>
      <c r="H2925" s="5">
        <v>200</v>
      </c>
      <c r="I2925" s="5">
        <v>200</v>
      </c>
      <c r="J2925" s="5" t="s">
        <v>3647</v>
      </c>
      <c r="K2925" s="5"/>
      <c r="L2925" s="10">
        <v>20201118</v>
      </c>
      <c r="M2925" s="36" t="str">
        <f t="shared" si="45"/>
        <v>19691101</v>
      </c>
    </row>
    <row r="2926" s="1" customFormat="1" spans="1:13">
      <c r="A2926" s="2">
        <v>226</v>
      </c>
      <c r="B2926" s="14" t="s">
        <v>327</v>
      </c>
      <c r="C2926" s="14" t="s">
        <v>564</v>
      </c>
      <c r="D2926" s="14" t="s">
        <v>565</v>
      </c>
      <c r="E2926" s="5">
        <v>2020</v>
      </c>
      <c r="F2926" s="5">
        <v>2020</v>
      </c>
      <c r="G2926" s="14" t="s">
        <v>16</v>
      </c>
      <c r="H2926" s="14">
        <v>200</v>
      </c>
      <c r="I2926" s="14">
        <v>200</v>
      </c>
      <c r="J2926" s="14"/>
      <c r="K2926" s="10"/>
      <c r="L2926" s="14" t="s">
        <v>330</v>
      </c>
      <c r="M2926" s="36" t="str">
        <f t="shared" si="45"/>
        <v>19691102</v>
      </c>
    </row>
    <row r="2927" s="1" customFormat="1" spans="1:13">
      <c r="A2927" s="2">
        <v>1052</v>
      </c>
      <c r="B2927" s="5" t="s">
        <v>2469</v>
      </c>
      <c r="C2927" s="9" t="s">
        <v>2694</v>
      </c>
      <c r="D2927" s="9" t="s">
        <v>2695</v>
      </c>
      <c r="E2927" s="5">
        <v>2020</v>
      </c>
      <c r="F2927" s="5">
        <v>2020</v>
      </c>
      <c r="G2927" s="9" t="s">
        <v>2480</v>
      </c>
      <c r="H2927" s="9">
        <v>200</v>
      </c>
      <c r="I2927" s="9">
        <v>200</v>
      </c>
      <c r="J2927" s="5"/>
      <c r="K2927" s="5"/>
      <c r="L2927" s="10">
        <v>20201118</v>
      </c>
      <c r="M2927" s="36" t="str">
        <f t="shared" si="45"/>
        <v>19691104</v>
      </c>
    </row>
    <row r="2928" s="1" customFormat="1" ht="14.25" spans="1:13">
      <c r="A2928" s="2">
        <v>5307</v>
      </c>
      <c r="B2928" s="33" t="s">
        <v>10535</v>
      </c>
      <c r="C2928" s="34" t="s">
        <v>10729</v>
      </c>
      <c r="D2928" s="34" t="s">
        <v>10730</v>
      </c>
      <c r="E2928" s="35">
        <v>2020</v>
      </c>
      <c r="F2928" s="35">
        <v>2020</v>
      </c>
      <c r="G2928" s="35" t="s">
        <v>16</v>
      </c>
      <c r="H2928" s="34">
        <v>200</v>
      </c>
      <c r="I2928" s="34">
        <v>200</v>
      </c>
      <c r="J2928" s="49" t="s">
        <v>10731</v>
      </c>
      <c r="K2928" s="10"/>
      <c r="L2928" s="10">
        <v>20201118</v>
      </c>
      <c r="M2928" s="36" t="str">
        <f t="shared" si="45"/>
        <v>19691107</v>
      </c>
    </row>
    <row r="2929" s="1" customFormat="1" spans="1:13">
      <c r="A2929" s="2">
        <v>6609</v>
      </c>
      <c r="B2929" s="5" t="s">
        <v>13027</v>
      </c>
      <c r="C2929" s="15" t="s">
        <v>9016</v>
      </c>
      <c r="D2929" s="15" t="s">
        <v>13206</v>
      </c>
      <c r="E2929" s="5">
        <v>2020</v>
      </c>
      <c r="F2929" s="5">
        <v>2020</v>
      </c>
      <c r="G2929" s="14" t="s">
        <v>16</v>
      </c>
      <c r="H2929" s="15">
        <v>200</v>
      </c>
      <c r="I2929" s="15">
        <v>200</v>
      </c>
      <c r="J2929" s="5"/>
      <c r="K2929" s="10"/>
      <c r="L2929" s="10">
        <v>20201118</v>
      </c>
      <c r="M2929" s="36" t="str">
        <f t="shared" si="45"/>
        <v>19691107</v>
      </c>
    </row>
    <row r="2930" s="1" customFormat="1" spans="1:13">
      <c r="A2930" s="2">
        <v>4689</v>
      </c>
      <c r="B2930" s="6" t="s">
        <v>9015</v>
      </c>
      <c r="C2930" s="6" t="s">
        <v>9539</v>
      </c>
      <c r="D2930" s="6" t="s">
        <v>9540</v>
      </c>
      <c r="E2930" s="6">
        <v>2020</v>
      </c>
      <c r="F2930" s="6">
        <v>2020</v>
      </c>
      <c r="G2930" s="6" t="s">
        <v>16</v>
      </c>
      <c r="H2930" s="6">
        <v>200</v>
      </c>
      <c r="I2930" s="6">
        <v>200</v>
      </c>
      <c r="J2930" s="6"/>
      <c r="K2930" s="6"/>
      <c r="L2930" s="10">
        <v>20201118</v>
      </c>
      <c r="M2930" s="36" t="str">
        <f t="shared" si="45"/>
        <v>19691108</v>
      </c>
    </row>
    <row r="2931" s="1" customFormat="1" spans="1:13">
      <c r="A2931" s="2">
        <v>4822</v>
      </c>
      <c r="B2931" s="6" t="s">
        <v>9015</v>
      </c>
      <c r="C2931" s="6" t="s">
        <v>9792</v>
      </c>
      <c r="D2931" s="293" t="s">
        <v>9793</v>
      </c>
      <c r="E2931" s="6">
        <v>2020</v>
      </c>
      <c r="F2931" s="6">
        <v>2020</v>
      </c>
      <c r="G2931" s="6" t="s">
        <v>16</v>
      </c>
      <c r="H2931" s="6">
        <v>200</v>
      </c>
      <c r="I2931" s="6">
        <v>200</v>
      </c>
      <c r="J2931" s="6"/>
      <c r="K2931" s="6"/>
      <c r="L2931" s="10">
        <v>20201118</v>
      </c>
      <c r="M2931" s="36" t="str">
        <f t="shared" si="45"/>
        <v>19691109</v>
      </c>
    </row>
    <row r="2932" s="1" customFormat="1" spans="1:13">
      <c r="A2932" s="2">
        <v>3798</v>
      </c>
      <c r="B2932" s="5" t="s">
        <v>7412</v>
      </c>
      <c r="C2932" s="5" t="s">
        <v>7844</v>
      </c>
      <c r="D2932" s="5" t="s">
        <v>7845</v>
      </c>
      <c r="E2932" s="6">
        <v>2020</v>
      </c>
      <c r="F2932" s="6">
        <v>2020</v>
      </c>
      <c r="G2932" s="5" t="s">
        <v>3359</v>
      </c>
      <c r="H2932" s="5">
        <v>200</v>
      </c>
      <c r="I2932" s="5">
        <v>200</v>
      </c>
      <c r="J2932" s="5" t="s">
        <v>1242</v>
      </c>
      <c r="K2932" s="5"/>
      <c r="L2932" s="10">
        <v>20201118</v>
      </c>
      <c r="M2932" s="36" t="str">
        <f t="shared" si="45"/>
        <v>19691111</v>
      </c>
    </row>
    <row r="2933" s="1" customFormat="1" spans="1:13">
      <c r="A2933" s="2">
        <v>6960</v>
      </c>
      <c r="B2933" s="5" t="s">
        <v>13533</v>
      </c>
      <c r="C2933" s="32" t="s">
        <v>13709</v>
      </c>
      <c r="D2933" s="32" t="str">
        <f>"152326196911117114"</f>
        <v>152326196911117114</v>
      </c>
      <c r="E2933" s="5">
        <v>2020</v>
      </c>
      <c r="F2933" s="5">
        <v>2020</v>
      </c>
      <c r="G2933" s="9" t="s">
        <v>2480</v>
      </c>
      <c r="H2933" s="32">
        <v>200</v>
      </c>
      <c r="I2933" s="32">
        <v>200</v>
      </c>
      <c r="J2933" s="62"/>
      <c r="K2933" s="10"/>
      <c r="L2933" s="10">
        <v>20201118</v>
      </c>
      <c r="M2933" s="36" t="str">
        <f t="shared" si="45"/>
        <v>19691111</v>
      </c>
    </row>
    <row r="2934" s="1" customFormat="1" spans="1:13">
      <c r="A2934" s="2">
        <v>6948</v>
      </c>
      <c r="B2934" s="5" t="s">
        <v>13533</v>
      </c>
      <c r="C2934" s="32" t="s">
        <v>13697</v>
      </c>
      <c r="D2934" s="32" t="str">
        <f>"152326196911127179"</f>
        <v>152326196911127179</v>
      </c>
      <c r="E2934" s="5">
        <v>2020</v>
      </c>
      <c r="F2934" s="5">
        <v>2020</v>
      </c>
      <c r="G2934" s="9" t="s">
        <v>2480</v>
      </c>
      <c r="H2934" s="32">
        <v>200</v>
      </c>
      <c r="I2934" s="32">
        <v>200</v>
      </c>
      <c r="J2934" s="32"/>
      <c r="K2934" s="10"/>
      <c r="L2934" s="10">
        <v>20201118</v>
      </c>
      <c r="M2934" s="36" t="str">
        <f t="shared" si="45"/>
        <v>19691112</v>
      </c>
    </row>
    <row r="2935" s="1" customFormat="1" spans="1:13">
      <c r="A2935" s="2">
        <v>6950</v>
      </c>
      <c r="B2935" s="5" t="s">
        <v>13533</v>
      </c>
      <c r="C2935" s="32" t="s">
        <v>13699</v>
      </c>
      <c r="D2935" s="32" t="s">
        <v>13700</v>
      </c>
      <c r="E2935" s="5">
        <v>2020</v>
      </c>
      <c r="F2935" s="5">
        <v>2020</v>
      </c>
      <c r="G2935" s="9" t="s">
        <v>2480</v>
      </c>
      <c r="H2935" s="32">
        <v>200</v>
      </c>
      <c r="I2935" s="32">
        <v>200</v>
      </c>
      <c r="J2935" s="62"/>
      <c r="K2935" s="10"/>
      <c r="L2935" s="10">
        <v>20201118</v>
      </c>
      <c r="M2935" s="36" t="str">
        <f t="shared" si="45"/>
        <v>19691112</v>
      </c>
    </row>
    <row r="2936" s="1" customFormat="1" ht="14.25" spans="1:13">
      <c r="A2936" s="2">
        <v>7739</v>
      </c>
      <c r="B2936" s="5" t="s">
        <v>14875</v>
      </c>
      <c r="C2936" s="51" t="s">
        <v>14982</v>
      </c>
      <c r="D2936" s="24" t="str">
        <f>"152326196911127136"</f>
        <v>152326196911127136</v>
      </c>
      <c r="E2936" s="6" t="s">
        <v>15</v>
      </c>
      <c r="F2936" s="6">
        <v>2020</v>
      </c>
      <c r="G2936" s="24" t="s">
        <v>14877</v>
      </c>
      <c r="H2936" s="6">
        <v>200</v>
      </c>
      <c r="I2936" s="6">
        <v>200</v>
      </c>
      <c r="J2936" s="6"/>
      <c r="K2936" s="10"/>
      <c r="L2936" s="10">
        <v>20201118</v>
      </c>
      <c r="M2936" s="36" t="str">
        <f t="shared" si="45"/>
        <v>19691112</v>
      </c>
    </row>
    <row r="2937" s="1" customFormat="1" spans="1:13">
      <c r="A2937" s="2">
        <v>1053</v>
      </c>
      <c r="B2937" s="5" t="s">
        <v>2469</v>
      </c>
      <c r="C2937" s="9" t="s">
        <v>2696</v>
      </c>
      <c r="D2937" s="9" t="s">
        <v>2697</v>
      </c>
      <c r="E2937" s="5">
        <v>2020</v>
      </c>
      <c r="F2937" s="5">
        <v>2020</v>
      </c>
      <c r="G2937" s="9" t="s">
        <v>2480</v>
      </c>
      <c r="H2937" s="9">
        <v>200</v>
      </c>
      <c r="I2937" s="9">
        <v>200</v>
      </c>
      <c r="J2937" s="5"/>
      <c r="K2937" s="5"/>
      <c r="L2937" s="10">
        <v>20201118</v>
      </c>
      <c r="M2937" s="36" t="str">
        <f t="shared" si="45"/>
        <v>19691113</v>
      </c>
    </row>
    <row r="2938" s="1" customFormat="1" spans="1:13">
      <c r="A2938" s="2">
        <v>4603</v>
      </c>
      <c r="B2938" s="6" t="s">
        <v>9015</v>
      </c>
      <c r="C2938" s="6" t="s">
        <v>9377</v>
      </c>
      <c r="D2938" s="6" t="s">
        <v>9378</v>
      </c>
      <c r="E2938" s="6">
        <v>2020</v>
      </c>
      <c r="F2938" s="6">
        <v>2020</v>
      </c>
      <c r="G2938" s="6" t="s">
        <v>16</v>
      </c>
      <c r="H2938" s="6">
        <v>200</v>
      </c>
      <c r="I2938" s="6">
        <v>200</v>
      </c>
      <c r="J2938" s="6"/>
      <c r="K2938" s="6"/>
      <c r="L2938" s="10">
        <v>20201118</v>
      </c>
      <c r="M2938" s="36" t="str">
        <f t="shared" si="45"/>
        <v>19691113</v>
      </c>
    </row>
    <row r="2939" s="1" customFormat="1" spans="1:13">
      <c r="A2939" s="2">
        <v>6955</v>
      </c>
      <c r="B2939" s="5" t="s">
        <v>13533</v>
      </c>
      <c r="C2939" s="32" t="s">
        <v>13705</v>
      </c>
      <c r="D2939" s="32" t="str">
        <f>"152326196911147110"</f>
        <v>152326196911147110</v>
      </c>
      <c r="E2939" s="5">
        <v>2020</v>
      </c>
      <c r="F2939" s="5">
        <v>2020</v>
      </c>
      <c r="G2939" s="9" t="s">
        <v>2480</v>
      </c>
      <c r="H2939" s="32">
        <v>200</v>
      </c>
      <c r="I2939" s="32">
        <v>200</v>
      </c>
      <c r="J2939" s="62"/>
      <c r="K2939" s="10"/>
      <c r="L2939" s="10">
        <v>20201118</v>
      </c>
      <c r="M2939" s="36" t="str">
        <f t="shared" si="45"/>
        <v>19691114</v>
      </c>
    </row>
    <row r="2940" s="1" customFormat="1" spans="1:13">
      <c r="A2940" s="2">
        <v>3799</v>
      </c>
      <c r="B2940" s="5" t="s">
        <v>7412</v>
      </c>
      <c r="C2940" s="5" t="s">
        <v>7846</v>
      </c>
      <c r="D2940" s="5" t="s">
        <v>7847</v>
      </c>
      <c r="E2940" s="6">
        <v>2020</v>
      </c>
      <c r="F2940" s="6">
        <v>2020</v>
      </c>
      <c r="G2940" s="5" t="s">
        <v>3359</v>
      </c>
      <c r="H2940" s="5">
        <v>200</v>
      </c>
      <c r="I2940" s="5">
        <v>200</v>
      </c>
      <c r="J2940" s="5"/>
      <c r="K2940" s="5"/>
      <c r="L2940" s="10">
        <v>20201118</v>
      </c>
      <c r="M2940" s="36" t="str">
        <f t="shared" si="45"/>
        <v>19691116</v>
      </c>
    </row>
    <row r="2941" s="1" customFormat="1" spans="1:13">
      <c r="A2941" s="2">
        <v>5870</v>
      </c>
      <c r="B2941" s="30" t="s">
        <v>11090</v>
      </c>
      <c r="C2941" s="30" t="s">
        <v>11797</v>
      </c>
      <c r="D2941" s="30" t="s">
        <v>11798</v>
      </c>
      <c r="E2941" s="5" t="s">
        <v>15</v>
      </c>
      <c r="F2941" s="5" t="s">
        <v>10250</v>
      </c>
      <c r="G2941" s="6" t="s">
        <v>16</v>
      </c>
      <c r="H2941" s="32">
        <v>500</v>
      </c>
      <c r="I2941" s="32">
        <v>500</v>
      </c>
      <c r="J2941" s="6"/>
      <c r="K2941" s="48"/>
      <c r="L2941" s="10">
        <v>20201118</v>
      </c>
      <c r="M2941" s="36" t="str">
        <f t="shared" si="45"/>
        <v>19691118</v>
      </c>
    </row>
    <row r="2942" s="1" customFormat="1" spans="1:13">
      <c r="A2942" s="2">
        <v>4915</v>
      </c>
      <c r="B2942" s="6" t="s">
        <v>9954</v>
      </c>
      <c r="C2942" s="60" t="s">
        <v>9971</v>
      </c>
      <c r="D2942" s="60" t="s">
        <v>9972</v>
      </c>
      <c r="E2942" s="5" t="s">
        <v>15</v>
      </c>
      <c r="F2942" s="5" t="s">
        <v>15</v>
      </c>
      <c r="G2942" s="14" t="s">
        <v>16</v>
      </c>
      <c r="H2942" s="6">
        <v>200</v>
      </c>
      <c r="I2942" s="6">
        <v>200</v>
      </c>
      <c r="J2942" s="6"/>
      <c r="K2942" s="6"/>
      <c r="L2942" s="10">
        <v>20201118</v>
      </c>
      <c r="M2942" s="36" t="str">
        <f t="shared" si="45"/>
        <v>19691119</v>
      </c>
    </row>
    <row r="2943" s="1" customFormat="1" spans="1:13">
      <c r="A2943" s="2">
        <v>564</v>
      </c>
      <c r="B2943" s="29" t="s">
        <v>1040</v>
      </c>
      <c r="C2943" s="29" t="s">
        <v>1404</v>
      </c>
      <c r="D2943" s="29" t="s">
        <v>1405</v>
      </c>
      <c r="E2943" s="30">
        <v>2020</v>
      </c>
      <c r="F2943" s="30">
        <v>2020</v>
      </c>
      <c r="G2943" s="29" t="s">
        <v>16</v>
      </c>
      <c r="H2943" s="29">
        <v>200</v>
      </c>
      <c r="I2943" s="29">
        <v>200</v>
      </c>
      <c r="J2943" s="29"/>
      <c r="K2943" s="47"/>
      <c r="L2943" s="2" t="s">
        <v>330</v>
      </c>
      <c r="M2943" s="36" t="str">
        <f t="shared" si="45"/>
        <v>19691120</v>
      </c>
    </row>
    <row r="2944" s="1" customFormat="1" spans="1:13">
      <c r="A2944" s="2">
        <v>1054</v>
      </c>
      <c r="B2944" s="5" t="s">
        <v>2469</v>
      </c>
      <c r="C2944" s="9" t="s">
        <v>2698</v>
      </c>
      <c r="D2944" s="9" t="s">
        <v>2699</v>
      </c>
      <c r="E2944" s="5">
        <v>2020</v>
      </c>
      <c r="F2944" s="5">
        <v>2020</v>
      </c>
      <c r="G2944" s="9" t="s">
        <v>2480</v>
      </c>
      <c r="H2944" s="9">
        <v>200</v>
      </c>
      <c r="I2944" s="9">
        <v>200</v>
      </c>
      <c r="J2944" s="5"/>
      <c r="K2944" s="5"/>
      <c r="L2944" s="10">
        <v>20201118</v>
      </c>
      <c r="M2944" s="36" t="str">
        <f t="shared" si="45"/>
        <v>19691120</v>
      </c>
    </row>
    <row r="2945" s="1" customFormat="1" spans="1:13">
      <c r="A2945" s="2">
        <v>5908</v>
      </c>
      <c r="B2945" s="30" t="s">
        <v>11090</v>
      </c>
      <c r="C2945" s="30" t="s">
        <v>11867</v>
      </c>
      <c r="D2945" s="30" t="s">
        <v>11868</v>
      </c>
      <c r="E2945" s="5" t="s">
        <v>15</v>
      </c>
      <c r="F2945" s="5" t="s">
        <v>10250</v>
      </c>
      <c r="G2945" s="6" t="s">
        <v>16</v>
      </c>
      <c r="H2945" s="32">
        <v>200</v>
      </c>
      <c r="I2945" s="32">
        <v>200</v>
      </c>
      <c r="J2945" s="6" t="s">
        <v>6097</v>
      </c>
      <c r="K2945" s="48"/>
      <c r="L2945" s="10">
        <v>20201118</v>
      </c>
      <c r="M2945" s="36" t="str">
        <f t="shared" si="45"/>
        <v>19691120</v>
      </c>
    </row>
    <row r="2946" s="1" customFormat="1" spans="1:13">
      <c r="A2946" s="2">
        <v>2608</v>
      </c>
      <c r="B2946" s="32" t="s">
        <v>5602</v>
      </c>
      <c r="C2946" s="9" t="s">
        <v>5750</v>
      </c>
      <c r="D2946" s="9" t="s">
        <v>5751</v>
      </c>
      <c r="E2946" s="32">
        <v>2020</v>
      </c>
      <c r="F2946" s="32">
        <v>2020</v>
      </c>
      <c r="G2946" s="32" t="s">
        <v>16</v>
      </c>
      <c r="H2946" s="9">
        <v>200</v>
      </c>
      <c r="I2946" s="9">
        <v>200</v>
      </c>
      <c r="J2946" s="32"/>
      <c r="K2946" s="52"/>
      <c r="L2946" s="10">
        <v>20201118</v>
      </c>
      <c r="M2946" s="36" t="str">
        <f t="shared" ref="M2946:M3009" si="46">MID(D2946,7,8)</f>
        <v>19691121</v>
      </c>
    </row>
    <row r="2947" s="1" customFormat="1" spans="1:13">
      <c r="A2947" s="2">
        <v>227</v>
      </c>
      <c r="B2947" s="14" t="s">
        <v>327</v>
      </c>
      <c r="C2947" s="14" t="s">
        <v>567</v>
      </c>
      <c r="D2947" s="14" t="s">
        <v>568</v>
      </c>
      <c r="E2947" s="5">
        <v>2020</v>
      </c>
      <c r="F2947" s="5">
        <v>2020</v>
      </c>
      <c r="G2947" s="14" t="s">
        <v>16</v>
      </c>
      <c r="H2947" s="14">
        <v>500</v>
      </c>
      <c r="I2947" s="14">
        <v>500</v>
      </c>
      <c r="J2947" s="14"/>
      <c r="K2947" s="10"/>
      <c r="L2947" s="2" t="s">
        <v>330</v>
      </c>
      <c r="M2947" s="36" t="str">
        <f t="shared" si="46"/>
        <v>19691124</v>
      </c>
    </row>
    <row r="2948" s="1" customFormat="1" spans="1:13">
      <c r="A2948" s="2">
        <v>415</v>
      </c>
      <c r="B2948" s="29" t="s">
        <v>1040</v>
      </c>
      <c r="C2948" s="29" t="s">
        <v>1106</v>
      </c>
      <c r="D2948" s="29" t="s">
        <v>1107</v>
      </c>
      <c r="E2948" s="30">
        <v>2020</v>
      </c>
      <c r="F2948" s="30">
        <v>2020</v>
      </c>
      <c r="G2948" s="29" t="s">
        <v>16</v>
      </c>
      <c r="H2948" s="29">
        <v>200</v>
      </c>
      <c r="I2948" s="29">
        <v>200</v>
      </c>
      <c r="J2948" s="29"/>
      <c r="K2948" s="47"/>
      <c r="L2948" s="14" t="s">
        <v>330</v>
      </c>
      <c r="M2948" s="36" t="str">
        <f t="shared" si="46"/>
        <v>19691124</v>
      </c>
    </row>
    <row r="2949" s="1" customFormat="1" spans="1:13">
      <c r="A2949" s="2">
        <v>3123</v>
      </c>
      <c r="B2949" s="3" t="s">
        <v>6671</v>
      </c>
      <c r="C2949" s="9" t="s">
        <v>27</v>
      </c>
      <c r="D2949" s="9" t="s">
        <v>6768</v>
      </c>
      <c r="E2949" s="3" t="s">
        <v>15</v>
      </c>
      <c r="F2949" s="3" t="s">
        <v>15</v>
      </c>
      <c r="G2949" s="6" t="s">
        <v>3359</v>
      </c>
      <c r="H2949" s="9">
        <v>200</v>
      </c>
      <c r="I2949" s="9">
        <v>200</v>
      </c>
      <c r="J2949" s="6"/>
      <c r="K2949" s="5"/>
      <c r="L2949" s="10">
        <v>20201118</v>
      </c>
      <c r="M2949" s="36" t="str">
        <f t="shared" si="46"/>
        <v>19691124</v>
      </c>
    </row>
    <row r="2950" s="1" customFormat="1" spans="1:13">
      <c r="A2950" s="2">
        <v>1055</v>
      </c>
      <c r="B2950" s="5" t="s">
        <v>2469</v>
      </c>
      <c r="C2950" s="9" t="s">
        <v>2700</v>
      </c>
      <c r="D2950" s="9" t="s">
        <v>2701</v>
      </c>
      <c r="E2950" s="5">
        <v>2020</v>
      </c>
      <c r="F2950" s="5">
        <v>2020</v>
      </c>
      <c r="G2950" s="9" t="s">
        <v>2480</v>
      </c>
      <c r="H2950" s="9">
        <v>200</v>
      </c>
      <c r="I2950" s="9">
        <v>200</v>
      </c>
      <c r="J2950" s="5"/>
      <c r="K2950" s="5"/>
      <c r="L2950" s="10">
        <v>20201118</v>
      </c>
      <c r="M2950" s="36" t="str">
        <f t="shared" si="46"/>
        <v>19691125</v>
      </c>
    </row>
    <row r="2951" s="1" customFormat="1" spans="1:13">
      <c r="A2951" s="2">
        <v>2099</v>
      </c>
      <c r="B2951" s="5" t="s">
        <v>4189</v>
      </c>
      <c r="C2951" s="16" t="s">
        <v>4749</v>
      </c>
      <c r="D2951" s="16" t="s">
        <v>4750</v>
      </c>
      <c r="E2951" s="5" t="s">
        <v>15</v>
      </c>
      <c r="F2951" s="5" t="s">
        <v>15</v>
      </c>
      <c r="G2951" s="5" t="s">
        <v>3359</v>
      </c>
      <c r="H2951" s="16">
        <v>200</v>
      </c>
      <c r="I2951" s="16">
        <v>200</v>
      </c>
      <c r="J2951" s="5"/>
      <c r="K2951" s="10"/>
      <c r="L2951" s="10">
        <v>20201118</v>
      </c>
      <c r="M2951" s="36" t="str">
        <f t="shared" si="46"/>
        <v>19691125</v>
      </c>
    </row>
    <row r="2952" s="1" customFormat="1" spans="1:13">
      <c r="A2952" s="2">
        <v>6610</v>
      </c>
      <c r="B2952" s="5" t="s">
        <v>13027</v>
      </c>
      <c r="C2952" s="15" t="s">
        <v>13207</v>
      </c>
      <c r="D2952" s="15" t="s">
        <v>13208</v>
      </c>
      <c r="E2952" s="5">
        <v>2020</v>
      </c>
      <c r="F2952" s="5">
        <v>2020</v>
      </c>
      <c r="G2952" s="14" t="s">
        <v>16</v>
      </c>
      <c r="H2952" s="15">
        <v>200</v>
      </c>
      <c r="I2952" s="15">
        <v>200</v>
      </c>
      <c r="J2952" s="5"/>
      <c r="K2952" s="10"/>
      <c r="L2952" s="10">
        <v>20201118</v>
      </c>
      <c r="M2952" s="36" t="str">
        <f t="shared" si="46"/>
        <v>19691125</v>
      </c>
    </row>
    <row r="2953" s="1" customFormat="1" spans="1:13">
      <c r="A2953" s="2">
        <v>4435</v>
      </c>
      <c r="B2953" s="6" t="s">
        <v>9015</v>
      </c>
      <c r="C2953" s="6" t="s">
        <v>9058</v>
      </c>
      <c r="D2953" s="6" t="s">
        <v>9059</v>
      </c>
      <c r="E2953" s="6">
        <v>2020</v>
      </c>
      <c r="F2953" s="6">
        <v>2020</v>
      </c>
      <c r="G2953" s="6" t="s">
        <v>16</v>
      </c>
      <c r="H2953" s="6">
        <v>200</v>
      </c>
      <c r="I2953" s="6">
        <v>200</v>
      </c>
      <c r="J2953" s="6"/>
      <c r="K2953" s="6"/>
      <c r="L2953" s="10">
        <v>20201118</v>
      </c>
      <c r="M2953" s="36" t="str">
        <f t="shared" si="46"/>
        <v>19691129</v>
      </c>
    </row>
    <row r="2954" s="1" customFormat="1" spans="1:13">
      <c r="A2954" s="2">
        <v>609</v>
      </c>
      <c r="B2954" s="29" t="s">
        <v>1040</v>
      </c>
      <c r="C2954" s="29" t="s">
        <v>1494</v>
      </c>
      <c r="D2954" s="29" t="s">
        <v>1495</v>
      </c>
      <c r="E2954" s="30">
        <v>2020</v>
      </c>
      <c r="F2954" s="30">
        <v>2020</v>
      </c>
      <c r="G2954" s="29" t="s">
        <v>16</v>
      </c>
      <c r="H2954" s="29">
        <v>200</v>
      </c>
      <c r="I2954" s="29">
        <v>200</v>
      </c>
      <c r="J2954" s="29"/>
      <c r="K2954" s="47"/>
      <c r="L2954" s="14" t="s">
        <v>330</v>
      </c>
      <c r="M2954" s="36" t="str">
        <f t="shared" si="46"/>
        <v>19691205</v>
      </c>
    </row>
    <row r="2955" s="1" customFormat="1" spans="1:13">
      <c r="A2955" s="2">
        <v>5110</v>
      </c>
      <c r="B2955" s="6" t="s">
        <v>10242</v>
      </c>
      <c r="C2955" s="9" t="s">
        <v>10349</v>
      </c>
      <c r="D2955" s="9" t="s">
        <v>10350</v>
      </c>
      <c r="E2955" s="5" t="s">
        <v>10250</v>
      </c>
      <c r="F2955" s="5">
        <v>2020</v>
      </c>
      <c r="G2955" s="6" t="s">
        <v>16</v>
      </c>
      <c r="H2955" s="6">
        <v>200</v>
      </c>
      <c r="I2955" s="6">
        <v>200</v>
      </c>
      <c r="J2955" s="6"/>
      <c r="K2955" s="5"/>
      <c r="L2955" s="10">
        <v>20201118</v>
      </c>
      <c r="M2955" s="36" t="str">
        <f t="shared" si="46"/>
        <v>19691206</v>
      </c>
    </row>
    <row r="2956" s="1" customFormat="1" spans="1:13">
      <c r="A2956" s="2">
        <v>424</v>
      </c>
      <c r="B2956" s="29" t="s">
        <v>1040</v>
      </c>
      <c r="C2956" s="29" t="s">
        <v>1124</v>
      </c>
      <c r="D2956" s="29" t="s">
        <v>1125</v>
      </c>
      <c r="E2956" s="30">
        <v>2020</v>
      </c>
      <c r="F2956" s="30">
        <v>2020</v>
      </c>
      <c r="G2956" s="29" t="s">
        <v>16</v>
      </c>
      <c r="H2956" s="29">
        <v>200</v>
      </c>
      <c r="I2956" s="29">
        <v>200</v>
      </c>
      <c r="J2956" s="29"/>
      <c r="K2956" s="47"/>
      <c r="L2956" s="2" t="s">
        <v>330</v>
      </c>
      <c r="M2956" s="36" t="str">
        <f t="shared" si="46"/>
        <v>19691207</v>
      </c>
    </row>
    <row r="2957" s="1" customFormat="1" spans="1:13">
      <c r="A2957" s="2">
        <v>2244</v>
      </c>
      <c r="B2957" s="9" t="s">
        <v>4837</v>
      </c>
      <c r="C2957" s="9" t="s">
        <v>5034</v>
      </c>
      <c r="D2957" s="9" t="s">
        <v>5035</v>
      </c>
      <c r="E2957" s="6" t="s">
        <v>15</v>
      </c>
      <c r="F2957" s="6">
        <v>2020</v>
      </c>
      <c r="G2957" s="9" t="s">
        <v>2480</v>
      </c>
      <c r="H2957" s="9">
        <v>200</v>
      </c>
      <c r="I2957" s="9">
        <v>200</v>
      </c>
      <c r="J2957" s="6"/>
      <c r="K2957" s="10"/>
      <c r="L2957" s="10">
        <v>20201118</v>
      </c>
      <c r="M2957" s="36" t="str">
        <f t="shared" si="46"/>
        <v>19691207</v>
      </c>
    </row>
    <row r="2958" s="1" customFormat="1" spans="1:13">
      <c r="A2958" s="2">
        <v>8139</v>
      </c>
      <c r="B2958" s="5" t="s">
        <v>15406</v>
      </c>
      <c r="C2958" s="6" t="s">
        <v>15471</v>
      </c>
      <c r="D2958" s="6" t="s">
        <v>15472</v>
      </c>
      <c r="E2958" s="5" t="s">
        <v>15</v>
      </c>
      <c r="F2958" s="5">
        <v>2020</v>
      </c>
      <c r="G2958" s="14" t="s">
        <v>16</v>
      </c>
      <c r="H2958" s="6">
        <v>200</v>
      </c>
      <c r="I2958" s="6">
        <v>200</v>
      </c>
      <c r="J2958" s="5"/>
      <c r="K2958" s="10"/>
      <c r="L2958" s="10">
        <v>20201118</v>
      </c>
      <c r="M2958" s="36" t="str">
        <f t="shared" si="46"/>
        <v>19691208</v>
      </c>
    </row>
    <row r="2959" s="1" customFormat="1" ht="14.25" spans="1:13">
      <c r="A2959" s="2">
        <v>5997</v>
      </c>
      <c r="B2959" s="30" t="s">
        <v>11090</v>
      </c>
      <c r="C2959" s="32" t="s">
        <v>12038</v>
      </c>
      <c r="D2959" s="12" t="s">
        <v>12039</v>
      </c>
      <c r="E2959" s="5" t="s">
        <v>15</v>
      </c>
      <c r="F2959" s="5" t="s">
        <v>10250</v>
      </c>
      <c r="G2959" s="6" t="s">
        <v>16</v>
      </c>
      <c r="H2959" s="32">
        <v>200</v>
      </c>
      <c r="I2959" s="32">
        <v>200</v>
      </c>
      <c r="J2959" s="5"/>
      <c r="K2959" s="48"/>
      <c r="L2959" s="10">
        <v>20201118</v>
      </c>
      <c r="M2959" s="36" t="str">
        <f t="shared" si="46"/>
        <v>19691212</v>
      </c>
    </row>
    <row r="2960" s="1" customFormat="1" ht="14.25" spans="1:13">
      <c r="A2960" s="2">
        <v>2783</v>
      </c>
      <c r="B2960" s="6" t="s">
        <v>6075</v>
      </c>
      <c r="C2960" s="25" t="s">
        <v>5916</v>
      </c>
      <c r="D2960" s="26" t="s">
        <v>6096</v>
      </c>
      <c r="E2960" s="5" t="s">
        <v>15</v>
      </c>
      <c r="F2960" s="5">
        <v>2020</v>
      </c>
      <c r="G2960" s="6" t="s">
        <v>16</v>
      </c>
      <c r="H2960" s="6">
        <v>200</v>
      </c>
      <c r="I2960" s="6">
        <v>200</v>
      </c>
      <c r="J2960" s="6" t="s">
        <v>6097</v>
      </c>
      <c r="K2960" s="10"/>
      <c r="L2960" s="10">
        <v>20201118</v>
      </c>
      <c r="M2960" s="36" t="str">
        <f t="shared" si="46"/>
        <v>19691214</v>
      </c>
    </row>
    <row r="2961" s="1" customFormat="1" spans="1:13">
      <c r="A2961" s="2">
        <v>4565</v>
      </c>
      <c r="B2961" s="6" t="s">
        <v>9015</v>
      </c>
      <c r="C2961" s="6" t="s">
        <v>9308</v>
      </c>
      <c r="D2961" s="6" t="s">
        <v>9309</v>
      </c>
      <c r="E2961" s="6">
        <v>2020</v>
      </c>
      <c r="F2961" s="6">
        <v>2020</v>
      </c>
      <c r="G2961" s="6" t="s">
        <v>16</v>
      </c>
      <c r="H2961" s="6">
        <v>200</v>
      </c>
      <c r="I2961" s="6">
        <v>200</v>
      </c>
      <c r="J2961" s="6"/>
      <c r="K2961" s="6"/>
      <c r="L2961" s="10">
        <v>20201118</v>
      </c>
      <c r="M2961" s="36" t="str">
        <f t="shared" si="46"/>
        <v>19691214</v>
      </c>
    </row>
    <row r="2962" s="1" customFormat="1" spans="1:13">
      <c r="A2962" s="2">
        <v>872</v>
      </c>
      <c r="B2962" s="29" t="s">
        <v>1040</v>
      </c>
      <c r="C2962" s="6" t="s">
        <v>2263</v>
      </c>
      <c r="D2962" s="6" t="s">
        <v>2264</v>
      </c>
      <c r="E2962" s="30">
        <v>2020</v>
      </c>
      <c r="F2962" s="30">
        <v>2020</v>
      </c>
      <c r="G2962" s="29" t="s">
        <v>16</v>
      </c>
      <c r="H2962" s="29">
        <v>200</v>
      </c>
      <c r="I2962" s="29">
        <v>200</v>
      </c>
      <c r="J2962" s="32"/>
      <c r="K2962" s="32"/>
      <c r="L2962" s="2" t="s">
        <v>330</v>
      </c>
      <c r="M2962" s="36" t="str">
        <f t="shared" si="46"/>
        <v>19691216</v>
      </c>
    </row>
    <row r="2963" s="1" customFormat="1" spans="1:13">
      <c r="A2963" s="2">
        <v>1910</v>
      </c>
      <c r="B2963" s="5" t="s">
        <v>4189</v>
      </c>
      <c r="C2963" s="16" t="s">
        <v>4380</v>
      </c>
      <c r="D2963" s="16" t="s">
        <v>4381</v>
      </c>
      <c r="E2963" s="5" t="s">
        <v>15</v>
      </c>
      <c r="F2963" s="5" t="s">
        <v>15</v>
      </c>
      <c r="G2963" s="5" t="s">
        <v>3359</v>
      </c>
      <c r="H2963" s="16">
        <v>200</v>
      </c>
      <c r="I2963" s="16">
        <v>200</v>
      </c>
      <c r="J2963" s="5"/>
      <c r="K2963" s="10"/>
      <c r="L2963" s="10">
        <v>20201118</v>
      </c>
      <c r="M2963" s="36" t="str">
        <f t="shared" si="46"/>
        <v>19691216</v>
      </c>
    </row>
    <row r="2964" s="1" customFormat="1" spans="1:13">
      <c r="A2964" s="2">
        <v>3414</v>
      </c>
      <c r="B2964" s="5" t="s">
        <v>3375</v>
      </c>
      <c r="C2964" s="6" t="s">
        <v>7192</v>
      </c>
      <c r="D2964" s="6" t="s">
        <v>7193</v>
      </c>
      <c r="E2964" s="5" t="s">
        <v>15</v>
      </c>
      <c r="F2964" s="5">
        <v>2020</v>
      </c>
      <c r="G2964" s="14" t="s">
        <v>16</v>
      </c>
      <c r="H2964" s="17">
        <v>200</v>
      </c>
      <c r="I2964" s="17">
        <v>200</v>
      </c>
      <c r="J2964" s="6" t="s">
        <v>1242</v>
      </c>
      <c r="K2964" s="10"/>
      <c r="L2964" s="10">
        <v>20201118</v>
      </c>
      <c r="M2964" s="36" t="str">
        <f t="shared" si="46"/>
        <v>19691216</v>
      </c>
    </row>
    <row r="2965" s="1" customFormat="1" spans="1:13">
      <c r="A2965" s="2">
        <v>3422</v>
      </c>
      <c r="B2965" s="5" t="s">
        <v>3375</v>
      </c>
      <c r="C2965" s="6" t="s">
        <v>7200</v>
      </c>
      <c r="D2965" s="6" t="str">
        <f>"152326196912166911"</f>
        <v>152326196912166911</v>
      </c>
      <c r="E2965" s="5" t="s">
        <v>15</v>
      </c>
      <c r="F2965" s="5">
        <v>2020</v>
      </c>
      <c r="G2965" s="14" t="s">
        <v>16</v>
      </c>
      <c r="H2965" s="17">
        <v>200</v>
      </c>
      <c r="I2965" s="17">
        <v>200</v>
      </c>
      <c r="J2965" s="6"/>
      <c r="K2965" s="10"/>
      <c r="L2965" s="10">
        <v>20201118</v>
      </c>
      <c r="M2965" s="36" t="str">
        <f t="shared" si="46"/>
        <v>19691216</v>
      </c>
    </row>
    <row r="2966" s="1" customFormat="1" spans="1:13">
      <c r="A2966" s="2">
        <v>7544</v>
      </c>
      <c r="B2966" s="5" t="s">
        <v>14402</v>
      </c>
      <c r="C2966" s="5" t="s">
        <v>14697</v>
      </c>
      <c r="D2966" s="5" t="s">
        <v>14698</v>
      </c>
      <c r="E2966" s="5">
        <v>2020</v>
      </c>
      <c r="F2966" s="5">
        <v>2020</v>
      </c>
      <c r="G2966" s="17" t="s">
        <v>16</v>
      </c>
      <c r="H2966" s="5">
        <v>200</v>
      </c>
      <c r="I2966" s="5">
        <v>200</v>
      </c>
      <c r="J2966" s="5"/>
      <c r="K2966" s="10"/>
      <c r="L2966" s="10">
        <v>20201118</v>
      </c>
      <c r="M2966" s="36" t="str">
        <f t="shared" si="46"/>
        <v>19691216</v>
      </c>
    </row>
    <row r="2967" s="1" customFormat="1" ht="14.25" spans="1:13">
      <c r="A2967" s="2">
        <v>7809</v>
      </c>
      <c r="B2967" s="5" t="s">
        <v>14875</v>
      </c>
      <c r="C2967" s="6" t="s">
        <v>15061</v>
      </c>
      <c r="D2967" s="6" t="s">
        <v>15062</v>
      </c>
      <c r="E2967" s="6" t="s">
        <v>15</v>
      </c>
      <c r="F2967" s="6">
        <v>2020</v>
      </c>
      <c r="G2967" s="24" t="s">
        <v>14877</v>
      </c>
      <c r="H2967" s="6">
        <v>200</v>
      </c>
      <c r="I2967" s="6">
        <v>200</v>
      </c>
      <c r="J2967" s="6" t="s">
        <v>108</v>
      </c>
      <c r="K2967" s="10"/>
      <c r="L2967" s="10">
        <v>20201118</v>
      </c>
      <c r="M2967" s="36" t="str">
        <f t="shared" si="46"/>
        <v>19691217</v>
      </c>
    </row>
    <row r="2968" s="1" customFormat="1" spans="1:13">
      <c r="A2968" s="2">
        <v>7545</v>
      </c>
      <c r="B2968" s="5" t="s">
        <v>14402</v>
      </c>
      <c r="C2968" s="5" t="s">
        <v>14699</v>
      </c>
      <c r="D2968" s="5" t="s">
        <v>14700</v>
      </c>
      <c r="E2968" s="5">
        <v>2020</v>
      </c>
      <c r="F2968" s="5">
        <v>2020</v>
      </c>
      <c r="G2968" s="17" t="s">
        <v>16</v>
      </c>
      <c r="H2968" s="5">
        <v>200</v>
      </c>
      <c r="I2968" s="5">
        <v>200</v>
      </c>
      <c r="J2968" s="5" t="s">
        <v>749</v>
      </c>
      <c r="K2968" s="10"/>
      <c r="L2968" s="10">
        <v>20201118</v>
      </c>
      <c r="M2968" s="36" t="str">
        <f t="shared" si="46"/>
        <v>19691221</v>
      </c>
    </row>
    <row r="2969" s="1" customFormat="1" spans="1:13">
      <c r="A2969" s="2">
        <v>740</v>
      </c>
      <c r="B2969" s="29" t="s">
        <v>1040</v>
      </c>
      <c r="C2969" s="5" t="s">
        <v>1870</v>
      </c>
      <c r="D2969" s="317" t="s">
        <v>1871</v>
      </c>
      <c r="E2969" s="30">
        <v>2020</v>
      </c>
      <c r="F2969" s="30">
        <v>2020</v>
      </c>
      <c r="G2969" s="29" t="s">
        <v>16</v>
      </c>
      <c r="H2969" s="29">
        <v>200</v>
      </c>
      <c r="I2969" s="29">
        <v>200</v>
      </c>
      <c r="J2969" s="32"/>
      <c r="K2969" s="32"/>
      <c r="L2969" s="14" t="s">
        <v>330</v>
      </c>
      <c r="M2969" s="36" t="str">
        <f t="shared" si="46"/>
        <v>19691222</v>
      </c>
    </row>
    <row r="2970" s="1" customFormat="1" spans="1:13">
      <c r="A2970" s="2">
        <v>1056</v>
      </c>
      <c r="B2970" s="5" t="s">
        <v>2469</v>
      </c>
      <c r="C2970" s="9" t="s">
        <v>2702</v>
      </c>
      <c r="D2970" s="9" t="s">
        <v>2703</v>
      </c>
      <c r="E2970" s="5">
        <v>2020</v>
      </c>
      <c r="F2970" s="5">
        <v>2020</v>
      </c>
      <c r="G2970" s="9" t="s">
        <v>2480</v>
      </c>
      <c r="H2970" s="9">
        <v>200</v>
      </c>
      <c r="I2970" s="9">
        <v>200</v>
      </c>
      <c r="J2970" s="5"/>
      <c r="K2970" s="5"/>
      <c r="L2970" s="10">
        <v>20201118</v>
      </c>
      <c r="M2970" s="36" t="str">
        <f t="shared" si="46"/>
        <v>19691223</v>
      </c>
    </row>
    <row r="2971" s="1" customFormat="1" spans="1:13">
      <c r="A2971" s="2">
        <v>6954</v>
      </c>
      <c r="B2971" s="5" t="s">
        <v>13533</v>
      </c>
      <c r="C2971" s="32" t="s">
        <v>13704</v>
      </c>
      <c r="D2971" s="32" t="str">
        <f>"152326196912237126"</f>
        <v>152326196912237126</v>
      </c>
      <c r="E2971" s="5">
        <v>2020</v>
      </c>
      <c r="F2971" s="5">
        <v>2020</v>
      </c>
      <c r="G2971" s="9" t="s">
        <v>2480</v>
      </c>
      <c r="H2971" s="32">
        <v>200</v>
      </c>
      <c r="I2971" s="32">
        <v>200</v>
      </c>
      <c r="J2971" s="62"/>
      <c r="K2971" s="10"/>
      <c r="L2971" s="10">
        <v>20201118</v>
      </c>
      <c r="M2971" s="36" t="str">
        <f t="shared" si="46"/>
        <v>19691223</v>
      </c>
    </row>
    <row r="2972" s="1" customFormat="1" spans="1:13">
      <c r="A2972" s="2">
        <v>4985</v>
      </c>
      <c r="B2972" s="6" t="s">
        <v>9954</v>
      </c>
      <c r="C2972" s="32" t="s">
        <v>10109</v>
      </c>
      <c r="D2972" s="304" t="s">
        <v>10110</v>
      </c>
      <c r="E2972" s="5" t="s">
        <v>15</v>
      </c>
      <c r="F2972" s="5" t="s">
        <v>15</v>
      </c>
      <c r="G2972" s="14" t="s">
        <v>16</v>
      </c>
      <c r="H2972" s="6">
        <v>200</v>
      </c>
      <c r="I2972" s="6">
        <v>200</v>
      </c>
      <c r="J2972" s="6"/>
      <c r="K2972" s="6"/>
      <c r="L2972" s="10">
        <v>20201118</v>
      </c>
      <c r="M2972" s="36" t="str">
        <f t="shared" si="46"/>
        <v>19691226</v>
      </c>
    </row>
    <row r="2973" s="1" customFormat="1" spans="1:13">
      <c r="A2973" s="2">
        <v>2609</v>
      </c>
      <c r="B2973" s="32" t="s">
        <v>5602</v>
      </c>
      <c r="C2973" s="9" t="s">
        <v>5752</v>
      </c>
      <c r="D2973" s="9" t="s">
        <v>5753</v>
      </c>
      <c r="E2973" s="32">
        <v>2020</v>
      </c>
      <c r="F2973" s="32">
        <v>2020</v>
      </c>
      <c r="G2973" s="32" t="s">
        <v>16</v>
      </c>
      <c r="H2973" s="9">
        <v>200</v>
      </c>
      <c r="I2973" s="9">
        <v>200</v>
      </c>
      <c r="J2973" s="32"/>
      <c r="K2973" s="52"/>
      <c r="L2973" s="10">
        <v>20201118</v>
      </c>
      <c r="M2973" s="36" t="str">
        <f t="shared" si="46"/>
        <v>19691229</v>
      </c>
    </row>
    <row r="2974" s="1" customFormat="1" spans="1:13">
      <c r="A2974" s="2">
        <v>3105</v>
      </c>
      <c r="B2974" s="3" t="s">
        <v>6671</v>
      </c>
      <c r="C2974" s="9" t="s">
        <v>6733</v>
      </c>
      <c r="D2974" s="9" t="s">
        <v>6734</v>
      </c>
      <c r="E2974" s="3" t="s">
        <v>15</v>
      </c>
      <c r="F2974" s="3" t="s">
        <v>15</v>
      </c>
      <c r="G2974" s="6" t="s">
        <v>3359</v>
      </c>
      <c r="H2974" s="9">
        <v>200</v>
      </c>
      <c r="I2974" s="9">
        <v>200</v>
      </c>
      <c r="J2974" s="6"/>
      <c r="K2974" s="5"/>
      <c r="L2974" s="10">
        <v>20201118</v>
      </c>
      <c r="M2974" s="36" t="str">
        <f t="shared" si="46"/>
        <v>19691230</v>
      </c>
    </row>
    <row r="2975" s="1" customFormat="1" spans="1:13">
      <c r="A2975" s="2">
        <v>1596</v>
      </c>
      <c r="B2975" s="5" t="s">
        <v>3381</v>
      </c>
      <c r="C2975" s="9" t="s">
        <v>3756</v>
      </c>
      <c r="D2975" s="9" t="s">
        <v>3757</v>
      </c>
      <c r="E2975" s="5">
        <v>2020</v>
      </c>
      <c r="F2975" s="5">
        <v>2020</v>
      </c>
      <c r="G2975" s="14" t="s">
        <v>16</v>
      </c>
      <c r="H2975" s="6">
        <v>200</v>
      </c>
      <c r="I2975" s="6">
        <v>200</v>
      </c>
      <c r="J2975" s="5"/>
      <c r="K2975" s="13"/>
      <c r="L2975" s="10">
        <v>20201118</v>
      </c>
      <c r="M2975" s="36" t="str">
        <f t="shared" si="46"/>
        <v>19700101</v>
      </c>
    </row>
    <row r="2976" s="1" customFormat="1" spans="1:13">
      <c r="A2976" s="2">
        <v>3800</v>
      </c>
      <c r="B2976" s="5" t="s">
        <v>7412</v>
      </c>
      <c r="C2976" s="5" t="s">
        <v>6104</v>
      </c>
      <c r="D2976" s="5" t="s">
        <v>7848</v>
      </c>
      <c r="E2976" s="6">
        <v>2020</v>
      </c>
      <c r="F2976" s="6">
        <v>2020</v>
      </c>
      <c r="G2976" s="5" t="s">
        <v>3359</v>
      </c>
      <c r="H2976" s="5">
        <v>200</v>
      </c>
      <c r="I2976" s="5">
        <v>200</v>
      </c>
      <c r="J2976" s="5"/>
      <c r="K2976" s="5"/>
      <c r="L2976" s="10">
        <v>20201118</v>
      </c>
      <c r="M2976" s="36" t="str">
        <f t="shared" si="46"/>
        <v>19700101</v>
      </c>
    </row>
    <row r="2977" s="1" customFormat="1" spans="1:13">
      <c r="A2977" s="2">
        <v>1390</v>
      </c>
      <c r="B2977" s="5" t="s">
        <v>2469</v>
      </c>
      <c r="C2977" s="6" t="s">
        <v>3346</v>
      </c>
      <c r="D2977" s="6" t="str">
        <f>"152326197001026875"</f>
        <v>152326197001026875</v>
      </c>
      <c r="E2977" s="5">
        <v>2020</v>
      </c>
      <c r="F2977" s="5">
        <v>2020</v>
      </c>
      <c r="G2977" s="9" t="s">
        <v>2480</v>
      </c>
      <c r="H2977" s="9">
        <v>200</v>
      </c>
      <c r="I2977" s="9">
        <v>200</v>
      </c>
      <c r="J2977" s="5"/>
      <c r="K2977" s="10"/>
      <c r="L2977" s="10">
        <v>20201118</v>
      </c>
      <c r="M2977" s="36" t="str">
        <f t="shared" si="46"/>
        <v>19700102</v>
      </c>
    </row>
    <row r="2978" s="1" customFormat="1" spans="1:13">
      <c r="A2978" s="2">
        <v>2431</v>
      </c>
      <c r="B2978" s="5" t="s">
        <v>5328</v>
      </c>
      <c r="C2978" s="16" t="s">
        <v>5402</v>
      </c>
      <c r="D2978" s="16" t="s">
        <v>5403</v>
      </c>
      <c r="E2978" s="5" t="s">
        <v>15</v>
      </c>
      <c r="F2978" s="5" t="s">
        <v>15</v>
      </c>
      <c r="G2978" s="14" t="s">
        <v>16</v>
      </c>
      <c r="H2978" s="6">
        <v>200</v>
      </c>
      <c r="I2978" s="6">
        <v>200</v>
      </c>
      <c r="J2978" s="5"/>
      <c r="K2978" s="5"/>
      <c r="L2978" s="10">
        <v>20201118</v>
      </c>
      <c r="M2978" s="36" t="str">
        <f t="shared" si="46"/>
        <v>19700102</v>
      </c>
    </row>
    <row r="2979" s="1" customFormat="1" ht="14.25" spans="1:13">
      <c r="A2979" s="2">
        <v>3526</v>
      </c>
      <c r="B2979" s="5" t="s">
        <v>3375</v>
      </c>
      <c r="C2979" s="5" t="s">
        <v>7323</v>
      </c>
      <c r="D2979" s="12" t="s">
        <v>7324</v>
      </c>
      <c r="E2979" s="5" t="s">
        <v>15</v>
      </c>
      <c r="F2979" s="5">
        <v>2020</v>
      </c>
      <c r="G2979" s="14" t="s">
        <v>16</v>
      </c>
      <c r="H2979" s="5">
        <v>200</v>
      </c>
      <c r="I2979" s="5">
        <v>200</v>
      </c>
      <c r="J2979" s="5"/>
      <c r="K2979" s="10"/>
      <c r="L2979" s="10">
        <v>20201118</v>
      </c>
      <c r="M2979" s="36" t="str">
        <f t="shared" si="46"/>
        <v>19700102</v>
      </c>
    </row>
    <row r="2980" s="1" customFormat="1" spans="1:13">
      <c r="A2980" s="2">
        <v>5819</v>
      </c>
      <c r="B2980" s="30" t="s">
        <v>11090</v>
      </c>
      <c r="C2980" s="30" t="s">
        <v>11707</v>
      </c>
      <c r="D2980" s="30" t="s">
        <v>11708</v>
      </c>
      <c r="E2980" s="5" t="s">
        <v>15</v>
      </c>
      <c r="F2980" s="5" t="s">
        <v>10250</v>
      </c>
      <c r="G2980" s="6" t="s">
        <v>16</v>
      </c>
      <c r="H2980" s="32">
        <v>200</v>
      </c>
      <c r="I2980" s="32">
        <v>200</v>
      </c>
      <c r="J2980" s="6"/>
      <c r="K2980" s="48"/>
      <c r="L2980" s="10">
        <v>20201118</v>
      </c>
      <c r="M2980" s="36" t="str">
        <f t="shared" si="46"/>
        <v>19700102</v>
      </c>
    </row>
    <row r="2981" s="1" customFormat="1" spans="1:13">
      <c r="A2981" s="2">
        <v>1597</v>
      </c>
      <c r="B2981" s="5" t="s">
        <v>3381</v>
      </c>
      <c r="C2981" s="9" t="s">
        <v>3758</v>
      </c>
      <c r="D2981" s="9" t="s">
        <v>3759</v>
      </c>
      <c r="E2981" s="5">
        <v>2020</v>
      </c>
      <c r="F2981" s="5">
        <v>2020</v>
      </c>
      <c r="G2981" s="14" t="s">
        <v>16</v>
      </c>
      <c r="H2981" s="6">
        <v>200</v>
      </c>
      <c r="I2981" s="6">
        <v>200</v>
      </c>
      <c r="J2981" s="5"/>
      <c r="K2981" s="13"/>
      <c r="L2981" s="10">
        <v>20201118</v>
      </c>
      <c r="M2981" s="36" t="str">
        <f t="shared" si="46"/>
        <v>19700104</v>
      </c>
    </row>
    <row r="2982" s="1" customFormat="1" spans="1:13">
      <c r="A2982" s="2">
        <v>3412</v>
      </c>
      <c r="B2982" s="5" t="s">
        <v>3375</v>
      </c>
      <c r="C2982" s="6" t="s">
        <v>7190</v>
      </c>
      <c r="D2982" s="6" t="str">
        <f>"152326197001046868"</f>
        <v>152326197001046868</v>
      </c>
      <c r="E2982" s="5" t="s">
        <v>15</v>
      </c>
      <c r="F2982" s="5">
        <v>2020</v>
      </c>
      <c r="G2982" s="14" t="s">
        <v>16</v>
      </c>
      <c r="H2982" s="17">
        <v>200</v>
      </c>
      <c r="I2982" s="17">
        <v>200</v>
      </c>
      <c r="J2982" s="6"/>
      <c r="K2982" s="10"/>
      <c r="L2982" s="10">
        <v>20201118</v>
      </c>
      <c r="M2982" s="36" t="str">
        <f t="shared" si="46"/>
        <v>19700104</v>
      </c>
    </row>
    <row r="2983" s="1" customFormat="1" spans="1:13">
      <c r="A2983" s="2">
        <v>2610</v>
      </c>
      <c r="B2983" s="32" t="s">
        <v>5602</v>
      </c>
      <c r="C2983" s="9" t="s">
        <v>5754</v>
      </c>
      <c r="D2983" s="9" t="s">
        <v>5755</v>
      </c>
      <c r="E2983" s="32">
        <v>2020</v>
      </c>
      <c r="F2983" s="32">
        <v>2020</v>
      </c>
      <c r="G2983" s="32" t="s">
        <v>16</v>
      </c>
      <c r="H2983" s="9">
        <v>200</v>
      </c>
      <c r="I2983" s="9">
        <v>200</v>
      </c>
      <c r="J2983" s="32"/>
      <c r="K2983" s="52"/>
      <c r="L2983" s="10">
        <v>20201118</v>
      </c>
      <c r="M2983" s="36" t="str">
        <f t="shared" si="46"/>
        <v>19700105</v>
      </c>
    </row>
    <row r="2984" s="1" customFormat="1" spans="1:13">
      <c r="A2984" s="2">
        <v>5896</v>
      </c>
      <c r="B2984" s="30" t="s">
        <v>11090</v>
      </c>
      <c r="C2984" s="30" t="s">
        <v>11844</v>
      </c>
      <c r="D2984" s="30" t="s">
        <v>11845</v>
      </c>
      <c r="E2984" s="5" t="s">
        <v>15</v>
      </c>
      <c r="F2984" s="5" t="s">
        <v>10250</v>
      </c>
      <c r="G2984" s="6" t="s">
        <v>16</v>
      </c>
      <c r="H2984" s="32">
        <v>200</v>
      </c>
      <c r="I2984" s="32">
        <v>200</v>
      </c>
      <c r="J2984" s="6"/>
      <c r="K2984" s="48"/>
      <c r="L2984" s="10">
        <v>20201118</v>
      </c>
      <c r="M2984" s="36" t="str">
        <f t="shared" si="46"/>
        <v>19700106</v>
      </c>
    </row>
    <row r="2985" s="1" customFormat="1" spans="1:13">
      <c r="A2985" s="2">
        <v>42</v>
      </c>
      <c r="B2985" s="2" t="s">
        <v>12</v>
      </c>
      <c r="C2985" s="17" t="s">
        <v>98</v>
      </c>
      <c r="D2985" s="17" t="s">
        <v>99</v>
      </c>
      <c r="E2985" s="3" t="s">
        <v>15</v>
      </c>
      <c r="F2985" s="3" t="s">
        <v>15</v>
      </c>
      <c r="G2985" s="2" t="s">
        <v>16</v>
      </c>
      <c r="H2985" s="17">
        <v>200</v>
      </c>
      <c r="I2985" s="17">
        <v>200</v>
      </c>
      <c r="J2985" s="31"/>
      <c r="K2985" s="17"/>
      <c r="L2985" s="10">
        <v>20201118</v>
      </c>
      <c r="M2985" s="36" t="str">
        <f t="shared" si="46"/>
        <v>19700107</v>
      </c>
    </row>
    <row r="2986" s="1" customFormat="1" spans="1:13">
      <c r="A2986" s="2">
        <v>2611</v>
      </c>
      <c r="B2986" s="32" t="s">
        <v>5602</v>
      </c>
      <c r="C2986" s="9" t="s">
        <v>5756</v>
      </c>
      <c r="D2986" s="9" t="s">
        <v>5757</v>
      </c>
      <c r="E2986" s="32">
        <v>2020</v>
      </c>
      <c r="F2986" s="32">
        <v>2020</v>
      </c>
      <c r="G2986" s="32" t="s">
        <v>16</v>
      </c>
      <c r="H2986" s="9">
        <v>200</v>
      </c>
      <c r="I2986" s="9">
        <v>200</v>
      </c>
      <c r="J2986" s="32"/>
      <c r="K2986" s="52"/>
      <c r="L2986" s="10">
        <v>20201118</v>
      </c>
      <c r="M2986" s="36" t="str">
        <f t="shared" si="46"/>
        <v>19700107</v>
      </c>
    </row>
    <row r="2987" s="1" customFormat="1" spans="1:13">
      <c r="A2987" s="2">
        <v>8212</v>
      </c>
      <c r="B2987" s="5" t="s">
        <v>15406</v>
      </c>
      <c r="C2987" s="6" t="s">
        <v>15607</v>
      </c>
      <c r="D2987" s="6" t="s">
        <v>15608</v>
      </c>
      <c r="E2987" s="5" t="s">
        <v>15</v>
      </c>
      <c r="F2987" s="5">
        <v>2020</v>
      </c>
      <c r="G2987" s="14" t="s">
        <v>16</v>
      </c>
      <c r="H2987" s="6">
        <v>200</v>
      </c>
      <c r="I2987" s="6">
        <v>200</v>
      </c>
      <c r="J2987" s="5"/>
      <c r="K2987" s="10"/>
      <c r="L2987" s="10">
        <v>20201118</v>
      </c>
      <c r="M2987" s="36" t="str">
        <f t="shared" si="46"/>
        <v>19700109</v>
      </c>
    </row>
    <row r="2988" s="1" customFormat="1" spans="1:13">
      <c r="A2988" s="2">
        <v>3801</v>
      </c>
      <c r="B2988" s="5" t="s">
        <v>7412</v>
      </c>
      <c r="C2988" s="5" t="s">
        <v>7455</v>
      </c>
      <c r="D2988" s="5" t="s">
        <v>7849</v>
      </c>
      <c r="E2988" s="6">
        <v>2020</v>
      </c>
      <c r="F2988" s="6">
        <v>2020</v>
      </c>
      <c r="G2988" s="5" t="s">
        <v>3359</v>
      </c>
      <c r="H2988" s="5">
        <v>200</v>
      </c>
      <c r="I2988" s="5">
        <v>200</v>
      </c>
      <c r="J2988" s="5"/>
      <c r="K2988" s="5"/>
      <c r="L2988" s="10">
        <v>20201118</v>
      </c>
      <c r="M2988" s="36" t="str">
        <f t="shared" si="46"/>
        <v>19700112</v>
      </c>
    </row>
    <row r="2989" s="1" customFormat="1" spans="1:13">
      <c r="A2989" s="2">
        <v>6940</v>
      </c>
      <c r="B2989" s="5" t="s">
        <v>13533</v>
      </c>
      <c r="C2989" s="32" t="s">
        <v>13690</v>
      </c>
      <c r="D2989" s="32" t="str">
        <f>"152326197001127115"</f>
        <v>152326197001127115</v>
      </c>
      <c r="E2989" s="5">
        <v>2020</v>
      </c>
      <c r="F2989" s="5">
        <v>2020</v>
      </c>
      <c r="G2989" s="9" t="s">
        <v>2480</v>
      </c>
      <c r="H2989" s="32">
        <v>200</v>
      </c>
      <c r="I2989" s="32">
        <v>200</v>
      </c>
      <c r="J2989" s="62"/>
      <c r="K2989" s="10"/>
      <c r="L2989" s="10">
        <v>20201118</v>
      </c>
      <c r="M2989" s="36" t="str">
        <f t="shared" si="46"/>
        <v>19700112</v>
      </c>
    </row>
    <row r="2990" s="1" customFormat="1" spans="1:13">
      <c r="A2990" s="2">
        <v>8088</v>
      </c>
      <c r="B2990" s="5" t="s">
        <v>15086</v>
      </c>
      <c r="C2990" s="6" t="s">
        <v>15370</v>
      </c>
      <c r="D2990" s="293" t="s">
        <v>15371</v>
      </c>
      <c r="E2990" s="5" t="s">
        <v>2472</v>
      </c>
      <c r="F2990" s="5">
        <v>2020</v>
      </c>
      <c r="G2990" s="5" t="s">
        <v>289</v>
      </c>
      <c r="H2990" s="6">
        <v>200</v>
      </c>
      <c r="I2990" s="5">
        <v>1200</v>
      </c>
      <c r="J2990" s="5"/>
      <c r="K2990" s="5"/>
      <c r="L2990" s="10">
        <v>20201118</v>
      </c>
      <c r="M2990" s="36" t="str">
        <f t="shared" si="46"/>
        <v>19700112</v>
      </c>
    </row>
    <row r="2991" s="1" customFormat="1" ht="14.25" spans="1:13">
      <c r="A2991" s="2">
        <v>5308</v>
      </c>
      <c r="B2991" s="33" t="s">
        <v>10535</v>
      </c>
      <c r="C2991" s="34" t="s">
        <v>10732</v>
      </c>
      <c r="D2991" s="34" t="s">
        <v>10733</v>
      </c>
      <c r="E2991" s="35">
        <v>2020</v>
      </c>
      <c r="F2991" s="35">
        <v>2020</v>
      </c>
      <c r="G2991" s="35" t="s">
        <v>16</v>
      </c>
      <c r="H2991" s="34">
        <v>1000</v>
      </c>
      <c r="I2991" s="34">
        <v>1000</v>
      </c>
      <c r="J2991" s="49"/>
      <c r="K2991" s="10"/>
      <c r="L2991" s="10">
        <v>20201118</v>
      </c>
      <c r="M2991" s="36" t="str">
        <f t="shared" si="46"/>
        <v>19700113</v>
      </c>
    </row>
    <row r="2992" s="1" customFormat="1" spans="1:13">
      <c r="A2992" s="2">
        <v>7371</v>
      </c>
      <c r="B2992" s="5" t="s">
        <v>13908</v>
      </c>
      <c r="C2992" s="5" t="s">
        <v>14368</v>
      </c>
      <c r="D2992" s="5" t="s">
        <v>14369</v>
      </c>
      <c r="E2992" s="5" t="s">
        <v>15</v>
      </c>
      <c r="F2992" s="5" t="s">
        <v>15</v>
      </c>
      <c r="G2992" s="14" t="s">
        <v>16</v>
      </c>
      <c r="H2992" s="17">
        <v>200</v>
      </c>
      <c r="I2992" s="17">
        <v>200</v>
      </c>
      <c r="J2992" s="5"/>
      <c r="K2992" s="10"/>
      <c r="L2992" s="10">
        <v>20201118</v>
      </c>
      <c r="M2992" s="36" t="str">
        <f t="shared" si="46"/>
        <v>19700113</v>
      </c>
    </row>
    <row r="2993" s="1" customFormat="1" ht="14.25" spans="1:13">
      <c r="A2993" s="2">
        <v>7724</v>
      </c>
      <c r="B2993" s="5" t="s">
        <v>14875</v>
      </c>
      <c r="C2993" s="51" t="s">
        <v>14967</v>
      </c>
      <c r="D2993" s="24" t="str">
        <f>"152326197001167117"</f>
        <v>152326197001167117</v>
      </c>
      <c r="E2993" s="6" t="s">
        <v>15</v>
      </c>
      <c r="F2993" s="6">
        <v>2020</v>
      </c>
      <c r="G2993" s="24" t="s">
        <v>14877</v>
      </c>
      <c r="H2993" s="6">
        <v>200</v>
      </c>
      <c r="I2993" s="6">
        <v>200</v>
      </c>
      <c r="J2993" s="6"/>
      <c r="K2993" s="10"/>
      <c r="L2993" s="10">
        <v>20201118</v>
      </c>
      <c r="M2993" s="36" t="str">
        <f t="shared" si="46"/>
        <v>19700116</v>
      </c>
    </row>
    <row r="2994" s="1" customFormat="1" spans="1:13">
      <c r="A2994" s="2">
        <v>1776</v>
      </c>
      <c r="B2994" s="5" t="s">
        <v>3381</v>
      </c>
      <c r="C2994" s="9" t="s">
        <v>4113</v>
      </c>
      <c r="D2994" s="9" t="s">
        <v>4114</v>
      </c>
      <c r="E2994" s="5">
        <v>2015</v>
      </c>
      <c r="F2994" s="5">
        <v>2020</v>
      </c>
      <c r="G2994" s="14" t="s">
        <v>289</v>
      </c>
      <c r="H2994" s="18">
        <v>200</v>
      </c>
      <c r="I2994" s="6">
        <v>1200</v>
      </c>
      <c r="J2994" s="5"/>
      <c r="K2994" s="13"/>
      <c r="L2994" s="10">
        <v>20201118</v>
      </c>
      <c r="M2994" s="36" t="str">
        <f t="shared" si="46"/>
        <v>19700117</v>
      </c>
    </row>
    <row r="2995" s="1" customFormat="1" spans="1:13">
      <c r="A2995" s="2">
        <v>5111</v>
      </c>
      <c r="B2995" s="6" t="s">
        <v>10242</v>
      </c>
      <c r="C2995" s="9" t="s">
        <v>10351</v>
      </c>
      <c r="D2995" s="9" t="s">
        <v>10352</v>
      </c>
      <c r="E2995" s="5" t="s">
        <v>10250</v>
      </c>
      <c r="F2995" s="5">
        <v>2020</v>
      </c>
      <c r="G2995" s="6" t="s">
        <v>16</v>
      </c>
      <c r="H2995" s="6">
        <v>200</v>
      </c>
      <c r="I2995" s="6">
        <v>200</v>
      </c>
      <c r="J2995" s="6"/>
      <c r="K2995" s="5"/>
      <c r="L2995" s="10">
        <v>20201118</v>
      </c>
      <c r="M2995" s="36" t="str">
        <f t="shared" si="46"/>
        <v>19700117</v>
      </c>
    </row>
    <row r="2996" s="1" customFormat="1" spans="1:13">
      <c r="A2996" s="2">
        <v>1598</v>
      </c>
      <c r="B2996" s="5" t="s">
        <v>3381</v>
      </c>
      <c r="C2996" s="9" t="s">
        <v>3760</v>
      </c>
      <c r="D2996" s="9" t="s">
        <v>3761</v>
      </c>
      <c r="E2996" s="5">
        <v>2020</v>
      </c>
      <c r="F2996" s="5">
        <v>2020</v>
      </c>
      <c r="G2996" s="14" t="s">
        <v>16</v>
      </c>
      <c r="H2996" s="6">
        <v>200</v>
      </c>
      <c r="I2996" s="6">
        <v>200</v>
      </c>
      <c r="J2996" s="5"/>
      <c r="K2996" s="13"/>
      <c r="L2996" s="10">
        <v>20201118</v>
      </c>
      <c r="M2996" s="36" t="str">
        <f t="shared" si="46"/>
        <v>19700119</v>
      </c>
    </row>
    <row r="2997" s="1" customFormat="1" spans="1:13">
      <c r="A2997" s="2">
        <v>2245</v>
      </c>
      <c r="B2997" s="9" t="s">
        <v>4837</v>
      </c>
      <c r="C2997" s="9" t="s">
        <v>5036</v>
      </c>
      <c r="D2997" s="9" t="s">
        <v>5037</v>
      </c>
      <c r="E2997" s="6" t="s">
        <v>15</v>
      </c>
      <c r="F2997" s="6">
        <v>2020</v>
      </c>
      <c r="G2997" s="9" t="s">
        <v>2480</v>
      </c>
      <c r="H2997" s="9">
        <v>200</v>
      </c>
      <c r="I2997" s="9">
        <v>200</v>
      </c>
      <c r="J2997" s="6"/>
      <c r="K2997" s="10"/>
      <c r="L2997" s="10">
        <v>20201118</v>
      </c>
      <c r="M2997" s="36" t="str">
        <f t="shared" si="46"/>
        <v>19700121</v>
      </c>
    </row>
    <row r="2998" s="1" customFormat="1" ht="14.25" spans="1:13">
      <c r="A2998" s="2">
        <v>7722</v>
      </c>
      <c r="B2998" s="5" t="s">
        <v>14875</v>
      </c>
      <c r="C2998" s="51" t="s">
        <v>14965</v>
      </c>
      <c r="D2998" s="24" t="str">
        <f>"152326197001257147"</f>
        <v>152326197001257147</v>
      </c>
      <c r="E2998" s="6" t="s">
        <v>15</v>
      </c>
      <c r="F2998" s="6">
        <v>2020</v>
      </c>
      <c r="G2998" s="24" t="s">
        <v>14877</v>
      </c>
      <c r="H2998" s="6">
        <v>200</v>
      </c>
      <c r="I2998" s="6">
        <v>200</v>
      </c>
      <c r="J2998" s="6"/>
      <c r="K2998" s="10"/>
      <c r="L2998" s="10">
        <v>20201118</v>
      </c>
      <c r="M2998" s="36" t="str">
        <f t="shared" si="46"/>
        <v>19700125</v>
      </c>
    </row>
    <row r="2999" s="1" customFormat="1" spans="1:13">
      <c r="A2999" s="2">
        <v>1057</v>
      </c>
      <c r="B2999" s="5" t="s">
        <v>2469</v>
      </c>
      <c r="C2999" s="9" t="s">
        <v>2704</v>
      </c>
      <c r="D2999" s="9" t="s">
        <v>2705</v>
      </c>
      <c r="E2999" s="5">
        <v>2020</v>
      </c>
      <c r="F2999" s="5">
        <v>2020</v>
      </c>
      <c r="G2999" s="9" t="s">
        <v>2480</v>
      </c>
      <c r="H2999" s="9">
        <v>200</v>
      </c>
      <c r="I2999" s="9">
        <v>200</v>
      </c>
      <c r="J2999" s="5"/>
      <c r="K2999" s="5"/>
      <c r="L2999" s="10">
        <v>20201118</v>
      </c>
      <c r="M2999" s="36" t="str">
        <f t="shared" si="46"/>
        <v>19700127</v>
      </c>
    </row>
    <row r="3000" s="1" customFormat="1" spans="1:13">
      <c r="A3000" s="2">
        <v>2432</v>
      </c>
      <c r="B3000" s="5" t="s">
        <v>5328</v>
      </c>
      <c r="C3000" s="16" t="s">
        <v>5353</v>
      </c>
      <c r="D3000" s="16" t="s">
        <v>5404</v>
      </c>
      <c r="E3000" s="5" t="s">
        <v>15</v>
      </c>
      <c r="F3000" s="5" t="s">
        <v>15</v>
      </c>
      <c r="G3000" s="14" t="s">
        <v>16</v>
      </c>
      <c r="H3000" s="6">
        <v>200</v>
      </c>
      <c r="I3000" s="6">
        <v>200</v>
      </c>
      <c r="J3000" s="5"/>
      <c r="K3000" s="5"/>
      <c r="L3000" s="10">
        <v>20201118</v>
      </c>
      <c r="M3000" s="36" t="str">
        <f t="shared" si="46"/>
        <v>19700128</v>
      </c>
    </row>
    <row r="3001" s="1" customFormat="1" spans="1:13">
      <c r="A3001" s="2">
        <v>4420</v>
      </c>
      <c r="B3001" s="6" t="s">
        <v>9015</v>
      </c>
      <c r="C3001" s="6" t="s">
        <v>9029</v>
      </c>
      <c r="D3001" s="6" t="s">
        <v>9030</v>
      </c>
      <c r="E3001" s="6">
        <v>2020</v>
      </c>
      <c r="F3001" s="6">
        <v>2020</v>
      </c>
      <c r="G3001" s="6" t="s">
        <v>16</v>
      </c>
      <c r="H3001" s="6">
        <v>200</v>
      </c>
      <c r="I3001" s="6">
        <v>200</v>
      </c>
      <c r="J3001" s="6"/>
      <c r="K3001" s="6"/>
      <c r="L3001" s="10">
        <v>20201118</v>
      </c>
      <c r="M3001" s="36" t="str">
        <f t="shared" si="46"/>
        <v>19700129</v>
      </c>
    </row>
    <row r="3002" s="1" customFormat="1" spans="1:13">
      <c r="A3002" s="2">
        <v>1599</v>
      </c>
      <c r="B3002" s="5" t="s">
        <v>3381</v>
      </c>
      <c r="C3002" s="9" t="s">
        <v>3762</v>
      </c>
      <c r="D3002" s="9" t="s">
        <v>3763</v>
      </c>
      <c r="E3002" s="5">
        <v>2020</v>
      </c>
      <c r="F3002" s="5">
        <v>2020</v>
      </c>
      <c r="G3002" s="14" t="s">
        <v>16</v>
      </c>
      <c r="H3002" s="6">
        <v>200</v>
      </c>
      <c r="I3002" s="6">
        <v>200</v>
      </c>
      <c r="J3002" s="5"/>
      <c r="K3002" s="13"/>
      <c r="L3002" s="10">
        <v>20201118</v>
      </c>
      <c r="M3002" s="36" t="str">
        <f t="shared" si="46"/>
        <v>19700130</v>
      </c>
    </row>
    <row r="3003" s="1" customFormat="1" spans="1:13">
      <c r="A3003" s="2">
        <v>104</v>
      </c>
      <c r="B3003" s="3" t="s">
        <v>12</v>
      </c>
      <c r="C3003" s="6" t="s">
        <v>224</v>
      </c>
      <c r="D3003" s="6" t="s">
        <v>225</v>
      </c>
      <c r="E3003" s="3" t="s">
        <v>15</v>
      </c>
      <c r="F3003" s="3" t="s">
        <v>15</v>
      </c>
      <c r="G3003" s="3" t="s">
        <v>189</v>
      </c>
      <c r="H3003" s="3">
        <v>200</v>
      </c>
      <c r="I3003" s="3">
        <v>200</v>
      </c>
      <c r="J3003" s="3"/>
      <c r="K3003" s="3"/>
      <c r="L3003" s="10">
        <v>20201118</v>
      </c>
      <c r="M3003" s="36" t="str">
        <f t="shared" si="46"/>
        <v>19700201</v>
      </c>
    </row>
    <row r="3004" s="1" customFormat="1" spans="1:13">
      <c r="A3004" s="2">
        <v>5940</v>
      </c>
      <c r="B3004" s="30" t="s">
        <v>11090</v>
      </c>
      <c r="C3004" s="6" t="s">
        <v>11928</v>
      </c>
      <c r="D3004" s="306" t="s">
        <v>11929</v>
      </c>
      <c r="E3004" s="5" t="s">
        <v>15</v>
      </c>
      <c r="F3004" s="5" t="s">
        <v>10250</v>
      </c>
      <c r="G3004" s="6" t="s">
        <v>16</v>
      </c>
      <c r="H3004" s="32">
        <v>200</v>
      </c>
      <c r="I3004" s="32">
        <v>200</v>
      </c>
      <c r="J3004" s="6"/>
      <c r="K3004" s="48"/>
      <c r="L3004" s="10">
        <v>20201118</v>
      </c>
      <c r="M3004" s="36" t="str">
        <f t="shared" si="46"/>
        <v>19700201</v>
      </c>
    </row>
    <row r="3005" s="1" customFormat="1" spans="1:13">
      <c r="A3005" s="2">
        <v>7537</v>
      </c>
      <c r="B3005" s="5" t="s">
        <v>14402</v>
      </c>
      <c r="C3005" s="5" t="s">
        <v>14683</v>
      </c>
      <c r="D3005" s="5" t="s">
        <v>14684</v>
      </c>
      <c r="E3005" s="5">
        <v>2020</v>
      </c>
      <c r="F3005" s="5">
        <v>2020</v>
      </c>
      <c r="G3005" s="17" t="s">
        <v>16</v>
      </c>
      <c r="H3005" s="5">
        <v>200</v>
      </c>
      <c r="I3005" s="5">
        <v>200</v>
      </c>
      <c r="J3005" s="5"/>
      <c r="K3005" s="10"/>
      <c r="L3005" s="10">
        <v>20201118</v>
      </c>
      <c r="M3005" s="36" t="str">
        <f t="shared" si="46"/>
        <v>19700201</v>
      </c>
    </row>
    <row r="3006" s="1" customFormat="1" spans="1:13">
      <c r="A3006" s="2">
        <v>5581</v>
      </c>
      <c r="B3006" s="30" t="s">
        <v>11090</v>
      </c>
      <c r="C3006" s="30" t="s">
        <v>1440</v>
      </c>
      <c r="D3006" s="30" t="s">
        <v>11256</v>
      </c>
      <c r="E3006" s="5" t="s">
        <v>15</v>
      </c>
      <c r="F3006" s="5" t="s">
        <v>10250</v>
      </c>
      <c r="G3006" s="6" t="s">
        <v>16</v>
      </c>
      <c r="H3006" s="32">
        <v>200</v>
      </c>
      <c r="I3006" s="32">
        <v>200</v>
      </c>
      <c r="J3006" s="6"/>
      <c r="K3006" s="48"/>
      <c r="L3006" s="10">
        <v>20201118</v>
      </c>
      <c r="M3006" s="36" t="str">
        <f t="shared" si="46"/>
        <v>19700202</v>
      </c>
    </row>
    <row r="3007" s="1" customFormat="1" spans="1:13">
      <c r="A3007" s="2">
        <v>4488</v>
      </c>
      <c r="B3007" s="6" t="s">
        <v>9015</v>
      </c>
      <c r="C3007" s="6" t="s">
        <v>9159</v>
      </c>
      <c r="D3007" s="6" t="s">
        <v>9160</v>
      </c>
      <c r="E3007" s="6">
        <v>2020</v>
      </c>
      <c r="F3007" s="6">
        <v>2020</v>
      </c>
      <c r="G3007" s="6" t="s">
        <v>16</v>
      </c>
      <c r="H3007" s="6">
        <v>200</v>
      </c>
      <c r="I3007" s="6">
        <v>200</v>
      </c>
      <c r="J3007" s="6"/>
      <c r="K3007" s="6"/>
      <c r="L3007" s="10">
        <v>20201118</v>
      </c>
      <c r="M3007" s="36" t="str">
        <f t="shared" si="46"/>
        <v>19700204</v>
      </c>
    </row>
    <row r="3008" s="1" customFormat="1" ht="14.25" spans="1:13">
      <c r="A3008" s="2">
        <v>2986</v>
      </c>
      <c r="B3008" s="6" t="s">
        <v>6075</v>
      </c>
      <c r="C3008" s="25" t="s">
        <v>6497</v>
      </c>
      <c r="D3008" s="26" t="s">
        <v>6498</v>
      </c>
      <c r="E3008" s="5" t="s">
        <v>15</v>
      </c>
      <c r="F3008" s="5">
        <v>2020</v>
      </c>
      <c r="G3008" s="6" t="s">
        <v>16</v>
      </c>
      <c r="H3008" s="6">
        <v>200</v>
      </c>
      <c r="I3008" s="6">
        <v>200</v>
      </c>
      <c r="J3008" s="6"/>
      <c r="K3008" s="10"/>
      <c r="L3008" s="10">
        <v>20201118</v>
      </c>
      <c r="M3008" s="36" t="str">
        <f t="shared" si="46"/>
        <v>19700206</v>
      </c>
    </row>
    <row r="3009" s="1" customFormat="1" spans="1:13">
      <c r="A3009" s="2">
        <v>1058</v>
      </c>
      <c r="B3009" s="5" t="s">
        <v>2469</v>
      </c>
      <c r="C3009" s="9" t="s">
        <v>2706</v>
      </c>
      <c r="D3009" s="9" t="s">
        <v>2707</v>
      </c>
      <c r="E3009" s="5">
        <v>2020</v>
      </c>
      <c r="F3009" s="5">
        <v>2020</v>
      </c>
      <c r="G3009" s="9" t="s">
        <v>2480</v>
      </c>
      <c r="H3009" s="9">
        <v>200</v>
      </c>
      <c r="I3009" s="9">
        <v>200</v>
      </c>
      <c r="J3009" s="5"/>
      <c r="K3009" s="5"/>
      <c r="L3009" s="10">
        <v>20201118</v>
      </c>
      <c r="M3009" s="36" t="str">
        <f t="shared" si="46"/>
        <v>19700210</v>
      </c>
    </row>
    <row r="3010" s="1" customFormat="1" spans="1:13">
      <c r="A3010" s="2">
        <v>1059</v>
      </c>
      <c r="B3010" s="5" t="s">
        <v>2469</v>
      </c>
      <c r="C3010" s="9" t="s">
        <v>2708</v>
      </c>
      <c r="D3010" s="9" t="s">
        <v>2709</v>
      </c>
      <c r="E3010" s="5">
        <v>2020</v>
      </c>
      <c r="F3010" s="5">
        <v>2020</v>
      </c>
      <c r="G3010" s="9" t="s">
        <v>2480</v>
      </c>
      <c r="H3010" s="9">
        <v>200</v>
      </c>
      <c r="I3010" s="9">
        <v>200</v>
      </c>
      <c r="J3010" s="5"/>
      <c r="K3010" s="5"/>
      <c r="L3010" s="10">
        <v>20201118</v>
      </c>
      <c r="M3010" s="36" t="str">
        <f t="shared" ref="M3010:M3073" si="47">MID(D3010,7,8)</f>
        <v>19700211</v>
      </c>
    </row>
    <row r="3011" s="1" customFormat="1" spans="1:13">
      <c r="A3011" s="2">
        <v>7121</v>
      </c>
      <c r="B3011" s="5" t="s">
        <v>13533</v>
      </c>
      <c r="C3011" s="32" t="s">
        <v>10353</v>
      </c>
      <c r="D3011" s="32" t="s">
        <v>13902</v>
      </c>
      <c r="E3011" s="5">
        <v>2015</v>
      </c>
      <c r="F3011" s="5">
        <v>2020</v>
      </c>
      <c r="G3011" s="9" t="s">
        <v>289</v>
      </c>
      <c r="H3011" s="32">
        <v>200</v>
      </c>
      <c r="I3011" s="32">
        <v>1200</v>
      </c>
      <c r="J3011" s="32"/>
      <c r="K3011" s="10"/>
      <c r="L3011" s="10">
        <v>20201118</v>
      </c>
      <c r="M3011" s="36" t="str">
        <f t="shared" si="47"/>
        <v>19700214</v>
      </c>
    </row>
    <row r="3012" s="1" customFormat="1" spans="1:13">
      <c r="A3012" s="2">
        <v>8124</v>
      </c>
      <c r="B3012" s="5" t="s">
        <v>15406</v>
      </c>
      <c r="C3012" s="6" t="s">
        <v>15441</v>
      </c>
      <c r="D3012" s="6" t="s">
        <v>15442</v>
      </c>
      <c r="E3012" s="5" t="s">
        <v>15</v>
      </c>
      <c r="F3012" s="5">
        <v>2020</v>
      </c>
      <c r="G3012" s="14" t="s">
        <v>16</v>
      </c>
      <c r="H3012" s="6" t="s">
        <v>9565</v>
      </c>
      <c r="I3012" s="6">
        <v>1000</v>
      </c>
      <c r="J3012" s="5"/>
      <c r="K3012" s="10"/>
      <c r="L3012" s="10">
        <v>20201118</v>
      </c>
      <c r="M3012" s="36" t="str">
        <f t="shared" si="47"/>
        <v>19700215</v>
      </c>
    </row>
    <row r="3013" s="1" customFormat="1" spans="1:13">
      <c r="A3013" s="2">
        <v>1600</v>
      </c>
      <c r="B3013" s="5" t="s">
        <v>3381</v>
      </c>
      <c r="C3013" s="9" t="s">
        <v>3764</v>
      </c>
      <c r="D3013" s="9" t="s">
        <v>3765</v>
      </c>
      <c r="E3013" s="5">
        <v>2020</v>
      </c>
      <c r="F3013" s="5">
        <v>2020</v>
      </c>
      <c r="G3013" s="14" t="s">
        <v>16</v>
      </c>
      <c r="H3013" s="6">
        <v>200</v>
      </c>
      <c r="I3013" s="6">
        <v>200</v>
      </c>
      <c r="J3013" s="5"/>
      <c r="K3013" s="13"/>
      <c r="L3013" s="10">
        <v>20201118</v>
      </c>
      <c r="M3013" s="36" t="str">
        <f t="shared" si="47"/>
        <v>19700216</v>
      </c>
    </row>
    <row r="3014" s="1" customFormat="1" spans="1:13">
      <c r="A3014" s="2">
        <v>2130</v>
      </c>
      <c r="B3014" s="5" t="s">
        <v>4189</v>
      </c>
      <c r="C3014" s="9" t="s">
        <v>4810</v>
      </c>
      <c r="D3014" s="9" t="s">
        <v>4811</v>
      </c>
      <c r="E3014" s="5" t="s">
        <v>15</v>
      </c>
      <c r="F3014" s="5" t="s">
        <v>15</v>
      </c>
      <c r="G3014" s="5" t="s">
        <v>3359</v>
      </c>
      <c r="H3014" s="16">
        <v>200</v>
      </c>
      <c r="I3014" s="16">
        <v>200</v>
      </c>
      <c r="J3014" s="5"/>
      <c r="K3014" s="10"/>
      <c r="L3014" s="10">
        <v>20201118</v>
      </c>
      <c r="M3014" s="36" t="str">
        <f t="shared" si="47"/>
        <v>19700216</v>
      </c>
    </row>
    <row r="3015" s="1" customFormat="1" spans="1:13">
      <c r="A3015" s="2">
        <v>5891</v>
      </c>
      <c r="B3015" s="30" t="s">
        <v>11090</v>
      </c>
      <c r="C3015" s="30" t="s">
        <v>11834</v>
      </c>
      <c r="D3015" s="30" t="s">
        <v>11835</v>
      </c>
      <c r="E3015" s="5" t="s">
        <v>15</v>
      </c>
      <c r="F3015" s="5" t="s">
        <v>10250</v>
      </c>
      <c r="G3015" s="6" t="s">
        <v>16</v>
      </c>
      <c r="H3015" s="32">
        <v>200</v>
      </c>
      <c r="I3015" s="32">
        <v>200</v>
      </c>
      <c r="J3015" s="6"/>
      <c r="K3015" s="48"/>
      <c r="L3015" s="10">
        <v>20201118</v>
      </c>
      <c r="M3015" s="36" t="str">
        <f t="shared" si="47"/>
        <v>19700216</v>
      </c>
    </row>
    <row r="3016" s="1" customFormat="1" spans="1:13">
      <c r="A3016" s="2">
        <v>6286</v>
      </c>
      <c r="B3016" s="5" t="s">
        <v>12263</v>
      </c>
      <c r="C3016" s="5" t="s">
        <v>12593</v>
      </c>
      <c r="D3016" s="5" t="s">
        <v>12594</v>
      </c>
      <c r="E3016" s="5" t="s">
        <v>10250</v>
      </c>
      <c r="F3016" s="5">
        <v>2020</v>
      </c>
      <c r="G3016" s="17" t="s">
        <v>3359</v>
      </c>
      <c r="H3016" s="5">
        <v>200</v>
      </c>
      <c r="I3016" s="5">
        <v>200</v>
      </c>
      <c r="J3016" s="5"/>
      <c r="K3016" s="5"/>
      <c r="L3016" s="10">
        <v>20201118</v>
      </c>
      <c r="M3016" s="36" t="str">
        <f t="shared" si="47"/>
        <v>19700216</v>
      </c>
    </row>
    <row r="3017" s="1" customFormat="1" spans="1:13">
      <c r="A3017" s="2">
        <v>4672</v>
      </c>
      <c r="B3017" s="6" t="s">
        <v>9015</v>
      </c>
      <c r="C3017" s="6" t="s">
        <v>6900</v>
      </c>
      <c r="D3017" s="6" t="s">
        <v>9508</v>
      </c>
      <c r="E3017" s="6">
        <v>2020</v>
      </c>
      <c r="F3017" s="6">
        <v>2020</v>
      </c>
      <c r="G3017" s="6" t="s">
        <v>16</v>
      </c>
      <c r="H3017" s="6">
        <v>200</v>
      </c>
      <c r="I3017" s="6">
        <v>200</v>
      </c>
      <c r="J3017" s="6"/>
      <c r="K3017" s="6"/>
      <c r="L3017" s="10">
        <v>20201118</v>
      </c>
      <c r="M3017" s="36" t="str">
        <f t="shared" si="47"/>
        <v>19700217</v>
      </c>
    </row>
    <row r="3018" s="1" customFormat="1" spans="1:13">
      <c r="A3018" s="2">
        <v>6944</v>
      </c>
      <c r="B3018" s="5" t="s">
        <v>13533</v>
      </c>
      <c r="C3018" s="32" t="s">
        <v>13694</v>
      </c>
      <c r="D3018" s="32" t="str">
        <f>"152326197002177114"</f>
        <v>152326197002177114</v>
      </c>
      <c r="E3018" s="5">
        <v>2020</v>
      </c>
      <c r="F3018" s="5">
        <v>2020</v>
      </c>
      <c r="G3018" s="9" t="s">
        <v>2480</v>
      </c>
      <c r="H3018" s="32">
        <v>200</v>
      </c>
      <c r="I3018" s="32">
        <v>200</v>
      </c>
      <c r="J3018" s="62"/>
      <c r="K3018" s="10"/>
      <c r="L3018" s="10">
        <v>20201118</v>
      </c>
      <c r="M3018" s="36" t="str">
        <f t="shared" si="47"/>
        <v>19700217</v>
      </c>
    </row>
    <row r="3019" s="1" customFormat="1" spans="1:13">
      <c r="A3019" s="2">
        <v>7991</v>
      </c>
      <c r="B3019" s="5" t="s">
        <v>15086</v>
      </c>
      <c r="C3019" s="6" t="s">
        <v>15265</v>
      </c>
      <c r="D3019" s="6" t="str">
        <f>"152326197002176875"</f>
        <v>152326197002176875</v>
      </c>
      <c r="E3019" s="5" t="s">
        <v>15</v>
      </c>
      <c r="F3019" s="5">
        <v>2020</v>
      </c>
      <c r="G3019" s="5" t="s">
        <v>16</v>
      </c>
      <c r="H3019" s="5">
        <v>200</v>
      </c>
      <c r="I3019" s="5">
        <v>200</v>
      </c>
      <c r="J3019" s="5"/>
      <c r="K3019" s="5"/>
      <c r="L3019" s="10">
        <v>20201118</v>
      </c>
      <c r="M3019" s="36" t="str">
        <f t="shared" si="47"/>
        <v>19700217</v>
      </c>
    </row>
    <row r="3020" s="1" customFormat="1" spans="1:13">
      <c r="A3020" s="2">
        <v>228</v>
      </c>
      <c r="B3020" s="14" t="s">
        <v>327</v>
      </c>
      <c r="C3020" s="14" t="s">
        <v>570</v>
      </c>
      <c r="D3020" s="14" t="s">
        <v>571</v>
      </c>
      <c r="E3020" s="5">
        <v>2020</v>
      </c>
      <c r="F3020" s="5">
        <v>2020</v>
      </c>
      <c r="G3020" s="14" t="s">
        <v>16</v>
      </c>
      <c r="H3020" s="14">
        <v>200</v>
      </c>
      <c r="I3020" s="14">
        <v>200</v>
      </c>
      <c r="J3020" s="14"/>
      <c r="K3020" s="10"/>
      <c r="L3020" s="14" t="s">
        <v>330</v>
      </c>
      <c r="M3020" s="36" t="str">
        <f t="shared" si="47"/>
        <v>19700219</v>
      </c>
    </row>
    <row r="3021" s="1" customFormat="1" spans="1:13">
      <c r="A3021" s="2">
        <v>3802</v>
      </c>
      <c r="B3021" s="5" t="s">
        <v>7412</v>
      </c>
      <c r="C3021" s="5" t="s">
        <v>7850</v>
      </c>
      <c r="D3021" s="5" t="s">
        <v>7851</v>
      </c>
      <c r="E3021" s="6">
        <v>2020</v>
      </c>
      <c r="F3021" s="6">
        <v>2020</v>
      </c>
      <c r="G3021" s="5" t="s">
        <v>3359</v>
      </c>
      <c r="H3021" s="5">
        <v>200</v>
      </c>
      <c r="I3021" s="5">
        <v>200</v>
      </c>
      <c r="J3021" s="5"/>
      <c r="K3021" s="5"/>
      <c r="L3021" s="10">
        <v>20201118</v>
      </c>
      <c r="M3021" s="36" t="str">
        <f t="shared" si="47"/>
        <v>19700220</v>
      </c>
    </row>
    <row r="3022" s="1" customFormat="1" spans="1:13">
      <c r="A3022" s="2">
        <v>4254</v>
      </c>
      <c r="B3022" s="9" t="s">
        <v>8515</v>
      </c>
      <c r="C3022" s="9" t="s">
        <v>8706</v>
      </c>
      <c r="D3022" s="9" t="s">
        <v>8707</v>
      </c>
      <c r="E3022" s="5" t="s">
        <v>15</v>
      </c>
      <c r="F3022" s="5">
        <v>2020</v>
      </c>
      <c r="G3022" s="9" t="s">
        <v>2480</v>
      </c>
      <c r="H3022" s="9">
        <v>200</v>
      </c>
      <c r="I3022" s="9">
        <v>200</v>
      </c>
      <c r="J3022" s="9"/>
      <c r="K3022" s="9"/>
      <c r="L3022" s="10">
        <v>20201118</v>
      </c>
      <c r="M3022" s="36" t="str">
        <f t="shared" si="47"/>
        <v>19700220</v>
      </c>
    </row>
    <row r="3023" s="1" customFormat="1" spans="1:13">
      <c r="A3023" s="2">
        <v>4469</v>
      </c>
      <c r="B3023" s="6" t="s">
        <v>9015</v>
      </c>
      <c r="C3023" s="6" t="s">
        <v>9122</v>
      </c>
      <c r="D3023" s="6" t="s">
        <v>9123</v>
      </c>
      <c r="E3023" s="6">
        <v>2020</v>
      </c>
      <c r="F3023" s="6">
        <v>2020</v>
      </c>
      <c r="G3023" s="6" t="s">
        <v>16</v>
      </c>
      <c r="H3023" s="6">
        <v>200</v>
      </c>
      <c r="I3023" s="6">
        <v>200</v>
      </c>
      <c r="J3023" s="6"/>
      <c r="K3023" s="6"/>
      <c r="L3023" s="10">
        <v>20201118</v>
      </c>
      <c r="M3023" s="36" t="str">
        <f t="shared" si="47"/>
        <v>19700220</v>
      </c>
    </row>
    <row r="3024" s="1" customFormat="1" spans="1:13">
      <c r="A3024" s="2">
        <v>7986</v>
      </c>
      <c r="B3024" s="5" t="s">
        <v>15086</v>
      </c>
      <c r="C3024" s="6" t="s">
        <v>15259</v>
      </c>
      <c r="D3024" s="6" t="str">
        <f>"152326197002206894"</f>
        <v>152326197002206894</v>
      </c>
      <c r="E3024" s="5" t="s">
        <v>15</v>
      </c>
      <c r="F3024" s="5">
        <v>2020</v>
      </c>
      <c r="G3024" s="5" t="s">
        <v>16</v>
      </c>
      <c r="H3024" s="5">
        <v>200</v>
      </c>
      <c r="I3024" s="5">
        <v>200</v>
      </c>
      <c r="J3024" s="5"/>
      <c r="K3024" s="5"/>
      <c r="L3024" s="10">
        <v>20201118</v>
      </c>
      <c r="M3024" s="36" t="str">
        <f t="shared" si="47"/>
        <v>19700220</v>
      </c>
    </row>
    <row r="3025" s="1" customFormat="1" spans="1:13">
      <c r="A3025" s="2">
        <v>705</v>
      </c>
      <c r="B3025" s="29" t="s">
        <v>1040</v>
      </c>
      <c r="C3025" s="5" t="s">
        <v>1766</v>
      </c>
      <c r="D3025" s="5" t="s">
        <v>1767</v>
      </c>
      <c r="E3025" s="30">
        <v>2020</v>
      </c>
      <c r="F3025" s="30">
        <v>2020</v>
      </c>
      <c r="G3025" s="29" t="s">
        <v>16</v>
      </c>
      <c r="H3025" s="29">
        <v>200</v>
      </c>
      <c r="I3025" s="29">
        <v>200</v>
      </c>
      <c r="J3025" s="29"/>
      <c r="K3025" s="54"/>
      <c r="L3025" s="14" t="s">
        <v>330</v>
      </c>
      <c r="M3025" s="36" t="str">
        <f t="shared" si="47"/>
        <v>19700221</v>
      </c>
    </row>
    <row r="3026" s="1" customFormat="1" spans="1:13">
      <c r="A3026" s="2">
        <v>4867</v>
      </c>
      <c r="B3026" s="6" t="s">
        <v>9015</v>
      </c>
      <c r="C3026" s="6" t="s">
        <v>9877</v>
      </c>
      <c r="D3026" s="293" t="s">
        <v>9878</v>
      </c>
      <c r="E3026" s="6">
        <v>2020</v>
      </c>
      <c r="F3026" s="6">
        <v>2020</v>
      </c>
      <c r="G3026" s="6" t="s">
        <v>16</v>
      </c>
      <c r="H3026" s="6">
        <v>200</v>
      </c>
      <c r="I3026" s="6">
        <v>200</v>
      </c>
      <c r="J3026" s="6"/>
      <c r="K3026" s="6"/>
      <c r="L3026" s="10">
        <v>20201118</v>
      </c>
      <c r="M3026" s="36" t="str">
        <f t="shared" si="47"/>
        <v>19700221</v>
      </c>
    </row>
    <row r="3027" s="1" customFormat="1" spans="1:13">
      <c r="A3027" s="2">
        <v>4436</v>
      </c>
      <c r="B3027" s="6" t="s">
        <v>9015</v>
      </c>
      <c r="C3027" s="6" t="s">
        <v>8324</v>
      </c>
      <c r="D3027" s="6" t="s">
        <v>9060</v>
      </c>
      <c r="E3027" s="6">
        <v>2020</v>
      </c>
      <c r="F3027" s="6">
        <v>2020</v>
      </c>
      <c r="G3027" s="6" t="s">
        <v>16</v>
      </c>
      <c r="H3027" s="6">
        <v>200</v>
      </c>
      <c r="I3027" s="6">
        <v>200</v>
      </c>
      <c r="J3027" s="6"/>
      <c r="K3027" s="6"/>
      <c r="L3027" s="10">
        <v>20201118</v>
      </c>
      <c r="M3027" s="36" t="str">
        <f t="shared" si="47"/>
        <v>19700222</v>
      </c>
    </row>
    <row r="3028" s="1" customFormat="1" ht="14.25" spans="1:13">
      <c r="A3028" s="2">
        <v>7736</v>
      </c>
      <c r="B3028" s="5" t="s">
        <v>14875</v>
      </c>
      <c r="C3028" s="51" t="s">
        <v>14978</v>
      </c>
      <c r="D3028" s="24" t="str">
        <f>"152326197002227118"</f>
        <v>152326197002227118</v>
      </c>
      <c r="E3028" s="6" t="s">
        <v>15</v>
      </c>
      <c r="F3028" s="6">
        <v>2020</v>
      </c>
      <c r="G3028" s="24" t="s">
        <v>14877</v>
      </c>
      <c r="H3028" s="6">
        <v>200</v>
      </c>
      <c r="I3028" s="6">
        <v>200</v>
      </c>
      <c r="J3028" s="6"/>
      <c r="K3028" s="10"/>
      <c r="L3028" s="10">
        <v>20201118</v>
      </c>
      <c r="M3028" s="36" t="str">
        <f t="shared" si="47"/>
        <v>19700222</v>
      </c>
    </row>
    <row r="3029" s="1" customFormat="1" spans="1:13">
      <c r="A3029" s="2">
        <v>3803</v>
      </c>
      <c r="B3029" s="5" t="s">
        <v>7412</v>
      </c>
      <c r="C3029" s="5" t="s">
        <v>7852</v>
      </c>
      <c r="D3029" s="5" t="s">
        <v>7853</v>
      </c>
      <c r="E3029" s="6">
        <v>2020</v>
      </c>
      <c r="F3029" s="6">
        <v>2020</v>
      </c>
      <c r="G3029" s="5" t="s">
        <v>3359</v>
      </c>
      <c r="H3029" s="5">
        <v>200</v>
      </c>
      <c r="I3029" s="5">
        <v>200</v>
      </c>
      <c r="J3029" s="5"/>
      <c r="K3029" s="5"/>
      <c r="L3029" s="10">
        <v>20201118</v>
      </c>
      <c r="M3029" s="36" t="str">
        <f t="shared" si="47"/>
        <v>19700223</v>
      </c>
    </row>
    <row r="3030" s="1" customFormat="1" spans="1:13">
      <c r="A3030" s="2">
        <v>6455</v>
      </c>
      <c r="B3030" s="5" t="s">
        <v>12263</v>
      </c>
      <c r="C3030" s="5" t="s">
        <v>12914</v>
      </c>
      <c r="D3030" s="5" t="s">
        <v>12915</v>
      </c>
      <c r="E3030" s="5" t="s">
        <v>10250</v>
      </c>
      <c r="F3030" s="5">
        <v>2020</v>
      </c>
      <c r="G3030" s="17" t="s">
        <v>3359</v>
      </c>
      <c r="H3030" s="5">
        <v>200</v>
      </c>
      <c r="I3030" s="5">
        <v>200</v>
      </c>
      <c r="J3030" s="5"/>
      <c r="K3030" s="5"/>
      <c r="L3030" s="10">
        <v>20201118</v>
      </c>
      <c r="M3030" s="36" t="str">
        <f t="shared" si="47"/>
        <v>19700223</v>
      </c>
    </row>
    <row r="3031" s="1" customFormat="1" spans="1:13">
      <c r="A3031" s="2">
        <v>6934</v>
      </c>
      <c r="B3031" s="5" t="s">
        <v>13533</v>
      </c>
      <c r="C3031" s="32" t="s">
        <v>13684</v>
      </c>
      <c r="D3031" s="32" t="str">
        <f>"152326197002237121"</f>
        <v>152326197002237121</v>
      </c>
      <c r="E3031" s="5">
        <v>2020</v>
      </c>
      <c r="F3031" s="5">
        <v>2020</v>
      </c>
      <c r="G3031" s="9" t="s">
        <v>2480</v>
      </c>
      <c r="H3031" s="32">
        <v>1000</v>
      </c>
      <c r="I3031" s="32">
        <v>1000</v>
      </c>
      <c r="J3031" s="62"/>
      <c r="K3031" s="10"/>
      <c r="L3031" s="10">
        <v>20201118</v>
      </c>
      <c r="M3031" s="36" t="str">
        <f t="shared" si="47"/>
        <v>19700223</v>
      </c>
    </row>
    <row r="3032" s="1" customFormat="1" spans="1:13">
      <c r="A3032" s="2">
        <v>64</v>
      </c>
      <c r="B3032" s="31" t="s">
        <v>12</v>
      </c>
      <c r="C3032" s="17" t="s">
        <v>143</v>
      </c>
      <c r="D3032" s="17" t="s">
        <v>144</v>
      </c>
      <c r="E3032" s="3" t="s">
        <v>15</v>
      </c>
      <c r="F3032" s="3" t="s">
        <v>15</v>
      </c>
      <c r="G3032" s="2" t="s">
        <v>16</v>
      </c>
      <c r="H3032" s="17">
        <v>500</v>
      </c>
      <c r="I3032" s="17">
        <v>500</v>
      </c>
      <c r="J3032" s="17"/>
      <c r="K3032" s="17"/>
      <c r="L3032" s="10">
        <v>20201118</v>
      </c>
      <c r="M3032" s="36" t="str">
        <f t="shared" si="47"/>
        <v>19700225</v>
      </c>
    </row>
    <row r="3033" s="1" customFormat="1" spans="1:13">
      <c r="A3033" s="2">
        <v>25</v>
      </c>
      <c r="B3033" s="31" t="s">
        <v>12</v>
      </c>
      <c r="C3033" s="17" t="s">
        <v>64</v>
      </c>
      <c r="D3033" s="17" t="s">
        <v>65</v>
      </c>
      <c r="E3033" s="3" t="s">
        <v>15</v>
      </c>
      <c r="F3033" s="3" t="s">
        <v>15</v>
      </c>
      <c r="G3033" s="2" t="s">
        <v>16</v>
      </c>
      <c r="H3033" s="17">
        <v>500</v>
      </c>
      <c r="I3033" s="17">
        <v>500</v>
      </c>
      <c r="J3033" s="31"/>
      <c r="K3033" s="17"/>
      <c r="L3033" s="10">
        <v>20201118</v>
      </c>
      <c r="M3033" s="36" t="str">
        <f t="shared" si="47"/>
        <v>19700226</v>
      </c>
    </row>
    <row r="3034" s="1" customFormat="1" spans="1:13">
      <c r="A3034" s="2">
        <v>41</v>
      </c>
      <c r="B3034" s="31" t="s">
        <v>12</v>
      </c>
      <c r="C3034" s="17" t="s">
        <v>96</v>
      </c>
      <c r="D3034" s="17" t="s">
        <v>97</v>
      </c>
      <c r="E3034" s="3" t="s">
        <v>15</v>
      </c>
      <c r="F3034" s="3" t="s">
        <v>15</v>
      </c>
      <c r="G3034" s="2" t="s">
        <v>16</v>
      </c>
      <c r="H3034" s="17">
        <v>200</v>
      </c>
      <c r="I3034" s="17">
        <v>200</v>
      </c>
      <c r="J3034" s="31"/>
      <c r="K3034" s="17"/>
      <c r="L3034" s="10">
        <v>20201118</v>
      </c>
      <c r="M3034" s="36" t="str">
        <f t="shared" si="47"/>
        <v>19700227</v>
      </c>
    </row>
    <row r="3035" s="1" customFormat="1" spans="1:13">
      <c r="A3035" s="2">
        <v>1060</v>
      </c>
      <c r="B3035" s="5" t="s">
        <v>2469</v>
      </c>
      <c r="C3035" s="9" t="s">
        <v>2710</v>
      </c>
      <c r="D3035" s="9" t="s">
        <v>2711</v>
      </c>
      <c r="E3035" s="5">
        <v>2020</v>
      </c>
      <c r="F3035" s="5">
        <v>2020</v>
      </c>
      <c r="G3035" s="9" t="s">
        <v>2480</v>
      </c>
      <c r="H3035" s="9">
        <v>200</v>
      </c>
      <c r="I3035" s="9">
        <v>200</v>
      </c>
      <c r="J3035" s="5"/>
      <c r="K3035" s="5"/>
      <c r="L3035" s="10">
        <v>20201118</v>
      </c>
      <c r="M3035" s="36" t="str">
        <f t="shared" si="47"/>
        <v>19700228</v>
      </c>
    </row>
    <row r="3036" s="1" customFormat="1" spans="1:13">
      <c r="A3036" s="2">
        <v>4255</v>
      </c>
      <c r="B3036" s="9" t="s">
        <v>8515</v>
      </c>
      <c r="C3036" s="9" t="s">
        <v>8708</v>
      </c>
      <c r="D3036" s="9" t="s">
        <v>8709</v>
      </c>
      <c r="E3036" s="5" t="s">
        <v>15</v>
      </c>
      <c r="F3036" s="5">
        <v>2020</v>
      </c>
      <c r="G3036" s="9" t="s">
        <v>2480</v>
      </c>
      <c r="H3036" s="9">
        <v>200</v>
      </c>
      <c r="I3036" s="9">
        <v>200</v>
      </c>
      <c r="J3036" s="9"/>
      <c r="K3036" s="9"/>
      <c r="L3036" s="10">
        <v>20201118</v>
      </c>
      <c r="M3036" s="36" t="str">
        <f t="shared" si="47"/>
        <v>19700228</v>
      </c>
    </row>
    <row r="3037" s="1" customFormat="1" spans="1:13">
      <c r="A3037" s="2">
        <v>7541</v>
      </c>
      <c r="B3037" s="5" t="s">
        <v>14402</v>
      </c>
      <c r="C3037" s="5" t="s">
        <v>14691</v>
      </c>
      <c r="D3037" s="5" t="s">
        <v>14692</v>
      </c>
      <c r="E3037" s="5">
        <v>2020</v>
      </c>
      <c r="F3037" s="5">
        <v>2020</v>
      </c>
      <c r="G3037" s="17" t="s">
        <v>16</v>
      </c>
      <c r="H3037" s="5">
        <v>200</v>
      </c>
      <c r="I3037" s="5">
        <v>200</v>
      </c>
      <c r="J3037" s="5"/>
      <c r="K3037" s="10"/>
      <c r="L3037" s="10">
        <v>20201118</v>
      </c>
      <c r="M3037" s="36" t="str">
        <f t="shared" si="47"/>
        <v>19700301</v>
      </c>
    </row>
    <row r="3038" s="1" customFormat="1" spans="1:13">
      <c r="A3038" s="2">
        <v>1601</v>
      </c>
      <c r="B3038" s="5" t="s">
        <v>3381</v>
      </c>
      <c r="C3038" s="9" t="s">
        <v>3766</v>
      </c>
      <c r="D3038" s="9" t="s">
        <v>3767</v>
      </c>
      <c r="E3038" s="5">
        <v>2020</v>
      </c>
      <c r="F3038" s="5">
        <v>2020</v>
      </c>
      <c r="G3038" s="14" t="s">
        <v>16</v>
      </c>
      <c r="H3038" s="6">
        <v>200</v>
      </c>
      <c r="I3038" s="6">
        <v>200</v>
      </c>
      <c r="J3038" s="5"/>
      <c r="K3038" s="13"/>
      <c r="L3038" s="10">
        <v>20201118</v>
      </c>
      <c r="M3038" s="36" t="str">
        <f t="shared" si="47"/>
        <v>19700302</v>
      </c>
    </row>
    <row r="3039" s="1" customFormat="1" spans="1:13">
      <c r="A3039" s="2">
        <v>3409</v>
      </c>
      <c r="B3039" s="5" t="s">
        <v>3375</v>
      </c>
      <c r="C3039" s="6" t="s">
        <v>7187</v>
      </c>
      <c r="D3039" s="6" t="str">
        <f>"152326197003026887"</f>
        <v>152326197003026887</v>
      </c>
      <c r="E3039" s="5" t="s">
        <v>15</v>
      </c>
      <c r="F3039" s="5">
        <v>2020</v>
      </c>
      <c r="G3039" s="14" t="s">
        <v>16</v>
      </c>
      <c r="H3039" s="17">
        <v>200</v>
      </c>
      <c r="I3039" s="17">
        <v>200</v>
      </c>
      <c r="J3039" s="6"/>
      <c r="K3039" s="10"/>
      <c r="L3039" s="10">
        <v>20201118</v>
      </c>
      <c r="M3039" s="36" t="str">
        <f t="shared" si="47"/>
        <v>19700302</v>
      </c>
    </row>
    <row r="3040" s="1" customFormat="1" spans="1:13">
      <c r="A3040" s="2">
        <v>3804</v>
      </c>
      <c r="B3040" s="5" t="s">
        <v>7412</v>
      </c>
      <c r="C3040" s="5" t="s">
        <v>7854</v>
      </c>
      <c r="D3040" s="5" t="s">
        <v>7855</v>
      </c>
      <c r="E3040" s="6">
        <v>2020</v>
      </c>
      <c r="F3040" s="6">
        <v>2020</v>
      </c>
      <c r="G3040" s="5" t="s">
        <v>3359</v>
      </c>
      <c r="H3040" s="5">
        <v>200</v>
      </c>
      <c r="I3040" s="5">
        <v>200</v>
      </c>
      <c r="J3040" s="5"/>
      <c r="K3040" s="5"/>
      <c r="L3040" s="10">
        <v>20201118</v>
      </c>
      <c r="M3040" s="36" t="str">
        <f t="shared" si="47"/>
        <v>19700302</v>
      </c>
    </row>
    <row r="3041" s="1" customFormat="1" ht="14.25" spans="1:13">
      <c r="A3041" s="2">
        <v>7734</v>
      </c>
      <c r="B3041" s="5" t="s">
        <v>14875</v>
      </c>
      <c r="C3041" s="51" t="s">
        <v>14976</v>
      </c>
      <c r="D3041" s="24" t="str">
        <f>"152326197003027126"</f>
        <v>152326197003027126</v>
      </c>
      <c r="E3041" s="6" t="s">
        <v>15</v>
      </c>
      <c r="F3041" s="6">
        <v>2020</v>
      </c>
      <c r="G3041" s="24" t="s">
        <v>14877</v>
      </c>
      <c r="H3041" s="6">
        <v>200</v>
      </c>
      <c r="I3041" s="6">
        <v>200</v>
      </c>
      <c r="J3041" s="6"/>
      <c r="K3041" s="10"/>
      <c r="L3041" s="10">
        <v>20201118</v>
      </c>
      <c r="M3041" s="36" t="str">
        <f t="shared" si="47"/>
        <v>19700302</v>
      </c>
    </row>
    <row r="3042" s="1" customFormat="1" spans="1:13">
      <c r="A3042" s="2">
        <v>4560</v>
      </c>
      <c r="B3042" s="6" t="s">
        <v>9015</v>
      </c>
      <c r="C3042" s="6" t="s">
        <v>9299</v>
      </c>
      <c r="D3042" s="6" t="s">
        <v>9300</v>
      </c>
      <c r="E3042" s="6">
        <v>2020</v>
      </c>
      <c r="F3042" s="6">
        <v>2020</v>
      </c>
      <c r="G3042" s="6" t="s">
        <v>16</v>
      </c>
      <c r="H3042" s="6">
        <v>200</v>
      </c>
      <c r="I3042" s="6">
        <v>200</v>
      </c>
      <c r="J3042" s="6"/>
      <c r="K3042" s="6"/>
      <c r="L3042" s="10">
        <v>20201118</v>
      </c>
      <c r="M3042" s="36" t="str">
        <f t="shared" si="47"/>
        <v>19700305</v>
      </c>
    </row>
    <row r="3043" s="1" customFormat="1" ht="14.25" spans="1:13">
      <c r="A3043" s="2">
        <v>5496</v>
      </c>
      <c r="B3043" s="33" t="s">
        <v>10535</v>
      </c>
      <c r="C3043" s="55" t="s">
        <v>11085</v>
      </c>
      <c r="D3043" s="55" t="s">
        <v>11086</v>
      </c>
      <c r="E3043" s="34" t="s">
        <v>2472</v>
      </c>
      <c r="F3043" s="35" t="s">
        <v>15</v>
      </c>
      <c r="G3043" s="35" t="s">
        <v>289</v>
      </c>
      <c r="H3043" s="55" t="s">
        <v>311</v>
      </c>
      <c r="I3043" s="55">
        <v>1200</v>
      </c>
      <c r="J3043" s="49"/>
      <c r="K3043" s="10"/>
      <c r="L3043" s="10">
        <v>20201118</v>
      </c>
      <c r="M3043" s="36" t="str">
        <f t="shared" si="47"/>
        <v>19700306</v>
      </c>
    </row>
    <row r="3044" s="1" customFormat="1" spans="1:13">
      <c r="A3044" s="2">
        <v>2246</v>
      </c>
      <c r="B3044" s="9" t="s">
        <v>4837</v>
      </c>
      <c r="C3044" s="9" t="s">
        <v>5038</v>
      </c>
      <c r="D3044" s="9" t="s">
        <v>5039</v>
      </c>
      <c r="E3044" s="6" t="s">
        <v>15</v>
      </c>
      <c r="F3044" s="6">
        <v>2020</v>
      </c>
      <c r="G3044" s="9" t="s">
        <v>2480</v>
      </c>
      <c r="H3044" s="9">
        <v>200</v>
      </c>
      <c r="I3044" s="9">
        <v>200</v>
      </c>
      <c r="J3044" s="6"/>
      <c r="K3044" s="10"/>
      <c r="L3044" s="10">
        <v>20201118</v>
      </c>
      <c r="M3044" s="36" t="str">
        <f t="shared" si="47"/>
        <v>19700307</v>
      </c>
    </row>
    <row r="3045" s="1" customFormat="1" spans="1:13">
      <c r="A3045" s="2">
        <v>4256</v>
      </c>
      <c r="B3045" s="9" t="s">
        <v>8515</v>
      </c>
      <c r="C3045" s="9" t="s">
        <v>8710</v>
      </c>
      <c r="D3045" s="9" t="s">
        <v>8711</v>
      </c>
      <c r="E3045" s="5" t="s">
        <v>15</v>
      </c>
      <c r="F3045" s="5">
        <v>2020</v>
      </c>
      <c r="G3045" s="9" t="s">
        <v>2480</v>
      </c>
      <c r="H3045" s="9">
        <v>200</v>
      </c>
      <c r="I3045" s="9">
        <v>200</v>
      </c>
      <c r="J3045" s="9"/>
      <c r="K3045" s="9"/>
      <c r="L3045" s="10">
        <v>20201118</v>
      </c>
      <c r="M3045" s="36" t="str">
        <f t="shared" si="47"/>
        <v>19700308</v>
      </c>
    </row>
    <row r="3046" s="1" customFormat="1" spans="1:13">
      <c r="A3046" s="2">
        <v>4257</v>
      </c>
      <c r="B3046" s="9" t="s">
        <v>8515</v>
      </c>
      <c r="C3046" s="9" t="s">
        <v>8712</v>
      </c>
      <c r="D3046" s="9" t="s">
        <v>8713</v>
      </c>
      <c r="E3046" s="5" t="s">
        <v>15</v>
      </c>
      <c r="F3046" s="5">
        <v>2020</v>
      </c>
      <c r="G3046" s="9" t="s">
        <v>2480</v>
      </c>
      <c r="H3046" s="9">
        <v>200</v>
      </c>
      <c r="I3046" s="9">
        <v>200</v>
      </c>
      <c r="J3046" s="9"/>
      <c r="K3046" s="9"/>
      <c r="L3046" s="10">
        <v>20201118</v>
      </c>
      <c r="M3046" s="36" t="str">
        <f t="shared" si="47"/>
        <v>19700311</v>
      </c>
    </row>
    <row r="3047" s="1" customFormat="1" spans="1:13">
      <c r="A3047" s="2">
        <v>4581</v>
      </c>
      <c r="B3047" s="6" t="s">
        <v>9015</v>
      </c>
      <c r="C3047" s="6" t="s">
        <v>9339</v>
      </c>
      <c r="D3047" s="6" t="s">
        <v>9340</v>
      </c>
      <c r="E3047" s="6">
        <v>2020</v>
      </c>
      <c r="F3047" s="6">
        <v>2020</v>
      </c>
      <c r="G3047" s="6" t="s">
        <v>16</v>
      </c>
      <c r="H3047" s="6">
        <v>200</v>
      </c>
      <c r="I3047" s="6">
        <v>200</v>
      </c>
      <c r="J3047" s="6"/>
      <c r="K3047" s="6"/>
      <c r="L3047" s="10">
        <v>20201118</v>
      </c>
      <c r="M3047" s="36" t="str">
        <f t="shared" si="47"/>
        <v>19700313</v>
      </c>
    </row>
    <row r="3048" s="1" customFormat="1" spans="1:13">
      <c r="A3048" s="2">
        <v>2433</v>
      </c>
      <c r="B3048" s="5" t="s">
        <v>5328</v>
      </c>
      <c r="C3048" s="16" t="s">
        <v>5405</v>
      </c>
      <c r="D3048" s="16" t="s">
        <v>5406</v>
      </c>
      <c r="E3048" s="5" t="s">
        <v>15</v>
      </c>
      <c r="F3048" s="5" t="s">
        <v>15</v>
      </c>
      <c r="G3048" s="14" t="s">
        <v>16</v>
      </c>
      <c r="H3048" s="6">
        <v>200</v>
      </c>
      <c r="I3048" s="6">
        <v>200</v>
      </c>
      <c r="J3048" s="5"/>
      <c r="K3048" s="5"/>
      <c r="L3048" s="10">
        <v>20201118</v>
      </c>
      <c r="M3048" s="36" t="str">
        <f t="shared" si="47"/>
        <v>19700314</v>
      </c>
    </row>
    <row r="3049" s="1" customFormat="1" spans="1:13">
      <c r="A3049" s="2">
        <v>3410</v>
      </c>
      <c r="B3049" s="5" t="s">
        <v>3375</v>
      </c>
      <c r="C3049" s="6" t="s">
        <v>2611</v>
      </c>
      <c r="D3049" s="6" t="s">
        <v>7188</v>
      </c>
      <c r="E3049" s="5" t="s">
        <v>15</v>
      </c>
      <c r="F3049" s="5">
        <v>2020</v>
      </c>
      <c r="G3049" s="14" t="s">
        <v>16</v>
      </c>
      <c r="H3049" s="17">
        <v>200</v>
      </c>
      <c r="I3049" s="17">
        <v>200</v>
      </c>
      <c r="J3049" s="6" t="s">
        <v>3647</v>
      </c>
      <c r="K3049" s="10"/>
      <c r="L3049" s="10">
        <v>20201118</v>
      </c>
      <c r="M3049" s="36" t="str">
        <f t="shared" si="47"/>
        <v>19700315</v>
      </c>
    </row>
    <row r="3050" s="1" customFormat="1" spans="1:13">
      <c r="A3050" s="2">
        <v>3805</v>
      </c>
      <c r="B3050" s="5" t="s">
        <v>7412</v>
      </c>
      <c r="C3050" s="5" t="s">
        <v>7856</v>
      </c>
      <c r="D3050" s="5" t="s">
        <v>7857</v>
      </c>
      <c r="E3050" s="6">
        <v>2020</v>
      </c>
      <c r="F3050" s="6">
        <v>2020</v>
      </c>
      <c r="G3050" s="5" t="s">
        <v>3359</v>
      </c>
      <c r="H3050" s="5">
        <v>200</v>
      </c>
      <c r="I3050" s="5">
        <v>200</v>
      </c>
      <c r="J3050" s="5"/>
      <c r="K3050" s="5"/>
      <c r="L3050" s="10">
        <v>20201118</v>
      </c>
      <c r="M3050" s="36" t="str">
        <f t="shared" si="47"/>
        <v>19700315</v>
      </c>
    </row>
    <row r="3051" s="1" customFormat="1" ht="14.25" spans="1:13">
      <c r="A3051" s="2">
        <v>5309</v>
      </c>
      <c r="B3051" s="33" t="s">
        <v>10535</v>
      </c>
      <c r="C3051" s="34" t="s">
        <v>10734</v>
      </c>
      <c r="D3051" s="34" t="s">
        <v>10735</v>
      </c>
      <c r="E3051" s="35">
        <v>2020</v>
      </c>
      <c r="F3051" s="35">
        <v>2020</v>
      </c>
      <c r="G3051" s="35" t="s">
        <v>16</v>
      </c>
      <c r="H3051" s="34">
        <v>200</v>
      </c>
      <c r="I3051" s="34">
        <v>200</v>
      </c>
      <c r="J3051" s="49"/>
      <c r="K3051" s="10"/>
      <c r="L3051" s="10">
        <v>20201118</v>
      </c>
      <c r="M3051" s="36" t="str">
        <f t="shared" si="47"/>
        <v>19700315</v>
      </c>
    </row>
    <row r="3052" s="1" customFormat="1" spans="1:13">
      <c r="A3052" s="2">
        <v>245</v>
      </c>
      <c r="B3052" s="14" t="s">
        <v>327</v>
      </c>
      <c r="C3052" s="14" t="s">
        <v>621</v>
      </c>
      <c r="D3052" s="14" t="s">
        <v>622</v>
      </c>
      <c r="E3052" s="5">
        <v>2020</v>
      </c>
      <c r="F3052" s="5">
        <v>2020</v>
      </c>
      <c r="G3052" s="14" t="s">
        <v>16</v>
      </c>
      <c r="H3052" s="14">
        <v>200</v>
      </c>
      <c r="I3052" s="14">
        <v>200</v>
      </c>
      <c r="J3052" s="17"/>
      <c r="K3052" s="10"/>
      <c r="L3052" s="2" t="s">
        <v>330</v>
      </c>
      <c r="M3052" s="36" t="str">
        <f t="shared" si="47"/>
        <v>19700316</v>
      </c>
    </row>
    <row r="3053" s="1" customFormat="1" spans="1:13">
      <c r="A3053" s="2">
        <v>1602</v>
      </c>
      <c r="B3053" s="5" t="s">
        <v>3381</v>
      </c>
      <c r="C3053" s="9" t="s">
        <v>3768</v>
      </c>
      <c r="D3053" s="9" t="s">
        <v>3769</v>
      </c>
      <c r="E3053" s="5">
        <v>2020</v>
      </c>
      <c r="F3053" s="5">
        <v>2020</v>
      </c>
      <c r="G3053" s="14" t="s">
        <v>16</v>
      </c>
      <c r="H3053" s="6">
        <v>200</v>
      </c>
      <c r="I3053" s="6">
        <v>200</v>
      </c>
      <c r="J3053" s="5"/>
      <c r="K3053" s="13"/>
      <c r="L3053" s="10">
        <v>20201118</v>
      </c>
      <c r="M3053" s="36" t="str">
        <f t="shared" si="47"/>
        <v>19700320</v>
      </c>
    </row>
    <row r="3054" s="1" customFormat="1" spans="1:13">
      <c r="A3054" s="2">
        <v>2612</v>
      </c>
      <c r="B3054" s="32" t="s">
        <v>5602</v>
      </c>
      <c r="C3054" s="9" t="s">
        <v>5758</v>
      </c>
      <c r="D3054" s="9" t="s">
        <v>5759</v>
      </c>
      <c r="E3054" s="32">
        <v>2020</v>
      </c>
      <c r="F3054" s="32">
        <v>2020</v>
      </c>
      <c r="G3054" s="32" t="s">
        <v>16</v>
      </c>
      <c r="H3054" s="9">
        <v>200</v>
      </c>
      <c r="I3054" s="9">
        <v>200</v>
      </c>
      <c r="J3054" s="32"/>
      <c r="K3054" s="52"/>
      <c r="L3054" s="10">
        <v>20201118</v>
      </c>
      <c r="M3054" s="36" t="str">
        <f t="shared" si="47"/>
        <v>19700320</v>
      </c>
    </row>
    <row r="3055" s="1" customFormat="1" spans="1:13">
      <c r="A3055" s="2">
        <v>1603</v>
      </c>
      <c r="B3055" s="5" t="s">
        <v>3381</v>
      </c>
      <c r="C3055" s="9" t="s">
        <v>3770</v>
      </c>
      <c r="D3055" s="9" t="s">
        <v>3771</v>
      </c>
      <c r="E3055" s="5">
        <v>2020</v>
      </c>
      <c r="F3055" s="5">
        <v>2020</v>
      </c>
      <c r="G3055" s="14" t="s">
        <v>16</v>
      </c>
      <c r="H3055" s="6">
        <v>200</v>
      </c>
      <c r="I3055" s="6">
        <v>200</v>
      </c>
      <c r="J3055" s="5"/>
      <c r="K3055" s="13"/>
      <c r="L3055" s="10">
        <v>20201118</v>
      </c>
      <c r="M3055" s="36" t="str">
        <f t="shared" si="47"/>
        <v>19700321</v>
      </c>
    </row>
    <row r="3056" s="1" customFormat="1" spans="1:13">
      <c r="A3056" s="2">
        <v>5905</v>
      </c>
      <c r="B3056" s="30" t="s">
        <v>11090</v>
      </c>
      <c r="C3056" s="30" t="s">
        <v>11861</v>
      </c>
      <c r="D3056" s="30" t="s">
        <v>11862</v>
      </c>
      <c r="E3056" s="5" t="s">
        <v>15</v>
      </c>
      <c r="F3056" s="5" t="s">
        <v>10250</v>
      </c>
      <c r="G3056" s="6" t="s">
        <v>16</v>
      </c>
      <c r="H3056" s="32">
        <v>200</v>
      </c>
      <c r="I3056" s="32">
        <v>200</v>
      </c>
      <c r="J3056" s="6"/>
      <c r="K3056" s="48"/>
      <c r="L3056" s="10">
        <v>20201118</v>
      </c>
      <c r="M3056" s="36" t="str">
        <f t="shared" si="47"/>
        <v>19700322</v>
      </c>
    </row>
    <row r="3057" s="1" customFormat="1" spans="1:13">
      <c r="A3057" s="2">
        <v>3073</v>
      </c>
      <c r="B3057" s="3" t="s">
        <v>6671</v>
      </c>
      <c r="C3057" s="9" t="s">
        <v>6672</v>
      </c>
      <c r="D3057" s="9" t="s">
        <v>6673</v>
      </c>
      <c r="E3057" s="3" t="s">
        <v>15</v>
      </c>
      <c r="F3057" s="3" t="s">
        <v>15</v>
      </c>
      <c r="G3057" s="6" t="s">
        <v>3359</v>
      </c>
      <c r="H3057" s="9">
        <v>200</v>
      </c>
      <c r="I3057" s="9">
        <v>200</v>
      </c>
      <c r="J3057" s="6"/>
      <c r="K3057" s="3"/>
      <c r="L3057" s="10">
        <v>20201118</v>
      </c>
      <c r="M3057" s="36" t="str">
        <f t="shared" si="47"/>
        <v>19700323</v>
      </c>
    </row>
    <row r="3058" s="1" customFormat="1" spans="1:13">
      <c r="A3058" s="2">
        <v>4618</v>
      </c>
      <c r="B3058" s="6" t="s">
        <v>9015</v>
      </c>
      <c r="C3058" s="6" t="s">
        <v>9405</v>
      </c>
      <c r="D3058" s="6" t="s">
        <v>9406</v>
      </c>
      <c r="E3058" s="6">
        <v>2020</v>
      </c>
      <c r="F3058" s="6">
        <v>2020</v>
      </c>
      <c r="G3058" s="6" t="s">
        <v>16</v>
      </c>
      <c r="H3058" s="6">
        <v>200</v>
      </c>
      <c r="I3058" s="6">
        <v>200</v>
      </c>
      <c r="J3058" s="6"/>
      <c r="K3058" s="6"/>
      <c r="L3058" s="10">
        <v>20201118</v>
      </c>
      <c r="M3058" s="36" t="str">
        <f t="shared" si="47"/>
        <v>19700324</v>
      </c>
    </row>
    <row r="3059" s="1" customFormat="1" spans="1:13">
      <c r="A3059" s="2">
        <v>2613</v>
      </c>
      <c r="B3059" s="32" t="s">
        <v>5602</v>
      </c>
      <c r="C3059" s="9" t="s">
        <v>5760</v>
      </c>
      <c r="D3059" s="9" t="s">
        <v>5761</v>
      </c>
      <c r="E3059" s="32">
        <v>2020</v>
      </c>
      <c r="F3059" s="32">
        <v>2020</v>
      </c>
      <c r="G3059" s="32" t="s">
        <v>16</v>
      </c>
      <c r="H3059" s="9">
        <v>200</v>
      </c>
      <c r="I3059" s="9">
        <v>200</v>
      </c>
      <c r="J3059" s="32"/>
      <c r="K3059" s="52"/>
      <c r="L3059" s="10">
        <v>20201118</v>
      </c>
      <c r="M3059" s="36" t="str">
        <f t="shared" si="47"/>
        <v>19700325</v>
      </c>
    </row>
    <row r="3060" s="1" customFormat="1" spans="1:13">
      <c r="A3060" s="2">
        <v>2434</v>
      </c>
      <c r="B3060" s="5" t="s">
        <v>5328</v>
      </c>
      <c r="C3060" s="16" t="s">
        <v>5407</v>
      </c>
      <c r="D3060" s="16" t="s">
        <v>5408</v>
      </c>
      <c r="E3060" s="5" t="s">
        <v>15</v>
      </c>
      <c r="F3060" s="5" t="s">
        <v>15</v>
      </c>
      <c r="G3060" s="14" t="s">
        <v>16</v>
      </c>
      <c r="H3060" s="6">
        <v>200</v>
      </c>
      <c r="I3060" s="6">
        <v>200</v>
      </c>
      <c r="J3060" s="5"/>
      <c r="K3060" s="5"/>
      <c r="L3060" s="10">
        <v>20201118</v>
      </c>
      <c r="M3060" s="36" t="str">
        <f t="shared" si="47"/>
        <v>19700326</v>
      </c>
    </row>
    <row r="3061" s="1" customFormat="1" ht="14.25" spans="1:13">
      <c r="A3061" s="2">
        <v>5310</v>
      </c>
      <c r="B3061" s="33" t="s">
        <v>10535</v>
      </c>
      <c r="C3061" s="34" t="s">
        <v>3884</v>
      </c>
      <c r="D3061" s="34" t="s">
        <v>10736</v>
      </c>
      <c r="E3061" s="35">
        <v>2020</v>
      </c>
      <c r="F3061" s="35">
        <v>2020</v>
      </c>
      <c r="G3061" s="35" t="s">
        <v>16</v>
      </c>
      <c r="H3061" s="34">
        <v>200</v>
      </c>
      <c r="I3061" s="34">
        <v>200</v>
      </c>
      <c r="J3061" s="49"/>
      <c r="K3061" s="10"/>
      <c r="L3061" s="10">
        <v>20201118</v>
      </c>
      <c r="M3061" s="36" t="str">
        <f t="shared" si="47"/>
        <v>19700327</v>
      </c>
    </row>
    <row r="3062" s="1" customFormat="1" ht="14.25" spans="1:13">
      <c r="A3062" s="2">
        <v>7731</v>
      </c>
      <c r="B3062" s="5" t="s">
        <v>14875</v>
      </c>
      <c r="C3062" s="51" t="s">
        <v>14973</v>
      </c>
      <c r="D3062" s="24" t="str">
        <f>"152326197004027128"</f>
        <v>152326197004027128</v>
      </c>
      <c r="E3062" s="6" t="s">
        <v>15</v>
      </c>
      <c r="F3062" s="6">
        <v>2020</v>
      </c>
      <c r="G3062" s="24" t="s">
        <v>14877</v>
      </c>
      <c r="H3062" s="6">
        <v>200</v>
      </c>
      <c r="I3062" s="6">
        <v>200</v>
      </c>
      <c r="J3062" s="6"/>
      <c r="K3062" s="10"/>
      <c r="L3062" s="10">
        <v>20201118</v>
      </c>
      <c r="M3062" s="36" t="str">
        <f t="shared" si="47"/>
        <v>19700402</v>
      </c>
    </row>
    <row r="3063" s="1" customFormat="1" spans="1:13">
      <c r="A3063" s="2">
        <v>3251</v>
      </c>
      <c r="B3063" s="3" t="s">
        <v>6671</v>
      </c>
      <c r="C3063" s="6" t="s">
        <v>7005</v>
      </c>
      <c r="D3063" s="6" t="s">
        <v>7006</v>
      </c>
      <c r="E3063" s="3" t="s">
        <v>15</v>
      </c>
      <c r="F3063" s="3" t="s">
        <v>15</v>
      </c>
      <c r="G3063" s="6" t="s">
        <v>3359</v>
      </c>
      <c r="H3063" s="9">
        <v>200</v>
      </c>
      <c r="I3063" s="9">
        <v>200</v>
      </c>
      <c r="J3063" s="6"/>
      <c r="K3063" s="5"/>
      <c r="L3063" s="10">
        <v>20201118</v>
      </c>
      <c r="M3063" s="36" t="str">
        <f t="shared" si="47"/>
        <v>19700404</v>
      </c>
    </row>
    <row r="3064" s="1" customFormat="1" spans="1:13">
      <c r="A3064" s="2">
        <v>5072</v>
      </c>
      <c r="B3064" s="6" t="s">
        <v>10242</v>
      </c>
      <c r="C3064" s="9" t="s">
        <v>10279</v>
      </c>
      <c r="D3064" s="9" t="s">
        <v>10280</v>
      </c>
      <c r="E3064" s="5" t="s">
        <v>10250</v>
      </c>
      <c r="F3064" s="5">
        <v>2020</v>
      </c>
      <c r="G3064" s="6" t="s">
        <v>16</v>
      </c>
      <c r="H3064" s="6">
        <v>200</v>
      </c>
      <c r="I3064" s="6">
        <v>200</v>
      </c>
      <c r="J3064" s="6"/>
      <c r="K3064" s="5"/>
      <c r="L3064" s="10">
        <v>20201118</v>
      </c>
      <c r="M3064" s="36" t="str">
        <f t="shared" si="47"/>
        <v>19700404</v>
      </c>
    </row>
    <row r="3065" s="1" customFormat="1" ht="14.25" spans="1:13">
      <c r="A3065" s="2">
        <v>2911</v>
      </c>
      <c r="B3065" s="6" t="s">
        <v>6075</v>
      </c>
      <c r="C3065" s="25" t="s">
        <v>6350</v>
      </c>
      <c r="D3065" s="26" t="s">
        <v>6351</v>
      </c>
      <c r="E3065" s="5" t="s">
        <v>15</v>
      </c>
      <c r="F3065" s="5">
        <v>2020</v>
      </c>
      <c r="G3065" s="6" t="s">
        <v>16</v>
      </c>
      <c r="H3065" s="6">
        <v>200</v>
      </c>
      <c r="I3065" s="6">
        <v>200</v>
      </c>
      <c r="J3065" s="6"/>
      <c r="K3065" s="10"/>
      <c r="L3065" s="10">
        <v>20201118</v>
      </c>
      <c r="M3065" s="36" t="str">
        <f t="shared" si="47"/>
        <v>19700405</v>
      </c>
    </row>
    <row r="3066" s="1" customFormat="1" spans="1:13">
      <c r="A3066" s="2">
        <v>3806</v>
      </c>
      <c r="B3066" s="5" t="s">
        <v>7412</v>
      </c>
      <c r="C3066" s="5" t="s">
        <v>7654</v>
      </c>
      <c r="D3066" s="5" t="s">
        <v>7858</v>
      </c>
      <c r="E3066" s="6">
        <v>2020</v>
      </c>
      <c r="F3066" s="6">
        <v>2020</v>
      </c>
      <c r="G3066" s="5" t="s">
        <v>3359</v>
      </c>
      <c r="H3066" s="5">
        <v>200</v>
      </c>
      <c r="I3066" s="5">
        <v>200</v>
      </c>
      <c r="J3066" s="5"/>
      <c r="K3066" s="5"/>
      <c r="L3066" s="10">
        <v>20201118</v>
      </c>
      <c r="M3066" s="36" t="str">
        <f t="shared" si="47"/>
        <v>19700405</v>
      </c>
    </row>
    <row r="3067" s="1" customFormat="1" spans="1:13">
      <c r="A3067" s="2">
        <v>4602</v>
      </c>
      <c r="B3067" s="6" t="s">
        <v>9015</v>
      </c>
      <c r="C3067" s="6" t="s">
        <v>386</v>
      </c>
      <c r="D3067" s="6" t="s">
        <v>9376</v>
      </c>
      <c r="E3067" s="6">
        <v>2020</v>
      </c>
      <c r="F3067" s="6">
        <v>2020</v>
      </c>
      <c r="G3067" s="6" t="s">
        <v>16</v>
      </c>
      <c r="H3067" s="6">
        <v>200</v>
      </c>
      <c r="I3067" s="6">
        <v>200</v>
      </c>
      <c r="J3067" s="6"/>
      <c r="K3067" s="6"/>
      <c r="L3067" s="10">
        <v>20201118</v>
      </c>
      <c r="M3067" s="36" t="str">
        <f t="shared" si="47"/>
        <v>19700405</v>
      </c>
    </row>
    <row r="3068" s="1" customFormat="1" ht="14.25" spans="1:13">
      <c r="A3068" s="2">
        <v>7726</v>
      </c>
      <c r="B3068" s="5" t="s">
        <v>14875</v>
      </c>
      <c r="C3068" s="51" t="s">
        <v>14968</v>
      </c>
      <c r="D3068" s="24" t="str">
        <f>"152326197004057116"</f>
        <v>152326197004057116</v>
      </c>
      <c r="E3068" s="6" t="s">
        <v>15</v>
      </c>
      <c r="F3068" s="6">
        <v>2020</v>
      </c>
      <c r="G3068" s="24" t="s">
        <v>14877</v>
      </c>
      <c r="H3068" s="6">
        <v>200</v>
      </c>
      <c r="I3068" s="6">
        <v>200</v>
      </c>
      <c r="J3068" s="6"/>
      <c r="K3068" s="10"/>
      <c r="L3068" s="10">
        <v>20201118</v>
      </c>
      <c r="M3068" s="36" t="str">
        <f t="shared" si="47"/>
        <v>19700405</v>
      </c>
    </row>
    <row r="3069" s="1" customFormat="1" spans="1:13">
      <c r="A3069" s="2">
        <v>3807</v>
      </c>
      <c r="B3069" s="5" t="s">
        <v>7412</v>
      </c>
      <c r="C3069" s="5" t="s">
        <v>7131</v>
      </c>
      <c r="D3069" s="5" t="s">
        <v>7859</v>
      </c>
      <c r="E3069" s="6">
        <v>2020</v>
      </c>
      <c r="F3069" s="6">
        <v>2020</v>
      </c>
      <c r="G3069" s="5" t="s">
        <v>3359</v>
      </c>
      <c r="H3069" s="5">
        <v>200</v>
      </c>
      <c r="I3069" s="5">
        <v>200</v>
      </c>
      <c r="J3069" s="5"/>
      <c r="K3069" s="5"/>
      <c r="L3069" s="10">
        <v>20201118</v>
      </c>
      <c r="M3069" s="36" t="str">
        <f t="shared" si="47"/>
        <v>19700407</v>
      </c>
    </row>
    <row r="3070" s="1" customFormat="1" spans="1:13">
      <c r="A3070" s="2">
        <v>5682</v>
      </c>
      <c r="B3070" s="30" t="s">
        <v>11090</v>
      </c>
      <c r="C3070" s="30" t="s">
        <v>11449</v>
      </c>
      <c r="D3070" s="30" t="s">
        <v>11450</v>
      </c>
      <c r="E3070" s="5" t="s">
        <v>15</v>
      </c>
      <c r="F3070" s="5" t="s">
        <v>10250</v>
      </c>
      <c r="G3070" s="6" t="s">
        <v>16</v>
      </c>
      <c r="H3070" s="32">
        <v>200</v>
      </c>
      <c r="I3070" s="32">
        <v>200</v>
      </c>
      <c r="J3070" s="6" t="s">
        <v>6097</v>
      </c>
      <c r="K3070" s="48"/>
      <c r="L3070" s="10">
        <v>20201118</v>
      </c>
      <c r="M3070" s="36" t="str">
        <f t="shared" si="47"/>
        <v>19700407</v>
      </c>
    </row>
    <row r="3071" s="1" customFormat="1" spans="1:13">
      <c r="A3071" s="2">
        <v>5185</v>
      </c>
      <c r="B3071" s="6" t="s">
        <v>10242</v>
      </c>
      <c r="C3071" s="9" t="s">
        <v>10493</v>
      </c>
      <c r="D3071" s="9" t="s">
        <v>10494</v>
      </c>
      <c r="E3071" s="5" t="s">
        <v>10250</v>
      </c>
      <c r="F3071" s="5">
        <v>2020</v>
      </c>
      <c r="G3071" s="6" t="s">
        <v>16</v>
      </c>
      <c r="H3071" s="6">
        <v>200</v>
      </c>
      <c r="I3071" s="6">
        <v>200</v>
      </c>
      <c r="J3071" s="6"/>
      <c r="K3071" s="5"/>
      <c r="L3071" s="10">
        <v>20201118</v>
      </c>
      <c r="M3071" s="36" t="str">
        <f t="shared" si="47"/>
        <v>19700409</v>
      </c>
    </row>
    <row r="3072" s="1" customFormat="1" spans="1:13">
      <c r="A3072" s="2">
        <v>1061</v>
      </c>
      <c r="B3072" s="5" t="s">
        <v>2469</v>
      </c>
      <c r="C3072" s="9" t="s">
        <v>2712</v>
      </c>
      <c r="D3072" s="9" t="s">
        <v>2713</v>
      </c>
      <c r="E3072" s="5">
        <v>2020</v>
      </c>
      <c r="F3072" s="5">
        <v>2020</v>
      </c>
      <c r="G3072" s="9" t="s">
        <v>2480</v>
      </c>
      <c r="H3072" s="9">
        <v>200</v>
      </c>
      <c r="I3072" s="9">
        <v>200</v>
      </c>
      <c r="J3072" s="5"/>
      <c r="K3072" s="5"/>
      <c r="L3072" s="10">
        <v>20201118</v>
      </c>
      <c r="M3072" s="36" t="str">
        <f t="shared" si="47"/>
        <v>19700410</v>
      </c>
    </row>
    <row r="3073" s="1" customFormat="1" spans="1:13">
      <c r="A3073" s="2">
        <v>6115</v>
      </c>
      <c r="B3073" s="5" t="s">
        <v>12263</v>
      </c>
      <c r="C3073" s="5" t="s">
        <v>12267</v>
      </c>
      <c r="D3073" s="5" t="s">
        <v>12268</v>
      </c>
      <c r="E3073" s="5" t="s">
        <v>10250</v>
      </c>
      <c r="F3073" s="5">
        <v>2020</v>
      </c>
      <c r="G3073" s="17" t="s">
        <v>3359</v>
      </c>
      <c r="H3073" s="5">
        <v>200</v>
      </c>
      <c r="I3073" s="5">
        <v>200</v>
      </c>
      <c r="J3073" s="5"/>
      <c r="K3073" s="5"/>
      <c r="L3073" s="10">
        <v>20201118</v>
      </c>
      <c r="M3073" s="36" t="str">
        <f t="shared" si="47"/>
        <v>19700410</v>
      </c>
    </row>
    <row r="3074" s="1" customFormat="1" spans="1:13">
      <c r="A3074" s="2">
        <v>1062</v>
      </c>
      <c r="B3074" s="5" t="s">
        <v>2469</v>
      </c>
      <c r="C3074" s="9" t="s">
        <v>2714</v>
      </c>
      <c r="D3074" s="9" t="s">
        <v>2715</v>
      </c>
      <c r="E3074" s="5">
        <v>2020</v>
      </c>
      <c r="F3074" s="5">
        <v>2020</v>
      </c>
      <c r="G3074" s="9" t="s">
        <v>2480</v>
      </c>
      <c r="H3074" s="9">
        <v>200</v>
      </c>
      <c r="I3074" s="9">
        <v>200</v>
      </c>
      <c r="J3074" s="5"/>
      <c r="K3074" s="5"/>
      <c r="L3074" s="10">
        <v>20201118</v>
      </c>
      <c r="M3074" s="36" t="str">
        <f t="shared" ref="M3074:M3137" si="48">MID(D3074,7,8)</f>
        <v>19700411</v>
      </c>
    </row>
    <row r="3075" s="1" customFormat="1" spans="1:13">
      <c r="A3075" s="2">
        <v>1063</v>
      </c>
      <c r="B3075" s="5" t="s">
        <v>2469</v>
      </c>
      <c r="C3075" s="9" t="s">
        <v>2716</v>
      </c>
      <c r="D3075" s="9" t="s">
        <v>2717</v>
      </c>
      <c r="E3075" s="5">
        <v>2020</v>
      </c>
      <c r="F3075" s="5">
        <v>2020</v>
      </c>
      <c r="G3075" s="9" t="s">
        <v>2480</v>
      </c>
      <c r="H3075" s="9">
        <v>200</v>
      </c>
      <c r="I3075" s="9">
        <v>200</v>
      </c>
      <c r="J3075" s="5"/>
      <c r="K3075" s="5"/>
      <c r="L3075" s="10">
        <v>20201118</v>
      </c>
      <c r="M3075" s="36" t="str">
        <f t="shared" si="48"/>
        <v>19700411</v>
      </c>
    </row>
    <row r="3076" s="1" customFormat="1" spans="1:13">
      <c r="A3076" s="2">
        <v>6158</v>
      </c>
      <c r="B3076" s="5" t="s">
        <v>12263</v>
      </c>
      <c r="C3076" s="5" t="s">
        <v>12348</v>
      </c>
      <c r="D3076" s="5" t="s">
        <v>12349</v>
      </c>
      <c r="E3076" s="5" t="s">
        <v>10250</v>
      </c>
      <c r="F3076" s="5">
        <v>2020</v>
      </c>
      <c r="G3076" s="17" t="s">
        <v>3359</v>
      </c>
      <c r="H3076" s="5">
        <v>200</v>
      </c>
      <c r="I3076" s="5">
        <v>200</v>
      </c>
      <c r="J3076" s="5"/>
      <c r="K3076" s="5"/>
      <c r="L3076" s="10">
        <v>20201118</v>
      </c>
      <c r="M3076" s="36" t="str">
        <f t="shared" si="48"/>
        <v>19700413</v>
      </c>
    </row>
    <row r="3077" s="1" customFormat="1" spans="1:13">
      <c r="A3077" s="2">
        <v>1064</v>
      </c>
      <c r="B3077" s="5" t="s">
        <v>2469</v>
      </c>
      <c r="C3077" s="9" t="s">
        <v>2718</v>
      </c>
      <c r="D3077" s="9" t="s">
        <v>2719</v>
      </c>
      <c r="E3077" s="5">
        <v>2020</v>
      </c>
      <c r="F3077" s="5">
        <v>2020</v>
      </c>
      <c r="G3077" s="9" t="s">
        <v>2480</v>
      </c>
      <c r="H3077" s="9">
        <v>200</v>
      </c>
      <c r="I3077" s="9">
        <v>200</v>
      </c>
      <c r="J3077" s="5"/>
      <c r="K3077" s="5"/>
      <c r="L3077" s="10">
        <v>20201118</v>
      </c>
      <c r="M3077" s="36" t="str">
        <f t="shared" si="48"/>
        <v>19700414</v>
      </c>
    </row>
    <row r="3078" s="1" customFormat="1" ht="14.25" spans="1:13">
      <c r="A3078" s="2">
        <v>3026</v>
      </c>
      <c r="B3078" s="6" t="s">
        <v>6075</v>
      </c>
      <c r="C3078" s="25" t="s">
        <v>6575</v>
      </c>
      <c r="D3078" s="26" t="s">
        <v>6576</v>
      </c>
      <c r="E3078" s="5" t="s">
        <v>15</v>
      </c>
      <c r="F3078" s="5">
        <v>2020</v>
      </c>
      <c r="G3078" s="6" t="s">
        <v>16</v>
      </c>
      <c r="H3078" s="6">
        <v>200</v>
      </c>
      <c r="I3078" s="6">
        <v>200</v>
      </c>
      <c r="J3078" s="6"/>
      <c r="K3078" s="10"/>
      <c r="L3078" s="10">
        <v>20201118</v>
      </c>
      <c r="M3078" s="36" t="str">
        <f t="shared" si="48"/>
        <v>19700414</v>
      </c>
    </row>
    <row r="3079" s="1" customFormat="1" spans="1:13">
      <c r="A3079" s="2">
        <v>6611</v>
      </c>
      <c r="B3079" s="5" t="s">
        <v>13027</v>
      </c>
      <c r="C3079" s="15" t="s">
        <v>13209</v>
      </c>
      <c r="D3079" s="15" t="s">
        <v>13210</v>
      </c>
      <c r="E3079" s="5">
        <v>2020</v>
      </c>
      <c r="F3079" s="5">
        <v>2020</v>
      </c>
      <c r="G3079" s="14" t="s">
        <v>16</v>
      </c>
      <c r="H3079" s="15">
        <v>200</v>
      </c>
      <c r="I3079" s="15">
        <v>200</v>
      </c>
      <c r="J3079" s="5"/>
      <c r="K3079" s="10"/>
      <c r="L3079" s="10">
        <v>20201118</v>
      </c>
      <c r="M3079" s="36" t="str">
        <f t="shared" si="48"/>
        <v>19700415</v>
      </c>
    </row>
    <row r="3080" s="1" customFormat="1" spans="1:13">
      <c r="A3080" s="2">
        <v>7988</v>
      </c>
      <c r="B3080" s="5" t="s">
        <v>15086</v>
      </c>
      <c r="C3080" s="6" t="s">
        <v>15262</v>
      </c>
      <c r="D3080" s="6" t="str">
        <f>"152326197004156886"</f>
        <v>152326197004156886</v>
      </c>
      <c r="E3080" s="5" t="s">
        <v>15</v>
      </c>
      <c r="F3080" s="5">
        <v>2020</v>
      </c>
      <c r="G3080" s="5" t="s">
        <v>16</v>
      </c>
      <c r="H3080" s="5">
        <v>200</v>
      </c>
      <c r="I3080" s="5">
        <v>200</v>
      </c>
      <c r="J3080" s="5"/>
      <c r="K3080" s="5"/>
      <c r="L3080" s="10">
        <v>20201118</v>
      </c>
      <c r="M3080" s="36" t="str">
        <f t="shared" si="48"/>
        <v>19700415</v>
      </c>
    </row>
    <row r="3081" s="1" customFormat="1" spans="1:13">
      <c r="A3081" s="2">
        <v>1065</v>
      </c>
      <c r="B3081" s="5" t="s">
        <v>2469</v>
      </c>
      <c r="C3081" s="9" t="s">
        <v>2720</v>
      </c>
      <c r="D3081" s="9" t="s">
        <v>2721</v>
      </c>
      <c r="E3081" s="5">
        <v>2020</v>
      </c>
      <c r="F3081" s="5">
        <v>2020</v>
      </c>
      <c r="G3081" s="9" t="s">
        <v>2480</v>
      </c>
      <c r="H3081" s="9">
        <v>200</v>
      </c>
      <c r="I3081" s="9">
        <v>200</v>
      </c>
      <c r="J3081" s="5"/>
      <c r="K3081" s="5"/>
      <c r="L3081" s="10">
        <v>20201118</v>
      </c>
      <c r="M3081" s="36" t="str">
        <f t="shared" si="48"/>
        <v>19700416</v>
      </c>
    </row>
    <row r="3082" s="1" customFormat="1" spans="1:13">
      <c r="A3082" s="2">
        <v>1912</v>
      </c>
      <c r="B3082" s="5" t="s">
        <v>4189</v>
      </c>
      <c r="C3082" s="16" t="s">
        <v>4384</v>
      </c>
      <c r="D3082" s="16" t="s">
        <v>4385</v>
      </c>
      <c r="E3082" s="5" t="s">
        <v>15</v>
      </c>
      <c r="F3082" s="5" t="s">
        <v>15</v>
      </c>
      <c r="G3082" s="5" t="s">
        <v>3359</v>
      </c>
      <c r="H3082" s="16">
        <v>200</v>
      </c>
      <c r="I3082" s="16">
        <v>200</v>
      </c>
      <c r="J3082" s="5"/>
      <c r="K3082" s="10"/>
      <c r="L3082" s="10">
        <v>20201118</v>
      </c>
      <c r="M3082" s="36" t="str">
        <f t="shared" si="48"/>
        <v>19700416</v>
      </c>
    </row>
    <row r="3083" s="1" customFormat="1" spans="1:13">
      <c r="A3083" s="2">
        <v>1604</v>
      </c>
      <c r="B3083" s="5" t="s">
        <v>3381</v>
      </c>
      <c r="C3083" s="9" t="s">
        <v>3772</v>
      </c>
      <c r="D3083" s="9" t="s">
        <v>3773</v>
      </c>
      <c r="E3083" s="5">
        <v>2020</v>
      </c>
      <c r="F3083" s="5">
        <v>2020</v>
      </c>
      <c r="G3083" s="14" t="s">
        <v>16</v>
      </c>
      <c r="H3083" s="6">
        <v>200</v>
      </c>
      <c r="I3083" s="6">
        <v>200</v>
      </c>
      <c r="J3083" s="5"/>
      <c r="K3083" s="13"/>
      <c r="L3083" s="10">
        <v>20201118</v>
      </c>
      <c r="M3083" s="36" t="str">
        <f t="shared" si="48"/>
        <v>19700417</v>
      </c>
    </row>
    <row r="3084" s="1" customFormat="1" spans="1:13">
      <c r="A3084" s="2">
        <v>3411</v>
      </c>
      <c r="B3084" s="5" t="s">
        <v>3375</v>
      </c>
      <c r="C3084" s="6" t="s">
        <v>7189</v>
      </c>
      <c r="D3084" s="6" t="str">
        <f>"152326197004186866"</f>
        <v>152326197004186866</v>
      </c>
      <c r="E3084" s="5" t="s">
        <v>15</v>
      </c>
      <c r="F3084" s="5">
        <v>2020</v>
      </c>
      <c r="G3084" s="14" t="s">
        <v>16</v>
      </c>
      <c r="H3084" s="17">
        <v>200</v>
      </c>
      <c r="I3084" s="17">
        <v>200</v>
      </c>
      <c r="J3084" s="6"/>
      <c r="K3084" s="10"/>
      <c r="L3084" s="10">
        <v>20201118</v>
      </c>
      <c r="M3084" s="36" t="str">
        <f t="shared" si="48"/>
        <v>19700418</v>
      </c>
    </row>
    <row r="3085" s="1" customFormat="1" spans="1:13">
      <c r="A3085" s="2">
        <v>5671</v>
      </c>
      <c r="B3085" s="30" t="s">
        <v>11090</v>
      </c>
      <c r="C3085" s="30" t="s">
        <v>11427</v>
      </c>
      <c r="D3085" s="30" t="s">
        <v>11428</v>
      </c>
      <c r="E3085" s="5" t="s">
        <v>15</v>
      </c>
      <c r="F3085" s="5" t="s">
        <v>10250</v>
      </c>
      <c r="G3085" s="6" t="s">
        <v>16</v>
      </c>
      <c r="H3085" s="32">
        <v>500</v>
      </c>
      <c r="I3085" s="32">
        <v>500</v>
      </c>
      <c r="J3085" s="6"/>
      <c r="K3085" s="48"/>
      <c r="L3085" s="10">
        <v>20201118</v>
      </c>
      <c r="M3085" s="36" t="str">
        <f t="shared" si="48"/>
        <v>19700418</v>
      </c>
    </row>
    <row r="3086" s="1" customFormat="1" spans="1:13">
      <c r="A3086" s="2">
        <v>1605</v>
      </c>
      <c r="B3086" s="5" t="s">
        <v>3381</v>
      </c>
      <c r="C3086" s="9" t="s">
        <v>3774</v>
      </c>
      <c r="D3086" s="9" t="s">
        <v>3775</v>
      </c>
      <c r="E3086" s="5">
        <v>2020</v>
      </c>
      <c r="F3086" s="5">
        <v>2020</v>
      </c>
      <c r="G3086" s="14" t="s">
        <v>16</v>
      </c>
      <c r="H3086" s="6">
        <v>200</v>
      </c>
      <c r="I3086" s="6">
        <v>200</v>
      </c>
      <c r="J3086" s="5"/>
      <c r="K3086" s="13"/>
      <c r="L3086" s="10">
        <v>20201118</v>
      </c>
      <c r="M3086" s="36" t="str">
        <f t="shared" si="48"/>
        <v>19700419</v>
      </c>
    </row>
    <row r="3087" s="1" customFormat="1" spans="1:13">
      <c r="A3087" s="2">
        <v>4571</v>
      </c>
      <c r="B3087" s="6" t="s">
        <v>9015</v>
      </c>
      <c r="C3087" s="6" t="s">
        <v>9319</v>
      </c>
      <c r="D3087" s="6" t="s">
        <v>9320</v>
      </c>
      <c r="E3087" s="6">
        <v>2020</v>
      </c>
      <c r="F3087" s="6">
        <v>2020</v>
      </c>
      <c r="G3087" s="6" t="s">
        <v>16</v>
      </c>
      <c r="H3087" s="6">
        <v>200</v>
      </c>
      <c r="I3087" s="6">
        <v>200</v>
      </c>
      <c r="J3087" s="6" t="s">
        <v>1038</v>
      </c>
      <c r="K3087" s="6"/>
      <c r="L3087" s="10">
        <v>20201118</v>
      </c>
      <c r="M3087" s="36" t="str">
        <f t="shared" si="48"/>
        <v>19700420</v>
      </c>
    </row>
    <row r="3088" s="1" customFormat="1" ht="14.25" spans="1:13">
      <c r="A3088" s="2">
        <v>2815</v>
      </c>
      <c r="B3088" s="6" t="s">
        <v>6075</v>
      </c>
      <c r="C3088" s="25" t="s">
        <v>6157</v>
      </c>
      <c r="D3088" s="26" t="s">
        <v>6158</v>
      </c>
      <c r="E3088" s="5" t="s">
        <v>15</v>
      </c>
      <c r="F3088" s="5">
        <v>2020</v>
      </c>
      <c r="G3088" s="6" t="s">
        <v>16</v>
      </c>
      <c r="H3088" s="6">
        <v>200</v>
      </c>
      <c r="I3088" s="6">
        <v>200</v>
      </c>
      <c r="J3088" s="6"/>
      <c r="K3088" s="10"/>
      <c r="L3088" s="10">
        <v>20201118</v>
      </c>
      <c r="M3088" s="36" t="str">
        <f t="shared" si="48"/>
        <v>19700427</v>
      </c>
    </row>
    <row r="3089" s="1" customFormat="1" spans="1:13">
      <c r="A3089" s="2">
        <v>1606</v>
      </c>
      <c r="B3089" s="5" t="s">
        <v>3381</v>
      </c>
      <c r="C3089" s="9" t="s">
        <v>3776</v>
      </c>
      <c r="D3089" s="9" t="s">
        <v>3777</v>
      </c>
      <c r="E3089" s="5">
        <v>2020</v>
      </c>
      <c r="F3089" s="5">
        <v>2020</v>
      </c>
      <c r="G3089" s="14" t="s">
        <v>16</v>
      </c>
      <c r="H3089" s="6">
        <v>200</v>
      </c>
      <c r="I3089" s="6">
        <v>200</v>
      </c>
      <c r="J3089" s="5"/>
      <c r="K3089" s="13"/>
      <c r="L3089" s="10">
        <v>20201118</v>
      </c>
      <c r="M3089" s="36" t="str">
        <f t="shared" si="48"/>
        <v>19700428</v>
      </c>
    </row>
    <row r="3090" s="1" customFormat="1" spans="1:13">
      <c r="A3090" s="2">
        <v>7990</v>
      </c>
      <c r="B3090" s="5" t="s">
        <v>15086</v>
      </c>
      <c r="C3090" s="6" t="s">
        <v>15264</v>
      </c>
      <c r="D3090" s="6" t="str">
        <f>"152326197004296862"</f>
        <v>152326197004296862</v>
      </c>
      <c r="E3090" s="5" t="s">
        <v>15</v>
      </c>
      <c r="F3090" s="5">
        <v>2020</v>
      </c>
      <c r="G3090" s="5" t="s">
        <v>16</v>
      </c>
      <c r="H3090" s="5">
        <v>500</v>
      </c>
      <c r="I3090" s="5">
        <v>500</v>
      </c>
      <c r="J3090" s="5"/>
      <c r="K3090" s="5"/>
      <c r="L3090" s="10">
        <v>20201118</v>
      </c>
      <c r="M3090" s="36" t="str">
        <f t="shared" si="48"/>
        <v>19700429</v>
      </c>
    </row>
    <row r="3091" s="1" customFormat="1" spans="1:13">
      <c r="A3091" s="2">
        <v>499</v>
      </c>
      <c r="B3091" s="29" t="s">
        <v>1040</v>
      </c>
      <c r="C3091" s="29" t="s">
        <v>1275</v>
      </c>
      <c r="D3091" s="29" t="s">
        <v>1276</v>
      </c>
      <c r="E3091" s="30">
        <v>2020</v>
      </c>
      <c r="F3091" s="30">
        <v>2020</v>
      </c>
      <c r="G3091" s="29" t="s">
        <v>16</v>
      </c>
      <c r="H3091" s="29">
        <v>200</v>
      </c>
      <c r="I3091" s="29">
        <v>200</v>
      </c>
      <c r="J3091" s="29"/>
      <c r="K3091" s="47"/>
      <c r="L3091" s="14" t="s">
        <v>330</v>
      </c>
      <c r="M3091" s="36" t="str">
        <f t="shared" si="48"/>
        <v>19700501</v>
      </c>
    </row>
    <row r="3092" s="1" customFormat="1" spans="1:13">
      <c r="A3092" s="2">
        <v>3128</v>
      </c>
      <c r="B3092" s="3" t="s">
        <v>6671</v>
      </c>
      <c r="C3092" s="9" t="s">
        <v>6777</v>
      </c>
      <c r="D3092" s="9" t="s">
        <v>6778</v>
      </c>
      <c r="E3092" s="3" t="s">
        <v>15</v>
      </c>
      <c r="F3092" s="3" t="s">
        <v>15</v>
      </c>
      <c r="G3092" s="6" t="s">
        <v>3359</v>
      </c>
      <c r="H3092" s="9">
        <v>200</v>
      </c>
      <c r="I3092" s="9">
        <v>200</v>
      </c>
      <c r="J3092" s="6"/>
      <c r="K3092" s="5"/>
      <c r="L3092" s="10">
        <v>20201118</v>
      </c>
      <c r="M3092" s="36" t="str">
        <f t="shared" si="48"/>
        <v>19700502</v>
      </c>
    </row>
    <row r="3093" s="1" customFormat="1" spans="1:13">
      <c r="A3093" s="2">
        <v>1066</v>
      </c>
      <c r="B3093" s="5" t="s">
        <v>2469</v>
      </c>
      <c r="C3093" s="9" t="s">
        <v>2722</v>
      </c>
      <c r="D3093" s="9" t="s">
        <v>2723</v>
      </c>
      <c r="E3093" s="5">
        <v>2020</v>
      </c>
      <c r="F3093" s="5">
        <v>2020</v>
      </c>
      <c r="G3093" s="9" t="s">
        <v>2480</v>
      </c>
      <c r="H3093" s="9">
        <v>200</v>
      </c>
      <c r="I3093" s="9">
        <v>200</v>
      </c>
      <c r="J3093" s="5"/>
      <c r="K3093" s="5"/>
      <c r="L3093" s="10">
        <v>20201118</v>
      </c>
      <c r="M3093" s="36" t="str">
        <f t="shared" si="48"/>
        <v>19700503</v>
      </c>
    </row>
    <row r="3094" s="1" customFormat="1" spans="1:13">
      <c r="A3094" s="2">
        <v>10</v>
      </c>
      <c r="B3094" s="2" t="s">
        <v>12</v>
      </c>
      <c r="C3094" s="2" t="s">
        <v>33</v>
      </c>
      <c r="D3094" s="2" t="s">
        <v>34</v>
      </c>
      <c r="E3094" s="3" t="s">
        <v>15</v>
      </c>
      <c r="F3094" s="3" t="s">
        <v>15</v>
      </c>
      <c r="G3094" s="2" t="s">
        <v>16</v>
      </c>
      <c r="H3094" s="2">
        <v>500</v>
      </c>
      <c r="I3094" s="2">
        <v>500</v>
      </c>
      <c r="J3094" s="2"/>
      <c r="K3094" s="2" t="s">
        <v>35</v>
      </c>
      <c r="L3094" s="10">
        <v>20201118</v>
      </c>
      <c r="M3094" s="36" t="str">
        <f t="shared" si="48"/>
        <v>19700505</v>
      </c>
    </row>
    <row r="3095" s="1" customFormat="1" spans="1:13">
      <c r="A3095" s="2">
        <v>5697</v>
      </c>
      <c r="B3095" s="30" t="s">
        <v>11090</v>
      </c>
      <c r="C3095" s="30" t="s">
        <v>11479</v>
      </c>
      <c r="D3095" s="30" t="s">
        <v>11480</v>
      </c>
      <c r="E3095" s="5" t="s">
        <v>15</v>
      </c>
      <c r="F3095" s="5" t="s">
        <v>10250</v>
      </c>
      <c r="G3095" s="6" t="s">
        <v>16</v>
      </c>
      <c r="H3095" s="32">
        <v>200</v>
      </c>
      <c r="I3095" s="32">
        <v>200</v>
      </c>
      <c r="J3095" s="6"/>
      <c r="K3095" s="48"/>
      <c r="L3095" s="10">
        <v>20201118</v>
      </c>
      <c r="M3095" s="36" t="str">
        <f t="shared" si="48"/>
        <v>19700506</v>
      </c>
    </row>
    <row r="3096" s="1" customFormat="1" spans="1:13">
      <c r="A3096" s="2">
        <v>4258</v>
      </c>
      <c r="B3096" s="9" t="s">
        <v>8515</v>
      </c>
      <c r="C3096" s="9" t="s">
        <v>8714</v>
      </c>
      <c r="D3096" s="9" t="s">
        <v>8715</v>
      </c>
      <c r="E3096" s="5" t="s">
        <v>15</v>
      </c>
      <c r="F3096" s="5">
        <v>2020</v>
      </c>
      <c r="G3096" s="9" t="s">
        <v>2480</v>
      </c>
      <c r="H3096" s="9">
        <v>200</v>
      </c>
      <c r="I3096" s="9">
        <v>200</v>
      </c>
      <c r="J3096" s="9"/>
      <c r="K3096" s="9"/>
      <c r="L3096" s="10">
        <v>20201118</v>
      </c>
      <c r="M3096" s="36" t="str">
        <f t="shared" si="48"/>
        <v>19700507</v>
      </c>
    </row>
    <row r="3097" s="1" customFormat="1" spans="1:13">
      <c r="A3097" s="2">
        <v>6943</v>
      </c>
      <c r="B3097" s="5" t="s">
        <v>13533</v>
      </c>
      <c r="C3097" s="32" t="s">
        <v>13692</v>
      </c>
      <c r="D3097" s="32" t="s">
        <v>13693</v>
      </c>
      <c r="E3097" s="5">
        <v>2020</v>
      </c>
      <c r="F3097" s="5">
        <v>2020</v>
      </c>
      <c r="G3097" s="9" t="s">
        <v>2480</v>
      </c>
      <c r="H3097" s="32">
        <v>200</v>
      </c>
      <c r="I3097" s="32">
        <v>200</v>
      </c>
      <c r="J3097" s="32"/>
      <c r="K3097" s="10"/>
      <c r="L3097" s="10">
        <v>20201118</v>
      </c>
      <c r="M3097" s="36" t="str">
        <f t="shared" si="48"/>
        <v>19700509</v>
      </c>
    </row>
    <row r="3098" s="1" customFormat="1" spans="1:13">
      <c r="A3098" s="2">
        <v>3808</v>
      </c>
      <c r="B3098" s="5" t="s">
        <v>7412</v>
      </c>
      <c r="C3098" s="5" t="s">
        <v>2218</v>
      </c>
      <c r="D3098" s="5" t="s">
        <v>7860</v>
      </c>
      <c r="E3098" s="6">
        <v>2020</v>
      </c>
      <c r="F3098" s="6">
        <v>2020</v>
      </c>
      <c r="G3098" s="5" t="s">
        <v>3359</v>
      </c>
      <c r="H3098" s="5">
        <v>200</v>
      </c>
      <c r="I3098" s="5">
        <v>200</v>
      </c>
      <c r="J3098" s="5"/>
      <c r="K3098" s="5"/>
      <c r="L3098" s="10">
        <v>20201118</v>
      </c>
      <c r="M3098" s="36" t="str">
        <f t="shared" si="48"/>
        <v>19700510</v>
      </c>
    </row>
    <row r="3099" s="1" customFormat="1" spans="1:13">
      <c r="A3099" s="2">
        <v>5746</v>
      </c>
      <c r="B3099" s="30" t="s">
        <v>11090</v>
      </c>
      <c r="C3099" s="30" t="s">
        <v>11576</v>
      </c>
      <c r="D3099" s="30" t="s">
        <v>11577</v>
      </c>
      <c r="E3099" s="5" t="s">
        <v>15</v>
      </c>
      <c r="F3099" s="5" t="s">
        <v>10250</v>
      </c>
      <c r="G3099" s="6" t="s">
        <v>16</v>
      </c>
      <c r="H3099" s="32">
        <v>200</v>
      </c>
      <c r="I3099" s="32">
        <v>200</v>
      </c>
      <c r="J3099" s="6"/>
      <c r="K3099" s="48"/>
      <c r="L3099" s="10">
        <v>20201118</v>
      </c>
      <c r="M3099" s="36" t="str">
        <f t="shared" si="48"/>
        <v>19700510</v>
      </c>
    </row>
    <row r="3100" s="1" customFormat="1" spans="1:13">
      <c r="A3100" s="2">
        <v>4682</v>
      </c>
      <c r="B3100" s="6" t="s">
        <v>9015</v>
      </c>
      <c r="C3100" s="6" t="s">
        <v>9527</v>
      </c>
      <c r="D3100" s="6" t="s">
        <v>9528</v>
      </c>
      <c r="E3100" s="6">
        <v>2020</v>
      </c>
      <c r="F3100" s="6">
        <v>2020</v>
      </c>
      <c r="G3100" s="6" t="s">
        <v>16</v>
      </c>
      <c r="H3100" s="6">
        <v>200</v>
      </c>
      <c r="I3100" s="6">
        <v>200</v>
      </c>
      <c r="J3100" s="6"/>
      <c r="K3100" s="6"/>
      <c r="L3100" s="10">
        <v>20201118</v>
      </c>
      <c r="M3100" s="36" t="str">
        <f t="shared" si="48"/>
        <v>19700511</v>
      </c>
    </row>
    <row r="3101" s="1" customFormat="1" spans="1:13">
      <c r="A3101" s="2">
        <v>5531</v>
      </c>
      <c r="B3101" s="30" t="s">
        <v>11090</v>
      </c>
      <c r="C3101" s="30" t="s">
        <v>11159</v>
      </c>
      <c r="D3101" s="30" t="s">
        <v>11160</v>
      </c>
      <c r="E3101" s="5" t="s">
        <v>15</v>
      </c>
      <c r="F3101" s="5" t="s">
        <v>10250</v>
      </c>
      <c r="G3101" s="6" t="s">
        <v>16</v>
      </c>
      <c r="H3101" s="32">
        <v>200</v>
      </c>
      <c r="I3101" s="32">
        <v>200</v>
      </c>
      <c r="J3101" s="6"/>
      <c r="K3101" s="48"/>
      <c r="L3101" s="10">
        <v>20201118</v>
      </c>
      <c r="M3101" s="36" t="str">
        <f t="shared" si="48"/>
        <v>19700511</v>
      </c>
    </row>
    <row r="3102" s="1" customFormat="1" spans="1:13">
      <c r="A3102" s="2">
        <v>6936</v>
      </c>
      <c r="B3102" s="5" t="s">
        <v>13533</v>
      </c>
      <c r="C3102" s="32" t="s">
        <v>13686</v>
      </c>
      <c r="D3102" s="32" t="str">
        <f>"152326197005127171"</f>
        <v>152326197005127171</v>
      </c>
      <c r="E3102" s="5">
        <v>2020</v>
      </c>
      <c r="F3102" s="5">
        <v>2020</v>
      </c>
      <c r="G3102" s="9" t="s">
        <v>2480</v>
      </c>
      <c r="H3102" s="32">
        <v>200</v>
      </c>
      <c r="I3102" s="32">
        <v>200</v>
      </c>
      <c r="J3102" s="32"/>
      <c r="K3102" s="10"/>
      <c r="L3102" s="10">
        <v>20201118</v>
      </c>
      <c r="M3102" s="36" t="str">
        <f t="shared" si="48"/>
        <v>19700512</v>
      </c>
    </row>
    <row r="3103" s="1" customFormat="1" spans="1:13">
      <c r="A3103" s="2">
        <v>7231</v>
      </c>
      <c r="B3103" s="5" t="s">
        <v>13908</v>
      </c>
      <c r="C3103" s="5" t="s">
        <v>14106</v>
      </c>
      <c r="D3103" s="5" t="s">
        <v>14107</v>
      </c>
      <c r="E3103" s="5" t="s">
        <v>15</v>
      </c>
      <c r="F3103" s="5" t="s">
        <v>15</v>
      </c>
      <c r="G3103" s="14" t="s">
        <v>16</v>
      </c>
      <c r="H3103" s="17">
        <v>1000</v>
      </c>
      <c r="I3103" s="17">
        <v>1000</v>
      </c>
      <c r="J3103" s="5"/>
      <c r="K3103" s="10"/>
      <c r="L3103" s="10">
        <v>20201118</v>
      </c>
      <c r="M3103" s="36" t="str">
        <f t="shared" si="48"/>
        <v>19700512</v>
      </c>
    </row>
    <row r="3104" s="1" customFormat="1" spans="1:13">
      <c r="A3104" s="2">
        <v>2435</v>
      </c>
      <c r="B3104" s="5" t="s">
        <v>5328</v>
      </c>
      <c r="C3104" s="16" t="s">
        <v>5409</v>
      </c>
      <c r="D3104" s="16" t="s">
        <v>5410</v>
      </c>
      <c r="E3104" s="5" t="s">
        <v>15</v>
      </c>
      <c r="F3104" s="5" t="s">
        <v>15</v>
      </c>
      <c r="G3104" s="14" t="s">
        <v>16</v>
      </c>
      <c r="H3104" s="6">
        <v>200</v>
      </c>
      <c r="I3104" s="6">
        <v>200</v>
      </c>
      <c r="J3104" s="5" t="s">
        <v>108</v>
      </c>
      <c r="K3104" s="5"/>
      <c r="L3104" s="10">
        <v>20201118</v>
      </c>
      <c r="M3104" s="36" t="str">
        <f t="shared" si="48"/>
        <v>19700514</v>
      </c>
    </row>
    <row r="3105" s="1" customFormat="1" ht="14.25" spans="1:13">
      <c r="A3105" s="2">
        <v>5311</v>
      </c>
      <c r="B3105" s="33" t="s">
        <v>10535</v>
      </c>
      <c r="C3105" s="34" t="s">
        <v>10737</v>
      </c>
      <c r="D3105" s="34" t="s">
        <v>10738</v>
      </c>
      <c r="E3105" s="35">
        <v>2020</v>
      </c>
      <c r="F3105" s="35">
        <v>2020</v>
      </c>
      <c r="G3105" s="35" t="s">
        <v>16</v>
      </c>
      <c r="H3105" s="34">
        <v>200</v>
      </c>
      <c r="I3105" s="34">
        <v>200</v>
      </c>
      <c r="J3105" s="49"/>
      <c r="K3105" s="10"/>
      <c r="L3105" s="10">
        <v>20201118</v>
      </c>
      <c r="M3105" s="36" t="str">
        <f t="shared" si="48"/>
        <v>19700514</v>
      </c>
    </row>
    <row r="3106" s="1" customFormat="1" spans="1:13">
      <c r="A3106" s="2">
        <v>6169</v>
      </c>
      <c r="B3106" s="5" t="s">
        <v>12263</v>
      </c>
      <c r="C3106" s="5" t="s">
        <v>12369</v>
      </c>
      <c r="D3106" s="5" t="s">
        <v>12370</v>
      </c>
      <c r="E3106" s="5" t="s">
        <v>10250</v>
      </c>
      <c r="F3106" s="5">
        <v>2020</v>
      </c>
      <c r="G3106" s="17" t="s">
        <v>3359</v>
      </c>
      <c r="H3106" s="5">
        <v>200</v>
      </c>
      <c r="I3106" s="5">
        <v>200</v>
      </c>
      <c r="J3106" s="5"/>
      <c r="K3106" s="5"/>
      <c r="L3106" s="10">
        <v>20201118</v>
      </c>
      <c r="M3106" s="36" t="str">
        <f t="shared" si="48"/>
        <v>19700515</v>
      </c>
    </row>
    <row r="3107" s="1" customFormat="1" spans="1:13">
      <c r="A3107" s="2">
        <v>7540</v>
      </c>
      <c r="B3107" s="5" t="s">
        <v>14402</v>
      </c>
      <c r="C3107" s="5" t="s">
        <v>14689</v>
      </c>
      <c r="D3107" s="5" t="s">
        <v>14690</v>
      </c>
      <c r="E3107" s="5">
        <v>2020</v>
      </c>
      <c r="F3107" s="5">
        <v>2020</v>
      </c>
      <c r="G3107" s="17" t="s">
        <v>16</v>
      </c>
      <c r="H3107" s="5">
        <v>1000</v>
      </c>
      <c r="I3107" s="5">
        <v>1000</v>
      </c>
      <c r="J3107" s="5"/>
      <c r="K3107" s="10"/>
      <c r="L3107" s="10">
        <v>20201118</v>
      </c>
      <c r="M3107" s="36" t="str">
        <f t="shared" si="48"/>
        <v>19700515</v>
      </c>
    </row>
    <row r="3108" s="1" customFormat="1" spans="1:13">
      <c r="A3108" s="2">
        <v>5724</v>
      </c>
      <c r="B3108" s="30" t="s">
        <v>11090</v>
      </c>
      <c r="C3108" s="30" t="s">
        <v>11533</v>
      </c>
      <c r="D3108" s="30" t="s">
        <v>11534</v>
      </c>
      <c r="E3108" s="5" t="s">
        <v>15</v>
      </c>
      <c r="F3108" s="5" t="s">
        <v>10250</v>
      </c>
      <c r="G3108" s="6" t="s">
        <v>16</v>
      </c>
      <c r="H3108" s="32">
        <v>200</v>
      </c>
      <c r="I3108" s="32">
        <v>200</v>
      </c>
      <c r="J3108" s="6"/>
      <c r="K3108" s="48"/>
      <c r="L3108" s="10">
        <v>20201118</v>
      </c>
      <c r="M3108" s="36" t="str">
        <f t="shared" si="48"/>
        <v>19700516</v>
      </c>
    </row>
    <row r="3109" s="1" customFormat="1" spans="1:13">
      <c r="A3109" s="2">
        <v>5515</v>
      </c>
      <c r="B3109" s="30" t="s">
        <v>11090</v>
      </c>
      <c r="C3109" s="30" t="s">
        <v>11125</v>
      </c>
      <c r="D3109" s="30" t="s">
        <v>11126</v>
      </c>
      <c r="E3109" s="5" t="s">
        <v>15</v>
      </c>
      <c r="F3109" s="5" t="s">
        <v>10250</v>
      </c>
      <c r="G3109" s="6" t="s">
        <v>16</v>
      </c>
      <c r="H3109" s="32">
        <v>200</v>
      </c>
      <c r="I3109" s="32">
        <v>200</v>
      </c>
      <c r="J3109" s="6"/>
      <c r="K3109" s="48"/>
      <c r="L3109" s="10">
        <v>20201118</v>
      </c>
      <c r="M3109" s="36" t="str">
        <f t="shared" si="48"/>
        <v>19700517</v>
      </c>
    </row>
    <row r="3110" s="1" customFormat="1" spans="1:13">
      <c r="A3110" s="2">
        <v>4535</v>
      </c>
      <c r="B3110" s="6" t="s">
        <v>9015</v>
      </c>
      <c r="C3110" s="6" t="s">
        <v>9250</v>
      </c>
      <c r="D3110" s="6" t="s">
        <v>9251</v>
      </c>
      <c r="E3110" s="6">
        <v>2020</v>
      </c>
      <c r="F3110" s="6">
        <v>2020</v>
      </c>
      <c r="G3110" s="6" t="s">
        <v>16</v>
      </c>
      <c r="H3110" s="6">
        <v>200</v>
      </c>
      <c r="I3110" s="6">
        <v>200</v>
      </c>
      <c r="J3110" s="6"/>
      <c r="K3110" s="6"/>
      <c r="L3110" s="10">
        <v>20201118</v>
      </c>
      <c r="M3110" s="36" t="str">
        <f t="shared" si="48"/>
        <v>19700518</v>
      </c>
    </row>
    <row r="3111" s="1" customFormat="1" spans="1:13">
      <c r="A3111" s="2">
        <v>3408</v>
      </c>
      <c r="B3111" s="5" t="s">
        <v>3375</v>
      </c>
      <c r="C3111" s="6" t="s">
        <v>7186</v>
      </c>
      <c r="D3111" s="6" t="str">
        <f>"152326197005196871"</f>
        <v>152326197005196871</v>
      </c>
      <c r="E3111" s="5" t="s">
        <v>15</v>
      </c>
      <c r="F3111" s="5">
        <v>2020</v>
      </c>
      <c r="G3111" s="14" t="s">
        <v>16</v>
      </c>
      <c r="H3111" s="17">
        <v>200</v>
      </c>
      <c r="I3111" s="17">
        <v>200</v>
      </c>
      <c r="J3111" s="6"/>
      <c r="K3111" s="10"/>
      <c r="L3111" s="10">
        <v>20201118</v>
      </c>
      <c r="M3111" s="36" t="str">
        <f t="shared" si="48"/>
        <v>19700519</v>
      </c>
    </row>
    <row r="3112" s="1" customFormat="1" spans="1:13">
      <c r="A3112" s="2">
        <v>6938</v>
      </c>
      <c r="B3112" s="5" t="s">
        <v>13533</v>
      </c>
      <c r="C3112" s="32" t="s">
        <v>2151</v>
      </c>
      <c r="D3112" s="32" t="str">
        <f>"152326197005197129"</f>
        <v>152326197005197129</v>
      </c>
      <c r="E3112" s="5">
        <v>2020</v>
      </c>
      <c r="F3112" s="5">
        <v>2020</v>
      </c>
      <c r="G3112" s="9" t="s">
        <v>2480</v>
      </c>
      <c r="H3112" s="32">
        <v>200</v>
      </c>
      <c r="I3112" s="32">
        <v>200</v>
      </c>
      <c r="J3112" s="32"/>
      <c r="K3112" s="10"/>
      <c r="L3112" s="10">
        <v>20201118</v>
      </c>
      <c r="M3112" s="36" t="str">
        <f t="shared" si="48"/>
        <v>19700519</v>
      </c>
    </row>
    <row r="3113" s="1" customFormat="1" spans="1:13">
      <c r="A3113" s="2">
        <v>4259</v>
      </c>
      <c r="B3113" s="9" t="s">
        <v>8515</v>
      </c>
      <c r="C3113" s="9" t="s">
        <v>8716</v>
      </c>
      <c r="D3113" s="9" t="s">
        <v>8717</v>
      </c>
      <c r="E3113" s="5" t="s">
        <v>15</v>
      </c>
      <c r="F3113" s="5">
        <v>2020</v>
      </c>
      <c r="G3113" s="9" t="s">
        <v>2480</v>
      </c>
      <c r="H3113" s="9">
        <v>200</v>
      </c>
      <c r="I3113" s="9">
        <v>200</v>
      </c>
      <c r="J3113" s="9"/>
      <c r="K3113" s="9"/>
      <c r="L3113" s="10">
        <v>20201118</v>
      </c>
      <c r="M3113" s="36" t="str">
        <f t="shared" si="48"/>
        <v>19700522</v>
      </c>
    </row>
    <row r="3114" s="1" customFormat="1" spans="1:13">
      <c r="A3114" s="2">
        <v>4434</v>
      </c>
      <c r="B3114" s="6" t="s">
        <v>9015</v>
      </c>
      <c r="C3114" s="6" t="s">
        <v>9056</v>
      </c>
      <c r="D3114" s="6" t="s">
        <v>9057</v>
      </c>
      <c r="E3114" s="6">
        <v>2020</v>
      </c>
      <c r="F3114" s="6">
        <v>2020</v>
      </c>
      <c r="G3114" s="6" t="s">
        <v>16</v>
      </c>
      <c r="H3114" s="6">
        <v>200</v>
      </c>
      <c r="I3114" s="6">
        <v>200</v>
      </c>
      <c r="J3114" s="6"/>
      <c r="K3114" s="6"/>
      <c r="L3114" s="10">
        <v>20201118</v>
      </c>
      <c r="M3114" s="36" t="str">
        <f t="shared" si="48"/>
        <v>19700522</v>
      </c>
    </row>
    <row r="3115" s="1" customFormat="1" spans="1:13">
      <c r="A3115" s="2">
        <v>2614</v>
      </c>
      <c r="B3115" s="32" t="s">
        <v>5602</v>
      </c>
      <c r="C3115" s="9" t="s">
        <v>5762</v>
      </c>
      <c r="D3115" s="9" t="s">
        <v>5763</v>
      </c>
      <c r="E3115" s="32">
        <v>2020</v>
      </c>
      <c r="F3115" s="32">
        <v>2020</v>
      </c>
      <c r="G3115" s="32" t="s">
        <v>16</v>
      </c>
      <c r="H3115" s="9">
        <v>200</v>
      </c>
      <c r="I3115" s="9">
        <v>200</v>
      </c>
      <c r="J3115" s="32"/>
      <c r="K3115" s="52"/>
      <c r="L3115" s="10">
        <v>20201118</v>
      </c>
      <c r="M3115" s="36" t="str">
        <f t="shared" si="48"/>
        <v>19700524</v>
      </c>
    </row>
    <row r="3116" s="1" customFormat="1" spans="1:13">
      <c r="A3116" s="2">
        <v>1607</v>
      </c>
      <c r="B3116" s="5" t="s">
        <v>3381</v>
      </c>
      <c r="C3116" s="9" t="s">
        <v>3778</v>
      </c>
      <c r="D3116" s="9" t="s">
        <v>3779</v>
      </c>
      <c r="E3116" s="5">
        <v>2020</v>
      </c>
      <c r="F3116" s="5">
        <v>2020</v>
      </c>
      <c r="G3116" s="14" t="s">
        <v>16</v>
      </c>
      <c r="H3116" s="6">
        <v>200</v>
      </c>
      <c r="I3116" s="6">
        <v>200</v>
      </c>
      <c r="J3116" s="5"/>
      <c r="K3116" s="13"/>
      <c r="L3116" s="10">
        <v>20201118</v>
      </c>
      <c r="M3116" s="36" t="str">
        <f t="shared" si="48"/>
        <v>19700526</v>
      </c>
    </row>
    <row r="3117" s="1" customFormat="1" spans="1:13">
      <c r="A3117" s="2">
        <v>295</v>
      </c>
      <c r="B3117" s="14" t="s">
        <v>327</v>
      </c>
      <c r="C3117" s="17" t="s">
        <v>773</v>
      </c>
      <c r="D3117" s="306" t="s">
        <v>774</v>
      </c>
      <c r="E3117" s="5">
        <v>2020</v>
      </c>
      <c r="F3117" s="5">
        <v>2020</v>
      </c>
      <c r="G3117" s="14" t="s">
        <v>16</v>
      </c>
      <c r="H3117" s="17">
        <v>200</v>
      </c>
      <c r="I3117" s="17">
        <v>200</v>
      </c>
      <c r="J3117" s="17"/>
      <c r="K3117" s="10"/>
      <c r="L3117" s="2" t="s">
        <v>330</v>
      </c>
      <c r="M3117" s="36" t="str">
        <f t="shared" si="48"/>
        <v>19700602</v>
      </c>
    </row>
    <row r="3118" s="1" customFormat="1" spans="1:13">
      <c r="A3118" s="2">
        <v>5112</v>
      </c>
      <c r="B3118" s="6" t="s">
        <v>10242</v>
      </c>
      <c r="C3118" s="9" t="s">
        <v>10353</v>
      </c>
      <c r="D3118" s="9" t="s">
        <v>10354</v>
      </c>
      <c r="E3118" s="5" t="s">
        <v>10250</v>
      </c>
      <c r="F3118" s="5">
        <v>2020</v>
      </c>
      <c r="G3118" s="6" t="s">
        <v>16</v>
      </c>
      <c r="H3118" s="6">
        <v>200</v>
      </c>
      <c r="I3118" s="6">
        <v>200</v>
      </c>
      <c r="J3118" s="6"/>
      <c r="K3118" s="5"/>
      <c r="L3118" s="10">
        <v>20201118</v>
      </c>
      <c r="M3118" s="36" t="str">
        <f t="shared" si="48"/>
        <v>19700603</v>
      </c>
    </row>
    <row r="3119" s="1" customFormat="1" spans="1:13">
      <c r="A3119" s="2">
        <v>5583</v>
      </c>
      <c r="B3119" s="30" t="s">
        <v>11090</v>
      </c>
      <c r="C3119" s="30" t="s">
        <v>11259</v>
      </c>
      <c r="D3119" s="30" t="s">
        <v>11260</v>
      </c>
      <c r="E3119" s="5" t="s">
        <v>15</v>
      </c>
      <c r="F3119" s="5" t="s">
        <v>10250</v>
      </c>
      <c r="G3119" s="6" t="s">
        <v>16</v>
      </c>
      <c r="H3119" s="32">
        <v>500</v>
      </c>
      <c r="I3119" s="32">
        <v>500</v>
      </c>
      <c r="J3119" s="6"/>
      <c r="K3119" s="48"/>
      <c r="L3119" s="10">
        <v>20201118</v>
      </c>
      <c r="M3119" s="36" t="str">
        <f t="shared" si="48"/>
        <v>19700603</v>
      </c>
    </row>
    <row r="3120" s="1" customFormat="1" spans="1:13">
      <c r="A3120" s="2">
        <v>3809</v>
      </c>
      <c r="B3120" s="5" t="s">
        <v>7412</v>
      </c>
      <c r="C3120" s="5" t="s">
        <v>7861</v>
      </c>
      <c r="D3120" s="5" t="s">
        <v>7862</v>
      </c>
      <c r="E3120" s="6">
        <v>2020</v>
      </c>
      <c r="F3120" s="6">
        <v>2020</v>
      </c>
      <c r="G3120" s="5" t="s">
        <v>3359</v>
      </c>
      <c r="H3120" s="5">
        <v>200</v>
      </c>
      <c r="I3120" s="5">
        <v>200</v>
      </c>
      <c r="J3120" s="5"/>
      <c r="K3120" s="5"/>
      <c r="L3120" s="10">
        <v>20201118</v>
      </c>
      <c r="M3120" s="36" t="str">
        <f t="shared" si="48"/>
        <v>19700604</v>
      </c>
    </row>
    <row r="3121" s="1" customFormat="1" spans="1:13">
      <c r="A3121" s="2">
        <v>229</v>
      </c>
      <c r="B3121" s="14" t="s">
        <v>327</v>
      </c>
      <c r="C3121" s="14" t="s">
        <v>573</v>
      </c>
      <c r="D3121" s="14" t="s">
        <v>574</v>
      </c>
      <c r="E3121" s="5">
        <v>2020</v>
      </c>
      <c r="F3121" s="5">
        <v>2020</v>
      </c>
      <c r="G3121" s="14" t="s">
        <v>16</v>
      </c>
      <c r="H3121" s="14">
        <v>200</v>
      </c>
      <c r="I3121" s="14">
        <v>200</v>
      </c>
      <c r="J3121" s="14"/>
      <c r="K3121" s="10"/>
      <c r="L3121" s="2" t="s">
        <v>330</v>
      </c>
      <c r="M3121" s="36" t="str">
        <f t="shared" si="48"/>
        <v>19700605</v>
      </c>
    </row>
    <row r="3122" s="1" customFormat="1" spans="1:13">
      <c r="A3122" s="2">
        <v>1914</v>
      </c>
      <c r="B3122" s="5" t="s">
        <v>4189</v>
      </c>
      <c r="C3122" s="16" t="s">
        <v>4388</v>
      </c>
      <c r="D3122" s="16" t="s">
        <v>4389</v>
      </c>
      <c r="E3122" s="5" t="s">
        <v>15</v>
      </c>
      <c r="F3122" s="5" t="s">
        <v>15</v>
      </c>
      <c r="G3122" s="5" t="s">
        <v>3359</v>
      </c>
      <c r="H3122" s="16">
        <v>200</v>
      </c>
      <c r="I3122" s="16">
        <v>200</v>
      </c>
      <c r="J3122" s="5"/>
      <c r="K3122" s="10"/>
      <c r="L3122" s="10">
        <v>20201118</v>
      </c>
      <c r="M3122" s="36" t="str">
        <f t="shared" si="48"/>
        <v>19700608</v>
      </c>
    </row>
    <row r="3123" s="1" customFormat="1" spans="1:13">
      <c r="A3123" s="2">
        <v>1948</v>
      </c>
      <c r="B3123" s="5" t="s">
        <v>4189</v>
      </c>
      <c r="C3123" s="16" t="s">
        <v>4455</v>
      </c>
      <c r="D3123" s="16" t="s">
        <v>4456</v>
      </c>
      <c r="E3123" s="5" t="s">
        <v>15</v>
      </c>
      <c r="F3123" s="5" t="s">
        <v>15</v>
      </c>
      <c r="G3123" s="5" t="s">
        <v>3359</v>
      </c>
      <c r="H3123" s="16">
        <v>200</v>
      </c>
      <c r="I3123" s="16">
        <v>200</v>
      </c>
      <c r="J3123" s="5"/>
      <c r="K3123" s="10"/>
      <c r="L3123" s="10">
        <v>20201118</v>
      </c>
      <c r="M3123" s="36" t="str">
        <f t="shared" si="48"/>
        <v>19700608</v>
      </c>
    </row>
    <row r="3124" s="1" customFormat="1" spans="1:13">
      <c r="A3124" s="2">
        <v>4622</v>
      </c>
      <c r="B3124" s="6" t="s">
        <v>9015</v>
      </c>
      <c r="C3124" s="6" t="s">
        <v>9412</v>
      </c>
      <c r="D3124" s="6" t="s">
        <v>9413</v>
      </c>
      <c r="E3124" s="6">
        <v>2020</v>
      </c>
      <c r="F3124" s="6">
        <v>2020</v>
      </c>
      <c r="G3124" s="6" t="s">
        <v>16</v>
      </c>
      <c r="H3124" s="6">
        <v>200</v>
      </c>
      <c r="I3124" s="6">
        <v>200</v>
      </c>
      <c r="J3124" s="6"/>
      <c r="K3124" s="6"/>
      <c r="L3124" s="10">
        <v>20201118</v>
      </c>
      <c r="M3124" s="36" t="str">
        <f t="shared" si="48"/>
        <v>19700608</v>
      </c>
    </row>
    <row r="3125" s="1" customFormat="1" spans="1:13">
      <c r="A3125" s="2">
        <v>6368</v>
      </c>
      <c r="B3125" s="5" t="s">
        <v>12263</v>
      </c>
      <c r="C3125" s="5" t="s">
        <v>12750</v>
      </c>
      <c r="D3125" s="5" t="s">
        <v>12751</v>
      </c>
      <c r="E3125" s="5" t="s">
        <v>10250</v>
      </c>
      <c r="F3125" s="5">
        <v>2020</v>
      </c>
      <c r="G3125" s="17" t="s">
        <v>3359</v>
      </c>
      <c r="H3125" s="5" t="s">
        <v>311</v>
      </c>
      <c r="I3125" s="5">
        <v>200</v>
      </c>
      <c r="J3125" s="5"/>
      <c r="K3125" s="5"/>
      <c r="L3125" s="10">
        <v>20201118</v>
      </c>
      <c r="M3125" s="36" t="str">
        <f t="shared" si="48"/>
        <v>19700608</v>
      </c>
    </row>
    <row r="3126" s="1" customFormat="1" spans="1:13">
      <c r="A3126" s="2">
        <v>508</v>
      </c>
      <c r="B3126" s="29" t="s">
        <v>1040</v>
      </c>
      <c r="C3126" s="29" t="s">
        <v>1293</v>
      </c>
      <c r="D3126" s="29" t="s">
        <v>1294</v>
      </c>
      <c r="E3126" s="30">
        <v>2020</v>
      </c>
      <c r="F3126" s="30">
        <v>2020</v>
      </c>
      <c r="G3126" s="29" t="s">
        <v>16</v>
      </c>
      <c r="H3126" s="29">
        <v>200</v>
      </c>
      <c r="I3126" s="29">
        <v>200</v>
      </c>
      <c r="J3126" s="29"/>
      <c r="K3126" s="47"/>
      <c r="L3126" s="2" t="s">
        <v>330</v>
      </c>
      <c r="M3126" s="36" t="str">
        <f t="shared" si="48"/>
        <v>19700609</v>
      </c>
    </row>
    <row r="3127" s="1" customFormat="1" spans="1:13">
      <c r="A3127" s="2">
        <v>2615</v>
      </c>
      <c r="B3127" s="32" t="s">
        <v>5602</v>
      </c>
      <c r="C3127" s="9" t="s">
        <v>5764</v>
      </c>
      <c r="D3127" s="9" t="s">
        <v>5765</v>
      </c>
      <c r="E3127" s="32">
        <v>2020</v>
      </c>
      <c r="F3127" s="32">
        <v>2020</v>
      </c>
      <c r="G3127" s="32" t="s">
        <v>16</v>
      </c>
      <c r="H3127" s="9">
        <v>200</v>
      </c>
      <c r="I3127" s="9">
        <v>200</v>
      </c>
      <c r="J3127" s="32"/>
      <c r="K3127" s="52"/>
      <c r="L3127" s="10">
        <v>20201118</v>
      </c>
      <c r="M3127" s="36" t="str">
        <f t="shared" si="48"/>
        <v>19700615</v>
      </c>
    </row>
    <row r="3128" s="1" customFormat="1" ht="14.25" spans="1:13">
      <c r="A3128" s="2">
        <v>5312</v>
      </c>
      <c r="B3128" s="33" t="s">
        <v>10535</v>
      </c>
      <c r="C3128" s="34" t="s">
        <v>2820</v>
      </c>
      <c r="D3128" s="34" t="s">
        <v>10739</v>
      </c>
      <c r="E3128" s="35">
        <v>2020</v>
      </c>
      <c r="F3128" s="35">
        <v>2020</v>
      </c>
      <c r="G3128" s="35" t="s">
        <v>16</v>
      </c>
      <c r="H3128" s="34">
        <v>200</v>
      </c>
      <c r="I3128" s="34">
        <v>200</v>
      </c>
      <c r="J3128" s="49"/>
      <c r="K3128" s="10"/>
      <c r="L3128" s="10">
        <v>20201118</v>
      </c>
      <c r="M3128" s="36" t="str">
        <f t="shared" si="48"/>
        <v>19700617</v>
      </c>
    </row>
    <row r="3129" s="1" customFormat="1" spans="1:13">
      <c r="A3129" s="2">
        <v>6168</v>
      </c>
      <c r="B3129" s="5" t="s">
        <v>12263</v>
      </c>
      <c r="C3129" s="5" t="s">
        <v>12367</v>
      </c>
      <c r="D3129" s="5" t="s">
        <v>12368</v>
      </c>
      <c r="E3129" s="5" t="s">
        <v>10250</v>
      </c>
      <c r="F3129" s="5">
        <v>2020</v>
      </c>
      <c r="G3129" s="17" t="s">
        <v>3359</v>
      </c>
      <c r="H3129" s="5">
        <v>200</v>
      </c>
      <c r="I3129" s="5">
        <v>200</v>
      </c>
      <c r="J3129" s="5"/>
      <c r="K3129" s="5"/>
      <c r="L3129" s="10">
        <v>20201118</v>
      </c>
      <c r="M3129" s="36" t="str">
        <f t="shared" si="48"/>
        <v>19700618</v>
      </c>
    </row>
    <row r="3130" s="1" customFormat="1" spans="1:13">
      <c r="A3130" s="2">
        <v>3810</v>
      </c>
      <c r="B3130" s="5" t="s">
        <v>7412</v>
      </c>
      <c r="C3130" s="5" t="s">
        <v>7863</v>
      </c>
      <c r="D3130" s="5" t="s">
        <v>7864</v>
      </c>
      <c r="E3130" s="6">
        <v>2020</v>
      </c>
      <c r="F3130" s="6">
        <v>2020</v>
      </c>
      <c r="G3130" s="5" t="s">
        <v>3359</v>
      </c>
      <c r="H3130" s="5">
        <v>200</v>
      </c>
      <c r="I3130" s="5">
        <v>200</v>
      </c>
      <c r="J3130" s="5"/>
      <c r="K3130" s="5"/>
      <c r="L3130" s="10">
        <v>20201118</v>
      </c>
      <c r="M3130" s="36" t="str">
        <f t="shared" si="48"/>
        <v>19700619</v>
      </c>
    </row>
    <row r="3131" s="1" customFormat="1" spans="1:13">
      <c r="A3131" s="2">
        <v>3811</v>
      </c>
      <c r="B3131" s="5" t="s">
        <v>7412</v>
      </c>
      <c r="C3131" s="5" t="s">
        <v>7865</v>
      </c>
      <c r="D3131" s="5" t="s">
        <v>7866</v>
      </c>
      <c r="E3131" s="6">
        <v>2020</v>
      </c>
      <c r="F3131" s="6">
        <v>2020</v>
      </c>
      <c r="G3131" s="5" t="s">
        <v>3359</v>
      </c>
      <c r="H3131" s="5">
        <v>200</v>
      </c>
      <c r="I3131" s="5">
        <v>200</v>
      </c>
      <c r="J3131" s="5"/>
      <c r="K3131" s="5"/>
      <c r="L3131" s="10">
        <v>20201118</v>
      </c>
      <c r="M3131" s="36" t="str">
        <f t="shared" si="48"/>
        <v>19700620</v>
      </c>
    </row>
    <row r="3132" s="1" customFormat="1" spans="1:13">
      <c r="A3132" s="2">
        <v>6612</v>
      </c>
      <c r="B3132" s="5" t="s">
        <v>13027</v>
      </c>
      <c r="C3132" s="15" t="s">
        <v>13211</v>
      </c>
      <c r="D3132" s="15" t="s">
        <v>13212</v>
      </c>
      <c r="E3132" s="5">
        <v>2020</v>
      </c>
      <c r="F3132" s="5">
        <v>2020</v>
      </c>
      <c r="G3132" s="14" t="s">
        <v>16</v>
      </c>
      <c r="H3132" s="15">
        <v>200</v>
      </c>
      <c r="I3132" s="15">
        <v>200</v>
      </c>
      <c r="J3132" s="5"/>
      <c r="K3132" s="10"/>
      <c r="L3132" s="10">
        <v>20201118</v>
      </c>
      <c r="M3132" s="36" t="str">
        <f t="shared" si="48"/>
        <v>19700620</v>
      </c>
    </row>
    <row r="3133" s="1" customFormat="1" spans="1:13">
      <c r="A3133" s="2">
        <v>7983</v>
      </c>
      <c r="B3133" s="5" t="s">
        <v>15086</v>
      </c>
      <c r="C3133" s="6" t="s">
        <v>15257</v>
      </c>
      <c r="D3133" s="6" t="str">
        <f>"152326197006206883"</f>
        <v>152326197006206883</v>
      </c>
      <c r="E3133" s="5" t="s">
        <v>15</v>
      </c>
      <c r="F3133" s="5">
        <v>2020</v>
      </c>
      <c r="G3133" s="5" t="s">
        <v>16</v>
      </c>
      <c r="H3133" s="5">
        <v>200</v>
      </c>
      <c r="I3133" s="5">
        <v>200</v>
      </c>
      <c r="J3133" s="5"/>
      <c r="K3133" s="5"/>
      <c r="L3133" s="10">
        <v>20201118</v>
      </c>
      <c r="M3133" s="36" t="str">
        <f t="shared" si="48"/>
        <v>19700620</v>
      </c>
    </row>
    <row r="3134" s="1" customFormat="1" spans="1:13">
      <c r="A3134" s="2">
        <v>1608</v>
      </c>
      <c r="B3134" s="5" t="s">
        <v>3381</v>
      </c>
      <c r="C3134" s="9" t="s">
        <v>3780</v>
      </c>
      <c r="D3134" s="9" t="s">
        <v>3781</v>
      </c>
      <c r="E3134" s="5">
        <v>2020</v>
      </c>
      <c r="F3134" s="5">
        <v>2020</v>
      </c>
      <c r="G3134" s="14" t="s">
        <v>16</v>
      </c>
      <c r="H3134" s="6">
        <v>200</v>
      </c>
      <c r="I3134" s="6">
        <v>200</v>
      </c>
      <c r="J3134" s="5"/>
      <c r="K3134" s="13"/>
      <c r="L3134" s="10">
        <v>20201118</v>
      </c>
      <c r="M3134" s="36" t="str">
        <f t="shared" si="48"/>
        <v>19700622</v>
      </c>
    </row>
    <row r="3135" s="1" customFormat="1" ht="14.25" spans="1:13">
      <c r="A3135" s="2">
        <v>7728</v>
      </c>
      <c r="B3135" s="5" t="s">
        <v>14875</v>
      </c>
      <c r="C3135" s="51" t="s">
        <v>14969</v>
      </c>
      <c r="D3135" s="24" t="str">
        <f>"152326197006227131"</f>
        <v>152326197006227131</v>
      </c>
      <c r="E3135" s="6" t="s">
        <v>15</v>
      </c>
      <c r="F3135" s="6">
        <v>2020</v>
      </c>
      <c r="G3135" s="24" t="s">
        <v>14877</v>
      </c>
      <c r="H3135" s="6">
        <v>200</v>
      </c>
      <c r="I3135" s="6">
        <v>200</v>
      </c>
      <c r="J3135" s="6"/>
      <c r="K3135" s="10"/>
      <c r="L3135" s="10">
        <v>20201118</v>
      </c>
      <c r="M3135" s="36" t="str">
        <f t="shared" si="48"/>
        <v>19700622</v>
      </c>
    </row>
    <row r="3136" s="1" customFormat="1" spans="1:13">
      <c r="A3136" s="2">
        <v>3200</v>
      </c>
      <c r="B3136" s="3" t="s">
        <v>6671</v>
      </c>
      <c r="C3136" s="9" t="s">
        <v>6910</v>
      </c>
      <c r="D3136" s="9" t="s">
        <v>6911</v>
      </c>
      <c r="E3136" s="3" t="s">
        <v>15</v>
      </c>
      <c r="F3136" s="3" t="s">
        <v>15</v>
      </c>
      <c r="G3136" s="6" t="s">
        <v>3359</v>
      </c>
      <c r="H3136" s="9">
        <v>200</v>
      </c>
      <c r="I3136" s="9">
        <v>200</v>
      </c>
      <c r="J3136" s="6"/>
      <c r="K3136" s="5"/>
      <c r="L3136" s="10">
        <v>20201118</v>
      </c>
      <c r="M3136" s="36" t="str">
        <f t="shared" si="48"/>
        <v>19700627</v>
      </c>
    </row>
    <row r="3137" s="1" customFormat="1" spans="1:13">
      <c r="A3137" s="2">
        <v>5540</v>
      </c>
      <c r="B3137" s="30" t="s">
        <v>11090</v>
      </c>
      <c r="C3137" s="30" t="s">
        <v>11177</v>
      </c>
      <c r="D3137" s="30" t="s">
        <v>11178</v>
      </c>
      <c r="E3137" s="5" t="s">
        <v>15</v>
      </c>
      <c r="F3137" s="5" t="s">
        <v>10250</v>
      </c>
      <c r="G3137" s="6" t="s">
        <v>16</v>
      </c>
      <c r="H3137" s="32">
        <v>200</v>
      </c>
      <c r="I3137" s="32">
        <v>200</v>
      </c>
      <c r="J3137" s="6"/>
      <c r="K3137" s="48"/>
      <c r="L3137" s="10">
        <v>20201118</v>
      </c>
      <c r="M3137" s="36" t="str">
        <f t="shared" si="48"/>
        <v>19700627</v>
      </c>
    </row>
    <row r="3138" s="1" customFormat="1" spans="1:13">
      <c r="A3138" s="2">
        <v>230</v>
      </c>
      <c r="B3138" s="14" t="s">
        <v>327</v>
      </c>
      <c r="C3138" s="14" t="s">
        <v>576</v>
      </c>
      <c r="D3138" s="14" t="s">
        <v>577</v>
      </c>
      <c r="E3138" s="5">
        <v>2020</v>
      </c>
      <c r="F3138" s="5">
        <v>2020</v>
      </c>
      <c r="G3138" s="14" t="s">
        <v>16</v>
      </c>
      <c r="H3138" s="14">
        <v>200</v>
      </c>
      <c r="I3138" s="14">
        <v>200</v>
      </c>
      <c r="J3138" s="14"/>
      <c r="K3138" s="10"/>
      <c r="L3138" s="14" t="s">
        <v>330</v>
      </c>
      <c r="M3138" s="36" t="str">
        <f t="shared" ref="M3138:M3201" si="49">MID(D3138,7,8)</f>
        <v>19700628</v>
      </c>
    </row>
    <row r="3139" s="1" customFormat="1" spans="1:13">
      <c r="A3139" s="2">
        <v>3179</v>
      </c>
      <c r="B3139" s="3" t="s">
        <v>6671</v>
      </c>
      <c r="C3139" s="9" t="s">
        <v>6870</v>
      </c>
      <c r="D3139" s="9" t="s">
        <v>6871</v>
      </c>
      <c r="E3139" s="3" t="s">
        <v>15</v>
      </c>
      <c r="F3139" s="3" t="s">
        <v>15</v>
      </c>
      <c r="G3139" s="6" t="s">
        <v>3359</v>
      </c>
      <c r="H3139" s="9">
        <v>200</v>
      </c>
      <c r="I3139" s="9">
        <v>200</v>
      </c>
      <c r="J3139" s="6"/>
      <c r="K3139" s="5"/>
      <c r="L3139" s="10">
        <v>20201118</v>
      </c>
      <c r="M3139" s="36" t="str">
        <f t="shared" si="49"/>
        <v>19700628</v>
      </c>
    </row>
    <row r="3140" s="1" customFormat="1" ht="14.25" spans="1:13">
      <c r="A3140" s="2">
        <v>2805</v>
      </c>
      <c r="B3140" s="6" t="s">
        <v>6075</v>
      </c>
      <c r="C3140" s="25" t="s">
        <v>5681</v>
      </c>
      <c r="D3140" s="26" t="s">
        <v>6139</v>
      </c>
      <c r="E3140" s="5" t="s">
        <v>15</v>
      </c>
      <c r="F3140" s="5">
        <v>2020</v>
      </c>
      <c r="G3140" s="6" t="s">
        <v>16</v>
      </c>
      <c r="H3140" s="6">
        <v>200</v>
      </c>
      <c r="I3140" s="6">
        <v>200</v>
      </c>
      <c r="J3140" s="6"/>
      <c r="K3140" s="10"/>
      <c r="L3140" s="10">
        <v>20201118</v>
      </c>
      <c r="M3140" s="36" t="str">
        <f t="shared" si="49"/>
        <v>19700630</v>
      </c>
    </row>
    <row r="3141" s="1" customFormat="1" ht="14.25" spans="1:13">
      <c r="A3141" s="2">
        <v>7733</v>
      </c>
      <c r="B3141" s="5" t="s">
        <v>14875</v>
      </c>
      <c r="C3141" s="51" t="s">
        <v>14975</v>
      </c>
      <c r="D3141" s="24" t="str">
        <f>"152326197007017128"</f>
        <v>152326197007017128</v>
      </c>
      <c r="E3141" s="6" t="s">
        <v>15</v>
      </c>
      <c r="F3141" s="6">
        <v>2020</v>
      </c>
      <c r="G3141" s="24" t="s">
        <v>14877</v>
      </c>
      <c r="H3141" s="6">
        <v>200</v>
      </c>
      <c r="I3141" s="6">
        <v>200</v>
      </c>
      <c r="J3141" s="6"/>
      <c r="K3141" s="10"/>
      <c r="L3141" s="10">
        <v>20201118</v>
      </c>
      <c r="M3141" s="36" t="str">
        <f t="shared" si="49"/>
        <v>19700701</v>
      </c>
    </row>
    <row r="3142" s="1" customFormat="1" ht="14.25" spans="1:13">
      <c r="A3142" s="2">
        <v>5313</v>
      </c>
      <c r="B3142" s="33" t="s">
        <v>10535</v>
      </c>
      <c r="C3142" s="34" t="s">
        <v>10740</v>
      </c>
      <c r="D3142" s="34" t="s">
        <v>10741</v>
      </c>
      <c r="E3142" s="35">
        <v>2020</v>
      </c>
      <c r="F3142" s="35">
        <v>2020</v>
      </c>
      <c r="G3142" s="35" t="s">
        <v>16</v>
      </c>
      <c r="H3142" s="34">
        <v>200</v>
      </c>
      <c r="I3142" s="34">
        <v>200</v>
      </c>
      <c r="J3142" s="49"/>
      <c r="K3142" s="10"/>
      <c r="L3142" s="10">
        <v>20201118</v>
      </c>
      <c r="M3142" s="36" t="str">
        <f t="shared" si="49"/>
        <v>19700702</v>
      </c>
    </row>
    <row r="3143" s="1" customFormat="1" spans="1:13">
      <c r="A3143" s="2">
        <v>4593</v>
      </c>
      <c r="B3143" s="6" t="s">
        <v>9015</v>
      </c>
      <c r="C3143" s="6" t="s">
        <v>9360</v>
      </c>
      <c r="D3143" s="6" t="s">
        <v>9361</v>
      </c>
      <c r="E3143" s="6">
        <v>2020</v>
      </c>
      <c r="F3143" s="6">
        <v>2020</v>
      </c>
      <c r="G3143" s="6" t="s">
        <v>16</v>
      </c>
      <c r="H3143" s="6">
        <v>200</v>
      </c>
      <c r="I3143" s="6">
        <v>200</v>
      </c>
      <c r="J3143" s="6"/>
      <c r="K3143" s="6"/>
      <c r="L3143" s="10">
        <v>20201118</v>
      </c>
      <c r="M3143" s="36" t="str">
        <f t="shared" si="49"/>
        <v>19700703</v>
      </c>
    </row>
    <row r="3144" s="1" customFormat="1" spans="1:13">
      <c r="A3144" s="2">
        <v>353</v>
      </c>
      <c r="B3144" s="14" t="s">
        <v>327</v>
      </c>
      <c r="C3144" s="17" t="s">
        <v>946</v>
      </c>
      <c r="D3144" s="306" t="s">
        <v>947</v>
      </c>
      <c r="E3144" s="5">
        <v>2020</v>
      </c>
      <c r="F3144" s="5">
        <v>2020</v>
      </c>
      <c r="G3144" s="14" t="s">
        <v>16</v>
      </c>
      <c r="H3144" s="17">
        <v>500</v>
      </c>
      <c r="I3144" s="17">
        <v>500</v>
      </c>
      <c r="J3144" s="17"/>
      <c r="K3144" s="10"/>
      <c r="L3144" s="2" t="s">
        <v>330</v>
      </c>
      <c r="M3144" s="36" t="str">
        <f t="shared" si="49"/>
        <v>19700704</v>
      </c>
    </row>
    <row r="3145" s="1" customFormat="1" spans="1:13">
      <c r="A3145" s="2">
        <v>6119</v>
      </c>
      <c r="B3145" s="5" t="s">
        <v>12263</v>
      </c>
      <c r="C3145" s="5" t="s">
        <v>12274</v>
      </c>
      <c r="D3145" s="5" t="s">
        <v>12275</v>
      </c>
      <c r="E3145" s="5" t="s">
        <v>10250</v>
      </c>
      <c r="F3145" s="5">
        <v>2020</v>
      </c>
      <c r="G3145" s="17" t="s">
        <v>3359</v>
      </c>
      <c r="H3145" s="5">
        <v>200</v>
      </c>
      <c r="I3145" s="5">
        <v>200</v>
      </c>
      <c r="J3145" s="5"/>
      <c r="K3145" s="5"/>
      <c r="L3145" s="10">
        <v>20201118</v>
      </c>
      <c r="M3145" s="36" t="str">
        <f t="shared" si="49"/>
        <v>19700705</v>
      </c>
    </row>
    <row r="3146" s="1" customFormat="1" spans="1:13">
      <c r="A3146" s="2">
        <v>57</v>
      </c>
      <c r="B3146" s="31" t="s">
        <v>12</v>
      </c>
      <c r="C3146" s="17" t="s">
        <v>129</v>
      </c>
      <c r="D3146" s="17" t="s">
        <v>130</v>
      </c>
      <c r="E3146" s="3" t="s">
        <v>15</v>
      </c>
      <c r="F3146" s="3" t="s">
        <v>15</v>
      </c>
      <c r="G3146" s="2" t="s">
        <v>16</v>
      </c>
      <c r="H3146" s="17">
        <v>300</v>
      </c>
      <c r="I3146" s="17">
        <v>300</v>
      </c>
      <c r="J3146" s="17"/>
      <c r="K3146" s="17" t="s">
        <v>35</v>
      </c>
      <c r="L3146" s="10">
        <v>20201118</v>
      </c>
      <c r="M3146" s="36" t="str">
        <f t="shared" si="49"/>
        <v>19700707</v>
      </c>
    </row>
    <row r="3147" s="1" customFormat="1" spans="1:13">
      <c r="A3147" s="2">
        <v>4926</v>
      </c>
      <c r="B3147" s="6" t="s">
        <v>9954</v>
      </c>
      <c r="C3147" s="60" t="s">
        <v>9993</v>
      </c>
      <c r="D3147" s="60" t="s">
        <v>9994</v>
      </c>
      <c r="E3147" s="5" t="s">
        <v>15</v>
      </c>
      <c r="F3147" s="5" t="s">
        <v>15</v>
      </c>
      <c r="G3147" s="14" t="s">
        <v>16</v>
      </c>
      <c r="H3147" s="6">
        <v>200</v>
      </c>
      <c r="I3147" s="6">
        <v>200</v>
      </c>
      <c r="J3147" s="6"/>
      <c r="K3147" s="6"/>
      <c r="L3147" s="10">
        <v>20201118</v>
      </c>
      <c r="M3147" s="36" t="str">
        <f t="shared" si="49"/>
        <v>19700707</v>
      </c>
    </row>
    <row r="3148" s="1" customFormat="1" spans="1:13">
      <c r="A3148" s="2">
        <v>4951</v>
      </c>
      <c r="B3148" s="6" t="s">
        <v>9954</v>
      </c>
      <c r="C3148" s="6" t="s">
        <v>328</v>
      </c>
      <c r="D3148" s="6" t="s">
        <v>10043</v>
      </c>
      <c r="E3148" s="5" t="s">
        <v>15</v>
      </c>
      <c r="F3148" s="5" t="s">
        <v>15</v>
      </c>
      <c r="G3148" s="14" t="s">
        <v>16</v>
      </c>
      <c r="H3148" s="6">
        <v>200</v>
      </c>
      <c r="I3148" s="6">
        <v>200</v>
      </c>
      <c r="J3148" s="6"/>
      <c r="K3148" s="6"/>
      <c r="L3148" s="10">
        <v>20201118</v>
      </c>
      <c r="M3148" s="36" t="str">
        <f t="shared" si="49"/>
        <v>19700707</v>
      </c>
    </row>
    <row r="3149" s="1" customFormat="1" spans="1:13">
      <c r="A3149" s="2">
        <v>1067</v>
      </c>
      <c r="B3149" s="5" t="s">
        <v>2469</v>
      </c>
      <c r="C3149" s="9" t="s">
        <v>2724</v>
      </c>
      <c r="D3149" s="9" t="s">
        <v>2725</v>
      </c>
      <c r="E3149" s="5">
        <v>2020</v>
      </c>
      <c r="F3149" s="5">
        <v>2020</v>
      </c>
      <c r="G3149" s="9" t="s">
        <v>2480</v>
      </c>
      <c r="H3149" s="9">
        <v>200</v>
      </c>
      <c r="I3149" s="9">
        <v>200</v>
      </c>
      <c r="J3149" s="5"/>
      <c r="K3149" s="5"/>
      <c r="L3149" s="10">
        <v>20201118</v>
      </c>
      <c r="M3149" s="36" t="str">
        <f t="shared" si="49"/>
        <v>19700709</v>
      </c>
    </row>
    <row r="3150" s="1" customFormat="1" spans="1:13">
      <c r="A3150" s="2">
        <v>8149</v>
      </c>
      <c r="B3150" s="5" t="s">
        <v>15406</v>
      </c>
      <c r="C3150" s="6" t="s">
        <v>15490</v>
      </c>
      <c r="D3150" s="6" t="s">
        <v>15491</v>
      </c>
      <c r="E3150" s="5" t="s">
        <v>15</v>
      </c>
      <c r="F3150" s="5">
        <v>2020</v>
      </c>
      <c r="G3150" s="14" t="s">
        <v>16</v>
      </c>
      <c r="H3150" s="6">
        <v>200</v>
      </c>
      <c r="I3150" s="6">
        <v>200</v>
      </c>
      <c r="J3150" s="5"/>
      <c r="K3150" s="10"/>
      <c r="L3150" s="10">
        <v>20201118</v>
      </c>
      <c r="M3150" s="36" t="str">
        <f t="shared" si="49"/>
        <v>19700710</v>
      </c>
    </row>
    <row r="3151" s="1" customFormat="1" spans="1:13">
      <c r="A3151" s="2">
        <v>1609</v>
      </c>
      <c r="B3151" s="5" t="s">
        <v>3381</v>
      </c>
      <c r="C3151" s="9" t="s">
        <v>3782</v>
      </c>
      <c r="D3151" s="9" t="s">
        <v>3783</v>
      </c>
      <c r="E3151" s="5">
        <v>2020</v>
      </c>
      <c r="F3151" s="5">
        <v>2020</v>
      </c>
      <c r="G3151" s="14" t="s">
        <v>16</v>
      </c>
      <c r="H3151" s="6">
        <v>200</v>
      </c>
      <c r="I3151" s="6">
        <v>200</v>
      </c>
      <c r="J3151" s="5"/>
      <c r="K3151" s="13"/>
      <c r="L3151" s="10">
        <v>20201118</v>
      </c>
      <c r="M3151" s="36" t="str">
        <f t="shared" si="49"/>
        <v>19700712</v>
      </c>
    </row>
    <row r="3152" s="1" customFormat="1" spans="1:13">
      <c r="A3152" s="2">
        <v>4519</v>
      </c>
      <c r="B3152" s="6" t="s">
        <v>9015</v>
      </c>
      <c r="C3152" s="6" t="s">
        <v>9220</v>
      </c>
      <c r="D3152" s="6" t="s">
        <v>9221</v>
      </c>
      <c r="E3152" s="6">
        <v>2020</v>
      </c>
      <c r="F3152" s="6">
        <v>2020</v>
      </c>
      <c r="G3152" s="6" t="s">
        <v>16</v>
      </c>
      <c r="H3152" s="6">
        <v>200</v>
      </c>
      <c r="I3152" s="6">
        <v>200</v>
      </c>
      <c r="J3152" s="6"/>
      <c r="K3152" s="6"/>
      <c r="L3152" s="10">
        <v>20201118</v>
      </c>
      <c r="M3152" s="36" t="str">
        <f t="shared" si="49"/>
        <v>19700714</v>
      </c>
    </row>
    <row r="3153" s="1" customFormat="1" spans="1:13">
      <c r="A3153" s="2">
        <v>6281</v>
      </c>
      <c r="B3153" s="5" t="s">
        <v>12263</v>
      </c>
      <c r="C3153" s="5" t="s">
        <v>12583</v>
      </c>
      <c r="D3153" s="5" t="s">
        <v>12584</v>
      </c>
      <c r="E3153" s="5" t="s">
        <v>10250</v>
      </c>
      <c r="F3153" s="5">
        <v>2020</v>
      </c>
      <c r="G3153" s="17" t="s">
        <v>3359</v>
      </c>
      <c r="H3153" s="5">
        <v>300</v>
      </c>
      <c r="I3153" s="5">
        <v>300</v>
      </c>
      <c r="J3153" s="5" t="s">
        <v>5331</v>
      </c>
      <c r="K3153" s="5"/>
      <c r="L3153" s="10">
        <v>20201118</v>
      </c>
      <c r="M3153" s="36" t="str">
        <f t="shared" si="49"/>
        <v>19700714</v>
      </c>
    </row>
    <row r="3154" s="1" customFormat="1" spans="1:13">
      <c r="A3154" s="2">
        <v>5113</v>
      </c>
      <c r="B3154" s="6" t="s">
        <v>10242</v>
      </c>
      <c r="C3154" s="9" t="s">
        <v>10355</v>
      </c>
      <c r="D3154" s="9" t="s">
        <v>10356</v>
      </c>
      <c r="E3154" s="5" t="s">
        <v>10250</v>
      </c>
      <c r="F3154" s="5">
        <v>2020</v>
      </c>
      <c r="G3154" s="6" t="s">
        <v>16</v>
      </c>
      <c r="H3154" s="6">
        <v>200</v>
      </c>
      <c r="I3154" s="6">
        <v>200</v>
      </c>
      <c r="J3154" s="6"/>
      <c r="K3154" s="5"/>
      <c r="L3154" s="10">
        <v>20201118</v>
      </c>
      <c r="M3154" s="36" t="str">
        <f t="shared" si="49"/>
        <v>19700717</v>
      </c>
    </row>
    <row r="3155" s="1" customFormat="1" spans="1:13">
      <c r="A3155" s="2">
        <v>8224</v>
      </c>
      <c r="B3155" s="5" t="s">
        <v>15406</v>
      </c>
      <c r="C3155" s="6" t="s">
        <v>15629</v>
      </c>
      <c r="D3155" s="293" t="s">
        <v>15630</v>
      </c>
      <c r="E3155" s="5" t="s">
        <v>292</v>
      </c>
      <c r="F3155" s="5">
        <v>2020</v>
      </c>
      <c r="G3155" s="5" t="s">
        <v>289</v>
      </c>
      <c r="H3155" s="6">
        <v>200</v>
      </c>
      <c r="I3155" s="6">
        <v>1000</v>
      </c>
      <c r="J3155" s="5"/>
      <c r="K3155" s="10"/>
      <c r="L3155" s="10">
        <v>20201118</v>
      </c>
      <c r="M3155" s="36" t="str">
        <f t="shared" si="49"/>
        <v>19700717</v>
      </c>
    </row>
    <row r="3156" s="1" customFormat="1" spans="1:13">
      <c r="A3156" s="2">
        <v>1916</v>
      </c>
      <c r="B3156" s="5" t="s">
        <v>4189</v>
      </c>
      <c r="C3156" s="16" t="s">
        <v>4392</v>
      </c>
      <c r="D3156" s="16" t="s">
        <v>4393</v>
      </c>
      <c r="E3156" s="5" t="s">
        <v>15</v>
      </c>
      <c r="F3156" s="5" t="s">
        <v>15</v>
      </c>
      <c r="G3156" s="5" t="s">
        <v>3359</v>
      </c>
      <c r="H3156" s="16">
        <v>200</v>
      </c>
      <c r="I3156" s="16">
        <v>200</v>
      </c>
      <c r="J3156" s="5"/>
      <c r="K3156" s="10"/>
      <c r="L3156" s="10">
        <v>20201118</v>
      </c>
      <c r="M3156" s="36" t="str">
        <f t="shared" si="49"/>
        <v>19700720</v>
      </c>
    </row>
    <row r="3157" s="1" customFormat="1" spans="1:13">
      <c r="A3157" s="2">
        <v>1610</v>
      </c>
      <c r="B3157" s="5" t="s">
        <v>3381</v>
      </c>
      <c r="C3157" s="9" t="s">
        <v>3784</v>
      </c>
      <c r="D3157" s="9" t="s">
        <v>3785</v>
      </c>
      <c r="E3157" s="5">
        <v>2020</v>
      </c>
      <c r="F3157" s="5">
        <v>2020</v>
      </c>
      <c r="G3157" s="14" t="s">
        <v>16</v>
      </c>
      <c r="H3157" s="6">
        <v>200</v>
      </c>
      <c r="I3157" s="6">
        <v>200</v>
      </c>
      <c r="J3157" s="5"/>
      <c r="K3157" s="13"/>
      <c r="L3157" s="10">
        <v>20201118</v>
      </c>
      <c r="M3157" s="36" t="str">
        <f t="shared" si="49"/>
        <v>19700721</v>
      </c>
    </row>
    <row r="3158" s="1" customFormat="1" spans="1:13">
      <c r="A3158" s="2">
        <v>2616</v>
      </c>
      <c r="B3158" s="32" t="s">
        <v>5602</v>
      </c>
      <c r="C3158" s="9" t="s">
        <v>5766</v>
      </c>
      <c r="D3158" s="9" t="s">
        <v>5767</v>
      </c>
      <c r="E3158" s="32">
        <v>2020</v>
      </c>
      <c r="F3158" s="32">
        <v>2020</v>
      </c>
      <c r="G3158" s="32" t="s">
        <v>16</v>
      </c>
      <c r="H3158" s="9">
        <v>200</v>
      </c>
      <c r="I3158" s="9">
        <v>200</v>
      </c>
      <c r="J3158" s="32"/>
      <c r="K3158" s="52"/>
      <c r="L3158" s="10">
        <v>20201118</v>
      </c>
      <c r="M3158" s="36" t="str">
        <f t="shared" si="49"/>
        <v>19700723</v>
      </c>
    </row>
    <row r="3159" s="1" customFormat="1" spans="1:13">
      <c r="A3159" s="2">
        <v>7373</v>
      </c>
      <c r="B3159" s="5" t="s">
        <v>13908</v>
      </c>
      <c r="C3159" s="5" t="s">
        <v>14372</v>
      </c>
      <c r="D3159" s="5" t="s">
        <v>14373</v>
      </c>
      <c r="E3159" s="5" t="s">
        <v>15</v>
      </c>
      <c r="F3159" s="5" t="s">
        <v>15</v>
      </c>
      <c r="G3159" s="14" t="s">
        <v>16</v>
      </c>
      <c r="H3159" s="17">
        <v>200</v>
      </c>
      <c r="I3159" s="17">
        <v>200</v>
      </c>
      <c r="J3159" s="5"/>
      <c r="K3159" s="10"/>
      <c r="L3159" s="10">
        <v>20201118</v>
      </c>
      <c r="M3159" s="36" t="str">
        <f t="shared" si="49"/>
        <v>19700724</v>
      </c>
    </row>
    <row r="3160" s="1" customFormat="1" spans="1:13">
      <c r="A3160" s="2">
        <v>1611</v>
      </c>
      <c r="B3160" s="5" t="s">
        <v>3381</v>
      </c>
      <c r="C3160" s="9" t="s">
        <v>3786</v>
      </c>
      <c r="D3160" s="9" t="s">
        <v>3787</v>
      </c>
      <c r="E3160" s="5">
        <v>2020</v>
      </c>
      <c r="F3160" s="5">
        <v>2020</v>
      </c>
      <c r="G3160" s="14" t="s">
        <v>16</v>
      </c>
      <c r="H3160" s="6">
        <v>200</v>
      </c>
      <c r="I3160" s="6">
        <v>200</v>
      </c>
      <c r="J3160" s="5"/>
      <c r="K3160" s="13"/>
      <c r="L3160" s="10">
        <v>20201118</v>
      </c>
      <c r="M3160" s="36" t="str">
        <f t="shared" si="49"/>
        <v>19700727</v>
      </c>
    </row>
    <row r="3161" s="1" customFormat="1" spans="1:13">
      <c r="A3161" s="2">
        <v>118</v>
      </c>
      <c r="B3161" s="3" t="s">
        <v>12</v>
      </c>
      <c r="C3161" s="6" t="s">
        <v>252</v>
      </c>
      <c r="D3161" s="6" t="s">
        <v>253</v>
      </c>
      <c r="E3161" s="3" t="s">
        <v>15</v>
      </c>
      <c r="F3161" s="3" t="s">
        <v>15</v>
      </c>
      <c r="G3161" s="3" t="s">
        <v>189</v>
      </c>
      <c r="H3161" s="3">
        <v>200</v>
      </c>
      <c r="I3161" s="3">
        <v>200</v>
      </c>
      <c r="J3161" s="3"/>
      <c r="K3161" s="3"/>
      <c r="L3161" s="10">
        <v>20201118</v>
      </c>
      <c r="M3161" s="36" t="str">
        <f t="shared" si="49"/>
        <v>19700729</v>
      </c>
    </row>
    <row r="3162" s="1" customFormat="1" spans="1:13">
      <c r="A3162" s="2">
        <v>3190</v>
      </c>
      <c r="B3162" s="3" t="s">
        <v>6671</v>
      </c>
      <c r="C3162" s="9" t="s">
        <v>6890</v>
      </c>
      <c r="D3162" s="9" t="s">
        <v>6891</v>
      </c>
      <c r="E3162" s="3" t="s">
        <v>15</v>
      </c>
      <c r="F3162" s="3" t="s">
        <v>15</v>
      </c>
      <c r="G3162" s="6" t="s">
        <v>3359</v>
      </c>
      <c r="H3162" s="9">
        <v>200</v>
      </c>
      <c r="I3162" s="9">
        <v>200</v>
      </c>
      <c r="J3162" s="6"/>
      <c r="K3162" s="5"/>
      <c r="L3162" s="10">
        <v>20201118</v>
      </c>
      <c r="M3162" s="36" t="str">
        <f t="shared" si="49"/>
        <v>19700803</v>
      </c>
    </row>
    <row r="3163" s="1" customFormat="1" spans="1:13">
      <c r="A3163" s="2">
        <v>4555</v>
      </c>
      <c r="B3163" s="6" t="s">
        <v>9015</v>
      </c>
      <c r="C3163" s="6" t="s">
        <v>9289</v>
      </c>
      <c r="D3163" s="6" t="s">
        <v>9290</v>
      </c>
      <c r="E3163" s="6">
        <v>2020</v>
      </c>
      <c r="F3163" s="6">
        <v>2020</v>
      </c>
      <c r="G3163" s="6" t="s">
        <v>16</v>
      </c>
      <c r="H3163" s="6">
        <v>200</v>
      </c>
      <c r="I3163" s="6">
        <v>200</v>
      </c>
      <c r="J3163" s="6"/>
      <c r="K3163" s="6"/>
      <c r="L3163" s="10">
        <v>20201118</v>
      </c>
      <c r="M3163" s="36" t="str">
        <f t="shared" si="49"/>
        <v>19700803</v>
      </c>
    </row>
    <row r="3164" s="1" customFormat="1" ht="14.25" spans="1:13">
      <c r="A3164" s="2">
        <v>7725</v>
      </c>
      <c r="B3164" s="5" t="s">
        <v>14875</v>
      </c>
      <c r="C3164" s="51" t="s">
        <v>10897</v>
      </c>
      <c r="D3164" s="24" t="str">
        <f>"152326197008047126"</f>
        <v>152326197008047126</v>
      </c>
      <c r="E3164" s="6" t="s">
        <v>15</v>
      </c>
      <c r="F3164" s="6">
        <v>2020</v>
      </c>
      <c r="G3164" s="24" t="s">
        <v>14877</v>
      </c>
      <c r="H3164" s="6">
        <v>200</v>
      </c>
      <c r="I3164" s="6">
        <v>200</v>
      </c>
      <c r="J3164" s="6"/>
      <c r="K3164" s="10"/>
      <c r="L3164" s="10">
        <v>20201118</v>
      </c>
      <c r="M3164" s="36" t="str">
        <f t="shared" si="49"/>
        <v>19700804</v>
      </c>
    </row>
    <row r="3165" s="1" customFormat="1" spans="1:13">
      <c r="A3165" s="2">
        <v>7247</v>
      </c>
      <c r="B3165" s="5" t="s">
        <v>13908</v>
      </c>
      <c r="C3165" s="5" t="s">
        <v>14137</v>
      </c>
      <c r="D3165" s="5" t="s">
        <v>14138</v>
      </c>
      <c r="E3165" s="5" t="s">
        <v>15</v>
      </c>
      <c r="F3165" s="5" t="s">
        <v>15</v>
      </c>
      <c r="G3165" s="14" t="s">
        <v>16</v>
      </c>
      <c r="H3165" s="17">
        <v>400</v>
      </c>
      <c r="I3165" s="17">
        <v>400</v>
      </c>
      <c r="J3165" s="5"/>
      <c r="K3165" s="10"/>
      <c r="L3165" s="10">
        <v>20201118</v>
      </c>
      <c r="M3165" s="36" t="str">
        <f t="shared" si="49"/>
        <v>19700805</v>
      </c>
    </row>
    <row r="3166" s="1" customFormat="1" spans="1:13">
      <c r="A3166" s="2">
        <v>6392</v>
      </c>
      <c r="B3166" s="5" t="s">
        <v>12263</v>
      </c>
      <c r="C3166" s="5" t="s">
        <v>12795</v>
      </c>
      <c r="D3166" s="5" t="s">
        <v>12796</v>
      </c>
      <c r="E3166" s="5" t="s">
        <v>10250</v>
      </c>
      <c r="F3166" s="5">
        <v>2020</v>
      </c>
      <c r="G3166" s="17" t="s">
        <v>3359</v>
      </c>
      <c r="H3166" s="5" t="s">
        <v>311</v>
      </c>
      <c r="I3166" s="5">
        <v>200</v>
      </c>
      <c r="J3166" s="5"/>
      <c r="K3166" s="5"/>
      <c r="L3166" s="10">
        <v>20201118</v>
      </c>
      <c r="M3166" s="36" t="str">
        <f t="shared" si="49"/>
        <v>19700806</v>
      </c>
    </row>
    <row r="3167" s="1" customFormat="1" spans="1:13">
      <c r="A3167" s="2">
        <v>7329</v>
      </c>
      <c r="B3167" s="5" t="s">
        <v>13908</v>
      </c>
      <c r="C3167" s="5" t="s">
        <v>2500</v>
      </c>
      <c r="D3167" s="5" t="s">
        <v>14292</v>
      </c>
      <c r="E3167" s="5" t="s">
        <v>15</v>
      </c>
      <c r="F3167" s="5" t="s">
        <v>15</v>
      </c>
      <c r="G3167" s="14" t="s">
        <v>16</v>
      </c>
      <c r="H3167" s="17">
        <v>200</v>
      </c>
      <c r="I3167" s="17">
        <v>200</v>
      </c>
      <c r="J3167" s="5"/>
      <c r="K3167" s="10"/>
      <c r="L3167" s="10">
        <v>20201118</v>
      </c>
      <c r="M3167" s="36" t="str">
        <f t="shared" si="49"/>
        <v>19700806</v>
      </c>
    </row>
    <row r="3168" s="1" customFormat="1" spans="1:13">
      <c r="A3168" s="2">
        <v>66</v>
      </c>
      <c r="B3168" s="3" t="s">
        <v>12</v>
      </c>
      <c r="C3168" s="3" t="s">
        <v>147</v>
      </c>
      <c r="D3168" s="3" t="s">
        <v>148</v>
      </c>
      <c r="E3168" s="3" t="s">
        <v>15</v>
      </c>
      <c r="F3168" s="3" t="s">
        <v>15</v>
      </c>
      <c r="G3168" s="2" t="s">
        <v>16</v>
      </c>
      <c r="H3168" s="3">
        <v>200</v>
      </c>
      <c r="I3168" s="3">
        <v>200</v>
      </c>
      <c r="J3168" s="3"/>
      <c r="K3168" s="3"/>
      <c r="L3168" s="10">
        <v>20201118</v>
      </c>
      <c r="M3168" s="36" t="str">
        <f t="shared" si="49"/>
        <v>19700809</v>
      </c>
    </row>
    <row r="3169" s="1" customFormat="1" ht="14.25" spans="1:13">
      <c r="A3169" s="2">
        <v>2825</v>
      </c>
      <c r="B3169" s="6" t="s">
        <v>6075</v>
      </c>
      <c r="C3169" s="25" t="s">
        <v>6177</v>
      </c>
      <c r="D3169" s="26" t="s">
        <v>6178</v>
      </c>
      <c r="E3169" s="5" t="s">
        <v>15</v>
      </c>
      <c r="F3169" s="5">
        <v>2020</v>
      </c>
      <c r="G3169" s="6" t="s">
        <v>16</v>
      </c>
      <c r="H3169" s="6">
        <v>200</v>
      </c>
      <c r="I3169" s="6">
        <v>200</v>
      </c>
      <c r="J3169" s="6"/>
      <c r="K3169" s="10"/>
      <c r="L3169" s="10">
        <v>20201118</v>
      </c>
      <c r="M3169" s="36" t="str">
        <f t="shared" si="49"/>
        <v>19700810</v>
      </c>
    </row>
    <row r="3170" s="1" customFormat="1" ht="14.25" spans="1:13">
      <c r="A3170" s="2">
        <v>3183</v>
      </c>
      <c r="B3170" s="3" t="s">
        <v>6671</v>
      </c>
      <c r="C3170" s="8" t="s">
        <v>187</v>
      </c>
      <c r="D3170" s="8" t="s">
        <v>6878</v>
      </c>
      <c r="E3170" s="3" t="s">
        <v>15</v>
      </c>
      <c r="F3170" s="3" t="s">
        <v>15</v>
      </c>
      <c r="G3170" s="6" t="s">
        <v>3359</v>
      </c>
      <c r="H3170" s="9">
        <v>200</v>
      </c>
      <c r="I3170" s="9">
        <v>200</v>
      </c>
      <c r="J3170" s="6"/>
      <c r="K3170" s="5"/>
      <c r="L3170" s="10">
        <v>20201118</v>
      </c>
      <c r="M3170" s="36" t="str">
        <f t="shared" si="49"/>
        <v>19700810</v>
      </c>
    </row>
    <row r="3171" s="1" customFormat="1" spans="1:13">
      <c r="A3171" s="2">
        <v>5638</v>
      </c>
      <c r="B3171" s="30" t="s">
        <v>11090</v>
      </c>
      <c r="C3171" s="30" t="s">
        <v>11364</v>
      </c>
      <c r="D3171" s="30" t="s">
        <v>11365</v>
      </c>
      <c r="E3171" s="5" t="s">
        <v>15</v>
      </c>
      <c r="F3171" s="5" t="s">
        <v>10250</v>
      </c>
      <c r="G3171" s="6" t="s">
        <v>16</v>
      </c>
      <c r="H3171" s="32">
        <v>200</v>
      </c>
      <c r="I3171" s="32">
        <v>200</v>
      </c>
      <c r="J3171" s="6"/>
      <c r="K3171" s="48"/>
      <c r="L3171" s="10">
        <v>20201118</v>
      </c>
      <c r="M3171" s="36" t="str">
        <f t="shared" si="49"/>
        <v>19700810</v>
      </c>
    </row>
    <row r="3172" s="1" customFormat="1" spans="1:13">
      <c r="A3172" s="2">
        <v>3153</v>
      </c>
      <c r="B3172" s="3" t="s">
        <v>6671</v>
      </c>
      <c r="C3172" s="9" t="s">
        <v>6823</v>
      </c>
      <c r="D3172" s="9" t="s">
        <v>6824</v>
      </c>
      <c r="E3172" s="3" t="s">
        <v>15</v>
      </c>
      <c r="F3172" s="3" t="s">
        <v>15</v>
      </c>
      <c r="G3172" s="6" t="s">
        <v>3359</v>
      </c>
      <c r="H3172" s="9">
        <v>200</v>
      </c>
      <c r="I3172" s="9">
        <v>200</v>
      </c>
      <c r="J3172" s="6"/>
      <c r="K3172" s="5"/>
      <c r="L3172" s="10">
        <v>20201118</v>
      </c>
      <c r="M3172" s="36" t="str">
        <f t="shared" si="49"/>
        <v>19700812</v>
      </c>
    </row>
    <row r="3173" s="1" customFormat="1" spans="1:13">
      <c r="A3173" s="2">
        <v>5821</v>
      </c>
      <c r="B3173" s="30" t="s">
        <v>11090</v>
      </c>
      <c r="C3173" s="30" t="s">
        <v>11711</v>
      </c>
      <c r="D3173" s="30" t="s">
        <v>11712</v>
      </c>
      <c r="E3173" s="5" t="s">
        <v>15</v>
      </c>
      <c r="F3173" s="5" t="s">
        <v>10250</v>
      </c>
      <c r="G3173" s="6" t="s">
        <v>16</v>
      </c>
      <c r="H3173" s="32">
        <v>200</v>
      </c>
      <c r="I3173" s="32">
        <v>200</v>
      </c>
      <c r="J3173" s="6"/>
      <c r="K3173" s="48"/>
      <c r="L3173" s="10">
        <v>20201118</v>
      </c>
      <c r="M3173" s="36" t="str">
        <f t="shared" si="49"/>
        <v>19700812</v>
      </c>
    </row>
    <row r="3174" s="1" customFormat="1" spans="1:13">
      <c r="A3174" s="2">
        <v>3413</v>
      </c>
      <c r="B3174" s="5" t="s">
        <v>3375</v>
      </c>
      <c r="C3174" s="6" t="s">
        <v>7191</v>
      </c>
      <c r="D3174" s="6" t="str">
        <f>"152326197008186871"</f>
        <v>152326197008186871</v>
      </c>
      <c r="E3174" s="5" t="s">
        <v>15</v>
      </c>
      <c r="F3174" s="5">
        <v>2020</v>
      </c>
      <c r="G3174" s="14" t="s">
        <v>16</v>
      </c>
      <c r="H3174" s="17">
        <v>200</v>
      </c>
      <c r="I3174" s="17">
        <v>200</v>
      </c>
      <c r="J3174" s="6"/>
      <c r="K3174" s="10"/>
      <c r="L3174" s="10">
        <v>20201118</v>
      </c>
      <c r="M3174" s="36" t="str">
        <f t="shared" si="49"/>
        <v>19700818</v>
      </c>
    </row>
    <row r="3175" s="1" customFormat="1" spans="1:13">
      <c r="A3175" s="2">
        <v>3812</v>
      </c>
      <c r="B3175" s="5" t="s">
        <v>7412</v>
      </c>
      <c r="C3175" s="5" t="s">
        <v>7867</v>
      </c>
      <c r="D3175" s="5" t="s">
        <v>7868</v>
      </c>
      <c r="E3175" s="6">
        <v>2020</v>
      </c>
      <c r="F3175" s="6">
        <v>2020</v>
      </c>
      <c r="G3175" s="5" t="s">
        <v>3359</v>
      </c>
      <c r="H3175" s="5">
        <v>200</v>
      </c>
      <c r="I3175" s="5">
        <v>200</v>
      </c>
      <c r="J3175" s="5"/>
      <c r="K3175" s="5"/>
      <c r="L3175" s="10">
        <v>20201118</v>
      </c>
      <c r="M3175" s="36" t="str">
        <f t="shared" si="49"/>
        <v>19700819</v>
      </c>
    </row>
    <row r="3176" s="1" customFormat="1" spans="1:13">
      <c r="A3176" s="2">
        <v>6279</v>
      </c>
      <c r="B3176" s="5" t="s">
        <v>12263</v>
      </c>
      <c r="C3176" s="5" t="s">
        <v>12579</v>
      </c>
      <c r="D3176" s="5" t="s">
        <v>12580</v>
      </c>
      <c r="E3176" s="5" t="s">
        <v>10250</v>
      </c>
      <c r="F3176" s="5">
        <v>2020</v>
      </c>
      <c r="G3176" s="17" t="s">
        <v>3359</v>
      </c>
      <c r="H3176" s="5">
        <v>500</v>
      </c>
      <c r="I3176" s="5">
        <v>500</v>
      </c>
      <c r="J3176" s="5"/>
      <c r="K3176" s="5"/>
      <c r="L3176" s="10">
        <v>20201118</v>
      </c>
      <c r="M3176" s="36" t="str">
        <f t="shared" si="49"/>
        <v>19700820</v>
      </c>
    </row>
    <row r="3177" s="1" customFormat="1" spans="1:13">
      <c r="A3177" s="2">
        <v>1389</v>
      </c>
      <c r="B3177" s="5" t="s">
        <v>2469</v>
      </c>
      <c r="C3177" s="6" t="s">
        <v>3345</v>
      </c>
      <c r="D3177" s="6" t="str">
        <f>"152326197008212128"</f>
        <v>152326197008212128</v>
      </c>
      <c r="E3177" s="5">
        <v>2020</v>
      </c>
      <c r="F3177" s="5">
        <v>2020</v>
      </c>
      <c r="G3177" s="9" t="s">
        <v>2480</v>
      </c>
      <c r="H3177" s="9">
        <v>200</v>
      </c>
      <c r="I3177" s="9">
        <v>200</v>
      </c>
      <c r="J3177" s="5"/>
      <c r="K3177" s="10"/>
      <c r="L3177" s="10">
        <v>20201118</v>
      </c>
      <c r="M3177" s="36" t="str">
        <f t="shared" si="49"/>
        <v>19700821</v>
      </c>
    </row>
    <row r="3178" s="1" customFormat="1" spans="1:13">
      <c r="A3178" s="2">
        <v>1612</v>
      </c>
      <c r="B3178" s="5" t="s">
        <v>3381</v>
      </c>
      <c r="C3178" s="9" t="s">
        <v>3788</v>
      </c>
      <c r="D3178" s="9" t="s">
        <v>3789</v>
      </c>
      <c r="E3178" s="5">
        <v>2020</v>
      </c>
      <c r="F3178" s="5">
        <v>2020</v>
      </c>
      <c r="G3178" s="14" t="s">
        <v>16</v>
      </c>
      <c r="H3178" s="6">
        <v>200</v>
      </c>
      <c r="I3178" s="6">
        <v>200</v>
      </c>
      <c r="J3178" s="5"/>
      <c r="K3178" s="13"/>
      <c r="L3178" s="10">
        <v>20201118</v>
      </c>
      <c r="M3178" s="36" t="str">
        <f t="shared" si="49"/>
        <v>19700823</v>
      </c>
    </row>
    <row r="3179" s="1" customFormat="1" spans="1:13">
      <c r="A3179" s="2">
        <v>4607</v>
      </c>
      <c r="B3179" s="6" t="s">
        <v>9015</v>
      </c>
      <c r="C3179" s="6" t="s">
        <v>9384</v>
      </c>
      <c r="D3179" s="6" t="s">
        <v>9385</v>
      </c>
      <c r="E3179" s="6">
        <v>2020</v>
      </c>
      <c r="F3179" s="6">
        <v>2020</v>
      </c>
      <c r="G3179" s="6" t="s">
        <v>16</v>
      </c>
      <c r="H3179" s="6">
        <v>200</v>
      </c>
      <c r="I3179" s="6">
        <v>200</v>
      </c>
      <c r="J3179" s="6"/>
      <c r="K3179" s="6"/>
      <c r="L3179" s="10">
        <v>20201118</v>
      </c>
      <c r="M3179" s="36" t="str">
        <f t="shared" si="49"/>
        <v>19700823</v>
      </c>
    </row>
    <row r="3180" s="1" customFormat="1" spans="1:13">
      <c r="A3180" s="2">
        <v>2617</v>
      </c>
      <c r="B3180" s="32" t="s">
        <v>5602</v>
      </c>
      <c r="C3180" s="9" t="s">
        <v>5768</v>
      </c>
      <c r="D3180" s="9" t="s">
        <v>5769</v>
      </c>
      <c r="E3180" s="32">
        <v>2020</v>
      </c>
      <c r="F3180" s="32">
        <v>2020</v>
      </c>
      <c r="G3180" s="32" t="s">
        <v>16</v>
      </c>
      <c r="H3180" s="9">
        <v>200</v>
      </c>
      <c r="I3180" s="9">
        <v>200</v>
      </c>
      <c r="J3180" s="32"/>
      <c r="K3180" s="52"/>
      <c r="L3180" s="10">
        <v>20201118</v>
      </c>
      <c r="M3180" s="36" t="str">
        <f t="shared" si="49"/>
        <v>19700825</v>
      </c>
    </row>
    <row r="3181" s="1" customFormat="1" spans="1:13">
      <c r="A3181" s="2">
        <v>7989</v>
      </c>
      <c r="B3181" s="5" t="s">
        <v>15086</v>
      </c>
      <c r="C3181" s="6" t="s">
        <v>15263</v>
      </c>
      <c r="D3181" s="6" t="str">
        <f>"152326197008256868"</f>
        <v>152326197008256868</v>
      </c>
      <c r="E3181" s="5" t="s">
        <v>15</v>
      </c>
      <c r="F3181" s="5">
        <v>2020</v>
      </c>
      <c r="G3181" s="5" t="s">
        <v>16</v>
      </c>
      <c r="H3181" s="5">
        <v>200</v>
      </c>
      <c r="I3181" s="5">
        <v>200</v>
      </c>
      <c r="J3181" s="5"/>
      <c r="K3181" s="5"/>
      <c r="L3181" s="10">
        <v>20201118</v>
      </c>
      <c r="M3181" s="36" t="str">
        <f t="shared" si="49"/>
        <v>19700825</v>
      </c>
    </row>
    <row r="3182" s="1" customFormat="1" spans="1:13">
      <c r="A3182" s="2">
        <v>4514</v>
      </c>
      <c r="B3182" s="6" t="s">
        <v>9015</v>
      </c>
      <c r="C3182" s="6" t="s">
        <v>9210</v>
      </c>
      <c r="D3182" s="6" t="s">
        <v>9211</v>
      </c>
      <c r="E3182" s="6">
        <v>2020</v>
      </c>
      <c r="F3182" s="6">
        <v>2020</v>
      </c>
      <c r="G3182" s="6" t="s">
        <v>16</v>
      </c>
      <c r="H3182" s="6">
        <v>3000</v>
      </c>
      <c r="I3182" s="6">
        <v>3000</v>
      </c>
      <c r="J3182" s="6"/>
      <c r="K3182" s="6"/>
      <c r="L3182" s="10">
        <v>20201118</v>
      </c>
      <c r="M3182" s="36" t="str">
        <f t="shared" si="49"/>
        <v>19700829</v>
      </c>
    </row>
    <row r="3183" s="1" customFormat="1" spans="1:13">
      <c r="A3183" s="2">
        <v>1764</v>
      </c>
      <c r="B3183" s="5" t="s">
        <v>3381</v>
      </c>
      <c r="C3183" s="9" t="s">
        <v>4089</v>
      </c>
      <c r="D3183" s="9" t="s">
        <v>4090</v>
      </c>
      <c r="E3183" s="5">
        <v>2014</v>
      </c>
      <c r="F3183" s="5">
        <v>2020</v>
      </c>
      <c r="G3183" s="14" t="s">
        <v>289</v>
      </c>
      <c r="H3183" s="18">
        <v>200</v>
      </c>
      <c r="I3183" s="6">
        <v>1400</v>
      </c>
      <c r="J3183" s="5"/>
      <c r="K3183" s="13"/>
      <c r="L3183" s="10">
        <v>20201118</v>
      </c>
      <c r="M3183" s="36" t="str">
        <f t="shared" si="49"/>
        <v>19700902</v>
      </c>
    </row>
    <row r="3184" s="1" customFormat="1" ht="14.25" spans="1:13">
      <c r="A3184" s="2">
        <v>7723</v>
      </c>
      <c r="B3184" s="5" t="s">
        <v>14875</v>
      </c>
      <c r="C3184" s="51" t="s">
        <v>14966</v>
      </c>
      <c r="D3184" s="24" t="str">
        <f>"152326197009027127"</f>
        <v>152326197009027127</v>
      </c>
      <c r="E3184" s="6" t="s">
        <v>15</v>
      </c>
      <c r="F3184" s="6">
        <v>2020</v>
      </c>
      <c r="G3184" s="24" t="s">
        <v>14877</v>
      </c>
      <c r="H3184" s="6">
        <v>200</v>
      </c>
      <c r="I3184" s="6">
        <v>200</v>
      </c>
      <c r="J3184" s="6"/>
      <c r="K3184" s="10"/>
      <c r="L3184" s="10">
        <v>20201118</v>
      </c>
      <c r="M3184" s="36" t="str">
        <f t="shared" si="49"/>
        <v>19700902</v>
      </c>
    </row>
    <row r="3185" s="1" customFormat="1" spans="1:13">
      <c r="A3185" s="2">
        <v>7139</v>
      </c>
      <c r="B3185" s="5" t="s">
        <v>13908</v>
      </c>
      <c r="C3185" s="5" t="s">
        <v>13937</v>
      </c>
      <c r="D3185" s="5" t="s">
        <v>13938</v>
      </c>
      <c r="E3185" s="5" t="s">
        <v>15</v>
      </c>
      <c r="F3185" s="5" t="s">
        <v>15</v>
      </c>
      <c r="G3185" s="14" t="s">
        <v>16</v>
      </c>
      <c r="H3185" s="17">
        <v>200</v>
      </c>
      <c r="I3185" s="17">
        <v>200</v>
      </c>
      <c r="J3185" s="5"/>
      <c r="K3185" s="10"/>
      <c r="L3185" s="10">
        <v>20201118</v>
      </c>
      <c r="M3185" s="36" t="str">
        <f t="shared" si="49"/>
        <v>19700907</v>
      </c>
    </row>
    <row r="3186" s="1" customFormat="1" spans="1:13">
      <c r="A3186" s="2">
        <v>778</v>
      </c>
      <c r="B3186" s="29" t="s">
        <v>1040</v>
      </c>
      <c r="C3186" s="5" t="s">
        <v>1984</v>
      </c>
      <c r="D3186" s="317" t="s">
        <v>1985</v>
      </c>
      <c r="E3186" s="30">
        <v>2020</v>
      </c>
      <c r="F3186" s="30">
        <v>2020</v>
      </c>
      <c r="G3186" s="29" t="s">
        <v>16</v>
      </c>
      <c r="H3186" s="29">
        <v>200</v>
      </c>
      <c r="I3186" s="29">
        <v>200</v>
      </c>
      <c r="J3186" s="32"/>
      <c r="K3186" s="32"/>
      <c r="L3186" s="14" t="s">
        <v>330</v>
      </c>
      <c r="M3186" s="36" t="str">
        <f t="shared" si="49"/>
        <v>19700908</v>
      </c>
    </row>
    <row r="3187" s="1" customFormat="1" spans="1:13">
      <c r="A3187" s="2">
        <v>5895</v>
      </c>
      <c r="B3187" s="30" t="s">
        <v>11090</v>
      </c>
      <c r="C3187" s="30" t="s">
        <v>11842</v>
      </c>
      <c r="D3187" s="30" t="s">
        <v>11843</v>
      </c>
      <c r="E3187" s="5" t="s">
        <v>15</v>
      </c>
      <c r="F3187" s="5" t="s">
        <v>10250</v>
      </c>
      <c r="G3187" s="6" t="s">
        <v>16</v>
      </c>
      <c r="H3187" s="32">
        <v>200</v>
      </c>
      <c r="I3187" s="32">
        <v>200</v>
      </c>
      <c r="J3187" s="6"/>
      <c r="K3187" s="48"/>
      <c r="L3187" s="10">
        <v>20201118</v>
      </c>
      <c r="M3187" s="36" t="str">
        <f t="shared" si="49"/>
        <v>19700908</v>
      </c>
    </row>
    <row r="3188" s="1" customFormat="1" spans="1:13">
      <c r="A3188" s="2">
        <v>4736</v>
      </c>
      <c r="B3188" s="6" t="s">
        <v>9015</v>
      </c>
      <c r="C3188" s="6" t="s">
        <v>9629</v>
      </c>
      <c r="D3188" s="6" t="s">
        <v>9630</v>
      </c>
      <c r="E3188" s="6">
        <v>2020</v>
      </c>
      <c r="F3188" s="6">
        <v>2020</v>
      </c>
      <c r="G3188" s="6" t="s">
        <v>16</v>
      </c>
      <c r="H3188" s="6">
        <v>500</v>
      </c>
      <c r="I3188" s="6">
        <v>500</v>
      </c>
      <c r="J3188" s="6"/>
      <c r="K3188" s="6"/>
      <c r="L3188" s="10">
        <v>20201118</v>
      </c>
      <c r="M3188" s="36" t="str">
        <f t="shared" si="49"/>
        <v>19700909</v>
      </c>
    </row>
    <row r="3189" s="1" customFormat="1" spans="1:13">
      <c r="A3189" s="2">
        <v>6613</v>
      </c>
      <c r="B3189" s="5" t="s">
        <v>13027</v>
      </c>
      <c r="C3189" s="15" t="s">
        <v>13213</v>
      </c>
      <c r="D3189" s="15" t="s">
        <v>13214</v>
      </c>
      <c r="E3189" s="5">
        <v>2020</v>
      </c>
      <c r="F3189" s="5">
        <v>2020</v>
      </c>
      <c r="G3189" s="14" t="s">
        <v>16</v>
      </c>
      <c r="H3189" s="15">
        <v>200</v>
      </c>
      <c r="I3189" s="15">
        <v>200</v>
      </c>
      <c r="J3189" s="5"/>
      <c r="K3189" s="10"/>
      <c r="L3189" s="10">
        <v>20201118</v>
      </c>
      <c r="M3189" s="36" t="str">
        <f t="shared" si="49"/>
        <v>19700910</v>
      </c>
    </row>
    <row r="3190" s="1" customFormat="1" spans="1:13">
      <c r="A3190" s="2">
        <v>7538</v>
      </c>
      <c r="B3190" s="5" t="s">
        <v>14402</v>
      </c>
      <c r="C3190" s="5" t="s">
        <v>14685</v>
      </c>
      <c r="D3190" s="5" t="s">
        <v>14686</v>
      </c>
      <c r="E3190" s="5">
        <v>2020</v>
      </c>
      <c r="F3190" s="5">
        <v>2020</v>
      </c>
      <c r="G3190" s="17" t="s">
        <v>16</v>
      </c>
      <c r="H3190" s="5">
        <v>200</v>
      </c>
      <c r="I3190" s="5">
        <v>200</v>
      </c>
      <c r="J3190" s="5"/>
      <c r="K3190" s="10"/>
      <c r="L3190" s="10">
        <v>20201118</v>
      </c>
      <c r="M3190" s="36" t="str">
        <f t="shared" si="49"/>
        <v>19700910</v>
      </c>
    </row>
    <row r="3191" s="1" customFormat="1" spans="1:13">
      <c r="A3191" s="2">
        <v>5923</v>
      </c>
      <c r="B3191" s="30" t="s">
        <v>11090</v>
      </c>
      <c r="C3191" s="30" t="s">
        <v>11895</v>
      </c>
      <c r="D3191" s="30" t="s">
        <v>11896</v>
      </c>
      <c r="E3191" s="5" t="s">
        <v>15</v>
      </c>
      <c r="F3191" s="5" t="s">
        <v>10250</v>
      </c>
      <c r="G3191" s="6" t="s">
        <v>16</v>
      </c>
      <c r="H3191" s="32">
        <v>200</v>
      </c>
      <c r="I3191" s="32">
        <v>200</v>
      </c>
      <c r="J3191" s="6"/>
      <c r="K3191" s="48"/>
      <c r="L3191" s="10">
        <v>20201118</v>
      </c>
      <c r="M3191" s="36" t="str">
        <f t="shared" si="49"/>
        <v>19700911</v>
      </c>
    </row>
    <row r="3192" s="1" customFormat="1" spans="1:13">
      <c r="A3192" s="2">
        <v>1613</v>
      </c>
      <c r="B3192" s="5" t="s">
        <v>3381</v>
      </c>
      <c r="C3192" s="9" t="s">
        <v>3790</v>
      </c>
      <c r="D3192" s="9" t="s">
        <v>3791</v>
      </c>
      <c r="E3192" s="5">
        <v>2020</v>
      </c>
      <c r="F3192" s="5">
        <v>2020</v>
      </c>
      <c r="G3192" s="14" t="s">
        <v>16</v>
      </c>
      <c r="H3192" s="6">
        <v>200</v>
      </c>
      <c r="I3192" s="6">
        <v>200</v>
      </c>
      <c r="J3192" s="5"/>
      <c r="K3192" s="13"/>
      <c r="L3192" s="10">
        <v>20201118</v>
      </c>
      <c r="M3192" s="36" t="str">
        <f t="shared" si="49"/>
        <v>19700912</v>
      </c>
    </row>
    <row r="3193" s="1" customFormat="1" spans="1:13">
      <c r="A3193" s="2">
        <v>4567</v>
      </c>
      <c r="B3193" s="6" t="s">
        <v>9015</v>
      </c>
      <c r="C3193" s="6" t="s">
        <v>9311</v>
      </c>
      <c r="D3193" s="6" t="s">
        <v>9312</v>
      </c>
      <c r="E3193" s="6">
        <v>2020</v>
      </c>
      <c r="F3193" s="6">
        <v>2020</v>
      </c>
      <c r="G3193" s="6" t="s">
        <v>16</v>
      </c>
      <c r="H3193" s="6">
        <v>200</v>
      </c>
      <c r="I3193" s="6">
        <v>200</v>
      </c>
      <c r="J3193" s="6"/>
      <c r="K3193" s="6"/>
      <c r="L3193" s="10">
        <v>20201118</v>
      </c>
      <c r="M3193" s="36" t="str">
        <f t="shared" si="49"/>
        <v>19700912</v>
      </c>
    </row>
    <row r="3194" s="1" customFormat="1" spans="1:13">
      <c r="A3194" s="2">
        <v>1068</v>
      </c>
      <c r="B3194" s="5" t="s">
        <v>2469</v>
      </c>
      <c r="C3194" s="9" t="s">
        <v>2726</v>
      </c>
      <c r="D3194" s="9" t="s">
        <v>2727</v>
      </c>
      <c r="E3194" s="5">
        <v>2020</v>
      </c>
      <c r="F3194" s="5">
        <v>2020</v>
      </c>
      <c r="G3194" s="9" t="s">
        <v>2480</v>
      </c>
      <c r="H3194" s="9">
        <v>200</v>
      </c>
      <c r="I3194" s="9">
        <v>200</v>
      </c>
      <c r="J3194" s="5"/>
      <c r="K3194" s="5"/>
      <c r="L3194" s="10">
        <v>20201118</v>
      </c>
      <c r="M3194" s="36" t="str">
        <f t="shared" si="49"/>
        <v>19700913</v>
      </c>
    </row>
    <row r="3195" s="1" customFormat="1" spans="1:13">
      <c r="A3195" s="2">
        <v>7134</v>
      </c>
      <c r="B3195" s="5" t="s">
        <v>13908</v>
      </c>
      <c r="C3195" s="5" t="s">
        <v>13927</v>
      </c>
      <c r="D3195" s="5" t="s">
        <v>13928</v>
      </c>
      <c r="E3195" s="5" t="s">
        <v>15</v>
      </c>
      <c r="F3195" s="5" t="s">
        <v>15</v>
      </c>
      <c r="G3195" s="14" t="s">
        <v>16</v>
      </c>
      <c r="H3195" s="17">
        <v>200</v>
      </c>
      <c r="I3195" s="17">
        <v>200</v>
      </c>
      <c r="J3195" s="5"/>
      <c r="K3195" s="10"/>
      <c r="L3195" s="10">
        <v>20201118</v>
      </c>
      <c r="M3195" s="36" t="str">
        <f t="shared" si="49"/>
        <v>19700913</v>
      </c>
    </row>
    <row r="3196" s="1" customFormat="1" ht="14.25" spans="1:13">
      <c r="A3196" s="2">
        <v>7729</v>
      </c>
      <c r="B3196" s="5" t="s">
        <v>14875</v>
      </c>
      <c r="C3196" s="51" t="s">
        <v>14970</v>
      </c>
      <c r="D3196" s="24" t="s">
        <v>14971</v>
      </c>
      <c r="E3196" s="6" t="s">
        <v>15</v>
      </c>
      <c r="F3196" s="6">
        <v>2020</v>
      </c>
      <c r="G3196" s="24" t="s">
        <v>14877</v>
      </c>
      <c r="H3196" s="6">
        <v>200</v>
      </c>
      <c r="I3196" s="6">
        <v>200</v>
      </c>
      <c r="J3196" s="6"/>
      <c r="K3196" s="10"/>
      <c r="L3196" s="10">
        <v>20201118</v>
      </c>
      <c r="M3196" s="36" t="str">
        <f t="shared" si="49"/>
        <v>19700916</v>
      </c>
    </row>
    <row r="3197" s="1" customFormat="1" spans="1:13">
      <c r="A3197" s="2">
        <v>8105</v>
      </c>
      <c r="B3197" s="13" t="s">
        <v>15086</v>
      </c>
      <c r="C3197" s="13" t="s">
        <v>15403</v>
      </c>
      <c r="D3197" s="5" t="s">
        <v>15404</v>
      </c>
      <c r="E3197" s="13">
        <v>2015</v>
      </c>
      <c r="F3197" s="5">
        <v>2020</v>
      </c>
      <c r="G3197" s="5" t="s">
        <v>289</v>
      </c>
      <c r="H3197" s="13">
        <v>200</v>
      </c>
      <c r="I3197" s="13">
        <v>1200</v>
      </c>
      <c r="J3197" s="10"/>
      <c r="K3197" s="10"/>
      <c r="L3197" s="10">
        <v>20201224</v>
      </c>
      <c r="M3197" s="36" t="str">
        <f t="shared" si="49"/>
        <v>19700917</v>
      </c>
    </row>
    <row r="3198" s="1" customFormat="1" spans="1:13">
      <c r="A3198" s="2">
        <v>6933</v>
      </c>
      <c r="B3198" s="5" t="s">
        <v>13533</v>
      </c>
      <c r="C3198" s="32" t="s">
        <v>13683</v>
      </c>
      <c r="D3198" s="32" t="str">
        <f>"152326197009187120"</f>
        <v>152326197009187120</v>
      </c>
      <c r="E3198" s="5">
        <v>2020</v>
      </c>
      <c r="F3198" s="5">
        <v>2020</v>
      </c>
      <c r="G3198" s="9" t="s">
        <v>2480</v>
      </c>
      <c r="H3198" s="32">
        <v>200</v>
      </c>
      <c r="I3198" s="32">
        <v>200</v>
      </c>
      <c r="J3198" s="62"/>
      <c r="K3198" s="10"/>
      <c r="L3198" s="10">
        <v>20201118</v>
      </c>
      <c r="M3198" s="36" t="str">
        <f t="shared" si="49"/>
        <v>19700918</v>
      </c>
    </row>
    <row r="3199" s="1" customFormat="1" spans="1:13">
      <c r="A3199" s="2">
        <v>407</v>
      </c>
      <c r="B3199" s="29" t="s">
        <v>1040</v>
      </c>
      <c r="C3199" s="29" t="s">
        <v>1091</v>
      </c>
      <c r="D3199" s="29" t="s">
        <v>1092</v>
      </c>
      <c r="E3199" s="30">
        <v>2020</v>
      </c>
      <c r="F3199" s="30">
        <v>2020</v>
      </c>
      <c r="G3199" s="29" t="s">
        <v>16</v>
      </c>
      <c r="H3199" s="29">
        <v>200</v>
      </c>
      <c r="I3199" s="29">
        <v>200</v>
      </c>
      <c r="J3199" s="29"/>
      <c r="K3199" s="47"/>
      <c r="L3199" s="14" t="s">
        <v>330</v>
      </c>
      <c r="M3199" s="36" t="str">
        <f t="shared" si="49"/>
        <v>19700919</v>
      </c>
    </row>
    <row r="3200" s="1" customFormat="1" spans="1:13">
      <c r="A3200" s="2">
        <v>2618</v>
      </c>
      <c r="B3200" s="32" t="s">
        <v>5602</v>
      </c>
      <c r="C3200" s="9" t="s">
        <v>5770</v>
      </c>
      <c r="D3200" s="9" t="s">
        <v>5771</v>
      </c>
      <c r="E3200" s="32">
        <v>2020</v>
      </c>
      <c r="F3200" s="32">
        <v>2020</v>
      </c>
      <c r="G3200" s="32" t="s">
        <v>16</v>
      </c>
      <c r="H3200" s="9">
        <v>200</v>
      </c>
      <c r="I3200" s="9">
        <v>200</v>
      </c>
      <c r="J3200" s="32"/>
      <c r="K3200" s="52"/>
      <c r="L3200" s="10">
        <v>20201118</v>
      </c>
      <c r="M3200" s="36" t="str">
        <f t="shared" si="49"/>
        <v>19700919</v>
      </c>
    </row>
    <row r="3201" s="1" customFormat="1" spans="1:13">
      <c r="A3201" s="2">
        <v>6937</v>
      </c>
      <c r="B3201" s="5" t="s">
        <v>13533</v>
      </c>
      <c r="C3201" s="32" t="s">
        <v>13687</v>
      </c>
      <c r="D3201" s="32" t="s">
        <v>13688</v>
      </c>
      <c r="E3201" s="5">
        <v>2020</v>
      </c>
      <c r="F3201" s="5">
        <v>2020</v>
      </c>
      <c r="G3201" s="9" t="s">
        <v>2480</v>
      </c>
      <c r="H3201" s="32">
        <v>7000</v>
      </c>
      <c r="I3201" s="32">
        <v>7000</v>
      </c>
      <c r="J3201" s="32"/>
      <c r="K3201" s="10"/>
      <c r="L3201" s="10">
        <v>20201118</v>
      </c>
      <c r="M3201" s="36" t="str">
        <f t="shared" si="49"/>
        <v>19700921</v>
      </c>
    </row>
    <row r="3202" s="1" customFormat="1" spans="1:13">
      <c r="A3202" s="2">
        <v>2619</v>
      </c>
      <c r="B3202" s="32" t="s">
        <v>5602</v>
      </c>
      <c r="C3202" s="9" t="s">
        <v>5772</v>
      </c>
      <c r="D3202" s="9" t="s">
        <v>5773</v>
      </c>
      <c r="E3202" s="32">
        <v>2020</v>
      </c>
      <c r="F3202" s="32">
        <v>2020</v>
      </c>
      <c r="G3202" s="32" t="s">
        <v>16</v>
      </c>
      <c r="H3202" s="9">
        <v>200</v>
      </c>
      <c r="I3202" s="9">
        <v>200</v>
      </c>
      <c r="J3202" s="32"/>
      <c r="K3202" s="52"/>
      <c r="L3202" s="10">
        <v>20201118</v>
      </c>
      <c r="M3202" s="36" t="str">
        <f t="shared" ref="M3202:M3265" si="50">MID(D3202,7,8)</f>
        <v>19700923</v>
      </c>
    </row>
    <row r="3203" s="1" customFormat="1" spans="1:13">
      <c r="A3203" s="2">
        <v>4663</v>
      </c>
      <c r="B3203" s="6" t="s">
        <v>9015</v>
      </c>
      <c r="C3203" s="6" t="s">
        <v>9490</v>
      </c>
      <c r="D3203" s="6" t="s">
        <v>9491</v>
      </c>
      <c r="E3203" s="6">
        <v>2020</v>
      </c>
      <c r="F3203" s="6">
        <v>2020</v>
      </c>
      <c r="G3203" s="6" t="s">
        <v>16</v>
      </c>
      <c r="H3203" s="6">
        <v>200</v>
      </c>
      <c r="I3203" s="6">
        <v>200</v>
      </c>
      <c r="J3203" s="6"/>
      <c r="K3203" s="6"/>
      <c r="L3203" s="10">
        <v>20201118</v>
      </c>
      <c r="M3203" s="36" t="str">
        <f t="shared" si="50"/>
        <v>19700923</v>
      </c>
    </row>
    <row r="3204" s="1" customFormat="1" spans="1:13">
      <c r="A3204" s="2">
        <v>4790</v>
      </c>
      <c r="B3204" s="6" t="s">
        <v>9015</v>
      </c>
      <c r="C3204" s="6" t="s">
        <v>5098</v>
      </c>
      <c r="D3204" s="6" t="s">
        <v>9731</v>
      </c>
      <c r="E3204" s="6">
        <v>2020</v>
      </c>
      <c r="F3204" s="6">
        <v>2020</v>
      </c>
      <c r="G3204" s="6" t="s">
        <v>16</v>
      </c>
      <c r="H3204" s="6">
        <v>200</v>
      </c>
      <c r="I3204" s="6">
        <v>200</v>
      </c>
      <c r="J3204" s="6"/>
      <c r="K3204" s="6"/>
      <c r="L3204" s="10">
        <v>20201118</v>
      </c>
      <c r="M3204" s="36" t="str">
        <f t="shared" si="50"/>
        <v>19700925</v>
      </c>
    </row>
    <row r="3205" s="1" customFormat="1" spans="1:13">
      <c r="A3205" s="2">
        <v>6939</v>
      </c>
      <c r="B3205" s="5" t="s">
        <v>13533</v>
      </c>
      <c r="C3205" s="32" t="s">
        <v>13689</v>
      </c>
      <c r="D3205" s="32" t="str">
        <f>"152326197009257176"</f>
        <v>152326197009257176</v>
      </c>
      <c r="E3205" s="5">
        <v>2020</v>
      </c>
      <c r="F3205" s="5">
        <v>2020</v>
      </c>
      <c r="G3205" s="9" t="s">
        <v>2480</v>
      </c>
      <c r="H3205" s="32">
        <v>200</v>
      </c>
      <c r="I3205" s="32">
        <v>200</v>
      </c>
      <c r="J3205" s="32"/>
      <c r="K3205" s="10"/>
      <c r="L3205" s="10">
        <v>20201118</v>
      </c>
      <c r="M3205" s="36" t="str">
        <f t="shared" si="50"/>
        <v>19700925</v>
      </c>
    </row>
    <row r="3206" s="1" customFormat="1" spans="1:13">
      <c r="A3206" s="2">
        <v>7539</v>
      </c>
      <c r="B3206" s="5" t="s">
        <v>14402</v>
      </c>
      <c r="C3206" s="5" t="s">
        <v>14687</v>
      </c>
      <c r="D3206" s="5" t="s">
        <v>14688</v>
      </c>
      <c r="E3206" s="5">
        <v>2020</v>
      </c>
      <c r="F3206" s="5">
        <v>2020</v>
      </c>
      <c r="G3206" s="17" t="s">
        <v>16</v>
      </c>
      <c r="H3206" s="5">
        <v>1000</v>
      </c>
      <c r="I3206" s="5">
        <v>1000</v>
      </c>
      <c r="J3206" s="5"/>
      <c r="K3206" s="10"/>
      <c r="L3206" s="10">
        <v>20201118</v>
      </c>
      <c r="M3206" s="36" t="str">
        <f t="shared" si="50"/>
        <v>19700925</v>
      </c>
    </row>
    <row r="3207" s="1" customFormat="1" spans="1:13">
      <c r="A3207" s="2">
        <v>7992</v>
      </c>
      <c r="B3207" s="5" t="s">
        <v>15086</v>
      </c>
      <c r="C3207" s="6" t="s">
        <v>7904</v>
      </c>
      <c r="D3207" s="6" t="str">
        <f>"152326197009276860"</f>
        <v>152326197009276860</v>
      </c>
      <c r="E3207" s="5" t="s">
        <v>15</v>
      </c>
      <c r="F3207" s="5">
        <v>2020</v>
      </c>
      <c r="G3207" s="5" t="s">
        <v>16</v>
      </c>
      <c r="H3207" s="5">
        <v>200</v>
      </c>
      <c r="I3207" s="5">
        <v>200</v>
      </c>
      <c r="J3207" s="5"/>
      <c r="K3207" s="5"/>
      <c r="L3207" s="10">
        <v>20201118</v>
      </c>
      <c r="M3207" s="36" t="str">
        <f t="shared" si="50"/>
        <v>19700927</v>
      </c>
    </row>
    <row r="3208" s="1" customFormat="1" spans="1:13">
      <c r="A3208" s="2">
        <v>7213</v>
      </c>
      <c r="B3208" s="5" t="s">
        <v>13908</v>
      </c>
      <c r="C3208" s="5" t="s">
        <v>5022</v>
      </c>
      <c r="D3208" s="5" t="s">
        <v>14073</v>
      </c>
      <c r="E3208" s="5" t="s">
        <v>15</v>
      </c>
      <c r="F3208" s="5" t="s">
        <v>15</v>
      </c>
      <c r="G3208" s="14" t="s">
        <v>16</v>
      </c>
      <c r="H3208" s="17">
        <v>200</v>
      </c>
      <c r="I3208" s="17">
        <v>200</v>
      </c>
      <c r="J3208" s="5"/>
      <c r="K3208" s="10"/>
      <c r="L3208" s="10">
        <v>20201118</v>
      </c>
      <c r="M3208" s="36" t="str">
        <f t="shared" si="50"/>
        <v>19700928</v>
      </c>
    </row>
    <row r="3209" s="1" customFormat="1" spans="1:13">
      <c r="A3209" s="2">
        <v>392</v>
      </c>
      <c r="B3209" s="29" t="s">
        <v>1040</v>
      </c>
      <c r="C3209" s="29" t="s">
        <v>1060</v>
      </c>
      <c r="D3209" s="29" t="s">
        <v>1061</v>
      </c>
      <c r="E3209" s="30">
        <v>2020</v>
      </c>
      <c r="F3209" s="30">
        <v>2020</v>
      </c>
      <c r="G3209" s="29" t="s">
        <v>16</v>
      </c>
      <c r="H3209" s="29">
        <v>200</v>
      </c>
      <c r="I3209" s="29">
        <v>200</v>
      </c>
      <c r="J3209" s="29"/>
      <c r="K3209" s="47"/>
      <c r="L3209" s="2" t="s">
        <v>330</v>
      </c>
      <c r="M3209" s="36" t="str">
        <f t="shared" si="50"/>
        <v>19700930</v>
      </c>
    </row>
    <row r="3210" s="1" customFormat="1" ht="14.25" spans="1:13">
      <c r="A3210" s="2">
        <v>5314</v>
      </c>
      <c r="B3210" s="33" t="s">
        <v>10535</v>
      </c>
      <c r="C3210" s="34" t="s">
        <v>10742</v>
      </c>
      <c r="D3210" s="34" t="s">
        <v>10743</v>
      </c>
      <c r="E3210" s="35">
        <v>2020</v>
      </c>
      <c r="F3210" s="35">
        <v>2020</v>
      </c>
      <c r="G3210" s="35" t="s">
        <v>16</v>
      </c>
      <c r="H3210" s="34">
        <v>1000</v>
      </c>
      <c r="I3210" s="34">
        <v>1000</v>
      </c>
      <c r="J3210" s="49"/>
      <c r="K3210" s="10"/>
      <c r="L3210" s="10">
        <v>20201118</v>
      </c>
      <c r="M3210" s="36" t="str">
        <f t="shared" si="50"/>
        <v>19700930</v>
      </c>
    </row>
    <row r="3211" s="1" customFormat="1" spans="1:13">
      <c r="A3211" s="2">
        <v>1781</v>
      </c>
      <c r="B3211" s="5" t="s">
        <v>3381</v>
      </c>
      <c r="C3211" s="9" t="s">
        <v>4124</v>
      </c>
      <c r="D3211" s="9" t="s">
        <v>4125</v>
      </c>
      <c r="E3211" s="5">
        <v>2015</v>
      </c>
      <c r="F3211" s="5">
        <v>2020</v>
      </c>
      <c r="G3211" s="14" t="s">
        <v>289</v>
      </c>
      <c r="H3211" s="18">
        <v>200</v>
      </c>
      <c r="I3211" s="6">
        <v>1200</v>
      </c>
      <c r="J3211" s="5"/>
      <c r="K3211" s="13"/>
      <c r="L3211" s="10">
        <v>20201118</v>
      </c>
      <c r="M3211" s="36" t="str">
        <f t="shared" si="50"/>
        <v>19701001</v>
      </c>
    </row>
    <row r="3212" s="1" customFormat="1" spans="1:13">
      <c r="A3212" s="2">
        <v>8176</v>
      </c>
      <c r="B3212" s="5" t="s">
        <v>15406</v>
      </c>
      <c r="C3212" s="6" t="s">
        <v>15540</v>
      </c>
      <c r="D3212" s="6" t="s">
        <v>15541</v>
      </c>
      <c r="E3212" s="5" t="s">
        <v>15</v>
      </c>
      <c r="F3212" s="5">
        <v>2020</v>
      </c>
      <c r="G3212" s="14" t="s">
        <v>16</v>
      </c>
      <c r="H3212" s="6" t="s">
        <v>311</v>
      </c>
      <c r="I3212" s="6">
        <v>200</v>
      </c>
      <c r="J3212" s="5"/>
      <c r="K3212" s="10"/>
      <c r="L3212" s="10">
        <v>20201118</v>
      </c>
      <c r="M3212" s="36" t="str">
        <f t="shared" si="50"/>
        <v>19701001</v>
      </c>
    </row>
    <row r="3213" s="1" customFormat="1" spans="1:13">
      <c r="A3213" s="2">
        <v>1069</v>
      </c>
      <c r="B3213" s="5" t="s">
        <v>2469</v>
      </c>
      <c r="C3213" s="9" t="s">
        <v>2728</v>
      </c>
      <c r="D3213" s="9" t="s">
        <v>2729</v>
      </c>
      <c r="E3213" s="5">
        <v>2020</v>
      </c>
      <c r="F3213" s="5">
        <v>2020</v>
      </c>
      <c r="G3213" s="9" t="s">
        <v>2480</v>
      </c>
      <c r="H3213" s="9">
        <v>200</v>
      </c>
      <c r="I3213" s="9">
        <v>200</v>
      </c>
      <c r="J3213" s="5"/>
      <c r="K3213" s="5"/>
      <c r="L3213" s="10">
        <v>20201118</v>
      </c>
      <c r="M3213" s="36" t="str">
        <f t="shared" si="50"/>
        <v>19701002</v>
      </c>
    </row>
    <row r="3214" s="1" customFormat="1" spans="1:13">
      <c r="A3214" s="2">
        <v>2436</v>
      </c>
      <c r="B3214" s="5" t="s">
        <v>5328</v>
      </c>
      <c r="C3214" s="16" t="s">
        <v>5411</v>
      </c>
      <c r="D3214" s="16" t="s">
        <v>5412</v>
      </c>
      <c r="E3214" s="5" t="s">
        <v>15</v>
      </c>
      <c r="F3214" s="5" t="s">
        <v>15</v>
      </c>
      <c r="G3214" s="14" t="s">
        <v>16</v>
      </c>
      <c r="H3214" s="6">
        <v>200</v>
      </c>
      <c r="I3214" s="6">
        <v>200</v>
      </c>
      <c r="J3214" s="5"/>
      <c r="K3214" s="5"/>
      <c r="L3214" s="10">
        <v>20201118</v>
      </c>
      <c r="M3214" s="36" t="str">
        <f t="shared" si="50"/>
        <v>19701002</v>
      </c>
    </row>
    <row r="3215" s="1" customFormat="1" spans="1:13">
      <c r="A3215" s="2">
        <v>2437</v>
      </c>
      <c r="B3215" s="5" t="s">
        <v>5328</v>
      </c>
      <c r="C3215" s="16" t="s">
        <v>5413</v>
      </c>
      <c r="D3215" s="16" t="s">
        <v>5414</v>
      </c>
      <c r="E3215" s="5" t="s">
        <v>15</v>
      </c>
      <c r="F3215" s="5" t="s">
        <v>15</v>
      </c>
      <c r="G3215" s="14" t="s">
        <v>16</v>
      </c>
      <c r="H3215" s="6">
        <v>200</v>
      </c>
      <c r="I3215" s="6">
        <v>200</v>
      </c>
      <c r="J3215" s="5"/>
      <c r="K3215" s="5"/>
      <c r="L3215" s="10">
        <v>20201118</v>
      </c>
      <c r="M3215" s="36" t="str">
        <f t="shared" si="50"/>
        <v>19701002</v>
      </c>
    </row>
    <row r="3216" s="1" customFormat="1" spans="1:13">
      <c r="A3216" s="2">
        <v>6471</v>
      </c>
      <c r="B3216" s="5" t="s">
        <v>12263</v>
      </c>
      <c r="C3216" s="5" t="s">
        <v>12945</v>
      </c>
      <c r="D3216" s="5" t="s">
        <v>12946</v>
      </c>
      <c r="E3216" s="5" t="s">
        <v>10250</v>
      </c>
      <c r="F3216" s="5">
        <v>2020</v>
      </c>
      <c r="G3216" s="17" t="s">
        <v>3359</v>
      </c>
      <c r="H3216" s="5">
        <v>500</v>
      </c>
      <c r="I3216" s="5">
        <v>500</v>
      </c>
      <c r="J3216" s="5"/>
      <c r="K3216" s="5"/>
      <c r="L3216" s="10">
        <v>20201118</v>
      </c>
      <c r="M3216" s="36" t="str">
        <f t="shared" si="50"/>
        <v>19701002</v>
      </c>
    </row>
    <row r="3217" s="1" customFormat="1" spans="1:13">
      <c r="A3217" s="2">
        <v>1070</v>
      </c>
      <c r="B3217" s="5" t="s">
        <v>2469</v>
      </c>
      <c r="C3217" s="9" t="s">
        <v>2730</v>
      </c>
      <c r="D3217" s="9" t="s">
        <v>2731</v>
      </c>
      <c r="E3217" s="5">
        <v>2020</v>
      </c>
      <c r="F3217" s="5">
        <v>2020</v>
      </c>
      <c r="G3217" s="9" t="s">
        <v>2480</v>
      </c>
      <c r="H3217" s="9">
        <v>200</v>
      </c>
      <c r="I3217" s="9">
        <v>200</v>
      </c>
      <c r="J3217" s="5"/>
      <c r="K3217" s="5"/>
      <c r="L3217" s="10">
        <v>20201118</v>
      </c>
      <c r="M3217" s="36" t="str">
        <f t="shared" si="50"/>
        <v>19701003</v>
      </c>
    </row>
    <row r="3218" s="1" customFormat="1" spans="1:13">
      <c r="A3218" s="2">
        <v>2438</v>
      </c>
      <c r="B3218" s="5" t="s">
        <v>5328</v>
      </c>
      <c r="C3218" s="16" t="s">
        <v>5415</v>
      </c>
      <c r="D3218" s="16" t="s">
        <v>5416</v>
      </c>
      <c r="E3218" s="5" t="s">
        <v>15</v>
      </c>
      <c r="F3218" s="5" t="s">
        <v>15</v>
      </c>
      <c r="G3218" s="14" t="s">
        <v>16</v>
      </c>
      <c r="H3218" s="6">
        <v>200</v>
      </c>
      <c r="I3218" s="6">
        <v>200</v>
      </c>
      <c r="J3218" s="5"/>
      <c r="K3218" s="5"/>
      <c r="L3218" s="10">
        <v>20201118</v>
      </c>
      <c r="M3218" s="36" t="str">
        <f t="shared" si="50"/>
        <v>19701004</v>
      </c>
    </row>
    <row r="3219" s="1" customFormat="1" spans="1:13">
      <c r="A3219" s="2">
        <v>4538</v>
      </c>
      <c r="B3219" s="6" t="s">
        <v>9015</v>
      </c>
      <c r="C3219" s="6" t="s">
        <v>9256</v>
      </c>
      <c r="D3219" s="6" t="s">
        <v>9257</v>
      </c>
      <c r="E3219" s="6">
        <v>2020</v>
      </c>
      <c r="F3219" s="6">
        <v>2020</v>
      </c>
      <c r="G3219" s="6" t="s">
        <v>16</v>
      </c>
      <c r="H3219" s="6">
        <v>200</v>
      </c>
      <c r="I3219" s="6">
        <v>200</v>
      </c>
      <c r="J3219" s="6" t="s">
        <v>3405</v>
      </c>
      <c r="K3219" s="6"/>
      <c r="L3219" s="10">
        <v>20201118</v>
      </c>
      <c r="M3219" s="36" t="str">
        <f t="shared" si="50"/>
        <v>19701005</v>
      </c>
    </row>
    <row r="3220" s="1" customFormat="1" spans="1:13">
      <c r="A3220" s="2">
        <v>6482</v>
      </c>
      <c r="B3220" s="5" t="s">
        <v>12263</v>
      </c>
      <c r="C3220" s="5" t="s">
        <v>12967</v>
      </c>
      <c r="D3220" s="5" t="s">
        <v>12968</v>
      </c>
      <c r="E3220" s="5" t="s">
        <v>2472</v>
      </c>
      <c r="F3220" s="5">
        <v>2020</v>
      </c>
      <c r="G3220" s="5" t="s">
        <v>295</v>
      </c>
      <c r="H3220" s="5">
        <v>500</v>
      </c>
      <c r="I3220" s="5">
        <v>3000</v>
      </c>
      <c r="J3220" s="5"/>
      <c r="K3220" s="5"/>
      <c r="L3220" s="10">
        <v>20201118</v>
      </c>
      <c r="M3220" s="36" t="str">
        <f t="shared" si="50"/>
        <v>19701005</v>
      </c>
    </row>
    <row r="3221" s="1" customFormat="1" spans="1:13">
      <c r="A3221" s="2">
        <v>7240</v>
      </c>
      <c r="B3221" s="5" t="s">
        <v>13908</v>
      </c>
      <c r="C3221" s="5" t="s">
        <v>7112</v>
      </c>
      <c r="D3221" s="5" t="s">
        <v>14124</v>
      </c>
      <c r="E3221" s="5" t="s">
        <v>15</v>
      </c>
      <c r="F3221" s="5" t="s">
        <v>15</v>
      </c>
      <c r="G3221" s="14" t="s">
        <v>16</v>
      </c>
      <c r="H3221" s="17">
        <v>200</v>
      </c>
      <c r="I3221" s="17">
        <v>200</v>
      </c>
      <c r="J3221" s="5"/>
      <c r="K3221" s="10"/>
      <c r="L3221" s="10">
        <v>20201118</v>
      </c>
      <c r="M3221" s="36" t="str">
        <f t="shared" si="50"/>
        <v>19701005</v>
      </c>
    </row>
    <row r="3222" s="1" customFormat="1" spans="1:13">
      <c r="A3222" s="2">
        <v>408</v>
      </c>
      <c r="B3222" s="29" t="s">
        <v>1040</v>
      </c>
      <c r="C3222" s="29" t="s">
        <v>1093</v>
      </c>
      <c r="D3222" s="29" t="s">
        <v>1094</v>
      </c>
      <c r="E3222" s="30">
        <v>2020</v>
      </c>
      <c r="F3222" s="30">
        <v>2020</v>
      </c>
      <c r="G3222" s="29" t="s">
        <v>16</v>
      </c>
      <c r="H3222" s="29">
        <v>200</v>
      </c>
      <c r="I3222" s="29">
        <v>200</v>
      </c>
      <c r="J3222" s="29"/>
      <c r="K3222" s="47"/>
      <c r="L3222" s="2" t="s">
        <v>330</v>
      </c>
      <c r="M3222" s="36" t="str">
        <f t="shared" si="50"/>
        <v>19701006</v>
      </c>
    </row>
    <row r="3223" s="1" customFormat="1" spans="1:13">
      <c r="A3223" s="2">
        <v>575</v>
      </c>
      <c r="B3223" s="29" t="s">
        <v>1040</v>
      </c>
      <c r="C3223" s="29" t="s">
        <v>1426</v>
      </c>
      <c r="D3223" s="29" t="s">
        <v>1427</v>
      </c>
      <c r="E3223" s="30">
        <v>2020</v>
      </c>
      <c r="F3223" s="30">
        <v>2020</v>
      </c>
      <c r="G3223" s="29" t="s">
        <v>16</v>
      </c>
      <c r="H3223" s="29">
        <v>200</v>
      </c>
      <c r="I3223" s="29">
        <v>200</v>
      </c>
      <c r="J3223" s="29"/>
      <c r="K3223" s="47"/>
      <c r="L3223" s="14" t="s">
        <v>330</v>
      </c>
      <c r="M3223" s="36" t="str">
        <f t="shared" si="50"/>
        <v>19701007</v>
      </c>
    </row>
    <row r="3224" s="1" customFormat="1" ht="14.25" spans="1:13">
      <c r="A3224" s="2">
        <v>7721</v>
      </c>
      <c r="B3224" s="5" t="s">
        <v>14875</v>
      </c>
      <c r="C3224" s="51" t="s">
        <v>14964</v>
      </c>
      <c r="D3224" s="24" t="str">
        <f>"152326197010077113"</f>
        <v>152326197010077113</v>
      </c>
      <c r="E3224" s="6" t="s">
        <v>15</v>
      </c>
      <c r="F3224" s="6">
        <v>2020</v>
      </c>
      <c r="G3224" s="24" t="s">
        <v>14877</v>
      </c>
      <c r="H3224" s="6">
        <v>200</v>
      </c>
      <c r="I3224" s="6">
        <v>200</v>
      </c>
      <c r="J3224" s="6"/>
      <c r="K3224" s="10"/>
      <c r="L3224" s="10">
        <v>20201118</v>
      </c>
      <c r="M3224" s="36" t="str">
        <f t="shared" si="50"/>
        <v>19701007</v>
      </c>
    </row>
    <row r="3225" s="1" customFormat="1" spans="1:13">
      <c r="A3225" s="2">
        <v>5603</v>
      </c>
      <c r="B3225" s="30" t="s">
        <v>11090</v>
      </c>
      <c r="C3225" s="30" t="s">
        <v>11297</v>
      </c>
      <c r="D3225" s="30" t="s">
        <v>11298</v>
      </c>
      <c r="E3225" s="5" t="s">
        <v>15</v>
      </c>
      <c r="F3225" s="5" t="s">
        <v>10250</v>
      </c>
      <c r="G3225" s="6" t="s">
        <v>16</v>
      </c>
      <c r="H3225" s="32">
        <v>200</v>
      </c>
      <c r="I3225" s="32">
        <v>200</v>
      </c>
      <c r="J3225" s="6"/>
      <c r="K3225" s="48"/>
      <c r="L3225" s="10">
        <v>20201118</v>
      </c>
      <c r="M3225" s="36" t="str">
        <f t="shared" si="50"/>
        <v>19701008</v>
      </c>
    </row>
    <row r="3226" s="1" customFormat="1" spans="1:13">
      <c r="A3226" s="2">
        <v>7984</v>
      </c>
      <c r="B3226" s="5" t="s">
        <v>15086</v>
      </c>
      <c r="C3226" s="6" t="s">
        <v>15258</v>
      </c>
      <c r="D3226" s="6" t="str">
        <f>"152326197010096867"</f>
        <v>152326197010096867</v>
      </c>
      <c r="E3226" s="5" t="s">
        <v>15</v>
      </c>
      <c r="F3226" s="5">
        <v>2020</v>
      </c>
      <c r="G3226" s="5" t="s">
        <v>16</v>
      </c>
      <c r="H3226" s="5">
        <v>200</v>
      </c>
      <c r="I3226" s="5">
        <v>200</v>
      </c>
      <c r="J3226" s="5"/>
      <c r="K3226" s="5"/>
      <c r="L3226" s="10">
        <v>20201118</v>
      </c>
      <c r="M3226" s="36" t="str">
        <f t="shared" si="50"/>
        <v>19701009</v>
      </c>
    </row>
    <row r="3227" s="1" customFormat="1" ht="14.25" spans="1:13">
      <c r="A3227" s="2">
        <v>2940</v>
      </c>
      <c r="B3227" s="6" t="s">
        <v>6075</v>
      </c>
      <c r="C3227" s="25" t="s">
        <v>6407</v>
      </c>
      <c r="D3227" s="26" t="s">
        <v>6408</v>
      </c>
      <c r="E3227" s="5" t="s">
        <v>15</v>
      </c>
      <c r="F3227" s="5">
        <v>2020</v>
      </c>
      <c r="G3227" s="6" t="s">
        <v>16</v>
      </c>
      <c r="H3227" s="6">
        <v>200</v>
      </c>
      <c r="I3227" s="6">
        <v>200</v>
      </c>
      <c r="J3227" s="6"/>
      <c r="K3227" s="10"/>
      <c r="L3227" s="10">
        <v>20201118</v>
      </c>
      <c r="M3227" s="36" t="str">
        <f t="shared" si="50"/>
        <v>19701010</v>
      </c>
    </row>
    <row r="3228" s="1" customFormat="1" spans="1:13">
      <c r="A3228" s="2">
        <v>670</v>
      </c>
      <c r="B3228" s="29" t="s">
        <v>1040</v>
      </c>
      <c r="C3228" s="47" t="s">
        <v>1662</v>
      </c>
      <c r="D3228" s="47" t="s">
        <v>1663</v>
      </c>
      <c r="E3228" s="30">
        <v>2020</v>
      </c>
      <c r="F3228" s="30">
        <v>2020</v>
      </c>
      <c r="G3228" s="29" t="s">
        <v>16</v>
      </c>
      <c r="H3228" s="29">
        <v>200</v>
      </c>
      <c r="I3228" s="29">
        <v>200</v>
      </c>
      <c r="J3228" s="29"/>
      <c r="K3228" s="54"/>
      <c r="L3228" s="14" t="s">
        <v>330</v>
      </c>
      <c r="M3228" s="36" t="str">
        <f t="shared" si="50"/>
        <v>19701011</v>
      </c>
    </row>
    <row r="3229" s="1" customFormat="1" spans="1:13">
      <c r="A3229" s="2">
        <v>2620</v>
      </c>
      <c r="B3229" s="32" t="s">
        <v>5602</v>
      </c>
      <c r="C3229" s="9" t="s">
        <v>5774</v>
      </c>
      <c r="D3229" s="9" t="s">
        <v>5775</v>
      </c>
      <c r="E3229" s="32">
        <v>2020</v>
      </c>
      <c r="F3229" s="32">
        <v>2020</v>
      </c>
      <c r="G3229" s="32" t="s">
        <v>16</v>
      </c>
      <c r="H3229" s="9">
        <v>200</v>
      </c>
      <c r="I3229" s="9">
        <v>200</v>
      </c>
      <c r="J3229" s="32"/>
      <c r="K3229" s="52"/>
      <c r="L3229" s="10">
        <v>20201118</v>
      </c>
      <c r="M3229" s="36" t="str">
        <f t="shared" si="50"/>
        <v>19701011</v>
      </c>
    </row>
    <row r="3230" s="1" customFormat="1" spans="1:13">
      <c r="A3230" s="2">
        <v>3813</v>
      </c>
      <c r="B3230" s="5" t="s">
        <v>7412</v>
      </c>
      <c r="C3230" s="5" t="s">
        <v>7869</v>
      </c>
      <c r="D3230" s="5" t="s">
        <v>7870</v>
      </c>
      <c r="E3230" s="6">
        <v>2020</v>
      </c>
      <c r="F3230" s="6">
        <v>2020</v>
      </c>
      <c r="G3230" s="5" t="s">
        <v>3359</v>
      </c>
      <c r="H3230" s="5">
        <v>1000</v>
      </c>
      <c r="I3230" s="5">
        <v>1000</v>
      </c>
      <c r="J3230" s="5"/>
      <c r="K3230" s="5"/>
      <c r="L3230" s="10">
        <v>20201118</v>
      </c>
      <c r="M3230" s="36" t="str">
        <f t="shared" si="50"/>
        <v>19701011</v>
      </c>
    </row>
    <row r="3231" s="1" customFormat="1" ht="14.25" spans="1:13">
      <c r="A3231" s="2">
        <v>7735</v>
      </c>
      <c r="B3231" s="5" t="s">
        <v>14875</v>
      </c>
      <c r="C3231" s="51" t="s">
        <v>14977</v>
      </c>
      <c r="D3231" s="24" t="str">
        <f>"152326197010117111"</f>
        <v>152326197010117111</v>
      </c>
      <c r="E3231" s="6" t="s">
        <v>15</v>
      </c>
      <c r="F3231" s="6">
        <v>2020</v>
      </c>
      <c r="G3231" s="24" t="s">
        <v>14877</v>
      </c>
      <c r="H3231" s="6">
        <v>200</v>
      </c>
      <c r="I3231" s="6">
        <v>200</v>
      </c>
      <c r="J3231" s="6"/>
      <c r="K3231" s="10"/>
      <c r="L3231" s="10">
        <v>20201118</v>
      </c>
      <c r="M3231" s="36" t="str">
        <f t="shared" si="50"/>
        <v>19701011</v>
      </c>
    </row>
    <row r="3232" s="1" customFormat="1" ht="14.25" spans="1:13">
      <c r="A3232" s="2">
        <v>7737</v>
      </c>
      <c r="B3232" s="5" t="s">
        <v>14875</v>
      </c>
      <c r="C3232" s="51" t="s">
        <v>14979</v>
      </c>
      <c r="D3232" s="24" t="s">
        <v>14980</v>
      </c>
      <c r="E3232" s="6" t="s">
        <v>15</v>
      </c>
      <c r="F3232" s="6">
        <v>2020</v>
      </c>
      <c r="G3232" s="24" t="s">
        <v>14877</v>
      </c>
      <c r="H3232" s="6">
        <v>200</v>
      </c>
      <c r="I3232" s="6">
        <v>200</v>
      </c>
      <c r="J3232" s="6"/>
      <c r="K3232" s="10"/>
      <c r="L3232" s="10">
        <v>20201118</v>
      </c>
      <c r="M3232" s="36" t="str">
        <f t="shared" si="50"/>
        <v>19701011</v>
      </c>
    </row>
    <row r="3233" s="1" customFormat="1" spans="1:13">
      <c r="A3233" s="2">
        <v>2439</v>
      </c>
      <c r="B3233" s="5" t="s">
        <v>5328</v>
      </c>
      <c r="C3233" s="16" t="s">
        <v>5417</v>
      </c>
      <c r="D3233" s="16" t="s">
        <v>5418</v>
      </c>
      <c r="E3233" s="5" t="s">
        <v>15</v>
      </c>
      <c r="F3233" s="5" t="s">
        <v>15</v>
      </c>
      <c r="G3233" s="14" t="s">
        <v>16</v>
      </c>
      <c r="H3233" s="6">
        <v>200</v>
      </c>
      <c r="I3233" s="6">
        <v>200</v>
      </c>
      <c r="J3233" s="5"/>
      <c r="K3233" s="5"/>
      <c r="L3233" s="10">
        <v>20201118</v>
      </c>
      <c r="M3233" s="36" t="str">
        <f t="shared" si="50"/>
        <v>19701012</v>
      </c>
    </row>
    <row r="3234" s="1" customFormat="1" ht="14.25" spans="1:13">
      <c r="A3234" s="2">
        <v>2864</v>
      </c>
      <c r="B3234" s="6" t="s">
        <v>6075</v>
      </c>
      <c r="C3234" s="25" t="s">
        <v>6257</v>
      </c>
      <c r="D3234" s="26" t="s">
        <v>6258</v>
      </c>
      <c r="E3234" s="5" t="s">
        <v>15</v>
      </c>
      <c r="F3234" s="5">
        <v>2020</v>
      </c>
      <c r="G3234" s="6" t="s">
        <v>16</v>
      </c>
      <c r="H3234" s="6">
        <v>200</v>
      </c>
      <c r="I3234" s="6">
        <v>200</v>
      </c>
      <c r="J3234" s="6"/>
      <c r="K3234" s="10"/>
      <c r="L3234" s="10">
        <v>20201118</v>
      </c>
      <c r="M3234" s="36" t="str">
        <f t="shared" si="50"/>
        <v>19701013</v>
      </c>
    </row>
    <row r="3235" s="1" customFormat="1" spans="1:13">
      <c r="A3235" s="2">
        <v>773</v>
      </c>
      <c r="B3235" s="29" t="s">
        <v>1040</v>
      </c>
      <c r="C3235" s="5" t="s">
        <v>1969</v>
      </c>
      <c r="D3235" s="317" t="s">
        <v>1970</v>
      </c>
      <c r="E3235" s="30">
        <v>2020</v>
      </c>
      <c r="F3235" s="30">
        <v>2020</v>
      </c>
      <c r="G3235" s="29" t="s">
        <v>16</v>
      </c>
      <c r="H3235" s="29">
        <v>200</v>
      </c>
      <c r="I3235" s="29">
        <v>200</v>
      </c>
      <c r="J3235" s="32"/>
      <c r="K3235" s="32"/>
      <c r="L3235" s="14" t="s">
        <v>330</v>
      </c>
      <c r="M3235" s="36" t="str">
        <f t="shared" si="50"/>
        <v>19701016</v>
      </c>
    </row>
    <row r="3236" s="1" customFormat="1" ht="14.25" spans="1:13">
      <c r="A3236" s="2">
        <v>7732</v>
      </c>
      <c r="B3236" s="5" t="s">
        <v>14875</v>
      </c>
      <c r="C3236" s="51" t="s">
        <v>14974</v>
      </c>
      <c r="D3236" s="24" t="str">
        <f>"150421197010165123"</f>
        <v>150421197010165123</v>
      </c>
      <c r="E3236" s="6" t="s">
        <v>15</v>
      </c>
      <c r="F3236" s="6">
        <v>2020</v>
      </c>
      <c r="G3236" s="24" t="s">
        <v>14877</v>
      </c>
      <c r="H3236" s="6">
        <v>200</v>
      </c>
      <c r="I3236" s="6">
        <v>200</v>
      </c>
      <c r="J3236" s="6"/>
      <c r="K3236" s="10"/>
      <c r="L3236" s="10">
        <v>20201118</v>
      </c>
      <c r="M3236" s="36" t="str">
        <f t="shared" si="50"/>
        <v>19701016</v>
      </c>
    </row>
    <row r="3237" s="1" customFormat="1" spans="1:13">
      <c r="A3237" s="2">
        <v>4456</v>
      </c>
      <c r="B3237" s="6" t="s">
        <v>9015</v>
      </c>
      <c r="C3237" s="6" t="s">
        <v>9098</v>
      </c>
      <c r="D3237" s="6" t="s">
        <v>9099</v>
      </c>
      <c r="E3237" s="6">
        <v>2020</v>
      </c>
      <c r="F3237" s="6">
        <v>2020</v>
      </c>
      <c r="G3237" s="6" t="s">
        <v>16</v>
      </c>
      <c r="H3237" s="6">
        <v>200</v>
      </c>
      <c r="I3237" s="6">
        <v>200</v>
      </c>
      <c r="J3237" s="6"/>
      <c r="K3237" s="6"/>
      <c r="L3237" s="10">
        <v>20201118</v>
      </c>
      <c r="M3237" s="36" t="str">
        <f t="shared" si="50"/>
        <v>19701017</v>
      </c>
    </row>
    <row r="3238" s="1" customFormat="1" spans="1:13">
      <c r="A3238" s="2">
        <v>4909</v>
      </c>
      <c r="B3238" s="6" t="s">
        <v>9954</v>
      </c>
      <c r="C3238" s="60" t="s">
        <v>9959</v>
      </c>
      <c r="D3238" s="60" t="s">
        <v>9960</v>
      </c>
      <c r="E3238" s="5" t="s">
        <v>15</v>
      </c>
      <c r="F3238" s="5" t="s">
        <v>15</v>
      </c>
      <c r="G3238" s="14" t="s">
        <v>16</v>
      </c>
      <c r="H3238" s="6">
        <v>200</v>
      </c>
      <c r="I3238" s="6">
        <v>200</v>
      </c>
      <c r="J3238" s="6"/>
      <c r="K3238" s="6"/>
      <c r="L3238" s="10">
        <v>20201118</v>
      </c>
      <c r="M3238" s="36" t="str">
        <f t="shared" si="50"/>
        <v>19701017</v>
      </c>
    </row>
    <row r="3239" s="1" customFormat="1" spans="1:13">
      <c r="A3239" s="2">
        <v>5796</v>
      </c>
      <c r="B3239" s="30" t="s">
        <v>11090</v>
      </c>
      <c r="C3239" s="30" t="s">
        <v>11661</v>
      </c>
      <c r="D3239" s="30" t="s">
        <v>11662</v>
      </c>
      <c r="E3239" s="5" t="s">
        <v>15</v>
      </c>
      <c r="F3239" s="5" t="s">
        <v>10250</v>
      </c>
      <c r="G3239" s="6" t="s">
        <v>16</v>
      </c>
      <c r="H3239" s="32">
        <v>200</v>
      </c>
      <c r="I3239" s="32">
        <v>200</v>
      </c>
      <c r="J3239" s="6"/>
      <c r="K3239" s="48"/>
      <c r="L3239" s="10">
        <v>20201118</v>
      </c>
      <c r="M3239" s="36" t="str">
        <f t="shared" si="50"/>
        <v>19701017</v>
      </c>
    </row>
    <row r="3240" s="1" customFormat="1" spans="1:13">
      <c r="A3240" s="2">
        <v>3814</v>
      </c>
      <c r="B3240" s="5" t="s">
        <v>7412</v>
      </c>
      <c r="C3240" s="5" t="s">
        <v>7871</v>
      </c>
      <c r="D3240" s="5" t="s">
        <v>7872</v>
      </c>
      <c r="E3240" s="6">
        <v>2020</v>
      </c>
      <c r="F3240" s="6">
        <v>2020</v>
      </c>
      <c r="G3240" s="5" t="s">
        <v>3359</v>
      </c>
      <c r="H3240" s="5">
        <v>200</v>
      </c>
      <c r="I3240" s="5">
        <v>200</v>
      </c>
      <c r="J3240" s="5"/>
      <c r="K3240" s="5"/>
      <c r="L3240" s="10">
        <v>20201118</v>
      </c>
      <c r="M3240" s="36" t="str">
        <f t="shared" si="50"/>
        <v>19701019</v>
      </c>
    </row>
    <row r="3241" s="1" customFormat="1" spans="1:13">
      <c r="A3241" s="2">
        <v>4260</v>
      </c>
      <c r="B3241" s="9" t="s">
        <v>8515</v>
      </c>
      <c r="C3241" s="9" t="s">
        <v>8718</v>
      </c>
      <c r="D3241" s="9" t="s">
        <v>8719</v>
      </c>
      <c r="E3241" s="5" t="s">
        <v>15</v>
      </c>
      <c r="F3241" s="5">
        <v>2020</v>
      </c>
      <c r="G3241" s="9" t="s">
        <v>2480</v>
      </c>
      <c r="H3241" s="9">
        <v>200</v>
      </c>
      <c r="I3241" s="9">
        <v>200</v>
      </c>
      <c r="J3241" s="9"/>
      <c r="K3241" s="9"/>
      <c r="L3241" s="10">
        <v>20201118</v>
      </c>
      <c r="M3241" s="36" t="str">
        <f t="shared" si="50"/>
        <v>19701019</v>
      </c>
    </row>
    <row r="3242" s="1" customFormat="1" spans="1:13">
      <c r="A3242" s="2">
        <v>2440</v>
      </c>
      <c r="B3242" s="5" t="s">
        <v>5328</v>
      </c>
      <c r="C3242" s="16" t="s">
        <v>5419</v>
      </c>
      <c r="D3242" s="16" t="s">
        <v>5420</v>
      </c>
      <c r="E3242" s="5" t="s">
        <v>15</v>
      </c>
      <c r="F3242" s="5" t="s">
        <v>15</v>
      </c>
      <c r="G3242" s="14" t="s">
        <v>16</v>
      </c>
      <c r="H3242" s="6">
        <v>200</v>
      </c>
      <c r="I3242" s="6">
        <v>200</v>
      </c>
      <c r="J3242" s="5"/>
      <c r="K3242" s="5"/>
      <c r="L3242" s="10">
        <v>20201118</v>
      </c>
      <c r="M3242" s="36" t="str">
        <f t="shared" si="50"/>
        <v>19701020</v>
      </c>
    </row>
    <row r="3243" s="1" customFormat="1" spans="1:13">
      <c r="A3243" s="2">
        <v>7987</v>
      </c>
      <c r="B3243" s="5" t="s">
        <v>15086</v>
      </c>
      <c r="C3243" s="6" t="s">
        <v>15260</v>
      </c>
      <c r="D3243" s="6" t="s">
        <v>15261</v>
      </c>
      <c r="E3243" s="5" t="s">
        <v>15</v>
      </c>
      <c r="F3243" s="5">
        <v>2020</v>
      </c>
      <c r="G3243" s="5" t="s">
        <v>16</v>
      </c>
      <c r="H3243" s="5">
        <v>200</v>
      </c>
      <c r="I3243" s="5">
        <v>200</v>
      </c>
      <c r="J3243" s="5"/>
      <c r="K3243" s="5"/>
      <c r="L3243" s="10">
        <v>20201118</v>
      </c>
      <c r="M3243" s="36" t="str">
        <f t="shared" si="50"/>
        <v>19701020</v>
      </c>
    </row>
    <row r="3244" s="1" customFormat="1" spans="1:13">
      <c r="A3244" s="2">
        <v>3161</v>
      </c>
      <c r="B3244" s="3" t="s">
        <v>6671</v>
      </c>
      <c r="C3244" s="9" t="s">
        <v>6838</v>
      </c>
      <c r="D3244" s="9" t="s">
        <v>6839</v>
      </c>
      <c r="E3244" s="3" t="s">
        <v>15</v>
      </c>
      <c r="F3244" s="3" t="s">
        <v>15</v>
      </c>
      <c r="G3244" s="6" t="s">
        <v>3359</v>
      </c>
      <c r="H3244" s="9">
        <v>200</v>
      </c>
      <c r="I3244" s="9">
        <v>200</v>
      </c>
      <c r="J3244" s="6"/>
      <c r="K3244" s="5"/>
      <c r="L3244" s="10">
        <v>20201118</v>
      </c>
      <c r="M3244" s="36" t="str">
        <f t="shared" si="50"/>
        <v>19701021</v>
      </c>
    </row>
    <row r="3245" s="1" customFormat="1" spans="1:13">
      <c r="A3245" s="2">
        <v>1071</v>
      </c>
      <c r="B3245" s="5" t="s">
        <v>2469</v>
      </c>
      <c r="C3245" s="9" t="s">
        <v>2732</v>
      </c>
      <c r="D3245" s="9" t="s">
        <v>2733</v>
      </c>
      <c r="E3245" s="5">
        <v>2020</v>
      </c>
      <c r="F3245" s="5">
        <v>2020</v>
      </c>
      <c r="G3245" s="9" t="s">
        <v>2480</v>
      </c>
      <c r="H3245" s="9">
        <v>200</v>
      </c>
      <c r="I3245" s="9">
        <v>200</v>
      </c>
      <c r="J3245" s="5"/>
      <c r="K3245" s="5"/>
      <c r="L3245" s="10">
        <v>20201118</v>
      </c>
      <c r="M3245" s="36" t="str">
        <f t="shared" si="50"/>
        <v>19701024</v>
      </c>
    </row>
    <row r="3246" s="1" customFormat="1" spans="1:13">
      <c r="A3246" s="2">
        <v>117</v>
      </c>
      <c r="B3246" s="3" t="s">
        <v>12</v>
      </c>
      <c r="C3246" s="6" t="s">
        <v>250</v>
      </c>
      <c r="D3246" s="6" t="s">
        <v>251</v>
      </c>
      <c r="E3246" s="3" t="s">
        <v>15</v>
      </c>
      <c r="F3246" s="3" t="s">
        <v>15</v>
      </c>
      <c r="G3246" s="3" t="s">
        <v>189</v>
      </c>
      <c r="H3246" s="3">
        <v>200</v>
      </c>
      <c r="I3246" s="3">
        <v>200</v>
      </c>
      <c r="J3246" s="3"/>
      <c r="K3246" s="3"/>
      <c r="L3246" s="10">
        <v>20201118</v>
      </c>
      <c r="M3246" s="36" t="str">
        <f t="shared" si="50"/>
        <v>19701025</v>
      </c>
    </row>
    <row r="3247" s="1" customFormat="1" spans="1:13">
      <c r="A3247" s="2">
        <v>6614</v>
      </c>
      <c r="B3247" s="5" t="s">
        <v>13027</v>
      </c>
      <c r="C3247" s="15" t="s">
        <v>13215</v>
      </c>
      <c r="D3247" s="15" t="s">
        <v>13216</v>
      </c>
      <c r="E3247" s="5">
        <v>2020</v>
      </c>
      <c r="F3247" s="5">
        <v>2020</v>
      </c>
      <c r="G3247" s="14" t="s">
        <v>16</v>
      </c>
      <c r="H3247" s="15">
        <v>200</v>
      </c>
      <c r="I3247" s="15">
        <v>200</v>
      </c>
      <c r="J3247" s="5"/>
      <c r="K3247" s="10"/>
      <c r="L3247" s="10">
        <v>20201118</v>
      </c>
      <c r="M3247" s="36" t="str">
        <f t="shared" si="50"/>
        <v>19701025</v>
      </c>
    </row>
    <row r="3248" s="1" customFormat="1" spans="1:13">
      <c r="A3248" s="2">
        <v>24</v>
      </c>
      <c r="B3248" s="31" t="s">
        <v>12</v>
      </c>
      <c r="C3248" s="17" t="s">
        <v>62</v>
      </c>
      <c r="D3248" s="17" t="s">
        <v>63</v>
      </c>
      <c r="E3248" s="3" t="s">
        <v>15</v>
      </c>
      <c r="F3248" s="3" t="s">
        <v>15</v>
      </c>
      <c r="G3248" s="2" t="s">
        <v>16</v>
      </c>
      <c r="H3248" s="17">
        <v>500</v>
      </c>
      <c r="I3248" s="17">
        <v>500</v>
      </c>
      <c r="J3248" s="31"/>
      <c r="K3248" s="17" t="s">
        <v>35</v>
      </c>
      <c r="L3248" s="10">
        <v>20201118</v>
      </c>
      <c r="M3248" s="36" t="str">
        <f t="shared" si="50"/>
        <v>19701028</v>
      </c>
    </row>
    <row r="3249" s="1" customFormat="1" spans="1:13">
      <c r="A3249" s="2">
        <v>1072</v>
      </c>
      <c r="B3249" s="5" t="s">
        <v>2469</v>
      </c>
      <c r="C3249" s="9" t="s">
        <v>2734</v>
      </c>
      <c r="D3249" s="9" t="s">
        <v>2735</v>
      </c>
      <c r="E3249" s="5">
        <v>2020</v>
      </c>
      <c r="F3249" s="5">
        <v>2020</v>
      </c>
      <c r="G3249" s="9" t="s">
        <v>2480</v>
      </c>
      <c r="H3249" s="9">
        <v>200</v>
      </c>
      <c r="I3249" s="9">
        <v>200</v>
      </c>
      <c r="J3249" s="5"/>
      <c r="K3249" s="5"/>
      <c r="L3249" s="10">
        <v>20201118</v>
      </c>
      <c r="M3249" s="36" t="str">
        <f t="shared" si="50"/>
        <v>19701028</v>
      </c>
    </row>
    <row r="3250" s="1" customFormat="1" spans="1:13">
      <c r="A3250" s="2">
        <v>7200</v>
      </c>
      <c r="B3250" s="5" t="s">
        <v>13908</v>
      </c>
      <c r="C3250" s="5" t="s">
        <v>14049</v>
      </c>
      <c r="D3250" s="5" t="s">
        <v>14050</v>
      </c>
      <c r="E3250" s="5" t="s">
        <v>15</v>
      </c>
      <c r="F3250" s="5" t="s">
        <v>15</v>
      </c>
      <c r="G3250" s="14" t="s">
        <v>16</v>
      </c>
      <c r="H3250" s="17">
        <v>500</v>
      </c>
      <c r="I3250" s="17">
        <v>500</v>
      </c>
      <c r="J3250" s="5"/>
      <c r="K3250" s="10"/>
      <c r="L3250" s="10">
        <v>20201118</v>
      </c>
      <c r="M3250" s="36" t="str">
        <f t="shared" si="50"/>
        <v>19701028</v>
      </c>
    </row>
    <row r="3251" s="1" customFormat="1" spans="1:13">
      <c r="A3251" s="2">
        <v>624</v>
      </c>
      <c r="B3251" s="29" t="s">
        <v>1040</v>
      </c>
      <c r="C3251" s="29" t="s">
        <v>1526</v>
      </c>
      <c r="D3251" s="29" t="s">
        <v>1527</v>
      </c>
      <c r="E3251" s="30">
        <v>2020</v>
      </c>
      <c r="F3251" s="30">
        <v>2020</v>
      </c>
      <c r="G3251" s="29" t="s">
        <v>16</v>
      </c>
      <c r="H3251" s="29">
        <v>200</v>
      </c>
      <c r="I3251" s="29">
        <v>200</v>
      </c>
      <c r="J3251" s="29"/>
      <c r="K3251" s="47"/>
      <c r="L3251" s="14" t="s">
        <v>330</v>
      </c>
      <c r="M3251" s="36" t="str">
        <f t="shared" si="50"/>
        <v>19701029</v>
      </c>
    </row>
    <row r="3252" s="1" customFormat="1" spans="1:13">
      <c r="A3252" s="2">
        <v>4537</v>
      </c>
      <c r="B3252" s="6" t="s">
        <v>9015</v>
      </c>
      <c r="C3252" s="6" t="s">
        <v>9254</v>
      </c>
      <c r="D3252" s="6" t="s">
        <v>9255</v>
      </c>
      <c r="E3252" s="6">
        <v>2020</v>
      </c>
      <c r="F3252" s="6">
        <v>2020</v>
      </c>
      <c r="G3252" s="6" t="s">
        <v>16</v>
      </c>
      <c r="H3252" s="6">
        <v>200</v>
      </c>
      <c r="I3252" s="6">
        <v>200</v>
      </c>
      <c r="J3252" s="6"/>
      <c r="K3252" s="6"/>
      <c r="L3252" s="10">
        <v>20201118</v>
      </c>
      <c r="M3252" s="36" t="str">
        <f t="shared" si="50"/>
        <v>19701029</v>
      </c>
    </row>
    <row r="3253" s="1" customFormat="1" ht="14.25" spans="1:13">
      <c r="A3253" s="2">
        <v>7730</v>
      </c>
      <c r="B3253" s="5" t="s">
        <v>14875</v>
      </c>
      <c r="C3253" s="51" t="s">
        <v>14972</v>
      </c>
      <c r="D3253" s="24" t="str">
        <f>"152326197010297116"</f>
        <v>152326197010297116</v>
      </c>
      <c r="E3253" s="6" t="s">
        <v>15</v>
      </c>
      <c r="F3253" s="6">
        <v>2020</v>
      </c>
      <c r="G3253" s="24" t="s">
        <v>14877</v>
      </c>
      <c r="H3253" s="6">
        <v>200</v>
      </c>
      <c r="I3253" s="6">
        <v>200</v>
      </c>
      <c r="J3253" s="6"/>
      <c r="K3253" s="10"/>
      <c r="L3253" s="10">
        <v>20201118</v>
      </c>
      <c r="M3253" s="36" t="str">
        <f t="shared" si="50"/>
        <v>19701029</v>
      </c>
    </row>
    <row r="3254" s="1" customFormat="1" spans="1:13">
      <c r="A3254" s="2">
        <v>5705</v>
      </c>
      <c r="B3254" s="30" t="s">
        <v>11090</v>
      </c>
      <c r="C3254" s="30" t="s">
        <v>11495</v>
      </c>
      <c r="D3254" s="30" t="s">
        <v>11496</v>
      </c>
      <c r="E3254" s="5" t="s">
        <v>15</v>
      </c>
      <c r="F3254" s="5" t="s">
        <v>10250</v>
      </c>
      <c r="G3254" s="6" t="s">
        <v>16</v>
      </c>
      <c r="H3254" s="32">
        <v>200</v>
      </c>
      <c r="I3254" s="32">
        <v>200</v>
      </c>
      <c r="J3254" s="6" t="s">
        <v>6097</v>
      </c>
      <c r="K3254" s="48"/>
      <c r="L3254" s="10">
        <v>20201118</v>
      </c>
      <c r="M3254" s="36" t="str">
        <f t="shared" si="50"/>
        <v>19701101</v>
      </c>
    </row>
    <row r="3255" s="1" customFormat="1" spans="1:13">
      <c r="A3255" s="2">
        <v>1614</v>
      </c>
      <c r="B3255" s="5" t="s">
        <v>3381</v>
      </c>
      <c r="C3255" s="9" t="s">
        <v>3792</v>
      </c>
      <c r="D3255" s="9" t="s">
        <v>3793</v>
      </c>
      <c r="E3255" s="5">
        <v>2020</v>
      </c>
      <c r="F3255" s="5">
        <v>2020</v>
      </c>
      <c r="G3255" s="14" t="s">
        <v>16</v>
      </c>
      <c r="H3255" s="6">
        <v>200</v>
      </c>
      <c r="I3255" s="6">
        <v>200</v>
      </c>
      <c r="J3255" s="5"/>
      <c r="K3255" s="13"/>
      <c r="L3255" s="10">
        <v>20201118</v>
      </c>
      <c r="M3255" s="36" t="str">
        <f t="shared" si="50"/>
        <v>19701103</v>
      </c>
    </row>
    <row r="3256" s="1" customFormat="1" spans="1:13">
      <c r="A3256" s="2">
        <v>1955</v>
      </c>
      <c r="B3256" s="5" t="s">
        <v>4189</v>
      </c>
      <c r="C3256" s="16" t="s">
        <v>4469</v>
      </c>
      <c r="D3256" s="16" t="s">
        <v>4470</v>
      </c>
      <c r="E3256" s="5" t="s">
        <v>15</v>
      </c>
      <c r="F3256" s="5" t="s">
        <v>15</v>
      </c>
      <c r="G3256" s="5" t="s">
        <v>3359</v>
      </c>
      <c r="H3256" s="16">
        <v>200</v>
      </c>
      <c r="I3256" s="16">
        <v>200</v>
      </c>
      <c r="J3256" s="5"/>
      <c r="K3256" s="10"/>
      <c r="L3256" s="10">
        <v>20201118</v>
      </c>
      <c r="M3256" s="36" t="str">
        <f t="shared" si="50"/>
        <v>19701105</v>
      </c>
    </row>
    <row r="3257" s="1" customFormat="1" spans="1:13">
      <c r="A3257" s="2">
        <v>6165</v>
      </c>
      <c r="B3257" s="5" t="s">
        <v>12263</v>
      </c>
      <c r="C3257" s="5" t="s">
        <v>12361</v>
      </c>
      <c r="D3257" s="5" t="s">
        <v>12362</v>
      </c>
      <c r="E3257" s="5" t="s">
        <v>10250</v>
      </c>
      <c r="F3257" s="5">
        <v>2020</v>
      </c>
      <c r="G3257" s="17" t="s">
        <v>3359</v>
      </c>
      <c r="H3257" s="5">
        <v>200</v>
      </c>
      <c r="I3257" s="5">
        <v>200</v>
      </c>
      <c r="J3257" s="5"/>
      <c r="K3257" s="5"/>
      <c r="L3257" s="10">
        <v>20201118</v>
      </c>
      <c r="M3257" s="36" t="str">
        <f t="shared" si="50"/>
        <v>19701105</v>
      </c>
    </row>
    <row r="3258" s="1" customFormat="1" spans="1:13">
      <c r="A3258" s="2">
        <v>1388</v>
      </c>
      <c r="B3258" s="5" t="s">
        <v>2469</v>
      </c>
      <c r="C3258" s="6" t="s">
        <v>3344</v>
      </c>
      <c r="D3258" s="6" t="str">
        <f>"152326197011066862"</f>
        <v>152326197011066862</v>
      </c>
      <c r="E3258" s="5">
        <v>2020</v>
      </c>
      <c r="F3258" s="5">
        <v>2020</v>
      </c>
      <c r="G3258" s="9" t="s">
        <v>2480</v>
      </c>
      <c r="H3258" s="9">
        <v>200</v>
      </c>
      <c r="I3258" s="9">
        <v>200</v>
      </c>
      <c r="J3258" s="5"/>
      <c r="K3258" s="10"/>
      <c r="L3258" s="10">
        <v>20201118</v>
      </c>
      <c r="M3258" s="36" t="str">
        <f t="shared" si="50"/>
        <v>19701106</v>
      </c>
    </row>
    <row r="3259" s="1" customFormat="1" spans="1:13">
      <c r="A3259" s="2">
        <v>1911</v>
      </c>
      <c r="B3259" s="5" t="s">
        <v>4189</v>
      </c>
      <c r="C3259" s="16" t="s">
        <v>4382</v>
      </c>
      <c r="D3259" s="16" t="s">
        <v>4383</v>
      </c>
      <c r="E3259" s="5" t="s">
        <v>15</v>
      </c>
      <c r="F3259" s="5" t="s">
        <v>15</v>
      </c>
      <c r="G3259" s="5" t="s">
        <v>3359</v>
      </c>
      <c r="H3259" s="16">
        <v>200</v>
      </c>
      <c r="I3259" s="16">
        <v>200</v>
      </c>
      <c r="J3259" s="5"/>
      <c r="K3259" s="10"/>
      <c r="L3259" s="10">
        <v>20201118</v>
      </c>
      <c r="M3259" s="36" t="str">
        <f t="shared" si="50"/>
        <v>19701107</v>
      </c>
    </row>
    <row r="3260" s="1" customFormat="1" spans="1:13">
      <c r="A3260" s="2">
        <v>2621</v>
      </c>
      <c r="B3260" s="32" t="s">
        <v>5602</v>
      </c>
      <c r="C3260" s="9" t="s">
        <v>5776</v>
      </c>
      <c r="D3260" s="9" t="s">
        <v>5777</v>
      </c>
      <c r="E3260" s="32">
        <v>2020</v>
      </c>
      <c r="F3260" s="32">
        <v>2020</v>
      </c>
      <c r="G3260" s="32" t="s">
        <v>16</v>
      </c>
      <c r="H3260" s="9">
        <v>200</v>
      </c>
      <c r="I3260" s="9">
        <v>200</v>
      </c>
      <c r="J3260" s="32"/>
      <c r="K3260" s="52"/>
      <c r="L3260" s="10">
        <v>20201118</v>
      </c>
      <c r="M3260" s="36" t="str">
        <f t="shared" si="50"/>
        <v>19701107</v>
      </c>
    </row>
    <row r="3261" s="1" customFormat="1" spans="1:13">
      <c r="A3261" s="2">
        <v>4261</v>
      </c>
      <c r="B3261" s="9" t="s">
        <v>8515</v>
      </c>
      <c r="C3261" s="9" t="s">
        <v>8720</v>
      </c>
      <c r="D3261" s="9" t="s">
        <v>8721</v>
      </c>
      <c r="E3261" s="5" t="s">
        <v>15</v>
      </c>
      <c r="F3261" s="5">
        <v>2020</v>
      </c>
      <c r="G3261" s="9" t="s">
        <v>2480</v>
      </c>
      <c r="H3261" s="9">
        <v>200</v>
      </c>
      <c r="I3261" s="9">
        <v>200</v>
      </c>
      <c r="J3261" s="9"/>
      <c r="K3261" s="9"/>
      <c r="L3261" s="10">
        <v>20201118</v>
      </c>
      <c r="M3261" s="36" t="str">
        <f t="shared" si="50"/>
        <v>19701107</v>
      </c>
    </row>
    <row r="3262" s="1" customFormat="1" spans="1:13">
      <c r="A3262" s="2">
        <v>2775</v>
      </c>
      <c r="B3262" s="6" t="s">
        <v>6075</v>
      </c>
      <c r="C3262" s="63" t="s">
        <v>6080</v>
      </c>
      <c r="D3262" s="63" t="s">
        <v>6081</v>
      </c>
      <c r="E3262" s="5" t="s">
        <v>15</v>
      </c>
      <c r="F3262" s="5">
        <v>2020</v>
      </c>
      <c r="G3262" s="6" t="s">
        <v>16</v>
      </c>
      <c r="H3262" s="6">
        <v>500</v>
      </c>
      <c r="I3262" s="6">
        <v>500</v>
      </c>
      <c r="J3262" s="6"/>
      <c r="K3262" s="10"/>
      <c r="L3262" s="10">
        <v>20201118</v>
      </c>
      <c r="M3262" s="36" t="str">
        <f t="shared" si="50"/>
        <v>19701109</v>
      </c>
    </row>
    <row r="3263" s="1" customFormat="1" spans="1:13">
      <c r="A3263" s="2">
        <v>7536</v>
      </c>
      <c r="B3263" s="5" t="s">
        <v>14402</v>
      </c>
      <c r="C3263" s="5" t="s">
        <v>14681</v>
      </c>
      <c r="D3263" s="5" t="s">
        <v>14682</v>
      </c>
      <c r="E3263" s="5">
        <v>2020</v>
      </c>
      <c r="F3263" s="5">
        <v>2020</v>
      </c>
      <c r="G3263" s="17" t="s">
        <v>16</v>
      </c>
      <c r="H3263" s="5">
        <v>1000</v>
      </c>
      <c r="I3263" s="5">
        <v>1000</v>
      </c>
      <c r="J3263" s="5"/>
      <c r="K3263" s="10"/>
      <c r="L3263" s="10">
        <v>20201118</v>
      </c>
      <c r="M3263" s="36" t="str">
        <f t="shared" si="50"/>
        <v>19701110</v>
      </c>
    </row>
    <row r="3264" s="1" customFormat="1" spans="1:13">
      <c r="A3264" s="2">
        <v>6935</v>
      </c>
      <c r="B3264" s="5" t="s">
        <v>13533</v>
      </c>
      <c r="C3264" s="32" t="s">
        <v>13685</v>
      </c>
      <c r="D3264" s="32" t="str">
        <f>"152326197011137149"</f>
        <v>152326197011137149</v>
      </c>
      <c r="E3264" s="5">
        <v>2020</v>
      </c>
      <c r="F3264" s="5">
        <v>2020</v>
      </c>
      <c r="G3264" s="9" t="s">
        <v>2480</v>
      </c>
      <c r="H3264" s="32">
        <v>200</v>
      </c>
      <c r="I3264" s="32">
        <v>200</v>
      </c>
      <c r="J3264" s="32"/>
      <c r="K3264" s="10"/>
      <c r="L3264" s="10">
        <v>20201118</v>
      </c>
      <c r="M3264" s="36" t="str">
        <f t="shared" si="50"/>
        <v>19701113</v>
      </c>
    </row>
    <row r="3265" s="1" customFormat="1" spans="1:13">
      <c r="A3265" s="2">
        <v>5541</v>
      </c>
      <c r="B3265" s="30" t="s">
        <v>11090</v>
      </c>
      <c r="C3265" s="30" t="s">
        <v>458</v>
      </c>
      <c r="D3265" s="30" t="s">
        <v>11179</v>
      </c>
      <c r="E3265" s="5" t="s">
        <v>15</v>
      </c>
      <c r="F3265" s="5" t="s">
        <v>10250</v>
      </c>
      <c r="G3265" s="6" t="s">
        <v>16</v>
      </c>
      <c r="H3265" s="32">
        <v>400</v>
      </c>
      <c r="I3265" s="32">
        <v>400</v>
      </c>
      <c r="J3265" s="6"/>
      <c r="K3265" s="48"/>
      <c r="L3265" s="10">
        <v>20201118</v>
      </c>
      <c r="M3265" s="36" t="str">
        <f t="shared" si="50"/>
        <v>19701116</v>
      </c>
    </row>
    <row r="3266" s="1" customFormat="1" spans="1:13">
      <c r="A3266" s="2">
        <v>3815</v>
      </c>
      <c r="B3266" s="5" t="s">
        <v>7412</v>
      </c>
      <c r="C3266" s="5" t="s">
        <v>7873</v>
      </c>
      <c r="D3266" s="5" t="s">
        <v>7874</v>
      </c>
      <c r="E3266" s="6">
        <v>2020</v>
      </c>
      <c r="F3266" s="6">
        <v>2020</v>
      </c>
      <c r="G3266" s="5" t="s">
        <v>3359</v>
      </c>
      <c r="H3266" s="5">
        <v>200</v>
      </c>
      <c r="I3266" s="5">
        <v>200</v>
      </c>
      <c r="J3266" s="5"/>
      <c r="K3266" s="5"/>
      <c r="L3266" s="10">
        <v>20201118</v>
      </c>
      <c r="M3266" s="36" t="str">
        <f t="shared" ref="M3266:M3329" si="51">MID(D3266,7,8)</f>
        <v>19701119</v>
      </c>
    </row>
    <row r="3267" s="1" customFormat="1" spans="1:13">
      <c r="A3267" s="2">
        <v>5910</v>
      </c>
      <c r="B3267" s="30" t="s">
        <v>11090</v>
      </c>
      <c r="C3267" s="30" t="s">
        <v>11871</v>
      </c>
      <c r="D3267" s="30" t="s">
        <v>11872</v>
      </c>
      <c r="E3267" s="5" t="s">
        <v>15</v>
      </c>
      <c r="F3267" s="5" t="s">
        <v>10250</v>
      </c>
      <c r="G3267" s="6" t="s">
        <v>16</v>
      </c>
      <c r="H3267" s="32">
        <v>200</v>
      </c>
      <c r="I3267" s="32">
        <v>200</v>
      </c>
      <c r="J3267" s="6" t="s">
        <v>6097</v>
      </c>
      <c r="K3267" s="48"/>
      <c r="L3267" s="10">
        <v>20201118</v>
      </c>
      <c r="M3267" s="36" t="str">
        <f t="shared" si="51"/>
        <v>19701119</v>
      </c>
    </row>
    <row r="3268" s="1" customFormat="1" ht="14.25" spans="1:13">
      <c r="A3268" s="2">
        <v>7727</v>
      </c>
      <c r="B3268" s="5" t="s">
        <v>14875</v>
      </c>
      <c r="C3268" s="51" t="s">
        <v>5133</v>
      </c>
      <c r="D3268" s="24" t="str">
        <f>"152326197011217122"</f>
        <v>152326197011217122</v>
      </c>
      <c r="E3268" s="6" t="s">
        <v>15</v>
      </c>
      <c r="F3268" s="6">
        <v>2020</v>
      </c>
      <c r="G3268" s="24" t="s">
        <v>14877</v>
      </c>
      <c r="H3268" s="6">
        <v>200</v>
      </c>
      <c r="I3268" s="6">
        <v>200</v>
      </c>
      <c r="J3268" s="6"/>
      <c r="K3268" s="10"/>
      <c r="L3268" s="10">
        <v>20201118</v>
      </c>
      <c r="M3268" s="36" t="str">
        <f t="shared" si="51"/>
        <v>19701121</v>
      </c>
    </row>
    <row r="3269" s="1" customFormat="1" spans="1:13">
      <c r="A3269" s="2">
        <v>1918</v>
      </c>
      <c r="B3269" s="5" t="s">
        <v>4189</v>
      </c>
      <c r="C3269" s="16" t="s">
        <v>4396</v>
      </c>
      <c r="D3269" s="16" t="s">
        <v>4397</v>
      </c>
      <c r="E3269" s="5" t="s">
        <v>15</v>
      </c>
      <c r="F3269" s="5" t="s">
        <v>15</v>
      </c>
      <c r="G3269" s="5" t="s">
        <v>3359</v>
      </c>
      <c r="H3269" s="16">
        <v>200</v>
      </c>
      <c r="I3269" s="16">
        <v>200</v>
      </c>
      <c r="J3269" s="5"/>
      <c r="K3269" s="10"/>
      <c r="L3269" s="10">
        <v>20201118</v>
      </c>
      <c r="M3269" s="36" t="str">
        <f t="shared" si="51"/>
        <v>19701122</v>
      </c>
    </row>
    <row r="3270" s="1" customFormat="1" spans="1:13">
      <c r="A3270" s="2">
        <v>3816</v>
      </c>
      <c r="B3270" s="5" t="s">
        <v>7412</v>
      </c>
      <c r="C3270" s="5" t="s">
        <v>7875</v>
      </c>
      <c r="D3270" s="5" t="s">
        <v>7876</v>
      </c>
      <c r="E3270" s="6">
        <v>2020</v>
      </c>
      <c r="F3270" s="6">
        <v>2020</v>
      </c>
      <c r="G3270" s="5" t="s">
        <v>3359</v>
      </c>
      <c r="H3270" s="5">
        <v>200</v>
      </c>
      <c r="I3270" s="5">
        <v>200</v>
      </c>
      <c r="J3270" s="5"/>
      <c r="K3270" s="5"/>
      <c r="L3270" s="10">
        <v>20201118</v>
      </c>
      <c r="M3270" s="36" t="str">
        <f t="shared" si="51"/>
        <v>19701122</v>
      </c>
    </row>
    <row r="3271" s="1" customFormat="1" spans="1:13">
      <c r="A3271" s="2">
        <v>3817</v>
      </c>
      <c r="B3271" s="5" t="s">
        <v>7412</v>
      </c>
      <c r="C3271" s="5" t="s">
        <v>4276</v>
      </c>
      <c r="D3271" s="5" t="s">
        <v>7877</v>
      </c>
      <c r="E3271" s="6">
        <v>2020</v>
      </c>
      <c r="F3271" s="6">
        <v>2020</v>
      </c>
      <c r="G3271" s="5" t="s">
        <v>3359</v>
      </c>
      <c r="H3271" s="5">
        <v>200</v>
      </c>
      <c r="I3271" s="5">
        <v>200</v>
      </c>
      <c r="J3271" s="5"/>
      <c r="K3271" s="5"/>
      <c r="L3271" s="10">
        <v>20201118</v>
      </c>
      <c r="M3271" s="36" t="str">
        <f t="shared" si="51"/>
        <v>19701123</v>
      </c>
    </row>
    <row r="3272" s="1" customFormat="1" spans="1:13">
      <c r="A3272" s="2">
        <v>6615</v>
      </c>
      <c r="B3272" s="5" t="s">
        <v>13027</v>
      </c>
      <c r="C3272" s="15" t="s">
        <v>13217</v>
      </c>
      <c r="D3272" s="15" t="s">
        <v>13218</v>
      </c>
      <c r="E3272" s="5">
        <v>2020</v>
      </c>
      <c r="F3272" s="5">
        <v>2020</v>
      </c>
      <c r="G3272" s="14" t="s">
        <v>16</v>
      </c>
      <c r="H3272" s="15">
        <v>200</v>
      </c>
      <c r="I3272" s="15">
        <v>200</v>
      </c>
      <c r="J3272" s="5"/>
      <c r="K3272" s="10"/>
      <c r="L3272" s="10">
        <v>20201118</v>
      </c>
      <c r="M3272" s="36" t="str">
        <f t="shared" si="51"/>
        <v>19701124</v>
      </c>
    </row>
    <row r="3273" s="1" customFormat="1" spans="1:13">
      <c r="A3273" s="2">
        <v>2622</v>
      </c>
      <c r="B3273" s="32" t="s">
        <v>5602</v>
      </c>
      <c r="C3273" s="9" t="s">
        <v>5778</v>
      </c>
      <c r="D3273" s="9" t="s">
        <v>5779</v>
      </c>
      <c r="E3273" s="32">
        <v>2020</v>
      </c>
      <c r="F3273" s="32">
        <v>2020</v>
      </c>
      <c r="G3273" s="32" t="s">
        <v>16</v>
      </c>
      <c r="H3273" s="9">
        <v>200</v>
      </c>
      <c r="I3273" s="9">
        <v>200</v>
      </c>
      <c r="J3273" s="32"/>
      <c r="K3273" s="52"/>
      <c r="L3273" s="10">
        <v>20201118</v>
      </c>
      <c r="M3273" s="36" t="str">
        <f t="shared" si="51"/>
        <v>19701126</v>
      </c>
    </row>
    <row r="3274" s="1" customFormat="1" ht="14.25" spans="1:13">
      <c r="A3274" s="2">
        <v>3041</v>
      </c>
      <c r="B3274" s="6" t="s">
        <v>6075</v>
      </c>
      <c r="C3274" s="25" t="s">
        <v>6605</v>
      </c>
      <c r="D3274" s="26" t="s">
        <v>6606</v>
      </c>
      <c r="E3274" s="5" t="s">
        <v>15</v>
      </c>
      <c r="F3274" s="5">
        <v>2020</v>
      </c>
      <c r="G3274" s="6" t="s">
        <v>16</v>
      </c>
      <c r="H3274" s="6">
        <v>200</v>
      </c>
      <c r="I3274" s="6">
        <v>200</v>
      </c>
      <c r="J3274" s="6" t="s">
        <v>6097</v>
      </c>
      <c r="K3274" s="10"/>
      <c r="L3274" s="10">
        <v>20201118</v>
      </c>
      <c r="M3274" s="36" t="str">
        <f t="shared" si="51"/>
        <v>19701129</v>
      </c>
    </row>
    <row r="3275" s="1" customFormat="1" spans="1:13">
      <c r="A3275" s="2">
        <v>1073</v>
      </c>
      <c r="B3275" s="5" t="s">
        <v>2469</v>
      </c>
      <c r="C3275" s="9" t="s">
        <v>2736</v>
      </c>
      <c r="D3275" s="9" t="s">
        <v>2737</v>
      </c>
      <c r="E3275" s="5">
        <v>2020</v>
      </c>
      <c r="F3275" s="5">
        <v>2020</v>
      </c>
      <c r="G3275" s="9" t="s">
        <v>2480</v>
      </c>
      <c r="H3275" s="9">
        <v>200</v>
      </c>
      <c r="I3275" s="9">
        <v>200</v>
      </c>
      <c r="J3275" s="5"/>
      <c r="K3275" s="5"/>
      <c r="L3275" s="10">
        <v>20201118</v>
      </c>
      <c r="M3275" s="36" t="str">
        <f t="shared" si="51"/>
        <v>19701130</v>
      </c>
    </row>
    <row r="3276" s="1" customFormat="1" ht="14.25" spans="1:13">
      <c r="A3276" s="2">
        <v>2788</v>
      </c>
      <c r="B3276" s="6" t="s">
        <v>6075</v>
      </c>
      <c r="C3276" s="25" t="s">
        <v>6106</v>
      </c>
      <c r="D3276" s="26" t="s">
        <v>6107</v>
      </c>
      <c r="E3276" s="5" t="s">
        <v>15</v>
      </c>
      <c r="F3276" s="5">
        <v>2020</v>
      </c>
      <c r="G3276" s="6" t="s">
        <v>16</v>
      </c>
      <c r="H3276" s="6">
        <v>200</v>
      </c>
      <c r="I3276" s="6">
        <v>200</v>
      </c>
      <c r="J3276" s="6" t="s">
        <v>6097</v>
      </c>
      <c r="K3276" s="10"/>
      <c r="L3276" s="10">
        <v>20201118</v>
      </c>
      <c r="M3276" s="36" t="str">
        <f t="shared" si="51"/>
        <v>19701130</v>
      </c>
    </row>
    <row r="3277" s="1" customFormat="1" spans="1:13">
      <c r="A3277" s="2">
        <v>4262</v>
      </c>
      <c r="B3277" s="9" t="s">
        <v>8515</v>
      </c>
      <c r="C3277" s="9" t="s">
        <v>8722</v>
      </c>
      <c r="D3277" s="9" t="s">
        <v>8723</v>
      </c>
      <c r="E3277" s="5" t="s">
        <v>15</v>
      </c>
      <c r="F3277" s="5">
        <v>2020</v>
      </c>
      <c r="G3277" s="9" t="s">
        <v>2480</v>
      </c>
      <c r="H3277" s="9">
        <v>200</v>
      </c>
      <c r="I3277" s="9">
        <v>200</v>
      </c>
      <c r="J3277" s="9"/>
      <c r="K3277" s="9"/>
      <c r="L3277" s="10">
        <v>20201118</v>
      </c>
      <c r="M3277" s="36" t="str">
        <f t="shared" si="51"/>
        <v>19701201</v>
      </c>
    </row>
    <row r="3278" s="1" customFormat="1" spans="1:13">
      <c r="A3278" s="2">
        <v>563</v>
      </c>
      <c r="B3278" s="29" t="s">
        <v>1040</v>
      </c>
      <c r="C3278" s="29" t="s">
        <v>1402</v>
      </c>
      <c r="D3278" s="29" t="s">
        <v>1403</v>
      </c>
      <c r="E3278" s="30">
        <v>2020</v>
      </c>
      <c r="F3278" s="30">
        <v>2020</v>
      </c>
      <c r="G3278" s="29" t="s">
        <v>16</v>
      </c>
      <c r="H3278" s="29">
        <v>200</v>
      </c>
      <c r="I3278" s="29">
        <v>200</v>
      </c>
      <c r="J3278" s="29"/>
      <c r="K3278" s="47"/>
      <c r="L3278" s="14" t="s">
        <v>330</v>
      </c>
      <c r="M3278" s="36" t="str">
        <f t="shared" si="51"/>
        <v>19701205</v>
      </c>
    </row>
    <row r="3279" s="1" customFormat="1" spans="1:13">
      <c r="A3279" s="2">
        <v>3818</v>
      </c>
      <c r="B3279" s="5" t="s">
        <v>7412</v>
      </c>
      <c r="C3279" s="5" t="s">
        <v>4158</v>
      </c>
      <c r="D3279" s="5" t="s">
        <v>7878</v>
      </c>
      <c r="E3279" s="6">
        <v>2020</v>
      </c>
      <c r="F3279" s="6">
        <v>2020</v>
      </c>
      <c r="G3279" s="5" t="s">
        <v>3359</v>
      </c>
      <c r="H3279" s="5">
        <v>200</v>
      </c>
      <c r="I3279" s="5">
        <v>200</v>
      </c>
      <c r="J3279" s="5"/>
      <c r="K3279" s="5"/>
      <c r="L3279" s="10">
        <v>20201118</v>
      </c>
      <c r="M3279" s="36" t="str">
        <f t="shared" si="51"/>
        <v>19701205</v>
      </c>
    </row>
    <row r="3280" s="1" customFormat="1" spans="1:13">
      <c r="A3280" s="2">
        <v>6342</v>
      </c>
      <c r="B3280" s="5" t="s">
        <v>12263</v>
      </c>
      <c r="C3280" s="5" t="s">
        <v>12700</v>
      </c>
      <c r="D3280" s="5" t="s">
        <v>12701</v>
      </c>
      <c r="E3280" s="5" t="s">
        <v>10250</v>
      </c>
      <c r="F3280" s="5">
        <v>2020</v>
      </c>
      <c r="G3280" s="17" t="s">
        <v>3359</v>
      </c>
      <c r="H3280" s="5" t="s">
        <v>1700</v>
      </c>
      <c r="I3280" s="5">
        <v>300</v>
      </c>
      <c r="J3280" s="5"/>
      <c r="K3280" s="5"/>
      <c r="L3280" s="10">
        <v>20201118</v>
      </c>
      <c r="M3280" s="36" t="str">
        <f t="shared" si="51"/>
        <v>19701205</v>
      </c>
    </row>
    <row r="3281" s="1" customFormat="1" ht="14.25" spans="1:13">
      <c r="A3281" s="2">
        <v>2838</v>
      </c>
      <c r="B3281" s="6" t="s">
        <v>6075</v>
      </c>
      <c r="C3281" s="25" t="s">
        <v>6203</v>
      </c>
      <c r="D3281" s="26" t="s">
        <v>6204</v>
      </c>
      <c r="E3281" s="5" t="s">
        <v>15</v>
      </c>
      <c r="F3281" s="5">
        <v>2020</v>
      </c>
      <c r="G3281" s="6" t="s">
        <v>16</v>
      </c>
      <c r="H3281" s="6">
        <v>200</v>
      </c>
      <c r="I3281" s="6">
        <v>200</v>
      </c>
      <c r="J3281" s="6" t="s">
        <v>6097</v>
      </c>
      <c r="K3281" s="10"/>
      <c r="L3281" s="10">
        <v>20201118</v>
      </c>
      <c r="M3281" s="36" t="str">
        <f t="shared" si="51"/>
        <v>19701206</v>
      </c>
    </row>
    <row r="3282" s="1" customFormat="1" spans="1:13">
      <c r="A3282" s="2">
        <v>8199</v>
      </c>
      <c r="B3282" s="5" t="s">
        <v>15406</v>
      </c>
      <c r="C3282" s="6" t="s">
        <v>15582</v>
      </c>
      <c r="D3282" s="6" t="s">
        <v>15583</v>
      </c>
      <c r="E3282" s="5" t="s">
        <v>15</v>
      </c>
      <c r="F3282" s="5">
        <v>2020</v>
      </c>
      <c r="G3282" s="14" t="s">
        <v>16</v>
      </c>
      <c r="H3282" s="6">
        <v>200</v>
      </c>
      <c r="I3282" s="6">
        <v>200</v>
      </c>
      <c r="J3282" s="5"/>
      <c r="K3282" s="10"/>
      <c r="L3282" s="10">
        <v>20201118</v>
      </c>
      <c r="M3282" s="36" t="str">
        <f t="shared" si="51"/>
        <v>19701209</v>
      </c>
    </row>
    <row r="3283" s="1" customFormat="1" spans="1:13">
      <c r="A3283" s="2">
        <v>6941</v>
      </c>
      <c r="B3283" s="5" t="s">
        <v>13533</v>
      </c>
      <c r="C3283" s="32" t="s">
        <v>13691</v>
      </c>
      <c r="D3283" s="32" t="str">
        <f>"152326197012107128"</f>
        <v>152326197012107128</v>
      </c>
      <c r="E3283" s="5">
        <v>2020</v>
      </c>
      <c r="F3283" s="5">
        <v>2020</v>
      </c>
      <c r="G3283" s="9" t="s">
        <v>2480</v>
      </c>
      <c r="H3283" s="32">
        <v>200</v>
      </c>
      <c r="I3283" s="32">
        <v>200</v>
      </c>
      <c r="J3283" s="32"/>
      <c r="K3283" s="10"/>
      <c r="L3283" s="10">
        <v>20201118</v>
      </c>
      <c r="M3283" s="36" t="str">
        <f t="shared" si="51"/>
        <v>19701210</v>
      </c>
    </row>
    <row r="3284" s="1" customFormat="1" spans="1:13">
      <c r="A3284" s="2">
        <v>8111</v>
      </c>
      <c r="B3284" s="5" t="s">
        <v>15406</v>
      </c>
      <c r="C3284" s="6" t="s">
        <v>15416</v>
      </c>
      <c r="D3284" s="6" t="s">
        <v>15417</v>
      </c>
      <c r="E3284" s="5" t="s">
        <v>15</v>
      </c>
      <c r="F3284" s="5">
        <v>2020</v>
      </c>
      <c r="G3284" s="14" t="s">
        <v>16</v>
      </c>
      <c r="H3284" s="6" t="s">
        <v>311</v>
      </c>
      <c r="I3284" s="6">
        <v>200</v>
      </c>
      <c r="J3284" s="5"/>
      <c r="K3284" s="10"/>
      <c r="L3284" s="10">
        <v>20201118</v>
      </c>
      <c r="M3284" s="36" t="str">
        <f t="shared" si="51"/>
        <v>19701211</v>
      </c>
    </row>
    <row r="3285" s="1" customFormat="1" spans="1:13">
      <c r="A3285" s="2">
        <v>677</v>
      </c>
      <c r="B3285" s="29" t="s">
        <v>1040</v>
      </c>
      <c r="C3285" s="47" t="s">
        <v>1683</v>
      </c>
      <c r="D3285" s="47" t="s">
        <v>1684</v>
      </c>
      <c r="E3285" s="30">
        <v>2020</v>
      </c>
      <c r="F3285" s="30">
        <v>2020</v>
      </c>
      <c r="G3285" s="29" t="s">
        <v>16</v>
      </c>
      <c r="H3285" s="29">
        <v>200</v>
      </c>
      <c r="I3285" s="29">
        <v>200</v>
      </c>
      <c r="J3285" s="29"/>
      <c r="K3285" s="54"/>
      <c r="L3285" s="14" t="s">
        <v>330</v>
      </c>
      <c r="M3285" s="36" t="str">
        <f t="shared" si="51"/>
        <v>19701212</v>
      </c>
    </row>
    <row r="3286" s="1" customFormat="1" spans="1:13">
      <c r="A3286" s="2">
        <v>1074</v>
      </c>
      <c r="B3286" s="5" t="s">
        <v>2469</v>
      </c>
      <c r="C3286" s="9" t="s">
        <v>2738</v>
      </c>
      <c r="D3286" s="9" t="s">
        <v>2739</v>
      </c>
      <c r="E3286" s="5">
        <v>2020</v>
      </c>
      <c r="F3286" s="5">
        <v>2020</v>
      </c>
      <c r="G3286" s="9" t="s">
        <v>2480</v>
      </c>
      <c r="H3286" s="9">
        <v>200</v>
      </c>
      <c r="I3286" s="9">
        <v>200</v>
      </c>
      <c r="J3286" s="5"/>
      <c r="K3286" s="5"/>
      <c r="L3286" s="10">
        <v>20201118</v>
      </c>
      <c r="M3286" s="36" t="str">
        <f t="shared" si="51"/>
        <v>19701212</v>
      </c>
    </row>
    <row r="3287" s="1" customFormat="1" spans="1:13">
      <c r="A3287" s="2">
        <v>4263</v>
      </c>
      <c r="B3287" s="9" t="s">
        <v>8515</v>
      </c>
      <c r="C3287" s="9" t="s">
        <v>8724</v>
      </c>
      <c r="D3287" s="9" t="s">
        <v>8725</v>
      </c>
      <c r="E3287" s="5" t="s">
        <v>15</v>
      </c>
      <c r="F3287" s="5">
        <v>2020</v>
      </c>
      <c r="G3287" s="9" t="s">
        <v>2480</v>
      </c>
      <c r="H3287" s="9">
        <v>200</v>
      </c>
      <c r="I3287" s="9">
        <v>200</v>
      </c>
      <c r="J3287" s="9"/>
      <c r="K3287" s="9"/>
      <c r="L3287" s="10">
        <v>20201118</v>
      </c>
      <c r="M3287" s="36" t="str">
        <f t="shared" si="51"/>
        <v>19701213</v>
      </c>
    </row>
    <row r="3288" s="1" customFormat="1" ht="14.25" spans="1:13">
      <c r="A3288" s="2">
        <v>5315</v>
      </c>
      <c r="B3288" s="33" t="s">
        <v>10535</v>
      </c>
      <c r="C3288" s="34" t="s">
        <v>10744</v>
      </c>
      <c r="D3288" s="34" t="s">
        <v>10745</v>
      </c>
      <c r="E3288" s="35">
        <v>2020</v>
      </c>
      <c r="F3288" s="35">
        <v>2020</v>
      </c>
      <c r="G3288" s="35" t="s">
        <v>16</v>
      </c>
      <c r="H3288" s="34">
        <v>200</v>
      </c>
      <c r="I3288" s="34">
        <v>200</v>
      </c>
      <c r="J3288" s="49"/>
      <c r="K3288" s="10"/>
      <c r="L3288" s="10">
        <v>20201118</v>
      </c>
      <c r="M3288" s="36" t="str">
        <f t="shared" si="51"/>
        <v>19701213</v>
      </c>
    </row>
    <row r="3289" s="1" customFormat="1" spans="1:13">
      <c r="A3289" s="2">
        <v>2441</v>
      </c>
      <c r="B3289" s="5" t="s">
        <v>5328</v>
      </c>
      <c r="C3289" s="16" t="s">
        <v>5421</v>
      </c>
      <c r="D3289" s="16" t="s">
        <v>5422</v>
      </c>
      <c r="E3289" s="5" t="s">
        <v>15</v>
      </c>
      <c r="F3289" s="5" t="s">
        <v>15</v>
      </c>
      <c r="G3289" s="14" t="s">
        <v>16</v>
      </c>
      <c r="H3289" s="6">
        <v>200</v>
      </c>
      <c r="I3289" s="6">
        <v>200</v>
      </c>
      <c r="J3289" s="5"/>
      <c r="K3289" s="5"/>
      <c r="L3289" s="10">
        <v>20201118</v>
      </c>
      <c r="M3289" s="36" t="str">
        <f t="shared" si="51"/>
        <v>19701214</v>
      </c>
    </row>
    <row r="3290" s="1" customFormat="1" spans="1:13">
      <c r="A3290" s="2">
        <v>4871</v>
      </c>
      <c r="B3290" s="6" t="s">
        <v>9015</v>
      </c>
      <c r="C3290" s="6" t="s">
        <v>9885</v>
      </c>
      <c r="D3290" s="293" t="s">
        <v>9886</v>
      </c>
      <c r="E3290" s="6">
        <v>2020</v>
      </c>
      <c r="F3290" s="6">
        <v>2020</v>
      </c>
      <c r="G3290" s="6" t="s">
        <v>16</v>
      </c>
      <c r="H3290" s="6">
        <v>200</v>
      </c>
      <c r="I3290" s="6">
        <v>200</v>
      </c>
      <c r="J3290" s="6"/>
      <c r="K3290" s="6"/>
      <c r="L3290" s="10">
        <v>20201118</v>
      </c>
      <c r="M3290" s="36" t="str">
        <f t="shared" si="51"/>
        <v>19701215</v>
      </c>
    </row>
    <row r="3291" s="1" customFormat="1" spans="1:13">
      <c r="A3291" s="2">
        <v>6456</v>
      </c>
      <c r="B3291" s="5" t="s">
        <v>12263</v>
      </c>
      <c r="C3291" s="5" t="s">
        <v>12916</v>
      </c>
      <c r="D3291" s="5" t="s">
        <v>12917</v>
      </c>
      <c r="E3291" s="5" t="s">
        <v>10250</v>
      </c>
      <c r="F3291" s="5">
        <v>2020</v>
      </c>
      <c r="G3291" s="17" t="s">
        <v>3359</v>
      </c>
      <c r="H3291" s="5">
        <v>200</v>
      </c>
      <c r="I3291" s="5">
        <v>200</v>
      </c>
      <c r="J3291" s="5"/>
      <c r="K3291" s="5"/>
      <c r="L3291" s="10">
        <v>20201118</v>
      </c>
      <c r="M3291" s="36" t="str">
        <f t="shared" si="51"/>
        <v>19701215</v>
      </c>
    </row>
    <row r="3292" s="1" customFormat="1" spans="1:13">
      <c r="A3292" s="2">
        <v>1075</v>
      </c>
      <c r="B3292" s="5" t="s">
        <v>2469</v>
      </c>
      <c r="C3292" s="9" t="s">
        <v>2740</v>
      </c>
      <c r="D3292" s="9" t="s">
        <v>2741</v>
      </c>
      <c r="E3292" s="5">
        <v>2020</v>
      </c>
      <c r="F3292" s="5">
        <v>2020</v>
      </c>
      <c r="G3292" s="9" t="s">
        <v>2480</v>
      </c>
      <c r="H3292" s="9">
        <v>200</v>
      </c>
      <c r="I3292" s="9">
        <v>200</v>
      </c>
      <c r="J3292" s="5"/>
      <c r="K3292" s="5"/>
      <c r="L3292" s="10">
        <v>20201118</v>
      </c>
      <c r="M3292" s="36" t="str">
        <f t="shared" si="51"/>
        <v>19701216</v>
      </c>
    </row>
    <row r="3293" s="1" customFormat="1" spans="1:13">
      <c r="A3293" s="2">
        <v>1076</v>
      </c>
      <c r="B3293" s="5" t="s">
        <v>2469</v>
      </c>
      <c r="C3293" s="9" t="s">
        <v>2742</v>
      </c>
      <c r="D3293" s="9" t="s">
        <v>2743</v>
      </c>
      <c r="E3293" s="5">
        <v>2020</v>
      </c>
      <c r="F3293" s="5">
        <v>2020</v>
      </c>
      <c r="G3293" s="9" t="s">
        <v>2480</v>
      </c>
      <c r="H3293" s="9">
        <v>200</v>
      </c>
      <c r="I3293" s="9">
        <v>200</v>
      </c>
      <c r="J3293" s="5"/>
      <c r="K3293" s="5"/>
      <c r="L3293" s="10">
        <v>20201118</v>
      </c>
      <c r="M3293" s="36" t="str">
        <f t="shared" si="51"/>
        <v>19701217</v>
      </c>
    </row>
    <row r="3294" s="1" customFormat="1" spans="1:13">
      <c r="A3294" s="2">
        <v>5114</v>
      </c>
      <c r="B3294" s="6" t="s">
        <v>10242</v>
      </c>
      <c r="C3294" s="9" t="s">
        <v>10357</v>
      </c>
      <c r="D3294" s="9" t="s">
        <v>10358</v>
      </c>
      <c r="E3294" s="5" t="s">
        <v>10250</v>
      </c>
      <c r="F3294" s="5">
        <v>2020</v>
      </c>
      <c r="G3294" s="6" t="s">
        <v>16</v>
      </c>
      <c r="H3294" s="6">
        <v>200</v>
      </c>
      <c r="I3294" s="6">
        <v>200</v>
      </c>
      <c r="J3294" s="6"/>
      <c r="K3294" s="5"/>
      <c r="L3294" s="10">
        <v>20201118</v>
      </c>
      <c r="M3294" s="36" t="str">
        <f t="shared" si="51"/>
        <v>19701217</v>
      </c>
    </row>
    <row r="3295" s="1" customFormat="1" spans="1:13">
      <c r="A3295" s="2">
        <v>5115</v>
      </c>
      <c r="B3295" s="6" t="s">
        <v>10242</v>
      </c>
      <c r="C3295" s="9" t="s">
        <v>10359</v>
      </c>
      <c r="D3295" s="9" t="s">
        <v>10360</v>
      </c>
      <c r="E3295" s="5" t="s">
        <v>10250</v>
      </c>
      <c r="F3295" s="5">
        <v>2020</v>
      </c>
      <c r="G3295" s="6" t="s">
        <v>16</v>
      </c>
      <c r="H3295" s="6">
        <v>200</v>
      </c>
      <c r="I3295" s="6">
        <v>200</v>
      </c>
      <c r="J3295" s="6"/>
      <c r="K3295" s="5"/>
      <c r="L3295" s="10">
        <v>20201118</v>
      </c>
      <c r="M3295" s="36" t="str">
        <f t="shared" si="51"/>
        <v>19701218</v>
      </c>
    </row>
    <row r="3296" s="1" customFormat="1" spans="1:13">
      <c r="A3296" s="2">
        <v>655</v>
      </c>
      <c r="B3296" s="29" t="s">
        <v>1040</v>
      </c>
      <c r="C3296" s="47" t="s">
        <v>1618</v>
      </c>
      <c r="D3296" s="47" t="s">
        <v>1619</v>
      </c>
      <c r="E3296" s="30">
        <v>2020</v>
      </c>
      <c r="F3296" s="30">
        <v>2020</v>
      </c>
      <c r="G3296" s="29" t="s">
        <v>16</v>
      </c>
      <c r="H3296" s="29">
        <v>200</v>
      </c>
      <c r="I3296" s="29">
        <v>200</v>
      </c>
      <c r="J3296" s="29"/>
      <c r="K3296" s="47"/>
      <c r="L3296" s="2" t="s">
        <v>330</v>
      </c>
      <c r="M3296" s="36" t="str">
        <f t="shared" si="51"/>
        <v>19701219</v>
      </c>
    </row>
    <row r="3297" s="1" customFormat="1" ht="14.25" spans="1:13">
      <c r="A3297" s="2">
        <v>5998</v>
      </c>
      <c r="B3297" s="30" t="s">
        <v>11090</v>
      </c>
      <c r="C3297" s="32" t="s">
        <v>4981</v>
      </c>
      <c r="D3297" s="12" t="s">
        <v>12040</v>
      </c>
      <c r="E3297" s="5" t="s">
        <v>15</v>
      </c>
      <c r="F3297" s="5" t="s">
        <v>10250</v>
      </c>
      <c r="G3297" s="6" t="s">
        <v>16</v>
      </c>
      <c r="H3297" s="32">
        <v>200</v>
      </c>
      <c r="I3297" s="32">
        <v>200</v>
      </c>
      <c r="J3297" s="5"/>
      <c r="K3297" s="48"/>
      <c r="L3297" s="10">
        <v>20201118</v>
      </c>
      <c r="M3297" s="36" t="str">
        <f t="shared" si="51"/>
        <v>19701219</v>
      </c>
    </row>
    <row r="3298" s="1" customFormat="1" spans="1:13">
      <c r="A3298" s="2">
        <v>6382</v>
      </c>
      <c r="B3298" s="5" t="s">
        <v>12263</v>
      </c>
      <c r="C3298" s="5" t="s">
        <v>12777</v>
      </c>
      <c r="D3298" s="5" t="s">
        <v>12778</v>
      </c>
      <c r="E3298" s="5" t="s">
        <v>10250</v>
      </c>
      <c r="F3298" s="5">
        <v>2020</v>
      </c>
      <c r="G3298" s="17" t="s">
        <v>3359</v>
      </c>
      <c r="H3298" s="5" t="s">
        <v>311</v>
      </c>
      <c r="I3298" s="5">
        <v>200</v>
      </c>
      <c r="J3298" s="5"/>
      <c r="K3298" s="5"/>
      <c r="L3298" s="10">
        <v>20201118</v>
      </c>
      <c r="M3298" s="36" t="str">
        <f t="shared" si="51"/>
        <v>19701219</v>
      </c>
    </row>
    <row r="3299" s="1" customFormat="1" spans="1:13">
      <c r="A3299" s="2">
        <v>7985</v>
      </c>
      <c r="B3299" s="5" t="s">
        <v>15086</v>
      </c>
      <c r="C3299" s="6" t="s">
        <v>7053</v>
      </c>
      <c r="D3299" s="6" t="str">
        <f>"152326197012196861"</f>
        <v>152326197012196861</v>
      </c>
      <c r="E3299" s="5" t="s">
        <v>15</v>
      </c>
      <c r="F3299" s="5">
        <v>2020</v>
      </c>
      <c r="G3299" s="5" t="s">
        <v>16</v>
      </c>
      <c r="H3299" s="5">
        <v>200</v>
      </c>
      <c r="I3299" s="5">
        <v>200</v>
      </c>
      <c r="J3299" s="5"/>
      <c r="K3299" s="5"/>
      <c r="L3299" s="10">
        <v>20201118</v>
      </c>
      <c r="M3299" s="36" t="str">
        <f t="shared" si="51"/>
        <v>19701219</v>
      </c>
    </row>
    <row r="3300" s="1" customFormat="1" spans="1:13">
      <c r="A3300" s="2">
        <v>4775</v>
      </c>
      <c r="B3300" s="6" t="s">
        <v>9015</v>
      </c>
      <c r="C3300" s="6" t="s">
        <v>9703</v>
      </c>
      <c r="D3300" s="6" t="s">
        <v>9704</v>
      </c>
      <c r="E3300" s="6">
        <v>2020</v>
      </c>
      <c r="F3300" s="6">
        <v>2020</v>
      </c>
      <c r="G3300" s="6" t="s">
        <v>16</v>
      </c>
      <c r="H3300" s="6">
        <v>200</v>
      </c>
      <c r="I3300" s="6">
        <v>200</v>
      </c>
      <c r="J3300" s="6"/>
      <c r="K3300" s="6"/>
      <c r="L3300" s="10">
        <v>20201118</v>
      </c>
      <c r="M3300" s="36" t="str">
        <f t="shared" si="51"/>
        <v>19701220</v>
      </c>
    </row>
    <row r="3301" s="1" customFormat="1" spans="1:13">
      <c r="A3301" s="2">
        <v>6942</v>
      </c>
      <c r="B3301" s="5" t="s">
        <v>13533</v>
      </c>
      <c r="C3301" s="32" t="s">
        <v>4020</v>
      </c>
      <c r="D3301" s="32" t="str">
        <f>"152326197012217124"</f>
        <v>152326197012217124</v>
      </c>
      <c r="E3301" s="5">
        <v>2020</v>
      </c>
      <c r="F3301" s="5">
        <v>2020</v>
      </c>
      <c r="G3301" s="9" t="s">
        <v>2480</v>
      </c>
      <c r="H3301" s="32">
        <v>200</v>
      </c>
      <c r="I3301" s="32">
        <v>200</v>
      </c>
      <c r="J3301" s="62"/>
      <c r="K3301" s="10"/>
      <c r="L3301" s="10">
        <v>20201118</v>
      </c>
      <c r="M3301" s="36" t="str">
        <f t="shared" si="51"/>
        <v>19701221</v>
      </c>
    </row>
    <row r="3302" s="1" customFormat="1" spans="1:13">
      <c r="A3302" s="2">
        <v>2247</v>
      </c>
      <c r="B3302" s="9" t="s">
        <v>4837</v>
      </c>
      <c r="C3302" s="9" t="s">
        <v>5040</v>
      </c>
      <c r="D3302" s="9" t="s">
        <v>5041</v>
      </c>
      <c r="E3302" s="6" t="s">
        <v>15</v>
      </c>
      <c r="F3302" s="6">
        <v>2020</v>
      </c>
      <c r="G3302" s="9" t="s">
        <v>2480</v>
      </c>
      <c r="H3302" s="9">
        <v>200</v>
      </c>
      <c r="I3302" s="9">
        <v>200</v>
      </c>
      <c r="J3302" s="6"/>
      <c r="K3302" s="10"/>
      <c r="L3302" s="10">
        <v>20201118</v>
      </c>
      <c r="M3302" s="36" t="str">
        <f t="shared" si="51"/>
        <v>19701222</v>
      </c>
    </row>
    <row r="3303" s="1" customFormat="1" spans="1:13">
      <c r="A3303" s="2">
        <v>4828</v>
      </c>
      <c r="B3303" s="6" t="s">
        <v>9015</v>
      </c>
      <c r="C3303" s="6" t="s">
        <v>9803</v>
      </c>
      <c r="D3303" s="6" t="s">
        <v>9804</v>
      </c>
      <c r="E3303" s="6">
        <v>2020</v>
      </c>
      <c r="F3303" s="6">
        <v>2020</v>
      </c>
      <c r="G3303" s="6" t="s">
        <v>16</v>
      </c>
      <c r="H3303" s="6">
        <v>200</v>
      </c>
      <c r="I3303" s="6">
        <v>200</v>
      </c>
      <c r="J3303" s="6"/>
      <c r="K3303" s="6"/>
      <c r="L3303" s="10">
        <v>20201118</v>
      </c>
      <c r="M3303" s="36" t="str">
        <f t="shared" si="51"/>
        <v>19701222</v>
      </c>
    </row>
    <row r="3304" s="1" customFormat="1" spans="1:13">
      <c r="A3304" s="2">
        <v>4264</v>
      </c>
      <c r="B3304" s="9" t="s">
        <v>8515</v>
      </c>
      <c r="C3304" s="9" t="s">
        <v>3082</v>
      </c>
      <c r="D3304" s="9" t="s">
        <v>8726</v>
      </c>
      <c r="E3304" s="5" t="s">
        <v>15</v>
      </c>
      <c r="F3304" s="5">
        <v>2020</v>
      </c>
      <c r="G3304" s="9" t="s">
        <v>2480</v>
      </c>
      <c r="H3304" s="9">
        <v>200</v>
      </c>
      <c r="I3304" s="9">
        <v>200</v>
      </c>
      <c r="J3304" s="9"/>
      <c r="K3304" s="9"/>
      <c r="L3304" s="10">
        <v>20201118</v>
      </c>
      <c r="M3304" s="36" t="str">
        <f t="shared" si="51"/>
        <v>19701223</v>
      </c>
    </row>
    <row r="3305" s="1" customFormat="1" spans="1:13">
      <c r="A3305" s="2">
        <v>1615</v>
      </c>
      <c r="B3305" s="5" t="s">
        <v>3381</v>
      </c>
      <c r="C3305" s="9" t="s">
        <v>3794</v>
      </c>
      <c r="D3305" s="9" t="s">
        <v>3795</v>
      </c>
      <c r="E3305" s="5">
        <v>2020</v>
      </c>
      <c r="F3305" s="5">
        <v>2020</v>
      </c>
      <c r="G3305" s="14" t="s">
        <v>16</v>
      </c>
      <c r="H3305" s="6">
        <v>200</v>
      </c>
      <c r="I3305" s="6">
        <v>200</v>
      </c>
      <c r="J3305" s="5"/>
      <c r="K3305" s="13"/>
      <c r="L3305" s="10">
        <v>20201118</v>
      </c>
      <c r="M3305" s="36" t="str">
        <f t="shared" si="51"/>
        <v>19701224</v>
      </c>
    </row>
    <row r="3306" s="1" customFormat="1" spans="1:13">
      <c r="A3306" s="2">
        <v>5734</v>
      </c>
      <c r="B3306" s="30" t="s">
        <v>11090</v>
      </c>
      <c r="C3306" s="30" t="s">
        <v>11552</v>
      </c>
      <c r="D3306" s="30" t="s">
        <v>11553</v>
      </c>
      <c r="E3306" s="5" t="s">
        <v>15</v>
      </c>
      <c r="F3306" s="5" t="s">
        <v>10250</v>
      </c>
      <c r="G3306" s="6" t="s">
        <v>16</v>
      </c>
      <c r="H3306" s="32">
        <v>200</v>
      </c>
      <c r="I3306" s="32">
        <v>200</v>
      </c>
      <c r="J3306" s="6"/>
      <c r="K3306" s="48"/>
      <c r="L3306" s="10">
        <v>20201118</v>
      </c>
      <c r="M3306" s="36" t="str">
        <f t="shared" si="51"/>
        <v>19701225</v>
      </c>
    </row>
    <row r="3307" s="1" customFormat="1" spans="1:13">
      <c r="A3307" s="2">
        <v>6616</v>
      </c>
      <c r="B3307" s="5" t="s">
        <v>13027</v>
      </c>
      <c r="C3307" s="15" t="s">
        <v>13219</v>
      </c>
      <c r="D3307" s="15" t="s">
        <v>13220</v>
      </c>
      <c r="E3307" s="5">
        <v>2020</v>
      </c>
      <c r="F3307" s="5">
        <v>2020</v>
      </c>
      <c r="G3307" s="14" t="s">
        <v>16</v>
      </c>
      <c r="H3307" s="15">
        <v>200</v>
      </c>
      <c r="I3307" s="15">
        <v>200</v>
      </c>
      <c r="J3307" s="5"/>
      <c r="K3307" s="10"/>
      <c r="L3307" s="10">
        <v>20201118</v>
      </c>
      <c r="M3307" s="36" t="str">
        <f t="shared" si="51"/>
        <v>19701225</v>
      </c>
    </row>
    <row r="3308" s="1" customFormat="1" spans="1:13">
      <c r="A3308" s="2">
        <v>19</v>
      </c>
      <c r="B3308" s="31" t="s">
        <v>12</v>
      </c>
      <c r="C3308" s="17" t="s">
        <v>52</v>
      </c>
      <c r="D3308" s="17" t="s">
        <v>53</v>
      </c>
      <c r="E3308" s="3" t="s">
        <v>15</v>
      </c>
      <c r="F3308" s="3" t="s">
        <v>15</v>
      </c>
      <c r="G3308" s="2" t="s">
        <v>16</v>
      </c>
      <c r="H3308" s="17">
        <v>300</v>
      </c>
      <c r="I3308" s="17">
        <v>300</v>
      </c>
      <c r="J3308" s="31"/>
      <c r="K3308" s="17"/>
      <c r="L3308" s="10">
        <v>20201118</v>
      </c>
      <c r="M3308" s="36" t="str">
        <f t="shared" si="51"/>
        <v>19701226</v>
      </c>
    </row>
    <row r="3309" s="1" customFormat="1" spans="1:13">
      <c r="A3309" s="2">
        <v>2248</v>
      </c>
      <c r="B3309" s="9" t="s">
        <v>4837</v>
      </c>
      <c r="C3309" s="9" t="s">
        <v>5042</v>
      </c>
      <c r="D3309" s="9" t="s">
        <v>5043</v>
      </c>
      <c r="E3309" s="6" t="s">
        <v>15</v>
      </c>
      <c r="F3309" s="6">
        <v>2020</v>
      </c>
      <c r="G3309" s="9" t="s">
        <v>2480</v>
      </c>
      <c r="H3309" s="9">
        <v>500</v>
      </c>
      <c r="I3309" s="9">
        <v>500</v>
      </c>
      <c r="J3309" s="6"/>
      <c r="K3309" s="10"/>
      <c r="L3309" s="10">
        <v>20201118</v>
      </c>
      <c r="M3309" s="36" t="str">
        <f t="shared" si="51"/>
        <v>19701226</v>
      </c>
    </row>
    <row r="3310" s="1" customFormat="1" ht="14.25" spans="1:13">
      <c r="A3310" s="2">
        <v>2963</v>
      </c>
      <c r="B3310" s="6" t="s">
        <v>6075</v>
      </c>
      <c r="C3310" s="25" t="s">
        <v>6451</v>
      </c>
      <c r="D3310" s="26" t="s">
        <v>6452</v>
      </c>
      <c r="E3310" s="5" t="s">
        <v>15</v>
      </c>
      <c r="F3310" s="5">
        <v>2020</v>
      </c>
      <c r="G3310" s="6" t="s">
        <v>16</v>
      </c>
      <c r="H3310" s="6">
        <v>200</v>
      </c>
      <c r="I3310" s="6">
        <v>200</v>
      </c>
      <c r="J3310" s="6"/>
      <c r="K3310" s="10"/>
      <c r="L3310" s="10">
        <v>20201118</v>
      </c>
      <c r="M3310" s="36" t="str">
        <f t="shared" si="51"/>
        <v>19701228</v>
      </c>
    </row>
    <row r="3311" s="1" customFormat="1" ht="14.25" spans="1:13">
      <c r="A3311" s="2">
        <v>5316</v>
      </c>
      <c r="B3311" s="33" t="s">
        <v>10535</v>
      </c>
      <c r="C3311" s="34" t="s">
        <v>10746</v>
      </c>
      <c r="D3311" s="34" t="s">
        <v>10747</v>
      </c>
      <c r="E3311" s="35">
        <v>2020</v>
      </c>
      <c r="F3311" s="35">
        <v>2020</v>
      </c>
      <c r="G3311" s="35" t="s">
        <v>16</v>
      </c>
      <c r="H3311" s="34">
        <v>200</v>
      </c>
      <c r="I3311" s="34">
        <v>200</v>
      </c>
      <c r="J3311" s="49"/>
      <c r="K3311" s="10"/>
      <c r="L3311" s="10">
        <v>20201118</v>
      </c>
      <c r="M3311" s="36" t="str">
        <f t="shared" si="51"/>
        <v>19701228</v>
      </c>
    </row>
    <row r="3312" s="1" customFormat="1" spans="1:13">
      <c r="A3312" s="2">
        <v>6363</v>
      </c>
      <c r="B3312" s="5" t="s">
        <v>12263</v>
      </c>
      <c r="C3312" s="5" t="s">
        <v>3078</v>
      </c>
      <c r="D3312" s="5" t="s">
        <v>12741</v>
      </c>
      <c r="E3312" s="5" t="s">
        <v>10250</v>
      </c>
      <c r="F3312" s="5">
        <v>2020</v>
      </c>
      <c r="G3312" s="17" t="s">
        <v>3359</v>
      </c>
      <c r="H3312" s="5" t="s">
        <v>311</v>
      </c>
      <c r="I3312" s="5">
        <v>200</v>
      </c>
      <c r="J3312" s="5"/>
      <c r="K3312" s="5"/>
      <c r="L3312" s="10">
        <v>20201118</v>
      </c>
      <c r="M3312" s="36" t="str">
        <f t="shared" si="51"/>
        <v>19701228</v>
      </c>
    </row>
    <row r="3313" s="1" customFormat="1" spans="1:13">
      <c r="A3313" s="2">
        <v>1616</v>
      </c>
      <c r="B3313" s="5" t="s">
        <v>3381</v>
      </c>
      <c r="C3313" s="9" t="s">
        <v>3796</v>
      </c>
      <c r="D3313" s="9" t="s">
        <v>3797</v>
      </c>
      <c r="E3313" s="5">
        <v>2020</v>
      </c>
      <c r="F3313" s="5">
        <v>2020</v>
      </c>
      <c r="G3313" s="14" t="s">
        <v>16</v>
      </c>
      <c r="H3313" s="6">
        <v>200</v>
      </c>
      <c r="I3313" s="6">
        <v>200</v>
      </c>
      <c r="J3313" s="5"/>
      <c r="K3313" s="13"/>
      <c r="L3313" s="10">
        <v>20201118</v>
      </c>
      <c r="M3313" s="36" t="str">
        <f t="shared" si="51"/>
        <v>19701230</v>
      </c>
    </row>
    <row r="3314" s="1" customFormat="1" spans="1:13">
      <c r="A3314" s="2">
        <v>1913</v>
      </c>
      <c r="B3314" s="5" t="s">
        <v>4189</v>
      </c>
      <c r="C3314" s="16" t="s">
        <v>4386</v>
      </c>
      <c r="D3314" s="16" t="s">
        <v>4387</v>
      </c>
      <c r="E3314" s="5" t="s">
        <v>15</v>
      </c>
      <c r="F3314" s="5" t="s">
        <v>15</v>
      </c>
      <c r="G3314" s="5" t="s">
        <v>3359</v>
      </c>
      <c r="H3314" s="16">
        <v>200</v>
      </c>
      <c r="I3314" s="16">
        <v>200</v>
      </c>
      <c r="J3314" s="5"/>
      <c r="K3314" s="10"/>
      <c r="L3314" s="10">
        <v>20201118</v>
      </c>
      <c r="M3314" s="36" t="str">
        <f t="shared" si="51"/>
        <v>19701230</v>
      </c>
    </row>
    <row r="3315" s="1" customFormat="1" spans="1:13">
      <c r="A3315" s="2">
        <v>4716</v>
      </c>
      <c r="B3315" s="6" t="s">
        <v>9015</v>
      </c>
      <c r="C3315" s="6" t="s">
        <v>9591</v>
      </c>
      <c r="D3315" s="6" t="s">
        <v>9592</v>
      </c>
      <c r="E3315" s="6">
        <v>2020</v>
      </c>
      <c r="F3315" s="6">
        <v>2020</v>
      </c>
      <c r="G3315" s="6" t="s">
        <v>16</v>
      </c>
      <c r="H3315" s="6">
        <v>200</v>
      </c>
      <c r="I3315" s="6">
        <v>200</v>
      </c>
      <c r="J3315" s="6"/>
      <c r="K3315" s="6"/>
      <c r="L3315" s="10">
        <v>20201118</v>
      </c>
      <c r="M3315" s="36" t="str">
        <f t="shared" si="51"/>
        <v>19701231</v>
      </c>
    </row>
    <row r="3316" s="1" customFormat="1" spans="1:13">
      <c r="A3316" s="2">
        <v>683</v>
      </c>
      <c r="B3316" s="29" t="s">
        <v>1040</v>
      </c>
      <c r="C3316" s="47" t="s">
        <v>1701</v>
      </c>
      <c r="D3316" s="47" t="s">
        <v>1702</v>
      </c>
      <c r="E3316" s="30">
        <v>2020</v>
      </c>
      <c r="F3316" s="30">
        <v>2020</v>
      </c>
      <c r="G3316" s="29" t="s">
        <v>16</v>
      </c>
      <c r="H3316" s="29">
        <v>200</v>
      </c>
      <c r="I3316" s="29">
        <v>200</v>
      </c>
      <c r="J3316" s="29"/>
      <c r="K3316" s="54"/>
      <c r="L3316" s="2" t="s">
        <v>330</v>
      </c>
      <c r="M3316" s="36" t="str">
        <f t="shared" si="51"/>
        <v>19710101</v>
      </c>
    </row>
    <row r="3317" s="1" customFormat="1" spans="1:13">
      <c r="A3317" s="2">
        <v>4872</v>
      </c>
      <c r="B3317" s="6" t="s">
        <v>9015</v>
      </c>
      <c r="C3317" s="6" t="s">
        <v>9887</v>
      </c>
      <c r="D3317" s="293" t="s">
        <v>9888</v>
      </c>
      <c r="E3317" s="6">
        <v>2020</v>
      </c>
      <c r="F3317" s="6">
        <v>2020</v>
      </c>
      <c r="G3317" s="6" t="s">
        <v>16</v>
      </c>
      <c r="H3317" s="6">
        <v>200</v>
      </c>
      <c r="I3317" s="6">
        <v>200</v>
      </c>
      <c r="J3317" s="6"/>
      <c r="K3317" s="6"/>
      <c r="L3317" s="10">
        <v>20201118</v>
      </c>
      <c r="M3317" s="36" t="str">
        <f t="shared" si="51"/>
        <v>19710101</v>
      </c>
    </row>
    <row r="3318" s="1" customFormat="1" spans="1:13">
      <c r="A3318" s="2">
        <v>5793</v>
      </c>
      <c r="B3318" s="30" t="s">
        <v>11090</v>
      </c>
      <c r="C3318" s="30" t="s">
        <v>11656</v>
      </c>
      <c r="D3318" s="30" t="s">
        <v>11657</v>
      </c>
      <c r="E3318" s="5" t="s">
        <v>15</v>
      </c>
      <c r="F3318" s="5" t="s">
        <v>10250</v>
      </c>
      <c r="G3318" s="6" t="s">
        <v>16</v>
      </c>
      <c r="H3318" s="32">
        <v>200</v>
      </c>
      <c r="I3318" s="32">
        <v>200</v>
      </c>
      <c r="J3318" s="6" t="s">
        <v>6097</v>
      </c>
      <c r="K3318" s="48"/>
      <c r="L3318" s="10">
        <v>20201118</v>
      </c>
      <c r="M3318" s="36" t="str">
        <f t="shared" si="51"/>
        <v>19710101</v>
      </c>
    </row>
    <row r="3319" s="1" customFormat="1" spans="1:13">
      <c r="A3319" s="2">
        <v>6510</v>
      </c>
      <c r="B3319" s="13" t="s">
        <v>12263</v>
      </c>
      <c r="C3319" s="13" t="s">
        <v>13021</v>
      </c>
      <c r="D3319" s="314" t="s">
        <v>13022</v>
      </c>
      <c r="E3319" s="13">
        <v>2020</v>
      </c>
      <c r="F3319" s="13">
        <v>2020</v>
      </c>
      <c r="G3319" s="17" t="s">
        <v>3359</v>
      </c>
      <c r="H3319" s="13">
        <v>200</v>
      </c>
      <c r="I3319" s="13">
        <v>200</v>
      </c>
      <c r="J3319" s="5"/>
      <c r="K3319" s="5"/>
      <c r="L3319" s="10">
        <v>20201224</v>
      </c>
      <c r="M3319" s="36" t="str">
        <f t="shared" si="51"/>
        <v>19710104</v>
      </c>
    </row>
    <row r="3320" s="1" customFormat="1" spans="1:13">
      <c r="A3320" s="2">
        <v>2442</v>
      </c>
      <c r="B3320" s="5" t="s">
        <v>5328</v>
      </c>
      <c r="C3320" s="16" t="s">
        <v>5423</v>
      </c>
      <c r="D3320" s="16" t="s">
        <v>5424</v>
      </c>
      <c r="E3320" s="5" t="s">
        <v>15</v>
      </c>
      <c r="F3320" s="5" t="s">
        <v>15</v>
      </c>
      <c r="G3320" s="14" t="s">
        <v>16</v>
      </c>
      <c r="H3320" s="6">
        <v>200</v>
      </c>
      <c r="I3320" s="6">
        <v>200</v>
      </c>
      <c r="J3320" s="5"/>
      <c r="K3320" s="5"/>
      <c r="L3320" s="10">
        <v>20201118</v>
      </c>
      <c r="M3320" s="36" t="str">
        <f t="shared" si="51"/>
        <v>19710105</v>
      </c>
    </row>
    <row r="3321" s="1" customFormat="1" spans="1:13">
      <c r="A3321" s="2">
        <v>5565</v>
      </c>
      <c r="B3321" s="30" t="s">
        <v>11090</v>
      </c>
      <c r="C3321" s="30" t="s">
        <v>11225</v>
      </c>
      <c r="D3321" s="30" t="s">
        <v>11226</v>
      </c>
      <c r="E3321" s="5" t="s">
        <v>15</v>
      </c>
      <c r="F3321" s="5" t="s">
        <v>10250</v>
      </c>
      <c r="G3321" s="6" t="s">
        <v>16</v>
      </c>
      <c r="H3321" s="32">
        <v>200</v>
      </c>
      <c r="I3321" s="32">
        <v>200</v>
      </c>
      <c r="J3321" s="6" t="s">
        <v>6097</v>
      </c>
      <c r="K3321" s="48"/>
      <c r="L3321" s="10">
        <v>20201118</v>
      </c>
      <c r="M3321" s="36" t="str">
        <f t="shared" si="51"/>
        <v>19710106</v>
      </c>
    </row>
    <row r="3322" s="1" customFormat="1" spans="1:13">
      <c r="A3322" s="2">
        <v>5904</v>
      </c>
      <c r="B3322" s="30" t="s">
        <v>11090</v>
      </c>
      <c r="C3322" s="30" t="s">
        <v>11859</v>
      </c>
      <c r="D3322" s="30" t="s">
        <v>11860</v>
      </c>
      <c r="E3322" s="5" t="s">
        <v>15</v>
      </c>
      <c r="F3322" s="5" t="s">
        <v>10250</v>
      </c>
      <c r="G3322" s="6" t="s">
        <v>16</v>
      </c>
      <c r="H3322" s="32">
        <v>200</v>
      </c>
      <c r="I3322" s="32">
        <v>200</v>
      </c>
      <c r="J3322" s="6"/>
      <c r="K3322" s="48"/>
      <c r="L3322" s="10">
        <v>20201118</v>
      </c>
      <c r="M3322" s="36" t="str">
        <f t="shared" si="51"/>
        <v>19710107</v>
      </c>
    </row>
    <row r="3323" s="1" customFormat="1" spans="1:13">
      <c r="A3323" s="2">
        <v>3819</v>
      </c>
      <c r="B3323" s="5" t="s">
        <v>7412</v>
      </c>
      <c r="C3323" s="5" t="s">
        <v>1837</v>
      </c>
      <c r="D3323" s="5" t="s">
        <v>7879</v>
      </c>
      <c r="E3323" s="6">
        <v>2020</v>
      </c>
      <c r="F3323" s="6">
        <v>2020</v>
      </c>
      <c r="G3323" s="5" t="s">
        <v>3359</v>
      </c>
      <c r="H3323" s="5">
        <v>200</v>
      </c>
      <c r="I3323" s="5">
        <v>200</v>
      </c>
      <c r="J3323" s="5"/>
      <c r="K3323" s="5"/>
      <c r="L3323" s="10">
        <v>20201118</v>
      </c>
      <c r="M3323" s="36" t="str">
        <f t="shared" si="51"/>
        <v>19710108</v>
      </c>
    </row>
    <row r="3324" s="1" customFormat="1" spans="1:13">
      <c r="A3324" s="2">
        <v>4265</v>
      </c>
      <c r="B3324" s="9" t="s">
        <v>8515</v>
      </c>
      <c r="C3324" s="9" t="s">
        <v>8727</v>
      </c>
      <c r="D3324" s="9" t="s">
        <v>8728</v>
      </c>
      <c r="E3324" s="5" t="s">
        <v>15</v>
      </c>
      <c r="F3324" s="5">
        <v>2020</v>
      </c>
      <c r="G3324" s="9" t="s">
        <v>2480</v>
      </c>
      <c r="H3324" s="9">
        <v>200</v>
      </c>
      <c r="I3324" s="9">
        <v>200</v>
      </c>
      <c r="J3324" s="9"/>
      <c r="K3324" s="9"/>
      <c r="L3324" s="10">
        <v>20201118</v>
      </c>
      <c r="M3324" s="36" t="str">
        <f t="shared" si="51"/>
        <v>19710108</v>
      </c>
    </row>
    <row r="3325" s="1" customFormat="1" spans="1:13">
      <c r="A3325" s="2">
        <v>4266</v>
      </c>
      <c r="B3325" s="9" t="s">
        <v>8515</v>
      </c>
      <c r="C3325" s="9" t="s">
        <v>8729</v>
      </c>
      <c r="D3325" s="9" t="s">
        <v>8730</v>
      </c>
      <c r="E3325" s="5" t="s">
        <v>15</v>
      </c>
      <c r="F3325" s="5">
        <v>2020</v>
      </c>
      <c r="G3325" s="9" t="s">
        <v>2480</v>
      </c>
      <c r="H3325" s="9">
        <v>200</v>
      </c>
      <c r="I3325" s="9">
        <v>200</v>
      </c>
      <c r="J3325" s="9"/>
      <c r="K3325" s="9"/>
      <c r="L3325" s="10">
        <v>20201118</v>
      </c>
      <c r="M3325" s="36" t="str">
        <f t="shared" si="51"/>
        <v>19710110</v>
      </c>
    </row>
    <row r="3326" s="1" customFormat="1" spans="1:13">
      <c r="A3326" s="2">
        <v>7355</v>
      </c>
      <c r="B3326" s="5" t="s">
        <v>13908</v>
      </c>
      <c r="C3326" s="5" t="s">
        <v>14340</v>
      </c>
      <c r="D3326" s="5" t="s">
        <v>14341</v>
      </c>
      <c r="E3326" s="5" t="s">
        <v>15</v>
      </c>
      <c r="F3326" s="5" t="s">
        <v>15</v>
      </c>
      <c r="G3326" s="14" t="s">
        <v>16</v>
      </c>
      <c r="H3326" s="17">
        <v>200</v>
      </c>
      <c r="I3326" s="17">
        <v>200</v>
      </c>
      <c r="J3326" s="5"/>
      <c r="K3326" s="10"/>
      <c r="L3326" s="10">
        <v>20201118</v>
      </c>
      <c r="M3326" s="36" t="str">
        <f t="shared" si="51"/>
        <v>19710111</v>
      </c>
    </row>
    <row r="3327" s="1" customFormat="1" spans="1:13">
      <c r="A3327" s="2">
        <v>2623</v>
      </c>
      <c r="B3327" s="32" t="s">
        <v>5602</v>
      </c>
      <c r="C3327" s="9" t="s">
        <v>5780</v>
      </c>
      <c r="D3327" s="9" t="s">
        <v>5781</v>
      </c>
      <c r="E3327" s="32">
        <v>2020</v>
      </c>
      <c r="F3327" s="32">
        <v>2020</v>
      </c>
      <c r="G3327" s="32" t="s">
        <v>16</v>
      </c>
      <c r="H3327" s="9">
        <v>200</v>
      </c>
      <c r="I3327" s="9">
        <v>200</v>
      </c>
      <c r="J3327" s="32"/>
      <c r="K3327" s="52"/>
      <c r="L3327" s="10">
        <v>20201118</v>
      </c>
      <c r="M3327" s="36" t="str">
        <f t="shared" si="51"/>
        <v>19710112</v>
      </c>
    </row>
    <row r="3328" s="1" customFormat="1" ht="14.25" spans="1:13">
      <c r="A3328" s="2">
        <v>5317</v>
      </c>
      <c r="B3328" s="33" t="s">
        <v>10535</v>
      </c>
      <c r="C3328" s="34" t="s">
        <v>10748</v>
      </c>
      <c r="D3328" s="34" t="s">
        <v>10749</v>
      </c>
      <c r="E3328" s="35">
        <v>2020</v>
      </c>
      <c r="F3328" s="35">
        <v>2020</v>
      </c>
      <c r="G3328" s="35" t="s">
        <v>16</v>
      </c>
      <c r="H3328" s="34">
        <v>200</v>
      </c>
      <c r="I3328" s="34">
        <v>200</v>
      </c>
      <c r="J3328" s="49"/>
      <c r="K3328" s="10"/>
      <c r="L3328" s="10">
        <v>20201118</v>
      </c>
      <c r="M3328" s="36" t="str">
        <f t="shared" si="51"/>
        <v>19710113</v>
      </c>
    </row>
    <row r="3329" s="1" customFormat="1" spans="1:13">
      <c r="A3329" s="2">
        <v>1617</v>
      </c>
      <c r="B3329" s="5" t="s">
        <v>3381</v>
      </c>
      <c r="C3329" s="9" t="s">
        <v>3798</v>
      </c>
      <c r="D3329" s="9" t="s">
        <v>3799</v>
      </c>
      <c r="E3329" s="5">
        <v>2020</v>
      </c>
      <c r="F3329" s="5">
        <v>2020</v>
      </c>
      <c r="G3329" s="14" t="s">
        <v>16</v>
      </c>
      <c r="H3329" s="6">
        <v>200</v>
      </c>
      <c r="I3329" s="6">
        <v>200</v>
      </c>
      <c r="J3329" s="5"/>
      <c r="K3329" s="13"/>
      <c r="L3329" s="10">
        <v>20201118</v>
      </c>
      <c r="M3329" s="36" t="str">
        <f t="shared" si="51"/>
        <v>19710116</v>
      </c>
    </row>
    <row r="3330" s="1" customFormat="1" spans="1:13">
      <c r="A3330" s="2">
        <v>5116</v>
      </c>
      <c r="B3330" s="6" t="s">
        <v>10242</v>
      </c>
      <c r="C3330" s="9" t="s">
        <v>10361</v>
      </c>
      <c r="D3330" s="9" t="s">
        <v>10362</v>
      </c>
      <c r="E3330" s="5" t="s">
        <v>10250</v>
      </c>
      <c r="F3330" s="5">
        <v>2020</v>
      </c>
      <c r="G3330" s="6" t="s">
        <v>16</v>
      </c>
      <c r="H3330" s="6">
        <v>200</v>
      </c>
      <c r="I3330" s="6">
        <v>200</v>
      </c>
      <c r="J3330" s="6"/>
      <c r="K3330" s="5"/>
      <c r="L3330" s="10">
        <v>20201118</v>
      </c>
      <c r="M3330" s="36" t="str">
        <f t="shared" ref="M3330:M3393" si="52">MID(D3330,7,8)</f>
        <v>19710116</v>
      </c>
    </row>
    <row r="3331" s="1" customFormat="1" spans="1:13">
      <c r="A3331" s="2">
        <v>793</v>
      </c>
      <c r="B3331" s="29" t="s">
        <v>1040</v>
      </c>
      <c r="C3331" s="5" t="s">
        <v>2029</v>
      </c>
      <c r="D3331" s="317" t="s">
        <v>2030</v>
      </c>
      <c r="E3331" s="30">
        <v>2020</v>
      </c>
      <c r="F3331" s="30">
        <v>2020</v>
      </c>
      <c r="G3331" s="29" t="s">
        <v>16</v>
      </c>
      <c r="H3331" s="29">
        <v>200</v>
      </c>
      <c r="I3331" s="29">
        <v>200</v>
      </c>
      <c r="J3331" s="32"/>
      <c r="K3331" s="32"/>
      <c r="L3331" s="2" t="s">
        <v>330</v>
      </c>
      <c r="M3331" s="36" t="str">
        <f t="shared" si="52"/>
        <v>19710117</v>
      </c>
    </row>
    <row r="3332" s="1" customFormat="1" spans="1:13">
      <c r="A3332" s="2">
        <v>1765</v>
      </c>
      <c r="B3332" s="5" t="s">
        <v>3381</v>
      </c>
      <c r="C3332" s="9" t="s">
        <v>4091</v>
      </c>
      <c r="D3332" s="287" t="s">
        <v>4092</v>
      </c>
      <c r="E3332" s="5">
        <v>2015</v>
      </c>
      <c r="F3332" s="5">
        <v>2020</v>
      </c>
      <c r="G3332" s="14" t="s">
        <v>289</v>
      </c>
      <c r="H3332" s="18">
        <v>200</v>
      </c>
      <c r="I3332" s="6">
        <v>1200</v>
      </c>
      <c r="J3332" s="5"/>
      <c r="K3332" s="13"/>
      <c r="L3332" s="10">
        <v>20201118</v>
      </c>
      <c r="M3332" s="36" t="str">
        <f t="shared" si="52"/>
        <v>19710117</v>
      </c>
    </row>
    <row r="3333" s="1" customFormat="1" spans="1:13">
      <c r="A3333" s="2">
        <v>4267</v>
      </c>
      <c r="B3333" s="9" t="s">
        <v>8515</v>
      </c>
      <c r="C3333" s="9" t="s">
        <v>8731</v>
      </c>
      <c r="D3333" s="9" t="s">
        <v>8732</v>
      </c>
      <c r="E3333" s="5" t="s">
        <v>15</v>
      </c>
      <c r="F3333" s="5">
        <v>2020</v>
      </c>
      <c r="G3333" s="9" t="s">
        <v>2480</v>
      </c>
      <c r="H3333" s="9">
        <v>200</v>
      </c>
      <c r="I3333" s="9">
        <v>200</v>
      </c>
      <c r="J3333" s="9"/>
      <c r="K3333" s="9"/>
      <c r="L3333" s="10">
        <v>20201118</v>
      </c>
      <c r="M3333" s="36" t="str">
        <f t="shared" si="52"/>
        <v>19710121</v>
      </c>
    </row>
    <row r="3334" s="1" customFormat="1" spans="1:13">
      <c r="A3334" s="2">
        <v>7981</v>
      </c>
      <c r="B3334" s="5" t="s">
        <v>15086</v>
      </c>
      <c r="C3334" s="6" t="s">
        <v>15254</v>
      </c>
      <c r="D3334" s="6" t="str">
        <f>"152326197101216860"</f>
        <v>152326197101216860</v>
      </c>
      <c r="E3334" s="5" t="s">
        <v>15</v>
      </c>
      <c r="F3334" s="5">
        <v>2020</v>
      </c>
      <c r="G3334" s="5" t="s">
        <v>16</v>
      </c>
      <c r="H3334" s="5">
        <v>200</v>
      </c>
      <c r="I3334" s="5">
        <v>200</v>
      </c>
      <c r="J3334" s="5"/>
      <c r="K3334" s="5"/>
      <c r="L3334" s="10">
        <v>20201118</v>
      </c>
      <c r="M3334" s="36" t="str">
        <f t="shared" si="52"/>
        <v>19710121</v>
      </c>
    </row>
    <row r="3335" s="1" customFormat="1" spans="1:13">
      <c r="A3335" s="2">
        <v>3069</v>
      </c>
      <c r="B3335" s="6" t="s">
        <v>6075</v>
      </c>
      <c r="C3335" s="9" t="s">
        <v>6662</v>
      </c>
      <c r="D3335" s="6" t="s">
        <v>6663</v>
      </c>
      <c r="E3335" s="5" t="s">
        <v>15</v>
      </c>
      <c r="F3335" s="5">
        <v>2020</v>
      </c>
      <c r="G3335" s="6" t="s">
        <v>16</v>
      </c>
      <c r="H3335" s="6" t="s">
        <v>311</v>
      </c>
      <c r="I3335" s="6">
        <v>200</v>
      </c>
      <c r="J3335" s="6"/>
      <c r="K3335" s="10"/>
      <c r="L3335" s="10">
        <v>20201118</v>
      </c>
      <c r="M3335" s="36" t="str">
        <f t="shared" si="52"/>
        <v>19710123</v>
      </c>
    </row>
    <row r="3336" s="1" customFormat="1" spans="1:13">
      <c r="A3336" s="2">
        <v>1938</v>
      </c>
      <c r="B3336" s="5" t="s">
        <v>4189</v>
      </c>
      <c r="C3336" s="16" t="s">
        <v>4435</v>
      </c>
      <c r="D3336" s="16" t="s">
        <v>4436</v>
      </c>
      <c r="E3336" s="5" t="s">
        <v>15</v>
      </c>
      <c r="F3336" s="5" t="s">
        <v>15</v>
      </c>
      <c r="G3336" s="5" t="s">
        <v>3359</v>
      </c>
      <c r="H3336" s="16">
        <v>200</v>
      </c>
      <c r="I3336" s="16">
        <v>200</v>
      </c>
      <c r="J3336" s="5"/>
      <c r="K3336" s="10"/>
      <c r="L3336" s="10">
        <v>20201118</v>
      </c>
      <c r="M3336" s="36" t="str">
        <f t="shared" si="52"/>
        <v>19710124</v>
      </c>
    </row>
    <row r="3337" s="1" customFormat="1" spans="1:13">
      <c r="A3337" s="2">
        <v>5066</v>
      </c>
      <c r="B3337" s="6" t="s">
        <v>10242</v>
      </c>
      <c r="C3337" s="9" t="s">
        <v>4567</v>
      </c>
      <c r="D3337" s="9" t="s">
        <v>10269</v>
      </c>
      <c r="E3337" s="5" t="s">
        <v>10250</v>
      </c>
      <c r="F3337" s="5">
        <v>2020</v>
      </c>
      <c r="G3337" s="6" t="s">
        <v>16</v>
      </c>
      <c r="H3337" s="6">
        <v>200</v>
      </c>
      <c r="I3337" s="6">
        <v>200</v>
      </c>
      <c r="J3337" s="6"/>
      <c r="K3337" s="5"/>
      <c r="L3337" s="10">
        <v>20201118</v>
      </c>
      <c r="M3337" s="36" t="str">
        <f t="shared" si="52"/>
        <v>19710124</v>
      </c>
    </row>
    <row r="3338" s="1" customFormat="1" spans="1:13">
      <c r="A3338" s="2">
        <v>479</v>
      </c>
      <c r="B3338" s="29" t="s">
        <v>1040</v>
      </c>
      <c r="C3338" s="29" t="s">
        <v>1234</v>
      </c>
      <c r="D3338" s="29" t="s">
        <v>1235</v>
      </c>
      <c r="E3338" s="30">
        <v>2020</v>
      </c>
      <c r="F3338" s="30">
        <v>2020</v>
      </c>
      <c r="G3338" s="29" t="s">
        <v>16</v>
      </c>
      <c r="H3338" s="29">
        <v>200</v>
      </c>
      <c r="I3338" s="29">
        <v>200</v>
      </c>
      <c r="J3338" s="29"/>
      <c r="K3338" s="47"/>
      <c r="L3338" s="14" t="s">
        <v>330</v>
      </c>
      <c r="M3338" s="36" t="str">
        <f t="shared" si="52"/>
        <v>19710125</v>
      </c>
    </row>
    <row r="3339" s="1" customFormat="1" ht="14.25" spans="1:13">
      <c r="A3339" s="2">
        <v>5318</v>
      </c>
      <c r="B3339" s="33" t="s">
        <v>10535</v>
      </c>
      <c r="C3339" s="34" t="s">
        <v>10750</v>
      </c>
      <c r="D3339" s="34" t="s">
        <v>10751</v>
      </c>
      <c r="E3339" s="35">
        <v>2020</v>
      </c>
      <c r="F3339" s="35">
        <v>2020</v>
      </c>
      <c r="G3339" s="35" t="s">
        <v>16</v>
      </c>
      <c r="H3339" s="34">
        <v>200</v>
      </c>
      <c r="I3339" s="34">
        <v>200</v>
      </c>
      <c r="J3339" s="49"/>
      <c r="K3339" s="10"/>
      <c r="L3339" s="10">
        <v>20201118</v>
      </c>
      <c r="M3339" s="36" t="str">
        <f t="shared" si="52"/>
        <v>19710126</v>
      </c>
    </row>
    <row r="3340" s="1" customFormat="1" spans="1:13">
      <c r="A3340" s="2">
        <v>2249</v>
      </c>
      <c r="B3340" s="9" t="s">
        <v>4837</v>
      </c>
      <c r="C3340" s="9" t="s">
        <v>5044</v>
      </c>
      <c r="D3340" s="9" t="s">
        <v>5045</v>
      </c>
      <c r="E3340" s="6" t="s">
        <v>15</v>
      </c>
      <c r="F3340" s="6">
        <v>2020</v>
      </c>
      <c r="G3340" s="9" t="s">
        <v>2480</v>
      </c>
      <c r="H3340" s="9">
        <v>200</v>
      </c>
      <c r="I3340" s="9">
        <v>200</v>
      </c>
      <c r="J3340" s="6"/>
      <c r="K3340" s="10"/>
      <c r="L3340" s="10">
        <v>20201118</v>
      </c>
      <c r="M3340" s="36" t="str">
        <f t="shared" si="52"/>
        <v>19710127</v>
      </c>
    </row>
    <row r="3341" s="1" customFormat="1" spans="1:13">
      <c r="A3341" s="2">
        <v>251</v>
      </c>
      <c r="B3341" s="14" t="s">
        <v>327</v>
      </c>
      <c r="C3341" s="72" t="s">
        <v>639</v>
      </c>
      <c r="D3341" s="72" t="s">
        <v>640</v>
      </c>
      <c r="E3341" s="5">
        <v>2020</v>
      </c>
      <c r="F3341" s="5">
        <v>2020</v>
      </c>
      <c r="G3341" s="14" t="s">
        <v>16</v>
      </c>
      <c r="H3341" s="14">
        <v>200</v>
      </c>
      <c r="I3341" s="14">
        <v>200</v>
      </c>
      <c r="J3341" s="17"/>
      <c r="K3341" s="10"/>
      <c r="L3341" s="2" t="s">
        <v>330</v>
      </c>
      <c r="M3341" s="36" t="str">
        <f t="shared" si="52"/>
        <v>19710128</v>
      </c>
    </row>
    <row r="3342" s="1" customFormat="1" spans="1:13">
      <c r="A3342" s="2">
        <v>1077</v>
      </c>
      <c r="B3342" s="5" t="s">
        <v>2469</v>
      </c>
      <c r="C3342" s="9" t="s">
        <v>2744</v>
      </c>
      <c r="D3342" s="9" t="s">
        <v>2745</v>
      </c>
      <c r="E3342" s="5">
        <v>2020</v>
      </c>
      <c r="F3342" s="5">
        <v>2020</v>
      </c>
      <c r="G3342" s="9" t="s">
        <v>2480</v>
      </c>
      <c r="H3342" s="9">
        <v>200</v>
      </c>
      <c r="I3342" s="9">
        <v>200</v>
      </c>
      <c r="J3342" s="5"/>
      <c r="K3342" s="5"/>
      <c r="L3342" s="10">
        <v>20201118</v>
      </c>
      <c r="M3342" s="36" t="str">
        <f t="shared" si="52"/>
        <v>19710128</v>
      </c>
    </row>
    <row r="3343" s="1" customFormat="1" spans="1:13">
      <c r="A3343" s="2">
        <v>1618</v>
      </c>
      <c r="B3343" s="5" t="s">
        <v>3381</v>
      </c>
      <c r="C3343" s="9" t="s">
        <v>3800</v>
      </c>
      <c r="D3343" s="9" t="s">
        <v>3801</v>
      </c>
      <c r="E3343" s="5">
        <v>2020</v>
      </c>
      <c r="F3343" s="5">
        <v>2020</v>
      </c>
      <c r="G3343" s="14" t="s">
        <v>16</v>
      </c>
      <c r="H3343" s="6">
        <v>200</v>
      </c>
      <c r="I3343" s="6">
        <v>200</v>
      </c>
      <c r="J3343" s="5"/>
      <c r="K3343" s="13"/>
      <c r="L3343" s="10">
        <v>20201118</v>
      </c>
      <c r="M3343" s="36" t="str">
        <f t="shared" si="52"/>
        <v>19710129</v>
      </c>
    </row>
    <row r="3344" s="1" customFormat="1" spans="1:13">
      <c r="A3344" s="2">
        <v>2250</v>
      </c>
      <c r="B3344" s="9" t="s">
        <v>4837</v>
      </c>
      <c r="C3344" s="9" t="s">
        <v>5046</v>
      </c>
      <c r="D3344" s="9" t="s">
        <v>5047</v>
      </c>
      <c r="E3344" s="6" t="s">
        <v>15</v>
      </c>
      <c r="F3344" s="6">
        <v>2020</v>
      </c>
      <c r="G3344" s="9" t="s">
        <v>2480</v>
      </c>
      <c r="H3344" s="9">
        <v>200</v>
      </c>
      <c r="I3344" s="9">
        <v>200</v>
      </c>
      <c r="J3344" s="6"/>
      <c r="K3344" s="10"/>
      <c r="L3344" s="10">
        <v>20201118</v>
      </c>
      <c r="M3344" s="36" t="str">
        <f t="shared" si="52"/>
        <v>19710129</v>
      </c>
    </row>
    <row r="3345" s="1" customFormat="1" spans="1:13">
      <c r="A3345" s="2">
        <v>2443</v>
      </c>
      <c r="B3345" s="5" t="s">
        <v>5328</v>
      </c>
      <c r="C3345" s="16" t="s">
        <v>5425</v>
      </c>
      <c r="D3345" s="16" t="s">
        <v>5426</v>
      </c>
      <c r="E3345" s="5" t="s">
        <v>15</v>
      </c>
      <c r="F3345" s="5" t="s">
        <v>15</v>
      </c>
      <c r="G3345" s="14" t="s">
        <v>16</v>
      </c>
      <c r="H3345" s="6">
        <v>200</v>
      </c>
      <c r="I3345" s="6">
        <v>200</v>
      </c>
      <c r="J3345" s="5"/>
      <c r="K3345" s="5"/>
      <c r="L3345" s="10">
        <v>20201118</v>
      </c>
      <c r="M3345" s="36" t="str">
        <f t="shared" si="52"/>
        <v>19710129</v>
      </c>
    </row>
    <row r="3346" s="1" customFormat="1" spans="1:13">
      <c r="A3346" s="2">
        <v>4518</v>
      </c>
      <c r="B3346" s="6" t="s">
        <v>9015</v>
      </c>
      <c r="C3346" s="6" t="s">
        <v>9218</v>
      </c>
      <c r="D3346" s="6" t="s">
        <v>9219</v>
      </c>
      <c r="E3346" s="6">
        <v>2020</v>
      </c>
      <c r="F3346" s="6">
        <v>2020</v>
      </c>
      <c r="G3346" s="6" t="s">
        <v>16</v>
      </c>
      <c r="H3346" s="6">
        <v>200</v>
      </c>
      <c r="I3346" s="6">
        <v>200</v>
      </c>
      <c r="J3346" s="6"/>
      <c r="K3346" s="6"/>
      <c r="L3346" s="10">
        <v>20201118</v>
      </c>
      <c r="M3346" s="36" t="str">
        <f t="shared" si="52"/>
        <v>19710201</v>
      </c>
    </row>
    <row r="3347" s="1" customFormat="1" spans="1:13">
      <c r="A3347" s="2">
        <v>5926</v>
      </c>
      <c r="B3347" s="30" t="s">
        <v>11090</v>
      </c>
      <c r="C3347" s="6" t="s">
        <v>11901</v>
      </c>
      <c r="D3347" s="306" t="s">
        <v>11902</v>
      </c>
      <c r="E3347" s="5" t="s">
        <v>15</v>
      </c>
      <c r="F3347" s="5" t="s">
        <v>10250</v>
      </c>
      <c r="G3347" s="6" t="s">
        <v>16</v>
      </c>
      <c r="H3347" s="32">
        <v>200</v>
      </c>
      <c r="I3347" s="32">
        <v>200</v>
      </c>
      <c r="J3347" s="6"/>
      <c r="K3347" s="48"/>
      <c r="L3347" s="10">
        <v>20201118</v>
      </c>
      <c r="M3347" s="36" t="str">
        <f t="shared" si="52"/>
        <v>19710201</v>
      </c>
    </row>
    <row r="3348" s="1" customFormat="1" spans="1:13">
      <c r="A3348" s="2">
        <v>541</v>
      </c>
      <c r="B3348" s="29" t="s">
        <v>1040</v>
      </c>
      <c r="C3348" s="29" t="s">
        <v>1359</v>
      </c>
      <c r="D3348" s="29" t="s">
        <v>1360</v>
      </c>
      <c r="E3348" s="30">
        <v>2020</v>
      </c>
      <c r="F3348" s="30">
        <v>2020</v>
      </c>
      <c r="G3348" s="29" t="s">
        <v>16</v>
      </c>
      <c r="H3348" s="29">
        <v>200</v>
      </c>
      <c r="I3348" s="29">
        <v>200</v>
      </c>
      <c r="J3348" s="29"/>
      <c r="K3348" s="47"/>
      <c r="L3348" s="14" t="s">
        <v>330</v>
      </c>
      <c r="M3348" s="36" t="str">
        <f t="shared" si="52"/>
        <v>19710202</v>
      </c>
    </row>
    <row r="3349" s="1" customFormat="1" spans="1:13">
      <c r="A3349" s="2">
        <v>601</v>
      </c>
      <c r="B3349" s="29" t="s">
        <v>1040</v>
      </c>
      <c r="C3349" s="29" t="s">
        <v>1478</v>
      </c>
      <c r="D3349" s="29" t="s">
        <v>1479</v>
      </c>
      <c r="E3349" s="30">
        <v>2020</v>
      </c>
      <c r="F3349" s="30">
        <v>2020</v>
      </c>
      <c r="G3349" s="29" t="s">
        <v>16</v>
      </c>
      <c r="H3349" s="29">
        <v>200</v>
      </c>
      <c r="I3349" s="29">
        <v>200</v>
      </c>
      <c r="J3349" s="29"/>
      <c r="K3349" s="47"/>
      <c r="L3349" s="14" t="s">
        <v>330</v>
      </c>
      <c r="M3349" s="36" t="str">
        <f t="shared" si="52"/>
        <v>19710202</v>
      </c>
    </row>
    <row r="3350" s="1" customFormat="1" spans="1:13">
      <c r="A3350" s="2">
        <v>1814</v>
      </c>
      <c r="B3350" s="5" t="s">
        <v>4189</v>
      </c>
      <c r="C3350" s="16" t="s">
        <v>4193</v>
      </c>
      <c r="D3350" s="16" t="s">
        <v>4194</v>
      </c>
      <c r="E3350" s="5" t="s">
        <v>15</v>
      </c>
      <c r="F3350" s="5" t="s">
        <v>15</v>
      </c>
      <c r="G3350" s="5" t="s">
        <v>3359</v>
      </c>
      <c r="H3350" s="16">
        <v>200</v>
      </c>
      <c r="I3350" s="16">
        <v>200</v>
      </c>
      <c r="J3350" s="5"/>
      <c r="K3350" s="10"/>
      <c r="L3350" s="10">
        <v>20201118</v>
      </c>
      <c r="M3350" s="36" t="str">
        <f t="shared" si="52"/>
        <v>19710202</v>
      </c>
    </row>
    <row r="3351" s="1" customFormat="1" spans="1:13">
      <c r="A3351" s="2">
        <v>1919</v>
      </c>
      <c r="B3351" s="5" t="s">
        <v>4189</v>
      </c>
      <c r="C3351" s="16" t="s">
        <v>4398</v>
      </c>
      <c r="D3351" s="16" t="s">
        <v>4399</v>
      </c>
      <c r="E3351" s="5" t="s">
        <v>15</v>
      </c>
      <c r="F3351" s="5" t="s">
        <v>15</v>
      </c>
      <c r="G3351" s="5" t="s">
        <v>3359</v>
      </c>
      <c r="H3351" s="16">
        <v>500</v>
      </c>
      <c r="I3351" s="16">
        <v>500</v>
      </c>
      <c r="J3351" s="5"/>
      <c r="K3351" s="10"/>
      <c r="L3351" s="10">
        <v>20201118</v>
      </c>
      <c r="M3351" s="36" t="str">
        <f t="shared" si="52"/>
        <v>19710202</v>
      </c>
    </row>
    <row r="3352" s="1" customFormat="1" spans="1:13">
      <c r="A3352" s="2">
        <v>2624</v>
      </c>
      <c r="B3352" s="32" t="s">
        <v>5602</v>
      </c>
      <c r="C3352" s="9" t="s">
        <v>5782</v>
      </c>
      <c r="D3352" s="9" t="s">
        <v>5783</v>
      </c>
      <c r="E3352" s="32">
        <v>2020</v>
      </c>
      <c r="F3352" s="32">
        <v>2020</v>
      </c>
      <c r="G3352" s="32" t="s">
        <v>16</v>
      </c>
      <c r="H3352" s="9">
        <v>200</v>
      </c>
      <c r="I3352" s="9">
        <v>200</v>
      </c>
      <c r="J3352" s="32"/>
      <c r="K3352" s="52"/>
      <c r="L3352" s="10">
        <v>20201118</v>
      </c>
      <c r="M3352" s="36" t="str">
        <f t="shared" si="52"/>
        <v>19710202</v>
      </c>
    </row>
    <row r="3353" s="1" customFormat="1" ht="14.25" spans="1:13">
      <c r="A3353" s="2">
        <v>6068</v>
      </c>
      <c r="B3353" s="30" t="s">
        <v>11090</v>
      </c>
      <c r="C3353" s="32" t="s">
        <v>12178</v>
      </c>
      <c r="D3353" s="12" t="s">
        <v>12179</v>
      </c>
      <c r="E3353" s="5" t="s">
        <v>15</v>
      </c>
      <c r="F3353" s="5" t="s">
        <v>10250</v>
      </c>
      <c r="G3353" s="6" t="s">
        <v>16</v>
      </c>
      <c r="H3353" s="32">
        <v>200</v>
      </c>
      <c r="I3353" s="32">
        <v>200</v>
      </c>
      <c r="J3353" s="5"/>
      <c r="K3353" s="48"/>
      <c r="L3353" s="10">
        <v>20201118</v>
      </c>
      <c r="M3353" s="36" t="str">
        <f t="shared" si="52"/>
        <v>19710202</v>
      </c>
    </row>
    <row r="3354" s="1" customFormat="1" ht="14.25" spans="1:13">
      <c r="A3354" s="2">
        <v>7709</v>
      </c>
      <c r="B3354" s="5" t="s">
        <v>14875</v>
      </c>
      <c r="C3354" s="51" t="s">
        <v>11840</v>
      </c>
      <c r="D3354" s="24" t="str">
        <f>"152326197102027164"</f>
        <v>152326197102027164</v>
      </c>
      <c r="E3354" s="6" t="s">
        <v>15</v>
      </c>
      <c r="F3354" s="6">
        <v>2020</v>
      </c>
      <c r="G3354" s="24" t="s">
        <v>14877</v>
      </c>
      <c r="H3354" s="6">
        <v>200</v>
      </c>
      <c r="I3354" s="6">
        <v>200</v>
      </c>
      <c r="J3354" s="6"/>
      <c r="K3354" s="10"/>
      <c r="L3354" s="10">
        <v>20201118</v>
      </c>
      <c r="M3354" s="36" t="str">
        <f t="shared" si="52"/>
        <v>19710202</v>
      </c>
    </row>
    <row r="3355" s="1" customFormat="1" spans="1:13">
      <c r="A3355" s="2">
        <v>1927</v>
      </c>
      <c r="B3355" s="5" t="s">
        <v>4189</v>
      </c>
      <c r="C3355" s="16" t="s">
        <v>4414</v>
      </c>
      <c r="D3355" s="16" t="s">
        <v>4415</v>
      </c>
      <c r="E3355" s="5" t="s">
        <v>15</v>
      </c>
      <c r="F3355" s="5" t="s">
        <v>15</v>
      </c>
      <c r="G3355" s="5" t="s">
        <v>3359</v>
      </c>
      <c r="H3355" s="16">
        <v>200</v>
      </c>
      <c r="I3355" s="16">
        <v>200</v>
      </c>
      <c r="J3355" s="5"/>
      <c r="K3355" s="10"/>
      <c r="L3355" s="10">
        <v>20201118</v>
      </c>
      <c r="M3355" s="36" t="str">
        <f t="shared" si="52"/>
        <v>19710203</v>
      </c>
    </row>
    <row r="3356" s="1" customFormat="1" spans="1:13">
      <c r="A3356" s="2">
        <v>6617</v>
      </c>
      <c r="B3356" s="5" t="s">
        <v>13027</v>
      </c>
      <c r="C3356" s="15" t="s">
        <v>13221</v>
      </c>
      <c r="D3356" s="15" t="s">
        <v>13222</v>
      </c>
      <c r="E3356" s="5">
        <v>2020</v>
      </c>
      <c r="F3356" s="5">
        <v>2020</v>
      </c>
      <c r="G3356" s="14" t="s">
        <v>16</v>
      </c>
      <c r="H3356" s="15">
        <v>200</v>
      </c>
      <c r="I3356" s="15">
        <v>200</v>
      </c>
      <c r="J3356" s="5"/>
      <c r="K3356" s="10"/>
      <c r="L3356" s="10">
        <v>20201118</v>
      </c>
      <c r="M3356" s="36" t="str">
        <f t="shared" si="52"/>
        <v>19710203</v>
      </c>
    </row>
    <row r="3357" s="1" customFormat="1" spans="1:13">
      <c r="A3357" s="2">
        <v>454</v>
      </c>
      <c r="B3357" s="29" t="s">
        <v>1040</v>
      </c>
      <c r="C3357" s="29" t="s">
        <v>1184</v>
      </c>
      <c r="D3357" s="29" t="s">
        <v>1185</v>
      </c>
      <c r="E3357" s="30">
        <v>2020</v>
      </c>
      <c r="F3357" s="30">
        <v>2020</v>
      </c>
      <c r="G3357" s="29" t="s">
        <v>16</v>
      </c>
      <c r="H3357" s="29">
        <v>200</v>
      </c>
      <c r="I3357" s="29">
        <v>200</v>
      </c>
      <c r="J3357" s="29"/>
      <c r="K3357" s="47"/>
      <c r="L3357" s="2" t="s">
        <v>330</v>
      </c>
      <c r="M3357" s="36" t="str">
        <f t="shared" si="52"/>
        <v>19710204</v>
      </c>
    </row>
    <row r="3358" s="1" customFormat="1" spans="1:13">
      <c r="A3358" s="2">
        <v>7529</v>
      </c>
      <c r="B3358" s="5" t="s">
        <v>14402</v>
      </c>
      <c r="C3358" s="5" t="s">
        <v>14669</v>
      </c>
      <c r="D3358" s="5" t="s">
        <v>14670</v>
      </c>
      <c r="E3358" s="5">
        <v>2020</v>
      </c>
      <c r="F3358" s="5">
        <v>2020</v>
      </c>
      <c r="G3358" s="17" t="s">
        <v>16</v>
      </c>
      <c r="H3358" s="5">
        <v>200</v>
      </c>
      <c r="I3358" s="5">
        <v>200</v>
      </c>
      <c r="J3358" s="5"/>
      <c r="K3358" s="10"/>
      <c r="L3358" s="10">
        <v>20201118</v>
      </c>
      <c r="M3358" s="36" t="str">
        <f t="shared" si="52"/>
        <v>19710208</v>
      </c>
    </row>
    <row r="3359" s="1" customFormat="1" spans="1:13">
      <c r="A3359" s="2">
        <v>746</v>
      </c>
      <c r="B3359" s="29" t="s">
        <v>1040</v>
      </c>
      <c r="C3359" s="5" t="s">
        <v>1888</v>
      </c>
      <c r="D3359" s="317" t="s">
        <v>1889</v>
      </c>
      <c r="E3359" s="30">
        <v>2020</v>
      </c>
      <c r="F3359" s="30">
        <v>2020</v>
      </c>
      <c r="G3359" s="29" t="s">
        <v>16</v>
      </c>
      <c r="H3359" s="29">
        <v>200</v>
      </c>
      <c r="I3359" s="29">
        <v>200</v>
      </c>
      <c r="J3359" s="32"/>
      <c r="K3359" s="32"/>
      <c r="L3359" s="2" t="s">
        <v>330</v>
      </c>
      <c r="M3359" s="36" t="str">
        <f t="shared" si="52"/>
        <v>19710209</v>
      </c>
    </row>
    <row r="3360" s="1" customFormat="1" spans="1:13">
      <c r="A3360" s="2">
        <v>6921</v>
      </c>
      <c r="B3360" s="5" t="s">
        <v>13533</v>
      </c>
      <c r="C3360" s="32" t="s">
        <v>13670</v>
      </c>
      <c r="D3360" s="32" t="s">
        <v>13671</v>
      </c>
      <c r="E3360" s="5">
        <v>2020</v>
      </c>
      <c r="F3360" s="5">
        <v>2020</v>
      </c>
      <c r="G3360" s="9" t="s">
        <v>2480</v>
      </c>
      <c r="H3360" s="32">
        <v>200</v>
      </c>
      <c r="I3360" s="32">
        <v>200</v>
      </c>
      <c r="J3360" s="62"/>
      <c r="K3360" s="10"/>
      <c r="L3360" s="10">
        <v>20201118</v>
      </c>
      <c r="M3360" s="36" t="str">
        <f t="shared" si="52"/>
        <v>19710210</v>
      </c>
    </row>
    <row r="3361" s="1" customFormat="1" spans="1:13">
      <c r="A3361" s="2">
        <v>6922</v>
      </c>
      <c r="B3361" s="5" t="s">
        <v>13533</v>
      </c>
      <c r="C3361" s="32" t="s">
        <v>13160</v>
      </c>
      <c r="D3361" s="32" t="str">
        <f>"152326197102107121"</f>
        <v>152326197102107121</v>
      </c>
      <c r="E3361" s="5">
        <v>2020</v>
      </c>
      <c r="F3361" s="5">
        <v>2020</v>
      </c>
      <c r="G3361" s="9" t="s">
        <v>2480</v>
      </c>
      <c r="H3361" s="32">
        <v>200</v>
      </c>
      <c r="I3361" s="32">
        <v>200</v>
      </c>
      <c r="J3361" s="32"/>
      <c r="K3361" s="10"/>
      <c r="L3361" s="10">
        <v>20201118</v>
      </c>
      <c r="M3361" s="36" t="str">
        <f t="shared" si="52"/>
        <v>19710210</v>
      </c>
    </row>
    <row r="3362" s="1" customFormat="1" spans="1:13">
      <c r="A3362" s="2">
        <v>5601</v>
      </c>
      <c r="B3362" s="30" t="s">
        <v>11090</v>
      </c>
      <c r="C3362" s="30" t="s">
        <v>11293</v>
      </c>
      <c r="D3362" s="30" t="s">
        <v>11294</v>
      </c>
      <c r="E3362" s="5" t="s">
        <v>15</v>
      </c>
      <c r="F3362" s="5" t="s">
        <v>10250</v>
      </c>
      <c r="G3362" s="6" t="s">
        <v>16</v>
      </c>
      <c r="H3362" s="32">
        <v>400</v>
      </c>
      <c r="I3362" s="32">
        <v>400</v>
      </c>
      <c r="J3362" s="6"/>
      <c r="K3362" s="48"/>
      <c r="L3362" s="10">
        <v>20201118</v>
      </c>
      <c r="M3362" s="36" t="str">
        <f t="shared" si="52"/>
        <v>19710212</v>
      </c>
    </row>
    <row r="3363" s="1" customFormat="1" spans="1:13">
      <c r="A3363" s="2">
        <v>7525</v>
      </c>
      <c r="B3363" s="5" t="s">
        <v>14402</v>
      </c>
      <c r="C3363" s="5" t="s">
        <v>14661</v>
      </c>
      <c r="D3363" s="5" t="s">
        <v>14662</v>
      </c>
      <c r="E3363" s="5">
        <v>2020</v>
      </c>
      <c r="F3363" s="5">
        <v>2020</v>
      </c>
      <c r="G3363" s="17" t="s">
        <v>16</v>
      </c>
      <c r="H3363" s="5">
        <v>200</v>
      </c>
      <c r="I3363" s="5">
        <v>200</v>
      </c>
      <c r="J3363" s="5"/>
      <c r="K3363" s="10"/>
      <c r="L3363" s="10">
        <v>20201118</v>
      </c>
      <c r="M3363" s="36" t="str">
        <f t="shared" si="52"/>
        <v>19710215</v>
      </c>
    </row>
    <row r="3364" s="1" customFormat="1" ht="14.25" spans="1:13">
      <c r="A3364" s="2">
        <v>2932</v>
      </c>
      <c r="B3364" s="6" t="s">
        <v>6075</v>
      </c>
      <c r="C3364" s="25" t="s">
        <v>6390</v>
      </c>
      <c r="D3364" s="26" t="s">
        <v>6391</v>
      </c>
      <c r="E3364" s="5" t="s">
        <v>15</v>
      </c>
      <c r="F3364" s="5">
        <v>2020</v>
      </c>
      <c r="G3364" s="6" t="s">
        <v>16</v>
      </c>
      <c r="H3364" s="6">
        <v>200</v>
      </c>
      <c r="I3364" s="6">
        <v>200</v>
      </c>
      <c r="J3364" s="6" t="s">
        <v>6097</v>
      </c>
      <c r="K3364" s="10"/>
      <c r="L3364" s="10">
        <v>20201118</v>
      </c>
      <c r="M3364" s="36" t="str">
        <f t="shared" si="52"/>
        <v>19710216</v>
      </c>
    </row>
    <row r="3365" s="1" customFormat="1" spans="1:13">
      <c r="A3365" s="2">
        <v>231</v>
      </c>
      <c r="B3365" s="14" t="s">
        <v>327</v>
      </c>
      <c r="C3365" s="14" t="s">
        <v>579</v>
      </c>
      <c r="D3365" s="14" t="s">
        <v>580</v>
      </c>
      <c r="E3365" s="5">
        <v>2020</v>
      </c>
      <c r="F3365" s="5">
        <v>2020</v>
      </c>
      <c r="G3365" s="14" t="s">
        <v>16</v>
      </c>
      <c r="H3365" s="14">
        <v>200</v>
      </c>
      <c r="I3365" s="14">
        <v>200</v>
      </c>
      <c r="J3365" s="14"/>
      <c r="K3365" s="10"/>
      <c r="L3365" s="2" t="s">
        <v>330</v>
      </c>
      <c r="M3365" s="36" t="str">
        <f t="shared" si="52"/>
        <v>19710217</v>
      </c>
    </row>
    <row r="3366" s="1" customFormat="1" ht="14.25" spans="1:13">
      <c r="A3366" s="2">
        <v>2866</v>
      </c>
      <c r="B3366" s="6" t="s">
        <v>6075</v>
      </c>
      <c r="C3366" s="25" t="s">
        <v>6261</v>
      </c>
      <c r="D3366" s="26" t="s">
        <v>6262</v>
      </c>
      <c r="E3366" s="5" t="s">
        <v>15</v>
      </c>
      <c r="F3366" s="5">
        <v>2020</v>
      </c>
      <c r="G3366" s="6" t="s">
        <v>16</v>
      </c>
      <c r="H3366" s="6">
        <v>200</v>
      </c>
      <c r="I3366" s="6">
        <v>200</v>
      </c>
      <c r="J3366" s="6" t="s">
        <v>108</v>
      </c>
      <c r="K3366" s="10"/>
      <c r="L3366" s="10">
        <v>20201118</v>
      </c>
      <c r="M3366" s="36" t="str">
        <f t="shared" si="52"/>
        <v>19710220</v>
      </c>
    </row>
    <row r="3367" s="1" customFormat="1" spans="1:13">
      <c r="A3367" s="2">
        <v>3820</v>
      </c>
      <c r="B3367" s="5" t="s">
        <v>7412</v>
      </c>
      <c r="C3367" s="5" t="s">
        <v>7880</v>
      </c>
      <c r="D3367" s="5" t="s">
        <v>7881</v>
      </c>
      <c r="E3367" s="6">
        <v>2020</v>
      </c>
      <c r="F3367" s="6">
        <v>2020</v>
      </c>
      <c r="G3367" s="5" t="s">
        <v>3359</v>
      </c>
      <c r="H3367" s="5">
        <v>200</v>
      </c>
      <c r="I3367" s="5">
        <v>200</v>
      </c>
      <c r="J3367" s="5"/>
      <c r="K3367" s="5"/>
      <c r="L3367" s="10">
        <v>20201118</v>
      </c>
      <c r="M3367" s="36" t="str">
        <f t="shared" si="52"/>
        <v>19710220</v>
      </c>
    </row>
    <row r="3368" s="1" customFormat="1" spans="1:13">
      <c r="A3368" s="2">
        <v>3821</v>
      </c>
      <c r="B3368" s="5" t="s">
        <v>7412</v>
      </c>
      <c r="C3368" s="5" t="s">
        <v>7882</v>
      </c>
      <c r="D3368" s="5" t="s">
        <v>7883</v>
      </c>
      <c r="E3368" s="6">
        <v>2020</v>
      </c>
      <c r="F3368" s="6">
        <v>2020</v>
      </c>
      <c r="G3368" s="5" t="s">
        <v>3359</v>
      </c>
      <c r="H3368" s="5">
        <v>200</v>
      </c>
      <c r="I3368" s="5">
        <v>200</v>
      </c>
      <c r="J3368" s="5"/>
      <c r="K3368" s="5"/>
      <c r="L3368" s="10">
        <v>20201118</v>
      </c>
      <c r="M3368" s="36" t="str">
        <f t="shared" si="52"/>
        <v>19710220</v>
      </c>
    </row>
    <row r="3369" s="1" customFormat="1" spans="1:13">
      <c r="A3369" s="2">
        <v>6618</v>
      </c>
      <c r="B3369" s="5" t="s">
        <v>13027</v>
      </c>
      <c r="C3369" s="15" t="s">
        <v>13223</v>
      </c>
      <c r="D3369" s="15" t="s">
        <v>13224</v>
      </c>
      <c r="E3369" s="5">
        <v>2020</v>
      </c>
      <c r="F3369" s="5">
        <v>2020</v>
      </c>
      <c r="G3369" s="14" t="s">
        <v>16</v>
      </c>
      <c r="H3369" s="15">
        <v>200</v>
      </c>
      <c r="I3369" s="15">
        <v>200</v>
      </c>
      <c r="J3369" s="5"/>
      <c r="K3369" s="10"/>
      <c r="L3369" s="10">
        <v>20201118</v>
      </c>
      <c r="M3369" s="36" t="str">
        <f t="shared" si="52"/>
        <v>19710222</v>
      </c>
    </row>
    <row r="3370" s="1" customFormat="1" spans="1:13">
      <c r="A3370" s="2">
        <v>5706</v>
      </c>
      <c r="B3370" s="30" t="s">
        <v>11090</v>
      </c>
      <c r="C3370" s="30" t="s">
        <v>11497</v>
      </c>
      <c r="D3370" s="30" t="s">
        <v>11498</v>
      </c>
      <c r="E3370" s="5" t="s">
        <v>15</v>
      </c>
      <c r="F3370" s="5" t="s">
        <v>10250</v>
      </c>
      <c r="G3370" s="6" t="s">
        <v>16</v>
      </c>
      <c r="H3370" s="32">
        <v>200</v>
      </c>
      <c r="I3370" s="32">
        <v>200</v>
      </c>
      <c r="J3370" s="6"/>
      <c r="K3370" s="48"/>
      <c r="L3370" s="10">
        <v>20201118</v>
      </c>
      <c r="M3370" s="36" t="str">
        <f t="shared" si="52"/>
        <v>19710224</v>
      </c>
    </row>
    <row r="3371" s="1" customFormat="1" spans="1:13">
      <c r="A3371" s="2">
        <v>7530</v>
      </c>
      <c r="B3371" s="5" t="s">
        <v>14402</v>
      </c>
      <c r="C3371" s="5" t="s">
        <v>6813</v>
      </c>
      <c r="D3371" s="5" t="s">
        <v>14671</v>
      </c>
      <c r="E3371" s="5">
        <v>2020</v>
      </c>
      <c r="F3371" s="5">
        <v>2020</v>
      </c>
      <c r="G3371" s="17" t="s">
        <v>16</v>
      </c>
      <c r="H3371" s="5">
        <v>200</v>
      </c>
      <c r="I3371" s="5">
        <v>200</v>
      </c>
      <c r="J3371" s="5"/>
      <c r="K3371" s="10"/>
      <c r="L3371" s="10">
        <v>20201118</v>
      </c>
      <c r="M3371" s="36" t="str">
        <f t="shared" si="52"/>
        <v>19710224</v>
      </c>
    </row>
    <row r="3372" s="1" customFormat="1" spans="1:13">
      <c r="A3372" s="2">
        <v>1619</v>
      </c>
      <c r="B3372" s="5" t="s">
        <v>3381</v>
      </c>
      <c r="C3372" s="9" t="s">
        <v>3802</v>
      </c>
      <c r="D3372" s="9" t="s">
        <v>3803</v>
      </c>
      <c r="E3372" s="5">
        <v>2020</v>
      </c>
      <c r="F3372" s="5">
        <v>2020</v>
      </c>
      <c r="G3372" s="14" t="s">
        <v>16</v>
      </c>
      <c r="H3372" s="6">
        <v>200</v>
      </c>
      <c r="I3372" s="6">
        <v>200</v>
      </c>
      <c r="J3372" s="5"/>
      <c r="K3372" s="13"/>
      <c r="L3372" s="10">
        <v>20201118</v>
      </c>
      <c r="M3372" s="36" t="str">
        <f t="shared" si="52"/>
        <v>19710227</v>
      </c>
    </row>
    <row r="3373" s="1" customFormat="1" spans="1:13">
      <c r="A3373" s="2">
        <v>2251</v>
      </c>
      <c r="B3373" s="9" t="s">
        <v>4837</v>
      </c>
      <c r="C3373" s="9" t="s">
        <v>5048</v>
      </c>
      <c r="D3373" s="9" t="s">
        <v>5049</v>
      </c>
      <c r="E3373" s="6" t="s">
        <v>15</v>
      </c>
      <c r="F3373" s="6">
        <v>2020</v>
      </c>
      <c r="G3373" s="9" t="s">
        <v>2480</v>
      </c>
      <c r="H3373" s="9">
        <v>200</v>
      </c>
      <c r="I3373" s="9">
        <v>200</v>
      </c>
      <c r="J3373" s="6"/>
      <c r="K3373" s="10"/>
      <c r="L3373" s="10">
        <v>20201118</v>
      </c>
      <c r="M3373" s="36" t="str">
        <f t="shared" si="52"/>
        <v>19710228</v>
      </c>
    </row>
    <row r="3374" s="1" customFormat="1" spans="1:13">
      <c r="A3374" s="2">
        <v>3399</v>
      </c>
      <c r="B3374" s="5" t="s">
        <v>3375</v>
      </c>
      <c r="C3374" s="6" t="s">
        <v>4858</v>
      </c>
      <c r="D3374" s="6" t="str">
        <f>"152326197102286887"</f>
        <v>152326197102286887</v>
      </c>
      <c r="E3374" s="5" t="s">
        <v>15</v>
      </c>
      <c r="F3374" s="5">
        <v>2020</v>
      </c>
      <c r="G3374" s="14" t="s">
        <v>16</v>
      </c>
      <c r="H3374" s="17">
        <v>200</v>
      </c>
      <c r="I3374" s="17">
        <v>200</v>
      </c>
      <c r="J3374" s="6"/>
      <c r="K3374" s="10"/>
      <c r="L3374" s="10">
        <v>20201118</v>
      </c>
      <c r="M3374" s="36" t="str">
        <f t="shared" si="52"/>
        <v>19710228</v>
      </c>
    </row>
    <row r="3375" s="1" customFormat="1" spans="1:13">
      <c r="A3375" s="2">
        <v>6619</v>
      </c>
      <c r="B3375" s="5" t="s">
        <v>13027</v>
      </c>
      <c r="C3375" s="15" t="s">
        <v>13225</v>
      </c>
      <c r="D3375" s="15" t="s">
        <v>13226</v>
      </c>
      <c r="E3375" s="5">
        <v>2020</v>
      </c>
      <c r="F3375" s="5">
        <v>2020</v>
      </c>
      <c r="G3375" s="14" t="s">
        <v>16</v>
      </c>
      <c r="H3375" s="15">
        <v>200</v>
      </c>
      <c r="I3375" s="15">
        <v>200</v>
      </c>
      <c r="J3375" s="5"/>
      <c r="K3375" s="10"/>
      <c r="L3375" s="10">
        <v>20201118</v>
      </c>
      <c r="M3375" s="36" t="str">
        <f t="shared" si="52"/>
        <v>19710228</v>
      </c>
    </row>
    <row r="3376" s="1" customFormat="1" spans="1:13">
      <c r="A3376" s="2">
        <v>7088</v>
      </c>
      <c r="B3376" s="5" t="s">
        <v>13533</v>
      </c>
      <c r="C3376" s="32" t="s">
        <v>13846</v>
      </c>
      <c r="D3376" s="304" t="s">
        <v>13847</v>
      </c>
      <c r="E3376" s="5">
        <v>2020</v>
      </c>
      <c r="F3376" s="5">
        <v>2020</v>
      </c>
      <c r="G3376" s="9" t="s">
        <v>2480</v>
      </c>
      <c r="H3376" s="32">
        <v>200</v>
      </c>
      <c r="I3376" s="32">
        <v>200</v>
      </c>
      <c r="J3376" s="32"/>
      <c r="K3376" s="10"/>
      <c r="L3376" s="10">
        <v>20201118</v>
      </c>
      <c r="M3376" s="36" t="str">
        <f t="shared" si="52"/>
        <v>19710228</v>
      </c>
    </row>
    <row r="3377" s="1" customFormat="1" spans="1:13">
      <c r="A3377" s="2">
        <v>2119</v>
      </c>
      <c r="B3377" s="5" t="s">
        <v>4189</v>
      </c>
      <c r="C3377" s="9" t="s">
        <v>4788</v>
      </c>
      <c r="D3377" s="9" t="s">
        <v>4789</v>
      </c>
      <c r="E3377" s="5" t="s">
        <v>15</v>
      </c>
      <c r="F3377" s="5" t="s">
        <v>15</v>
      </c>
      <c r="G3377" s="5" t="s">
        <v>3359</v>
      </c>
      <c r="H3377" s="16">
        <v>200</v>
      </c>
      <c r="I3377" s="16">
        <v>200</v>
      </c>
      <c r="J3377" s="5"/>
      <c r="K3377" s="10"/>
      <c r="L3377" s="10">
        <v>20201118</v>
      </c>
      <c r="M3377" s="36" t="str">
        <f t="shared" si="52"/>
        <v>19710301</v>
      </c>
    </row>
    <row r="3378" s="1" customFormat="1" spans="1:13">
      <c r="A3378" s="2">
        <v>4944</v>
      </c>
      <c r="B3378" s="6" t="s">
        <v>9954</v>
      </c>
      <c r="C3378" s="60" t="s">
        <v>10029</v>
      </c>
      <c r="D3378" s="60" t="s">
        <v>10030</v>
      </c>
      <c r="E3378" s="5" t="s">
        <v>15</v>
      </c>
      <c r="F3378" s="5" t="s">
        <v>15</v>
      </c>
      <c r="G3378" s="14" t="s">
        <v>16</v>
      </c>
      <c r="H3378" s="6">
        <v>1000</v>
      </c>
      <c r="I3378" s="6">
        <v>1000</v>
      </c>
      <c r="J3378" s="6"/>
      <c r="K3378" s="6"/>
      <c r="L3378" s="10">
        <v>20201118</v>
      </c>
      <c r="M3378" s="36" t="str">
        <f t="shared" si="52"/>
        <v>19710301</v>
      </c>
    </row>
    <row r="3379" s="1" customFormat="1" spans="1:13">
      <c r="A3379" s="2">
        <v>4986</v>
      </c>
      <c r="B3379" s="6" t="s">
        <v>9954</v>
      </c>
      <c r="C3379" s="32" t="s">
        <v>10111</v>
      </c>
      <c r="D3379" s="32" t="s">
        <v>10112</v>
      </c>
      <c r="E3379" s="5" t="s">
        <v>15</v>
      </c>
      <c r="F3379" s="5" t="s">
        <v>15</v>
      </c>
      <c r="G3379" s="14" t="s">
        <v>16</v>
      </c>
      <c r="H3379" s="6">
        <v>200</v>
      </c>
      <c r="I3379" s="6">
        <v>200</v>
      </c>
      <c r="J3379" s="6"/>
      <c r="K3379" s="6"/>
      <c r="L3379" s="10">
        <v>20201118</v>
      </c>
      <c r="M3379" s="36" t="str">
        <f t="shared" si="52"/>
        <v>19710302</v>
      </c>
    </row>
    <row r="3380" s="1" customFormat="1" spans="1:13">
      <c r="A3380" s="2">
        <v>7214</v>
      </c>
      <c r="B3380" s="5" t="s">
        <v>13908</v>
      </c>
      <c r="C3380" s="5" t="s">
        <v>14074</v>
      </c>
      <c r="D3380" s="5" t="s">
        <v>14075</v>
      </c>
      <c r="E3380" s="5" t="s">
        <v>15</v>
      </c>
      <c r="F3380" s="5" t="s">
        <v>15</v>
      </c>
      <c r="G3380" s="14" t="s">
        <v>16</v>
      </c>
      <c r="H3380" s="17">
        <v>200</v>
      </c>
      <c r="I3380" s="17">
        <v>200</v>
      </c>
      <c r="J3380" s="5"/>
      <c r="K3380" s="10"/>
      <c r="L3380" s="10">
        <v>20201118</v>
      </c>
      <c r="M3380" s="36" t="str">
        <f t="shared" si="52"/>
        <v>19710302</v>
      </c>
    </row>
    <row r="3381" s="1" customFormat="1" spans="1:13">
      <c r="A3381" s="2">
        <v>7531</v>
      </c>
      <c r="B3381" s="5" t="s">
        <v>14402</v>
      </c>
      <c r="C3381" s="5" t="s">
        <v>6417</v>
      </c>
      <c r="D3381" s="5" t="s">
        <v>14672</v>
      </c>
      <c r="E3381" s="5">
        <v>2020</v>
      </c>
      <c r="F3381" s="5">
        <v>2020</v>
      </c>
      <c r="G3381" s="17" t="s">
        <v>16</v>
      </c>
      <c r="H3381" s="5">
        <v>200</v>
      </c>
      <c r="I3381" s="5">
        <v>200</v>
      </c>
      <c r="J3381" s="5"/>
      <c r="K3381" s="10"/>
      <c r="L3381" s="10">
        <v>20201118</v>
      </c>
      <c r="M3381" s="36" t="str">
        <f t="shared" si="52"/>
        <v>19710303</v>
      </c>
    </row>
    <row r="3382" s="1" customFormat="1" spans="1:13">
      <c r="A3382" s="2">
        <v>6269</v>
      </c>
      <c r="B3382" s="5" t="s">
        <v>12263</v>
      </c>
      <c r="C3382" s="5" t="s">
        <v>12560</v>
      </c>
      <c r="D3382" s="5" t="s">
        <v>12561</v>
      </c>
      <c r="E3382" s="5" t="s">
        <v>10250</v>
      </c>
      <c r="F3382" s="5">
        <v>2020</v>
      </c>
      <c r="G3382" s="17" t="s">
        <v>3359</v>
      </c>
      <c r="H3382" s="5">
        <v>200</v>
      </c>
      <c r="I3382" s="5">
        <v>200</v>
      </c>
      <c r="J3382" s="5"/>
      <c r="K3382" s="5"/>
      <c r="L3382" s="10">
        <v>20201118</v>
      </c>
      <c r="M3382" s="36" t="str">
        <f t="shared" si="52"/>
        <v>19710304</v>
      </c>
    </row>
    <row r="3383" s="1" customFormat="1" spans="1:13">
      <c r="A3383" s="2">
        <v>5117</v>
      </c>
      <c r="B3383" s="6" t="s">
        <v>10242</v>
      </c>
      <c r="C3383" s="9" t="s">
        <v>10363</v>
      </c>
      <c r="D3383" s="9" t="s">
        <v>10364</v>
      </c>
      <c r="E3383" s="5" t="s">
        <v>10250</v>
      </c>
      <c r="F3383" s="5">
        <v>2020</v>
      </c>
      <c r="G3383" s="6" t="s">
        <v>16</v>
      </c>
      <c r="H3383" s="6">
        <v>200</v>
      </c>
      <c r="I3383" s="6">
        <v>200</v>
      </c>
      <c r="J3383" s="6"/>
      <c r="K3383" s="5"/>
      <c r="L3383" s="10">
        <v>20201118</v>
      </c>
      <c r="M3383" s="36" t="str">
        <f t="shared" si="52"/>
        <v>19710305</v>
      </c>
    </row>
    <row r="3384" s="1" customFormat="1" spans="1:13">
      <c r="A3384" s="2">
        <v>1620</v>
      </c>
      <c r="B3384" s="5" t="s">
        <v>3381</v>
      </c>
      <c r="C3384" s="9" t="s">
        <v>3804</v>
      </c>
      <c r="D3384" s="9" t="s">
        <v>3805</v>
      </c>
      <c r="E3384" s="5">
        <v>2020</v>
      </c>
      <c r="F3384" s="5">
        <v>2020</v>
      </c>
      <c r="G3384" s="14" t="s">
        <v>16</v>
      </c>
      <c r="H3384" s="6">
        <v>500</v>
      </c>
      <c r="I3384" s="6">
        <v>500</v>
      </c>
      <c r="J3384" s="5"/>
      <c r="K3384" s="13"/>
      <c r="L3384" s="10">
        <v>20201118</v>
      </c>
      <c r="M3384" s="36" t="str">
        <f t="shared" si="52"/>
        <v>19710306</v>
      </c>
    </row>
    <row r="3385" s="1" customFormat="1" spans="1:13">
      <c r="A3385" s="2">
        <v>6620</v>
      </c>
      <c r="B3385" s="5" t="s">
        <v>13027</v>
      </c>
      <c r="C3385" s="15" t="s">
        <v>13227</v>
      </c>
      <c r="D3385" s="15" t="s">
        <v>13228</v>
      </c>
      <c r="E3385" s="5">
        <v>2020</v>
      </c>
      <c r="F3385" s="5">
        <v>2020</v>
      </c>
      <c r="G3385" s="14" t="s">
        <v>16</v>
      </c>
      <c r="H3385" s="15">
        <v>200</v>
      </c>
      <c r="I3385" s="15">
        <v>200</v>
      </c>
      <c r="J3385" s="5"/>
      <c r="K3385" s="10"/>
      <c r="L3385" s="10">
        <v>20201118</v>
      </c>
      <c r="M3385" s="36" t="str">
        <f t="shared" si="52"/>
        <v>19710308</v>
      </c>
    </row>
    <row r="3386" s="1" customFormat="1" spans="1:13">
      <c r="A3386" s="2">
        <v>1078</v>
      </c>
      <c r="B3386" s="5" t="s">
        <v>2469</v>
      </c>
      <c r="C3386" s="9" t="s">
        <v>2746</v>
      </c>
      <c r="D3386" s="9" t="s">
        <v>2747</v>
      </c>
      <c r="E3386" s="5">
        <v>2020</v>
      </c>
      <c r="F3386" s="5">
        <v>2020</v>
      </c>
      <c r="G3386" s="9" t="s">
        <v>2480</v>
      </c>
      <c r="H3386" s="9">
        <v>200</v>
      </c>
      <c r="I3386" s="9">
        <v>200</v>
      </c>
      <c r="J3386" s="5"/>
      <c r="K3386" s="5"/>
      <c r="L3386" s="10">
        <v>20201118</v>
      </c>
      <c r="M3386" s="36" t="str">
        <f t="shared" si="52"/>
        <v>19710311</v>
      </c>
    </row>
    <row r="3387" s="1" customFormat="1" spans="1:13">
      <c r="A3387" s="2">
        <v>6621</v>
      </c>
      <c r="B3387" s="5" t="s">
        <v>13027</v>
      </c>
      <c r="C3387" s="15" t="s">
        <v>13229</v>
      </c>
      <c r="D3387" s="15" t="s">
        <v>13230</v>
      </c>
      <c r="E3387" s="5">
        <v>2020</v>
      </c>
      <c r="F3387" s="5">
        <v>2020</v>
      </c>
      <c r="G3387" s="14" t="s">
        <v>16</v>
      </c>
      <c r="H3387" s="15">
        <v>200</v>
      </c>
      <c r="I3387" s="15">
        <v>200</v>
      </c>
      <c r="J3387" s="5"/>
      <c r="K3387" s="10"/>
      <c r="L3387" s="10">
        <v>20201118</v>
      </c>
      <c r="M3387" s="36" t="str">
        <f t="shared" si="52"/>
        <v>19710313</v>
      </c>
    </row>
    <row r="3388" s="1" customFormat="1" spans="1:13">
      <c r="A3388" s="2">
        <v>3400</v>
      </c>
      <c r="B3388" s="5" t="s">
        <v>3375</v>
      </c>
      <c r="C3388" s="6" t="s">
        <v>7177</v>
      </c>
      <c r="D3388" s="6" t="str">
        <f>"152326197103156881"</f>
        <v>152326197103156881</v>
      </c>
      <c r="E3388" s="5" t="s">
        <v>15</v>
      </c>
      <c r="F3388" s="5">
        <v>2020</v>
      </c>
      <c r="G3388" s="14" t="s">
        <v>16</v>
      </c>
      <c r="H3388" s="17">
        <v>200</v>
      </c>
      <c r="I3388" s="17">
        <v>200</v>
      </c>
      <c r="J3388" s="6"/>
      <c r="K3388" s="10"/>
      <c r="L3388" s="10">
        <v>20201118</v>
      </c>
      <c r="M3388" s="36" t="str">
        <f t="shared" si="52"/>
        <v>19710315</v>
      </c>
    </row>
    <row r="3389" s="1" customFormat="1" spans="1:13">
      <c r="A3389" s="2">
        <v>4268</v>
      </c>
      <c r="B3389" s="9" t="s">
        <v>8515</v>
      </c>
      <c r="C3389" s="9" t="s">
        <v>8733</v>
      </c>
      <c r="D3389" s="9" t="s">
        <v>8734</v>
      </c>
      <c r="E3389" s="5" t="s">
        <v>15</v>
      </c>
      <c r="F3389" s="5">
        <v>2020</v>
      </c>
      <c r="G3389" s="9" t="s">
        <v>2480</v>
      </c>
      <c r="H3389" s="9">
        <v>200</v>
      </c>
      <c r="I3389" s="9">
        <v>200</v>
      </c>
      <c r="J3389" s="9"/>
      <c r="K3389" s="9"/>
      <c r="L3389" s="10">
        <v>20201118</v>
      </c>
      <c r="M3389" s="36" t="str">
        <f t="shared" si="52"/>
        <v>19710316</v>
      </c>
    </row>
    <row r="3390" s="1" customFormat="1" ht="14.25" spans="1:13">
      <c r="A3390" s="2">
        <v>5319</v>
      </c>
      <c r="B3390" s="33" t="s">
        <v>10535</v>
      </c>
      <c r="C3390" s="34" t="s">
        <v>10752</v>
      </c>
      <c r="D3390" s="34" t="s">
        <v>10753</v>
      </c>
      <c r="E3390" s="35">
        <v>2020</v>
      </c>
      <c r="F3390" s="35">
        <v>2020</v>
      </c>
      <c r="G3390" s="35" t="s">
        <v>16</v>
      </c>
      <c r="H3390" s="34">
        <v>200</v>
      </c>
      <c r="I3390" s="34">
        <v>200</v>
      </c>
      <c r="J3390" s="49"/>
      <c r="K3390" s="10"/>
      <c r="L3390" s="10">
        <v>20201118</v>
      </c>
      <c r="M3390" s="36" t="str">
        <f t="shared" si="52"/>
        <v>19710316</v>
      </c>
    </row>
    <row r="3391" s="1" customFormat="1" spans="1:13">
      <c r="A3391" s="2">
        <v>1621</v>
      </c>
      <c r="B3391" s="5" t="s">
        <v>3381</v>
      </c>
      <c r="C3391" s="9" t="s">
        <v>3806</v>
      </c>
      <c r="D3391" s="9" t="s">
        <v>3807</v>
      </c>
      <c r="E3391" s="5">
        <v>2020</v>
      </c>
      <c r="F3391" s="5">
        <v>2020</v>
      </c>
      <c r="G3391" s="14" t="s">
        <v>16</v>
      </c>
      <c r="H3391" s="6">
        <v>200</v>
      </c>
      <c r="I3391" s="6">
        <v>200</v>
      </c>
      <c r="J3391" s="5"/>
      <c r="K3391" s="13"/>
      <c r="L3391" s="10">
        <v>20201118</v>
      </c>
      <c r="M3391" s="36" t="str">
        <f t="shared" si="52"/>
        <v>19710317</v>
      </c>
    </row>
    <row r="3392" s="1" customFormat="1" spans="1:13">
      <c r="A3392" s="2">
        <v>6928</v>
      </c>
      <c r="B3392" s="5" t="s">
        <v>13533</v>
      </c>
      <c r="C3392" s="32" t="s">
        <v>13678</v>
      </c>
      <c r="D3392" s="32" t="str">
        <f>"152326197103177113"</f>
        <v>152326197103177113</v>
      </c>
      <c r="E3392" s="5">
        <v>2020</v>
      </c>
      <c r="F3392" s="5">
        <v>2020</v>
      </c>
      <c r="G3392" s="9" t="s">
        <v>2480</v>
      </c>
      <c r="H3392" s="32">
        <v>200</v>
      </c>
      <c r="I3392" s="32">
        <v>200</v>
      </c>
      <c r="J3392" s="32"/>
      <c r="K3392" s="10"/>
      <c r="L3392" s="10">
        <v>20201118</v>
      </c>
      <c r="M3392" s="36" t="str">
        <f t="shared" si="52"/>
        <v>19710317</v>
      </c>
    </row>
    <row r="3393" s="1" customFormat="1" spans="1:13">
      <c r="A3393" s="2">
        <v>4668</v>
      </c>
      <c r="B3393" s="6" t="s">
        <v>9015</v>
      </c>
      <c r="C3393" s="6" t="s">
        <v>9500</v>
      </c>
      <c r="D3393" s="6" t="s">
        <v>9501</v>
      </c>
      <c r="E3393" s="6">
        <v>2020</v>
      </c>
      <c r="F3393" s="6">
        <v>2020</v>
      </c>
      <c r="G3393" s="6" t="s">
        <v>16</v>
      </c>
      <c r="H3393" s="6">
        <v>200</v>
      </c>
      <c r="I3393" s="6">
        <v>200</v>
      </c>
      <c r="J3393" s="6"/>
      <c r="K3393" s="6"/>
      <c r="L3393" s="10">
        <v>20201118</v>
      </c>
      <c r="M3393" s="36" t="str">
        <f t="shared" si="52"/>
        <v>19710319</v>
      </c>
    </row>
    <row r="3394" s="1" customFormat="1" spans="1:13">
      <c r="A3394" s="2">
        <v>7532</v>
      </c>
      <c r="B3394" s="5" t="s">
        <v>14402</v>
      </c>
      <c r="C3394" s="5" t="s">
        <v>14673</v>
      </c>
      <c r="D3394" s="5" t="s">
        <v>14674</v>
      </c>
      <c r="E3394" s="5">
        <v>2020</v>
      </c>
      <c r="F3394" s="5">
        <v>2020</v>
      </c>
      <c r="G3394" s="17" t="s">
        <v>16</v>
      </c>
      <c r="H3394" s="5">
        <v>200</v>
      </c>
      <c r="I3394" s="5">
        <v>200</v>
      </c>
      <c r="J3394" s="5"/>
      <c r="K3394" s="10"/>
      <c r="L3394" s="10">
        <v>20201118</v>
      </c>
      <c r="M3394" s="36" t="str">
        <f t="shared" ref="M3394:M3457" si="53">MID(D3394,7,8)</f>
        <v>19710320</v>
      </c>
    </row>
    <row r="3395" s="1" customFormat="1" spans="1:13">
      <c r="A3395" s="2">
        <v>1079</v>
      </c>
      <c r="B3395" s="5" t="s">
        <v>2469</v>
      </c>
      <c r="C3395" s="9" t="s">
        <v>2748</v>
      </c>
      <c r="D3395" s="9" t="s">
        <v>2749</v>
      </c>
      <c r="E3395" s="5">
        <v>2020</v>
      </c>
      <c r="F3395" s="5">
        <v>2020</v>
      </c>
      <c r="G3395" s="9" t="s">
        <v>2480</v>
      </c>
      <c r="H3395" s="9">
        <v>500</v>
      </c>
      <c r="I3395" s="9">
        <v>500</v>
      </c>
      <c r="J3395" s="5"/>
      <c r="K3395" s="5"/>
      <c r="L3395" s="10">
        <v>20201118</v>
      </c>
      <c r="M3395" s="36" t="str">
        <f t="shared" si="53"/>
        <v>19710324</v>
      </c>
    </row>
    <row r="3396" s="1" customFormat="1" spans="1:13">
      <c r="A3396" s="2">
        <v>3822</v>
      </c>
      <c r="B3396" s="5" t="s">
        <v>7412</v>
      </c>
      <c r="C3396" s="5" t="s">
        <v>7884</v>
      </c>
      <c r="D3396" s="5" t="s">
        <v>7885</v>
      </c>
      <c r="E3396" s="6">
        <v>2020</v>
      </c>
      <c r="F3396" s="6">
        <v>2020</v>
      </c>
      <c r="G3396" s="5" t="s">
        <v>3359</v>
      </c>
      <c r="H3396" s="5">
        <v>200</v>
      </c>
      <c r="I3396" s="5">
        <v>200</v>
      </c>
      <c r="J3396" s="5"/>
      <c r="K3396" s="5"/>
      <c r="L3396" s="10">
        <v>20201118</v>
      </c>
      <c r="M3396" s="36" t="str">
        <f t="shared" si="53"/>
        <v>19710324</v>
      </c>
    </row>
    <row r="3397" s="1" customFormat="1" spans="1:13">
      <c r="A3397" s="2">
        <v>3823</v>
      </c>
      <c r="B3397" s="5" t="s">
        <v>7412</v>
      </c>
      <c r="C3397" s="5" t="s">
        <v>7886</v>
      </c>
      <c r="D3397" s="5" t="s">
        <v>7887</v>
      </c>
      <c r="E3397" s="6">
        <v>2020</v>
      </c>
      <c r="F3397" s="6">
        <v>2020</v>
      </c>
      <c r="G3397" s="5" t="s">
        <v>3359</v>
      </c>
      <c r="H3397" s="5">
        <v>200</v>
      </c>
      <c r="I3397" s="5">
        <v>200</v>
      </c>
      <c r="J3397" s="5" t="s">
        <v>1242</v>
      </c>
      <c r="K3397" s="5"/>
      <c r="L3397" s="10">
        <v>20201118</v>
      </c>
      <c r="M3397" s="36" t="str">
        <f t="shared" si="53"/>
        <v>19710324</v>
      </c>
    </row>
    <row r="3398" s="1" customFormat="1" spans="1:13">
      <c r="A3398" s="2">
        <v>5118</v>
      </c>
      <c r="B3398" s="6" t="s">
        <v>10242</v>
      </c>
      <c r="C3398" s="9" t="s">
        <v>10365</v>
      </c>
      <c r="D3398" s="9" t="s">
        <v>10366</v>
      </c>
      <c r="E3398" s="5" t="s">
        <v>10250</v>
      </c>
      <c r="F3398" s="5">
        <v>2020</v>
      </c>
      <c r="G3398" s="6" t="s">
        <v>16</v>
      </c>
      <c r="H3398" s="6">
        <v>200</v>
      </c>
      <c r="I3398" s="6">
        <v>200</v>
      </c>
      <c r="J3398" s="6"/>
      <c r="K3398" s="5"/>
      <c r="L3398" s="10">
        <v>20201118</v>
      </c>
      <c r="M3398" s="36" t="str">
        <f t="shared" si="53"/>
        <v>19710324</v>
      </c>
    </row>
    <row r="3399" s="1" customFormat="1" spans="1:13">
      <c r="A3399" s="2">
        <v>6463</v>
      </c>
      <c r="B3399" s="5" t="s">
        <v>12263</v>
      </c>
      <c r="C3399" s="5" t="s">
        <v>12929</v>
      </c>
      <c r="D3399" s="5" t="s">
        <v>12930</v>
      </c>
      <c r="E3399" s="5" t="s">
        <v>10250</v>
      </c>
      <c r="F3399" s="5">
        <v>2020</v>
      </c>
      <c r="G3399" s="17" t="s">
        <v>3359</v>
      </c>
      <c r="H3399" s="5">
        <v>200</v>
      </c>
      <c r="I3399" s="5">
        <v>200</v>
      </c>
      <c r="J3399" s="5"/>
      <c r="K3399" s="5"/>
      <c r="L3399" s="10">
        <v>20201118</v>
      </c>
      <c r="M3399" s="36" t="str">
        <f t="shared" si="53"/>
        <v>19710324</v>
      </c>
    </row>
    <row r="3400" s="1" customFormat="1" spans="1:13">
      <c r="A3400" s="2">
        <v>136</v>
      </c>
      <c r="B3400" s="3" t="s">
        <v>12</v>
      </c>
      <c r="C3400" s="3" t="s">
        <v>290</v>
      </c>
      <c r="D3400" s="3" t="s">
        <v>291</v>
      </c>
      <c r="E3400" s="3" t="s">
        <v>292</v>
      </c>
      <c r="F3400" s="3" t="s">
        <v>15</v>
      </c>
      <c r="G3400" s="3" t="s">
        <v>289</v>
      </c>
      <c r="H3400" s="3">
        <v>200</v>
      </c>
      <c r="I3400" s="3">
        <v>1000</v>
      </c>
      <c r="J3400" s="3"/>
      <c r="K3400" s="3"/>
      <c r="L3400" s="10">
        <v>20201118</v>
      </c>
      <c r="M3400" s="36" t="str">
        <f t="shared" si="53"/>
        <v>19710325</v>
      </c>
    </row>
    <row r="3401" s="1" customFormat="1" spans="1:13">
      <c r="A3401" s="2">
        <v>5119</v>
      </c>
      <c r="B3401" s="6" t="s">
        <v>10242</v>
      </c>
      <c r="C3401" s="9" t="s">
        <v>10367</v>
      </c>
      <c r="D3401" s="9" t="s">
        <v>10368</v>
      </c>
      <c r="E3401" s="5" t="s">
        <v>10250</v>
      </c>
      <c r="F3401" s="5">
        <v>2020</v>
      </c>
      <c r="G3401" s="6" t="s">
        <v>16</v>
      </c>
      <c r="H3401" s="6">
        <v>200</v>
      </c>
      <c r="I3401" s="6">
        <v>200</v>
      </c>
      <c r="J3401" s="6"/>
      <c r="K3401" s="5"/>
      <c r="L3401" s="10">
        <v>20201118</v>
      </c>
      <c r="M3401" s="36" t="str">
        <f t="shared" si="53"/>
        <v>19710325</v>
      </c>
    </row>
    <row r="3402" s="1" customFormat="1" spans="1:13">
      <c r="A3402" s="2">
        <v>7533</v>
      </c>
      <c r="B3402" s="5" t="s">
        <v>14402</v>
      </c>
      <c r="C3402" s="5" t="s">
        <v>14675</v>
      </c>
      <c r="D3402" s="5" t="s">
        <v>14676</v>
      </c>
      <c r="E3402" s="5">
        <v>2020</v>
      </c>
      <c r="F3402" s="5">
        <v>2020</v>
      </c>
      <c r="G3402" s="17" t="s">
        <v>16</v>
      </c>
      <c r="H3402" s="5">
        <v>200</v>
      </c>
      <c r="I3402" s="5">
        <v>200</v>
      </c>
      <c r="J3402" s="5" t="s">
        <v>749</v>
      </c>
      <c r="K3402" s="10"/>
      <c r="L3402" s="10">
        <v>20201118</v>
      </c>
      <c r="M3402" s="36" t="str">
        <f t="shared" si="53"/>
        <v>19710325</v>
      </c>
    </row>
    <row r="3403" s="1" customFormat="1" ht="14.25" spans="1:13">
      <c r="A3403" s="2">
        <v>1759</v>
      </c>
      <c r="B3403" s="5" t="s">
        <v>3381</v>
      </c>
      <c r="C3403" s="77" t="s">
        <v>4079</v>
      </c>
      <c r="D3403" s="321" t="s">
        <v>4080</v>
      </c>
      <c r="E3403" s="5">
        <v>2020</v>
      </c>
      <c r="F3403" s="5">
        <v>2020</v>
      </c>
      <c r="G3403" s="14" t="s">
        <v>16</v>
      </c>
      <c r="H3403" s="18">
        <v>200</v>
      </c>
      <c r="I3403" s="18">
        <v>200</v>
      </c>
      <c r="J3403" s="77" t="s">
        <v>4064</v>
      </c>
      <c r="K3403" s="13"/>
      <c r="L3403" s="10">
        <v>20201118</v>
      </c>
      <c r="M3403" s="36" t="str">
        <f t="shared" si="53"/>
        <v>19710329</v>
      </c>
    </row>
    <row r="3404" s="1" customFormat="1" ht="14.25" spans="1:13">
      <c r="A3404" s="2">
        <v>2792</v>
      </c>
      <c r="B3404" s="6" t="s">
        <v>6075</v>
      </c>
      <c r="C3404" s="25" t="s">
        <v>6114</v>
      </c>
      <c r="D3404" s="26" t="s">
        <v>6115</v>
      </c>
      <c r="E3404" s="5" t="s">
        <v>15</v>
      </c>
      <c r="F3404" s="5">
        <v>2020</v>
      </c>
      <c r="G3404" s="6" t="s">
        <v>16</v>
      </c>
      <c r="H3404" s="6">
        <v>200</v>
      </c>
      <c r="I3404" s="6">
        <v>200</v>
      </c>
      <c r="J3404" s="6"/>
      <c r="K3404" s="10"/>
      <c r="L3404" s="10">
        <v>20201118</v>
      </c>
      <c r="M3404" s="36" t="str">
        <f t="shared" si="53"/>
        <v>19710329</v>
      </c>
    </row>
    <row r="3405" s="1" customFormat="1" spans="1:13">
      <c r="A3405" s="2">
        <v>5120</v>
      </c>
      <c r="B3405" s="6" t="s">
        <v>10242</v>
      </c>
      <c r="C3405" s="9" t="s">
        <v>10369</v>
      </c>
      <c r="D3405" s="9" t="s">
        <v>10370</v>
      </c>
      <c r="E3405" s="5" t="s">
        <v>10250</v>
      </c>
      <c r="F3405" s="5">
        <v>2020</v>
      </c>
      <c r="G3405" s="6" t="s">
        <v>16</v>
      </c>
      <c r="H3405" s="6">
        <v>200</v>
      </c>
      <c r="I3405" s="6">
        <v>200</v>
      </c>
      <c r="J3405" s="6"/>
      <c r="K3405" s="5"/>
      <c r="L3405" s="10">
        <v>20201118</v>
      </c>
      <c r="M3405" s="36" t="str">
        <f t="shared" si="53"/>
        <v>19710401</v>
      </c>
    </row>
    <row r="3406" s="1" customFormat="1" spans="1:13">
      <c r="A3406" s="2">
        <v>1080</v>
      </c>
      <c r="B3406" s="5" t="s">
        <v>2469</v>
      </c>
      <c r="C3406" s="9" t="s">
        <v>2750</v>
      </c>
      <c r="D3406" s="9" t="s">
        <v>2751</v>
      </c>
      <c r="E3406" s="5">
        <v>2020</v>
      </c>
      <c r="F3406" s="5">
        <v>2020</v>
      </c>
      <c r="G3406" s="9" t="s">
        <v>2480</v>
      </c>
      <c r="H3406" s="9">
        <v>200</v>
      </c>
      <c r="I3406" s="9">
        <v>200</v>
      </c>
      <c r="J3406" s="5"/>
      <c r="K3406" s="5"/>
      <c r="L3406" s="10">
        <v>20201118</v>
      </c>
      <c r="M3406" s="36" t="str">
        <f t="shared" si="53"/>
        <v>19710402</v>
      </c>
    </row>
    <row r="3407" s="1" customFormat="1" spans="1:13">
      <c r="A3407" s="2">
        <v>5813</v>
      </c>
      <c r="B3407" s="30" t="s">
        <v>11090</v>
      </c>
      <c r="C3407" s="30" t="s">
        <v>11695</v>
      </c>
      <c r="D3407" s="30" t="s">
        <v>11696</v>
      </c>
      <c r="E3407" s="5" t="s">
        <v>15</v>
      </c>
      <c r="F3407" s="5" t="s">
        <v>10250</v>
      </c>
      <c r="G3407" s="6" t="s">
        <v>16</v>
      </c>
      <c r="H3407" s="32">
        <v>200</v>
      </c>
      <c r="I3407" s="32">
        <v>200</v>
      </c>
      <c r="J3407" s="6"/>
      <c r="K3407" s="48"/>
      <c r="L3407" s="10">
        <v>20201118</v>
      </c>
      <c r="M3407" s="36" t="str">
        <f t="shared" si="53"/>
        <v>19710402</v>
      </c>
    </row>
    <row r="3408" s="1" customFormat="1" spans="1:13">
      <c r="A3408" s="2">
        <v>6622</v>
      </c>
      <c r="B3408" s="5" t="s">
        <v>13027</v>
      </c>
      <c r="C3408" s="15" t="s">
        <v>12737</v>
      </c>
      <c r="D3408" s="15" t="s">
        <v>13231</v>
      </c>
      <c r="E3408" s="5">
        <v>2020</v>
      </c>
      <c r="F3408" s="5">
        <v>2020</v>
      </c>
      <c r="G3408" s="14" t="s">
        <v>16</v>
      </c>
      <c r="H3408" s="15">
        <v>200</v>
      </c>
      <c r="I3408" s="15">
        <v>200</v>
      </c>
      <c r="J3408" s="5"/>
      <c r="K3408" s="10"/>
      <c r="L3408" s="10">
        <v>20201118</v>
      </c>
      <c r="M3408" s="36" t="str">
        <f t="shared" si="53"/>
        <v>19710402</v>
      </c>
    </row>
    <row r="3409" s="1" customFormat="1" spans="1:13">
      <c r="A3409" s="2">
        <v>8221</v>
      </c>
      <c r="B3409" s="5" t="s">
        <v>15406</v>
      </c>
      <c r="C3409" s="6" t="s">
        <v>15623</v>
      </c>
      <c r="D3409" s="293" t="s">
        <v>15624</v>
      </c>
      <c r="E3409" s="5" t="s">
        <v>288</v>
      </c>
      <c r="F3409" s="5">
        <v>2020</v>
      </c>
      <c r="G3409" s="5" t="s">
        <v>289</v>
      </c>
      <c r="H3409" s="6">
        <v>200</v>
      </c>
      <c r="I3409" s="6">
        <v>800</v>
      </c>
      <c r="J3409" s="5"/>
      <c r="K3409" s="10"/>
      <c r="L3409" s="10">
        <v>20201118</v>
      </c>
      <c r="M3409" s="36" t="str">
        <f t="shared" si="53"/>
        <v>19710402</v>
      </c>
    </row>
    <row r="3410" s="1" customFormat="1" spans="1:13">
      <c r="A3410" s="2">
        <v>5694</v>
      </c>
      <c r="B3410" s="30" t="s">
        <v>11090</v>
      </c>
      <c r="C3410" s="30" t="s">
        <v>11473</v>
      </c>
      <c r="D3410" s="30" t="s">
        <v>11474</v>
      </c>
      <c r="E3410" s="5" t="s">
        <v>15</v>
      </c>
      <c r="F3410" s="5" t="s">
        <v>10250</v>
      </c>
      <c r="G3410" s="6" t="s">
        <v>16</v>
      </c>
      <c r="H3410" s="32">
        <v>200</v>
      </c>
      <c r="I3410" s="32">
        <v>200</v>
      </c>
      <c r="J3410" s="6"/>
      <c r="K3410" s="48"/>
      <c r="L3410" s="10">
        <v>20201118</v>
      </c>
      <c r="M3410" s="36" t="str">
        <f t="shared" si="53"/>
        <v>19710403</v>
      </c>
    </row>
    <row r="3411" s="1" customFormat="1" ht="14.25" spans="1:13">
      <c r="A3411" s="2">
        <v>7712</v>
      </c>
      <c r="B3411" s="5" t="s">
        <v>14875</v>
      </c>
      <c r="C3411" s="51" t="s">
        <v>14955</v>
      </c>
      <c r="D3411" s="24" t="s">
        <v>14956</v>
      </c>
      <c r="E3411" s="6" t="s">
        <v>15</v>
      </c>
      <c r="F3411" s="6">
        <v>2020</v>
      </c>
      <c r="G3411" s="24" t="s">
        <v>14877</v>
      </c>
      <c r="H3411" s="6">
        <v>500</v>
      </c>
      <c r="I3411" s="6">
        <v>500</v>
      </c>
      <c r="J3411" s="6" t="s">
        <v>768</v>
      </c>
      <c r="K3411" s="10"/>
      <c r="L3411" s="10">
        <v>20201118</v>
      </c>
      <c r="M3411" s="36" t="str">
        <f t="shared" si="53"/>
        <v>19710403</v>
      </c>
    </row>
    <row r="3412" s="1" customFormat="1" spans="1:13">
      <c r="A3412" s="2">
        <v>3824</v>
      </c>
      <c r="B3412" s="5" t="s">
        <v>7412</v>
      </c>
      <c r="C3412" s="5" t="s">
        <v>7888</v>
      </c>
      <c r="D3412" s="5" t="s">
        <v>7889</v>
      </c>
      <c r="E3412" s="6">
        <v>2020</v>
      </c>
      <c r="F3412" s="6">
        <v>2020</v>
      </c>
      <c r="G3412" s="5" t="s">
        <v>3359</v>
      </c>
      <c r="H3412" s="5">
        <v>200</v>
      </c>
      <c r="I3412" s="5">
        <v>200</v>
      </c>
      <c r="J3412" s="5"/>
      <c r="K3412" s="5"/>
      <c r="L3412" s="10">
        <v>20201118</v>
      </c>
      <c r="M3412" s="36" t="str">
        <f t="shared" si="53"/>
        <v>19710404</v>
      </c>
    </row>
    <row r="3413" s="1" customFormat="1" spans="1:13">
      <c r="A3413" s="2">
        <v>537</v>
      </c>
      <c r="B3413" s="29" t="s">
        <v>1040</v>
      </c>
      <c r="C3413" s="29" t="s">
        <v>1351</v>
      </c>
      <c r="D3413" s="29" t="s">
        <v>1352</v>
      </c>
      <c r="E3413" s="30">
        <v>2020</v>
      </c>
      <c r="F3413" s="30">
        <v>2020</v>
      </c>
      <c r="G3413" s="29" t="s">
        <v>16</v>
      </c>
      <c r="H3413" s="29">
        <v>200</v>
      </c>
      <c r="I3413" s="29">
        <v>200</v>
      </c>
      <c r="J3413" s="29"/>
      <c r="K3413" s="47"/>
      <c r="L3413" s="14" t="s">
        <v>330</v>
      </c>
      <c r="M3413" s="36" t="str">
        <f t="shared" si="53"/>
        <v>19710405</v>
      </c>
    </row>
    <row r="3414" s="1" customFormat="1" spans="1:13">
      <c r="A3414" s="2">
        <v>4269</v>
      </c>
      <c r="B3414" s="9" t="s">
        <v>8515</v>
      </c>
      <c r="C3414" s="9" t="s">
        <v>8735</v>
      </c>
      <c r="D3414" s="9" t="s">
        <v>8736</v>
      </c>
      <c r="E3414" s="5" t="s">
        <v>15</v>
      </c>
      <c r="F3414" s="5">
        <v>2020</v>
      </c>
      <c r="G3414" s="9" t="s">
        <v>2480</v>
      </c>
      <c r="H3414" s="9">
        <v>200</v>
      </c>
      <c r="I3414" s="9">
        <v>200</v>
      </c>
      <c r="J3414" s="9"/>
      <c r="K3414" s="9"/>
      <c r="L3414" s="10">
        <v>20201118</v>
      </c>
      <c r="M3414" s="36" t="str">
        <f t="shared" si="53"/>
        <v>19710405</v>
      </c>
    </row>
    <row r="3415" s="1" customFormat="1" spans="1:13">
      <c r="A3415" s="2">
        <v>5121</v>
      </c>
      <c r="B3415" s="6" t="s">
        <v>10242</v>
      </c>
      <c r="C3415" s="9" t="s">
        <v>10371</v>
      </c>
      <c r="D3415" s="9" t="s">
        <v>10372</v>
      </c>
      <c r="E3415" s="5" t="s">
        <v>10250</v>
      </c>
      <c r="F3415" s="5">
        <v>2020</v>
      </c>
      <c r="G3415" s="6" t="s">
        <v>16</v>
      </c>
      <c r="H3415" s="6">
        <v>200</v>
      </c>
      <c r="I3415" s="6">
        <v>200</v>
      </c>
      <c r="J3415" s="6"/>
      <c r="K3415" s="5"/>
      <c r="L3415" s="10">
        <v>20201118</v>
      </c>
      <c r="M3415" s="36" t="str">
        <f t="shared" si="53"/>
        <v>19710405</v>
      </c>
    </row>
    <row r="3416" s="1" customFormat="1" spans="1:13">
      <c r="A3416" s="2">
        <v>5786</v>
      </c>
      <c r="B3416" s="30" t="s">
        <v>11090</v>
      </c>
      <c r="C3416" s="30" t="s">
        <v>11643</v>
      </c>
      <c r="D3416" s="30" t="s">
        <v>11644</v>
      </c>
      <c r="E3416" s="5" t="s">
        <v>15</v>
      </c>
      <c r="F3416" s="5" t="s">
        <v>10250</v>
      </c>
      <c r="G3416" s="6" t="s">
        <v>16</v>
      </c>
      <c r="H3416" s="32">
        <v>200</v>
      </c>
      <c r="I3416" s="32">
        <v>200</v>
      </c>
      <c r="J3416" s="6" t="s">
        <v>6097</v>
      </c>
      <c r="K3416" s="48"/>
      <c r="L3416" s="10">
        <v>20201118</v>
      </c>
      <c r="M3416" s="36" t="str">
        <f t="shared" si="53"/>
        <v>19710405</v>
      </c>
    </row>
    <row r="3417" s="1" customFormat="1" spans="1:13">
      <c r="A3417" s="2">
        <v>6383</v>
      </c>
      <c r="B3417" s="5" t="s">
        <v>12263</v>
      </c>
      <c r="C3417" s="5" t="s">
        <v>12537</v>
      </c>
      <c r="D3417" s="5" t="s">
        <v>12779</v>
      </c>
      <c r="E3417" s="5" t="s">
        <v>10250</v>
      </c>
      <c r="F3417" s="5">
        <v>2020</v>
      </c>
      <c r="G3417" s="17" t="s">
        <v>3359</v>
      </c>
      <c r="H3417" s="5" t="s">
        <v>311</v>
      </c>
      <c r="I3417" s="5">
        <v>200</v>
      </c>
      <c r="J3417" s="5"/>
      <c r="K3417" s="5"/>
      <c r="L3417" s="10">
        <v>20201118</v>
      </c>
      <c r="M3417" s="36" t="str">
        <f t="shared" si="53"/>
        <v>19710405</v>
      </c>
    </row>
    <row r="3418" s="1" customFormat="1" spans="1:13">
      <c r="A3418" s="2">
        <v>6623</v>
      </c>
      <c r="B3418" s="5" t="s">
        <v>13027</v>
      </c>
      <c r="C3418" s="15" t="s">
        <v>1520</v>
      </c>
      <c r="D3418" s="15" t="s">
        <v>13232</v>
      </c>
      <c r="E3418" s="5">
        <v>2020</v>
      </c>
      <c r="F3418" s="5">
        <v>2020</v>
      </c>
      <c r="G3418" s="14" t="s">
        <v>16</v>
      </c>
      <c r="H3418" s="15">
        <v>200</v>
      </c>
      <c r="I3418" s="15">
        <v>200</v>
      </c>
      <c r="J3418" s="5"/>
      <c r="K3418" s="10"/>
      <c r="L3418" s="10">
        <v>20201118</v>
      </c>
      <c r="M3418" s="36" t="str">
        <f t="shared" si="53"/>
        <v>19710405</v>
      </c>
    </row>
    <row r="3419" s="1" customFormat="1" spans="1:13">
      <c r="A3419" s="2">
        <v>3202</v>
      </c>
      <c r="B3419" s="3" t="s">
        <v>6671</v>
      </c>
      <c r="C3419" s="9" t="s">
        <v>6913</v>
      </c>
      <c r="D3419" s="9" t="s">
        <v>6914</v>
      </c>
      <c r="E3419" s="3" t="s">
        <v>15</v>
      </c>
      <c r="F3419" s="3" t="s">
        <v>15</v>
      </c>
      <c r="G3419" s="6" t="s">
        <v>3359</v>
      </c>
      <c r="H3419" s="9">
        <v>200</v>
      </c>
      <c r="I3419" s="9">
        <v>200</v>
      </c>
      <c r="J3419" s="6" t="s">
        <v>5331</v>
      </c>
      <c r="K3419" s="5"/>
      <c r="L3419" s="10">
        <v>20201118</v>
      </c>
      <c r="M3419" s="36" t="str">
        <f t="shared" si="53"/>
        <v>19710406</v>
      </c>
    </row>
    <row r="3420" s="1" customFormat="1" spans="1:13">
      <c r="A3420" s="2">
        <v>3825</v>
      </c>
      <c r="B3420" s="5" t="s">
        <v>7412</v>
      </c>
      <c r="C3420" s="5" t="s">
        <v>7890</v>
      </c>
      <c r="D3420" s="5" t="s">
        <v>7891</v>
      </c>
      <c r="E3420" s="6">
        <v>2020</v>
      </c>
      <c r="F3420" s="6">
        <v>2020</v>
      </c>
      <c r="G3420" s="5" t="s">
        <v>3359</v>
      </c>
      <c r="H3420" s="5">
        <v>200</v>
      </c>
      <c r="I3420" s="5">
        <v>200</v>
      </c>
      <c r="J3420" s="5"/>
      <c r="K3420" s="5"/>
      <c r="L3420" s="10">
        <v>20201118</v>
      </c>
      <c r="M3420" s="36" t="str">
        <f t="shared" si="53"/>
        <v>19710406</v>
      </c>
    </row>
    <row r="3421" s="1" customFormat="1" spans="1:13">
      <c r="A3421" s="2">
        <v>4270</v>
      </c>
      <c r="B3421" s="9" t="s">
        <v>8515</v>
      </c>
      <c r="C3421" s="9" t="s">
        <v>8737</v>
      </c>
      <c r="D3421" s="9" t="s">
        <v>8738</v>
      </c>
      <c r="E3421" s="5" t="s">
        <v>15</v>
      </c>
      <c r="F3421" s="5">
        <v>2020</v>
      </c>
      <c r="G3421" s="9" t="s">
        <v>2480</v>
      </c>
      <c r="H3421" s="9">
        <v>200</v>
      </c>
      <c r="I3421" s="9">
        <v>200</v>
      </c>
      <c r="J3421" s="9" t="s">
        <v>1242</v>
      </c>
      <c r="K3421" s="9"/>
      <c r="L3421" s="10">
        <v>20201118</v>
      </c>
      <c r="M3421" s="36" t="str">
        <f t="shared" si="53"/>
        <v>19710406</v>
      </c>
    </row>
    <row r="3422" s="1" customFormat="1" spans="1:13">
      <c r="A3422" s="2">
        <v>3826</v>
      </c>
      <c r="B3422" s="5" t="s">
        <v>7412</v>
      </c>
      <c r="C3422" s="5" t="s">
        <v>7892</v>
      </c>
      <c r="D3422" s="5" t="s">
        <v>7893</v>
      </c>
      <c r="E3422" s="6">
        <v>2020</v>
      </c>
      <c r="F3422" s="6">
        <v>2020</v>
      </c>
      <c r="G3422" s="5" t="s">
        <v>3359</v>
      </c>
      <c r="H3422" s="5">
        <v>200</v>
      </c>
      <c r="I3422" s="5">
        <v>200</v>
      </c>
      <c r="J3422" s="5"/>
      <c r="K3422" s="5"/>
      <c r="L3422" s="10">
        <v>20201118</v>
      </c>
      <c r="M3422" s="36" t="str">
        <f t="shared" si="53"/>
        <v>19710407</v>
      </c>
    </row>
    <row r="3423" s="1" customFormat="1" spans="1:13">
      <c r="A3423" s="2">
        <v>6624</v>
      </c>
      <c r="B3423" s="5" t="s">
        <v>13027</v>
      </c>
      <c r="C3423" s="15" t="s">
        <v>1158</v>
      </c>
      <c r="D3423" s="15" t="s">
        <v>13233</v>
      </c>
      <c r="E3423" s="5">
        <v>2020</v>
      </c>
      <c r="F3423" s="5">
        <v>2020</v>
      </c>
      <c r="G3423" s="14" t="s">
        <v>16</v>
      </c>
      <c r="H3423" s="15">
        <v>200</v>
      </c>
      <c r="I3423" s="15">
        <v>200</v>
      </c>
      <c r="J3423" s="5"/>
      <c r="K3423" s="10"/>
      <c r="L3423" s="10">
        <v>20201118</v>
      </c>
      <c r="M3423" s="36" t="str">
        <f t="shared" si="53"/>
        <v>19710409</v>
      </c>
    </row>
    <row r="3424" s="1" customFormat="1" spans="1:13">
      <c r="A3424" s="2">
        <v>3246</v>
      </c>
      <c r="B3424" s="3" t="s">
        <v>6671</v>
      </c>
      <c r="C3424" s="9" t="s">
        <v>6995</v>
      </c>
      <c r="D3424" s="9" t="s">
        <v>6996</v>
      </c>
      <c r="E3424" s="3" t="s">
        <v>15</v>
      </c>
      <c r="F3424" s="3" t="s">
        <v>15</v>
      </c>
      <c r="G3424" s="6" t="s">
        <v>3359</v>
      </c>
      <c r="H3424" s="9">
        <v>200</v>
      </c>
      <c r="I3424" s="9">
        <v>200</v>
      </c>
      <c r="J3424" s="6"/>
      <c r="K3424" s="5"/>
      <c r="L3424" s="10">
        <v>20201118</v>
      </c>
      <c r="M3424" s="36" t="str">
        <f t="shared" si="53"/>
        <v>19710410</v>
      </c>
    </row>
    <row r="3425" s="1" customFormat="1" ht="14.25" spans="1:13">
      <c r="A3425" s="2">
        <v>5320</v>
      </c>
      <c r="B3425" s="33" t="s">
        <v>10535</v>
      </c>
      <c r="C3425" s="34" t="s">
        <v>5106</v>
      </c>
      <c r="D3425" s="34" t="s">
        <v>10754</v>
      </c>
      <c r="E3425" s="35">
        <v>2020</v>
      </c>
      <c r="F3425" s="35">
        <v>2020</v>
      </c>
      <c r="G3425" s="35" t="s">
        <v>16</v>
      </c>
      <c r="H3425" s="34">
        <v>200</v>
      </c>
      <c r="I3425" s="34">
        <v>200</v>
      </c>
      <c r="J3425" s="49"/>
      <c r="K3425" s="10"/>
      <c r="L3425" s="10">
        <v>20201118</v>
      </c>
      <c r="M3425" s="36" t="str">
        <f t="shared" si="53"/>
        <v>19710410</v>
      </c>
    </row>
    <row r="3426" s="1" customFormat="1" spans="1:13">
      <c r="A3426" s="2">
        <v>6516</v>
      </c>
      <c r="B3426" s="5" t="s">
        <v>13027</v>
      </c>
      <c r="C3426" s="15" t="s">
        <v>13032</v>
      </c>
      <c r="D3426" s="15" t="s">
        <v>13033</v>
      </c>
      <c r="E3426" s="5">
        <v>2020</v>
      </c>
      <c r="F3426" s="5">
        <v>2020</v>
      </c>
      <c r="G3426" s="14" t="s">
        <v>16</v>
      </c>
      <c r="H3426" s="15">
        <v>3000</v>
      </c>
      <c r="I3426" s="15">
        <v>3000</v>
      </c>
      <c r="J3426" s="5"/>
      <c r="K3426" s="10"/>
      <c r="L3426" s="10">
        <v>20201118</v>
      </c>
      <c r="M3426" s="36" t="str">
        <f t="shared" si="53"/>
        <v>19710410</v>
      </c>
    </row>
    <row r="3427" s="1" customFormat="1" spans="1:13">
      <c r="A3427" s="2">
        <v>4271</v>
      </c>
      <c r="B3427" s="9" t="s">
        <v>8515</v>
      </c>
      <c r="C3427" s="9" t="s">
        <v>8739</v>
      </c>
      <c r="D3427" s="9" t="s">
        <v>8740</v>
      </c>
      <c r="E3427" s="5" t="s">
        <v>15</v>
      </c>
      <c r="F3427" s="5">
        <v>2020</v>
      </c>
      <c r="G3427" s="9" t="s">
        <v>2480</v>
      </c>
      <c r="H3427" s="9">
        <v>200</v>
      </c>
      <c r="I3427" s="9">
        <v>200</v>
      </c>
      <c r="J3427" s="9"/>
      <c r="K3427" s="9"/>
      <c r="L3427" s="10">
        <v>20201118</v>
      </c>
      <c r="M3427" s="36" t="str">
        <f t="shared" si="53"/>
        <v>19710413</v>
      </c>
    </row>
    <row r="3428" s="1" customFormat="1" spans="1:13">
      <c r="A3428" s="2">
        <v>4659</v>
      </c>
      <c r="B3428" s="6" t="s">
        <v>9015</v>
      </c>
      <c r="C3428" s="6" t="s">
        <v>9482</v>
      </c>
      <c r="D3428" s="6" t="s">
        <v>9483</v>
      </c>
      <c r="E3428" s="6">
        <v>2020</v>
      </c>
      <c r="F3428" s="6">
        <v>2020</v>
      </c>
      <c r="G3428" s="6" t="s">
        <v>16</v>
      </c>
      <c r="H3428" s="6">
        <v>200</v>
      </c>
      <c r="I3428" s="6">
        <v>200</v>
      </c>
      <c r="J3428" s="6"/>
      <c r="K3428" s="6"/>
      <c r="L3428" s="10">
        <v>20201118</v>
      </c>
      <c r="M3428" s="36" t="str">
        <f t="shared" si="53"/>
        <v>19710413</v>
      </c>
    </row>
    <row r="3429" s="1" customFormat="1" spans="1:13">
      <c r="A3429" s="2">
        <v>110</v>
      </c>
      <c r="B3429" s="3" t="s">
        <v>12</v>
      </c>
      <c r="C3429" s="6" t="s">
        <v>236</v>
      </c>
      <c r="D3429" s="6" t="s">
        <v>237</v>
      </c>
      <c r="E3429" s="3" t="s">
        <v>15</v>
      </c>
      <c r="F3429" s="3" t="s">
        <v>15</v>
      </c>
      <c r="G3429" s="3" t="s">
        <v>189</v>
      </c>
      <c r="H3429" s="3">
        <v>200</v>
      </c>
      <c r="I3429" s="3">
        <v>200</v>
      </c>
      <c r="J3429" s="3"/>
      <c r="K3429" s="3"/>
      <c r="L3429" s="10">
        <v>20201118</v>
      </c>
      <c r="M3429" s="36" t="str">
        <f t="shared" si="53"/>
        <v>19710416</v>
      </c>
    </row>
    <row r="3430" s="1" customFormat="1" spans="1:13">
      <c r="A3430" s="2">
        <v>6129</v>
      </c>
      <c r="B3430" s="5" t="s">
        <v>12263</v>
      </c>
      <c r="C3430" s="5" t="s">
        <v>12294</v>
      </c>
      <c r="D3430" s="5" t="s">
        <v>12295</v>
      </c>
      <c r="E3430" s="5" t="s">
        <v>10250</v>
      </c>
      <c r="F3430" s="5">
        <v>2020</v>
      </c>
      <c r="G3430" s="17" t="s">
        <v>3359</v>
      </c>
      <c r="H3430" s="5">
        <v>200</v>
      </c>
      <c r="I3430" s="5">
        <v>200</v>
      </c>
      <c r="J3430" s="5"/>
      <c r="K3430" s="5"/>
      <c r="L3430" s="10">
        <v>20201118</v>
      </c>
      <c r="M3430" s="36" t="str">
        <f t="shared" si="53"/>
        <v>19710419</v>
      </c>
    </row>
    <row r="3431" s="1" customFormat="1" spans="1:13">
      <c r="A3431" s="2">
        <v>6927</v>
      </c>
      <c r="B3431" s="5" t="s">
        <v>13533</v>
      </c>
      <c r="C3431" s="32" t="s">
        <v>13677</v>
      </c>
      <c r="D3431" s="32" t="str">
        <f>"152326197104197140"</f>
        <v>152326197104197140</v>
      </c>
      <c r="E3431" s="5">
        <v>2020</v>
      </c>
      <c r="F3431" s="5">
        <v>2020</v>
      </c>
      <c r="G3431" s="9" t="s">
        <v>2480</v>
      </c>
      <c r="H3431" s="32">
        <v>200</v>
      </c>
      <c r="I3431" s="32">
        <v>200</v>
      </c>
      <c r="J3431" s="62"/>
      <c r="K3431" s="10"/>
      <c r="L3431" s="10">
        <v>20201118</v>
      </c>
      <c r="M3431" s="36" t="str">
        <f t="shared" si="53"/>
        <v>19710419</v>
      </c>
    </row>
    <row r="3432" s="1" customFormat="1" spans="1:13">
      <c r="A3432" s="2">
        <v>358</v>
      </c>
      <c r="B3432" s="14" t="s">
        <v>327</v>
      </c>
      <c r="C3432" s="17" t="s">
        <v>961</v>
      </c>
      <c r="D3432" s="306" t="s">
        <v>962</v>
      </c>
      <c r="E3432" s="5">
        <v>2020</v>
      </c>
      <c r="F3432" s="5">
        <v>2020</v>
      </c>
      <c r="G3432" s="14" t="s">
        <v>16</v>
      </c>
      <c r="H3432" s="17">
        <v>200</v>
      </c>
      <c r="I3432" s="17">
        <v>200</v>
      </c>
      <c r="J3432" s="17"/>
      <c r="K3432" s="10"/>
      <c r="L3432" s="14" t="s">
        <v>330</v>
      </c>
      <c r="M3432" s="36" t="str">
        <f t="shared" si="53"/>
        <v>19710420</v>
      </c>
    </row>
    <row r="3433" s="1" customFormat="1" spans="1:13">
      <c r="A3433" s="2">
        <v>5804</v>
      </c>
      <c r="B3433" s="30" t="s">
        <v>11090</v>
      </c>
      <c r="C3433" s="30" t="s">
        <v>11677</v>
      </c>
      <c r="D3433" s="30" t="s">
        <v>11678</v>
      </c>
      <c r="E3433" s="5" t="s">
        <v>15</v>
      </c>
      <c r="F3433" s="5" t="s">
        <v>10250</v>
      </c>
      <c r="G3433" s="6" t="s">
        <v>16</v>
      </c>
      <c r="H3433" s="32">
        <v>200</v>
      </c>
      <c r="I3433" s="32">
        <v>200</v>
      </c>
      <c r="J3433" s="6"/>
      <c r="K3433" s="48"/>
      <c r="L3433" s="10">
        <v>20201118</v>
      </c>
      <c r="M3433" s="36" t="str">
        <f t="shared" si="53"/>
        <v>19710420</v>
      </c>
    </row>
    <row r="3434" s="1" customFormat="1" spans="1:13">
      <c r="A3434" s="2">
        <v>6441</v>
      </c>
      <c r="B3434" s="5" t="s">
        <v>12263</v>
      </c>
      <c r="C3434" s="5" t="s">
        <v>12887</v>
      </c>
      <c r="D3434" s="5" t="s">
        <v>12888</v>
      </c>
      <c r="E3434" s="5" t="s">
        <v>10250</v>
      </c>
      <c r="F3434" s="5">
        <v>2020</v>
      </c>
      <c r="G3434" s="17" t="s">
        <v>3359</v>
      </c>
      <c r="H3434" s="5">
        <v>1000</v>
      </c>
      <c r="I3434" s="5">
        <v>1000</v>
      </c>
      <c r="J3434" s="5"/>
      <c r="K3434" s="5"/>
      <c r="L3434" s="10">
        <v>20201118</v>
      </c>
      <c r="M3434" s="36" t="str">
        <f t="shared" si="53"/>
        <v>19710421</v>
      </c>
    </row>
    <row r="3435" s="1" customFormat="1" spans="1:13">
      <c r="A3435" s="2">
        <v>6483</v>
      </c>
      <c r="B3435" s="5" t="s">
        <v>12263</v>
      </c>
      <c r="C3435" s="5" t="s">
        <v>12969</v>
      </c>
      <c r="D3435" s="5" t="s">
        <v>12970</v>
      </c>
      <c r="E3435" s="5" t="s">
        <v>292</v>
      </c>
      <c r="F3435" s="5">
        <v>2020</v>
      </c>
      <c r="G3435" s="5" t="s">
        <v>295</v>
      </c>
      <c r="H3435" s="5">
        <v>500</v>
      </c>
      <c r="I3435" s="5">
        <v>2500</v>
      </c>
      <c r="J3435" s="5"/>
      <c r="K3435" s="5"/>
      <c r="L3435" s="10">
        <v>20201118</v>
      </c>
      <c r="M3435" s="36" t="str">
        <f t="shared" si="53"/>
        <v>19710424</v>
      </c>
    </row>
    <row r="3436" s="1" customFormat="1" spans="1:13">
      <c r="A3436" s="2">
        <v>108</v>
      </c>
      <c r="B3436" s="3" t="s">
        <v>12</v>
      </c>
      <c r="C3436" s="6" t="s">
        <v>232</v>
      </c>
      <c r="D3436" s="6" t="s">
        <v>233</v>
      </c>
      <c r="E3436" s="3" t="s">
        <v>15</v>
      </c>
      <c r="F3436" s="3" t="s">
        <v>15</v>
      </c>
      <c r="G3436" s="3" t="s">
        <v>189</v>
      </c>
      <c r="H3436" s="3">
        <v>200</v>
      </c>
      <c r="I3436" s="3">
        <v>200</v>
      </c>
      <c r="J3436" s="3"/>
      <c r="K3436" s="3"/>
      <c r="L3436" s="10">
        <v>20201118</v>
      </c>
      <c r="M3436" s="36" t="str">
        <f t="shared" si="53"/>
        <v>19710426</v>
      </c>
    </row>
    <row r="3437" s="1" customFormat="1" spans="1:13">
      <c r="A3437" s="2">
        <v>1934</v>
      </c>
      <c r="B3437" s="5" t="s">
        <v>4189</v>
      </c>
      <c r="C3437" s="16" t="s">
        <v>4428</v>
      </c>
      <c r="D3437" s="16" t="s">
        <v>4429</v>
      </c>
      <c r="E3437" s="5" t="s">
        <v>15</v>
      </c>
      <c r="F3437" s="5" t="s">
        <v>15</v>
      </c>
      <c r="G3437" s="5" t="s">
        <v>3359</v>
      </c>
      <c r="H3437" s="16">
        <v>200</v>
      </c>
      <c r="I3437" s="16">
        <v>200</v>
      </c>
      <c r="J3437" s="5"/>
      <c r="K3437" s="10"/>
      <c r="L3437" s="10">
        <v>20201118</v>
      </c>
      <c r="M3437" s="36" t="str">
        <f t="shared" si="53"/>
        <v>19710428</v>
      </c>
    </row>
    <row r="3438" s="1" customFormat="1" spans="1:13">
      <c r="A3438" s="2">
        <v>1622</v>
      </c>
      <c r="B3438" s="5" t="s">
        <v>3381</v>
      </c>
      <c r="C3438" s="9" t="s">
        <v>3808</v>
      </c>
      <c r="D3438" s="9" t="s">
        <v>3809</v>
      </c>
      <c r="E3438" s="5">
        <v>2020</v>
      </c>
      <c r="F3438" s="5">
        <v>2020</v>
      </c>
      <c r="G3438" s="14" t="s">
        <v>16</v>
      </c>
      <c r="H3438" s="6">
        <v>200</v>
      </c>
      <c r="I3438" s="6">
        <v>200</v>
      </c>
      <c r="J3438" s="5"/>
      <c r="K3438" s="13"/>
      <c r="L3438" s="10">
        <v>20201118</v>
      </c>
      <c r="M3438" s="36" t="str">
        <f t="shared" si="53"/>
        <v>19710501</v>
      </c>
    </row>
    <row r="3439" s="1" customFormat="1" ht="14.25" spans="1:13">
      <c r="A3439" s="2">
        <v>5047</v>
      </c>
      <c r="B3439" s="13" t="s">
        <v>9954</v>
      </c>
      <c r="C3439" s="13" t="s">
        <v>10227</v>
      </c>
      <c r="D3439" s="307" t="s">
        <v>10228</v>
      </c>
      <c r="E3439" s="13">
        <v>2019</v>
      </c>
      <c r="F3439" s="10">
        <v>2020</v>
      </c>
      <c r="G3439" s="10" t="s">
        <v>289</v>
      </c>
      <c r="H3439" s="13">
        <v>200</v>
      </c>
      <c r="I3439" s="13">
        <v>400</v>
      </c>
      <c r="J3439" s="10"/>
      <c r="K3439" s="10"/>
      <c r="L3439" s="10">
        <v>20201224</v>
      </c>
      <c r="M3439" s="36" t="str">
        <f t="shared" si="53"/>
        <v>19710501</v>
      </c>
    </row>
    <row r="3440" s="1" customFormat="1" ht="14.25" spans="1:13">
      <c r="A3440" s="2">
        <v>7711</v>
      </c>
      <c r="B3440" s="5" t="s">
        <v>14875</v>
      </c>
      <c r="C3440" s="51" t="s">
        <v>14954</v>
      </c>
      <c r="D3440" s="24" t="str">
        <f>"152326197105027119"</f>
        <v>152326197105027119</v>
      </c>
      <c r="E3440" s="6" t="s">
        <v>15</v>
      </c>
      <c r="F3440" s="6">
        <v>2020</v>
      </c>
      <c r="G3440" s="24" t="s">
        <v>14877</v>
      </c>
      <c r="H3440" s="6">
        <v>200</v>
      </c>
      <c r="I3440" s="6">
        <v>200</v>
      </c>
      <c r="J3440" s="6"/>
      <c r="K3440" s="10"/>
      <c r="L3440" s="10">
        <v>20201118</v>
      </c>
      <c r="M3440" s="36" t="str">
        <f t="shared" si="53"/>
        <v>19710502</v>
      </c>
    </row>
    <row r="3441" s="1" customFormat="1" ht="14.25" spans="1:13">
      <c r="A3441" s="2">
        <v>7713</v>
      </c>
      <c r="B3441" s="5" t="s">
        <v>14875</v>
      </c>
      <c r="C3441" s="51" t="s">
        <v>14957</v>
      </c>
      <c r="D3441" s="24" t="str">
        <f>"152326197105027127"</f>
        <v>152326197105027127</v>
      </c>
      <c r="E3441" s="6" t="s">
        <v>15</v>
      </c>
      <c r="F3441" s="6">
        <v>2020</v>
      </c>
      <c r="G3441" s="24" t="s">
        <v>14877</v>
      </c>
      <c r="H3441" s="6">
        <v>200</v>
      </c>
      <c r="I3441" s="6">
        <v>200</v>
      </c>
      <c r="J3441" s="6"/>
      <c r="K3441" s="10"/>
      <c r="L3441" s="10">
        <v>20201118</v>
      </c>
      <c r="M3441" s="36" t="str">
        <f t="shared" si="53"/>
        <v>19710502</v>
      </c>
    </row>
    <row r="3442" s="1" customFormat="1" spans="1:13">
      <c r="A3442" s="2">
        <v>1081</v>
      </c>
      <c r="B3442" s="5" t="s">
        <v>2469</v>
      </c>
      <c r="C3442" s="9" t="s">
        <v>2752</v>
      </c>
      <c r="D3442" s="9" t="s">
        <v>2753</v>
      </c>
      <c r="E3442" s="5">
        <v>2020</v>
      </c>
      <c r="F3442" s="5">
        <v>2020</v>
      </c>
      <c r="G3442" s="9" t="s">
        <v>2480</v>
      </c>
      <c r="H3442" s="9">
        <v>200</v>
      </c>
      <c r="I3442" s="9">
        <v>200</v>
      </c>
      <c r="J3442" s="5"/>
      <c r="K3442" s="5"/>
      <c r="L3442" s="10">
        <v>20201118</v>
      </c>
      <c r="M3442" s="36" t="str">
        <f t="shared" si="53"/>
        <v>19710504</v>
      </c>
    </row>
    <row r="3443" s="1" customFormat="1" spans="1:13">
      <c r="A3443" s="2">
        <v>2444</v>
      </c>
      <c r="B3443" s="5" t="s">
        <v>5328</v>
      </c>
      <c r="C3443" s="16" t="s">
        <v>5427</v>
      </c>
      <c r="D3443" s="16" t="s">
        <v>5428</v>
      </c>
      <c r="E3443" s="5" t="s">
        <v>15</v>
      </c>
      <c r="F3443" s="5" t="s">
        <v>15</v>
      </c>
      <c r="G3443" s="14" t="s">
        <v>16</v>
      </c>
      <c r="H3443" s="6">
        <v>200</v>
      </c>
      <c r="I3443" s="6">
        <v>200</v>
      </c>
      <c r="J3443" s="5"/>
      <c r="K3443" s="5"/>
      <c r="L3443" s="10">
        <v>20201118</v>
      </c>
      <c r="M3443" s="36" t="str">
        <f t="shared" si="53"/>
        <v>19710504</v>
      </c>
    </row>
    <row r="3444" s="1" customFormat="1" spans="1:13">
      <c r="A3444" s="2">
        <v>4272</v>
      </c>
      <c r="B3444" s="9" t="s">
        <v>8515</v>
      </c>
      <c r="C3444" s="9" t="s">
        <v>8741</v>
      </c>
      <c r="D3444" s="9" t="s">
        <v>8742</v>
      </c>
      <c r="E3444" s="5" t="s">
        <v>15</v>
      </c>
      <c r="F3444" s="5">
        <v>2020</v>
      </c>
      <c r="G3444" s="9" t="s">
        <v>2480</v>
      </c>
      <c r="H3444" s="9">
        <v>300</v>
      </c>
      <c r="I3444" s="9">
        <v>300</v>
      </c>
      <c r="J3444" s="9"/>
      <c r="K3444" s="9"/>
      <c r="L3444" s="10">
        <v>20201118</v>
      </c>
      <c r="M3444" s="36" t="str">
        <f t="shared" si="53"/>
        <v>19710504</v>
      </c>
    </row>
    <row r="3445" s="1" customFormat="1" spans="1:13">
      <c r="A3445" s="2">
        <v>425</v>
      </c>
      <c r="B3445" s="29" t="s">
        <v>1040</v>
      </c>
      <c r="C3445" s="29" t="s">
        <v>1126</v>
      </c>
      <c r="D3445" s="29" t="s">
        <v>1127</v>
      </c>
      <c r="E3445" s="30">
        <v>2020</v>
      </c>
      <c r="F3445" s="30">
        <v>2020</v>
      </c>
      <c r="G3445" s="29" t="s">
        <v>16</v>
      </c>
      <c r="H3445" s="29">
        <v>200</v>
      </c>
      <c r="I3445" s="29">
        <v>200</v>
      </c>
      <c r="J3445" s="29"/>
      <c r="K3445" s="47"/>
      <c r="L3445" s="14" t="s">
        <v>330</v>
      </c>
      <c r="M3445" s="36" t="str">
        <f t="shared" si="53"/>
        <v>19710505</v>
      </c>
    </row>
    <row r="3446" s="1" customFormat="1" spans="1:13">
      <c r="A3446" s="2">
        <v>1780</v>
      </c>
      <c r="B3446" s="5" t="s">
        <v>3381</v>
      </c>
      <c r="C3446" s="9" t="s">
        <v>4122</v>
      </c>
      <c r="D3446" s="9" t="s">
        <v>4123</v>
      </c>
      <c r="E3446" s="5">
        <v>2016</v>
      </c>
      <c r="F3446" s="5">
        <v>2020</v>
      </c>
      <c r="G3446" s="14" t="s">
        <v>289</v>
      </c>
      <c r="H3446" s="18">
        <v>200</v>
      </c>
      <c r="I3446" s="6">
        <v>1000</v>
      </c>
      <c r="J3446" s="5"/>
      <c r="K3446" s="13"/>
      <c r="L3446" s="10">
        <v>20201118</v>
      </c>
      <c r="M3446" s="36" t="str">
        <f t="shared" si="53"/>
        <v>19710505</v>
      </c>
    </row>
    <row r="3447" s="1" customFormat="1" spans="1:13">
      <c r="A3447" s="2">
        <v>4681</v>
      </c>
      <c r="B3447" s="6" t="s">
        <v>9015</v>
      </c>
      <c r="C3447" s="6" t="s">
        <v>9525</v>
      </c>
      <c r="D3447" s="6" t="s">
        <v>9526</v>
      </c>
      <c r="E3447" s="6">
        <v>2020</v>
      </c>
      <c r="F3447" s="6">
        <v>2020</v>
      </c>
      <c r="G3447" s="6" t="s">
        <v>16</v>
      </c>
      <c r="H3447" s="6">
        <v>200</v>
      </c>
      <c r="I3447" s="6">
        <v>200</v>
      </c>
      <c r="J3447" s="6"/>
      <c r="K3447" s="6"/>
      <c r="L3447" s="10">
        <v>20201118</v>
      </c>
      <c r="M3447" s="36" t="str">
        <f t="shared" si="53"/>
        <v>19710505</v>
      </c>
    </row>
    <row r="3448" s="1" customFormat="1" spans="1:13">
      <c r="A3448" s="2">
        <v>7977</v>
      </c>
      <c r="B3448" s="5" t="s">
        <v>15086</v>
      </c>
      <c r="C3448" s="6" t="s">
        <v>15249</v>
      </c>
      <c r="D3448" s="6" t="str">
        <f>"152326197105056876"</f>
        <v>152326197105056876</v>
      </c>
      <c r="E3448" s="5" t="s">
        <v>15</v>
      </c>
      <c r="F3448" s="5">
        <v>2020</v>
      </c>
      <c r="G3448" s="5" t="s">
        <v>16</v>
      </c>
      <c r="H3448" s="5">
        <v>200</v>
      </c>
      <c r="I3448" s="5">
        <v>200</v>
      </c>
      <c r="J3448" s="5"/>
      <c r="K3448" s="5"/>
      <c r="L3448" s="10">
        <v>20201118</v>
      </c>
      <c r="M3448" s="36" t="str">
        <f t="shared" si="53"/>
        <v>19710505</v>
      </c>
    </row>
    <row r="3449" s="1" customFormat="1" spans="1:13">
      <c r="A3449" s="2">
        <v>5744</v>
      </c>
      <c r="B3449" s="30" t="s">
        <v>11090</v>
      </c>
      <c r="C3449" s="30" t="s">
        <v>11572</v>
      </c>
      <c r="D3449" s="30" t="s">
        <v>11573</v>
      </c>
      <c r="E3449" s="5" t="s">
        <v>15</v>
      </c>
      <c r="F3449" s="5" t="s">
        <v>10250</v>
      </c>
      <c r="G3449" s="6" t="s">
        <v>16</v>
      </c>
      <c r="H3449" s="32">
        <v>500</v>
      </c>
      <c r="I3449" s="32">
        <v>500</v>
      </c>
      <c r="J3449" s="6"/>
      <c r="K3449" s="48"/>
      <c r="L3449" s="10">
        <v>20201118</v>
      </c>
      <c r="M3449" s="36" t="str">
        <f t="shared" si="53"/>
        <v>19710506</v>
      </c>
    </row>
    <row r="3450" s="1" customFormat="1" spans="1:13">
      <c r="A3450" s="2">
        <v>7526</v>
      </c>
      <c r="B3450" s="5" t="s">
        <v>14402</v>
      </c>
      <c r="C3450" s="5" t="s">
        <v>14663</v>
      </c>
      <c r="D3450" s="5" t="s">
        <v>14664</v>
      </c>
      <c r="E3450" s="5">
        <v>2020</v>
      </c>
      <c r="F3450" s="5">
        <v>2020</v>
      </c>
      <c r="G3450" s="17" t="s">
        <v>16</v>
      </c>
      <c r="H3450" s="5">
        <v>200</v>
      </c>
      <c r="I3450" s="5">
        <v>200</v>
      </c>
      <c r="J3450" s="5"/>
      <c r="K3450" s="10"/>
      <c r="L3450" s="10">
        <v>20201118</v>
      </c>
      <c r="M3450" s="36" t="str">
        <f t="shared" si="53"/>
        <v>19710506</v>
      </c>
    </row>
    <row r="3451" s="1" customFormat="1" spans="1:13">
      <c r="A3451" s="2">
        <v>7534</v>
      </c>
      <c r="B3451" s="5" t="s">
        <v>14402</v>
      </c>
      <c r="C3451" s="5" t="s">
        <v>14677</v>
      </c>
      <c r="D3451" s="5" t="s">
        <v>14678</v>
      </c>
      <c r="E3451" s="5">
        <v>2020</v>
      </c>
      <c r="F3451" s="5">
        <v>2020</v>
      </c>
      <c r="G3451" s="17" t="s">
        <v>16</v>
      </c>
      <c r="H3451" s="5">
        <v>200</v>
      </c>
      <c r="I3451" s="5">
        <v>200</v>
      </c>
      <c r="J3451" s="5"/>
      <c r="K3451" s="10"/>
      <c r="L3451" s="10">
        <v>20201118</v>
      </c>
      <c r="M3451" s="36" t="str">
        <f t="shared" si="53"/>
        <v>19710507</v>
      </c>
    </row>
    <row r="3452" s="1" customFormat="1" spans="1:13">
      <c r="A3452" s="2">
        <v>3212</v>
      </c>
      <c r="B3452" s="3" t="s">
        <v>6671</v>
      </c>
      <c r="C3452" s="9" t="s">
        <v>6931</v>
      </c>
      <c r="D3452" s="9" t="s">
        <v>6932</v>
      </c>
      <c r="E3452" s="3" t="s">
        <v>15</v>
      </c>
      <c r="F3452" s="3" t="s">
        <v>15</v>
      </c>
      <c r="G3452" s="6" t="s">
        <v>3359</v>
      </c>
      <c r="H3452" s="9">
        <v>200</v>
      </c>
      <c r="I3452" s="9">
        <v>200</v>
      </c>
      <c r="J3452" s="6"/>
      <c r="K3452" s="5"/>
      <c r="L3452" s="10">
        <v>20201118</v>
      </c>
      <c r="M3452" s="36" t="str">
        <f t="shared" si="53"/>
        <v>19710509</v>
      </c>
    </row>
    <row r="3453" s="1" customFormat="1" spans="1:13">
      <c r="A3453" s="2">
        <v>3827</v>
      </c>
      <c r="B3453" s="5" t="s">
        <v>7412</v>
      </c>
      <c r="C3453" s="5" t="s">
        <v>7894</v>
      </c>
      <c r="D3453" s="5" t="s">
        <v>7895</v>
      </c>
      <c r="E3453" s="6">
        <v>2020</v>
      </c>
      <c r="F3453" s="6">
        <v>2020</v>
      </c>
      <c r="G3453" s="5" t="s">
        <v>3359</v>
      </c>
      <c r="H3453" s="5">
        <v>200</v>
      </c>
      <c r="I3453" s="5">
        <v>200</v>
      </c>
      <c r="J3453" s="5"/>
      <c r="K3453" s="5"/>
      <c r="L3453" s="10">
        <v>20201118</v>
      </c>
      <c r="M3453" s="36" t="str">
        <f t="shared" si="53"/>
        <v>19710510</v>
      </c>
    </row>
    <row r="3454" s="1" customFormat="1" spans="1:13">
      <c r="A3454" s="2">
        <v>7253</v>
      </c>
      <c r="B3454" s="5" t="s">
        <v>13908</v>
      </c>
      <c r="C3454" s="5" t="s">
        <v>14148</v>
      </c>
      <c r="D3454" s="5" t="s">
        <v>14149</v>
      </c>
      <c r="E3454" s="5" t="s">
        <v>15</v>
      </c>
      <c r="F3454" s="5" t="s">
        <v>15</v>
      </c>
      <c r="G3454" s="14" t="s">
        <v>16</v>
      </c>
      <c r="H3454" s="17">
        <v>200</v>
      </c>
      <c r="I3454" s="17">
        <v>200</v>
      </c>
      <c r="J3454" s="5"/>
      <c r="K3454" s="10"/>
      <c r="L3454" s="10">
        <v>20201118</v>
      </c>
      <c r="M3454" s="36" t="str">
        <f t="shared" si="53"/>
        <v>19710510</v>
      </c>
    </row>
    <row r="3455" s="1" customFormat="1" spans="1:13">
      <c r="A3455" s="2">
        <v>6930</v>
      </c>
      <c r="B3455" s="5" t="s">
        <v>13533</v>
      </c>
      <c r="C3455" s="32" t="s">
        <v>13680</v>
      </c>
      <c r="D3455" s="32" t="str">
        <f>"152326197105117114"</f>
        <v>152326197105117114</v>
      </c>
      <c r="E3455" s="5">
        <v>2020</v>
      </c>
      <c r="F3455" s="5">
        <v>2020</v>
      </c>
      <c r="G3455" s="9" t="s">
        <v>2480</v>
      </c>
      <c r="H3455" s="32">
        <v>200</v>
      </c>
      <c r="I3455" s="32">
        <v>200</v>
      </c>
      <c r="J3455" s="32"/>
      <c r="K3455" s="10"/>
      <c r="L3455" s="10">
        <v>20201118</v>
      </c>
      <c r="M3455" s="36" t="str">
        <f t="shared" si="53"/>
        <v>19710511</v>
      </c>
    </row>
    <row r="3456" s="1" customFormat="1" spans="1:13">
      <c r="A3456" s="2">
        <v>542</v>
      </c>
      <c r="B3456" s="29" t="s">
        <v>1040</v>
      </c>
      <c r="C3456" s="29" t="s">
        <v>1361</v>
      </c>
      <c r="D3456" s="29" t="s">
        <v>1362</v>
      </c>
      <c r="E3456" s="30">
        <v>2020</v>
      </c>
      <c r="F3456" s="30">
        <v>2020</v>
      </c>
      <c r="G3456" s="29" t="s">
        <v>16</v>
      </c>
      <c r="H3456" s="29">
        <v>200</v>
      </c>
      <c r="I3456" s="29">
        <v>200</v>
      </c>
      <c r="J3456" s="29"/>
      <c r="K3456" s="47"/>
      <c r="L3456" s="2" t="s">
        <v>330</v>
      </c>
      <c r="M3456" s="36" t="str">
        <f t="shared" si="53"/>
        <v>19710512</v>
      </c>
    </row>
    <row r="3457" s="1" customFormat="1" ht="14.25" spans="1:13">
      <c r="A3457" s="2">
        <v>3059</v>
      </c>
      <c r="B3457" s="6" t="s">
        <v>6075</v>
      </c>
      <c r="C3457" s="5" t="s">
        <v>6640</v>
      </c>
      <c r="D3457" s="26" t="s">
        <v>6641</v>
      </c>
      <c r="E3457" s="5" t="s">
        <v>288</v>
      </c>
      <c r="F3457" s="5">
        <v>2020</v>
      </c>
      <c r="G3457" s="6" t="s">
        <v>6642</v>
      </c>
      <c r="H3457" s="6">
        <v>200</v>
      </c>
      <c r="I3457" s="6">
        <v>800</v>
      </c>
      <c r="J3457" s="6"/>
      <c r="K3457" s="10"/>
      <c r="L3457" s="10">
        <v>20201118</v>
      </c>
      <c r="M3457" s="36" t="str">
        <f t="shared" si="53"/>
        <v>19710513</v>
      </c>
    </row>
    <row r="3458" s="1" customFormat="1" spans="1:13">
      <c r="A3458" s="2">
        <v>6270</v>
      </c>
      <c r="B3458" s="5" t="s">
        <v>12263</v>
      </c>
      <c r="C3458" s="5" t="s">
        <v>12562</v>
      </c>
      <c r="D3458" s="5" t="s">
        <v>12563</v>
      </c>
      <c r="E3458" s="5" t="s">
        <v>10250</v>
      </c>
      <c r="F3458" s="5">
        <v>2020</v>
      </c>
      <c r="G3458" s="17" t="s">
        <v>3359</v>
      </c>
      <c r="H3458" s="5">
        <v>200</v>
      </c>
      <c r="I3458" s="5">
        <v>200</v>
      </c>
      <c r="J3458" s="5"/>
      <c r="K3458" s="5"/>
      <c r="L3458" s="10">
        <v>20201118</v>
      </c>
      <c r="M3458" s="36" t="str">
        <f t="shared" ref="M3458:M3521" si="54">MID(D3458,7,8)</f>
        <v>19710515</v>
      </c>
    </row>
    <row r="3459" s="1" customFormat="1" spans="1:13">
      <c r="A3459" s="2">
        <v>7250</v>
      </c>
      <c r="B3459" s="5" t="s">
        <v>13908</v>
      </c>
      <c r="C3459" s="5" t="s">
        <v>14143</v>
      </c>
      <c r="D3459" s="5" t="s">
        <v>14144</v>
      </c>
      <c r="E3459" s="5" t="s">
        <v>15</v>
      </c>
      <c r="F3459" s="5" t="s">
        <v>15</v>
      </c>
      <c r="G3459" s="14" t="s">
        <v>16</v>
      </c>
      <c r="H3459" s="17">
        <v>200</v>
      </c>
      <c r="I3459" s="17">
        <v>200</v>
      </c>
      <c r="J3459" s="5"/>
      <c r="K3459" s="10"/>
      <c r="L3459" s="10">
        <v>20201118</v>
      </c>
      <c r="M3459" s="36" t="str">
        <f t="shared" si="54"/>
        <v>19710515</v>
      </c>
    </row>
    <row r="3460" s="1" customFormat="1" spans="1:13">
      <c r="A3460" s="2">
        <v>7979</v>
      </c>
      <c r="B3460" s="5" t="s">
        <v>15086</v>
      </c>
      <c r="C3460" s="6" t="s">
        <v>15252</v>
      </c>
      <c r="D3460" s="6" t="s">
        <v>15253</v>
      </c>
      <c r="E3460" s="5" t="s">
        <v>15</v>
      </c>
      <c r="F3460" s="5">
        <v>2020</v>
      </c>
      <c r="G3460" s="5" t="s">
        <v>16</v>
      </c>
      <c r="H3460" s="5">
        <v>200</v>
      </c>
      <c r="I3460" s="5">
        <v>200</v>
      </c>
      <c r="J3460" s="5"/>
      <c r="K3460" s="5"/>
      <c r="L3460" s="10">
        <v>20201118</v>
      </c>
      <c r="M3460" s="36" t="str">
        <f t="shared" si="54"/>
        <v>19710517</v>
      </c>
    </row>
    <row r="3461" s="1" customFormat="1" spans="1:13">
      <c r="A3461" s="2">
        <v>3201</v>
      </c>
      <c r="B3461" s="3" t="s">
        <v>6671</v>
      </c>
      <c r="C3461" s="9" t="s">
        <v>3498</v>
      </c>
      <c r="D3461" s="9" t="s">
        <v>6912</v>
      </c>
      <c r="E3461" s="3" t="s">
        <v>15</v>
      </c>
      <c r="F3461" s="3" t="s">
        <v>15</v>
      </c>
      <c r="G3461" s="6" t="s">
        <v>3359</v>
      </c>
      <c r="H3461" s="9">
        <v>200</v>
      </c>
      <c r="I3461" s="9">
        <v>200</v>
      </c>
      <c r="J3461" s="6"/>
      <c r="K3461" s="5"/>
      <c r="L3461" s="10">
        <v>20201118</v>
      </c>
      <c r="M3461" s="36" t="str">
        <f t="shared" si="54"/>
        <v>19710520</v>
      </c>
    </row>
    <row r="3462" s="1" customFormat="1" ht="14.25" spans="1:13">
      <c r="A3462" s="2">
        <v>5321</v>
      </c>
      <c r="B3462" s="33" t="s">
        <v>10535</v>
      </c>
      <c r="C3462" s="34" t="s">
        <v>10755</v>
      </c>
      <c r="D3462" s="34" t="s">
        <v>10756</v>
      </c>
      <c r="E3462" s="35">
        <v>2020</v>
      </c>
      <c r="F3462" s="35">
        <v>2020</v>
      </c>
      <c r="G3462" s="35" t="s">
        <v>16</v>
      </c>
      <c r="H3462" s="34">
        <v>200</v>
      </c>
      <c r="I3462" s="34">
        <v>200</v>
      </c>
      <c r="J3462" s="49"/>
      <c r="K3462" s="10"/>
      <c r="L3462" s="10">
        <v>20201118</v>
      </c>
      <c r="M3462" s="36" t="str">
        <f t="shared" si="54"/>
        <v>19710520</v>
      </c>
    </row>
    <row r="3463" s="1" customFormat="1" spans="1:13">
      <c r="A3463" s="2">
        <v>5857</v>
      </c>
      <c r="B3463" s="30" t="s">
        <v>11090</v>
      </c>
      <c r="C3463" s="30" t="s">
        <v>11775</v>
      </c>
      <c r="D3463" s="30" t="s">
        <v>11776</v>
      </c>
      <c r="E3463" s="5" t="s">
        <v>15</v>
      </c>
      <c r="F3463" s="5" t="s">
        <v>10250</v>
      </c>
      <c r="G3463" s="6" t="s">
        <v>16</v>
      </c>
      <c r="H3463" s="32">
        <v>500</v>
      </c>
      <c r="I3463" s="32">
        <v>500</v>
      </c>
      <c r="J3463" s="6"/>
      <c r="K3463" s="48"/>
      <c r="L3463" s="10">
        <v>20201118</v>
      </c>
      <c r="M3463" s="36" t="str">
        <f t="shared" si="54"/>
        <v>19710520</v>
      </c>
    </row>
    <row r="3464" s="1" customFormat="1" spans="1:13">
      <c r="A3464" s="2">
        <v>2625</v>
      </c>
      <c r="B3464" s="32" t="s">
        <v>5602</v>
      </c>
      <c r="C3464" s="9" t="s">
        <v>5784</v>
      </c>
      <c r="D3464" s="9" t="s">
        <v>5785</v>
      </c>
      <c r="E3464" s="32">
        <v>2020</v>
      </c>
      <c r="F3464" s="32">
        <v>2020</v>
      </c>
      <c r="G3464" s="32" t="s">
        <v>16</v>
      </c>
      <c r="H3464" s="9">
        <v>200</v>
      </c>
      <c r="I3464" s="9">
        <v>200</v>
      </c>
      <c r="J3464" s="32"/>
      <c r="K3464" s="52"/>
      <c r="L3464" s="10">
        <v>20201118</v>
      </c>
      <c r="M3464" s="36" t="str">
        <f t="shared" si="54"/>
        <v>19710523</v>
      </c>
    </row>
    <row r="3465" s="1" customFormat="1" spans="1:13">
      <c r="A3465" s="2">
        <v>4569</v>
      </c>
      <c r="B3465" s="6" t="s">
        <v>9015</v>
      </c>
      <c r="C3465" s="6" t="s">
        <v>9315</v>
      </c>
      <c r="D3465" s="6" t="s">
        <v>9316</v>
      </c>
      <c r="E3465" s="6">
        <v>2020</v>
      </c>
      <c r="F3465" s="6">
        <v>2020</v>
      </c>
      <c r="G3465" s="6" t="s">
        <v>16</v>
      </c>
      <c r="H3465" s="6">
        <v>200</v>
      </c>
      <c r="I3465" s="6">
        <v>200</v>
      </c>
      <c r="J3465" s="6"/>
      <c r="K3465" s="6"/>
      <c r="L3465" s="10">
        <v>20201118</v>
      </c>
      <c r="M3465" s="36" t="str">
        <f t="shared" si="54"/>
        <v>19710523</v>
      </c>
    </row>
    <row r="3466" s="1" customFormat="1" spans="1:13">
      <c r="A3466" s="2">
        <v>4936</v>
      </c>
      <c r="B3466" s="6" t="s">
        <v>9954</v>
      </c>
      <c r="C3466" s="60" t="s">
        <v>10013</v>
      </c>
      <c r="D3466" s="60" t="s">
        <v>10014</v>
      </c>
      <c r="E3466" s="5" t="s">
        <v>15</v>
      </c>
      <c r="F3466" s="5" t="s">
        <v>15</v>
      </c>
      <c r="G3466" s="14" t="s">
        <v>16</v>
      </c>
      <c r="H3466" s="6">
        <v>200</v>
      </c>
      <c r="I3466" s="6">
        <v>200</v>
      </c>
      <c r="J3466" s="6" t="s">
        <v>108</v>
      </c>
      <c r="K3466" s="6"/>
      <c r="L3466" s="10">
        <v>20201118</v>
      </c>
      <c r="M3466" s="36" t="str">
        <f t="shared" si="54"/>
        <v>19710523</v>
      </c>
    </row>
    <row r="3467" s="1" customFormat="1" spans="1:13">
      <c r="A3467" s="2">
        <v>6625</v>
      </c>
      <c r="B3467" s="5" t="s">
        <v>13027</v>
      </c>
      <c r="C3467" s="15" t="s">
        <v>13234</v>
      </c>
      <c r="D3467" s="15" t="s">
        <v>13235</v>
      </c>
      <c r="E3467" s="5">
        <v>2020</v>
      </c>
      <c r="F3467" s="5">
        <v>2020</v>
      </c>
      <c r="G3467" s="14" t="s">
        <v>16</v>
      </c>
      <c r="H3467" s="15">
        <v>200</v>
      </c>
      <c r="I3467" s="15">
        <v>200</v>
      </c>
      <c r="J3467" s="5"/>
      <c r="K3467" s="10"/>
      <c r="L3467" s="10">
        <v>20201118</v>
      </c>
      <c r="M3467" s="36" t="str">
        <f t="shared" si="54"/>
        <v>19710523</v>
      </c>
    </row>
    <row r="3468" s="1" customFormat="1" spans="1:13">
      <c r="A3468" s="2">
        <v>2626</v>
      </c>
      <c r="B3468" s="32" t="s">
        <v>5602</v>
      </c>
      <c r="C3468" s="9" t="s">
        <v>5786</v>
      </c>
      <c r="D3468" s="9" t="s">
        <v>5787</v>
      </c>
      <c r="E3468" s="32">
        <v>2020</v>
      </c>
      <c r="F3468" s="32">
        <v>2020</v>
      </c>
      <c r="G3468" s="32" t="s">
        <v>16</v>
      </c>
      <c r="H3468" s="9">
        <v>200</v>
      </c>
      <c r="I3468" s="9">
        <v>200</v>
      </c>
      <c r="J3468" s="32"/>
      <c r="K3468" s="52"/>
      <c r="L3468" s="10">
        <v>20201118</v>
      </c>
      <c r="M3468" s="36" t="str">
        <f t="shared" si="54"/>
        <v>19710524</v>
      </c>
    </row>
    <row r="3469" s="1" customFormat="1" spans="1:13">
      <c r="A3469" s="2">
        <v>6626</v>
      </c>
      <c r="B3469" s="5" t="s">
        <v>13027</v>
      </c>
      <c r="C3469" s="15" t="s">
        <v>1158</v>
      </c>
      <c r="D3469" s="15" t="s">
        <v>13236</v>
      </c>
      <c r="E3469" s="5">
        <v>2020</v>
      </c>
      <c r="F3469" s="5">
        <v>2020</v>
      </c>
      <c r="G3469" s="14" t="s">
        <v>16</v>
      </c>
      <c r="H3469" s="15">
        <v>200</v>
      </c>
      <c r="I3469" s="15">
        <v>200</v>
      </c>
      <c r="J3469" s="5"/>
      <c r="K3469" s="10"/>
      <c r="L3469" s="10">
        <v>20201118</v>
      </c>
      <c r="M3469" s="36" t="str">
        <f t="shared" si="54"/>
        <v>19710525</v>
      </c>
    </row>
    <row r="3470" s="1" customFormat="1" spans="1:13">
      <c r="A3470" s="2">
        <v>2252</v>
      </c>
      <c r="B3470" s="9" t="s">
        <v>4837</v>
      </c>
      <c r="C3470" s="9" t="s">
        <v>5050</v>
      </c>
      <c r="D3470" s="9" t="s">
        <v>5051</v>
      </c>
      <c r="E3470" s="6" t="s">
        <v>15</v>
      </c>
      <c r="F3470" s="6">
        <v>2020</v>
      </c>
      <c r="G3470" s="9" t="s">
        <v>2480</v>
      </c>
      <c r="H3470" s="9">
        <v>200</v>
      </c>
      <c r="I3470" s="9">
        <v>200</v>
      </c>
      <c r="J3470" s="6"/>
      <c r="K3470" s="10"/>
      <c r="L3470" s="10">
        <v>20201118</v>
      </c>
      <c r="M3470" s="36" t="str">
        <f t="shared" si="54"/>
        <v>19710528</v>
      </c>
    </row>
    <row r="3471" s="1" customFormat="1" spans="1:13">
      <c r="A3471" s="2">
        <v>1623</v>
      </c>
      <c r="B3471" s="5" t="s">
        <v>3381</v>
      </c>
      <c r="C3471" s="9" t="s">
        <v>149</v>
      </c>
      <c r="D3471" s="9" t="s">
        <v>3810</v>
      </c>
      <c r="E3471" s="5">
        <v>2020</v>
      </c>
      <c r="F3471" s="5">
        <v>2020</v>
      </c>
      <c r="G3471" s="14" t="s">
        <v>16</v>
      </c>
      <c r="H3471" s="6">
        <v>200</v>
      </c>
      <c r="I3471" s="6">
        <v>200</v>
      </c>
      <c r="J3471" s="5"/>
      <c r="K3471" s="13"/>
      <c r="L3471" s="10">
        <v>20201118</v>
      </c>
      <c r="M3471" s="36" t="str">
        <f t="shared" si="54"/>
        <v>19710601</v>
      </c>
    </row>
    <row r="3472" s="1" customFormat="1" spans="1:13">
      <c r="A3472" s="2">
        <v>3828</v>
      </c>
      <c r="B3472" s="5" t="s">
        <v>7412</v>
      </c>
      <c r="C3472" s="5" t="s">
        <v>678</v>
      </c>
      <c r="D3472" s="5" t="s">
        <v>7896</v>
      </c>
      <c r="E3472" s="6">
        <v>2020</v>
      </c>
      <c r="F3472" s="6">
        <v>2020</v>
      </c>
      <c r="G3472" s="5" t="s">
        <v>3359</v>
      </c>
      <c r="H3472" s="5">
        <v>200</v>
      </c>
      <c r="I3472" s="5">
        <v>200</v>
      </c>
      <c r="J3472" s="5"/>
      <c r="K3472" s="5"/>
      <c r="L3472" s="10">
        <v>20201118</v>
      </c>
      <c r="M3472" s="36" t="str">
        <f t="shared" si="54"/>
        <v>19710603</v>
      </c>
    </row>
    <row r="3473" s="1" customFormat="1" spans="1:13">
      <c r="A3473" s="2">
        <v>8223</v>
      </c>
      <c r="B3473" s="5" t="s">
        <v>15406</v>
      </c>
      <c r="C3473" s="6" t="s">
        <v>15627</v>
      </c>
      <c r="D3473" s="293" t="s">
        <v>15628</v>
      </c>
      <c r="E3473" s="5" t="s">
        <v>288</v>
      </c>
      <c r="F3473" s="5">
        <v>2020</v>
      </c>
      <c r="G3473" s="5" t="s">
        <v>289</v>
      </c>
      <c r="H3473" s="6">
        <v>200</v>
      </c>
      <c r="I3473" s="6">
        <v>800</v>
      </c>
      <c r="J3473" s="5"/>
      <c r="K3473" s="10"/>
      <c r="L3473" s="10">
        <v>20201118</v>
      </c>
      <c r="M3473" s="36" t="str">
        <f t="shared" si="54"/>
        <v>19710603</v>
      </c>
    </row>
    <row r="3474" s="1" customFormat="1" spans="1:13">
      <c r="A3474" s="2">
        <v>7081</v>
      </c>
      <c r="B3474" s="5" t="s">
        <v>13533</v>
      </c>
      <c r="C3474" s="32" t="s">
        <v>13833</v>
      </c>
      <c r="D3474" s="304" t="s">
        <v>13834</v>
      </c>
      <c r="E3474" s="5">
        <v>2020</v>
      </c>
      <c r="F3474" s="5">
        <v>2020</v>
      </c>
      <c r="G3474" s="9" t="s">
        <v>2480</v>
      </c>
      <c r="H3474" s="32">
        <v>200</v>
      </c>
      <c r="I3474" s="32">
        <v>200</v>
      </c>
      <c r="J3474" s="62"/>
      <c r="K3474" s="10"/>
      <c r="L3474" s="10">
        <v>20201118</v>
      </c>
      <c r="M3474" s="36" t="str">
        <f t="shared" si="54"/>
        <v>19710604</v>
      </c>
    </row>
    <row r="3475" s="1" customFormat="1" spans="1:13">
      <c r="A3475" s="2">
        <v>3829</v>
      </c>
      <c r="B3475" s="5" t="s">
        <v>7412</v>
      </c>
      <c r="C3475" s="5" t="s">
        <v>7897</v>
      </c>
      <c r="D3475" s="5" t="s">
        <v>7898</v>
      </c>
      <c r="E3475" s="6">
        <v>2020</v>
      </c>
      <c r="F3475" s="6">
        <v>2020</v>
      </c>
      <c r="G3475" s="5" t="s">
        <v>3359</v>
      </c>
      <c r="H3475" s="5">
        <v>200</v>
      </c>
      <c r="I3475" s="5">
        <v>200</v>
      </c>
      <c r="J3475" s="5"/>
      <c r="K3475" s="5"/>
      <c r="L3475" s="10">
        <v>20201118</v>
      </c>
      <c r="M3475" s="36" t="str">
        <f t="shared" si="54"/>
        <v>19710605</v>
      </c>
    </row>
    <row r="3476" s="1" customFormat="1" spans="1:13">
      <c r="A3476" s="2">
        <v>3830</v>
      </c>
      <c r="B3476" s="5" t="s">
        <v>7412</v>
      </c>
      <c r="C3476" s="5" t="s">
        <v>7899</v>
      </c>
      <c r="D3476" s="5" t="s">
        <v>7900</v>
      </c>
      <c r="E3476" s="6">
        <v>2020</v>
      </c>
      <c r="F3476" s="6">
        <v>2020</v>
      </c>
      <c r="G3476" s="5" t="s">
        <v>3359</v>
      </c>
      <c r="H3476" s="5">
        <v>200</v>
      </c>
      <c r="I3476" s="5">
        <v>200</v>
      </c>
      <c r="J3476" s="5"/>
      <c r="K3476" s="5"/>
      <c r="L3476" s="10">
        <v>20201118</v>
      </c>
      <c r="M3476" s="36" t="str">
        <f t="shared" si="54"/>
        <v>19710605</v>
      </c>
    </row>
    <row r="3477" s="1" customFormat="1" spans="1:13">
      <c r="A3477" s="2">
        <v>682</v>
      </c>
      <c r="B3477" s="29" t="s">
        <v>1040</v>
      </c>
      <c r="C3477" s="47" t="s">
        <v>1698</v>
      </c>
      <c r="D3477" s="47" t="s">
        <v>1699</v>
      </c>
      <c r="E3477" s="30">
        <v>2020</v>
      </c>
      <c r="F3477" s="30">
        <v>2020</v>
      </c>
      <c r="G3477" s="29" t="s">
        <v>16</v>
      </c>
      <c r="H3477" s="29">
        <v>200</v>
      </c>
      <c r="I3477" s="29">
        <v>200</v>
      </c>
      <c r="J3477" s="29"/>
      <c r="K3477" s="54"/>
      <c r="L3477" s="14" t="s">
        <v>330</v>
      </c>
      <c r="M3477" s="36" t="str">
        <f t="shared" si="54"/>
        <v>19710606</v>
      </c>
    </row>
    <row r="3478" s="1" customFormat="1" spans="1:13">
      <c r="A3478" s="2">
        <v>1915</v>
      </c>
      <c r="B3478" s="5" t="s">
        <v>4189</v>
      </c>
      <c r="C3478" s="16" t="s">
        <v>4390</v>
      </c>
      <c r="D3478" s="16" t="s">
        <v>4391</v>
      </c>
      <c r="E3478" s="5" t="s">
        <v>15</v>
      </c>
      <c r="F3478" s="5" t="s">
        <v>15</v>
      </c>
      <c r="G3478" s="5" t="s">
        <v>3359</v>
      </c>
      <c r="H3478" s="16">
        <v>200</v>
      </c>
      <c r="I3478" s="16">
        <v>200</v>
      </c>
      <c r="J3478" s="5"/>
      <c r="K3478" s="10"/>
      <c r="L3478" s="10">
        <v>20201118</v>
      </c>
      <c r="M3478" s="36" t="str">
        <f t="shared" si="54"/>
        <v>19710606</v>
      </c>
    </row>
    <row r="3479" s="1" customFormat="1" spans="1:13">
      <c r="A3479" s="2">
        <v>6627</v>
      </c>
      <c r="B3479" s="5" t="s">
        <v>13027</v>
      </c>
      <c r="C3479" s="15" t="s">
        <v>13237</v>
      </c>
      <c r="D3479" s="15" t="s">
        <v>13238</v>
      </c>
      <c r="E3479" s="5">
        <v>2020</v>
      </c>
      <c r="F3479" s="5">
        <v>2020</v>
      </c>
      <c r="G3479" s="14" t="s">
        <v>16</v>
      </c>
      <c r="H3479" s="15">
        <v>200</v>
      </c>
      <c r="I3479" s="15">
        <v>200</v>
      </c>
      <c r="J3479" s="5"/>
      <c r="K3479" s="10"/>
      <c r="L3479" s="10">
        <v>20201118</v>
      </c>
      <c r="M3479" s="36" t="str">
        <f t="shared" si="54"/>
        <v>19710606</v>
      </c>
    </row>
    <row r="3480" s="1" customFormat="1" ht="14.25" spans="1:13">
      <c r="A3480" s="2">
        <v>7719</v>
      </c>
      <c r="B3480" s="5" t="s">
        <v>14875</v>
      </c>
      <c r="C3480" s="51" t="s">
        <v>14963</v>
      </c>
      <c r="D3480" s="24" t="str">
        <f>"152326197106067112"</f>
        <v>152326197106067112</v>
      </c>
      <c r="E3480" s="6" t="s">
        <v>15</v>
      </c>
      <c r="F3480" s="6">
        <v>2020</v>
      </c>
      <c r="G3480" s="24" t="s">
        <v>14877</v>
      </c>
      <c r="H3480" s="6">
        <v>200</v>
      </c>
      <c r="I3480" s="6">
        <v>200</v>
      </c>
      <c r="J3480" s="6"/>
      <c r="K3480" s="10"/>
      <c r="L3480" s="10">
        <v>20201118</v>
      </c>
      <c r="M3480" s="36" t="str">
        <f t="shared" si="54"/>
        <v>19710606</v>
      </c>
    </row>
    <row r="3481" s="1" customFormat="1" spans="1:13">
      <c r="A3481" s="2">
        <v>5883</v>
      </c>
      <c r="B3481" s="30" t="s">
        <v>11090</v>
      </c>
      <c r="C3481" s="30" t="s">
        <v>11820</v>
      </c>
      <c r="D3481" s="30" t="s">
        <v>11821</v>
      </c>
      <c r="E3481" s="5" t="s">
        <v>15</v>
      </c>
      <c r="F3481" s="5" t="s">
        <v>10250</v>
      </c>
      <c r="G3481" s="6" t="s">
        <v>16</v>
      </c>
      <c r="H3481" s="32">
        <v>500</v>
      </c>
      <c r="I3481" s="32">
        <v>500</v>
      </c>
      <c r="J3481" s="6"/>
      <c r="K3481" s="48"/>
      <c r="L3481" s="10">
        <v>20201118</v>
      </c>
      <c r="M3481" s="36" t="str">
        <f t="shared" si="54"/>
        <v>19710609</v>
      </c>
    </row>
    <row r="3482" s="1" customFormat="1" spans="1:13">
      <c r="A3482" s="2">
        <v>1082</v>
      </c>
      <c r="B3482" s="5" t="s">
        <v>2469</v>
      </c>
      <c r="C3482" s="9" t="s">
        <v>2754</v>
      </c>
      <c r="D3482" s="9" t="s">
        <v>2755</v>
      </c>
      <c r="E3482" s="5">
        <v>2020</v>
      </c>
      <c r="F3482" s="5">
        <v>2020</v>
      </c>
      <c r="G3482" s="9" t="s">
        <v>2480</v>
      </c>
      <c r="H3482" s="9">
        <v>200</v>
      </c>
      <c r="I3482" s="9">
        <v>200</v>
      </c>
      <c r="J3482" s="5"/>
      <c r="K3482" s="5"/>
      <c r="L3482" s="10">
        <v>20201118</v>
      </c>
      <c r="M3482" s="36" t="str">
        <f t="shared" si="54"/>
        <v>19710614</v>
      </c>
    </row>
    <row r="3483" s="1" customFormat="1" spans="1:13">
      <c r="A3483" s="2">
        <v>6306</v>
      </c>
      <c r="B3483" s="5" t="s">
        <v>12263</v>
      </c>
      <c r="C3483" s="5" t="s">
        <v>12630</v>
      </c>
      <c r="D3483" s="5" t="s">
        <v>12631</v>
      </c>
      <c r="E3483" s="5" t="s">
        <v>10250</v>
      </c>
      <c r="F3483" s="5">
        <v>2020</v>
      </c>
      <c r="G3483" s="17" t="s">
        <v>3359</v>
      </c>
      <c r="H3483" s="5">
        <v>200</v>
      </c>
      <c r="I3483" s="5">
        <v>200</v>
      </c>
      <c r="J3483" s="5"/>
      <c r="K3483" s="5"/>
      <c r="L3483" s="10">
        <v>20201118</v>
      </c>
      <c r="M3483" s="36" t="str">
        <f t="shared" si="54"/>
        <v>19710615</v>
      </c>
    </row>
    <row r="3484" s="1" customFormat="1" spans="1:13">
      <c r="A3484" s="2">
        <v>507</v>
      </c>
      <c r="B3484" s="29" t="s">
        <v>1040</v>
      </c>
      <c r="C3484" s="29" t="s">
        <v>1291</v>
      </c>
      <c r="D3484" s="29" t="s">
        <v>1292</v>
      </c>
      <c r="E3484" s="30">
        <v>2020</v>
      </c>
      <c r="F3484" s="30">
        <v>2020</v>
      </c>
      <c r="G3484" s="29" t="s">
        <v>16</v>
      </c>
      <c r="H3484" s="29">
        <v>200</v>
      </c>
      <c r="I3484" s="29">
        <v>200</v>
      </c>
      <c r="J3484" s="29"/>
      <c r="K3484" s="47"/>
      <c r="L3484" s="14" t="s">
        <v>330</v>
      </c>
      <c r="M3484" s="36" t="str">
        <f t="shared" si="54"/>
        <v>19710616</v>
      </c>
    </row>
    <row r="3485" s="1" customFormat="1" spans="1:13">
      <c r="A3485" s="2">
        <v>6128</v>
      </c>
      <c r="B3485" s="5" t="s">
        <v>12263</v>
      </c>
      <c r="C3485" s="5" t="s">
        <v>12292</v>
      </c>
      <c r="D3485" s="5" t="s">
        <v>12293</v>
      </c>
      <c r="E3485" s="5" t="s">
        <v>10250</v>
      </c>
      <c r="F3485" s="5">
        <v>2020</v>
      </c>
      <c r="G3485" s="17" t="s">
        <v>3359</v>
      </c>
      <c r="H3485" s="5">
        <v>200</v>
      </c>
      <c r="I3485" s="5">
        <v>200</v>
      </c>
      <c r="J3485" s="5"/>
      <c r="K3485" s="5"/>
      <c r="L3485" s="10">
        <v>20201118</v>
      </c>
      <c r="M3485" s="36" t="str">
        <f t="shared" si="54"/>
        <v>19710616</v>
      </c>
    </row>
    <row r="3486" s="1" customFormat="1" spans="1:13">
      <c r="A3486" s="2">
        <v>7980</v>
      </c>
      <c r="B3486" s="5" t="s">
        <v>15086</v>
      </c>
      <c r="C3486" s="6" t="s">
        <v>4083</v>
      </c>
      <c r="D3486" s="6" t="str">
        <f>"152326197106167121"</f>
        <v>152326197106167121</v>
      </c>
      <c r="E3486" s="5" t="s">
        <v>15</v>
      </c>
      <c r="F3486" s="5">
        <v>2020</v>
      </c>
      <c r="G3486" s="5" t="s">
        <v>16</v>
      </c>
      <c r="H3486" s="5">
        <v>200</v>
      </c>
      <c r="I3486" s="5">
        <v>200</v>
      </c>
      <c r="J3486" s="5"/>
      <c r="K3486" s="5"/>
      <c r="L3486" s="10">
        <v>20201118</v>
      </c>
      <c r="M3486" s="36" t="str">
        <f t="shared" si="54"/>
        <v>19710616</v>
      </c>
    </row>
    <row r="3487" s="1" customFormat="1" spans="1:13">
      <c r="A3487" s="2">
        <v>150</v>
      </c>
      <c r="B3487" s="14" t="s">
        <v>327</v>
      </c>
      <c r="C3487" s="14" t="s">
        <v>338</v>
      </c>
      <c r="D3487" s="14" t="s">
        <v>339</v>
      </c>
      <c r="E3487" s="5">
        <v>2020</v>
      </c>
      <c r="F3487" s="5">
        <v>2020</v>
      </c>
      <c r="G3487" s="14" t="s">
        <v>16</v>
      </c>
      <c r="H3487" s="14">
        <v>200</v>
      </c>
      <c r="I3487" s="14">
        <v>200</v>
      </c>
      <c r="J3487" s="14"/>
      <c r="K3487" s="10"/>
      <c r="L3487" s="14" t="s">
        <v>330</v>
      </c>
      <c r="M3487" s="36" t="str">
        <f t="shared" si="54"/>
        <v>19710620</v>
      </c>
    </row>
    <row r="3488" s="1" customFormat="1" spans="1:13">
      <c r="A3488" s="2">
        <v>244</v>
      </c>
      <c r="B3488" s="14" t="s">
        <v>327</v>
      </c>
      <c r="C3488" s="14" t="s">
        <v>618</v>
      </c>
      <c r="D3488" s="14" t="s">
        <v>619</v>
      </c>
      <c r="E3488" s="5">
        <v>2020</v>
      </c>
      <c r="F3488" s="5">
        <v>2020</v>
      </c>
      <c r="G3488" s="14" t="s">
        <v>16</v>
      </c>
      <c r="H3488" s="14">
        <v>200</v>
      </c>
      <c r="I3488" s="14">
        <v>200</v>
      </c>
      <c r="J3488" s="17"/>
      <c r="K3488" s="10"/>
      <c r="L3488" s="14" t="s">
        <v>330</v>
      </c>
      <c r="M3488" s="36" t="str">
        <f t="shared" si="54"/>
        <v>19710625</v>
      </c>
    </row>
    <row r="3489" s="1" customFormat="1" spans="1:13">
      <c r="A3489" s="2">
        <v>3109</v>
      </c>
      <c r="B3489" s="3" t="s">
        <v>6671</v>
      </c>
      <c r="C3489" s="9" t="s">
        <v>1130</v>
      </c>
      <c r="D3489" s="9" t="s">
        <v>6740</v>
      </c>
      <c r="E3489" s="3" t="s">
        <v>15</v>
      </c>
      <c r="F3489" s="3" t="s">
        <v>15</v>
      </c>
      <c r="G3489" s="6" t="s">
        <v>3359</v>
      </c>
      <c r="H3489" s="9">
        <v>200</v>
      </c>
      <c r="I3489" s="9">
        <v>200</v>
      </c>
      <c r="J3489" s="6"/>
      <c r="K3489" s="5"/>
      <c r="L3489" s="10">
        <v>20201118</v>
      </c>
      <c r="M3489" s="36" t="str">
        <f t="shared" si="54"/>
        <v>19710625</v>
      </c>
    </row>
    <row r="3490" s="1" customFormat="1" spans="1:13">
      <c r="A3490" s="2">
        <v>7982</v>
      </c>
      <c r="B3490" s="5" t="s">
        <v>15086</v>
      </c>
      <c r="C3490" s="6" t="s">
        <v>15255</v>
      </c>
      <c r="D3490" s="6" t="s">
        <v>15256</v>
      </c>
      <c r="E3490" s="5" t="s">
        <v>15</v>
      </c>
      <c r="F3490" s="5">
        <v>2020</v>
      </c>
      <c r="G3490" s="5" t="s">
        <v>16</v>
      </c>
      <c r="H3490" s="5">
        <v>200</v>
      </c>
      <c r="I3490" s="5">
        <v>200</v>
      </c>
      <c r="J3490" s="5"/>
      <c r="K3490" s="5"/>
      <c r="L3490" s="10">
        <v>20201118</v>
      </c>
      <c r="M3490" s="36" t="str">
        <f t="shared" si="54"/>
        <v>19710625</v>
      </c>
    </row>
    <row r="3491" s="1" customFormat="1" ht="14.25" spans="1:13">
      <c r="A3491" s="2">
        <v>2941</v>
      </c>
      <c r="B3491" s="6" t="s">
        <v>6075</v>
      </c>
      <c r="C3491" s="25" t="s">
        <v>6409</v>
      </c>
      <c r="D3491" s="26" t="s">
        <v>6410</v>
      </c>
      <c r="E3491" s="5" t="s">
        <v>15</v>
      </c>
      <c r="F3491" s="5">
        <v>2020</v>
      </c>
      <c r="G3491" s="6" t="s">
        <v>16</v>
      </c>
      <c r="H3491" s="6">
        <v>200</v>
      </c>
      <c r="I3491" s="6">
        <v>200</v>
      </c>
      <c r="J3491" s="6"/>
      <c r="K3491" s="10"/>
      <c r="L3491" s="10">
        <v>20201118</v>
      </c>
      <c r="M3491" s="36" t="str">
        <f t="shared" si="54"/>
        <v>19710701</v>
      </c>
    </row>
    <row r="3492" s="1" customFormat="1" ht="14.25" spans="1:13">
      <c r="A3492" s="2">
        <v>2961</v>
      </c>
      <c r="B3492" s="6" t="s">
        <v>6075</v>
      </c>
      <c r="C3492" s="25" t="s">
        <v>6448</v>
      </c>
      <c r="D3492" s="26" t="s">
        <v>6449</v>
      </c>
      <c r="E3492" s="5" t="s">
        <v>15</v>
      </c>
      <c r="F3492" s="5">
        <v>2020</v>
      </c>
      <c r="G3492" s="6" t="s">
        <v>16</v>
      </c>
      <c r="H3492" s="6">
        <v>200</v>
      </c>
      <c r="I3492" s="6">
        <v>200</v>
      </c>
      <c r="J3492" s="6"/>
      <c r="K3492" s="10"/>
      <c r="L3492" s="10">
        <v>20201118</v>
      </c>
      <c r="M3492" s="36" t="str">
        <f t="shared" si="54"/>
        <v>19710701</v>
      </c>
    </row>
    <row r="3493" s="1" customFormat="1" spans="1:13">
      <c r="A3493" s="2">
        <v>5653</v>
      </c>
      <c r="B3493" s="30" t="s">
        <v>11090</v>
      </c>
      <c r="C3493" s="30" t="s">
        <v>11393</v>
      </c>
      <c r="D3493" s="30" t="s">
        <v>11394</v>
      </c>
      <c r="E3493" s="5" t="s">
        <v>15</v>
      </c>
      <c r="F3493" s="5" t="s">
        <v>10250</v>
      </c>
      <c r="G3493" s="6" t="s">
        <v>16</v>
      </c>
      <c r="H3493" s="32">
        <v>200</v>
      </c>
      <c r="I3493" s="32">
        <v>200</v>
      </c>
      <c r="J3493" s="6"/>
      <c r="K3493" s="48"/>
      <c r="L3493" s="10">
        <v>20201118</v>
      </c>
      <c r="M3493" s="36" t="str">
        <f t="shared" si="54"/>
        <v>19710701</v>
      </c>
    </row>
    <row r="3494" s="1" customFormat="1" spans="1:13">
      <c r="A3494" s="2">
        <v>3831</v>
      </c>
      <c r="B3494" s="5" t="s">
        <v>7412</v>
      </c>
      <c r="C3494" s="5" t="s">
        <v>2218</v>
      </c>
      <c r="D3494" s="5" t="s">
        <v>7901</v>
      </c>
      <c r="E3494" s="6">
        <v>2020</v>
      </c>
      <c r="F3494" s="6">
        <v>2020</v>
      </c>
      <c r="G3494" s="5" t="s">
        <v>3359</v>
      </c>
      <c r="H3494" s="5">
        <v>200</v>
      </c>
      <c r="I3494" s="5">
        <v>200</v>
      </c>
      <c r="J3494" s="5" t="s">
        <v>1242</v>
      </c>
      <c r="K3494" s="5"/>
      <c r="L3494" s="10">
        <v>20201118</v>
      </c>
      <c r="M3494" s="36" t="str">
        <f t="shared" si="54"/>
        <v>19710702</v>
      </c>
    </row>
    <row r="3495" s="1" customFormat="1" spans="1:13">
      <c r="A3495" s="2">
        <v>4468</v>
      </c>
      <c r="B3495" s="6" t="s">
        <v>9015</v>
      </c>
      <c r="C3495" s="6" t="s">
        <v>9120</v>
      </c>
      <c r="D3495" s="6" t="s">
        <v>9121</v>
      </c>
      <c r="E3495" s="6">
        <v>2020</v>
      </c>
      <c r="F3495" s="6">
        <v>2020</v>
      </c>
      <c r="G3495" s="6" t="s">
        <v>16</v>
      </c>
      <c r="H3495" s="6">
        <v>200</v>
      </c>
      <c r="I3495" s="6">
        <v>200</v>
      </c>
      <c r="J3495" s="6"/>
      <c r="K3495" s="6"/>
      <c r="L3495" s="10">
        <v>20201118</v>
      </c>
      <c r="M3495" s="36" t="str">
        <f t="shared" si="54"/>
        <v>19710702</v>
      </c>
    </row>
    <row r="3496" s="1" customFormat="1" spans="1:13">
      <c r="A3496" s="2">
        <v>7084</v>
      </c>
      <c r="B3496" s="5" t="s">
        <v>13533</v>
      </c>
      <c r="C3496" s="32" t="s">
        <v>13839</v>
      </c>
      <c r="D3496" s="304" t="s">
        <v>13840</v>
      </c>
      <c r="E3496" s="5">
        <v>2020</v>
      </c>
      <c r="F3496" s="5">
        <v>2020</v>
      </c>
      <c r="G3496" s="9" t="s">
        <v>2480</v>
      </c>
      <c r="H3496" s="32">
        <v>200</v>
      </c>
      <c r="I3496" s="32">
        <v>200</v>
      </c>
      <c r="J3496" s="32"/>
      <c r="K3496" s="10"/>
      <c r="L3496" s="10">
        <v>20201118</v>
      </c>
      <c r="M3496" s="36" t="str">
        <f t="shared" si="54"/>
        <v>19710702</v>
      </c>
    </row>
    <row r="3497" s="1" customFormat="1" spans="1:13">
      <c r="A3497" s="2">
        <v>5122</v>
      </c>
      <c r="B3497" s="6" t="s">
        <v>10242</v>
      </c>
      <c r="C3497" s="9" t="s">
        <v>10373</v>
      </c>
      <c r="D3497" s="9" t="s">
        <v>10374</v>
      </c>
      <c r="E3497" s="5" t="s">
        <v>10250</v>
      </c>
      <c r="F3497" s="5">
        <v>2020</v>
      </c>
      <c r="G3497" s="6" t="s">
        <v>16</v>
      </c>
      <c r="H3497" s="6">
        <v>200</v>
      </c>
      <c r="I3497" s="6">
        <v>200</v>
      </c>
      <c r="J3497" s="6"/>
      <c r="K3497" s="5"/>
      <c r="L3497" s="10">
        <v>20201118</v>
      </c>
      <c r="M3497" s="36" t="str">
        <f t="shared" si="54"/>
        <v>19710706</v>
      </c>
    </row>
    <row r="3498" s="1" customFormat="1" ht="14.25" spans="1:13">
      <c r="A3498" s="2">
        <v>5322</v>
      </c>
      <c r="B3498" s="33" t="s">
        <v>10535</v>
      </c>
      <c r="C3498" s="34" t="s">
        <v>10757</v>
      </c>
      <c r="D3498" s="34" t="s">
        <v>10758</v>
      </c>
      <c r="E3498" s="35">
        <v>2020</v>
      </c>
      <c r="F3498" s="35">
        <v>2020</v>
      </c>
      <c r="G3498" s="35" t="s">
        <v>16</v>
      </c>
      <c r="H3498" s="34">
        <v>200</v>
      </c>
      <c r="I3498" s="34">
        <v>200</v>
      </c>
      <c r="J3498" s="49" t="s">
        <v>108</v>
      </c>
      <c r="K3498" s="10"/>
      <c r="L3498" s="10">
        <v>20201118</v>
      </c>
      <c r="M3498" s="36" t="str">
        <f t="shared" si="54"/>
        <v>19710709</v>
      </c>
    </row>
    <row r="3499" s="1" customFormat="1" spans="1:13">
      <c r="A3499" s="2">
        <v>2253</v>
      </c>
      <c r="B3499" s="9" t="s">
        <v>4837</v>
      </c>
      <c r="C3499" s="9" t="s">
        <v>5052</v>
      </c>
      <c r="D3499" s="9" t="s">
        <v>5053</v>
      </c>
      <c r="E3499" s="6" t="s">
        <v>15</v>
      </c>
      <c r="F3499" s="6">
        <v>2020</v>
      </c>
      <c r="G3499" s="9" t="s">
        <v>2480</v>
      </c>
      <c r="H3499" s="9">
        <v>200</v>
      </c>
      <c r="I3499" s="9">
        <v>200</v>
      </c>
      <c r="J3499" s="6"/>
      <c r="K3499" s="10"/>
      <c r="L3499" s="10">
        <v>20201118</v>
      </c>
      <c r="M3499" s="36" t="str">
        <f t="shared" si="54"/>
        <v>19710710</v>
      </c>
    </row>
    <row r="3500" s="1" customFormat="1" spans="1:13">
      <c r="A3500" s="2">
        <v>5877</v>
      </c>
      <c r="B3500" s="30" t="s">
        <v>11090</v>
      </c>
      <c r="C3500" s="30" t="s">
        <v>11811</v>
      </c>
      <c r="D3500" s="30" t="s">
        <v>11812</v>
      </c>
      <c r="E3500" s="5" t="s">
        <v>15</v>
      </c>
      <c r="F3500" s="5" t="s">
        <v>10250</v>
      </c>
      <c r="G3500" s="6" t="s">
        <v>16</v>
      </c>
      <c r="H3500" s="32">
        <v>200</v>
      </c>
      <c r="I3500" s="32">
        <v>200</v>
      </c>
      <c r="J3500" s="6"/>
      <c r="K3500" s="48"/>
      <c r="L3500" s="10">
        <v>20201118</v>
      </c>
      <c r="M3500" s="36" t="str">
        <f t="shared" si="54"/>
        <v>19710710</v>
      </c>
    </row>
    <row r="3501" s="1" customFormat="1" spans="1:13">
      <c r="A3501" s="2">
        <v>7226</v>
      </c>
      <c r="B3501" s="5" t="s">
        <v>13908</v>
      </c>
      <c r="C3501" s="5" t="s">
        <v>14097</v>
      </c>
      <c r="D3501" s="5" t="s">
        <v>14098</v>
      </c>
      <c r="E3501" s="5" t="s">
        <v>15</v>
      </c>
      <c r="F3501" s="5" t="s">
        <v>15</v>
      </c>
      <c r="G3501" s="14" t="s">
        <v>16</v>
      </c>
      <c r="H3501" s="17">
        <v>200</v>
      </c>
      <c r="I3501" s="17">
        <v>200</v>
      </c>
      <c r="J3501" s="5"/>
      <c r="K3501" s="10"/>
      <c r="L3501" s="10">
        <v>20201118</v>
      </c>
      <c r="M3501" s="36" t="str">
        <f t="shared" si="54"/>
        <v>19710710</v>
      </c>
    </row>
    <row r="3502" s="1" customFormat="1" spans="1:13">
      <c r="A3502" s="2">
        <v>7535</v>
      </c>
      <c r="B3502" s="5" t="s">
        <v>14402</v>
      </c>
      <c r="C3502" s="5" t="s">
        <v>14679</v>
      </c>
      <c r="D3502" s="5" t="s">
        <v>14680</v>
      </c>
      <c r="E3502" s="5">
        <v>2020</v>
      </c>
      <c r="F3502" s="5">
        <v>2020</v>
      </c>
      <c r="G3502" s="17" t="s">
        <v>16</v>
      </c>
      <c r="H3502" s="5">
        <v>200</v>
      </c>
      <c r="I3502" s="5">
        <v>200</v>
      </c>
      <c r="J3502" s="5"/>
      <c r="K3502" s="10"/>
      <c r="L3502" s="10">
        <v>20201118</v>
      </c>
      <c r="M3502" s="36" t="str">
        <f t="shared" si="54"/>
        <v>19710712</v>
      </c>
    </row>
    <row r="3503" s="1" customFormat="1" spans="1:13">
      <c r="A3503" s="2">
        <v>1624</v>
      </c>
      <c r="B3503" s="5" t="s">
        <v>3381</v>
      </c>
      <c r="C3503" s="9" t="s">
        <v>3811</v>
      </c>
      <c r="D3503" s="9" t="s">
        <v>3812</v>
      </c>
      <c r="E3503" s="5">
        <v>2020</v>
      </c>
      <c r="F3503" s="5">
        <v>2020</v>
      </c>
      <c r="G3503" s="14" t="s">
        <v>16</v>
      </c>
      <c r="H3503" s="6">
        <v>200</v>
      </c>
      <c r="I3503" s="6">
        <v>200</v>
      </c>
      <c r="J3503" s="5"/>
      <c r="K3503" s="13"/>
      <c r="L3503" s="10">
        <v>20201118</v>
      </c>
      <c r="M3503" s="36" t="str">
        <f t="shared" si="54"/>
        <v>19710713</v>
      </c>
    </row>
    <row r="3504" s="1" customFormat="1" spans="1:13">
      <c r="A3504" s="2">
        <v>4570</v>
      </c>
      <c r="B3504" s="6" t="s">
        <v>9015</v>
      </c>
      <c r="C3504" s="6" t="s">
        <v>9317</v>
      </c>
      <c r="D3504" s="6" t="s">
        <v>9318</v>
      </c>
      <c r="E3504" s="6">
        <v>2020</v>
      </c>
      <c r="F3504" s="6">
        <v>2020</v>
      </c>
      <c r="G3504" s="6" t="s">
        <v>16</v>
      </c>
      <c r="H3504" s="6">
        <v>200</v>
      </c>
      <c r="I3504" s="6">
        <v>200</v>
      </c>
      <c r="J3504" s="6"/>
      <c r="K3504" s="6"/>
      <c r="L3504" s="10">
        <v>20201118</v>
      </c>
      <c r="M3504" s="36" t="str">
        <f t="shared" si="54"/>
        <v>19710713</v>
      </c>
    </row>
    <row r="3505" s="1" customFormat="1" spans="1:13">
      <c r="A3505" s="2">
        <v>6399</v>
      </c>
      <c r="B3505" s="5" t="s">
        <v>12263</v>
      </c>
      <c r="C3505" s="5" t="s">
        <v>12808</v>
      </c>
      <c r="D3505" s="5" t="s">
        <v>12809</v>
      </c>
      <c r="E3505" s="5" t="s">
        <v>10250</v>
      </c>
      <c r="F3505" s="5">
        <v>2020</v>
      </c>
      <c r="G3505" s="17" t="s">
        <v>3359</v>
      </c>
      <c r="H3505" s="5" t="s">
        <v>311</v>
      </c>
      <c r="I3505" s="5">
        <v>200</v>
      </c>
      <c r="J3505" s="5"/>
      <c r="K3505" s="5"/>
      <c r="L3505" s="10">
        <v>20201118</v>
      </c>
      <c r="M3505" s="36" t="str">
        <f t="shared" si="54"/>
        <v>19710713</v>
      </c>
    </row>
    <row r="3506" s="1" customFormat="1" spans="1:13">
      <c r="A3506" s="2">
        <v>7976</v>
      </c>
      <c r="B3506" s="5" t="s">
        <v>15086</v>
      </c>
      <c r="C3506" s="6" t="s">
        <v>15248</v>
      </c>
      <c r="D3506" s="6" t="str">
        <f>"152326197107146875"</f>
        <v>152326197107146875</v>
      </c>
      <c r="E3506" s="5" t="s">
        <v>15</v>
      </c>
      <c r="F3506" s="5">
        <v>2020</v>
      </c>
      <c r="G3506" s="5" t="s">
        <v>16</v>
      </c>
      <c r="H3506" s="5">
        <v>500</v>
      </c>
      <c r="I3506" s="5">
        <v>500</v>
      </c>
      <c r="J3506" s="5"/>
      <c r="K3506" s="5"/>
      <c r="L3506" s="10">
        <v>20201118</v>
      </c>
      <c r="M3506" s="36" t="str">
        <f t="shared" si="54"/>
        <v>19710714</v>
      </c>
    </row>
    <row r="3507" s="1" customFormat="1" spans="1:13">
      <c r="A3507" s="2">
        <v>8148</v>
      </c>
      <c r="B3507" s="5" t="s">
        <v>15406</v>
      </c>
      <c r="C3507" s="6" t="s">
        <v>7207</v>
      </c>
      <c r="D3507" s="6" t="s">
        <v>15489</v>
      </c>
      <c r="E3507" s="5" t="s">
        <v>15</v>
      </c>
      <c r="F3507" s="5">
        <v>2020</v>
      </c>
      <c r="G3507" s="14" t="s">
        <v>16</v>
      </c>
      <c r="H3507" s="6">
        <v>200</v>
      </c>
      <c r="I3507" s="6">
        <v>200</v>
      </c>
      <c r="J3507" s="5"/>
      <c r="K3507" s="10"/>
      <c r="L3507" s="10">
        <v>20201118</v>
      </c>
      <c r="M3507" s="36" t="str">
        <f t="shared" si="54"/>
        <v>19710718</v>
      </c>
    </row>
    <row r="3508" s="1" customFormat="1" spans="1:13">
      <c r="A3508" s="2">
        <v>1625</v>
      </c>
      <c r="B3508" s="5" t="s">
        <v>3381</v>
      </c>
      <c r="C3508" s="9" t="s">
        <v>3813</v>
      </c>
      <c r="D3508" s="9" t="s">
        <v>3814</v>
      </c>
      <c r="E3508" s="5">
        <v>2020</v>
      </c>
      <c r="F3508" s="5">
        <v>2020</v>
      </c>
      <c r="G3508" s="14" t="s">
        <v>16</v>
      </c>
      <c r="H3508" s="6">
        <v>200</v>
      </c>
      <c r="I3508" s="6">
        <v>200</v>
      </c>
      <c r="J3508" s="5"/>
      <c r="K3508" s="13"/>
      <c r="L3508" s="10">
        <v>20201118</v>
      </c>
      <c r="M3508" s="36" t="str">
        <f t="shared" si="54"/>
        <v>19710719</v>
      </c>
    </row>
    <row r="3509" s="1" customFormat="1" spans="1:13">
      <c r="A3509" s="2">
        <v>3402</v>
      </c>
      <c r="B3509" s="5" t="s">
        <v>3375</v>
      </c>
      <c r="C3509" s="6" t="s">
        <v>7179</v>
      </c>
      <c r="D3509" s="6" t="str">
        <f>"152326197107216896"</f>
        <v>152326197107216896</v>
      </c>
      <c r="E3509" s="5" t="s">
        <v>15</v>
      </c>
      <c r="F3509" s="5">
        <v>2020</v>
      </c>
      <c r="G3509" s="14" t="s">
        <v>16</v>
      </c>
      <c r="H3509" s="17">
        <v>200</v>
      </c>
      <c r="I3509" s="17">
        <v>200</v>
      </c>
      <c r="J3509" s="6"/>
      <c r="K3509" s="10"/>
      <c r="L3509" s="10">
        <v>20201118</v>
      </c>
      <c r="M3509" s="36" t="str">
        <f t="shared" si="54"/>
        <v>19710721</v>
      </c>
    </row>
    <row r="3510" s="1" customFormat="1" spans="1:13">
      <c r="A3510" s="2">
        <v>912</v>
      </c>
      <c r="B3510" s="29" t="s">
        <v>1040</v>
      </c>
      <c r="C3510" s="6" t="s">
        <v>2383</v>
      </c>
      <c r="D3510" s="6" t="s">
        <v>2384</v>
      </c>
      <c r="E3510" s="30">
        <v>2020</v>
      </c>
      <c r="F3510" s="30">
        <v>2020</v>
      </c>
      <c r="G3510" s="29" t="s">
        <v>16</v>
      </c>
      <c r="H3510" s="29">
        <v>200</v>
      </c>
      <c r="I3510" s="29">
        <v>200</v>
      </c>
      <c r="J3510" s="32"/>
      <c r="K3510" s="32"/>
      <c r="L3510" s="2" t="s">
        <v>330</v>
      </c>
      <c r="M3510" s="36" t="str">
        <f t="shared" si="54"/>
        <v>19710722</v>
      </c>
    </row>
    <row r="3511" s="1" customFormat="1" spans="1:13">
      <c r="A3511" s="2">
        <v>3832</v>
      </c>
      <c r="B3511" s="5" t="s">
        <v>7412</v>
      </c>
      <c r="C3511" s="5" t="s">
        <v>7902</v>
      </c>
      <c r="D3511" s="5" t="s">
        <v>7903</v>
      </c>
      <c r="E3511" s="6">
        <v>2020</v>
      </c>
      <c r="F3511" s="6">
        <v>2020</v>
      </c>
      <c r="G3511" s="5" t="s">
        <v>3359</v>
      </c>
      <c r="H3511" s="5">
        <v>200</v>
      </c>
      <c r="I3511" s="5">
        <v>200</v>
      </c>
      <c r="J3511" s="5"/>
      <c r="K3511" s="5"/>
      <c r="L3511" s="10">
        <v>20201118</v>
      </c>
      <c r="M3511" s="36" t="str">
        <f t="shared" si="54"/>
        <v>19710723</v>
      </c>
    </row>
    <row r="3512" s="1" customFormat="1" ht="14.25" spans="1:13">
      <c r="A3512" s="2">
        <v>5323</v>
      </c>
      <c r="B3512" s="33" t="s">
        <v>10535</v>
      </c>
      <c r="C3512" s="34" t="s">
        <v>10759</v>
      </c>
      <c r="D3512" s="34" t="s">
        <v>10760</v>
      </c>
      <c r="E3512" s="35">
        <v>2020</v>
      </c>
      <c r="F3512" s="35">
        <v>2020</v>
      </c>
      <c r="G3512" s="35" t="s">
        <v>16</v>
      </c>
      <c r="H3512" s="34">
        <v>200</v>
      </c>
      <c r="I3512" s="34">
        <v>200</v>
      </c>
      <c r="J3512" s="49"/>
      <c r="K3512" s="10"/>
      <c r="L3512" s="10">
        <v>20201118</v>
      </c>
      <c r="M3512" s="36" t="str">
        <f t="shared" si="54"/>
        <v>19710723</v>
      </c>
    </row>
    <row r="3513" s="1" customFormat="1" spans="1:13">
      <c r="A3513" s="2">
        <v>4634</v>
      </c>
      <c r="B3513" s="6" t="s">
        <v>9015</v>
      </c>
      <c r="C3513" s="6" t="s">
        <v>9435</v>
      </c>
      <c r="D3513" s="6" t="s">
        <v>9436</v>
      </c>
      <c r="E3513" s="6">
        <v>2020</v>
      </c>
      <c r="F3513" s="6">
        <v>2020</v>
      </c>
      <c r="G3513" s="6" t="s">
        <v>16</v>
      </c>
      <c r="H3513" s="6">
        <v>200</v>
      </c>
      <c r="I3513" s="6">
        <v>200</v>
      </c>
      <c r="J3513" s="6"/>
      <c r="K3513" s="6"/>
      <c r="L3513" s="10">
        <v>20201118</v>
      </c>
      <c r="M3513" s="36" t="str">
        <f t="shared" si="54"/>
        <v>19710724</v>
      </c>
    </row>
    <row r="3514" s="1" customFormat="1" ht="14.25" spans="1:13">
      <c r="A3514" s="2">
        <v>7715</v>
      </c>
      <c r="B3514" s="5" t="s">
        <v>14875</v>
      </c>
      <c r="C3514" s="51" t="s">
        <v>14959</v>
      </c>
      <c r="D3514" s="24" t="str">
        <f>"152326197107247123"</f>
        <v>152326197107247123</v>
      </c>
      <c r="E3514" s="6" t="s">
        <v>15</v>
      </c>
      <c r="F3514" s="6">
        <v>2020</v>
      </c>
      <c r="G3514" s="24" t="s">
        <v>14877</v>
      </c>
      <c r="H3514" s="6">
        <v>200</v>
      </c>
      <c r="I3514" s="6">
        <v>200</v>
      </c>
      <c r="J3514" s="6"/>
      <c r="K3514" s="10"/>
      <c r="L3514" s="10">
        <v>20201118</v>
      </c>
      <c r="M3514" s="36" t="str">
        <f t="shared" si="54"/>
        <v>19710724</v>
      </c>
    </row>
    <row r="3515" s="1" customFormat="1" spans="1:13">
      <c r="A3515" s="2">
        <v>2254</v>
      </c>
      <c r="B3515" s="9" t="s">
        <v>4837</v>
      </c>
      <c r="C3515" s="9" t="s">
        <v>5054</v>
      </c>
      <c r="D3515" s="9" t="s">
        <v>5055</v>
      </c>
      <c r="E3515" s="6" t="s">
        <v>15</v>
      </c>
      <c r="F3515" s="6">
        <v>2020</v>
      </c>
      <c r="G3515" s="9" t="s">
        <v>2480</v>
      </c>
      <c r="H3515" s="9">
        <v>200</v>
      </c>
      <c r="I3515" s="9">
        <v>200</v>
      </c>
      <c r="J3515" s="6"/>
      <c r="K3515" s="10"/>
      <c r="L3515" s="10">
        <v>20201118</v>
      </c>
      <c r="M3515" s="36" t="str">
        <f t="shared" si="54"/>
        <v>19710725</v>
      </c>
    </row>
    <row r="3516" s="1" customFormat="1" spans="1:13">
      <c r="A3516" s="2">
        <v>7251</v>
      </c>
      <c r="B3516" s="5" t="s">
        <v>13908</v>
      </c>
      <c r="C3516" s="5" t="s">
        <v>386</v>
      </c>
      <c r="D3516" s="5" t="s">
        <v>14145</v>
      </c>
      <c r="E3516" s="5" t="s">
        <v>15</v>
      </c>
      <c r="F3516" s="5" t="s">
        <v>15</v>
      </c>
      <c r="G3516" s="14" t="s">
        <v>16</v>
      </c>
      <c r="H3516" s="17">
        <v>200</v>
      </c>
      <c r="I3516" s="17">
        <v>200</v>
      </c>
      <c r="J3516" s="5"/>
      <c r="K3516" s="10"/>
      <c r="L3516" s="10">
        <v>20201118</v>
      </c>
      <c r="M3516" s="36" t="str">
        <f t="shared" si="54"/>
        <v>19710726</v>
      </c>
    </row>
    <row r="3517" s="1" customFormat="1" spans="1:13">
      <c r="A3517" s="2">
        <v>3833</v>
      </c>
      <c r="B3517" s="5" t="s">
        <v>7412</v>
      </c>
      <c r="C3517" s="5" t="s">
        <v>7904</v>
      </c>
      <c r="D3517" s="5" t="s">
        <v>7905</v>
      </c>
      <c r="E3517" s="6">
        <v>2020</v>
      </c>
      <c r="F3517" s="6">
        <v>2020</v>
      </c>
      <c r="G3517" s="5" t="s">
        <v>3359</v>
      </c>
      <c r="H3517" s="5">
        <v>200</v>
      </c>
      <c r="I3517" s="5">
        <v>200</v>
      </c>
      <c r="J3517" s="5"/>
      <c r="K3517" s="5"/>
      <c r="L3517" s="10">
        <v>20201118</v>
      </c>
      <c r="M3517" s="36" t="str">
        <f t="shared" si="54"/>
        <v>19710729</v>
      </c>
    </row>
    <row r="3518" s="1" customFormat="1" spans="1:13">
      <c r="A3518" s="2">
        <v>1921</v>
      </c>
      <c r="B3518" s="5" t="s">
        <v>4189</v>
      </c>
      <c r="C3518" s="16" t="s">
        <v>4402</v>
      </c>
      <c r="D3518" s="16" t="s">
        <v>4403</v>
      </c>
      <c r="E3518" s="5" t="s">
        <v>15</v>
      </c>
      <c r="F3518" s="5" t="s">
        <v>15</v>
      </c>
      <c r="G3518" s="5" t="s">
        <v>3359</v>
      </c>
      <c r="H3518" s="16">
        <v>200</v>
      </c>
      <c r="I3518" s="16">
        <v>200</v>
      </c>
      <c r="J3518" s="5"/>
      <c r="K3518" s="10"/>
      <c r="L3518" s="10">
        <v>20201118</v>
      </c>
      <c r="M3518" s="36" t="str">
        <f t="shared" si="54"/>
        <v>19710730</v>
      </c>
    </row>
    <row r="3519" s="1" customFormat="1" spans="1:13">
      <c r="A3519" s="2">
        <v>3406</v>
      </c>
      <c r="B3519" s="5" t="s">
        <v>3375</v>
      </c>
      <c r="C3519" s="6" t="s">
        <v>7184</v>
      </c>
      <c r="D3519" s="6" t="str">
        <f>"152326197108017100"</f>
        <v>152326197108017100</v>
      </c>
      <c r="E3519" s="5" t="s">
        <v>15</v>
      </c>
      <c r="F3519" s="5">
        <v>2020</v>
      </c>
      <c r="G3519" s="14" t="s">
        <v>16</v>
      </c>
      <c r="H3519" s="17">
        <v>200</v>
      </c>
      <c r="I3519" s="17">
        <v>200</v>
      </c>
      <c r="J3519" s="6"/>
      <c r="K3519" s="10"/>
      <c r="L3519" s="10">
        <v>20201118</v>
      </c>
      <c r="M3519" s="36" t="str">
        <f t="shared" si="54"/>
        <v>19710801</v>
      </c>
    </row>
    <row r="3520" s="1" customFormat="1" spans="1:13">
      <c r="A3520" s="2">
        <v>4948</v>
      </c>
      <c r="B3520" s="6" t="s">
        <v>9954</v>
      </c>
      <c r="C3520" s="60" t="s">
        <v>10037</v>
      </c>
      <c r="D3520" s="60" t="s">
        <v>10038</v>
      </c>
      <c r="E3520" s="5" t="s">
        <v>15</v>
      </c>
      <c r="F3520" s="5" t="s">
        <v>15</v>
      </c>
      <c r="G3520" s="14" t="s">
        <v>16</v>
      </c>
      <c r="H3520" s="6">
        <v>200</v>
      </c>
      <c r="I3520" s="6">
        <v>200</v>
      </c>
      <c r="J3520" s="6"/>
      <c r="K3520" s="6"/>
      <c r="L3520" s="10">
        <v>20201118</v>
      </c>
      <c r="M3520" s="36" t="str">
        <f t="shared" si="54"/>
        <v>19710801</v>
      </c>
    </row>
    <row r="3521" s="1" customFormat="1" spans="1:13">
      <c r="A3521" s="2">
        <v>50</v>
      </c>
      <c r="B3521" s="31" t="s">
        <v>12</v>
      </c>
      <c r="C3521" s="17" t="s">
        <v>115</v>
      </c>
      <c r="D3521" s="17" t="s">
        <v>116</v>
      </c>
      <c r="E3521" s="3" t="s">
        <v>15</v>
      </c>
      <c r="F3521" s="3" t="s">
        <v>15</v>
      </c>
      <c r="G3521" s="2" t="s">
        <v>16</v>
      </c>
      <c r="H3521" s="17">
        <v>500</v>
      </c>
      <c r="I3521" s="17">
        <v>500</v>
      </c>
      <c r="J3521" s="17"/>
      <c r="K3521" s="17"/>
      <c r="L3521" s="10">
        <v>20201118</v>
      </c>
      <c r="M3521" s="36" t="str">
        <f t="shared" si="54"/>
        <v>19710802</v>
      </c>
    </row>
    <row r="3522" s="1" customFormat="1" spans="1:13">
      <c r="A3522" s="2">
        <v>3834</v>
      </c>
      <c r="B3522" s="5" t="s">
        <v>7412</v>
      </c>
      <c r="C3522" s="5" t="s">
        <v>7906</v>
      </c>
      <c r="D3522" s="5" t="s">
        <v>7907</v>
      </c>
      <c r="E3522" s="6">
        <v>2020</v>
      </c>
      <c r="F3522" s="6">
        <v>2020</v>
      </c>
      <c r="G3522" s="5" t="s">
        <v>3359</v>
      </c>
      <c r="H3522" s="5">
        <v>200</v>
      </c>
      <c r="I3522" s="5">
        <v>200</v>
      </c>
      <c r="J3522" s="5"/>
      <c r="K3522" s="5"/>
      <c r="L3522" s="10">
        <v>20201118</v>
      </c>
      <c r="M3522" s="36" t="str">
        <f t="shared" ref="M3522:M3585" si="55">MID(D3522,7,8)</f>
        <v>19710802</v>
      </c>
    </row>
    <row r="3523" s="1" customFormat="1" spans="1:13">
      <c r="A3523" s="2">
        <v>3835</v>
      </c>
      <c r="B3523" s="5" t="s">
        <v>7412</v>
      </c>
      <c r="C3523" s="5" t="s">
        <v>7908</v>
      </c>
      <c r="D3523" s="5" t="s">
        <v>7909</v>
      </c>
      <c r="E3523" s="6">
        <v>2020</v>
      </c>
      <c r="F3523" s="6">
        <v>2020</v>
      </c>
      <c r="G3523" s="5" t="s">
        <v>3359</v>
      </c>
      <c r="H3523" s="5">
        <v>200</v>
      </c>
      <c r="I3523" s="5">
        <v>200</v>
      </c>
      <c r="J3523" s="5"/>
      <c r="K3523" s="5"/>
      <c r="L3523" s="10">
        <v>20201118</v>
      </c>
      <c r="M3523" s="36" t="str">
        <f t="shared" si="55"/>
        <v>19710804</v>
      </c>
    </row>
    <row r="3524" s="1" customFormat="1" spans="1:13">
      <c r="A3524" s="2">
        <v>2255</v>
      </c>
      <c r="B3524" s="9" t="s">
        <v>4837</v>
      </c>
      <c r="C3524" s="9" t="s">
        <v>5056</v>
      </c>
      <c r="D3524" s="9" t="s">
        <v>5057</v>
      </c>
      <c r="E3524" s="6" t="s">
        <v>15</v>
      </c>
      <c r="F3524" s="6">
        <v>2020</v>
      </c>
      <c r="G3524" s="9" t="s">
        <v>2480</v>
      </c>
      <c r="H3524" s="9">
        <v>200</v>
      </c>
      <c r="I3524" s="9">
        <v>200</v>
      </c>
      <c r="J3524" s="6"/>
      <c r="K3524" s="10"/>
      <c r="L3524" s="10">
        <v>20201118</v>
      </c>
      <c r="M3524" s="36" t="str">
        <f t="shared" si="55"/>
        <v>19710805</v>
      </c>
    </row>
    <row r="3525" s="1" customFormat="1" spans="1:13">
      <c r="A3525" s="2">
        <v>4145</v>
      </c>
      <c r="B3525" s="5" t="s">
        <v>7412</v>
      </c>
      <c r="C3525" s="5" t="s">
        <v>8496</v>
      </c>
      <c r="D3525" s="296" t="s">
        <v>8497</v>
      </c>
      <c r="E3525" s="6">
        <v>2019</v>
      </c>
      <c r="F3525" s="6">
        <v>2020</v>
      </c>
      <c r="G3525" s="5" t="s">
        <v>289</v>
      </c>
      <c r="H3525" s="5">
        <v>200</v>
      </c>
      <c r="I3525" s="5">
        <v>400</v>
      </c>
      <c r="J3525" s="5"/>
      <c r="K3525" s="5"/>
      <c r="L3525" s="10">
        <v>20201118</v>
      </c>
      <c r="M3525" s="36" t="str">
        <f t="shared" si="55"/>
        <v>19710807</v>
      </c>
    </row>
    <row r="3526" s="1" customFormat="1" spans="1:13">
      <c r="A3526" s="2">
        <v>7978</v>
      </c>
      <c r="B3526" s="5" t="s">
        <v>15086</v>
      </c>
      <c r="C3526" s="6" t="s">
        <v>15250</v>
      </c>
      <c r="D3526" s="6" t="s">
        <v>15251</v>
      </c>
      <c r="E3526" s="5" t="s">
        <v>15</v>
      </c>
      <c r="F3526" s="5">
        <v>2020</v>
      </c>
      <c r="G3526" s="5" t="s">
        <v>16</v>
      </c>
      <c r="H3526" s="5">
        <v>200</v>
      </c>
      <c r="I3526" s="5">
        <v>200</v>
      </c>
      <c r="J3526" s="5"/>
      <c r="K3526" s="5"/>
      <c r="L3526" s="10">
        <v>20201118</v>
      </c>
      <c r="M3526" s="36" t="str">
        <f t="shared" si="55"/>
        <v>19710807</v>
      </c>
    </row>
    <row r="3527" s="1" customFormat="1" spans="1:13">
      <c r="A3527" s="2">
        <v>1925</v>
      </c>
      <c r="B3527" s="5" t="s">
        <v>4189</v>
      </c>
      <c r="C3527" s="16" t="s">
        <v>4410</v>
      </c>
      <c r="D3527" s="16" t="s">
        <v>4411</v>
      </c>
      <c r="E3527" s="5" t="s">
        <v>15</v>
      </c>
      <c r="F3527" s="5" t="s">
        <v>15</v>
      </c>
      <c r="G3527" s="5" t="s">
        <v>3359</v>
      </c>
      <c r="H3527" s="16">
        <v>200</v>
      </c>
      <c r="I3527" s="16">
        <v>200</v>
      </c>
      <c r="J3527" s="5"/>
      <c r="K3527" s="10"/>
      <c r="L3527" s="10">
        <v>20201118</v>
      </c>
      <c r="M3527" s="36" t="str">
        <f t="shared" si="55"/>
        <v>19710809</v>
      </c>
    </row>
    <row r="3528" s="1" customFormat="1" spans="1:13">
      <c r="A3528" s="2">
        <v>3836</v>
      </c>
      <c r="B3528" s="5" t="s">
        <v>7412</v>
      </c>
      <c r="C3528" s="5" t="s">
        <v>7910</v>
      </c>
      <c r="D3528" s="5" t="s">
        <v>7911</v>
      </c>
      <c r="E3528" s="6">
        <v>2020</v>
      </c>
      <c r="F3528" s="6">
        <v>2020</v>
      </c>
      <c r="G3528" s="5" t="s">
        <v>3359</v>
      </c>
      <c r="H3528" s="5">
        <v>200</v>
      </c>
      <c r="I3528" s="5">
        <v>200</v>
      </c>
      <c r="J3528" s="5"/>
      <c r="K3528" s="5"/>
      <c r="L3528" s="10">
        <v>20201118</v>
      </c>
      <c r="M3528" s="36" t="str">
        <f t="shared" si="55"/>
        <v>19710809</v>
      </c>
    </row>
    <row r="3529" s="1" customFormat="1" spans="1:13">
      <c r="A3529" s="2">
        <v>3192</v>
      </c>
      <c r="B3529" s="3" t="s">
        <v>6671</v>
      </c>
      <c r="C3529" s="9" t="s">
        <v>6894</v>
      </c>
      <c r="D3529" s="9" t="s">
        <v>6895</v>
      </c>
      <c r="E3529" s="3" t="s">
        <v>15</v>
      </c>
      <c r="F3529" s="3" t="s">
        <v>15</v>
      </c>
      <c r="G3529" s="6" t="s">
        <v>3359</v>
      </c>
      <c r="H3529" s="9">
        <v>200</v>
      </c>
      <c r="I3529" s="9">
        <v>200</v>
      </c>
      <c r="J3529" s="6"/>
      <c r="K3529" s="5"/>
      <c r="L3529" s="10">
        <v>20201118</v>
      </c>
      <c r="M3529" s="36" t="str">
        <f t="shared" si="55"/>
        <v>19710810</v>
      </c>
    </row>
    <row r="3530" s="1" customFormat="1" ht="14.25" spans="1:13">
      <c r="A3530" s="2">
        <v>2960</v>
      </c>
      <c r="B3530" s="6" t="s">
        <v>6075</v>
      </c>
      <c r="C3530" s="25" t="s">
        <v>6446</v>
      </c>
      <c r="D3530" s="26" t="s">
        <v>6447</v>
      </c>
      <c r="E3530" s="5" t="s">
        <v>15</v>
      </c>
      <c r="F3530" s="5">
        <v>2020</v>
      </c>
      <c r="G3530" s="6" t="s">
        <v>16</v>
      </c>
      <c r="H3530" s="6">
        <v>200</v>
      </c>
      <c r="I3530" s="6">
        <v>200</v>
      </c>
      <c r="J3530" s="6"/>
      <c r="K3530" s="10"/>
      <c r="L3530" s="10">
        <v>20201118</v>
      </c>
      <c r="M3530" s="36" t="str">
        <f t="shared" si="55"/>
        <v>19710811</v>
      </c>
    </row>
    <row r="3531" s="1" customFormat="1" spans="1:13">
      <c r="A3531" s="2">
        <v>2256</v>
      </c>
      <c r="B3531" s="9" t="s">
        <v>4837</v>
      </c>
      <c r="C3531" s="9" t="s">
        <v>5058</v>
      </c>
      <c r="D3531" s="9" t="s">
        <v>5059</v>
      </c>
      <c r="E3531" s="6" t="s">
        <v>15</v>
      </c>
      <c r="F3531" s="6">
        <v>2020</v>
      </c>
      <c r="G3531" s="9" t="s">
        <v>2480</v>
      </c>
      <c r="H3531" s="9">
        <v>200</v>
      </c>
      <c r="I3531" s="9">
        <v>200</v>
      </c>
      <c r="J3531" s="6"/>
      <c r="K3531" s="10"/>
      <c r="L3531" s="10">
        <v>20201118</v>
      </c>
      <c r="M3531" s="36" t="str">
        <f t="shared" si="55"/>
        <v>19710813</v>
      </c>
    </row>
    <row r="3532" s="1" customFormat="1" spans="1:13">
      <c r="A3532" s="2">
        <v>1929</v>
      </c>
      <c r="B3532" s="5" t="s">
        <v>4189</v>
      </c>
      <c r="C3532" s="16" t="s">
        <v>4418</v>
      </c>
      <c r="D3532" s="16" t="s">
        <v>4419</v>
      </c>
      <c r="E3532" s="5" t="s">
        <v>15</v>
      </c>
      <c r="F3532" s="5" t="s">
        <v>15</v>
      </c>
      <c r="G3532" s="5" t="s">
        <v>3359</v>
      </c>
      <c r="H3532" s="16">
        <v>200</v>
      </c>
      <c r="I3532" s="16">
        <v>200</v>
      </c>
      <c r="J3532" s="5"/>
      <c r="K3532" s="10"/>
      <c r="L3532" s="10">
        <v>20201118</v>
      </c>
      <c r="M3532" s="36" t="str">
        <f t="shared" si="55"/>
        <v>19710816</v>
      </c>
    </row>
    <row r="3533" s="1" customFormat="1" spans="1:13">
      <c r="A3533" s="2">
        <v>2627</v>
      </c>
      <c r="B3533" s="32" t="s">
        <v>5602</v>
      </c>
      <c r="C3533" s="9" t="s">
        <v>5788</v>
      </c>
      <c r="D3533" s="9" t="s">
        <v>5789</v>
      </c>
      <c r="E3533" s="32">
        <v>2020</v>
      </c>
      <c r="F3533" s="32">
        <v>2020</v>
      </c>
      <c r="G3533" s="32" t="s">
        <v>16</v>
      </c>
      <c r="H3533" s="9">
        <v>200</v>
      </c>
      <c r="I3533" s="9">
        <v>200</v>
      </c>
      <c r="J3533" s="32"/>
      <c r="K3533" s="52"/>
      <c r="L3533" s="10">
        <v>20201118</v>
      </c>
      <c r="M3533" s="36" t="str">
        <f t="shared" si="55"/>
        <v>19710816</v>
      </c>
    </row>
    <row r="3534" s="1" customFormat="1" spans="1:13">
      <c r="A3534" s="2">
        <v>3837</v>
      </c>
      <c r="B3534" s="5" t="s">
        <v>7412</v>
      </c>
      <c r="C3534" s="5" t="s">
        <v>7912</v>
      </c>
      <c r="D3534" s="5" t="s">
        <v>7913</v>
      </c>
      <c r="E3534" s="6">
        <v>2020</v>
      </c>
      <c r="F3534" s="6">
        <v>2020</v>
      </c>
      <c r="G3534" s="5" t="s">
        <v>3359</v>
      </c>
      <c r="H3534" s="5">
        <v>200</v>
      </c>
      <c r="I3534" s="5">
        <v>200</v>
      </c>
      <c r="J3534" s="5"/>
      <c r="K3534" s="5"/>
      <c r="L3534" s="10">
        <v>20201118</v>
      </c>
      <c r="M3534" s="36" t="str">
        <f t="shared" si="55"/>
        <v>19710816</v>
      </c>
    </row>
    <row r="3535" s="1" customFormat="1" spans="1:13">
      <c r="A3535" s="2">
        <v>5846</v>
      </c>
      <c r="B3535" s="30" t="s">
        <v>11090</v>
      </c>
      <c r="C3535" s="30" t="s">
        <v>7286</v>
      </c>
      <c r="D3535" s="30" t="s">
        <v>11758</v>
      </c>
      <c r="E3535" s="5" t="s">
        <v>15</v>
      </c>
      <c r="F3535" s="5" t="s">
        <v>10250</v>
      </c>
      <c r="G3535" s="6" t="s">
        <v>16</v>
      </c>
      <c r="H3535" s="32">
        <v>200</v>
      </c>
      <c r="I3535" s="32">
        <v>200</v>
      </c>
      <c r="J3535" s="6"/>
      <c r="K3535" s="48"/>
      <c r="L3535" s="10">
        <v>20201118</v>
      </c>
      <c r="M3535" s="36" t="str">
        <f t="shared" si="55"/>
        <v>19710817</v>
      </c>
    </row>
    <row r="3536" s="1" customFormat="1" spans="1:13">
      <c r="A3536" s="2">
        <v>1626</v>
      </c>
      <c r="B3536" s="5" t="s">
        <v>3381</v>
      </c>
      <c r="C3536" s="9" t="s">
        <v>3815</v>
      </c>
      <c r="D3536" s="9" t="s">
        <v>3816</v>
      </c>
      <c r="E3536" s="5">
        <v>2020</v>
      </c>
      <c r="F3536" s="5">
        <v>2020</v>
      </c>
      <c r="G3536" s="14" t="s">
        <v>16</v>
      </c>
      <c r="H3536" s="6">
        <v>200</v>
      </c>
      <c r="I3536" s="6">
        <v>200</v>
      </c>
      <c r="J3536" s="5"/>
      <c r="K3536" s="13"/>
      <c r="L3536" s="10">
        <v>20201118</v>
      </c>
      <c r="M3536" s="36" t="str">
        <f t="shared" si="55"/>
        <v>19710818</v>
      </c>
    </row>
    <row r="3537" s="1" customFormat="1" spans="1:13">
      <c r="A3537" s="2">
        <v>1627</v>
      </c>
      <c r="B3537" s="5" t="s">
        <v>3381</v>
      </c>
      <c r="C3537" s="9" t="s">
        <v>3817</v>
      </c>
      <c r="D3537" s="9" t="s">
        <v>3818</v>
      </c>
      <c r="E3537" s="5">
        <v>2020</v>
      </c>
      <c r="F3537" s="5">
        <v>2020</v>
      </c>
      <c r="G3537" s="14" t="s">
        <v>16</v>
      </c>
      <c r="H3537" s="6">
        <v>200</v>
      </c>
      <c r="I3537" s="6">
        <v>200</v>
      </c>
      <c r="J3537" s="5"/>
      <c r="K3537" s="13"/>
      <c r="L3537" s="10">
        <v>20201118</v>
      </c>
      <c r="M3537" s="36" t="str">
        <f t="shared" si="55"/>
        <v>19710821</v>
      </c>
    </row>
    <row r="3538" s="1" customFormat="1" spans="1:13">
      <c r="A3538" s="2">
        <v>4746</v>
      </c>
      <c r="B3538" s="6" t="s">
        <v>9015</v>
      </c>
      <c r="C3538" s="6" t="s">
        <v>9649</v>
      </c>
      <c r="D3538" s="6" t="s">
        <v>9650</v>
      </c>
      <c r="E3538" s="6">
        <v>2020</v>
      </c>
      <c r="F3538" s="6">
        <v>2020</v>
      </c>
      <c r="G3538" s="6" t="s">
        <v>16</v>
      </c>
      <c r="H3538" s="6">
        <v>200</v>
      </c>
      <c r="I3538" s="6">
        <v>200</v>
      </c>
      <c r="J3538" s="6"/>
      <c r="K3538" s="6"/>
      <c r="L3538" s="10">
        <v>20201118</v>
      </c>
      <c r="M3538" s="36" t="str">
        <f t="shared" si="55"/>
        <v>19710821</v>
      </c>
    </row>
    <row r="3539" s="1" customFormat="1" spans="1:13">
      <c r="A3539" s="2">
        <v>2628</v>
      </c>
      <c r="B3539" s="32" t="s">
        <v>5602</v>
      </c>
      <c r="C3539" s="9" t="s">
        <v>5790</v>
      </c>
      <c r="D3539" s="9" t="s">
        <v>5791</v>
      </c>
      <c r="E3539" s="32">
        <v>2020</v>
      </c>
      <c r="F3539" s="32">
        <v>2020</v>
      </c>
      <c r="G3539" s="32" t="s">
        <v>16</v>
      </c>
      <c r="H3539" s="9">
        <v>200</v>
      </c>
      <c r="I3539" s="9">
        <v>200</v>
      </c>
      <c r="J3539" s="32"/>
      <c r="K3539" s="52"/>
      <c r="L3539" s="10">
        <v>20201118</v>
      </c>
      <c r="M3539" s="36" t="str">
        <f t="shared" si="55"/>
        <v>19710822</v>
      </c>
    </row>
    <row r="3540" s="1" customFormat="1" spans="1:13">
      <c r="A3540" s="2">
        <v>6924</v>
      </c>
      <c r="B3540" s="5" t="s">
        <v>13533</v>
      </c>
      <c r="C3540" s="32" t="s">
        <v>13673</v>
      </c>
      <c r="D3540" s="32" t="str">
        <f>"152326197108227116"</f>
        <v>152326197108227116</v>
      </c>
      <c r="E3540" s="5">
        <v>2020</v>
      </c>
      <c r="F3540" s="5">
        <v>2020</v>
      </c>
      <c r="G3540" s="9" t="s">
        <v>2480</v>
      </c>
      <c r="H3540" s="32">
        <v>200</v>
      </c>
      <c r="I3540" s="32">
        <v>200</v>
      </c>
      <c r="J3540" s="32"/>
      <c r="K3540" s="10"/>
      <c r="L3540" s="10">
        <v>20201118</v>
      </c>
      <c r="M3540" s="36" t="str">
        <f t="shared" si="55"/>
        <v>19710822</v>
      </c>
    </row>
    <row r="3541" s="1" customFormat="1" spans="1:13">
      <c r="A3541" s="2">
        <v>4273</v>
      </c>
      <c r="B3541" s="9" t="s">
        <v>8515</v>
      </c>
      <c r="C3541" s="9" t="s">
        <v>3469</v>
      </c>
      <c r="D3541" s="9" t="s">
        <v>8743</v>
      </c>
      <c r="E3541" s="5" t="s">
        <v>15</v>
      </c>
      <c r="F3541" s="5">
        <v>2020</v>
      </c>
      <c r="G3541" s="9" t="s">
        <v>2480</v>
      </c>
      <c r="H3541" s="9">
        <v>200</v>
      </c>
      <c r="I3541" s="9">
        <v>200</v>
      </c>
      <c r="J3541" s="9"/>
      <c r="K3541" s="9"/>
      <c r="L3541" s="10">
        <v>20201118</v>
      </c>
      <c r="M3541" s="36" t="str">
        <f t="shared" si="55"/>
        <v>19710824</v>
      </c>
    </row>
    <row r="3542" s="1" customFormat="1" spans="1:13">
      <c r="A3542" s="2">
        <v>6920</v>
      </c>
      <c r="B3542" s="5" t="s">
        <v>13533</v>
      </c>
      <c r="C3542" s="32" t="s">
        <v>13669</v>
      </c>
      <c r="D3542" s="32" t="str">
        <f>"152326197108247141"</f>
        <v>152326197108247141</v>
      </c>
      <c r="E3542" s="5">
        <v>2020</v>
      </c>
      <c r="F3542" s="5">
        <v>2020</v>
      </c>
      <c r="G3542" s="9" t="s">
        <v>2480</v>
      </c>
      <c r="H3542" s="32">
        <v>200</v>
      </c>
      <c r="I3542" s="32">
        <v>200</v>
      </c>
      <c r="J3542" s="62"/>
      <c r="K3542" s="10"/>
      <c r="L3542" s="10">
        <v>20201118</v>
      </c>
      <c r="M3542" s="36" t="str">
        <f t="shared" si="55"/>
        <v>19710824</v>
      </c>
    </row>
    <row r="3543" s="1" customFormat="1" spans="1:13">
      <c r="A3543" s="2">
        <v>8225</v>
      </c>
      <c r="B3543" s="5" t="s">
        <v>15406</v>
      </c>
      <c r="C3543" s="6" t="s">
        <v>15631</v>
      </c>
      <c r="D3543" s="293" t="s">
        <v>15632</v>
      </c>
      <c r="E3543" s="5" t="s">
        <v>288</v>
      </c>
      <c r="F3543" s="5">
        <v>2020</v>
      </c>
      <c r="G3543" s="5" t="s">
        <v>289</v>
      </c>
      <c r="H3543" s="6">
        <v>200</v>
      </c>
      <c r="I3543" s="6">
        <v>800</v>
      </c>
      <c r="J3543" s="5"/>
      <c r="K3543" s="10"/>
      <c r="L3543" s="10">
        <v>20201118</v>
      </c>
      <c r="M3543" s="36" t="str">
        <f t="shared" si="55"/>
        <v>19710825</v>
      </c>
    </row>
    <row r="3544" s="1" customFormat="1" ht="14.25" spans="1:13">
      <c r="A3544" s="2">
        <v>2819</v>
      </c>
      <c r="B3544" s="6" t="s">
        <v>6075</v>
      </c>
      <c r="C3544" s="25" t="s">
        <v>6165</v>
      </c>
      <c r="D3544" s="26" t="s">
        <v>6166</v>
      </c>
      <c r="E3544" s="5" t="s">
        <v>15</v>
      </c>
      <c r="F3544" s="5">
        <v>2020</v>
      </c>
      <c r="G3544" s="6" t="s">
        <v>16</v>
      </c>
      <c r="H3544" s="6">
        <v>200</v>
      </c>
      <c r="I3544" s="6">
        <v>200</v>
      </c>
      <c r="J3544" s="6"/>
      <c r="K3544" s="10"/>
      <c r="L3544" s="10">
        <v>20201118</v>
      </c>
      <c r="M3544" s="36" t="str">
        <f t="shared" si="55"/>
        <v>19710826</v>
      </c>
    </row>
    <row r="3545" s="1" customFormat="1" ht="14.25" spans="1:13">
      <c r="A3545" s="2">
        <v>2981</v>
      </c>
      <c r="B3545" s="6" t="s">
        <v>6075</v>
      </c>
      <c r="C3545" s="25" t="s">
        <v>6487</v>
      </c>
      <c r="D3545" s="26" t="s">
        <v>6488</v>
      </c>
      <c r="E3545" s="5" t="s">
        <v>15</v>
      </c>
      <c r="F3545" s="5">
        <v>2020</v>
      </c>
      <c r="G3545" s="6" t="s">
        <v>16</v>
      </c>
      <c r="H3545" s="6">
        <v>200</v>
      </c>
      <c r="I3545" s="6">
        <v>200</v>
      </c>
      <c r="J3545" s="6"/>
      <c r="K3545" s="10"/>
      <c r="L3545" s="10">
        <v>20201118</v>
      </c>
      <c r="M3545" s="36" t="str">
        <f t="shared" si="55"/>
        <v>19710826</v>
      </c>
    </row>
    <row r="3546" s="1" customFormat="1" spans="1:13">
      <c r="A3546" s="2">
        <v>2257</v>
      </c>
      <c r="B3546" s="9" t="s">
        <v>4837</v>
      </c>
      <c r="C3546" s="9" t="s">
        <v>5060</v>
      </c>
      <c r="D3546" s="9" t="s">
        <v>5061</v>
      </c>
      <c r="E3546" s="6" t="s">
        <v>15</v>
      </c>
      <c r="F3546" s="6">
        <v>2020</v>
      </c>
      <c r="G3546" s="9" t="s">
        <v>2480</v>
      </c>
      <c r="H3546" s="9">
        <v>200</v>
      </c>
      <c r="I3546" s="9">
        <v>200</v>
      </c>
      <c r="J3546" s="6"/>
      <c r="K3546" s="10"/>
      <c r="L3546" s="10">
        <v>20201118</v>
      </c>
      <c r="M3546" s="36" t="str">
        <f t="shared" si="55"/>
        <v>19710830</v>
      </c>
    </row>
    <row r="3547" s="1" customFormat="1" spans="1:13">
      <c r="A3547" s="2">
        <v>3178</v>
      </c>
      <c r="B3547" s="3" t="s">
        <v>6671</v>
      </c>
      <c r="C3547" s="9" t="s">
        <v>6868</v>
      </c>
      <c r="D3547" s="9" t="s">
        <v>6869</v>
      </c>
      <c r="E3547" s="3" t="s">
        <v>15</v>
      </c>
      <c r="F3547" s="3" t="s">
        <v>15</v>
      </c>
      <c r="G3547" s="6" t="s">
        <v>3359</v>
      </c>
      <c r="H3547" s="9">
        <v>200</v>
      </c>
      <c r="I3547" s="9">
        <v>200</v>
      </c>
      <c r="J3547" s="6"/>
      <c r="K3547" s="5"/>
      <c r="L3547" s="10">
        <v>20201118</v>
      </c>
      <c r="M3547" s="36" t="str">
        <f t="shared" si="55"/>
        <v>19710830</v>
      </c>
    </row>
    <row r="3548" s="1" customFormat="1" spans="1:13">
      <c r="A3548" s="2">
        <v>3569</v>
      </c>
      <c r="B3548" s="5" t="s">
        <v>3375</v>
      </c>
      <c r="C3548" s="6" t="s">
        <v>7406</v>
      </c>
      <c r="D3548" s="6" t="s">
        <v>7407</v>
      </c>
      <c r="E3548" s="5" t="s">
        <v>15</v>
      </c>
      <c r="F3548" s="5">
        <v>2020</v>
      </c>
      <c r="G3548" s="14" t="s">
        <v>16</v>
      </c>
      <c r="H3548" s="5">
        <v>200</v>
      </c>
      <c r="I3548" s="5">
        <v>200</v>
      </c>
      <c r="J3548" s="5"/>
      <c r="K3548" s="10"/>
      <c r="L3548" s="10">
        <v>20201118</v>
      </c>
      <c r="M3548" s="36" t="str">
        <f t="shared" si="55"/>
        <v>19710830</v>
      </c>
    </row>
    <row r="3549" s="1" customFormat="1" spans="1:13">
      <c r="A3549" s="2">
        <v>580</v>
      </c>
      <c r="B3549" s="29" t="s">
        <v>1040</v>
      </c>
      <c r="C3549" s="29" t="s">
        <v>1436</v>
      </c>
      <c r="D3549" s="29" t="s">
        <v>1437</v>
      </c>
      <c r="E3549" s="30">
        <v>2020</v>
      </c>
      <c r="F3549" s="30">
        <v>2020</v>
      </c>
      <c r="G3549" s="29" t="s">
        <v>16</v>
      </c>
      <c r="H3549" s="29">
        <v>200</v>
      </c>
      <c r="I3549" s="29">
        <v>200</v>
      </c>
      <c r="J3549" s="29"/>
      <c r="K3549" s="47"/>
      <c r="L3549" s="2" t="s">
        <v>330</v>
      </c>
      <c r="M3549" s="36" t="str">
        <f t="shared" si="55"/>
        <v>19710901</v>
      </c>
    </row>
    <row r="3550" s="1" customFormat="1" spans="1:13">
      <c r="A3550" s="2">
        <v>5606</v>
      </c>
      <c r="B3550" s="30" t="s">
        <v>11090</v>
      </c>
      <c r="C3550" s="30" t="s">
        <v>11303</v>
      </c>
      <c r="D3550" s="30" t="s">
        <v>11304</v>
      </c>
      <c r="E3550" s="5" t="s">
        <v>15</v>
      </c>
      <c r="F3550" s="5" t="s">
        <v>10250</v>
      </c>
      <c r="G3550" s="6" t="s">
        <v>16</v>
      </c>
      <c r="H3550" s="32">
        <v>500</v>
      </c>
      <c r="I3550" s="32">
        <v>500</v>
      </c>
      <c r="J3550" s="6"/>
      <c r="K3550" s="48"/>
      <c r="L3550" s="10">
        <v>20201118</v>
      </c>
      <c r="M3550" s="36" t="str">
        <f t="shared" si="55"/>
        <v>19710901</v>
      </c>
    </row>
    <row r="3551" s="1" customFormat="1" spans="1:13">
      <c r="A3551" s="2">
        <v>820</v>
      </c>
      <c r="B3551" s="29" t="s">
        <v>1040</v>
      </c>
      <c r="C3551" s="5" t="s">
        <v>2110</v>
      </c>
      <c r="D3551" s="317" t="s">
        <v>2111</v>
      </c>
      <c r="E3551" s="30">
        <v>2020</v>
      </c>
      <c r="F3551" s="30">
        <v>2020</v>
      </c>
      <c r="G3551" s="29" t="s">
        <v>16</v>
      </c>
      <c r="H3551" s="29">
        <v>200</v>
      </c>
      <c r="I3551" s="29">
        <v>200</v>
      </c>
      <c r="J3551" s="32"/>
      <c r="K3551" s="32"/>
      <c r="L3551" s="14" t="s">
        <v>330</v>
      </c>
      <c r="M3551" s="36" t="str">
        <f t="shared" si="55"/>
        <v>19710902</v>
      </c>
    </row>
    <row r="3552" s="1" customFormat="1" spans="1:13">
      <c r="A3552" s="2">
        <v>3193</v>
      </c>
      <c r="B3552" s="3" t="s">
        <v>6671</v>
      </c>
      <c r="C3552" s="9" t="s">
        <v>6896</v>
      </c>
      <c r="D3552" s="9" t="s">
        <v>6897</v>
      </c>
      <c r="E3552" s="3" t="s">
        <v>15</v>
      </c>
      <c r="F3552" s="3" t="s">
        <v>15</v>
      </c>
      <c r="G3552" s="6" t="s">
        <v>3359</v>
      </c>
      <c r="H3552" s="9">
        <v>200</v>
      </c>
      <c r="I3552" s="9">
        <v>200</v>
      </c>
      <c r="J3552" s="6"/>
      <c r="K3552" s="5"/>
      <c r="L3552" s="10">
        <v>20201118</v>
      </c>
      <c r="M3552" s="36" t="str">
        <f t="shared" si="55"/>
        <v>19710902</v>
      </c>
    </row>
    <row r="3553" s="1" customFormat="1" ht="14.25" spans="1:13">
      <c r="A3553" s="2">
        <v>2979</v>
      </c>
      <c r="B3553" s="6" t="s">
        <v>6075</v>
      </c>
      <c r="C3553" s="25" t="s">
        <v>6483</v>
      </c>
      <c r="D3553" s="26" t="s">
        <v>6484</v>
      </c>
      <c r="E3553" s="5" t="s">
        <v>15</v>
      </c>
      <c r="F3553" s="5">
        <v>2020</v>
      </c>
      <c r="G3553" s="6" t="s">
        <v>16</v>
      </c>
      <c r="H3553" s="6">
        <v>200</v>
      </c>
      <c r="I3553" s="6">
        <v>200</v>
      </c>
      <c r="J3553" s="6"/>
      <c r="K3553" s="10"/>
      <c r="L3553" s="10">
        <v>20201118</v>
      </c>
      <c r="M3553" s="36" t="str">
        <f t="shared" si="55"/>
        <v>19710905</v>
      </c>
    </row>
    <row r="3554" s="1" customFormat="1" spans="1:13">
      <c r="A3554" s="2">
        <v>2258</v>
      </c>
      <c r="B3554" s="9" t="s">
        <v>4837</v>
      </c>
      <c r="C3554" s="9" t="s">
        <v>5062</v>
      </c>
      <c r="D3554" s="9" t="s">
        <v>5063</v>
      </c>
      <c r="E3554" s="6" t="s">
        <v>15</v>
      </c>
      <c r="F3554" s="6">
        <v>2020</v>
      </c>
      <c r="G3554" s="9" t="s">
        <v>2480</v>
      </c>
      <c r="H3554" s="9">
        <v>200</v>
      </c>
      <c r="I3554" s="9">
        <v>200</v>
      </c>
      <c r="J3554" s="6"/>
      <c r="K3554" s="10"/>
      <c r="L3554" s="10">
        <v>20201118</v>
      </c>
      <c r="M3554" s="36" t="str">
        <f t="shared" si="55"/>
        <v>19710906</v>
      </c>
    </row>
    <row r="3555" s="1" customFormat="1" spans="1:13">
      <c r="A3555" s="2">
        <v>2526</v>
      </c>
      <c r="B3555" s="5" t="s">
        <v>5328</v>
      </c>
      <c r="C3555" s="16" t="s">
        <v>5586</v>
      </c>
      <c r="D3555" s="16" t="s">
        <v>5587</v>
      </c>
      <c r="E3555" s="5" t="s">
        <v>15</v>
      </c>
      <c r="F3555" s="5" t="s">
        <v>15</v>
      </c>
      <c r="G3555" s="14" t="s">
        <v>16</v>
      </c>
      <c r="H3555" s="6">
        <v>200</v>
      </c>
      <c r="I3555" s="6">
        <v>200</v>
      </c>
      <c r="J3555" s="5"/>
      <c r="K3555" s="5"/>
      <c r="L3555" s="10">
        <v>20201118</v>
      </c>
      <c r="M3555" s="36" t="str">
        <f t="shared" si="55"/>
        <v>19710906</v>
      </c>
    </row>
    <row r="3556" s="1" customFormat="1" spans="1:13">
      <c r="A3556" s="2">
        <v>3838</v>
      </c>
      <c r="B3556" s="5" t="s">
        <v>7412</v>
      </c>
      <c r="C3556" s="5" t="s">
        <v>7914</v>
      </c>
      <c r="D3556" s="5" t="s">
        <v>7915</v>
      </c>
      <c r="E3556" s="6">
        <v>2020</v>
      </c>
      <c r="F3556" s="6">
        <v>2020</v>
      </c>
      <c r="G3556" s="5" t="s">
        <v>3359</v>
      </c>
      <c r="H3556" s="5">
        <v>200</v>
      </c>
      <c r="I3556" s="5">
        <v>200</v>
      </c>
      <c r="J3556" s="5"/>
      <c r="K3556" s="5"/>
      <c r="L3556" s="10">
        <v>20201118</v>
      </c>
      <c r="M3556" s="36" t="str">
        <f t="shared" si="55"/>
        <v>19710907</v>
      </c>
    </row>
    <row r="3557" s="1" customFormat="1" spans="1:13">
      <c r="A3557" s="2">
        <v>6925</v>
      </c>
      <c r="B3557" s="5" t="s">
        <v>13533</v>
      </c>
      <c r="C3557" s="32" t="s">
        <v>13674</v>
      </c>
      <c r="D3557" s="32" t="s">
        <v>13675</v>
      </c>
      <c r="E3557" s="5">
        <v>2020</v>
      </c>
      <c r="F3557" s="5">
        <v>2020</v>
      </c>
      <c r="G3557" s="9" t="s">
        <v>2480</v>
      </c>
      <c r="H3557" s="32">
        <v>200</v>
      </c>
      <c r="I3557" s="32">
        <v>200</v>
      </c>
      <c r="J3557" s="62"/>
      <c r="K3557" s="10"/>
      <c r="L3557" s="10">
        <v>20201118</v>
      </c>
      <c r="M3557" s="36" t="str">
        <f t="shared" si="55"/>
        <v>19710907</v>
      </c>
    </row>
    <row r="3558" s="1" customFormat="1" ht="14.25" spans="1:13">
      <c r="A3558" s="2">
        <v>7718</v>
      </c>
      <c r="B3558" s="5" t="s">
        <v>14875</v>
      </c>
      <c r="C3558" s="51" t="s">
        <v>14962</v>
      </c>
      <c r="D3558" s="24" t="str">
        <f>"152326197109077113"</f>
        <v>152326197109077113</v>
      </c>
      <c r="E3558" s="6" t="s">
        <v>15</v>
      </c>
      <c r="F3558" s="6">
        <v>2020</v>
      </c>
      <c r="G3558" s="24" t="s">
        <v>14877</v>
      </c>
      <c r="H3558" s="6">
        <v>200</v>
      </c>
      <c r="I3558" s="6">
        <v>200</v>
      </c>
      <c r="J3558" s="6"/>
      <c r="K3558" s="10"/>
      <c r="L3558" s="10">
        <v>20201118</v>
      </c>
      <c r="M3558" s="36" t="str">
        <f t="shared" si="55"/>
        <v>19710907</v>
      </c>
    </row>
    <row r="3559" s="1" customFormat="1" spans="1:13">
      <c r="A3559" s="2">
        <v>8120</v>
      </c>
      <c r="B3559" s="5" t="s">
        <v>15406</v>
      </c>
      <c r="C3559" s="6" t="s">
        <v>15433</v>
      </c>
      <c r="D3559" s="6" t="s">
        <v>15434</v>
      </c>
      <c r="E3559" s="5" t="s">
        <v>15</v>
      </c>
      <c r="F3559" s="5">
        <v>2020</v>
      </c>
      <c r="G3559" s="14" t="s">
        <v>16</v>
      </c>
      <c r="H3559" s="6">
        <v>200</v>
      </c>
      <c r="I3559" s="6">
        <v>200</v>
      </c>
      <c r="J3559" s="5"/>
      <c r="K3559" s="10"/>
      <c r="L3559" s="10">
        <v>20201118</v>
      </c>
      <c r="M3559" s="36" t="str">
        <f t="shared" si="55"/>
        <v>19710907</v>
      </c>
    </row>
    <row r="3560" s="1" customFormat="1" spans="1:13">
      <c r="A3560" s="2">
        <v>1083</v>
      </c>
      <c r="B3560" s="5" t="s">
        <v>2469</v>
      </c>
      <c r="C3560" s="9" t="s">
        <v>2756</v>
      </c>
      <c r="D3560" s="9" t="s">
        <v>2757</v>
      </c>
      <c r="E3560" s="5">
        <v>2020</v>
      </c>
      <c r="F3560" s="5">
        <v>2020</v>
      </c>
      <c r="G3560" s="9" t="s">
        <v>2480</v>
      </c>
      <c r="H3560" s="9">
        <v>200</v>
      </c>
      <c r="I3560" s="9">
        <v>200</v>
      </c>
      <c r="J3560" s="5"/>
      <c r="K3560" s="5"/>
      <c r="L3560" s="10">
        <v>20201118</v>
      </c>
      <c r="M3560" s="36" t="str">
        <f t="shared" si="55"/>
        <v>19710908</v>
      </c>
    </row>
    <row r="3561" s="1" customFormat="1" spans="1:13">
      <c r="A3561" s="2">
        <v>1084</v>
      </c>
      <c r="B3561" s="5" t="s">
        <v>2469</v>
      </c>
      <c r="C3561" s="9" t="s">
        <v>2758</v>
      </c>
      <c r="D3561" s="9" t="s">
        <v>2759</v>
      </c>
      <c r="E3561" s="5">
        <v>2020</v>
      </c>
      <c r="F3561" s="5">
        <v>2020</v>
      </c>
      <c r="G3561" s="9" t="s">
        <v>2480</v>
      </c>
      <c r="H3561" s="9">
        <v>200</v>
      </c>
      <c r="I3561" s="9">
        <v>200</v>
      </c>
      <c r="J3561" s="5"/>
      <c r="K3561" s="5"/>
      <c r="L3561" s="10">
        <v>20201118</v>
      </c>
      <c r="M3561" s="36" t="str">
        <f t="shared" si="55"/>
        <v>19710909</v>
      </c>
    </row>
    <row r="3562" s="1" customFormat="1" spans="1:13">
      <c r="A3562" s="2">
        <v>3839</v>
      </c>
      <c r="B3562" s="5" t="s">
        <v>7412</v>
      </c>
      <c r="C3562" s="5" t="s">
        <v>7916</v>
      </c>
      <c r="D3562" s="5" t="s">
        <v>7917</v>
      </c>
      <c r="E3562" s="6">
        <v>2020</v>
      </c>
      <c r="F3562" s="6">
        <v>2020</v>
      </c>
      <c r="G3562" s="5" t="s">
        <v>3359</v>
      </c>
      <c r="H3562" s="5">
        <v>1000</v>
      </c>
      <c r="I3562" s="5">
        <v>1000</v>
      </c>
      <c r="J3562" s="5"/>
      <c r="K3562" s="5"/>
      <c r="L3562" s="10">
        <v>20201118</v>
      </c>
      <c r="M3562" s="36" t="str">
        <f t="shared" si="55"/>
        <v>19710909</v>
      </c>
    </row>
    <row r="3563" s="1" customFormat="1" ht="14.25" spans="1:13">
      <c r="A3563" s="2">
        <v>7710</v>
      </c>
      <c r="B3563" s="5" t="s">
        <v>14875</v>
      </c>
      <c r="C3563" s="51" t="s">
        <v>14953</v>
      </c>
      <c r="D3563" s="24" t="str">
        <f>"152326197109097114"</f>
        <v>152326197109097114</v>
      </c>
      <c r="E3563" s="6" t="s">
        <v>15</v>
      </c>
      <c r="F3563" s="6">
        <v>2020</v>
      </c>
      <c r="G3563" s="24" t="s">
        <v>14877</v>
      </c>
      <c r="H3563" s="6">
        <v>200</v>
      </c>
      <c r="I3563" s="6">
        <v>200</v>
      </c>
      <c r="J3563" s="6"/>
      <c r="K3563" s="10"/>
      <c r="L3563" s="10">
        <v>20201118</v>
      </c>
      <c r="M3563" s="36" t="str">
        <f t="shared" si="55"/>
        <v>19710909</v>
      </c>
    </row>
    <row r="3564" s="1" customFormat="1" spans="1:13">
      <c r="A3564" s="2">
        <v>1926</v>
      </c>
      <c r="B3564" s="5" t="s">
        <v>4189</v>
      </c>
      <c r="C3564" s="16" t="s">
        <v>4412</v>
      </c>
      <c r="D3564" s="16" t="s">
        <v>4413</v>
      </c>
      <c r="E3564" s="5" t="s">
        <v>15</v>
      </c>
      <c r="F3564" s="5" t="s">
        <v>15</v>
      </c>
      <c r="G3564" s="5" t="s">
        <v>3359</v>
      </c>
      <c r="H3564" s="16">
        <v>500</v>
      </c>
      <c r="I3564" s="16">
        <v>500</v>
      </c>
      <c r="J3564" s="5"/>
      <c r="K3564" s="10"/>
      <c r="L3564" s="10">
        <v>20201118</v>
      </c>
      <c r="M3564" s="36" t="str">
        <f t="shared" si="55"/>
        <v>19710910</v>
      </c>
    </row>
    <row r="3565" s="1" customFormat="1" spans="1:13">
      <c r="A3565" s="2">
        <v>3840</v>
      </c>
      <c r="B3565" s="5" t="s">
        <v>7412</v>
      </c>
      <c r="C3565" s="5" t="s">
        <v>884</v>
      </c>
      <c r="D3565" s="5" t="s">
        <v>7918</v>
      </c>
      <c r="E3565" s="6">
        <v>2020</v>
      </c>
      <c r="F3565" s="6">
        <v>2020</v>
      </c>
      <c r="G3565" s="5" t="s">
        <v>3359</v>
      </c>
      <c r="H3565" s="5">
        <v>200</v>
      </c>
      <c r="I3565" s="5">
        <v>200</v>
      </c>
      <c r="J3565" s="5"/>
      <c r="K3565" s="5"/>
      <c r="L3565" s="10">
        <v>20201118</v>
      </c>
      <c r="M3565" s="36" t="str">
        <f t="shared" si="55"/>
        <v>19710911</v>
      </c>
    </row>
    <row r="3566" s="1" customFormat="1" spans="1:13">
      <c r="A3566" s="2">
        <v>6628</v>
      </c>
      <c r="B3566" s="5" t="s">
        <v>13027</v>
      </c>
      <c r="C3566" s="15" t="s">
        <v>13239</v>
      </c>
      <c r="D3566" s="15" t="s">
        <v>13240</v>
      </c>
      <c r="E3566" s="5">
        <v>2020</v>
      </c>
      <c r="F3566" s="5">
        <v>2020</v>
      </c>
      <c r="G3566" s="14" t="s">
        <v>16</v>
      </c>
      <c r="H3566" s="15">
        <v>200</v>
      </c>
      <c r="I3566" s="15">
        <v>200</v>
      </c>
      <c r="J3566" s="5"/>
      <c r="K3566" s="10"/>
      <c r="L3566" s="10">
        <v>20201118</v>
      </c>
      <c r="M3566" s="36" t="str">
        <f t="shared" si="55"/>
        <v>19710911</v>
      </c>
    </row>
    <row r="3567" s="1" customFormat="1" spans="1:13">
      <c r="A3567" s="2">
        <v>1907</v>
      </c>
      <c r="B3567" s="5" t="s">
        <v>4189</v>
      </c>
      <c r="C3567" s="16" t="s">
        <v>4375</v>
      </c>
      <c r="D3567" s="16" t="s">
        <v>4376</v>
      </c>
      <c r="E3567" s="5" t="s">
        <v>15</v>
      </c>
      <c r="F3567" s="5" t="s">
        <v>15</v>
      </c>
      <c r="G3567" s="5" t="s">
        <v>3359</v>
      </c>
      <c r="H3567" s="16">
        <v>200</v>
      </c>
      <c r="I3567" s="16">
        <v>200</v>
      </c>
      <c r="J3567" s="5"/>
      <c r="K3567" s="10"/>
      <c r="L3567" s="10">
        <v>20201118</v>
      </c>
      <c r="M3567" s="36" t="str">
        <f t="shared" si="55"/>
        <v>19710912</v>
      </c>
    </row>
    <row r="3568" s="1" customFormat="1" ht="14.25" spans="1:13">
      <c r="A3568" s="2">
        <v>3012</v>
      </c>
      <c r="B3568" s="6" t="s">
        <v>6075</v>
      </c>
      <c r="C3568" s="25" t="s">
        <v>6548</v>
      </c>
      <c r="D3568" s="26" t="s">
        <v>6549</v>
      </c>
      <c r="E3568" s="5" t="s">
        <v>15</v>
      </c>
      <c r="F3568" s="5">
        <v>2020</v>
      </c>
      <c r="G3568" s="6" t="s">
        <v>16</v>
      </c>
      <c r="H3568" s="6">
        <v>200</v>
      </c>
      <c r="I3568" s="6">
        <v>200</v>
      </c>
      <c r="J3568" s="6" t="s">
        <v>6097</v>
      </c>
      <c r="K3568" s="10"/>
      <c r="L3568" s="10">
        <v>20201118</v>
      </c>
      <c r="M3568" s="36" t="str">
        <f t="shared" si="55"/>
        <v>19710912</v>
      </c>
    </row>
    <row r="3569" s="1" customFormat="1" spans="1:13">
      <c r="A3569" s="2">
        <v>4733</v>
      </c>
      <c r="B3569" s="6" t="s">
        <v>9015</v>
      </c>
      <c r="C3569" s="6" t="s">
        <v>9623</v>
      </c>
      <c r="D3569" s="6" t="s">
        <v>9624</v>
      </c>
      <c r="E3569" s="6">
        <v>2020</v>
      </c>
      <c r="F3569" s="6">
        <v>2020</v>
      </c>
      <c r="G3569" s="6" t="s">
        <v>16</v>
      </c>
      <c r="H3569" s="6">
        <v>200</v>
      </c>
      <c r="I3569" s="6">
        <v>200</v>
      </c>
      <c r="J3569" s="6"/>
      <c r="K3569" s="6"/>
      <c r="L3569" s="10">
        <v>20201118</v>
      </c>
      <c r="M3569" s="36" t="str">
        <f t="shared" si="55"/>
        <v>19710913</v>
      </c>
    </row>
    <row r="3570" s="1" customFormat="1" spans="1:13">
      <c r="A3570" s="2">
        <v>5510</v>
      </c>
      <c r="B3570" s="30" t="s">
        <v>11090</v>
      </c>
      <c r="C3570" s="30" t="s">
        <v>11115</v>
      </c>
      <c r="D3570" s="30" t="s">
        <v>11116</v>
      </c>
      <c r="E3570" s="5" t="s">
        <v>15</v>
      </c>
      <c r="F3570" s="5" t="s">
        <v>10250</v>
      </c>
      <c r="G3570" s="6" t="s">
        <v>16</v>
      </c>
      <c r="H3570" s="32">
        <v>200</v>
      </c>
      <c r="I3570" s="32">
        <v>200</v>
      </c>
      <c r="J3570" s="6"/>
      <c r="K3570" s="48"/>
      <c r="L3570" s="10">
        <v>20201118</v>
      </c>
      <c r="M3570" s="36" t="str">
        <f t="shared" si="55"/>
        <v>19710913</v>
      </c>
    </row>
    <row r="3571" s="1" customFormat="1" spans="1:13">
      <c r="A3571" s="2">
        <v>6932</v>
      </c>
      <c r="B3571" s="5" t="s">
        <v>13533</v>
      </c>
      <c r="C3571" s="32" t="s">
        <v>13682</v>
      </c>
      <c r="D3571" s="32" t="str">
        <f>"152326197109147118"</f>
        <v>152326197109147118</v>
      </c>
      <c r="E3571" s="5">
        <v>2020</v>
      </c>
      <c r="F3571" s="5">
        <v>2020</v>
      </c>
      <c r="G3571" s="9" t="s">
        <v>2480</v>
      </c>
      <c r="H3571" s="32">
        <v>200</v>
      </c>
      <c r="I3571" s="32">
        <v>200</v>
      </c>
      <c r="J3571" s="32"/>
      <c r="K3571" s="10"/>
      <c r="L3571" s="10">
        <v>20201118</v>
      </c>
      <c r="M3571" s="36" t="str">
        <f t="shared" si="55"/>
        <v>19710914</v>
      </c>
    </row>
    <row r="3572" s="1" customFormat="1" spans="1:13">
      <c r="A3572" s="2">
        <v>4800</v>
      </c>
      <c r="B3572" s="6" t="s">
        <v>9015</v>
      </c>
      <c r="C3572" s="6" t="s">
        <v>9748</v>
      </c>
      <c r="D3572" s="6" t="s">
        <v>9749</v>
      </c>
      <c r="E3572" s="6">
        <v>2020</v>
      </c>
      <c r="F3572" s="6">
        <v>2020</v>
      </c>
      <c r="G3572" s="6" t="s">
        <v>16</v>
      </c>
      <c r="H3572" s="6">
        <v>200</v>
      </c>
      <c r="I3572" s="6">
        <v>200</v>
      </c>
      <c r="J3572" s="6"/>
      <c r="K3572" s="6"/>
      <c r="L3572" s="10">
        <v>20201118</v>
      </c>
      <c r="M3572" s="36" t="str">
        <f t="shared" si="55"/>
        <v>19710915</v>
      </c>
    </row>
    <row r="3573" s="1" customFormat="1" spans="1:13">
      <c r="A3573" s="2">
        <v>6419</v>
      </c>
      <c r="B3573" s="5" t="s">
        <v>12263</v>
      </c>
      <c r="C3573" s="5" t="s">
        <v>754</v>
      </c>
      <c r="D3573" s="5" t="s">
        <v>12845</v>
      </c>
      <c r="E3573" s="5" t="s">
        <v>10250</v>
      </c>
      <c r="F3573" s="5">
        <v>2020</v>
      </c>
      <c r="G3573" s="17" t="s">
        <v>3359</v>
      </c>
      <c r="H3573" s="5">
        <v>200</v>
      </c>
      <c r="I3573" s="5">
        <v>200</v>
      </c>
      <c r="J3573" s="5"/>
      <c r="K3573" s="5"/>
      <c r="L3573" s="10">
        <v>20201118</v>
      </c>
      <c r="M3573" s="36" t="str">
        <f t="shared" si="55"/>
        <v>19710915</v>
      </c>
    </row>
    <row r="3574" s="1" customFormat="1" spans="1:13">
      <c r="A3574" s="2">
        <v>6629</v>
      </c>
      <c r="B3574" s="5" t="s">
        <v>13027</v>
      </c>
      <c r="C3574" s="15" t="s">
        <v>13241</v>
      </c>
      <c r="D3574" s="15" t="s">
        <v>13242</v>
      </c>
      <c r="E3574" s="5">
        <v>2020</v>
      </c>
      <c r="F3574" s="5">
        <v>2020</v>
      </c>
      <c r="G3574" s="14" t="s">
        <v>16</v>
      </c>
      <c r="H3574" s="15">
        <v>200</v>
      </c>
      <c r="I3574" s="15">
        <v>200</v>
      </c>
      <c r="J3574" s="5"/>
      <c r="K3574" s="10"/>
      <c r="L3574" s="10">
        <v>20201118</v>
      </c>
      <c r="M3574" s="36" t="str">
        <f t="shared" si="55"/>
        <v>19710915</v>
      </c>
    </row>
    <row r="3575" s="1" customFormat="1" spans="1:13">
      <c r="A3575" s="2">
        <v>592</v>
      </c>
      <c r="B3575" s="29" t="s">
        <v>1040</v>
      </c>
      <c r="C3575" s="29" t="s">
        <v>1460</v>
      </c>
      <c r="D3575" s="29" t="s">
        <v>1461</v>
      </c>
      <c r="E3575" s="30">
        <v>2020</v>
      </c>
      <c r="F3575" s="30">
        <v>2020</v>
      </c>
      <c r="G3575" s="29" t="s">
        <v>16</v>
      </c>
      <c r="H3575" s="29">
        <v>200</v>
      </c>
      <c r="I3575" s="29">
        <v>200</v>
      </c>
      <c r="J3575" s="29"/>
      <c r="K3575" s="47"/>
      <c r="L3575" s="2" t="s">
        <v>330</v>
      </c>
      <c r="M3575" s="36" t="str">
        <f t="shared" si="55"/>
        <v>19710916</v>
      </c>
    </row>
    <row r="3576" s="1" customFormat="1" spans="1:13">
      <c r="A3576" s="2">
        <v>3404</v>
      </c>
      <c r="B3576" s="5" t="s">
        <v>3375</v>
      </c>
      <c r="C3576" s="6" t="s">
        <v>7181</v>
      </c>
      <c r="D3576" s="6" t="s">
        <v>7182</v>
      </c>
      <c r="E3576" s="5" t="s">
        <v>15</v>
      </c>
      <c r="F3576" s="5">
        <v>2020</v>
      </c>
      <c r="G3576" s="14" t="s">
        <v>16</v>
      </c>
      <c r="H3576" s="17">
        <v>200</v>
      </c>
      <c r="I3576" s="17">
        <v>200</v>
      </c>
      <c r="J3576" s="6"/>
      <c r="K3576" s="10"/>
      <c r="L3576" s="10">
        <v>20201118</v>
      </c>
      <c r="M3576" s="36" t="str">
        <f t="shared" si="55"/>
        <v>19710916</v>
      </c>
    </row>
    <row r="3577" s="1" customFormat="1" spans="1:13">
      <c r="A3577" s="2">
        <v>1940</v>
      </c>
      <c r="B3577" s="5" t="s">
        <v>4189</v>
      </c>
      <c r="C3577" s="16" t="s">
        <v>4439</v>
      </c>
      <c r="D3577" s="16" t="s">
        <v>4440</v>
      </c>
      <c r="E3577" s="5" t="s">
        <v>15</v>
      </c>
      <c r="F3577" s="5" t="s">
        <v>15</v>
      </c>
      <c r="G3577" s="5" t="s">
        <v>3359</v>
      </c>
      <c r="H3577" s="16">
        <v>200</v>
      </c>
      <c r="I3577" s="16">
        <v>200</v>
      </c>
      <c r="J3577" s="5"/>
      <c r="K3577" s="10"/>
      <c r="L3577" s="10">
        <v>20201118</v>
      </c>
      <c r="M3577" s="36" t="str">
        <f t="shared" si="55"/>
        <v>19710918</v>
      </c>
    </row>
    <row r="3578" s="1" customFormat="1" spans="1:13">
      <c r="A3578" s="2">
        <v>366</v>
      </c>
      <c r="B3578" s="14" t="s">
        <v>327</v>
      </c>
      <c r="C3578" s="17" t="s">
        <v>985</v>
      </c>
      <c r="D3578" s="306" t="s">
        <v>986</v>
      </c>
      <c r="E3578" s="5">
        <v>2020</v>
      </c>
      <c r="F3578" s="5">
        <v>2020</v>
      </c>
      <c r="G3578" s="14" t="s">
        <v>16</v>
      </c>
      <c r="H3578" s="17">
        <v>200</v>
      </c>
      <c r="I3578" s="17">
        <v>200</v>
      </c>
      <c r="J3578" s="17" t="s">
        <v>108</v>
      </c>
      <c r="K3578" s="10"/>
      <c r="L3578" s="14" t="s">
        <v>330</v>
      </c>
      <c r="M3578" s="36" t="str">
        <f t="shared" si="55"/>
        <v>19710920</v>
      </c>
    </row>
    <row r="3579" s="1" customFormat="1" spans="1:13">
      <c r="A3579" s="2">
        <v>1628</v>
      </c>
      <c r="B3579" s="5" t="s">
        <v>3381</v>
      </c>
      <c r="C3579" s="9" t="s">
        <v>3819</v>
      </c>
      <c r="D3579" s="9" t="s">
        <v>3820</v>
      </c>
      <c r="E3579" s="5">
        <v>2020</v>
      </c>
      <c r="F3579" s="5">
        <v>2020</v>
      </c>
      <c r="G3579" s="14" t="s">
        <v>16</v>
      </c>
      <c r="H3579" s="6">
        <v>200</v>
      </c>
      <c r="I3579" s="6">
        <v>200</v>
      </c>
      <c r="J3579" s="5"/>
      <c r="K3579" s="13"/>
      <c r="L3579" s="10">
        <v>20201118</v>
      </c>
      <c r="M3579" s="36" t="str">
        <f t="shared" si="55"/>
        <v>19710920</v>
      </c>
    </row>
    <row r="3580" s="1" customFormat="1" spans="1:13">
      <c r="A3580" s="2">
        <v>4589</v>
      </c>
      <c r="B3580" s="6" t="s">
        <v>9015</v>
      </c>
      <c r="C3580" s="6" t="s">
        <v>9353</v>
      </c>
      <c r="D3580" s="6" t="s">
        <v>9354</v>
      </c>
      <c r="E3580" s="6">
        <v>2020</v>
      </c>
      <c r="F3580" s="6">
        <v>2020</v>
      </c>
      <c r="G3580" s="6" t="s">
        <v>16</v>
      </c>
      <c r="H3580" s="6">
        <v>200</v>
      </c>
      <c r="I3580" s="6">
        <v>200</v>
      </c>
      <c r="J3580" s="6"/>
      <c r="K3580" s="6"/>
      <c r="L3580" s="10">
        <v>20201118</v>
      </c>
      <c r="M3580" s="36" t="str">
        <f t="shared" si="55"/>
        <v>19710920</v>
      </c>
    </row>
    <row r="3581" s="1" customFormat="1" spans="1:13">
      <c r="A3581" s="2">
        <v>3403</v>
      </c>
      <c r="B3581" s="5" t="s">
        <v>3375</v>
      </c>
      <c r="C3581" s="6" t="s">
        <v>6362</v>
      </c>
      <c r="D3581" s="6" t="s">
        <v>7180</v>
      </c>
      <c r="E3581" s="5" t="s">
        <v>15</v>
      </c>
      <c r="F3581" s="5">
        <v>2020</v>
      </c>
      <c r="G3581" s="14" t="s">
        <v>16</v>
      </c>
      <c r="H3581" s="17">
        <v>200</v>
      </c>
      <c r="I3581" s="17">
        <v>200</v>
      </c>
      <c r="J3581" s="6" t="s">
        <v>4064</v>
      </c>
      <c r="K3581" s="10"/>
      <c r="L3581" s="10">
        <v>20201118</v>
      </c>
      <c r="M3581" s="36" t="str">
        <f t="shared" si="55"/>
        <v>19710921</v>
      </c>
    </row>
    <row r="3582" s="1" customFormat="1" spans="1:13">
      <c r="A3582" s="2">
        <v>7137</v>
      </c>
      <c r="B3582" s="5" t="s">
        <v>13908</v>
      </c>
      <c r="C3582" s="5" t="s">
        <v>13933</v>
      </c>
      <c r="D3582" s="5" t="s">
        <v>13934</v>
      </c>
      <c r="E3582" s="5" t="s">
        <v>15</v>
      </c>
      <c r="F3582" s="5" t="s">
        <v>15</v>
      </c>
      <c r="G3582" s="14" t="s">
        <v>16</v>
      </c>
      <c r="H3582" s="17">
        <v>200</v>
      </c>
      <c r="I3582" s="17">
        <v>200</v>
      </c>
      <c r="J3582" s="5"/>
      <c r="K3582" s="10"/>
      <c r="L3582" s="10">
        <v>20201118</v>
      </c>
      <c r="M3582" s="36" t="str">
        <f t="shared" si="55"/>
        <v>19710921</v>
      </c>
    </row>
    <row r="3583" s="1" customFormat="1" spans="1:13">
      <c r="A3583" s="2">
        <v>2259</v>
      </c>
      <c r="B3583" s="9" t="s">
        <v>4837</v>
      </c>
      <c r="C3583" s="9" t="s">
        <v>5064</v>
      </c>
      <c r="D3583" s="9" t="s">
        <v>5065</v>
      </c>
      <c r="E3583" s="6" t="s">
        <v>15</v>
      </c>
      <c r="F3583" s="6">
        <v>2020</v>
      </c>
      <c r="G3583" s="9" t="s">
        <v>2480</v>
      </c>
      <c r="H3583" s="9">
        <v>200</v>
      </c>
      <c r="I3583" s="9">
        <v>200</v>
      </c>
      <c r="J3583" s="6"/>
      <c r="K3583" s="10"/>
      <c r="L3583" s="10">
        <v>20201118</v>
      </c>
      <c r="M3583" s="36" t="str">
        <f t="shared" si="55"/>
        <v>19710922</v>
      </c>
    </row>
    <row r="3584" s="1" customFormat="1" spans="1:13">
      <c r="A3584" s="2">
        <v>3401</v>
      </c>
      <c r="B3584" s="5" t="s">
        <v>3375</v>
      </c>
      <c r="C3584" s="6" t="s">
        <v>7178</v>
      </c>
      <c r="D3584" s="6" t="str">
        <f>"152326197109227126"</f>
        <v>152326197109227126</v>
      </c>
      <c r="E3584" s="5" t="s">
        <v>15</v>
      </c>
      <c r="F3584" s="5">
        <v>2020</v>
      </c>
      <c r="G3584" s="14" t="s">
        <v>16</v>
      </c>
      <c r="H3584" s="17">
        <v>200</v>
      </c>
      <c r="I3584" s="17">
        <v>200</v>
      </c>
      <c r="J3584" s="6"/>
      <c r="K3584" s="10"/>
      <c r="L3584" s="10">
        <v>20201118</v>
      </c>
      <c r="M3584" s="36" t="str">
        <f t="shared" si="55"/>
        <v>19710922</v>
      </c>
    </row>
    <row r="3585" s="1" customFormat="1" spans="1:13">
      <c r="A3585" s="2">
        <v>4906</v>
      </c>
      <c r="B3585" s="6" t="s">
        <v>9015</v>
      </c>
      <c r="C3585" s="6" t="s">
        <v>9950</v>
      </c>
      <c r="D3585" s="293" t="s">
        <v>9951</v>
      </c>
      <c r="E3585" s="6">
        <v>2016</v>
      </c>
      <c r="F3585" s="6">
        <v>2020</v>
      </c>
      <c r="G3585" s="6" t="s">
        <v>289</v>
      </c>
      <c r="H3585" s="6">
        <v>200</v>
      </c>
      <c r="I3585" s="6">
        <v>1000</v>
      </c>
      <c r="J3585" s="6"/>
      <c r="K3585" s="6"/>
      <c r="L3585" s="10">
        <v>20201118</v>
      </c>
      <c r="M3585" s="36" t="str">
        <f t="shared" si="55"/>
        <v>19710925</v>
      </c>
    </row>
    <row r="3586" s="1" customFormat="1" spans="1:13">
      <c r="A3586" s="2">
        <v>5545</v>
      </c>
      <c r="B3586" s="30" t="s">
        <v>11090</v>
      </c>
      <c r="C3586" s="30" t="s">
        <v>11186</v>
      </c>
      <c r="D3586" s="30" t="s">
        <v>11187</v>
      </c>
      <c r="E3586" s="5" t="s">
        <v>15</v>
      </c>
      <c r="F3586" s="5" t="s">
        <v>10250</v>
      </c>
      <c r="G3586" s="6" t="s">
        <v>16</v>
      </c>
      <c r="H3586" s="32">
        <v>1000</v>
      </c>
      <c r="I3586" s="32">
        <v>1000</v>
      </c>
      <c r="J3586" s="6"/>
      <c r="K3586" s="48"/>
      <c r="L3586" s="10">
        <v>20201118</v>
      </c>
      <c r="M3586" s="36" t="str">
        <f t="shared" ref="M3586:M3649" si="56">MID(D3586,7,8)</f>
        <v>19710926</v>
      </c>
    </row>
    <row r="3587" s="1" customFormat="1" spans="1:13">
      <c r="A3587" s="2">
        <v>2260</v>
      </c>
      <c r="B3587" s="9" t="s">
        <v>4837</v>
      </c>
      <c r="C3587" s="9" t="s">
        <v>5066</v>
      </c>
      <c r="D3587" s="9" t="s">
        <v>5067</v>
      </c>
      <c r="E3587" s="6" t="s">
        <v>15</v>
      </c>
      <c r="F3587" s="6">
        <v>2020</v>
      </c>
      <c r="G3587" s="9" t="s">
        <v>2480</v>
      </c>
      <c r="H3587" s="9">
        <v>200</v>
      </c>
      <c r="I3587" s="9">
        <v>200</v>
      </c>
      <c r="J3587" s="6"/>
      <c r="K3587" s="10"/>
      <c r="L3587" s="10">
        <v>20201118</v>
      </c>
      <c r="M3587" s="36" t="str">
        <f t="shared" si="56"/>
        <v>19710927</v>
      </c>
    </row>
    <row r="3588" s="1" customFormat="1" ht="14.25" spans="1:13">
      <c r="A3588" s="2">
        <v>2867</v>
      </c>
      <c r="B3588" s="6" t="s">
        <v>6075</v>
      </c>
      <c r="C3588" s="25" t="s">
        <v>6263</v>
      </c>
      <c r="D3588" s="26" t="s">
        <v>6264</v>
      </c>
      <c r="E3588" s="5" t="s">
        <v>15</v>
      </c>
      <c r="F3588" s="5">
        <v>2020</v>
      </c>
      <c r="G3588" s="6" t="s">
        <v>16</v>
      </c>
      <c r="H3588" s="6">
        <v>200</v>
      </c>
      <c r="I3588" s="6">
        <v>200</v>
      </c>
      <c r="J3588" s="6" t="s">
        <v>108</v>
      </c>
      <c r="K3588" s="10"/>
      <c r="L3588" s="10">
        <v>20201118</v>
      </c>
      <c r="M3588" s="36" t="str">
        <f t="shared" si="56"/>
        <v>19710927</v>
      </c>
    </row>
    <row r="3589" s="1" customFormat="1" spans="1:13">
      <c r="A3589" s="2">
        <v>3841</v>
      </c>
      <c r="B3589" s="5" t="s">
        <v>7412</v>
      </c>
      <c r="C3589" s="5" t="s">
        <v>7919</v>
      </c>
      <c r="D3589" s="5" t="s">
        <v>7920</v>
      </c>
      <c r="E3589" s="6">
        <v>2020</v>
      </c>
      <c r="F3589" s="6">
        <v>2020</v>
      </c>
      <c r="G3589" s="5" t="s">
        <v>3359</v>
      </c>
      <c r="H3589" s="5">
        <v>300</v>
      </c>
      <c r="I3589" s="5">
        <v>300</v>
      </c>
      <c r="J3589" s="5"/>
      <c r="K3589" s="5"/>
      <c r="L3589" s="10">
        <v>20201118</v>
      </c>
      <c r="M3589" s="36" t="str">
        <f t="shared" si="56"/>
        <v>19710930</v>
      </c>
    </row>
    <row r="3590" s="1" customFormat="1" spans="1:13">
      <c r="A3590" s="2">
        <v>4765</v>
      </c>
      <c r="B3590" s="6" t="s">
        <v>9015</v>
      </c>
      <c r="C3590" s="6" t="s">
        <v>9684</v>
      </c>
      <c r="D3590" s="6" t="s">
        <v>9685</v>
      </c>
      <c r="E3590" s="6">
        <v>2020</v>
      </c>
      <c r="F3590" s="6">
        <v>2020</v>
      </c>
      <c r="G3590" s="6" t="s">
        <v>16</v>
      </c>
      <c r="H3590" s="6">
        <v>200</v>
      </c>
      <c r="I3590" s="6">
        <v>200</v>
      </c>
      <c r="J3590" s="6"/>
      <c r="K3590" s="6"/>
      <c r="L3590" s="10">
        <v>20201118</v>
      </c>
      <c r="M3590" s="36" t="str">
        <f t="shared" si="56"/>
        <v>19710930</v>
      </c>
    </row>
    <row r="3591" s="1" customFormat="1" spans="1:13">
      <c r="A3591" s="2">
        <v>7260</v>
      </c>
      <c r="B3591" s="5" t="s">
        <v>13908</v>
      </c>
      <c r="C3591" s="5" t="s">
        <v>14162</v>
      </c>
      <c r="D3591" s="5" t="s">
        <v>14163</v>
      </c>
      <c r="E3591" s="5" t="s">
        <v>15</v>
      </c>
      <c r="F3591" s="5" t="s">
        <v>15</v>
      </c>
      <c r="G3591" s="14" t="s">
        <v>16</v>
      </c>
      <c r="H3591" s="17">
        <v>200</v>
      </c>
      <c r="I3591" s="17">
        <v>200</v>
      </c>
      <c r="J3591" s="5"/>
      <c r="K3591" s="10"/>
      <c r="L3591" s="10">
        <v>20201118</v>
      </c>
      <c r="M3591" s="36" t="str">
        <f t="shared" si="56"/>
        <v>19710930</v>
      </c>
    </row>
    <row r="3592" s="1" customFormat="1" spans="1:13">
      <c r="A3592" s="2">
        <v>45</v>
      </c>
      <c r="B3592" s="31" t="s">
        <v>12</v>
      </c>
      <c r="C3592" s="17" t="s">
        <v>104</v>
      </c>
      <c r="D3592" s="17" t="s">
        <v>105</v>
      </c>
      <c r="E3592" s="3" t="s">
        <v>15</v>
      </c>
      <c r="F3592" s="3" t="s">
        <v>15</v>
      </c>
      <c r="G3592" s="2" t="s">
        <v>16</v>
      </c>
      <c r="H3592" s="17">
        <v>200</v>
      </c>
      <c r="I3592" s="17">
        <v>200</v>
      </c>
      <c r="J3592" s="31"/>
      <c r="K3592" s="17"/>
      <c r="L3592" s="10">
        <v>20201118</v>
      </c>
      <c r="M3592" s="36" t="str">
        <f t="shared" si="56"/>
        <v>19711001</v>
      </c>
    </row>
    <row r="3593" s="1" customFormat="1" spans="1:13">
      <c r="A3593" s="2">
        <v>5123</v>
      </c>
      <c r="B3593" s="6" t="s">
        <v>10242</v>
      </c>
      <c r="C3593" s="9" t="s">
        <v>10375</v>
      </c>
      <c r="D3593" s="9" t="s">
        <v>10376</v>
      </c>
      <c r="E3593" s="5" t="s">
        <v>10250</v>
      </c>
      <c r="F3593" s="5">
        <v>2020</v>
      </c>
      <c r="G3593" s="6" t="s">
        <v>16</v>
      </c>
      <c r="H3593" s="6">
        <v>1000</v>
      </c>
      <c r="I3593" s="6">
        <v>1000</v>
      </c>
      <c r="J3593" s="6"/>
      <c r="K3593" s="5"/>
      <c r="L3593" s="10">
        <v>20201118</v>
      </c>
      <c r="M3593" s="36" t="str">
        <f t="shared" si="56"/>
        <v>19711001</v>
      </c>
    </row>
    <row r="3594" s="1" customFormat="1" spans="1:13">
      <c r="A3594" s="2">
        <v>1085</v>
      </c>
      <c r="B3594" s="5" t="s">
        <v>2469</v>
      </c>
      <c r="C3594" s="9" t="s">
        <v>2174</v>
      </c>
      <c r="D3594" s="9" t="s">
        <v>2760</v>
      </c>
      <c r="E3594" s="5">
        <v>2020</v>
      </c>
      <c r="F3594" s="5">
        <v>2020</v>
      </c>
      <c r="G3594" s="9" t="s">
        <v>2480</v>
      </c>
      <c r="H3594" s="9">
        <v>200</v>
      </c>
      <c r="I3594" s="9">
        <v>200</v>
      </c>
      <c r="J3594" s="5"/>
      <c r="K3594" s="5"/>
      <c r="L3594" s="10">
        <v>20201118</v>
      </c>
      <c r="M3594" s="36" t="str">
        <f t="shared" si="56"/>
        <v>19711004</v>
      </c>
    </row>
    <row r="3595" s="1" customFormat="1" spans="1:13">
      <c r="A3595" s="2">
        <v>3195</v>
      </c>
      <c r="B3595" s="3" t="s">
        <v>6671</v>
      </c>
      <c r="C3595" s="9" t="s">
        <v>6900</v>
      </c>
      <c r="D3595" s="9" t="s">
        <v>6901</v>
      </c>
      <c r="E3595" s="3" t="s">
        <v>15</v>
      </c>
      <c r="F3595" s="3" t="s">
        <v>15</v>
      </c>
      <c r="G3595" s="6" t="s">
        <v>3359</v>
      </c>
      <c r="H3595" s="9">
        <v>200</v>
      </c>
      <c r="I3595" s="9">
        <v>200</v>
      </c>
      <c r="J3595" s="6"/>
      <c r="K3595" s="5"/>
      <c r="L3595" s="10">
        <v>20201118</v>
      </c>
      <c r="M3595" s="36" t="str">
        <f t="shared" si="56"/>
        <v>19711005</v>
      </c>
    </row>
    <row r="3596" s="1" customFormat="1" spans="1:13">
      <c r="A3596" s="2">
        <v>6931</v>
      </c>
      <c r="B3596" s="5" t="s">
        <v>13533</v>
      </c>
      <c r="C3596" s="32" t="s">
        <v>13681</v>
      </c>
      <c r="D3596" s="32" t="str">
        <f>"152326197110077110"</f>
        <v>152326197110077110</v>
      </c>
      <c r="E3596" s="5">
        <v>2020</v>
      </c>
      <c r="F3596" s="5">
        <v>2020</v>
      </c>
      <c r="G3596" s="9" t="s">
        <v>2480</v>
      </c>
      <c r="H3596" s="32">
        <v>200</v>
      </c>
      <c r="I3596" s="32">
        <v>200</v>
      </c>
      <c r="J3596" s="32"/>
      <c r="K3596" s="10"/>
      <c r="L3596" s="10">
        <v>20201118</v>
      </c>
      <c r="M3596" s="36" t="str">
        <f t="shared" si="56"/>
        <v>19711007</v>
      </c>
    </row>
    <row r="3597" s="1" customFormat="1" spans="1:13">
      <c r="A3597" s="2">
        <v>1629</v>
      </c>
      <c r="B3597" s="5" t="s">
        <v>3381</v>
      </c>
      <c r="C3597" s="9" t="s">
        <v>3821</v>
      </c>
      <c r="D3597" s="9" t="s">
        <v>3822</v>
      </c>
      <c r="E3597" s="5">
        <v>2020</v>
      </c>
      <c r="F3597" s="5">
        <v>2020</v>
      </c>
      <c r="G3597" s="14" t="s">
        <v>16</v>
      </c>
      <c r="H3597" s="6">
        <v>200</v>
      </c>
      <c r="I3597" s="6">
        <v>200</v>
      </c>
      <c r="J3597" s="5"/>
      <c r="K3597" s="13"/>
      <c r="L3597" s="10">
        <v>20201118</v>
      </c>
      <c r="M3597" s="36" t="str">
        <f t="shared" si="56"/>
        <v>19711008</v>
      </c>
    </row>
    <row r="3598" s="1" customFormat="1" spans="1:13">
      <c r="A3598" s="2">
        <v>1928</v>
      </c>
      <c r="B3598" s="5" t="s">
        <v>4189</v>
      </c>
      <c r="C3598" s="16" t="s">
        <v>4416</v>
      </c>
      <c r="D3598" s="16" t="s">
        <v>4417</v>
      </c>
      <c r="E3598" s="5" t="s">
        <v>15</v>
      </c>
      <c r="F3598" s="5" t="s">
        <v>15</v>
      </c>
      <c r="G3598" s="5" t="s">
        <v>3359</v>
      </c>
      <c r="H3598" s="16">
        <v>200</v>
      </c>
      <c r="I3598" s="16">
        <v>200</v>
      </c>
      <c r="J3598" s="5"/>
      <c r="K3598" s="10"/>
      <c r="L3598" s="10">
        <v>20201118</v>
      </c>
      <c r="M3598" s="36" t="str">
        <f t="shared" si="56"/>
        <v>19711008</v>
      </c>
    </row>
    <row r="3599" s="1" customFormat="1" spans="1:13">
      <c r="A3599" s="2">
        <v>5888</v>
      </c>
      <c r="B3599" s="30" t="s">
        <v>11090</v>
      </c>
      <c r="C3599" s="30" t="s">
        <v>11828</v>
      </c>
      <c r="D3599" s="30" t="s">
        <v>11829</v>
      </c>
      <c r="E3599" s="5" t="s">
        <v>15</v>
      </c>
      <c r="F3599" s="5" t="s">
        <v>10250</v>
      </c>
      <c r="G3599" s="6" t="s">
        <v>16</v>
      </c>
      <c r="H3599" s="32">
        <v>200</v>
      </c>
      <c r="I3599" s="32">
        <v>200</v>
      </c>
      <c r="J3599" s="6"/>
      <c r="K3599" s="48"/>
      <c r="L3599" s="10">
        <v>20201118</v>
      </c>
      <c r="M3599" s="36" t="str">
        <f t="shared" si="56"/>
        <v>19711010</v>
      </c>
    </row>
    <row r="3600" s="1" customFormat="1" spans="1:13">
      <c r="A3600" s="2">
        <v>836</v>
      </c>
      <c r="B3600" s="29" t="s">
        <v>1040</v>
      </c>
      <c r="C3600" s="29" t="s">
        <v>2157</v>
      </c>
      <c r="D3600" s="29" t="s">
        <v>2158</v>
      </c>
      <c r="E3600" s="30">
        <v>2020</v>
      </c>
      <c r="F3600" s="30">
        <v>2020</v>
      </c>
      <c r="G3600" s="29" t="s">
        <v>16</v>
      </c>
      <c r="H3600" s="29">
        <v>200</v>
      </c>
      <c r="I3600" s="29">
        <v>200</v>
      </c>
      <c r="J3600" s="32"/>
      <c r="K3600" s="32"/>
      <c r="L3600" s="14" t="s">
        <v>330</v>
      </c>
      <c r="M3600" s="36" t="str">
        <f t="shared" si="56"/>
        <v>19711011</v>
      </c>
    </row>
    <row r="3601" s="1" customFormat="1" ht="14.25" spans="1:13">
      <c r="A3601" s="2">
        <v>4409</v>
      </c>
      <c r="B3601" s="73" t="s">
        <v>8515</v>
      </c>
      <c r="C3601" s="74" t="s">
        <v>9005</v>
      </c>
      <c r="D3601" s="319" t="s">
        <v>9006</v>
      </c>
      <c r="E3601" s="5" t="s">
        <v>292</v>
      </c>
      <c r="F3601" s="5">
        <v>2020</v>
      </c>
      <c r="G3601" s="74" t="s">
        <v>295</v>
      </c>
      <c r="H3601" s="73">
        <v>200</v>
      </c>
      <c r="I3601" s="73">
        <v>1000</v>
      </c>
      <c r="J3601" s="75"/>
      <c r="K3601" s="75"/>
      <c r="L3601" s="10">
        <v>20201118</v>
      </c>
      <c r="M3601" s="36" t="str">
        <f t="shared" si="56"/>
        <v>19711011</v>
      </c>
    </row>
    <row r="3602" s="1" customFormat="1" ht="14.25" spans="1:13">
      <c r="A3602" s="2">
        <v>7716</v>
      </c>
      <c r="B3602" s="5" t="s">
        <v>14875</v>
      </c>
      <c r="C3602" s="51" t="s">
        <v>14960</v>
      </c>
      <c r="D3602" s="24" t="str">
        <f>"152326197110127122"</f>
        <v>152326197110127122</v>
      </c>
      <c r="E3602" s="6" t="s">
        <v>15</v>
      </c>
      <c r="F3602" s="6">
        <v>2020</v>
      </c>
      <c r="G3602" s="24" t="s">
        <v>14877</v>
      </c>
      <c r="H3602" s="6">
        <v>200</v>
      </c>
      <c r="I3602" s="6">
        <v>200</v>
      </c>
      <c r="J3602" s="6"/>
      <c r="K3602" s="10"/>
      <c r="L3602" s="10">
        <v>20201118</v>
      </c>
      <c r="M3602" s="36" t="str">
        <f t="shared" si="56"/>
        <v>19711012</v>
      </c>
    </row>
    <row r="3603" s="1" customFormat="1" spans="1:13">
      <c r="A3603" s="2">
        <v>3068</v>
      </c>
      <c r="B3603" s="6" t="s">
        <v>6075</v>
      </c>
      <c r="C3603" s="9" t="s">
        <v>6660</v>
      </c>
      <c r="D3603" s="9" t="s">
        <v>6661</v>
      </c>
      <c r="E3603" s="5" t="s">
        <v>15</v>
      </c>
      <c r="F3603" s="5">
        <v>2020</v>
      </c>
      <c r="G3603" s="6" t="s">
        <v>16</v>
      </c>
      <c r="H3603" s="6" t="s">
        <v>311</v>
      </c>
      <c r="I3603" s="6">
        <v>200</v>
      </c>
      <c r="J3603" s="6"/>
      <c r="K3603" s="10"/>
      <c r="L3603" s="10">
        <v>20201118</v>
      </c>
      <c r="M3603" s="36" t="str">
        <f t="shared" si="56"/>
        <v>19711014</v>
      </c>
    </row>
    <row r="3604" s="1" customFormat="1" spans="1:13">
      <c r="A3604" s="2">
        <v>3842</v>
      </c>
      <c r="B3604" s="5" t="s">
        <v>7412</v>
      </c>
      <c r="C3604" s="5" t="s">
        <v>7921</v>
      </c>
      <c r="D3604" s="5" t="s">
        <v>7922</v>
      </c>
      <c r="E3604" s="6">
        <v>2020</v>
      </c>
      <c r="F3604" s="6">
        <v>2020</v>
      </c>
      <c r="G3604" s="5" t="s">
        <v>3359</v>
      </c>
      <c r="H3604" s="5">
        <v>200</v>
      </c>
      <c r="I3604" s="5">
        <v>200</v>
      </c>
      <c r="J3604" s="5"/>
      <c r="K3604" s="5"/>
      <c r="L3604" s="10">
        <v>20201118</v>
      </c>
      <c r="M3604" s="36" t="str">
        <f t="shared" si="56"/>
        <v>19711014</v>
      </c>
    </row>
    <row r="3605" s="1" customFormat="1" spans="1:13">
      <c r="A3605" s="2">
        <v>3843</v>
      </c>
      <c r="B3605" s="5" t="s">
        <v>7412</v>
      </c>
      <c r="C3605" s="5" t="s">
        <v>7923</v>
      </c>
      <c r="D3605" s="5" t="s">
        <v>7924</v>
      </c>
      <c r="E3605" s="6">
        <v>2020</v>
      </c>
      <c r="F3605" s="6">
        <v>2020</v>
      </c>
      <c r="G3605" s="5" t="s">
        <v>3359</v>
      </c>
      <c r="H3605" s="5">
        <v>200</v>
      </c>
      <c r="I3605" s="5">
        <v>200</v>
      </c>
      <c r="J3605" s="5"/>
      <c r="K3605" s="5"/>
      <c r="L3605" s="10">
        <v>20201118</v>
      </c>
      <c r="M3605" s="36" t="str">
        <f t="shared" si="56"/>
        <v>19711014</v>
      </c>
    </row>
    <row r="3606" s="1" customFormat="1" spans="1:13">
      <c r="A3606" s="2">
        <v>6630</v>
      </c>
      <c r="B3606" s="5" t="s">
        <v>13027</v>
      </c>
      <c r="C3606" s="15" t="s">
        <v>13243</v>
      </c>
      <c r="D3606" s="15" t="s">
        <v>13244</v>
      </c>
      <c r="E3606" s="5">
        <v>2020</v>
      </c>
      <c r="F3606" s="5">
        <v>2020</v>
      </c>
      <c r="G3606" s="14" t="s">
        <v>16</v>
      </c>
      <c r="H3606" s="15">
        <v>200</v>
      </c>
      <c r="I3606" s="15">
        <v>200</v>
      </c>
      <c r="J3606" s="5"/>
      <c r="K3606" s="10"/>
      <c r="L3606" s="10">
        <v>20201118</v>
      </c>
      <c r="M3606" s="36" t="str">
        <f t="shared" si="56"/>
        <v>19711014</v>
      </c>
    </row>
    <row r="3607" s="1" customFormat="1" spans="1:13">
      <c r="A3607" s="2">
        <v>232</v>
      </c>
      <c r="B3607" s="14" t="s">
        <v>327</v>
      </c>
      <c r="C3607" s="14" t="s">
        <v>582</v>
      </c>
      <c r="D3607" s="14" t="s">
        <v>583</v>
      </c>
      <c r="E3607" s="5">
        <v>2020</v>
      </c>
      <c r="F3607" s="5">
        <v>2020</v>
      </c>
      <c r="G3607" s="14" t="s">
        <v>16</v>
      </c>
      <c r="H3607" s="14">
        <v>200</v>
      </c>
      <c r="I3607" s="14">
        <v>200</v>
      </c>
      <c r="J3607" s="14"/>
      <c r="K3607" s="10"/>
      <c r="L3607" s="14" t="s">
        <v>330</v>
      </c>
      <c r="M3607" s="36" t="str">
        <f t="shared" si="56"/>
        <v>19711015</v>
      </c>
    </row>
    <row r="3608" s="1" customFormat="1" spans="1:13">
      <c r="A3608" s="2">
        <v>1930</v>
      </c>
      <c r="B3608" s="5" t="s">
        <v>4189</v>
      </c>
      <c r="C3608" s="16" t="s">
        <v>4420</v>
      </c>
      <c r="D3608" s="16" t="s">
        <v>4421</v>
      </c>
      <c r="E3608" s="5" t="s">
        <v>15</v>
      </c>
      <c r="F3608" s="5" t="s">
        <v>15</v>
      </c>
      <c r="G3608" s="5" t="s">
        <v>3359</v>
      </c>
      <c r="H3608" s="16">
        <v>200</v>
      </c>
      <c r="I3608" s="16">
        <v>200</v>
      </c>
      <c r="J3608" s="5"/>
      <c r="K3608" s="10"/>
      <c r="L3608" s="10">
        <v>20201118</v>
      </c>
      <c r="M3608" s="36" t="str">
        <f t="shared" si="56"/>
        <v>19711016</v>
      </c>
    </row>
    <row r="3609" s="1" customFormat="1" spans="1:13">
      <c r="A3609" s="2">
        <v>1086</v>
      </c>
      <c r="B3609" s="5" t="s">
        <v>2469</v>
      </c>
      <c r="C3609" s="9" t="s">
        <v>2761</v>
      </c>
      <c r="D3609" s="9" t="s">
        <v>2762</v>
      </c>
      <c r="E3609" s="5">
        <v>2020</v>
      </c>
      <c r="F3609" s="5">
        <v>2020</v>
      </c>
      <c r="G3609" s="9" t="s">
        <v>2480</v>
      </c>
      <c r="H3609" s="9">
        <v>200</v>
      </c>
      <c r="I3609" s="9">
        <v>200</v>
      </c>
      <c r="J3609" s="5"/>
      <c r="K3609" s="5"/>
      <c r="L3609" s="10">
        <v>20201118</v>
      </c>
      <c r="M3609" s="36" t="str">
        <f t="shared" si="56"/>
        <v>19711017</v>
      </c>
    </row>
    <row r="3610" s="1" customFormat="1" spans="1:13">
      <c r="A3610" s="2">
        <v>5522</v>
      </c>
      <c r="B3610" s="30" t="s">
        <v>11090</v>
      </c>
      <c r="C3610" s="30" t="s">
        <v>11140</v>
      </c>
      <c r="D3610" s="30" t="s">
        <v>11141</v>
      </c>
      <c r="E3610" s="5" t="s">
        <v>15</v>
      </c>
      <c r="F3610" s="5" t="s">
        <v>10250</v>
      </c>
      <c r="G3610" s="6" t="s">
        <v>16</v>
      </c>
      <c r="H3610" s="32">
        <v>500</v>
      </c>
      <c r="I3610" s="32">
        <v>500</v>
      </c>
      <c r="J3610" s="6"/>
      <c r="K3610" s="48"/>
      <c r="L3610" s="10">
        <v>20201118</v>
      </c>
      <c r="M3610" s="36" t="str">
        <f t="shared" si="56"/>
        <v>19711017</v>
      </c>
    </row>
    <row r="3611" s="1" customFormat="1" spans="1:13">
      <c r="A3611" s="2">
        <v>5675</v>
      </c>
      <c r="B3611" s="30" t="s">
        <v>11090</v>
      </c>
      <c r="C3611" s="30" t="s">
        <v>11435</v>
      </c>
      <c r="D3611" s="30" t="s">
        <v>11436</v>
      </c>
      <c r="E3611" s="5" t="s">
        <v>15</v>
      </c>
      <c r="F3611" s="5" t="s">
        <v>10250</v>
      </c>
      <c r="G3611" s="6" t="s">
        <v>16</v>
      </c>
      <c r="H3611" s="32">
        <v>500</v>
      </c>
      <c r="I3611" s="32">
        <v>500</v>
      </c>
      <c r="J3611" s="6"/>
      <c r="K3611" s="48"/>
      <c r="L3611" s="10">
        <v>20201118</v>
      </c>
      <c r="M3611" s="36" t="str">
        <f t="shared" si="56"/>
        <v>19711017</v>
      </c>
    </row>
    <row r="3612" s="1" customFormat="1" ht="14.25" spans="1:13">
      <c r="A3612" s="2">
        <v>2796</v>
      </c>
      <c r="B3612" s="6" t="s">
        <v>6075</v>
      </c>
      <c r="C3612" s="25" t="s">
        <v>6122</v>
      </c>
      <c r="D3612" s="26" t="s">
        <v>6123</v>
      </c>
      <c r="E3612" s="5" t="s">
        <v>15</v>
      </c>
      <c r="F3612" s="5">
        <v>2020</v>
      </c>
      <c r="G3612" s="6" t="s">
        <v>16</v>
      </c>
      <c r="H3612" s="6">
        <v>200</v>
      </c>
      <c r="I3612" s="6">
        <v>200</v>
      </c>
      <c r="J3612" s="6" t="s">
        <v>6097</v>
      </c>
      <c r="K3612" s="10"/>
      <c r="L3612" s="10">
        <v>20201118</v>
      </c>
      <c r="M3612" s="36" t="str">
        <f t="shared" si="56"/>
        <v>19711018</v>
      </c>
    </row>
    <row r="3613" s="1" customFormat="1" spans="1:13">
      <c r="A3613" s="2">
        <v>6923</v>
      </c>
      <c r="B3613" s="5" t="s">
        <v>13533</v>
      </c>
      <c r="C3613" s="32" t="s">
        <v>13672</v>
      </c>
      <c r="D3613" s="32" t="str">
        <f>"152326197110187125"</f>
        <v>152326197110187125</v>
      </c>
      <c r="E3613" s="5">
        <v>2020</v>
      </c>
      <c r="F3613" s="5">
        <v>2020</v>
      </c>
      <c r="G3613" s="9" t="s">
        <v>2480</v>
      </c>
      <c r="H3613" s="32">
        <v>200</v>
      </c>
      <c r="I3613" s="32">
        <v>200</v>
      </c>
      <c r="J3613" s="62"/>
      <c r="K3613" s="10"/>
      <c r="L3613" s="10">
        <v>20201118</v>
      </c>
      <c r="M3613" s="36" t="str">
        <f t="shared" si="56"/>
        <v>19711018</v>
      </c>
    </row>
    <row r="3614" s="1" customFormat="1" spans="1:13">
      <c r="A3614" s="2">
        <v>3407</v>
      </c>
      <c r="B3614" s="5" t="s">
        <v>3375</v>
      </c>
      <c r="C3614" s="6" t="s">
        <v>7185</v>
      </c>
      <c r="D3614" s="6" t="str">
        <f>"152326197110206875"</f>
        <v>152326197110206875</v>
      </c>
      <c r="E3614" s="5" t="s">
        <v>15</v>
      </c>
      <c r="F3614" s="5">
        <v>2020</v>
      </c>
      <c r="G3614" s="14" t="s">
        <v>16</v>
      </c>
      <c r="H3614" s="17">
        <v>200</v>
      </c>
      <c r="I3614" s="17">
        <v>200</v>
      </c>
      <c r="J3614" s="6"/>
      <c r="K3614" s="10"/>
      <c r="L3614" s="10">
        <v>20201118</v>
      </c>
      <c r="M3614" s="36" t="str">
        <f t="shared" si="56"/>
        <v>19711020</v>
      </c>
    </row>
    <row r="3615" s="1" customFormat="1" spans="1:13">
      <c r="A3615" s="2">
        <v>5835</v>
      </c>
      <c r="B3615" s="30" t="s">
        <v>11090</v>
      </c>
      <c r="C3615" s="30" t="s">
        <v>7140</v>
      </c>
      <c r="D3615" s="30" t="s">
        <v>11737</v>
      </c>
      <c r="E3615" s="5" t="s">
        <v>15</v>
      </c>
      <c r="F3615" s="5" t="s">
        <v>10250</v>
      </c>
      <c r="G3615" s="6" t="s">
        <v>16</v>
      </c>
      <c r="H3615" s="32">
        <v>200</v>
      </c>
      <c r="I3615" s="32">
        <v>200</v>
      </c>
      <c r="J3615" s="6"/>
      <c r="K3615" s="48"/>
      <c r="L3615" s="10">
        <v>20201118</v>
      </c>
      <c r="M3615" s="36" t="str">
        <f t="shared" si="56"/>
        <v>19711021</v>
      </c>
    </row>
    <row r="3616" s="1" customFormat="1" spans="1:13">
      <c r="A3616" s="2">
        <v>8123</v>
      </c>
      <c r="B3616" s="5" t="s">
        <v>15406</v>
      </c>
      <c r="C3616" s="6" t="s">
        <v>15439</v>
      </c>
      <c r="D3616" s="6" t="s">
        <v>15440</v>
      </c>
      <c r="E3616" s="5" t="s">
        <v>15</v>
      </c>
      <c r="F3616" s="5">
        <v>2020</v>
      </c>
      <c r="G3616" s="14" t="s">
        <v>16</v>
      </c>
      <c r="H3616" s="6" t="s">
        <v>9565</v>
      </c>
      <c r="I3616" s="6">
        <v>1000</v>
      </c>
      <c r="J3616" s="5"/>
      <c r="K3616" s="10"/>
      <c r="L3616" s="10">
        <v>20201118</v>
      </c>
      <c r="M3616" s="36" t="str">
        <f t="shared" si="56"/>
        <v>19711021</v>
      </c>
    </row>
    <row r="3617" s="1" customFormat="1" spans="1:13">
      <c r="A3617" s="2">
        <v>1931</v>
      </c>
      <c r="B3617" s="5" t="s">
        <v>4189</v>
      </c>
      <c r="C3617" s="16" t="s">
        <v>4422</v>
      </c>
      <c r="D3617" s="16" t="s">
        <v>4423</v>
      </c>
      <c r="E3617" s="5" t="s">
        <v>15</v>
      </c>
      <c r="F3617" s="5" t="s">
        <v>15</v>
      </c>
      <c r="G3617" s="5" t="s">
        <v>3359</v>
      </c>
      <c r="H3617" s="16">
        <v>200</v>
      </c>
      <c r="I3617" s="16">
        <v>200</v>
      </c>
      <c r="J3617" s="5"/>
      <c r="K3617" s="10"/>
      <c r="L3617" s="10">
        <v>20201118</v>
      </c>
      <c r="M3617" s="36" t="str">
        <f t="shared" si="56"/>
        <v>19711023</v>
      </c>
    </row>
    <row r="3618" s="1" customFormat="1" spans="1:13">
      <c r="A3618" s="2">
        <v>6116</v>
      </c>
      <c r="B3618" s="5" t="s">
        <v>12263</v>
      </c>
      <c r="C3618" s="5" t="s">
        <v>3631</v>
      </c>
      <c r="D3618" s="5" t="s">
        <v>12269</v>
      </c>
      <c r="E3618" s="5" t="s">
        <v>10250</v>
      </c>
      <c r="F3618" s="5">
        <v>2020</v>
      </c>
      <c r="G3618" s="17" t="s">
        <v>3359</v>
      </c>
      <c r="H3618" s="5">
        <v>200</v>
      </c>
      <c r="I3618" s="5">
        <v>200</v>
      </c>
      <c r="J3618" s="5"/>
      <c r="K3618" s="5"/>
      <c r="L3618" s="10">
        <v>20201118</v>
      </c>
      <c r="M3618" s="36" t="str">
        <f t="shared" si="56"/>
        <v>19711023</v>
      </c>
    </row>
    <row r="3619" s="1" customFormat="1" spans="1:13">
      <c r="A3619" s="2">
        <v>2530</v>
      </c>
      <c r="B3619" s="5" t="s">
        <v>5328</v>
      </c>
      <c r="C3619" s="9" t="s">
        <v>5594</v>
      </c>
      <c r="D3619" s="9" t="s">
        <v>5595</v>
      </c>
      <c r="E3619" s="5" t="s">
        <v>292</v>
      </c>
      <c r="F3619" s="5" t="s">
        <v>15</v>
      </c>
      <c r="G3619" s="14" t="s">
        <v>289</v>
      </c>
      <c r="H3619" s="6">
        <v>200</v>
      </c>
      <c r="I3619" s="6">
        <v>1000</v>
      </c>
      <c r="J3619" s="5"/>
      <c r="K3619" s="13"/>
      <c r="L3619" s="10">
        <v>20201118</v>
      </c>
      <c r="M3619" s="36" t="str">
        <f t="shared" si="56"/>
        <v>19711025</v>
      </c>
    </row>
    <row r="3620" s="1" customFormat="1" ht="14.25" spans="1:13">
      <c r="A3620" s="2">
        <v>2868</v>
      </c>
      <c r="B3620" s="6" t="s">
        <v>6075</v>
      </c>
      <c r="C3620" s="25" t="s">
        <v>6265</v>
      </c>
      <c r="D3620" s="26" t="s">
        <v>6266</v>
      </c>
      <c r="E3620" s="5" t="s">
        <v>15</v>
      </c>
      <c r="F3620" s="5">
        <v>2020</v>
      </c>
      <c r="G3620" s="6" t="s">
        <v>16</v>
      </c>
      <c r="H3620" s="6">
        <v>200</v>
      </c>
      <c r="I3620" s="6">
        <v>200</v>
      </c>
      <c r="J3620" s="6"/>
      <c r="K3620" s="10"/>
      <c r="L3620" s="10">
        <v>20201118</v>
      </c>
      <c r="M3620" s="36" t="str">
        <f t="shared" si="56"/>
        <v>19711026</v>
      </c>
    </row>
    <row r="3621" s="1" customFormat="1" ht="14.25" spans="1:13">
      <c r="A3621" s="2">
        <v>2984</v>
      </c>
      <c r="B3621" s="6" t="s">
        <v>6075</v>
      </c>
      <c r="C3621" s="25" t="s">
        <v>6493</v>
      </c>
      <c r="D3621" s="26" t="s">
        <v>6494</v>
      </c>
      <c r="E3621" s="5" t="s">
        <v>15</v>
      </c>
      <c r="F3621" s="5">
        <v>2020</v>
      </c>
      <c r="G3621" s="6" t="s">
        <v>16</v>
      </c>
      <c r="H3621" s="6">
        <v>200</v>
      </c>
      <c r="I3621" s="6">
        <v>200</v>
      </c>
      <c r="J3621" s="6"/>
      <c r="K3621" s="10"/>
      <c r="L3621" s="10">
        <v>20201118</v>
      </c>
      <c r="M3621" s="36" t="str">
        <f t="shared" si="56"/>
        <v>19711026</v>
      </c>
    </row>
    <row r="3622" s="1" customFormat="1" spans="1:13">
      <c r="A3622" s="2">
        <v>3844</v>
      </c>
      <c r="B3622" s="5" t="s">
        <v>7412</v>
      </c>
      <c r="C3622" s="5" t="s">
        <v>7925</v>
      </c>
      <c r="D3622" s="5" t="s">
        <v>7926</v>
      </c>
      <c r="E3622" s="6">
        <v>2020</v>
      </c>
      <c r="F3622" s="6">
        <v>2020</v>
      </c>
      <c r="G3622" s="5" t="s">
        <v>3359</v>
      </c>
      <c r="H3622" s="5">
        <v>200</v>
      </c>
      <c r="I3622" s="5">
        <v>200</v>
      </c>
      <c r="J3622" s="5"/>
      <c r="K3622" s="5"/>
      <c r="L3622" s="10">
        <v>20201118</v>
      </c>
      <c r="M3622" s="36" t="str">
        <f t="shared" si="56"/>
        <v>19711026</v>
      </c>
    </row>
    <row r="3623" s="1" customFormat="1" spans="1:13">
      <c r="A3623" s="2">
        <v>2261</v>
      </c>
      <c r="B3623" s="9" t="s">
        <v>4837</v>
      </c>
      <c r="C3623" s="9" t="s">
        <v>5068</v>
      </c>
      <c r="D3623" s="9" t="s">
        <v>5069</v>
      </c>
      <c r="E3623" s="6" t="s">
        <v>15</v>
      </c>
      <c r="F3623" s="6">
        <v>2020</v>
      </c>
      <c r="G3623" s="9" t="s">
        <v>2480</v>
      </c>
      <c r="H3623" s="9">
        <v>200</v>
      </c>
      <c r="I3623" s="9">
        <v>200</v>
      </c>
      <c r="J3623" s="6"/>
      <c r="K3623" s="10"/>
      <c r="L3623" s="10">
        <v>20201118</v>
      </c>
      <c r="M3623" s="36" t="str">
        <f t="shared" si="56"/>
        <v>19711028</v>
      </c>
    </row>
    <row r="3624" s="1" customFormat="1" spans="1:13">
      <c r="A3624" s="2">
        <v>6926</v>
      </c>
      <c r="B3624" s="5" t="s">
        <v>13533</v>
      </c>
      <c r="C3624" s="32" t="s">
        <v>13676</v>
      </c>
      <c r="D3624" s="32" t="str">
        <f>"152326197110297121"</f>
        <v>152326197110297121</v>
      </c>
      <c r="E3624" s="5">
        <v>2020</v>
      </c>
      <c r="F3624" s="5">
        <v>2020</v>
      </c>
      <c r="G3624" s="9" t="s">
        <v>2480</v>
      </c>
      <c r="H3624" s="32">
        <v>200</v>
      </c>
      <c r="I3624" s="32">
        <v>200</v>
      </c>
      <c r="J3624" s="62"/>
      <c r="K3624" s="10"/>
      <c r="L3624" s="10">
        <v>20201118</v>
      </c>
      <c r="M3624" s="36" t="str">
        <f t="shared" si="56"/>
        <v>19711029</v>
      </c>
    </row>
    <row r="3625" s="1" customFormat="1" spans="1:13">
      <c r="A3625" s="2">
        <v>2262</v>
      </c>
      <c r="B3625" s="9" t="s">
        <v>4837</v>
      </c>
      <c r="C3625" s="9" t="s">
        <v>5070</v>
      </c>
      <c r="D3625" s="9" t="s">
        <v>5071</v>
      </c>
      <c r="E3625" s="6" t="s">
        <v>15</v>
      </c>
      <c r="F3625" s="6">
        <v>2020</v>
      </c>
      <c r="G3625" s="9" t="s">
        <v>2480</v>
      </c>
      <c r="H3625" s="9">
        <v>200</v>
      </c>
      <c r="I3625" s="9">
        <v>200</v>
      </c>
      <c r="J3625" s="6"/>
      <c r="K3625" s="10"/>
      <c r="L3625" s="10">
        <v>20201118</v>
      </c>
      <c r="M3625" s="36" t="str">
        <f t="shared" si="56"/>
        <v>19711030</v>
      </c>
    </row>
    <row r="3626" s="1" customFormat="1" spans="1:13">
      <c r="A3626" s="2">
        <v>4536</v>
      </c>
      <c r="B3626" s="6" t="s">
        <v>9015</v>
      </c>
      <c r="C3626" s="6" t="s">
        <v>9252</v>
      </c>
      <c r="D3626" s="6" t="s">
        <v>9253</v>
      </c>
      <c r="E3626" s="6">
        <v>2020</v>
      </c>
      <c r="F3626" s="6">
        <v>2020</v>
      </c>
      <c r="G3626" s="6" t="s">
        <v>16</v>
      </c>
      <c r="H3626" s="6">
        <v>200</v>
      </c>
      <c r="I3626" s="6">
        <v>200</v>
      </c>
      <c r="J3626" s="6"/>
      <c r="K3626" s="6"/>
      <c r="L3626" s="10">
        <v>20201118</v>
      </c>
      <c r="M3626" s="36" t="str">
        <f t="shared" si="56"/>
        <v>19711030</v>
      </c>
    </row>
    <row r="3627" s="1" customFormat="1" spans="1:13">
      <c r="A3627" s="2">
        <v>7259</v>
      </c>
      <c r="B3627" s="5" t="s">
        <v>13908</v>
      </c>
      <c r="C3627" s="5" t="s">
        <v>14160</v>
      </c>
      <c r="D3627" s="5" t="s">
        <v>14161</v>
      </c>
      <c r="E3627" s="5" t="s">
        <v>15</v>
      </c>
      <c r="F3627" s="5" t="s">
        <v>15</v>
      </c>
      <c r="G3627" s="14" t="s">
        <v>16</v>
      </c>
      <c r="H3627" s="17">
        <v>200</v>
      </c>
      <c r="I3627" s="17">
        <v>200</v>
      </c>
      <c r="J3627" s="5"/>
      <c r="K3627" s="10"/>
      <c r="L3627" s="10">
        <v>20201118</v>
      </c>
      <c r="M3627" s="36" t="str">
        <f t="shared" si="56"/>
        <v>19711031</v>
      </c>
    </row>
    <row r="3628" s="1" customFormat="1" spans="1:13">
      <c r="A3628" s="2">
        <v>5629</v>
      </c>
      <c r="B3628" s="30" t="s">
        <v>11090</v>
      </c>
      <c r="C3628" s="30" t="s">
        <v>11348</v>
      </c>
      <c r="D3628" s="30" t="s">
        <v>11349</v>
      </c>
      <c r="E3628" s="5" t="s">
        <v>15</v>
      </c>
      <c r="F3628" s="5" t="s">
        <v>10250</v>
      </c>
      <c r="G3628" s="6" t="s">
        <v>16</v>
      </c>
      <c r="H3628" s="32">
        <v>200</v>
      </c>
      <c r="I3628" s="32">
        <v>200</v>
      </c>
      <c r="J3628" s="6" t="s">
        <v>6097</v>
      </c>
      <c r="K3628" s="48"/>
      <c r="L3628" s="10">
        <v>20201118</v>
      </c>
      <c r="M3628" s="36" t="str">
        <f t="shared" si="56"/>
        <v>19711104</v>
      </c>
    </row>
    <row r="3629" s="1" customFormat="1" spans="1:13">
      <c r="A3629" s="2">
        <v>6355</v>
      </c>
      <c r="B3629" s="5" t="s">
        <v>12263</v>
      </c>
      <c r="C3629" s="5" t="s">
        <v>12726</v>
      </c>
      <c r="D3629" s="5" t="s">
        <v>12727</v>
      </c>
      <c r="E3629" s="5" t="s">
        <v>10250</v>
      </c>
      <c r="F3629" s="5">
        <v>2020</v>
      </c>
      <c r="G3629" s="17" t="s">
        <v>3359</v>
      </c>
      <c r="H3629" s="5" t="s">
        <v>311</v>
      </c>
      <c r="I3629" s="5">
        <v>200</v>
      </c>
      <c r="J3629" s="5"/>
      <c r="K3629" s="5"/>
      <c r="L3629" s="10">
        <v>20201118</v>
      </c>
      <c r="M3629" s="36" t="str">
        <f t="shared" si="56"/>
        <v>19711105</v>
      </c>
    </row>
    <row r="3630" s="1" customFormat="1" spans="1:13">
      <c r="A3630" s="2">
        <v>6631</v>
      </c>
      <c r="B3630" s="5" t="s">
        <v>13027</v>
      </c>
      <c r="C3630" s="15" t="s">
        <v>13245</v>
      </c>
      <c r="D3630" s="15" t="s">
        <v>13246</v>
      </c>
      <c r="E3630" s="5">
        <v>2020</v>
      </c>
      <c r="F3630" s="5">
        <v>2020</v>
      </c>
      <c r="G3630" s="14" t="s">
        <v>16</v>
      </c>
      <c r="H3630" s="15">
        <v>200</v>
      </c>
      <c r="I3630" s="15">
        <v>200</v>
      </c>
      <c r="J3630" s="5"/>
      <c r="K3630" s="10"/>
      <c r="L3630" s="10">
        <v>20201118</v>
      </c>
      <c r="M3630" s="36" t="str">
        <f t="shared" si="56"/>
        <v>19711105</v>
      </c>
    </row>
    <row r="3631" s="1" customFormat="1" spans="1:13">
      <c r="A3631" s="2">
        <v>3845</v>
      </c>
      <c r="B3631" s="5" t="s">
        <v>7412</v>
      </c>
      <c r="C3631" s="5" t="s">
        <v>7927</v>
      </c>
      <c r="D3631" s="5" t="s">
        <v>7928</v>
      </c>
      <c r="E3631" s="6">
        <v>2020</v>
      </c>
      <c r="F3631" s="6">
        <v>2020</v>
      </c>
      <c r="G3631" s="5" t="s">
        <v>3359</v>
      </c>
      <c r="H3631" s="5">
        <v>200</v>
      </c>
      <c r="I3631" s="5">
        <v>200</v>
      </c>
      <c r="J3631" s="5"/>
      <c r="K3631" s="5"/>
      <c r="L3631" s="10">
        <v>20201118</v>
      </c>
      <c r="M3631" s="36" t="str">
        <f t="shared" si="56"/>
        <v>19711106</v>
      </c>
    </row>
    <row r="3632" s="1" customFormat="1" spans="1:13">
      <c r="A3632" s="2">
        <v>7524</v>
      </c>
      <c r="B3632" s="5" t="s">
        <v>14402</v>
      </c>
      <c r="C3632" s="5" t="s">
        <v>14659</v>
      </c>
      <c r="D3632" s="5" t="s">
        <v>14660</v>
      </c>
      <c r="E3632" s="5">
        <v>2020</v>
      </c>
      <c r="F3632" s="5">
        <v>2020</v>
      </c>
      <c r="G3632" s="17" t="s">
        <v>16</v>
      </c>
      <c r="H3632" s="5">
        <v>200</v>
      </c>
      <c r="I3632" s="5">
        <v>200</v>
      </c>
      <c r="J3632" s="5"/>
      <c r="K3632" s="10"/>
      <c r="L3632" s="10">
        <v>20201118</v>
      </c>
      <c r="M3632" s="36" t="str">
        <f t="shared" si="56"/>
        <v>19711108</v>
      </c>
    </row>
    <row r="3633" s="1" customFormat="1" spans="1:13">
      <c r="A3633" s="2">
        <v>6929</v>
      </c>
      <c r="B3633" s="5" t="s">
        <v>13533</v>
      </c>
      <c r="C3633" s="32" t="s">
        <v>13679</v>
      </c>
      <c r="D3633" s="32" t="str">
        <f>"152326197111097113"</f>
        <v>152326197111097113</v>
      </c>
      <c r="E3633" s="5">
        <v>2020</v>
      </c>
      <c r="F3633" s="5">
        <v>2020</v>
      </c>
      <c r="G3633" s="9" t="s">
        <v>2480</v>
      </c>
      <c r="H3633" s="32">
        <v>200</v>
      </c>
      <c r="I3633" s="32">
        <v>200</v>
      </c>
      <c r="J3633" s="62"/>
      <c r="K3633" s="10"/>
      <c r="L3633" s="10">
        <v>20201118</v>
      </c>
      <c r="M3633" s="36" t="str">
        <f t="shared" si="56"/>
        <v>19711109</v>
      </c>
    </row>
    <row r="3634" s="1" customFormat="1" spans="1:13">
      <c r="A3634" s="2">
        <v>1933</v>
      </c>
      <c r="B3634" s="5" t="s">
        <v>4189</v>
      </c>
      <c r="C3634" s="16" t="s">
        <v>4426</v>
      </c>
      <c r="D3634" s="16" t="s">
        <v>4427</v>
      </c>
      <c r="E3634" s="5" t="s">
        <v>15</v>
      </c>
      <c r="F3634" s="5" t="s">
        <v>15</v>
      </c>
      <c r="G3634" s="5" t="s">
        <v>3359</v>
      </c>
      <c r="H3634" s="16">
        <v>200</v>
      </c>
      <c r="I3634" s="16">
        <v>200</v>
      </c>
      <c r="J3634" s="5"/>
      <c r="K3634" s="10"/>
      <c r="L3634" s="10">
        <v>20201118</v>
      </c>
      <c r="M3634" s="36" t="str">
        <f t="shared" si="56"/>
        <v>19711110</v>
      </c>
    </row>
    <row r="3635" s="1" customFormat="1" spans="1:13">
      <c r="A3635" s="2">
        <v>5593</v>
      </c>
      <c r="B3635" s="30" t="s">
        <v>11090</v>
      </c>
      <c r="C3635" s="30" t="s">
        <v>11279</v>
      </c>
      <c r="D3635" s="30" t="s">
        <v>11280</v>
      </c>
      <c r="E3635" s="5" t="s">
        <v>15</v>
      </c>
      <c r="F3635" s="5" t="s">
        <v>10250</v>
      </c>
      <c r="G3635" s="6" t="s">
        <v>16</v>
      </c>
      <c r="H3635" s="32">
        <v>200</v>
      </c>
      <c r="I3635" s="32">
        <v>200</v>
      </c>
      <c r="J3635" s="6"/>
      <c r="K3635" s="48"/>
      <c r="L3635" s="10">
        <v>20201118</v>
      </c>
      <c r="M3635" s="36" t="str">
        <f t="shared" si="56"/>
        <v>19711110</v>
      </c>
    </row>
    <row r="3636" s="1" customFormat="1" spans="1:13">
      <c r="A3636" s="2">
        <v>2263</v>
      </c>
      <c r="B3636" s="9" t="s">
        <v>4837</v>
      </c>
      <c r="C3636" s="9" t="s">
        <v>5072</v>
      </c>
      <c r="D3636" s="9" t="s">
        <v>5073</v>
      </c>
      <c r="E3636" s="6" t="s">
        <v>15</v>
      </c>
      <c r="F3636" s="6">
        <v>2020</v>
      </c>
      <c r="G3636" s="9" t="s">
        <v>2480</v>
      </c>
      <c r="H3636" s="9">
        <v>200</v>
      </c>
      <c r="I3636" s="9">
        <v>200</v>
      </c>
      <c r="J3636" s="6"/>
      <c r="K3636" s="10"/>
      <c r="L3636" s="10">
        <v>20201118</v>
      </c>
      <c r="M3636" s="36" t="str">
        <f t="shared" si="56"/>
        <v>19711111</v>
      </c>
    </row>
    <row r="3637" s="1" customFormat="1" spans="1:13">
      <c r="A3637" s="2">
        <v>681</v>
      </c>
      <c r="B3637" s="29" t="s">
        <v>1040</v>
      </c>
      <c r="C3637" s="47" t="s">
        <v>1695</v>
      </c>
      <c r="D3637" s="47" t="s">
        <v>1696</v>
      </c>
      <c r="E3637" s="30">
        <v>2020</v>
      </c>
      <c r="F3637" s="30">
        <v>2020</v>
      </c>
      <c r="G3637" s="29" t="s">
        <v>16</v>
      </c>
      <c r="H3637" s="29">
        <v>200</v>
      </c>
      <c r="I3637" s="29">
        <v>200</v>
      </c>
      <c r="J3637" s="29"/>
      <c r="K3637" s="54"/>
      <c r="L3637" s="2" t="s">
        <v>330</v>
      </c>
      <c r="M3637" s="36" t="str">
        <f t="shared" si="56"/>
        <v>19711112</v>
      </c>
    </row>
    <row r="3638" s="1" customFormat="1" spans="1:13">
      <c r="A3638" s="2">
        <v>5690</v>
      </c>
      <c r="B3638" s="30" t="s">
        <v>11090</v>
      </c>
      <c r="C3638" s="30" t="s">
        <v>11465</v>
      </c>
      <c r="D3638" s="30" t="s">
        <v>11466</v>
      </c>
      <c r="E3638" s="5" t="s">
        <v>15</v>
      </c>
      <c r="F3638" s="5" t="s">
        <v>10250</v>
      </c>
      <c r="G3638" s="6" t="s">
        <v>16</v>
      </c>
      <c r="H3638" s="32">
        <v>200</v>
      </c>
      <c r="I3638" s="32">
        <v>200</v>
      </c>
      <c r="J3638" s="6"/>
      <c r="K3638" s="48"/>
      <c r="L3638" s="10">
        <v>20201118</v>
      </c>
      <c r="M3638" s="36" t="str">
        <f t="shared" si="56"/>
        <v>19711115</v>
      </c>
    </row>
    <row r="3639" s="1" customFormat="1" spans="1:13">
      <c r="A3639" s="2">
        <v>4274</v>
      </c>
      <c r="B3639" s="9" t="s">
        <v>8515</v>
      </c>
      <c r="C3639" s="9" t="s">
        <v>8744</v>
      </c>
      <c r="D3639" s="9" t="s">
        <v>8745</v>
      </c>
      <c r="E3639" s="5" t="s">
        <v>15</v>
      </c>
      <c r="F3639" s="5">
        <v>2020</v>
      </c>
      <c r="G3639" s="9" t="s">
        <v>2480</v>
      </c>
      <c r="H3639" s="9">
        <v>200</v>
      </c>
      <c r="I3639" s="9">
        <v>200</v>
      </c>
      <c r="J3639" s="9"/>
      <c r="K3639" s="9"/>
      <c r="L3639" s="10">
        <v>20201118</v>
      </c>
      <c r="M3639" s="36" t="str">
        <f t="shared" si="56"/>
        <v>19711120</v>
      </c>
    </row>
    <row r="3640" s="1" customFormat="1" ht="14.25" spans="1:13">
      <c r="A3640" s="2">
        <v>5324</v>
      </c>
      <c r="B3640" s="33" t="s">
        <v>10535</v>
      </c>
      <c r="C3640" s="34" t="s">
        <v>10761</v>
      </c>
      <c r="D3640" s="34" t="s">
        <v>10762</v>
      </c>
      <c r="E3640" s="35">
        <v>2020</v>
      </c>
      <c r="F3640" s="35">
        <v>2020</v>
      </c>
      <c r="G3640" s="35" t="s">
        <v>16</v>
      </c>
      <c r="H3640" s="34">
        <v>200</v>
      </c>
      <c r="I3640" s="34">
        <v>200</v>
      </c>
      <c r="J3640" s="49"/>
      <c r="K3640" s="10"/>
      <c r="L3640" s="10">
        <v>20201118</v>
      </c>
      <c r="M3640" s="36" t="str">
        <f t="shared" si="56"/>
        <v>19711121</v>
      </c>
    </row>
    <row r="3641" s="1" customFormat="1" spans="1:13">
      <c r="A3641" s="2">
        <v>4275</v>
      </c>
      <c r="B3641" s="9" t="s">
        <v>8515</v>
      </c>
      <c r="C3641" s="9" t="s">
        <v>8746</v>
      </c>
      <c r="D3641" s="9" t="s">
        <v>8747</v>
      </c>
      <c r="E3641" s="5" t="s">
        <v>15</v>
      </c>
      <c r="F3641" s="5">
        <v>2020</v>
      </c>
      <c r="G3641" s="9" t="s">
        <v>2480</v>
      </c>
      <c r="H3641" s="9">
        <v>200</v>
      </c>
      <c r="I3641" s="9">
        <v>200</v>
      </c>
      <c r="J3641" s="9"/>
      <c r="K3641" s="9"/>
      <c r="L3641" s="10">
        <v>20201118</v>
      </c>
      <c r="M3641" s="36" t="str">
        <f t="shared" si="56"/>
        <v>19711122</v>
      </c>
    </row>
    <row r="3642" s="1" customFormat="1" spans="1:13">
      <c r="A3642" s="2">
        <v>7528</v>
      </c>
      <c r="B3642" s="5" t="s">
        <v>14402</v>
      </c>
      <c r="C3642" s="5" t="s">
        <v>14667</v>
      </c>
      <c r="D3642" s="5" t="s">
        <v>14668</v>
      </c>
      <c r="E3642" s="5">
        <v>2020</v>
      </c>
      <c r="F3642" s="5">
        <v>2020</v>
      </c>
      <c r="G3642" s="17" t="s">
        <v>16</v>
      </c>
      <c r="H3642" s="5">
        <v>200</v>
      </c>
      <c r="I3642" s="5">
        <v>200</v>
      </c>
      <c r="J3642" s="5"/>
      <c r="K3642" s="10"/>
      <c r="L3642" s="10">
        <v>20201118</v>
      </c>
      <c r="M3642" s="36" t="str">
        <f t="shared" si="56"/>
        <v>19711122</v>
      </c>
    </row>
    <row r="3643" s="1" customFormat="1" spans="1:13">
      <c r="A3643" s="2">
        <v>4665</v>
      </c>
      <c r="B3643" s="6" t="s">
        <v>9015</v>
      </c>
      <c r="C3643" s="6" t="s">
        <v>9494</v>
      </c>
      <c r="D3643" s="6" t="s">
        <v>9495</v>
      </c>
      <c r="E3643" s="6">
        <v>2020</v>
      </c>
      <c r="F3643" s="6">
        <v>2020</v>
      </c>
      <c r="G3643" s="6" t="s">
        <v>16</v>
      </c>
      <c r="H3643" s="6">
        <v>200</v>
      </c>
      <c r="I3643" s="6">
        <v>200</v>
      </c>
      <c r="J3643" s="6"/>
      <c r="K3643" s="6"/>
      <c r="L3643" s="10">
        <v>20201118</v>
      </c>
      <c r="M3643" s="36" t="str">
        <f t="shared" si="56"/>
        <v>19711123</v>
      </c>
    </row>
    <row r="3644" s="1" customFormat="1" spans="1:13">
      <c r="A3644" s="2">
        <v>2629</v>
      </c>
      <c r="B3644" s="32" t="s">
        <v>5602</v>
      </c>
      <c r="C3644" s="9" t="s">
        <v>5792</v>
      </c>
      <c r="D3644" s="9" t="s">
        <v>5793</v>
      </c>
      <c r="E3644" s="32">
        <v>2020</v>
      </c>
      <c r="F3644" s="32">
        <v>2020</v>
      </c>
      <c r="G3644" s="32" t="s">
        <v>16</v>
      </c>
      <c r="H3644" s="9">
        <v>200</v>
      </c>
      <c r="I3644" s="9">
        <v>200</v>
      </c>
      <c r="J3644" s="32" t="s">
        <v>108</v>
      </c>
      <c r="K3644" s="52"/>
      <c r="L3644" s="10">
        <v>20201118</v>
      </c>
      <c r="M3644" s="36" t="str">
        <f t="shared" si="56"/>
        <v>19711124</v>
      </c>
    </row>
    <row r="3645" s="1" customFormat="1" spans="1:13">
      <c r="A3645" s="2">
        <v>1087</v>
      </c>
      <c r="B3645" s="5" t="s">
        <v>2469</v>
      </c>
      <c r="C3645" s="9" t="s">
        <v>2763</v>
      </c>
      <c r="D3645" s="9" t="s">
        <v>2764</v>
      </c>
      <c r="E3645" s="5">
        <v>2020</v>
      </c>
      <c r="F3645" s="5">
        <v>2020</v>
      </c>
      <c r="G3645" s="9" t="s">
        <v>2480</v>
      </c>
      <c r="H3645" s="9">
        <v>200</v>
      </c>
      <c r="I3645" s="9">
        <v>200</v>
      </c>
      <c r="J3645" s="5"/>
      <c r="K3645" s="5"/>
      <c r="L3645" s="10">
        <v>20201118</v>
      </c>
      <c r="M3645" s="36" t="str">
        <f t="shared" si="56"/>
        <v>19711125</v>
      </c>
    </row>
    <row r="3646" s="1" customFormat="1" spans="1:13">
      <c r="A3646" s="2">
        <v>4677</v>
      </c>
      <c r="B3646" s="6" t="s">
        <v>9015</v>
      </c>
      <c r="C3646" s="6" t="s">
        <v>9517</v>
      </c>
      <c r="D3646" s="6" t="s">
        <v>9518</v>
      </c>
      <c r="E3646" s="6">
        <v>2020</v>
      </c>
      <c r="F3646" s="6">
        <v>2020</v>
      </c>
      <c r="G3646" s="6" t="s">
        <v>16</v>
      </c>
      <c r="H3646" s="6">
        <v>200</v>
      </c>
      <c r="I3646" s="6">
        <v>200</v>
      </c>
      <c r="J3646" s="6"/>
      <c r="K3646" s="6"/>
      <c r="L3646" s="10">
        <v>20201118</v>
      </c>
      <c r="M3646" s="36" t="str">
        <f t="shared" si="56"/>
        <v>19711125</v>
      </c>
    </row>
    <row r="3647" s="1" customFormat="1" spans="1:13">
      <c r="A3647" s="2">
        <v>2264</v>
      </c>
      <c r="B3647" s="9" t="s">
        <v>4837</v>
      </c>
      <c r="C3647" s="9" t="s">
        <v>3122</v>
      </c>
      <c r="D3647" s="9" t="s">
        <v>5074</v>
      </c>
      <c r="E3647" s="6" t="s">
        <v>15</v>
      </c>
      <c r="F3647" s="6">
        <v>2020</v>
      </c>
      <c r="G3647" s="9" t="s">
        <v>2480</v>
      </c>
      <c r="H3647" s="9">
        <v>200</v>
      </c>
      <c r="I3647" s="9">
        <v>200</v>
      </c>
      <c r="J3647" s="6"/>
      <c r="K3647" s="10"/>
      <c r="L3647" s="10">
        <v>20201118</v>
      </c>
      <c r="M3647" s="36" t="str">
        <f t="shared" si="56"/>
        <v>19711126</v>
      </c>
    </row>
    <row r="3648" s="1" customFormat="1" spans="1:13">
      <c r="A3648" s="2">
        <v>1920</v>
      </c>
      <c r="B3648" s="5" t="s">
        <v>4189</v>
      </c>
      <c r="C3648" s="16" t="s">
        <v>4400</v>
      </c>
      <c r="D3648" s="16" t="s">
        <v>4401</v>
      </c>
      <c r="E3648" s="5" t="s">
        <v>15</v>
      </c>
      <c r="F3648" s="5" t="s">
        <v>15</v>
      </c>
      <c r="G3648" s="5" t="s">
        <v>3359</v>
      </c>
      <c r="H3648" s="16">
        <v>500</v>
      </c>
      <c r="I3648" s="16">
        <v>500</v>
      </c>
      <c r="J3648" s="5"/>
      <c r="K3648" s="10"/>
      <c r="L3648" s="10">
        <v>20201118</v>
      </c>
      <c r="M3648" s="36" t="str">
        <f t="shared" si="56"/>
        <v>19711127</v>
      </c>
    </row>
    <row r="3649" s="1" customFormat="1" ht="14.25" spans="1:13">
      <c r="A3649" s="2">
        <v>5325</v>
      </c>
      <c r="B3649" s="33" t="s">
        <v>10535</v>
      </c>
      <c r="C3649" s="34" t="s">
        <v>10763</v>
      </c>
      <c r="D3649" s="34" t="s">
        <v>10764</v>
      </c>
      <c r="E3649" s="35">
        <v>2020</v>
      </c>
      <c r="F3649" s="35">
        <v>2020</v>
      </c>
      <c r="G3649" s="35" t="s">
        <v>16</v>
      </c>
      <c r="H3649" s="34">
        <v>200</v>
      </c>
      <c r="I3649" s="34">
        <v>200</v>
      </c>
      <c r="J3649" s="49" t="s">
        <v>10691</v>
      </c>
      <c r="K3649" s="10"/>
      <c r="L3649" s="10">
        <v>20201118</v>
      </c>
      <c r="M3649" s="36" t="str">
        <f t="shared" si="56"/>
        <v>19711127</v>
      </c>
    </row>
    <row r="3650" s="1" customFormat="1" spans="1:13">
      <c r="A3650" s="2">
        <v>5770</v>
      </c>
      <c r="B3650" s="30" t="s">
        <v>11090</v>
      </c>
      <c r="C3650" s="30" t="s">
        <v>11615</v>
      </c>
      <c r="D3650" s="30" t="s">
        <v>11616</v>
      </c>
      <c r="E3650" s="5" t="s">
        <v>15</v>
      </c>
      <c r="F3650" s="5" t="s">
        <v>10250</v>
      </c>
      <c r="G3650" s="6" t="s">
        <v>16</v>
      </c>
      <c r="H3650" s="32">
        <v>200</v>
      </c>
      <c r="I3650" s="32">
        <v>200</v>
      </c>
      <c r="J3650" s="6"/>
      <c r="K3650" s="48"/>
      <c r="L3650" s="10">
        <v>20201118</v>
      </c>
      <c r="M3650" s="36" t="str">
        <f t="shared" ref="M3650:M3713" si="57">MID(D3650,7,8)</f>
        <v>19711128</v>
      </c>
    </row>
    <row r="3651" s="1" customFormat="1" spans="1:13">
      <c r="A3651" s="2">
        <v>858</v>
      </c>
      <c r="B3651" s="29" t="s">
        <v>1040</v>
      </c>
      <c r="C3651" s="6" t="s">
        <v>2221</v>
      </c>
      <c r="D3651" s="6" t="s">
        <v>2222</v>
      </c>
      <c r="E3651" s="30">
        <v>2020</v>
      </c>
      <c r="F3651" s="30">
        <v>2020</v>
      </c>
      <c r="G3651" s="29" t="s">
        <v>16</v>
      </c>
      <c r="H3651" s="29">
        <v>200</v>
      </c>
      <c r="I3651" s="29">
        <v>200</v>
      </c>
      <c r="J3651" s="32"/>
      <c r="K3651" s="32"/>
      <c r="L3651" s="2" t="s">
        <v>330</v>
      </c>
      <c r="M3651" s="36" t="str">
        <f t="shared" si="57"/>
        <v>19711129</v>
      </c>
    </row>
    <row r="3652" s="1" customFormat="1" spans="1:13">
      <c r="A3652" s="2">
        <v>4276</v>
      </c>
      <c r="B3652" s="9" t="s">
        <v>8515</v>
      </c>
      <c r="C3652" s="9" t="s">
        <v>4341</v>
      </c>
      <c r="D3652" s="9" t="s">
        <v>8748</v>
      </c>
      <c r="E3652" s="5" t="s">
        <v>15</v>
      </c>
      <c r="F3652" s="5">
        <v>2020</v>
      </c>
      <c r="G3652" s="9" t="s">
        <v>2480</v>
      </c>
      <c r="H3652" s="9">
        <v>200</v>
      </c>
      <c r="I3652" s="9">
        <v>200</v>
      </c>
      <c r="J3652" s="9"/>
      <c r="K3652" s="9"/>
      <c r="L3652" s="10">
        <v>20201118</v>
      </c>
      <c r="M3652" s="36" t="str">
        <f t="shared" si="57"/>
        <v>19711129</v>
      </c>
    </row>
    <row r="3653" s="1" customFormat="1" ht="14.25" spans="1:13">
      <c r="A3653" s="2">
        <v>7818</v>
      </c>
      <c r="B3653" s="5" t="s">
        <v>14875</v>
      </c>
      <c r="C3653" s="6" t="s">
        <v>15078</v>
      </c>
      <c r="D3653" s="12" t="s">
        <v>15079</v>
      </c>
      <c r="E3653" s="6" t="s">
        <v>292</v>
      </c>
      <c r="F3653" s="6">
        <v>2020</v>
      </c>
      <c r="G3653" s="24" t="s">
        <v>2460</v>
      </c>
      <c r="H3653" s="6">
        <v>200</v>
      </c>
      <c r="I3653" s="6">
        <v>1000</v>
      </c>
      <c r="J3653" s="6"/>
      <c r="K3653" s="10"/>
      <c r="L3653" s="10">
        <v>20201118</v>
      </c>
      <c r="M3653" s="36" t="str">
        <f t="shared" si="57"/>
        <v>19711129</v>
      </c>
    </row>
    <row r="3654" s="1" customFormat="1" ht="14.25" spans="1:13">
      <c r="A3654" s="2">
        <v>2140</v>
      </c>
      <c r="B3654" s="5" t="s">
        <v>4189</v>
      </c>
      <c r="C3654" s="17" t="s">
        <v>4828</v>
      </c>
      <c r="D3654" s="318" t="s">
        <v>4829</v>
      </c>
      <c r="E3654" s="5" t="s">
        <v>2472</v>
      </c>
      <c r="F3654" s="5" t="s">
        <v>15</v>
      </c>
      <c r="G3654" s="5" t="s">
        <v>289</v>
      </c>
      <c r="H3654" s="6" t="s">
        <v>311</v>
      </c>
      <c r="I3654" s="6">
        <v>1200</v>
      </c>
      <c r="J3654" s="6"/>
      <c r="K3654" s="10"/>
      <c r="L3654" s="10">
        <v>20201118</v>
      </c>
      <c r="M3654" s="36" t="str">
        <f t="shared" si="57"/>
        <v>19711202</v>
      </c>
    </row>
    <row r="3655" s="1" customFormat="1" ht="14.25" spans="1:13">
      <c r="A3655" s="2">
        <v>2826</v>
      </c>
      <c r="B3655" s="6" t="s">
        <v>6075</v>
      </c>
      <c r="C3655" s="25" t="s">
        <v>6179</v>
      </c>
      <c r="D3655" s="26" t="s">
        <v>6180</v>
      </c>
      <c r="E3655" s="5" t="s">
        <v>15</v>
      </c>
      <c r="F3655" s="5">
        <v>2020</v>
      </c>
      <c r="G3655" s="6" t="s">
        <v>16</v>
      </c>
      <c r="H3655" s="6">
        <v>200</v>
      </c>
      <c r="I3655" s="6">
        <v>200</v>
      </c>
      <c r="J3655" s="6"/>
      <c r="K3655" s="10"/>
      <c r="L3655" s="10">
        <v>20201118</v>
      </c>
      <c r="M3655" s="36" t="str">
        <f t="shared" si="57"/>
        <v>19711202</v>
      </c>
    </row>
    <row r="3656" s="1" customFormat="1" spans="1:13">
      <c r="A3656" s="2">
        <v>7527</v>
      </c>
      <c r="B3656" s="5" t="s">
        <v>14402</v>
      </c>
      <c r="C3656" s="5" t="s">
        <v>14665</v>
      </c>
      <c r="D3656" s="5" t="s">
        <v>14666</v>
      </c>
      <c r="E3656" s="5">
        <v>2020</v>
      </c>
      <c r="F3656" s="5">
        <v>2020</v>
      </c>
      <c r="G3656" s="17" t="s">
        <v>16</v>
      </c>
      <c r="H3656" s="5">
        <v>200</v>
      </c>
      <c r="I3656" s="5">
        <v>200</v>
      </c>
      <c r="J3656" s="5"/>
      <c r="K3656" s="10"/>
      <c r="L3656" s="10">
        <v>20201118</v>
      </c>
      <c r="M3656" s="36" t="str">
        <f t="shared" si="57"/>
        <v>19711202</v>
      </c>
    </row>
    <row r="3657" s="1" customFormat="1" spans="1:13">
      <c r="A3657" s="2">
        <v>5067</v>
      </c>
      <c r="B3657" s="6" t="s">
        <v>10242</v>
      </c>
      <c r="C3657" s="9" t="s">
        <v>10270</v>
      </c>
      <c r="D3657" s="9" t="s">
        <v>10271</v>
      </c>
      <c r="E3657" s="5" t="s">
        <v>10250</v>
      </c>
      <c r="F3657" s="5">
        <v>2020</v>
      </c>
      <c r="G3657" s="6" t="s">
        <v>16</v>
      </c>
      <c r="H3657" s="6">
        <v>200</v>
      </c>
      <c r="I3657" s="6">
        <v>200</v>
      </c>
      <c r="J3657" s="6" t="s">
        <v>108</v>
      </c>
      <c r="K3657" s="5"/>
      <c r="L3657" s="10">
        <v>20201118</v>
      </c>
      <c r="M3657" s="36" t="str">
        <f t="shared" si="57"/>
        <v>19711203</v>
      </c>
    </row>
    <row r="3658" s="1" customFormat="1" spans="1:13">
      <c r="A3658" s="2">
        <v>3846</v>
      </c>
      <c r="B3658" s="5" t="s">
        <v>7412</v>
      </c>
      <c r="C3658" s="5" t="s">
        <v>7929</v>
      </c>
      <c r="D3658" s="5" t="s">
        <v>7930</v>
      </c>
      <c r="E3658" s="6">
        <v>2020</v>
      </c>
      <c r="F3658" s="6">
        <v>2020</v>
      </c>
      <c r="G3658" s="5" t="s">
        <v>3359</v>
      </c>
      <c r="H3658" s="5">
        <v>200</v>
      </c>
      <c r="I3658" s="5">
        <v>200</v>
      </c>
      <c r="J3658" s="5"/>
      <c r="K3658" s="5"/>
      <c r="L3658" s="10">
        <v>20201118</v>
      </c>
      <c r="M3658" s="36" t="str">
        <f t="shared" si="57"/>
        <v>19711205</v>
      </c>
    </row>
    <row r="3659" s="1" customFormat="1" spans="1:13">
      <c r="A3659" s="2">
        <v>3847</v>
      </c>
      <c r="B3659" s="5" t="s">
        <v>7412</v>
      </c>
      <c r="C3659" s="5" t="s">
        <v>7931</v>
      </c>
      <c r="D3659" s="5" t="s">
        <v>7932</v>
      </c>
      <c r="E3659" s="6">
        <v>2020</v>
      </c>
      <c r="F3659" s="6">
        <v>2020</v>
      </c>
      <c r="G3659" s="5" t="s">
        <v>3359</v>
      </c>
      <c r="H3659" s="5">
        <v>1000</v>
      </c>
      <c r="I3659" s="5">
        <v>1000</v>
      </c>
      <c r="J3659" s="5"/>
      <c r="K3659" s="5"/>
      <c r="L3659" s="10">
        <v>20201118</v>
      </c>
      <c r="M3659" s="36" t="str">
        <f t="shared" si="57"/>
        <v>19711210</v>
      </c>
    </row>
    <row r="3660" s="1" customFormat="1" spans="1:13">
      <c r="A3660" s="2">
        <v>5820</v>
      </c>
      <c r="B3660" s="30" t="s">
        <v>11090</v>
      </c>
      <c r="C3660" s="30" t="s">
        <v>11709</v>
      </c>
      <c r="D3660" s="30" t="s">
        <v>11710</v>
      </c>
      <c r="E3660" s="5" t="s">
        <v>15</v>
      </c>
      <c r="F3660" s="5" t="s">
        <v>10250</v>
      </c>
      <c r="G3660" s="6" t="s">
        <v>16</v>
      </c>
      <c r="H3660" s="32">
        <v>200</v>
      </c>
      <c r="I3660" s="32">
        <v>200</v>
      </c>
      <c r="J3660" s="6"/>
      <c r="K3660" s="48"/>
      <c r="L3660" s="10">
        <v>20201118</v>
      </c>
      <c r="M3660" s="36" t="str">
        <f t="shared" si="57"/>
        <v>19711210</v>
      </c>
    </row>
    <row r="3661" s="1" customFormat="1" spans="1:13">
      <c r="A3661" s="2">
        <v>3848</v>
      </c>
      <c r="B3661" s="5" t="s">
        <v>7412</v>
      </c>
      <c r="C3661" s="5" t="s">
        <v>7933</v>
      </c>
      <c r="D3661" s="5" t="s">
        <v>7934</v>
      </c>
      <c r="E3661" s="6">
        <v>2020</v>
      </c>
      <c r="F3661" s="6">
        <v>2020</v>
      </c>
      <c r="G3661" s="5" t="s">
        <v>3359</v>
      </c>
      <c r="H3661" s="5">
        <v>200</v>
      </c>
      <c r="I3661" s="5">
        <v>200</v>
      </c>
      <c r="J3661" s="5"/>
      <c r="K3661" s="5"/>
      <c r="L3661" s="10">
        <v>20201118</v>
      </c>
      <c r="M3661" s="36" t="str">
        <f t="shared" si="57"/>
        <v>19711212</v>
      </c>
    </row>
    <row r="3662" s="1" customFormat="1" spans="1:13">
      <c r="A3662" s="2">
        <v>2630</v>
      </c>
      <c r="B3662" s="32" t="s">
        <v>5602</v>
      </c>
      <c r="C3662" s="9" t="s">
        <v>5794</v>
      </c>
      <c r="D3662" s="9" t="s">
        <v>5795</v>
      </c>
      <c r="E3662" s="32">
        <v>2020</v>
      </c>
      <c r="F3662" s="32">
        <v>2020</v>
      </c>
      <c r="G3662" s="32" t="s">
        <v>16</v>
      </c>
      <c r="H3662" s="9" t="s">
        <v>311</v>
      </c>
      <c r="I3662" s="79">
        <v>200</v>
      </c>
      <c r="J3662" s="32"/>
      <c r="K3662" s="52"/>
      <c r="L3662" s="10">
        <v>20201118</v>
      </c>
      <c r="M3662" s="36" t="str">
        <f t="shared" si="57"/>
        <v>19711215</v>
      </c>
    </row>
    <row r="3663" s="1" customFormat="1" spans="1:13">
      <c r="A3663" s="2">
        <v>3849</v>
      </c>
      <c r="B3663" s="5" t="s">
        <v>7412</v>
      </c>
      <c r="C3663" s="5" t="s">
        <v>7935</v>
      </c>
      <c r="D3663" s="5" t="s">
        <v>7936</v>
      </c>
      <c r="E3663" s="6">
        <v>2020</v>
      </c>
      <c r="F3663" s="6">
        <v>2020</v>
      </c>
      <c r="G3663" s="5" t="s">
        <v>3359</v>
      </c>
      <c r="H3663" s="5">
        <v>200</v>
      </c>
      <c r="I3663" s="5">
        <v>200</v>
      </c>
      <c r="J3663" s="5"/>
      <c r="K3663" s="5"/>
      <c r="L3663" s="10">
        <v>20201118</v>
      </c>
      <c r="M3663" s="36" t="str">
        <f t="shared" si="57"/>
        <v>19711215</v>
      </c>
    </row>
    <row r="3664" s="1" customFormat="1" spans="1:13">
      <c r="A3664" s="2">
        <v>445</v>
      </c>
      <c r="B3664" s="29" t="s">
        <v>1040</v>
      </c>
      <c r="C3664" s="29" t="s">
        <v>1166</v>
      </c>
      <c r="D3664" s="29" t="s">
        <v>1167</v>
      </c>
      <c r="E3664" s="30">
        <v>2020</v>
      </c>
      <c r="F3664" s="30">
        <v>2020</v>
      </c>
      <c r="G3664" s="29" t="s">
        <v>16</v>
      </c>
      <c r="H3664" s="29">
        <v>200</v>
      </c>
      <c r="I3664" s="29">
        <v>200</v>
      </c>
      <c r="J3664" s="29"/>
      <c r="K3664" s="47"/>
      <c r="L3664" s="14" t="s">
        <v>330</v>
      </c>
      <c r="M3664" s="36" t="str">
        <f t="shared" si="57"/>
        <v>19711216</v>
      </c>
    </row>
    <row r="3665" s="1" customFormat="1" ht="14.25" spans="1:13">
      <c r="A3665" s="2">
        <v>2992</v>
      </c>
      <c r="B3665" s="6" t="s">
        <v>6075</v>
      </c>
      <c r="C3665" s="25" t="s">
        <v>6509</v>
      </c>
      <c r="D3665" s="26" t="s">
        <v>6510</v>
      </c>
      <c r="E3665" s="5" t="s">
        <v>15</v>
      </c>
      <c r="F3665" s="5">
        <v>2020</v>
      </c>
      <c r="G3665" s="6" t="s">
        <v>16</v>
      </c>
      <c r="H3665" s="6">
        <v>200</v>
      </c>
      <c r="I3665" s="6">
        <v>200</v>
      </c>
      <c r="J3665" s="6"/>
      <c r="K3665" s="10"/>
      <c r="L3665" s="10">
        <v>20201118</v>
      </c>
      <c r="M3665" s="36" t="str">
        <f t="shared" si="57"/>
        <v>19711216</v>
      </c>
    </row>
    <row r="3666" s="1" customFormat="1" ht="14.25" spans="1:13">
      <c r="A3666" s="2">
        <v>7717</v>
      </c>
      <c r="B3666" s="5" t="s">
        <v>14875</v>
      </c>
      <c r="C3666" s="51" t="s">
        <v>14961</v>
      </c>
      <c r="D3666" s="24" t="str">
        <f>"152326197112177115"</f>
        <v>152326197112177115</v>
      </c>
      <c r="E3666" s="6" t="s">
        <v>15</v>
      </c>
      <c r="F3666" s="6">
        <v>2020</v>
      </c>
      <c r="G3666" s="24" t="s">
        <v>14877</v>
      </c>
      <c r="H3666" s="6">
        <v>200</v>
      </c>
      <c r="I3666" s="6">
        <v>200</v>
      </c>
      <c r="J3666" s="6"/>
      <c r="K3666" s="10"/>
      <c r="L3666" s="10">
        <v>20201118</v>
      </c>
      <c r="M3666" s="36" t="str">
        <f t="shared" si="57"/>
        <v>19711217</v>
      </c>
    </row>
    <row r="3667" s="1" customFormat="1" ht="14.25" spans="1:13">
      <c r="A3667" s="2">
        <v>2848</v>
      </c>
      <c r="B3667" s="6" t="s">
        <v>6075</v>
      </c>
      <c r="C3667" s="25" t="s">
        <v>6224</v>
      </c>
      <c r="D3667" s="26" t="s">
        <v>6225</v>
      </c>
      <c r="E3667" s="5" t="s">
        <v>15</v>
      </c>
      <c r="F3667" s="5">
        <v>2020</v>
      </c>
      <c r="G3667" s="6" t="s">
        <v>16</v>
      </c>
      <c r="H3667" s="6">
        <v>200</v>
      </c>
      <c r="I3667" s="6">
        <v>200</v>
      </c>
      <c r="J3667" s="6"/>
      <c r="K3667" s="10"/>
      <c r="L3667" s="10">
        <v>20201118</v>
      </c>
      <c r="M3667" s="36" t="str">
        <f t="shared" si="57"/>
        <v>19711218</v>
      </c>
    </row>
    <row r="3668" s="1" customFormat="1" ht="14.25" spans="1:13">
      <c r="A3668" s="2">
        <v>2789</v>
      </c>
      <c r="B3668" s="6" t="s">
        <v>6075</v>
      </c>
      <c r="C3668" s="25" t="s">
        <v>6108</v>
      </c>
      <c r="D3668" s="26" t="s">
        <v>6109</v>
      </c>
      <c r="E3668" s="5" t="s">
        <v>15</v>
      </c>
      <c r="F3668" s="5">
        <v>2020</v>
      </c>
      <c r="G3668" s="6" t="s">
        <v>16</v>
      </c>
      <c r="H3668" s="6">
        <v>200</v>
      </c>
      <c r="I3668" s="6">
        <v>200</v>
      </c>
      <c r="J3668" s="6"/>
      <c r="K3668" s="10"/>
      <c r="L3668" s="10">
        <v>20201118</v>
      </c>
      <c r="M3668" s="36" t="str">
        <f t="shared" si="57"/>
        <v>19711220</v>
      </c>
    </row>
    <row r="3669" s="1" customFormat="1" ht="14.25" spans="1:13">
      <c r="A3669" s="2">
        <v>7720</v>
      </c>
      <c r="B3669" s="5" t="s">
        <v>14875</v>
      </c>
      <c r="C3669" s="51" t="s">
        <v>6766</v>
      </c>
      <c r="D3669" s="24" t="str">
        <f>"152326197112217113"</f>
        <v>152326197112217113</v>
      </c>
      <c r="E3669" s="6" t="s">
        <v>15</v>
      </c>
      <c r="F3669" s="6">
        <v>2020</v>
      </c>
      <c r="G3669" s="24" t="s">
        <v>14877</v>
      </c>
      <c r="H3669" s="6">
        <v>200</v>
      </c>
      <c r="I3669" s="6">
        <v>200</v>
      </c>
      <c r="J3669" s="6"/>
      <c r="K3669" s="10"/>
      <c r="L3669" s="10">
        <v>20201118</v>
      </c>
      <c r="M3669" s="36" t="str">
        <f t="shared" si="57"/>
        <v>19711221</v>
      </c>
    </row>
    <row r="3670" s="1" customFormat="1" spans="1:13">
      <c r="A3670" s="2">
        <v>1630</v>
      </c>
      <c r="B3670" s="5" t="s">
        <v>3381</v>
      </c>
      <c r="C3670" s="9" t="s">
        <v>1984</v>
      </c>
      <c r="D3670" s="9" t="s">
        <v>3823</v>
      </c>
      <c r="E3670" s="5">
        <v>2020</v>
      </c>
      <c r="F3670" s="5">
        <v>2020</v>
      </c>
      <c r="G3670" s="14" t="s">
        <v>16</v>
      </c>
      <c r="H3670" s="6">
        <v>500</v>
      </c>
      <c r="I3670" s="6">
        <v>500</v>
      </c>
      <c r="J3670" s="5"/>
      <c r="K3670" s="13"/>
      <c r="L3670" s="10">
        <v>20201118</v>
      </c>
      <c r="M3670" s="36" t="str">
        <f t="shared" si="57"/>
        <v>19711222</v>
      </c>
    </row>
    <row r="3671" s="1" customFormat="1" spans="1:13">
      <c r="A3671" s="2">
        <v>6476</v>
      </c>
      <c r="B3671" s="5" t="s">
        <v>12263</v>
      </c>
      <c r="C3671" s="5" t="s">
        <v>12955</v>
      </c>
      <c r="D3671" s="5" t="s">
        <v>12956</v>
      </c>
      <c r="E3671" s="5" t="s">
        <v>6651</v>
      </c>
      <c r="F3671" s="5">
        <v>2020</v>
      </c>
      <c r="G3671" s="5" t="s">
        <v>295</v>
      </c>
      <c r="H3671" s="5" t="s">
        <v>311</v>
      </c>
      <c r="I3671" s="5">
        <v>1400</v>
      </c>
      <c r="J3671" s="5"/>
      <c r="K3671" s="5"/>
      <c r="L3671" s="10">
        <v>20201118</v>
      </c>
      <c r="M3671" s="36" t="str">
        <f t="shared" si="57"/>
        <v>19711222</v>
      </c>
    </row>
    <row r="3672" s="1" customFormat="1" spans="1:13">
      <c r="A3672" s="2">
        <v>764</v>
      </c>
      <c r="B3672" s="29" t="s">
        <v>1040</v>
      </c>
      <c r="C3672" s="5" t="s">
        <v>1942</v>
      </c>
      <c r="D3672" s="317" t="s">
        <v>1943</v>
      </c>
      <c r="E3672" s="30">
        <v>2020</v>
      </c>
      <c r="F3672" s="30">
        <v>2020</v>
      </c>
      <c r="G3672" s="29" t="s">
        <v>16</v>
      </c>
      <c r="H3672" s="29">
        <v>200</v>
      </c>
      <c r="I3672" s="29">
        <v>200</v>
      </c>
      <c r="J3672" s="32"/>
      <c r="K3672" s="32"/>
      <c r="L3672" s="14" t="s">
        <v>330</v>
      </c>
      <c r="M3672" s="36" t="str">
        <f t="shared" si="57"/>
        <v>19711223</v>
      </c>
    </row>
    <row r="3673" s="1" customFormat="1" spans="1:13">
      <c r="A3673" s="2">
        <v>2265</v>
      </c>
      <c r="B3673" s="9" t="s">
        <v>4837</v>
      </c>
      <c r="C3673" s="9" t="s">
        <v>5075</v>
      </c>
      <c r="D3673" s="9" t="s">
        <v>5076</v>
      </c>
      <c r="E3673" s="6" t="s">
        <v>15</v>
      </c>
      <c r="F3673" s="6">
        <v>2020</v>
      </c>
      <c r="G3673" s="9" t="s">
        <v>2480</v>
      </c>
      <c r="H3673" s="9">
        <v>200</v>
      </c>
      <c r="I3673" s="9">
        <v>200</v>
      </c>
      <c r="J3673" s="6"/>
      <c r="K3673" s="10"/>
      <c r="L3673" s="10">
        <v>20201118</v>
      </c>
      <c r="M3673" s="36" t="str">
        <f t="shared" si="57"/>
        <v>19711225</v>
      </c>
    </row>
    <row r="3674" s="1" customFormat="1" spans="1:13">
      <c r="A3674" s="2">
        <v>7089</v>
      </c>
      <c r="B3674" s="5" t="s">
        <v>13533</v>
      </c>
      <c r="C3674" s="32" t="s">
        <v>7475</v>
      </c>
      <c r="D3674" s="304" t="s">
        <v>13848</v>
      </c>
      <c r="E3674" s="5">
        <v>2020</v>
      </c>
      <c r="F3674" s="5">
        <v>2020</v>
      </c>
      <c r="G3674" s="9" t="s">
        <v>2480</v>
      </c>
      <c r="H3674" s="32">
        <v>200</v>
      </c>
      <c r="I3674" s="32">
        <v>200</v>
      </c>
      <c r="J3674" s="32"/>
      <c r="K3674" s="10"/>
      <c r="L3674" s="10">
        <v>20201118</v>
      </c>
      <c r="M3674" s="36" t="str">
        <f t="shared" si="57"/>
        <v>19711225</v>
      </c>
    </row>
    <row r="3675" s="1" customFormat="1" spans="1:13">
      <c r="A3675" s="2">
        <v>3850</v>
      </c>
      <c r="B3675" s="5" t="s">
        <v>7412</v>
      </c>
      <c r="C3675" s="5" t="s">
        <v>7937</v>
      </c>
      <c r="D3675" s="5" t="s">
        <v>7938</v>
      </c>
      <c r="E3675" s="6">
        <v>2020</v>
      </c>
      <c r="F3675" s="6">
        <v>2020</v>
      </c>
      <c r="G3675" s="5" t="s">
        <v>3359</v>
      </c>
      <c r="H3675" s="5">
        <v>200</v>
      </c>
      <c r="I3675" s="5">
        <v>200</v>
      </c>
      <c r="J3675" s="5"/>
      <c r="K3675" s="5"/>
      <c r="L3675" s="10">
        <v>20201118</v>
      </c>
      <c r="M3675" s="36" t="str">
        <f t="shared" si="57"/>
        <v>19711226</v>
      </c>
    </row>
    <row r="3676" s="1" customFormat="1" ht="14.25" spans="1:13">
      <c r="A3676" s="2">
        <v>7714</v>
      </c>
      <c r="B3676" s="5" t="s">
        <v>14875</v>
      </c>
      <c r="C3676" s="51" t="s">
        <v>14958</v>
      </c>
      <c r="D3676" s="24" t="str">
        <f>"152326197112267110"</f>
        <v>152326197112267110</v>
      </c>
      <c r="E3676" s="6" t="s">
        <v>15</v>
      </c>
      <c r="F3676" s="6">
        <v>2020</v>
      </c>
      <c r="G3676" s="24" t="s">
        <v>14877</v>
      </c>
      <c r="H3676" s="6">
        <v>200</v>
      </c>
      <c r="I3676" s="6">
        <v>200</v>
      </c>
      <c r="J3676" s="6"/>
      <c r="K3676" s="10"/>
      <c r="L3676" s="10">
        <v>20201118</v>
      </c>
      <c r="M3676" s="36" t="str">
        <f t="shared" si="57"/>
        <v>19711226</v>
      </c>
    </row>
    <row r="3677" s="1" customFormat="1" spans="1:13">
      <c r="A3677" s="2">
        <v>3405</v>
      </c>
      <c r="B3677" s="5" t="s">
        <v>3375</v>
      </c>
      <c r="C3677" s="6" t="s">
        <v>7183</v>
      </c>
      <c r="D3677" s="6" t="str">
        <f>"152326197112276877"</f>
        <v>152326197112276877</v>
      </c>
      <c r="E3677" s="5" t="s">
        <v>15</v>
      </c>
      <c r="F3677" s="5">
        <v>2020</v>
      </c>
      <c r="G3677" s="14" t="s">
        <v>16</v>
      </c>
      <c r="H3677" s="17">
        <v>200</v>
      </c>
      <c r="I3677" s="17">
        <v>200</v>
      </c>
      <c r="J3677" s="6"/>
      <c r="K3677" s="10"/>
      <c r="L3677" s="10">
        <v>20201118</v>
      </c>
      <c r="M3677" s="36" t="str">
        <f t="shared" si="57"/>
        <v>19711227</v>
      </c>
    </row>
    <row r="3678" s="1" customFormat="1" ht="14.25" spans="1:13">
      <c r="A3678" s="2">
        <v>2964</v>
      </c>
      <c r="B3678" s="6" t="s">
        <v>6075</v>
      </c>
      <c r="C3678" s="25" t="s">
        <v>6453</v>
      </c>
      <c r="D3678" s="26" t="s">
        <v>6454</v>
      </c>
      <c r="E3678" s="5" t="s">
        <v>15</v>
      </c>
      <c r="F3678" s="5">
        <v>2020</v>
      </c>
      <c r="G3678" s="6" t="s">
        <v>16</v>
      </c>
      <c r="H3678" s="6">
        <v>200</v>
      </c>
      <c r="I3678" s="6">
        <v>200</v>
      </c>
      <c r="J3678" s="6"/>
      <c r="K3678" s="10"/>
      <c r="L3678" s="10">
        <v>20201118</v>
      </c>
      <c r="M3678" s="36" t="str">
        <f t="shared" si="57"/>
        <v>19711229</v>
      </c>
    </row>
    <row r="3679" s="1" customFormat="1" spans="1:13">
      <c r="A3679" s="2">
        <v>3851</v>
      </c>
      <c r="B3679" s="5" t="s">
        <v>7412</v>
      </c>
      <c r="C3679" s="5" t="s">
        <v>7939</v>
      </c>
      <c r="D3679" s="5" t="s">
        <v>7940</v>
      </c>
      <c r="E3679" s="6">
        <v>2020</v>
      </c>
      <c r="F3679" s="6">
        <v>2020</v>
      </c>
      <c r="G3679" s="5" t="s">
        <v>3359</v>
      </c>
      <c r="H3679" s="5">
        <v>200</v>
      </c>
      <c r="I3679" s="5">
        <v>200</v>
      </c>
      <c r="J3679" s="5"/>
      <c r="K3679" s="5"/>
      <c r="L3679" s="10">
        <v>20201118</v>
      </c>
      <c r="M3679" s="36" t="str">
        <f t="shared" si="57"/>
        <v>19720101</v>
      </c>
    </row>
    <row r="3680" s="1" customFormat="1" ht="14.25" spans="1:13">
      <c r="A3680" s="2">
        <v>5326</v>
      </c>
      <c r="B3680" s="33" t="s">
        <v>10535</v>
      </c>
      <c r="C3680" s="34" t="s">
        <v>10765</v>
      </c>
      <c r="D3680" s="34" t="s">
        <v>10766</v>
      </c>
      <c r="E3680" s="35">
        <v>2020</v>
      </c>
      <c r="F3680" s="35">
        <v>2020</v>
      </c>
      <c r="G3680" s="35" t="s">
        <v>16</v>
      </c>
      <c r="H3680" s="34">
        <v>200</v>
      </c>
      <c r="I3680" s="34">
        <v>200</v>
      </c>
      <c r="J3680" s="49"/>
      <c r="K3680" s="10"/>
      <c r="L3680" s="10">
        <v>20201118</v>
      </c>
      <c r="M3680" s="36" t="str">
        <f t="shared" si="57"/>
        <v>19720101</v>
      </c>
    </row>
    <row r="3681" s="1" customFormat="1" ht="14.25" spans="1:13">
      <c r="A3681" s="2">
        <v>6076</v>
      </c>
      <c r="B3681" s="30" t="s">
        <v>11090</v>
      </c>
      <c r="C3681" s="32" t="s">
        <v>2991</v>
      </c>
      <c r="D3681" s="12" t="s">
        <v>12192</v>
      </c>
      <c r="E3681" s="5" t="s">
        <v>15</v>
      </c>
      <c r="F3681" s="5" t="s">
        <v>10250</v>
      </c>
      <c r="G3681" s="6" t="s">
        <v>16</v>
      </c>
      <c r="H3681" s="32">
        <v>200</v>
      </c>
      <c r="I3681" s="32">
        <v>200</v>
      </c>
      <c r="J3681" s="5"/>
      <c r="K3681" s="48"/>
      <c r="L3681" s="10">
        <v>20201118</v>
      </c>
      <c r="M3681" s="36" t="str">
        <f t="shared" si="57"/>
        <v>19720101</v>
      </c>
    </row>
    <row r="3682" s="1" customFormat="1" spans="1:13">
      <c r="A3682" s="2">
        <v>6356</v>
      </c>
      <c r="B3682" s="5" t="s">
        <v>12263</v>
      </c>
      <c r="C3682" s="5" t="s">
        <v>12728</v>
      </c>
      <c r="D3682" s="5" t="s">
        <v>12729</v>
      </c>
      <c r="E3682" s="5" t="s">
        <v>10250</v>
      </c>
      <c r="F3682" s="5">
        <v>2020</v>
      </c>
      <c r="G3682" s="17" t="s">
        <v>3359</v>
      </c>
      <c r="H3682" s="5" t="s">
        <v>311</v>
      </c>
      <c r="I3682" s="5">
        <v>200</v>
      </c>
      <c r="J3682" s="5"/>
      <c r="K3682" s="5"/>
      <c r="L3682" s="10">
        <v>20201118</v>
      </c>
      <c r="M3682" s="36" t="str">
        <f t="shared" si="57"/>
        <v>19720101</v>
      </c>
    </row>
    <row r="3683" s="1" customFormat="1" spans="1:13">
      <c r="A3683" s="2">
        <v>7968</v>
      </c>
      <c r="B3683" s="5" t="s">
        <v>15086</v>
      </c>
      <c r="C3683" s="6" t="s">
        <v>15240</v>
      </c>
      <c r="D3683" s="6" t="str">
        <f>"152326197201016874"</f>
        <v>152326197201016874</v>
      </c>
      <c r="E3683" s="5" t="s">
        <v>15</v>
      </c>
      <c r="F3683" s="5">
        <v>2020</v>
      </c>
      <c r="G3683" s="5" t="s">
        <v>16</v>
      </c>
      <c r="H3683" s="5">
        <v>500</v>
      </c>
      <c r="I3683" s="5">
        <v>500</v>
      </c>
      <c r="J3683" s="5"/>
      <c r="K3683" s="5"/>
      <c r="L3683" s="10">
        <v>20201118</v>
      </c>
      <c r="M3683" s="36" t="str">
        <f t="shared" si="57"/>
        <v>19720101</v>
      </c>
    </row>
    <row r="3684" s="1" customFormat="1" spans="1:13">
      <c r="A3684" s="2">
        <v>3131</v>
      </c>
      <c r="B3684" s="3" t="s">
        <v>6671</v>
      </c>
      <c r="C3684" s="9" t="s">
        <v>6783</v>
      </c>
      <c r="D3684" s="9" t="s">
        <v>6784</v>
      </c>
      <c r="E3684" s="3" t="s">
        <v>15</v>
      </c>
      <c r="F3684" s="3" t="s">
        <v>15</v>
      </c>
      <c r="G3684" s="6" t="s">
        <v>3359</v>
      </c>
      <c r="H3684" s="9">
        <v>200</v>
      </c>
      <c r="I3684" s="9">
        <v>200</v>
      </c>
      <c r="J3684" s="6"/>
      <c r="K3684" s="5"/>
      <c r="L3684" s="10">
        <v>20201118</v>
      </c>
      <c r="M3684" s="36" t="str">
        <f t="shared" si="57"/>
        <v>19720102</v>
      </c>
    </row>
    <row r="3685" s="1" customFormat="1" spans="1:13">
      <c r="A3685" s="2">
        <v>4803</v>
      </c>
      <c r="B3685" s="6" t="s">
        <v>9015</v>
      </c>
      <c r="C3685" s="6" t="s">
        <v>9754</v>
      </c>
      <c r="D3685" s="6" t="s">
        <v>9755</v>
      </c>
      <c r="E3685" s="6">
        <v>2020</v>
      </c>
      <c r="F3685" s="6">
        <v>2020</v>
      </c>
      <c r="G3685" s="6" t="s">
        <v>16</v>
      </c>
      <c r="H3685" s="6">
        <v>200</v>
      </c>
      <c r="I3685" s="6">
        <v>200</v>
      </c>
      <c r="J3685" s="6"/>
      <c r="K3685" s="6"/>
      <c r="L3685" s="10">
        <v>20201118</v>
      </c>
      <c r="M3685" s="36" t="str">
        <f t="shared" si="57"/>
        <v>19720102</v>
      </c>
    </row>
    <row r="3686" s="1" customFormat="1" spans="1:13">
      <c r="A3686" s="2">
        <v>1631</v>
      </c>
      <c r="B3686" s="5" t="s">
        <v>3381</v>
      </c>
      <c r="C3686" s="9" t="s">
        <v>3824</v>
      </c>
      <c r="D3686" s="9" t="s">
        <v>3825</v>
      </c>
      <c r="E3686" s="5">
        <v>2020</v>
      </c>
      <c r="F3686" s="5">
        <v>2020</v>
      </c>
      <c r="G3686" s="14" t="s">
        <v>16</v>
      </c>
      <c r="H3686" s="6">
        <v>200</v>
      </c>
      <c r="I3686" s="6">
        <v>200</v>
      </c>
      <c r="J3686" s="5"/>
      <c r="K3686" s="13"/>
      <c r="L3686" s="10">
        <v>20201118</v>
      </c>
      <c r="M3686" s="36" t="str">
        <f t="shared" si="57"/>
        <v>19720103</v>
      </c>
    </row>
    <row r="3687" s="1" customFormat="1" ht="14.25" spans="1:13">
      <c r="A3687" s="2">
        <v>5327</v>
      </c>
      <c r="B3687" s="33" t="s">
        <v>10535</v>
      </c>
      <c r="C3687" s="34" t="s">
        <v>10767</v>
      </c>
      <c r="D3687" s="34" t="s">
        <v>10768</v>
      </c>
      <c r="E3687" s="35">
        <v>2020</v>
      </c>
      <c r="F3687" s="35">
        <v>2020</v>
      </c>
      <c r="G3687" s="35" t="s">
        <v>16</v>
      </c>
      <c r="H3687" s="34">
        <v>200</v>
      </c>
      <c r="I3687" s="34">
        <v>200</v>
      </c>
      <c r="J3687" s="49"/>
      <c r="K3687" s="10"/>
      <c r="L3687" s="10">
        <v>20201118</v>
      </c>
      <c r="M3687" s="36" t="str">
        <f t="shared" si="57"/>
        <v>19720103</v>
      </c>
    </row>
    <row r="3688" s="1" customFormat="1" spans="1:13">
      <c r="A3688" s="2">
        <v>5010</v>
      </c>
      <c r="B3688" s="6" t="s">
        <v>9954</v>
      </c>
      <c r="C3688" s="60" t="s">
        <v>10156</v>
      </c>
      <c r="D3688" s="60" t="s">
        <v>10157</v>
      </c>
      <c r="E3688" s="5" t="s">
        <v>15</v>
      </c>
      <c r="F3688" s="5" t="s">
        <v>15</v>
      </c>
      <c r="G3688" s="14" t="s">
        <v>16</v>
      </c>
      <c r="H3688" s="6">
        <v>200</v>
      </c>
      <c r="I3688" s="6">
        <v>200</v>
      </c>
      <c r="J3688" s="6" t="s">
        <v>5625</v>
      </c>
      <c r="K3688" s="6"/>
      <c r="L3688" s="10">
        <v>20201118</v>
      </c>
      <c r="M3688" s="36" t="str">
        <f t="shared" si="57"/>
        <v>19720104</v>
      </c>
    </row>
    <row r="3689" s="1" customFormat="1" spans="1:13">
      <c r="A3689" s="2">
        <v>2445</v>
      </c>
      <c r="B3689" s="5" t="s">
        <v>5328</v>
      </c>
      <c r="C3689" s="16" t="s">
        <v>5429</v>
      </c>
      <c r="D3689" s="16" t="s">
        <v>5430</v>
      </c>
      <c r="E3689" s="5" t="s">
        <v>15</v>
      </c>
      <c r="F3689" s="5" t="s">
        <v>15</v>
      </c>
      <c r="G3689" s="14" t="s">
        <v>16</v>
      </c>
      <c r="H3689" s="6">
        <v>200</v>
      </c>
      <c r="I3689" s="6">
        <v>200</v>
      </c>
      <c r="J3689" s="5"/>
      <c r="K3689" s="5"/>
      <c r="L3689" s="10">
        <v>20201118</v>
      </c>
      <c r="M3689" s="36" t="str">
        <f t="shared" si="57"/>
        <v>19720105</v>
      </c>
    </row>
    <row r="3690" s="1" customFormat="1" spans="1:13">
      <c r="A3690" s="2">
        <v>2096</v>
      </c>
      <c r="B3690" s="5" t="s">
        <v>4189</v>
      </c>
      <c r="C3690" s="16" t="s">
        <v>4743</v>
      </c>
      <c r="D3690" s="16" t="s">
        <v>4744</v>
      </c>
      <c r="E3690" s="5" t="s">
        <v>15</v>
      </c>
      <c r="F3690" s="5" t="s">
        <v>15</v>
      </c>
      <c r="G3690" s="5" t="s">
        <v>3359</v>
      </c>
      <c r="H3690" s="16">
        <v>500</v>
      </c>
      <c r="I3690" s="16">
        <v>500</v>
      </c>
      <c r="J3690" s="5"/>
      <c r="K3690" s="10"/>
      <c r="L3690" s="10">
        <v>20201118</v>
      </c>
      <c r="M3690" s="36" t="str">
        <f t="shared" si="57"/>
        <v>19720106</v>
      </c>
    </row>
    <row r="3691" s="1" customFormat="1" spans="1:13">
      <c r="A3691" s="2">
        <v>5903</v>
      </c>
      <c r="B3691" s="30" t="s">
        <v>11090</v>
      </c>
      <c r="C3691" s="30" t="s">
        <v>11857</v>
      </c>
      <c r="D3691" s="30" t="s">
        <v>11858</v>
      </c>
      <c r="E3691" s="5" t="s">
        <v>15</v>
      </c>
      <c r="F3691" s="5" t="s">
        <v>10250</v>
      </c>
      <c r="G3691" s="6" t="s">
        <v>16</v>
      </c>
      <c r="H3691" s="32">
        <v>200</v>
      </c>
      <c r="I3691" s="32">
        <v>200</v>
      </c>
      <c r="J3691" s="6" t="s">
        <v>6097</v>
      </c>
      <c r="K3691" s="48"/>
      <c r="L3691" s="10">
        <v>20201118</v>
      </c>
      <c r="M3691" s="36" t="str">
        <f t="shared" si="57"/>
        <v>19720106</v>
      </c>
    </row>
    <row r="3692" s="1" customFormat="1" spans="1:13">
      <c r="A3692" s="2">
        <v>4701</v>
      </c>
      <c r="B3692" s="6" t="s">
        <v>9015</v>
      </c>
      <c r="C3692" s="6" t="s">
        <v>3054</v>
      </c>
      <c r="D3692" s="6" t="s">
        <v>9562</v>
      </c>
      <c r="E3692" s="6">
        <v>2020</v>
      </c>
      <c r="F3692" s="6">
        <v>2020</v>
      </c>
      <c r="G3692" s="6" t="s">
        <v>16</v>
      </c>
      <c r="H3692" s="6">
        <v>200</v>
      </c>
      <c r="I3692" s="6">
        <v>200</v>
      </c>
      <c r="J3692" s="6"/>
      <c r="K3692" s="6"/>
      <c r="L3692" s="10">
        <v>20201118</v>
      </c>
      <c r="M3692" s="36" t="str">
        <f t="shared" si="57"/>
        <v>19720109</v>
      </c>
    </row>
    <row r="3693" s="1" customFormat="1" spans="1:13">
      <c r="A3693" s="2">
        <v>7087</v>
      </c>
      <c r="B3693" s="5" t="s">
        <v>13533</v>
      </c>
      <c r="C3693" s="32" t="s">
        <v>7093</v>
      </c>
      <c r="D3693" s="304" t="s">
        <v>13845</v>
      </c>
      <c r="E3693" s="5">
        <v>2020</v>
      </c>
      <c r="F3693" s="5">
        <v>2020</v>
      </c>
      <c r="G3693" s="9" t="s">
        <v>2480</v>
      </c>
      <c r="H3693" s="32">
        <v>200</v>
      </c>
      <c r="I3693" s="32">
        <v>200</v>
      </c>
      <c r="J3693" s="32"/>
      <c r="K3693" s="10"/>
      <c r="L3693" s="10">
        <v>20201118</v>
      </c>
      <c r="M3693" s="36" t="str">
        <f t="shared" si="57"/>
        <v>19720109</v>
      </c>
    </row>
    <row r="3694" s="1" customFormat="1" spans="1:13">
      <c r="A3694" s="2">
        <v>267</v>
      </c>
      <c r="B3694" s="14" t="s">
        <v>327</v>
      </c>
      <c r="C3694" s="17" t="s">
        <v>687</v>
      </c>
      <c r="D3694" s="17" t="s">
        <v>688</v>
      </c>
      <c r="E3694" s="5">
        <v>2020</v>
      </c>
      <c r="F3694" s="5">
        <v>2020</v>
      </c>
      <c r="G3694" s="14" t="s">
        <v>16</v>
      </c>
      <c r="H3694" s="17">
        <v>200</v>
      </c>
      <c r="I3694" s="17">
        <v>200</v>
      </c>
      <c r="J3694" s="17"/>
      <c r="K3694" s="10"/>
      <c r="L3694" s="2" t="s">
        <v>330</v>
      </c>
      <c r="M3694" s="36" t="str">
        <f t="shared" si="57"/>
        <v>19720110</v>
      </c>
    </row>
    <row r="3695" s="1" customFormat="1" spans="1:13">
      <c r="A3695" s="2">
        <v>3852</v>
      </c>
      <c r="B3695" s="5" t="s">
        <v>7412</v>
      </c>
      <c r="C3695" s="5" t="s">
        <v>7941</v>
      </c>
      <c r="D3695" s="5" t="s">
        <v>7942</v>
      </c>
      <c r="E3695" s="6">
        <v>2020</v>
      </c>
      <c r="F3695" s="6">
        <v>2020</v>
      </c>
      <c r="G3695" s="5" t="s">
        <v>3359</v>
      </c>
      <c r="H3695" s="5">
        <v>200</v>
      </c>
      <c r="I3695" s="5">
        <v>200</v>
      </c>
      <c r="J3695" s="5"/>
      <c r="K3695" s="5"/>
      <c r="L3695" s="10">
        <v>20201118</v>
      </c>
      <c r="M3695" s="36" t="str">
        <f t="shared" si="57"/>
        <v>19720110</v>
      </c>
    </row>
    <row r="3696" s="1" customFormat="1" spans="1:13">
      <c r="A3696" s="2">
        <v>4277</v>
      </c>
      <c r="B3696" s="9" t="s">
        <v>8515</v>
      </c>
      <c r="C3696" s="9" t="s">
        <v>8749</v>
      </c>
      <c r="D3696" s="9" t="s">
        <v>8750</v>
      </c>
      <c r="E3696" s="5" t="s">
        <v>15</v>
      </c>
      <c r="F3696" s="5">
        <v>2020</v>
      </c>
      <c r="G3696" s="9" t="s">
        <v>2480</v>
      </c>
      <c r="H3696" s="9">
        <v>200</v>
      </c>
      <c r="I3696" s="9">
        <v>200</v>
      </c>
      <c r="J3696" s="9"/>
      <c r="K3696" s="9"/>
      <c r="L3696" s="10">
        <v>20201118</v>
      </c>
      <c r="M3696" s="36" t="str">
        <f t="shared" si="57"/>
        <v>19720111</v>
      </c>
    </row>
    <row r="3697" s="1" customFormat="1" ht="14.25" spans="1:13">
      <c r="A3697" s="2">
        <v>2810</v>
      </c>
      <c r="B3697" s="6" t="s">
        <v>6075</v>
      </c>
      <c r="C3697" s="25" t="s">
        <v>6148</v>
      </c>
      <c r="D3697" s="26" t="s">
        <v>6149</v>
      </c>
      <c r="E3697" s="5" t="s">
        <v>15</v>
      </c>
      <c r="F3697" s="5">
        <v>2020</v>
      </c>
      <c r="G3697" s="6" t="s">
        <v>16</v>
      </c>
      <c r="H3697" s="6">
        <v>200</v>
      </c>
      <c r="I3697" s="6">
        <v>200</v>
      </c>
      <c r="J3697" s="6"/>
      <c r="K3697" s="10"/>
      <c r="L3697" s="10">
        <v>20201118</v>
      </c>
      <c r="M3697" s="36" t="str">
        <f t="shared" si="57"/>
        <v>19720113</v>
      </c>
    </row>
    <row r="3698" s="1" customFormat="1" spans="1:13">
      <c r="A3698" s="2">
        <v>5206</v>
      </c>
      <c r="B3698" s="6" t="s">
        <v>10242</v>
      </c>
      <c r="C3698" s="9" t="s">
        <v>10531</v>
      </c>
      <c r="D3698" s="287" t="s">
        <v>10532</v>
      </c>
      <c r="E3698" s="5" t="s">
        <v>288</v>
      </c>
      <c r="F3698" s="5">
        <v>2020</v>
      </c>
      <c r="G3698" s="6" t="s">
        <v>2460</v>
      </c>
      <c r="H3698" s="6">
        <v>200</v>
      </c>
      <c r="I3698" s="6">
        <v>800</v>
      </c>
      <c r="J3698" s="6"/>
      <c r="K3698" s="5"/>
      <c r="L3698" s="10">
        <v>20201118</v>
      </c>
      <c r="M3698" s="36" t="str">
        <f t="shared" si="57"/>
        <v>19720115</v>
      </c>
    </row>
    <row r="3699" s="1" customFormat="1" spans="1:13">
      <c r="A3699" s="2">
        <v>5655</v>
      </c>
      <c r="B3699" s="30" t="s">
        <v>11090</v>
      </c>
      <c r="C3699" s="30" t="s">
        <v>11397</v>
      </c>
      <c r="D3699" s="30" t="s">
        <v>11398</v>
      </c>
      <c r="E3699" s="5" t="s">
        <v>15</v>
      </c>
      <c r="F3699" s="5" t="s">
        <v>10250</v>
      </c>
      <c r="G3699" s="6" t="s">
        <v>16</v>
      </c>
      <c r="H3699" s="32">
        <v>200</v>
      </c>
      <c r="I3699" s="32">
        <v>200</v>
      </c>
      <c r="J3699" s="6"/>
      <c r="K3699" s="48"/>
      <c r="L3699" s="10">
        <v>20201118</v>
      </c>
      <c r="M3699" s="36" t="str">
        <f t="shared" si="57"/>
        <v>19720115</v>
      </c>
    </row>
    <row r="3700" s="1" customFormat="1" spans="1:13">
      <c r="A3700" s="2">
        <v>6219</v>
      </c>
      <c r="B3700" s="5" t="s">
        <v>12263</v>
      </c>
      <c r="C3700" s="5" t="s">
        <v>12464</v>
      </c>
      <c r="D3700" s="5" t="s">
        <v>12465</v>
      </c>
      <c r="E3700" s="5" t="s">
        <v>10250</v>
      </c>
      <c r="F3700" s="5">
        <v>2020</v>
      </c>
      <c r="G3700" s="17" t="s">
        <v>3359</v>
      </c>
      <c r="H3700" s="5">
        <v>200</v>
      </c>
      <c r="I3700" s="5">
        <v>200</v>
      </c>
      <c r="J3700" s="5"/>
      <c r="K3700" s="5"/>
      <c r="L3700" s="10">
        <v>20201118</v>
      </c>
      <c r="M3700" s="36" t="str">
        <f t="shared" si="57"/>
        <v>19720115</v>
      </c>
    </row>
    <row r="3701" s="1" customFormat="1" spans="1:13">
      <c r="A3701" s="2">
        <v>4451</v>
      </c>
      <c r="B3701" s="6" t="s">
        <v>9015</v>
      </c>
      <c r="C3701" s="6" t="s">
        <v>9089</v>
      </c>
      <c r="D3701" s="6" t="s">
        <v>9090</v>
      </c>
      <c r="E3701" s="6">
        <v>2020</v>
      </c>
      <c r="F3701" s="6">
        <v>2020</v>
      </c>
      <c r="G3701" s="6" t="s">
        <v>16</v>
      </c>
      <c r="H3701" s="6">
        <v>200</v>
      </c>
      <c r="I3701" s="6">
        <v>200</v>
      </c>
      <c r="J3701" s="6" t="s">
        <v>108</v>
      </c>
      <c r="K3701" s="6"/>
      <c r="L3701" s="10">
        <v>20201118</v>
      </c>
      <c r="M3701" s="36" t="str">
        <f t="shared" si="57"/>
        <v>19720116</v>
      </c>
    </row>
    <row r="3702" s="1" customFormat="1" spans="1:13">
      <c r="A3702" s="2">
        <v>1088</v>
      </c>
      <c r="B3702" s="5" t="s">
        <v>2469</v>
      </c>
      <c r="C3702" s="9" t="s">
        <v>2765</v>
      </c>
      <c r="D3702" s="9" t="s">
        <v>2766</v>
      </c>
      <c r="E3702" s="5">
        <v>2020</v>
      </c>
      <c r="F3702" s="5">
        <v>2020</v>
      </c>
      <c r="G3702" s="9" t="s">
        <v>2480</v>
      </c>
      <c r="H3702" s="9">
        <v>200</v>
      </c>
      <c r="I3702" s="9">
        <v>200</v>
      </c>
      <c r="J3702" s="5"/>
      <c r="K3702" s="5"/>
      <c r="L3702" s="10">
        <v>20201118</v>
      </c>
      <c r="M3702" s="36" t="str">
        <f t="shared" si="57"/>
        <v>19720117</v>
      </c>
    </row>
    <row r="3703" s="1" customFormat="1" spans="1:13">
      <c r="A3703" s="2">
        <v>1935</v>
      </c>
      <c r="B3703" s="5" t="s">
        <v>4189</v>
      </c>
      <c r="C3703" s="16" t="s">
        <v>4430</v>
      </c>
      <c r="D3703" s="16" t="s">
        <v>4431</v>
      </c>
      <c r="E3703" s="5" t="s">
        <v>15</v>
      </c>
      <c r="F3703" s="5" t="s">
        <v>15</v>
      </c>
      <c r="G3703" s="5" t="s">
        <v>3359</v>
      </c>
      <c r="H3703" s="16">
        <v>200</v>
      </c>
      <c r="I3703" s="16">
        <v>200</v>
      </c>
      <c r="J3703" s="5"/>
      <c r="K3703" s="10"/>
      <c r="L3703" s="10">
        <v>20201118</v>
      </c>
      <c r="M3703" s="36" t="str">
        <f t="shared" si="57"/>
        <v>19720117</v>
      </c>
    </row>
    <row r="3704" s="1" customFormat="1" ht="14.25" spans="1:13">
      <c r="A3704" s="2">
        <v>7704</v>
      </c>
      <c r="B3704" s="5" t="s">
        <v>14875</v>
      </c>
      <c r="C3704" s="51" t="s">
        <v>8292</v>
      </c>
      <c r="D3704" s="24" t="str">
        <f>"152326197201187120"</f>
        <v>152326197201187120</v>
      </c>
      <c r="E3704" s="6" t="s">
        <v>15</v>
      </c>
      <c r="F3704" s="6">
        <v>2020</v>
      </c>
      <c r="G3704" s="24" t="s">
        <v>14877</v>
      </c>
      <c r="H3704" s="6">
        <v>200</v>
      </c>
      <c r="I3704" s="6">
        <v>200</v>
      </c>
      <c r="J3704" s="6"/>
      <c r="K3704" s="10"/>
      <c r="L3704" s="10">
        <v>20201118</v>
      </c>
      <c r="M3704" s="36" t="str">
        <f t="shared" si="57"/>
        <v>19720118</v>
      </c>
    </row>
    <row r="3705" s="1" customFormat="1" spans="1:13">
      <c r="A3705" s="2">
        <v>871</v>
      </c>
      <c r="B3705" s="29" t="s">
        <v>1040</v>
      </c>
      <c r="C3705" s="6" t="s">
        <v>2260</v>
      </c>
      <c r="D3705" s="6" t="s">
        <v>2261</v>
      </c>
      <c r="E3705" s="30">
        <v>2020</v>
      </c>
      <c r="F3705" s="30">
        <v>2020</v>
      </c>
      <c r="G3705" s="29" t="s">
        <v>16</v>
      </c>
      <c r="H3705" s="29">
        <v>200</v>
      </c>
      <c r="I3705" s="29">
        <v>200</v>
      </c>
      <c r="J3705" s="32"/>
      <c r="K3705" s="32"/>
      <c r="L3705" s="14" t="s">
        <v>330</v>
      </c>
      <c r="M3705" s="36" t="str">
        <f t="shared" si="57"/>
        <v>19720120</v>
      </c>
    </row>
    <row r="3706" s="1" customFormat="1" spans="1:13">
      <c r="A3706" s="2">
        <v>4278</v>
      </c>
      <c r="B3706" s="9" t="s">
        <v>8515</v>
      </c>
      <c r="C3706" s="9" t="s">
        <v>8751</v>
      </c>
      <c r="D3706" s="9" t="s">
        <v>8752</v>
      </c>
      <c r="E3706" s="5" t="s">
        <v>15</v>
      </c>
      <c r="F3706" s="5">
        <v>2020</v>
      </c>
      <c r="G3706" s="9" t="s">
        <v>2480</v>
      </c>
      <c r="H3706" s="9">
        <v>200</v>
      </c>
      <c r="I3706" s="9">
        <v>200</v>
      </c>
      <c r="J3706" s="9"/>
      <c r="K3706" s="9"/>
      <c r="L3706" s="10">
        <v>20201118</v>
      </c>
      <c r="M3706" s="36" t="str">
        <f t="shared" si="57"/>
        <v>19720120</v>
      </c>
    </row>
    <row r="3707" s="1" customFormat="1" ht="14.25" spans="1:13">
      <c r="A3707" s="2">
        <v>5328</v>
      </c>
      <c r="B3707" s="33" t="s">
        <v>10535</v>
      </c>
      <c r="C3707" s="34" t="s">
        <v>10769</v>
      </c>
      <c r="D3707" s="34" t="s">
        <v>10770</v>
      </c>
      <c r="E3707" s="35">
        <v>2020</v>
      </c>
      <c r="F3707" s="35">
        <v>2020</v>
      </c>
      <c r="G3707" s="35" t="s">
        <v>16</v>
      </c>
      <c r="H3707" s="34">
        <v>200</v>
      </c>
      <c r="I3707" s="34">
        <v>200</v>
      </c>
      <c r="J3707" s="49"/>
      <c r="K3707" s="10"/>
      <c r="L3707" s="10">
        <v>20201118</v>
      </c>
      <c r="M3707" s="36" t="str">
        <f t="shared" si="57"/>
        <v>19720125</v>
      </c>
    </row>
    <row r="3708" s="1" customFormat="1" spans="1:13">
      <c r="A3708" s="2">
        <v>7264</v>
      </c>
      <c r="B3708" s="5" t="s">
        <v>13908</v>
      </c>
      <c r="C3708" s="5" t="s">
        <v>14170</v>
      </c>
      <c r="D3708" s="5" t="s">
        <v>14171</v>
      </c>
      <c r="E3708" s="5" t="s">
        <v>15</v>
      </c>
      <c r="F3708" s="5" t="s">
        <v>15</v>
      </c>
      <c r="G3708" s="14" t="s">
        <v>16</v>
      </c>
      <c r="H3708" s="17">
        <v>200</v>
      </c>
      <c r="I3708" s="17">
        <v>200</v>
      </c>
      <c r="J3708" s="5"/>
      <c r="K3708" s="10"/>
      <c r="L3708" s="10">
        <v>20201118</v>
      </c>
      <c r="M3708" s="36" t="str">
        <f t="shared" si="57"/>
        <v>19720125</v>
      </c>
    </row>
    <row r="3709" s="1" customFormat="1" spans="1:13">
      <c r="A3709" s="2">
        <v>3150</v>
      </c>
      <c r="B3709" s="3" t="s">
        <v>6671</v>
      </c>
      <c r="C3709" s="9" t="s">
        <v>4830</v>
      </c>
      <c r="D3709" s="9" t="s">
        <v>6819</v>
      </c>
      <c r="E3709" s="3" t="s">
        <v>15</v>
      </c>
      <c r="F3709" s="3" t="s">
        <v>15</v>
      </c>
      <c r="G3709" s="6" t="s">
        <v>3359</v>
      </c>
      <c r="H3709" s="9">
        <v>200</v>
      </c>
      <c r="I3709" s="9">
        <v>200</v>
      </c>
      <c r="J3709" s="6"/>
      <c r="K3709" s="5"/>
      <c r="L3709" s="10">
        <v>20201118</v>
      </c>
      <c r="M3709" s="36" t="str">
        <f t="shared" si="57"/>
        <v>19720127</v>
      </c>
    </row>
    <row r="3710" s="1" customFormat="1" spans="1:13">
      <c r="A3710" s="2">
        <v>6205</v>
      </c>
      <c r="B3710" s="5" t="s">
        <v>12263</v>
      </c>
      <c r="C3710" s="5" t="s">
        <v>12438</v>
      </c>
      <c r="D3710" s="5" t="s">
        <v>12439</v>
      </c>
      <c r="E3710" s="5" t="s">
        <v>10250</v>
      </c>
      <c r="F3710" s="5">
        <v>2020</v>
      </c>
      <c r="G3710" s="17" t="s">
        <v>3359</v>
      </c>
      <c r="H3710" s="5">
        <v>500</v>
      </c>
      <c r="I3710" s="5">
        <v>500</v>
      </c>
      <c r="J3710" s="5"/>
      <c r="K3710" s="5"/>
      <c r="L3710" s="10">
        <v>20201118</v>
      </c>
      <c r="M3710" s="36" t="str">
        <f t="shared" si="57"/>
        <v>19720127</v>
      </c>
    </row>
    <row r="3711" s="1" customFormat="1" spans="1:13">
      <c r="A3711" s="2">
        <v>493</v>
      </c>
      <c r="B3711" s="29" t="s">
        <v>1040</v>
      </c>
      <c r="C3711" s="29" t="s">
        <v>1263</v>
      </c>
      <c r="D3711" s="29" t="s">
        <v>1264</v>
      </c>
      <c r="E3711" s="30">
        <v>2020</v>
      </c>
      <c r="F3711" s="30">
        <v>2020</v>
      </c>
      <c r="G3711" s="29" t="s">
        <v>16</v>
      </c>
      <c r="H3711" s="29">
        <v>200</v>
      </c>
      <c r="I3711" s="29">
        <v>200</v>
      </c>
      <c r="J3711" s="29"/>
      <c r="K3711" s="47"/>
      <c r="L3711" s="14" t="s">
        <v>330</v>
      </c>
      <c r="M3711" s="36" t="str">
        <f t="shared" si="57"/>
        <v>19720129</v>
      </c>
    </row>
    <row r="3712" s="1" customFormat="1" spans="1:13">
      <c r="A3712" s="2">
        <v>3853</v>
      </c>
      <c r="B3712" s="5" t="s">
        <v>7412</v>
      </c>
      <c r="C3712" s="5" t="s">
        <v>7904</v>
      </c>
      <c r="D3712" s="5" t="s">
        <v>7943</v>
      </c>
      <c r="E3712" s="6">
        <v>2020</v>
      </c>
      <c r="F3712" s="6">
        <v>2020</v>
      </c>
      <c r="G3712" s="5" t="s">
        <v>3359</v>
      </c>
      <c r="H3712" s="5">
        <v>200</v>
      </c>
      <c r="I3712" s="5">
        <v>200</v>
      </c>
      <c r="J3712" s="5"/>
      <c r="K3712" s="5"/>
      <c r="L3712" s="10">
        <v>20201118</v>
      </c>
      <c r="M3712" s="36" t="str">
        <f t="shared" si="57"/>
        <v>19720129</v>
      </c>
    </row>
    <row r="3713" s="1" customFormat="1" spans="1:13">
      <c r="A3713" s="2">
        <v>3854</v>
      </c>
      <c r="B3713" s="5" t="s">
        <v>7412</v>
      </c>
      <c r="C3713" s="5" t="s">
        <v>7944</v>
      </c>
      <c r="D3713" s="5" t="s">
        <v>7945</v>
      </c>
      <c r="E3713" s="6">
        <v>2020</v>
      </c>
      <c r="F3713" s="6">
        <v>2020</v>
      </c>
      <c r="G3713" s="5" t="s">
        <v>3359</v>
      </c>
      <c r="H3713" s="5">
        <v>200</v>
      </c>
      <c r="I3713" s="5">
        <v>200</v>
      </c>
      <c r="J3713" s="5"/>
      <c r="K3713" s="5"/>
      <c r="L3713" s="10">
        <v>20201118</v>
      </c>
      <c r="M3713" s="36" t="str">
        <f t="shared" si="57"/>
        <v>19720130</v>
      </c>
    </row>
    <row r="3714" s="1" customFormat="1" spans="1:13">
      <c r="A3714" s="2">
        <v>3220</v>
      </c>
      <c r="B3714" s="3" t="s">
        <v>6671</v>
      </c>
      <c r="C3714" s="9" t="s">
        <v>6946</v>
      </c>
      <c r="D3714" s="9" t="s">
        <v>6947</v>
      </c>
      <c r="E3714" s="3" t="s">
        <v>15</v>
      </c>
      <c r="F3714" s="3" t="s">
        <v>15</v>
      </c>
      <c r="G3714" s="6" t="s">
        <v>3359</v>
      </c>
      <c r="H3714" s="9">
        <v>200</v>
      </c>
      <c r="I3714" s="9">
        <v>200</v>
      </c>
      <c r="J3714" s="6"/>
      <c r="K3714" s="5"/>
      <c r="L3714" s="10">
        <v>20201118</v>
      </c>
      <c r="M3714" s="36" t="str">
        <f t="shared" ref="M3714:M3777" si="58">MID(D3714,7,8)</f>
        <v>19720201</v>
      </c>
    </row>
    <row r="3715" s="1" customFormat="1" spans="1:13">
      <c r="A3715" s="2">
        <v>3855</v>
      </c>
      <c r="B3715" s="5" t="s">
        <v>7412</v>
      </c>
      <c r="C3715" s="5" t="s">
        <v>7946</v>
      </c>
      <c r="D3715" s="5" t="s">
        <v>7947</v>
      </c>
      <c r="E3715" s="6">
        <v>2020</v>
      </c>
      <c r="F3715" s="6">
        <v>2020</v>
      </c>
      <c r="G3715" s="5" t="s">
        <v>3359</v>
      </c>
      <c r="H3715" s="5">
        <v>200</v>
      </c>
      <c r="I3715" s="5">
        <v>200</v>
      </c>
      <c r="J3715" s="5"/>
      <c r="K3715" s="5"/>
      <c r="L3715" s="10">
        <v>20201118</v>
      </c>
      <c r="M3715" s="36" t="str">
        <f t="shared" si="58"/>
        <v>19720201</v>
      </c>
    </row>
    <row r="3716" s="1" customFormat="1" spans="1:13">
      <c r="A3716" s="2">
        <v>5622</v>
      </c>
      <c r="B3716" s="30" t="s">
        <v>11090</v>
      </c>
      <c r="C3716" s="30" t="s">
        <v>11334</v>
      </c>
      <c r="D3716" s="30" t="s">
        <v>11335</v>
      </c>
      <c r="E3716" s="5" t="s">
        <v>15</v>
      </c>
      <c r="F3716" s="5" t="s">
        <v>10250</v>
      </c>
      <c r="G3716" s="6" t="s">
        <v>16</v>
      </c>
      <c r="H3716" s="32">
        <v>200</v>
      </c>
      <c r="I3716" s="32">
        <v>200</v>
      </c>
      <c r="J3716" s="6"/>
      <c r="K3716" s="48"/>
      <c r="L3716" s="10">
        <v>20201118</v>
      </c>
      <c r="M3716" s="36" t="str">
        <f t="shared" si="58"/>
        <v>19720201</v>
      </c>
    </row>
    <row r="3717" s="1" customFormat="1" spans="1:13">
      <c r="A3717" s="2">
        <v>278</v>
      </c>
      <c r="B3717" s="14" t="s">
        <v>327</v>
      </c>
      <c r="C3717" s="17" t="s">
        <v>720</v>
      </c>
      <c r="D3717" s="17" t="s">
        <v>721</v>
      </c>
      <c r="E3717" s="5">
        <v>2020</v>
      </c>
      <c r="F3717" s="5">
        <v>2020</v>
      </c>
      <c r="G3717" s="14" t="s">
        <v>16</v>
      </c>
      <c r="H3717" s="17">
        <v>200</v>
      </c>
      <c r="I3717" s="17">
        <v>200</v>
      </c>
      <c r="J3717" s="17"/>
      <c r="K3717" s="10"/>
      <c r="L3717" s="14" t="s">
        <v>330</v>
      </c>
      <c r="M3717" s="36" t="str">
        <f t="shared" si="58"/>
        <v>19720202</v>
      </c>
    </row>
    <row r="3718" s="1" customFormat="1" spans="1:13">
      <c r="A3718" s="2">
        <v>2446</v>
      </c>
      <c r="B3718" s="5" t="s">
        <v>5328</v>
      </c>
      <c r="C3718" s="16" t="s">
        <v>5431</v>
      </c>
      <c r="D3718" s="16" t="s">
        <v>5432</v>
      </c>
      <c r="E3718" s="5" t="s">
        <v>15</v>
      </c>
      <c r="F3718" s="5" t="s">
        <v>15</v>
      </c>
      <c r="G3718" s="14" t="s">
        <v>16</v>
      </c>
      <c r="H3718" s="6">
        <v>200</v>
      </c>
      <c r="I3718" s="6">
        <v>200</v>
      </c>
      <c r="J3718" s="5"/>
      <c r="K3718" s="5"/>
      <c r="L3718" s="10">
        <v>20201118</v>
      </c>
      <c r="M3718" s="36" t="str">
        <f t="shared" si="58"/>
        <v>19720202</v>
      </c>
    </row>
    <row r="3719" s="1" customFormat="1" spans="1:13">
      <c r="A3719" s="2">
        <v>4279</v>
      </c>
      <c r="B3719" s="9" t="s">
        <v>8515</v>
      </c>
      <c r="C3719" s="9" t="s">
        <v>8753</v>
      </c>
      <c r="D3719" s="9" t="s">
        <v>8754</v>
      </c>
      <c r="E3719" s="5" t="s">
        <v>15</v>
      </c>
      <c r="F3719" s="5">
        <v>2020</v>
      </c>
      <c r="G3719" s="9" t="s">
        <v>2480</v>
      </c>
      <c r="H3719" s="9">
        <v>200</v>
      </c>
      <c r="I3719" s="9">
        <v>200</v>
      </c>
      <c r="J3719" s="9"/>
      <c r="K3719" s="9"/>
      <c r="L3719" s="10">
        <v>20201118</v>
      </c>
      <c r="M3719" s="36" t="str">
        <f t="shared" si="58"/>
        <v>19720202</v>
      </c>
    </row>
    <row r="3720" s="1" customFormat="1" spans="1:13">
      <c r="A3720" s="2">
        <v>4574</v>
      </c>
      <c r="B3720" s="6" t="s">
        <v>9015</v>
      </c>
      <c r="C3720" s="6" t="s">
        <v>9325</v>
      </c>
      <c r="D3720" s="6" t="s">
        <v>9326</v>
      </c>
      <c r="E3720" s="6">
        <v>2020</v>
      </c>
      <c r="F3720" s="6">
        <v>2020</v>
      </c>
      <c r="G3720" s="6" t="s">
        <v>16</v>
      </c>
      <c r="H3720" s="6">
        <v>200</v>
      </c>
      <c r="I3720" s="6">
        <v>200</v>
      </c>
      <c r="J3720" s="6"/>
      <c r="K3720" s="6"/>
      <c r="L3720" s="10">
        <v>20201118</v>
      </c>
      <c r="M3720" s="36" t="str">
        <f t="shared" si="58"/>
        <v>19720202</v>
      </c>
    </row>
    <row r="3721" s="1" customFormat="1" spans="1:13">
      <c r="A3721" s="2">
        <v>469</v>
      </c>
      <c r="B3721" s="29" t="s">
        <v>1040</v>
      </c>
      <c r="C3721" s="29" t="s">
        <v>1214</v>
      </c>
      <c r="D3721" s="29" t="s">
        <v>1215</v>
      </c>
      <c r="E3721" s="30">
        <v>2020</v>
      </c>
      <c r="F3721" s="30">
        <v>2020</v>
      </c>
      <c r="G3721" s="29" t="s">
        <v>16</v>
      </c>
      <c r="H3721" s="29">
        <v>200</v>
      </c>
      <c r="I3721" s="29">
        <v>200</v>
      </c>
      <c r="J3721" s="29"/>
      <c r="K3721" s="47"/>
      <c r="L3721" s="14" t="s">
        <v>330</v>
      </c>
      <c r="M3721" s="36" t="str">
        <f t="shared" si="58"/>
        <v>19720203</v>
      </c>
    </row>
    <row r="3722" s="1" customFormat="1" ht="14.25" spans="1:13">
      <c r="A3722" s="2">
        <v>5495</v>
      </c>
      <c r="B3722" s="33" t="s">
        <v>10535</v>
      </c>
      <c r="C3722" s="55" t="s">
        <v>11083</v>
      </c>
      <c r="D3722" s="55" t="s">
        <v>11084</v>
      </c>
      <c r="E3722" s="34" t="s">
        <v>292</v>
      </c>
      <c r="F3722" s="35" t="s">
        <v>15</v>
      </c>
      <c r="G3722" s="35" t="s">
        <v>289</v>
      </c>
      <c r="H3722" s="55" t="s">
        <v>311</v>
      </c>
      <c r="I3722" s="55">
        <v>1000</v>
      </c>
      <c r="J3722" s="49"/>
      <c r="K3722" s="10"/>
      <c r="L3722" s="10">
        <v>20201118</v>
      </c>
      <c r="M3722" s="36" t="str">
        <f t="shared" si="58"/>
        <v>19720204</v>
      </c>
    </row>
    <row r="3723" s="1" customFormat="1" spans="1:13">
      <c r="A3723" s="2">
        <v>1632</v>
      </c>
      <c r="B3723" s="5" t="s">
        <v>3381</v>
      </c>
      <c r="C3723" s="9" t="s">
        <v>3826</v>
      </c>
      <c r="D3723" s="9" t="s">
        <v>3827</v>
      </c>
      <c r="E3723" s="5">
        <v>2020</v>
      </c>
      <c r="F3723" s="5">
        <v>2020</v>
      </c>
      <c r="G3723" s="14" t="s">
        <v>16</v>
      </c>
      <c r="H3723" s="6">
        <v>200</v>
      </c>
      <c r="I3723" s="6">
        <v>200</v>
      </c>
      <c r="J3723" s="5"/>
      <c r="K3723" s="13"/>
      <c r="L3723" s="10">
        <v>20201118</v>
      </c>
      <c r="M3723" s="36" t="str">
        <f t="shared" si="58"/>
        <v>19720205</v>
      </c>
    </row>
    <row r="3724" s="1" customFormat="1" spans="1:13">
      <c r="A3724" s="2">
        <v>5663</v>
      </c>
      <c r="B3724" s="30" t="s">
        <v>11090</v>
      </c>
      <c r="C3724" s="30" t="s">
        <v>11411</v>
      </c>
      <c r="D3724" s="30" t="s">
        <v>11412</v>
      </c>
      <c r="E3724" s="5" t="s">
        <v>15</v>
      </c>
      <c r="F3724" s="5" t="s">
        <v>10250</v>
      </c>
      <c r="G3724" s="6" t="s">
        <v>16</v>
      </c>
      <c r="H3724" s="32">
        <v>200</v>
      </c>
      <c r="I3724" s="32">
        <v>200</v>
      </c>
      <c r="J3724" s="6" t="s">
        <v>6097</v>
      </c>
      <c r="K3724" s="48"/>
      <c r="L3724" s="10">
        <v>20201118</v>
      </c>
      <c r="M3724" s="36" t="str">
        <f t="shared" si="58"/>
        <v>19720206</v>
      </c>
    </row>
    <row r="3725" s="1" customFormat="1" spans="1:13">
      <c r="A3725" s="2">
        <v>5752</v>
      </c>
      <c r="B3725" s="30" t="s">
        <v>11090</v>
      </c>
      <c r="C3725" s="30" t="s">
        <v>4975</v>
      </c>
      <c r="D3725" s="30" t="s">
        <v>11588</v>
      </c>
      <c r="E3725" s="5" t="s">
        <v>15</v>
      </c>
      <c r="F3725" s="5" t="s">
        <v>10250</v>
      </c>
      <c r="G3725" s="6" t="s">
        <v>16</v>
      </c>
      <c r="H3725" s="32">
        <v>200</v>
      </c>
      <c r="I3725" s="32">
        <v>200</v>
      </c>
      <c r="J3725" s="6"/>
      <c r="K3725" s="48"/>
      <c r="L3725" s="10">
        <v>20201118</v>
      </c>
      <c r="M3725" s="36" t="str">
        <f t="shared" si="58"/>
        <v>19720206</v>
      </c>
    </row>
    <row r="3726" s="1" customFormat="1" spans="1:13">
      <c r="A3726" s="2">
        <v>6140</v>
      </c>
      <c r="B3726" s="5" t="s">
        <v>12263</v>
      </c>
      <c r="C3726" s="5" t="s">
        <v>12315</v>
      </c>
      <c r="D3726" s="5" t="s">
        <v>12316</v>
      </c>
      <c r="E3726" s="5" t="s">
        <v>10250</v>
      </c>
      <c r="F3726" s="5">
        <v>2020</v>
      </c>
      <c r="G3726" s="17" t="s">
        <v>3359</v>
      </c>
      <c r="H3726" s="5">
        <v>500</v>
      </c>
      <c r="I3726" s="5">
        <v>500</v>
      </c>
      <c r="J3726" s="5"/>
      <c r="K3726" s="5"/>
      <c r="L3726" s="10">
        <v>20201118</v>
      </c>
      <c r="M3726" s="36" t="str">
        <f t="shared" si="58"/>
        <v>19720208</v>
      </c>
    </row>
    <row r="3727" s="1" customFormat="1" spans="1:13">
      <c r="A3727" s="2">
        <v>2266</v>
      </c>
      <c r="B3727" s="9" t="s">
        <v>4837</v>
      </c>
      <c r="C3727" s="9" t="s">
        <v>5077</v>
      </c>
      <c r="D3727" s="9" t="s">
        <v>5078</v>
      </c>
      <c r="E3727" s="6" t="s">
        <v>15</v>
      </c>
      <c r="F3727" s="6">
        <v>2020</v>
      </c>
      <c r="G3727" s="9" t="s">
        <v>2480</v>
      </c>
      <c r="H3727" s="9">
        <v>200</v>
      </c>
      <c r="I3727" s="9">
        <v>200</v>
      </c>
      <c r="J3727" s="6"/>
      <c r="K3727" s="10"/>
      <c r="L3727" s="10">
        <v>20201118</v>
      </c>
      <c r="M3727" s="36" t="str">
        <f t="shared" si="58"/>
        <v>19720211</v>
      </c>
    </row>
    <row r="3728" s="1" customFormat="1" spans="1:13">
      <c r="A3728" s="2">
        <v>7235</v>
      </c>
      <c r="B3728" s="5" t="s">
        <v>13908</v>
      </c>
      <c r="C3728" s="5" t="s">
        <v>14114</v>
      </c>
      <c r="D3728" s="5" t="s">
        <v>14115</v>
      </c>
      <c r="E3728" s="5" t="s">
        <v>15</v>
      </c>
      <c r="F3728" s="5" t="s">
        <v>15</v>
      </c>
      <c r="G3728" s="14" t="s">
        <v>16</v>
      </c>
      <c r="H3728" s="17">
        <v>1000</v>
      </c>
      <c r="I3728" s="17">
        <v>1000</v>
      </c>
      <c r="J3728" s="5" t="s">
        <v>108</v>
      </c>
      <c r="K3728" s="10"/>
      <c r="L3728" s="10">
        <v>20201118</v>
      </c>
      <c r="M3728" s="36" t="str">
        <f t="shared" si="58"/>
        <v>19720211</v>
      </c>
    </row>
    <row r="3729" s="1" customFormat="1" ht="14.25" spans="1:13">
      <c r="A3729" s="2">
        <v>2820</v>
      </c>
      <c r="B3729" s="6" t="s">
        <v>6075</v>
      </c>
      <c r="C3729" s="25" t="s">
        <v>6167</v>
      </c>
      <c r="D3729" s="26" t="s">
        <v>6168</v>
      </c>
      <c r="E3729" s="5" t="s">
        <v>15</v>
      </c>
      <c r="F3729" s="5">
        <v>2020</v>
      </c>
      <c r="G3729" s="6" t="s">
        <v>16</v>
      </c>
      <c r="H3729" s="6">
        <v>200</v>
      </c>
      <c r="I3729" s="6">
        <v>200</v>
      </c>
      <c r="J3729" s="6"/>
      <c r="K3729" s="10"/>
      <c r="L3729" s="10">
        <v>20201118</v>
      </c>
      <c r="M3729" s="36" t="str">
        <f t="shared" si="58"/>
        <v>19720212</v>
      </c>
    </row>
    <row r="3730" s="1" customFormat="1" spans="1:13">
      <c r="A3730" s="2">
        <v>6915</v>
      </c>
      <c r="B3730" s="5" t="s">
        <v>13533</v>
      </c>
      <c r="C3730" s="32" t="s">
        <v>13663</v>
      </c>
      <c r="D3730" s="32" t="s">
        <v>13664</v>
      </c>
      <c r="E3730" s="5">
        <v>2020</v>
      </c>
      <c r="F3730" s="5">
        <v>2020</v>
      </c>
      <c r="G3730" s="9" t="s">
        <v>2480</v>
      </c>
      <c r="H3730" s="32">
        <v>200</v>
      </c>
      <c r="I3730" s="32">
        <v>200</v>
      </c>
      <c r="J3730" s="32"/>
      <c r="K3730" s="10"/>
      <c r="L3730" s="10">
        <v>20201118</v>
      </c>
      <c r="M3730" s="36" t="str">
        <f t="shared" si="58"/>
        <v>19720212</v>
      </c>
    </row>
    <row r="3731" s="1" customFormat="1" spans="1:13">
      <c r="A3731" s="2">
        <v>6632</v>
      </c>
      <c r="B3731" s="5" t="s">
        <v>13027</v>
      </c>
      <c r="C3731" s="15" t="s">
        <v>13247</v>
      </c>
      <c r="D3731" s="15" t="s">
        <v>13248</v>
      </c>
      <c r="E3731" s="5">
        <v>2020</v>
      </c>
      <c r="F3731" s="5">
        <v>2020</v>
      </c>
      <c r="G3731" s="14" t="s">
        <v>16</v>
      </c>
      <c r="H3731" s="15">
        <v>200</v>
      </c>
      <c r="I3731" s="15">
        <v>200</v>
      </c>
      <c r="J3731" s="5"/>
      <c r="K3731" s="10"/>
      <c r="L3731" s="10">
        <v>20201118</v>
      </c>
      <c r="M3731" s="36" t="str">
        <f t="shared" si="58"/>
        <v>19720213</v>
      </c>
    </row>
    <row r="3732" s="1" customFormat="1" spans="1:13">
      <c r="A3732" s="2">
        <v>3856</v>
      </c>
      <c r="B3732" s="5" t="s">
        <v>7412</v>
      </c>
      <c r="C3732" s="5" t="s">
        <v>7948</v>
      </c>
      <c r="D3732" s="5" t="s">
        <v>7949</v>
      </c>
      <c r="E3732" s="6">
        <v>2020</v>
      </c>
      <c r="F3732" s="6">
        <v>2020</v>
      </c>
      <c r="G3732" s="5" t="s">
        <v>3359</v>
      </c>
      <c r="H3732" s="5">
        <v>200</v>
      </c>
      <c r="I3732" s="5">
        <v>200</v>
      </c>
      <c r="J3732" s="5"/>
      <c r="K3732" s="5"/>
      <c r="L3732" s="10">
        <v>20201118</v>
      </c>
      <c r="M3732" s="36" t="str">
        <f t="shared" si="58"/>
        <v>19720214</v>
      </c>
    </row>
    <row r="3733" s="1" customFormat="1" spans="1:13">
      <c r="A3733" s="2">
        <v>4501</v>
      </c>
      <c r="B3733" s="6" t="s">
        <v>9015</v>
      </c>
      <c r="C3733" s="6" t="s">
        <v>9185</v>
      </c>
      <c r="D3733" s="6" t="s">
        <v>9186</v>
      </c>
      <c r="E3733" s="6">
        <v>2020</v>
      </c>
      <c r="F3733" s="6">
        <v>2020</v>
      </c>
      <c r="G3733" s="6" t="s">
        <v>16</v>
      </c>
      <c r="H3733" s="6">
        <v>200</v>
      </c>
      <c r="I3733" s="6">
        <v>200</v>
      </c>
      <c r="J3733" s="6"/>
      <c r="K3733" s="6"/>
      <c r="L3733" s="10">
        <v>20201118</v>
      </c>
      <c r="M3733" s="36" t="str">
        <f t="shared" si="58"/>
        <v>19720214</v>
      </c>
    </row>
    <row r="3734" s="1" customFormat="1" spans="1:13">
      <c r="A3734" s="2">
        <v>6633</v>
      </c>
      <c r="B3734" s="5" t="s">
        <v>13027</v>
      </c>
      <c r="C3734" s="15" t="s">
        <v>13249</v>
      </c>
      <c r="D3734" s="15" t="s">
        <v>13250</v>
      </c>
      <c r="E3734" s="5">
        <v>2020</v>
      </c>
      <c r="F3734" s="5">
        <v>2020</v>
      </c>
      <c r="G3734" s="14" t="s">
        <v>16</v>
      </c>
      <c r="H3734" s="15">
        <v>200</v>
      </c>
      <c r="I3734" s="15">
        <v>200</v>
      </c>
      <c r="J3734" s="5"/>
      <c r="K3734" s="10"/>
      <c r="L3734" s="10">
        <v>20201118</v>
      </c>
      <c r="M3734" s="36" t="str">
        <f t="shared" si="58"/>
        <v>19720214</v>
      </c>
    </row>
    <row r="3735" s="1" customFormat="1" spans="1:13">
      <c r="A3735" s="2">
        <v>7519</v>
      </c>
      <c r="B3735" s="5" t="s">
        <v>14402</v>
      </c>
      <c r="C3735" s="5" t="s">
        <v>14649</v>
      </c>
      <c r="D3735" s="5" t="s">
        <v>14650</v>
      </c>
      <c r="E3735" s="5">
        <v>2020</v>
      </c>
      <c r="F3735" s="5">
        <v>2020</v>
      </c>
      <c r="G3735" s="17" t="s">
        <v>16</v>
      </c>
      <c r="H3735" s="5">
        <v>200</v>
      </c>
      <c r="I3735" s="5">
        <v>200</v>
      </c>
      <c r="J3735" s="5"/>
      <c r="K3735" s="10"/>
      <c r="L3735" s="10">
        <v>20201118</v>
      </c>
      <c r="M3735" s="36" t="str">
        <f t="shared" si="58"/>
        <v>19720214</v>
      </c>
    </row>
    <row r="3736" s="1" customFormat="1" spans="1:13">
      <c r="A3736" s="2">
        <v>121</v>
      </c>
      <c r="B3736" s="3" t="s">
        <v>12</v>
      </c>
      <c r="C3736" s="6" t="s">
        <v>258</v>
      </c>
      <c r="D3736" s="6" t="s">
        <v>259</v>
      </c>
      <c r="E3736" s="3" t="s">
        <v>15</v>
      </c>
      <c r="F3736" s="3" t="s">
        <v>15</v>
      </c>
      <c r="G3736" s="3" t="s">
        <v>189</v>
      </c>
      <c r="H3736" s="3">
        <v>200</v>
      </c>
      <c r="I3736" s="3">
        <v>200</v>
      </c>
      <c r="J3736" s="3"/>
      <c r="K3736" s="3"/>
      <c r="L3736" s="10">
        <v>20201118</v>
      </c>
      <c r="M3736" s="36" t="str">
        <f t="shared" si="58"/>
        <v>19720215</v>
      </c>
    </row>
    <row r="3737" s="1" customFormat="1" spans="1:13">
      <c r="A3737" s="2">
        <v>6634</v>
      </c>
      <c r="B3737" s="5" t="s">
        <v>13027</v>
      </c>
      <c r="C3737" s="15" t="s">
        <v>13251</v>
      </c>
      <c r="D3737" s="15" t="s">
        <v>13252</v>
      </c>
      <c r="E3737" s="5">
        <v>2020</v>
      </c>
      <c r="F3737" s="5">
        <v>2020</v>
      </c>
      <c r="G3737" s="14" t="s">
        <v>16</v>
      </c>
      <c r="H3737" s="15">
        <v>600</v>
      </c>
      <c r="I3737" s="15">
        <v>600</v>
      </c>
      <c r="J3737" s="5"/>
      <c r="K3737" s="10"/>
      <c r="L3737" s="10">
        <v>20201118</v>
      </c>
      <c r="M3737" s="36" t="str">
        <f t="shared" si="58"/>
        <v>19720215</v>
      </c>
    </row>
    <row r="3738" s="1" customFormat="1" spans="1:13">
      <c r="A3738" s="2">
        <v>3385</v>
      </c>
      <c r="B3738" s="5" t="s">
        <v>3375</v>
      </c>
      <c r="C3738" s="6" t="s">
        <v>7163</v>
      </c>
      <c r="D3738" s="6" t="str">
        <f>"152326197202186883"</f>
        <v>152326197202186883</v>
      </c>
      <c r="E3738" s="5" t="s">
        <v>15</v>
      </c>
      <c r="F3738" s="5">
        <v>2020</v>
      </c>
      <c r="G3738" s="14" t="s">
        <v>16</v>
      </c>
      <c r="H3738" s="17">
        <v>200</v>
      </c>
      <c r="I3738" s="17">
        <v>200</v>
      </c>
      <c r="J3738" s="6"/>
      <c r="K3738" s="10"/>
      <c r="L3738" s="10">
        <v>20201118</v>
      </c>
      <c r="M3738" s="36" t="str">
        <f t="shared" si="58"/>
        <v>19720218</v>
      </c>
    </row>
    <row r="3739" s="1" customFormat="1" spans="1:13">
      <c r="A3739" s="2">
        <v>1089</v>
      </c>
      <c r="B3739" s="5" t="s">
        <v>2469</v>
      </c>
      <c r="C3739" s="9" t="s">
        <v>1002</v>
      </c>
      <c r="D3739" s="9" t="s">
        <v>2767</v>
      </c>
      <c r="E3739" s="5">
        <v>2020</v>
      </c>
      <c r="F3739" s="5">
        <v>2020</v>
      </c>
      <c r="G3739" s="9" t="s">
        <v>2480</v>
      </c>
      <c r="H3739" s="9">
        <v>200</v>
      </c>
      <c r="I3739" s="9">
        <v>200</v>
      </c>
      <c r="J3739" s="5"/>
      <c r="K3739" s="5"/>
      <c r="L3739" s="10">
        <v>20201118</v>
      </c>
      <c r="M3739" s="36" t="str">
        <f t="shared" si="58"/>
        <v>19720221</v>
      </c>
    </row>
    <row r="3740" s="1" customFormat="1" ht="14.25" spans="1:13">
      <c r="A3740" s="2">
        <v>1758</v>
      </c>
      <c r="B3740" s="5" t="s">
        <v>3381</v>
      </c>
      <c r="C3740" s="77" t="s">
        <v>4077</v>
      </c>
      <c r="D3740" s="321" t="s">
        <v>4078</v>
      </c>
      <c r="E3740" s="5">
        <v>2020</v>
      </c>
      <c r="F3740" s="5">
        <v>2020</v>
      </c>
      <c r="G3740" s="14" t="s">
        <v>16</v>
      </c>
      <c r="H3740" s="18">
        <v>200</v>
      </c>
      <c r="I3740" s="18">
        <v>200</v>
      </c>
      <c r="J3740" s="77" t="s">
        <v>4064</v>
      </c>
      <c r="K3740" s="13"/>
      <c r="L3740" s="10">
        <v>20201118</v>
      </c>
      <c r="M3740" s="36" t="str">
        <f t="shared" si="58"/>
        <v>19720222</v>
      </c>
    </row>
    <row r="3741" s="1" customFormat="1" ht="14.25" spans="1:13">
      <c r="A3741" s="2">
        <v>7705</v>
      </c>
      <c r="B3741" s="5" t="s">
        <v>14875</v>
      </c>
      <c r="C3741" s="51" t="s">
        <v>14948</v>
      </c>
      <c r="D3741" s="24" t="str">
        <f>"152326197202237126"</f>
        <v>152326197202237126</v>
      </c>
      <c r="E3741" s="6" t="s">
        <v>15</v>
      </c>
      <c r="F3741" s="6">
        <v>2020</v>
      </c>
      <c r="G3741" s="24" t="s">
        <v>14877</v>
      </c>
      <c r="H3741" s="6">
        <v>200</v>
      </c>
      <c r="I3741" s="6">
        <v>200</v>
      </c>
      <c r="J3741" s="6"/>
      <c r="K3741" s="10"/>
      <c r="L3741" s="10">
        <v>20201118</v>
      </c>
      <c r="M3741" s="36" t="str">
        <f t="shared" si="58"/>
        <v>19720223</v>
      </c>
    </row>
    <row r="3742" s="1" customFormat="1" spans="1:13">
      <c r="A3742" s="2">
        <v>56</v>
      </c>
      <c r="B3742" s="2" t="s">
        <v>12</v>
      </c>
      <c r="C3742" s="17" t="s">
        <v>127</v>
      </c>
      <c r="D3742" s="17" t="s">
        <v>128</v>
      </c>
      <c r="E3742" s="3" t="s">
        <v>15</v>
      </c>
      <c r="F3742" s="3" t="s">
        <v>15</v>
      </c>
      <c r="G3742" s="2" t="s">
        <v>16</v>
      </c>
      <c r="H3742" s="17">
        <v>300</v>
      </c>
      <c r="I3742" s="17">
        <v>300</v>
      </c>
      <c r="J3742" s="17"/>
      <c r="K3742" s="17" t="s">
        <v>35</v>
      </c>
      <c r="L3742" s="10">
        <v>20201118</v>
      </c>
      <c r="M3742" s="36" t="str">
        <f t="shared" si="58"/>
        <v>19720225</v>
      </c>
    </row>
    <row r="3743" s="1" customFormat="1" spans="1:13">
      <c r="A3743" s="2">
        <v>339</v>
      </c>
      <c r="B3743" s="14" t="s">
        <v>327</v>
      </c>
      <c r="C3743" s="17" t="s">
        <v>905</v>
      </c>
      <c r="D3743" s="306" t="s">
        <v>906</v>
      </c>
      <c r="E3743" s="5">
        <v>2020</v>
      </c>
      <c r="F3743" s="5">
        <v>2020</v>
      </c>
      <c r="G3743" s="14" t="s">
        <v>16</v>
      </c>
      <c r="H3743" s="17">
        <v>200</v>
      </c>
      <c r="I3743" s="17">
        <v>200</v>
      </c>
      <c r="J3743" s="17"/>
      <c r="K3743" s="10"/>
      <c r="L3743" s="2" t="s">
        <v>330</v>
      </c>
      <c r="M3743" s="36" t="str">
        <f t="shared" si="58"/>
        <v>19720225</v>
      </c>
    </row>
    <row r="3744" s="1" customFormat="1" spans="1:13">
      <c r="A3744" s="2">
        <v>724</v>
      </c>
      <c r="B3744" s="29" t="s">
        <v>1040</v>
      </c>
      <c r="C3744" s="5" t="s">
        <v>585</v>
      </c>
      <c r="D3744" s="317" t="s">
        <v>1823</v>
      </c>
      <c r="E3744" s="30">
        <v>2020</v>
      </c>
      <c r="F3744" s="30">
        <v>2020</v>
      </c>
      <c r="G3744" s="29" t="s">
        <v>16</v>
      </c>
      <c r="H3744" s="29">
        <v>200</v>
      </c>
      <c r="I3744" s="29">
        <v>200</v>
      </c>
      <c r="J3744" s="29"/>
      <c r="K3744" s="54"/>
      <c r="L3744" s="14" t="s">
        <v>330</v>
      </c>
      <c r="M3744" s="36" t="str">
        <f t="shared" si="58"/>
        <v>19720225</v>
      </c>
    </row>
    <row r="3745" s="1" customFormat="1" spans="1:13">
      <c r="A3745" s="2">
        <v>3397</v>
      </c>
      <c r="B3745" s="5" t="s">
        <v>3375</v>
      </c>
      <c r="C3745" s="6" t="s">
        <v>7175</v>
      </c>
      <c r="D3745" s="6" t="str">
        <f>"152326197202256896"</f>
        <v>152326197202256896</v>
      </c>
      <c r="E3745" s="5" t="s">
        <v>15</v>
      </c>
      <c r="F3745" s="5">
        <v>2020</v>
      </c>
      <c r="G3745" s="14" t="s">
        <v>16</v>
      </c>
      <c r="H3745" s="17">
        <v>200</v>
      </c>
      <c r="I3745" s="17">
        <v>200</v>
      </c>
      <c r="J3745" s="6"/>
      <c r="K3745" s="10"/>
      <c r="L3745" s="10">
        <v>20201118</v>
      </c>
      <c r="M3745" s="36" t="str">
        <f t="shared" si="58"/>
        <v>19720225</v>
      </c>
    </row>
    <row r="3746" s="1" customFormat="1" spans="1:13">
      <c r="A3746" s="2">
        <v>340</v>
      </c>
      <c r="B3746" s="14" t="s">
        <v>327</v>
      </c>
      <c r="C3746" s="17" t="s">
        <v>908</v>
      </c>
      <c r="D3746" s="306" t="s">
        <v>909</v>
      </c>
      <c r="E3746" s="5">
        <v>2020</v>
      </c>
      <c r="F3746" s="5">
        <v>2020</v>
      </c>
      <c r="G3746" s="14" t="s">
        <v>16</v>
      </c>
      <c r="H3746" s="17">
        <v>200</v>
      </c>
      <c r="I3746" s="17">
        <v>200</v>
      </c>
      <c r="J3746" s="17"/>
      <c r="K3746" s="10"/>
      <c r="L3746" s="14" t="s">
        <v>330</v>
      </c>
      <c r="M3746" s="36" t="str">
        <f t="shared" si="58"/>
        <v>19720228</v>
      </c>
    </row>
    <row r="3747" s="1" customFormat="1" spans="1:13">
      <c r="A3747" s="2">
        <v>5124</v>
      </c>
      <c r="B3747" s="6" t="s">
        <v>10242</v>
      </c>
      <c r="C3747" s="9" t="s">
        <v>10377</v>
      </c>
      <c r="D3747" s="9" t="s">
        <v>10378</v>
      </c>
      <c r="E3747" s="5" t="s">
        <v>10250</v>
      </c>
      <c r="F3747" s="5">
        <v>2020</v>
      </c>
      <c r="G3747" s="6" t="s">
        <v>16</v>
      </c>
      <c r="H3747" s="6">
        <v>200</v>
      </c>
      <c r="I3747" s="6">
        <v>200</v>
      </c>
      <c r="J3747" s="6"/>
      <c r="K3747" s="5"/>
      <c r="L3747" s="10">
        <v>20201118</v>
      </c>
      <c r="M3747" s="36" t="str">
        <f t="shared" si="58"/>
        <v>19720228</v>
      </c>
    </row>
    <row r="3748" s="1" customFormat="1" spans="1:13">
      <c r="A3748" s="2">
        <v>1779</v>
      </c>
      <c r="B3748" s="5" t="s">
        <v>3381</v>
      </c>
      <c r="C3748" s="9" t="s">
        <v>4119</v>
      </c>
      <c r="D3748" s="9" t="s">
        <v>4120</v>
      </c>
      <c r="E3748" s="5">
        <v>2017</v>
      </c>
      <c r="F3748" s="5">
        <v>2020</v>
      </c>
      <c r="G3748" s="14" t="s">
        <v>289</v>
      </c>
      <c r="H3748" s="18">
        <v>200</v>
      </c>
      <c r="I3748" s="6">
        <v>800</v>
      </c>
      <c r="J3748" s="5" t="s">
        <v>4121</v>
      </c>
      <c r="K3748" s="13"/>
      <c r="L3748" s="10">
        <v>20201118</v>
      </c>
      <c r="M3748" s="36" t="str">
        <f t="shared" si="58"/>
        <v>19720229</v>
      </c>
    </row>
    <row r="3749" s="1" customFormat="1" spans="1:13">
      <c r="A3749" s="2">
        <v>3857</v>
      </c>
      <c r="B3749" s="5" t="s">
        <v>7412</v>
      </c>
      <c r="C3749" s="5" t="s">
        <v>7950</v>
      </c>
      <c r="D3749" s="5" t="s">
        <v>7951</v>
      </c>
      <c r="E3749" s="6">
        <v>2020</v>
      </c>
      <c r="F3749" s="6">
        <v>2020</v>
      </c>
      <c r="G3749" s="5" t="s">
        <v>3359</v>
      </c>
      <c r="H3749" s="5">
        <v>200</v>
      </c>
      <c r="I3749" s="5">
        <v>200</v>
      </c>
      <c r="J3749" s="5"/>
      <c r="K3749" s="5"/>
      <c r="L3749" s="10">
        <v>20201118</v>
      </c>
      <c r="M3749" s="36" t="str">
        <f t="shared" si="58"/>
        <v>19720301</v>
      </c>
    </row>
    <row r="3750" s="1" customFormat="1" spans="1:13">
      <c r="A3750" s="2">
        <v>3395</v>
      </c>
      <c r="B3750" s="5" t="s">
        <v>3375</v>
      </c>
      <c r="C3750" s="6" t="s">
        <v>7173</v>
      </c>
      <c r="D3750" s="6" t="str">
        <f>"152326197203027163"</f>
        <v>152326197203027163</v>
      </c>
      <c r="E3750" s="5" t="s">
        <v>15</v>
      </c>
      <c r="F3750" s="5">
        <v>2020</v>
      </c>
      <c r="G3750" s="14" t="s">
        <v>16</v>
      </c>
      <c r="H3750" s="17">
        <v>200</v>
      </c>
      <c r="I3750" s="17">
        <v>200</v>
      </c>
      <c r="J3750" s="6"/>
      <c r="K3750" s="10"/>
      <c r="L3750" s="10">
        <v>20201118</v>
      </c>
      <c r="M3750" s="36" t="str">
        <f t="shared" si="58"/>
        <v>19720302</v>
      </c>
    </row>
    <row r="3751" s="1" customFormat="1" spans="1:13">
      <c r="A3751" s="2">
        <v>3858</v>
      </c>
      <c r="B3751" s="5" t="s">
        <v>7412</v>
      </c>
      <c r="C3751" s="5" t="s">
        <v>7952</v>
      </c>
      <c r="D3751" s="5" t="s">
        <v>7953</v>
      </c>
      <c r="E3751" s="6">
        <v>2020</v>
      </c>
      <c r="F3751" s="6">
        <v>2020</v>
      </c>
      <c r="G3751" s="5" t="s">
        <v>3359</v>
      </c>
      <c r="H3751" s="5">
        <v>200</v>
      </c>
      <c r="I3751" s="5">
        <v>200</v>
      </c>
      <c r="J3751" s="5"/>
      <c r="K3751" s="5"/>
      <c r="L3751" s="10">
        <v>20201118</v>
      </c>
      <c r="M3751" s="36" t="str">
        <f t="shared" si="58"/>
        <v>19720302</v>
      </c>
    </row>
    <row r="3752" s="1" customFormat="1" spans="1:13">
      <c r="A3752" s="2">
        <v>7297</v>
      </c>
      <c r="B3752" s="5" t="s">
        <v>13908</v>
      </c>
      <c r="C3752" s="5" t="s">
        <v>14232</v>
      </c>
      <c r="D3752" s="5" t="s">
        <v>14233</v>
      </c>
      <c r="E3752" s="5" t="s">
        <v>15</v>
      </c>
      <c r="F3752" s="5" t="s">
        <v>15</v>
      </c>
      <c r="G3752" s="14" t="s">
        <v>16</v>
      </c>
      <c r="H3752" s="17">
        <v>200</v>
      </c>
      <c r="I3752" s="17">
        <v>200</v>
      </c>
      <c r="J3752" s="5"/>
      <c r="K3752" s="10"/>
      <c r="L3752" s="10">
        <v>20201118</v>
      </c>
      <c r="M3752" s="36" t="str">
        <f t="shared" si="58"/>
        <v>19720302</v>
      </c>
    </row>
    <row r="3753" s="1" customFormat="1" spans="1:13">
      <c r="A3753" s="2">
        <v>7374</v>
      </c>
      <c r="B3753" s="5" t="s">
        <v>13908</v>
      </c>
      <c r="C3753" s="5" t="s">
        <v>14374</v>
      </c>
      <c r="D3753" s="5" t="s">
        <v>14375</v>
      </c>
      <c r="E3753" s="5" t="s">
        <v>15</v>
      </c>
      <c r="F3753" s="5" t="s">
        <v>15</v>
      </c>
      <c r="G3753" s="14" t="s">
        <v>16</v>
      </c>
      <c r="H3753" s="17">
        <v>200</v>
      </c>
      <c r="I3753" s="17">
        <v>200</v>
      </c>
      <c r="J3753" s="5"/>
      <c r="K3753" s="10"/>
      <c r="L3753" s="10">
        <v>20201118</v>
      </c>
      <c r="M3753" s="36" t="str">
        <f t="shared" si="58"/>
        <v>19720302</v>
      </c>
    </row>
    <row r="3754" s="1" customFormat="1" spans="1:13">
      <c r="A3754" s="2">
        <v>7967</v>
      </c>
      <c r="B3754" s="5" t="s">
        <v>15086</v>
      </c>
      <c r="C3754" s="6" t="s">
        <v>15239</v>
      </c>
      <c r="D3754" s="6" t="str">
        <f>"152326197203026873"</f>
        <v>152326197203026873</v>
      </c>
      <c r="E3754" s="5" t="s">
        <v>15</v>
      </c>
      <c r="F3754" s="5">
        <v>2020</v>
      </c>
      <c r="G3754" s="5" t="s">
        <v>16</v>
      </c>
      <c r="H3754" s="5">
        <v>200</v>
      </c>
      <c r="I3754" s="5">
        <v>200</v>
      </c>
      <c r="J3754" s="5"/>
      <c r="K3754" s="5"/>
      <c r="L3754" s="10">
        <v>20201118</v>
      </c>
      <c r="M3754" s="36" t="str">
        <f t="shared" si="58"/>
        <v>19720302</v>
      </c>
    </row>
    <row r="3755" s="1" customFormat="1" spans="1:13">
      <c r="A3755" s="2">
        <v>3859</v>
      </c>
      <c r="B3755" s="5" t="s">
        <v>7412</v>
      </c>
      <c r="C3755" s="5" t="s">
        <v>7954</v>
      </c>
      <c r="D3755" s="5" t="s">
        <v>7955</v>
      </c>
      <c r="E3755" s="6">
        <v>2020</v>
      </c>
      <c r="F3755" s="6">
        <v>2020</v>
      </c>
      <c r="G3755" s="5" t="s">
        <v>3359</v>
      </c>
      <c r="H3755" s="5">
        <v>200</v>
      </c>
      <c r="I3755" s="5">
        <v>200</v>
      </c>
      <c r="J3755" s="5"/>
      <c r="K3755" s="5"/>
      <c r="L3755" s="10">
        <v>20201118</v>
      </c>
      <c r="M3755" s="36" t="str">
        <f t="shared" si="58"/>
        <v>19720303</v>
      </c>
    </row>
    <row r="3756" s="1" customFormat="1" spans="1:13">
      <c r="A3756" s="2">
        <v>4280</v>
      </c>
      <c r="B3756" s="9" t="s">
        <v>8515</v>
      </c>
      <c r="C3756" s="9" t="s">
        <v>8755</v>
      </c>
      <c r="D3756" s="9" t="s">
        <v>8756</v>
      </c>
      <c r="E3756" s="5" t="s">
        <v>15</v>
      </c>
      <c r="F3756" s="5">
        <v>2020</v>
      </c>
      <c r="G3756" s="9" t="s">
        <v>2480</v>
      </c>
      <c r="H3756" s="9">
        <v>200</v>
      </c>
      <c r="I3756" s="9">
        <v>200</v>
      </c>
      <c r="J3756" s="9"/>
      <c r="K3756" s="9"/>
      <c r="L3756" s="10">
        <v>20201118</v>
      </c>
      <c r="M3756" s="36" t="str">
        <f t="shared" si="58"/>
        <v>19720304</v>
      </c>
    </row>
    <row r="3757" s="1" customFormat="1" spans="1:13">
      <c r="A3757" s="2">
        <v>8090</v>
      </c>
      <c r="B3757" s="5" t="s">
        <v>15086</v>
      </c>
      <c r="C3757" s="6" t="s">
        <v>15374</v>
      </c>
      <c r="D3757" s="293" t="s">
        <v>15375</v>
      </c>
      <c r="E3757" s="5" t="s">
        <v>288</v>
      </c>
      <c r="F3757" s="5">
        <v>2020</v>
      </c>
      <c r="G3757" s="5" t="s">
        <v>289</v>
      </c>
      <c r="H3757" s="6">
        <v>200</v>
      </c>
      <c r="I3757" s="5">
        <v>800</v>
      </c>
      <c r="J3757" s="5"/>
      <c r="K3757" s="5"/>
      <c r="L3757" s="10">
        <v>20201118</v>
      </c>
      <c r="M3757" s="36" t="str">
        <f t="shared" si="58"/>
        <v>19720304</v>
      </c>
    </row>
    <row r="3758" s="1" customFormat="1" spans="1:13">
      <c r="A3758" s="2">
        <v>610</v>
      </c>
      <c r="B3758" s="29" t="s">
        <v>1040</v>
      </c>
      <c r="C3758" s="29" t="s">
        <v>1496</v>
      </c>
      <c r="D3758" s="29" t="s">
        <v>1497</v>
      </c>
      <c r="E3758" s="30">
        <v>2020</v>
      </c>
      <c r="F3758" s="30">
        <v>2020</v>
      </c>
      <c r="G3758" s="29" t="s">
        <v>16</v>
      </c>
      <c r="H3758" s="29">
        <v>200</v>
      </c>
      <c r="I3758" s="29">
        <v>200</v>
      </c>
      <c r="J3758" s="29"/>
      <c r="K3758" s="47"/>
      <c r="L3758" s="2" t="s">
        <v>330</v>
      </c>
      <c r="M3758" s="36" t="str">
        <f t="shared" si="58"/>
        <v>19720305</v>
      </c>
    </row>
    <row r="3759" s="1" customFormat="1" spans="1:13">
      <c r="A3759" s="2">
        <v>1090</v>
      </c>
      <c r="B3759" s="5" t="s">
        <v>2469</v>
      </c>
      <c r="C3759" s="9" t="s">
        <v>2768</v>
      </c>
      <c r="D3759" s="9" t="s">
        <v>2769</v>
      </c>
      <c r="E3759" s="5">
        <v>2020</v>
      </c>
      <c r="F3759" s="5">
        <v>2020</v>
      </c>
      <c r="G3759" s="9" t="s">
        <v>2480</v>
      </c>
      <c r="H3759" s="9">
        <v>200</v>
      </c>
      <c r="I3759" s="9">
        <v>200</v>
      </c>
      <c r="J3759" s="5"/>
      <c r="K3759" s="5"/>
      <c r="L3759" s="10">
        <v>20201118</v>
      </c>
      <c r="M3759" s="36" t="str">
        <f t="shared" si="58"/>
        <v>19720305</v>
      </c>
    </row>
    <row r="3760" s="1" customFormat="1" spans="1:13">
      <c r="A3760" s="2">
        <v>2093</v>
      </c>
      <c r="B3760" s="5" t="s">
        <v>4189</v>
      </c>
      <c r="C3760" s="16" t="s">
        <v>4737</v>
      </c>
      <c r="D3760" s="16" t="s">
        <v>4738</v>
      </c>
      <c r="E3760" s="5" t="s">
        <v>15</v>
      </c>
      <c r="F3760" s="5" t="s">
        <v>15</v>
      </c>
      <c r="G3760" s="5" t="s">
        <v>3359</v>
      </c>
      <c r="H3760" s="16">
        <v>200</v>
      </c>
      <c r="I3760" s="16">
        <v>200</v>
      </c>
      <c r="J3760" s="5"/>
      <c r="K3760" s="10"/>
      <c r="L3760" s="10">
        <v>20201118</v>
      </c>
      <c r="M3760" s="36" t="str">
        <f t="shared" si="58"/>
        <v>19720305</v>
      </c>
    </row>
    <row r="3761" s="1" customFormat="1" ht="14.25" spans="1:13">
      <c r="A3761" s="2">
        <v>7706</v>
      </c>
      <c r="B3761" s="5" t="s">
        <v>14875</v>
      </c>
      <c r="C3761" s="51" t="s">
        <v>14949</v>
      </c>
      <c r="D3761" s="24" t="str">
        <f>"152326197203067149"</f>
        <v>152326197203067149</v>
      </c>
      <c r="E3761" s="6" t="s">
        <v>15</v>
      </c>
      <c r="F3761" s="6">
        <v>2020</v>
      </c>
      <c r="G3761" s="24" t="s">
        <v>14877</v>
      </c>
      <c r="H3761" s="6">
        <v>200</v>
      </c>
      <c r="I3761" s="6">
        <v>200</v>
      </c>
      <c r="J3761" s="6"/>
      <c r="K3761" s="10"/>
      <c r="L3761" s="10">
        <v>20201118</v>
      </c>
      <c r="M3761" s="36" t="str">
        <f t="shared" si="58"/>
        <v>19720306</v>
      </c>
    </row>
    <row r="3762" s="1" customFormat="1" spans="1:13">
      <c r="A3762" s="2">
        <v>7965</v>
      </c>
      <c r="B3762" s="5" t="s">
        <v>15086</v>
      </c>
      <c r="C3762" s="6" t="s">
        <v>15238</v>
      </c>
      <c r="D3762" s="6" t="str">
        <f>"152326197203066867"</f>
        <v>152326197203066867</v>
      </c>
      <c r="E3762" s="5" t="s">
        <v>15</v>
      </c>
      <c r="F3762" s="5">
        <v>2020</v>
      </c>
      <c r="G3762" s="5" t="s">
        <v>16</v>
      </c>
      <c r="H3762" s="5">
        <v>200</v>
      </c>
      <c r="I3762" s="5">
        <v>200</v>
      </c>
      <c r="J3762" s="5"/>
      <c r="K3762" s="5"/>
      <c r="L3762" s="10">
        <v>20201118</v>
      </c>
      <c r="M3762" s="36" t="str">
        <f t="shared" si="58"/>
        <v>19720306</v>
      </c>
    </row>
    <row r="3763" s="1" customFormat="1" spans="1:13">
      <c r="A3763" s="2">
        <v>2267</v>
      </c>
      <c r="B3763" s="9" t="s">
        <v>4837</v>
      </c>
      <c r="C3763" s="9" t="s">
        <v>5079</v>
      </c>
      <c r="D3763" s="9" t="s">
        <v>5080</v>
      </c>
      <c r="E3763" s="6" t="s">
        <v>15</v>
      </c>
      <c r="F3763" s="6">
        <v>2020</v>
      </c>
      <c r="G3763" s="9" t="s">
        <v>2480</v>
      </c>
      <c r="H3763" s="9">
        <v>200</v>
      </c>
      <c r="I3763" s="9">
        <v>200</v>
      </c>
      <c r="J3763" s="6"/>
      <c r="K3763" s="10"/>
      <c r="L3763" s="10">
        <v>20201118</v>
      </c>
      <c r="M3763" s="36" t="str">
        <f t="shared" si="58"/>
        <v>19720307</v>
      </c>
    </row>
    <row r="3764" s="1" customFormat="1" spans="1:13">
      <c r="A3764" s="2">
        <v>2531</v>
      </c>
      <c r="B3764" s="5" t="s">
        <v>5328</v>
      </c>
      <c r="C3764" s="66" t="s">
        <v>5596</v>
      </c>
      <c r="D3764" s="66" t="s">
        <v>5597</v>
      </c>
      <c r="E3764" s="5" t="s">
        <v>288</v>
      </c>
      <c r="F3764" s="5" t="s">
        <v>15</v>
      </c>
      <c r="G3764" s="14" t="s">
        <v>289</v>
      </c>
      <c r="H3764" s="6">
        <v>200</v>
      </c>
      <c r="I3764" s="6">
        <v>800</v>
      </c>
      <c r="J3764" s="5"/>
      <c r="K3764" s="13"/>
      <c r="L3764" s="10">
        <v>20201118</v>
      </c>
      <c r="M3764" s="36" t="str">
        <f t="shared" si="58"/>
        <v>19720307</v>
      </c>
    </row>
    <row r="3765" s="1" customFormat="1" spans="1:13">
      <c r="A3765" s="2">
        <v>5549</v>
      </c>
      <c r="B3765" s="30" t="s">
        <v>11090</v>
      </c>
      <c r="C3765" s="30" t="s">
        <v>11194</v>
      </c>
      <c r="D3765" s="30" t="s">
        <v>11195</v>
      </c>
      <c r="E3765" s="5" t="s">
        <v>15</v>
      </c>
      <c r="F3765" s="5" t="s">
        <v>10250</v>
      </c>
      <c r="G3765" s="6" t="s">
        <v>16</v>
      </c>
      <c r="H3765" s="32">
        <v>300</v>
      </c>
      <c r="I3765" s="32">
        <v>300</v>
      </c>
      <c r="J3765" s="6"/>
      <c r="K3765" s="48"/>
      <c r="L3765" s="10">
        <v>20201118</v>
      </c>
      <c r="M3765" s="36" t="str">
        <f t="shared" si="58"/>
        <v>19720307</v>
      </c>
    </row>
    <row r="3766" s="1" customFormat="1" spans="1:13">
      <c r="A3766" s="2">
        <v>1633</v>
      </c>
      <c r="B3766" s="5" t="s">
        <v>3381</v>
      </c>
      <c r="C3766" s="9" t="s">
        <v>3828</v>
      </c>
      <c r="D3766" s="9" t="s">
        <v>3829</v>
      </c>
      <c r="E3766" s="5">
        <v>2020</v>
      </c>
      <c r="F3766" s="5">
        <v>2020</v>
      </c>
      <c r="G3766" s="14" t="s">
        <v>16</v>
      </c>
      <c r="H3766" s="6">
        <v>200</v>
      </c>
      <c r="I3766" s="6">
        <v>200</v>
      </c>
      <c r="J3766" s="5"/>
      <c r="K3766" s="13"/>
      <c r="L3766" s="10">
        <v>20201118</v>
      </c>
      <c r="M3766" s="36" t="str">
        <f t="shared" si="58"/>
        <v>19720308</v>
      </c>
    </row>
    <row r="3767" s="1" customFormat="1" spans="1:13">
      <c r="A3767" s="2">
        <v>4613</v>
      </c>
      <c r="B3767" s="6" t="s">
        <v>9015</v>
      </c>
      <c r="C3767" s="6" t="s">
        <v>9396</v>
      </c>
      <c r="D3767" s="6" t="s">
        <v>9397</v>
      </c>
      <c r="E3767" s="6">
        <v>2020</v>
      </c>
      <c r="F3767" s="6">
        <v>2020</v>
      </c>
      <c r="G3767" s="6" t="s">
        <v>16</v>
      </c>
      <c r="H3767" s="6">
        <v>200</v>
      </c>
      <c r="I3767" s="6">
        <v>200</v>
      </c>
      <c r="J3767" s="6"/>
      <c r="K3767" s="6"/>
      <c r="L3767" s="10">
        <v>20201118</v>
      </c>
      <c r="M3767" s="36" t="str">
        <f t="shared" si="58"/>
        <v>19720308</v>
      </c>
    </row>
    <row r="3768" s="1" customFormat="1" spans="1:13">
      <c r="A3768" s="2">
        <v>5076</v>
      </c>
      <c r="B3768" s="6" t="s">
        <v>10242</v>
      </c>
      <c r="C3768" s="9" t="s">
        <v>1238</v>
      </c>
      <c r="D3768" s="9" t="s">
        <v>10287</v>
      </c>
      <c r="E3768" s="5" t="s">
        <v>10250</v>
      </c>
      <c r="F3768" s="5">
        <v>2020</v>
      </c>
      <c r="G3768" s="6" t="s">
        <v>16</v>
      </c>
      <c r="H3768" s="6">
        <v>200</v>
      </c>
      <c r="I3768" s="6">
        <v>200</v>
      </c>
      <c r="J3768" s="6"/>
      <c r="K3768" s="5"/>
      <c r="L3768" s="10">
        <v>20201118</v>
      </c>
      <c r="M3768" s="36" t="str">
        <f t="shared" si="58"/>
        <v>19720310</v>
      </c>
    </row>
    <row r="3769" s="1" customFormat="1" spans="1:13">
      <c r="A3769" s="2">
        <v>4737</v>
      </c>
      <c r="B3769" s="6" t="s">
        <v>9015</v>
      </c>
      <c r="C3769" s="6" t="s">
        <v>9631</v>
      </c>
      <c r="D3769" s="6" t="s">
        <v>9632</v>
      </c>
      <c r="E3769" s="6">
        <v>2020</v>
      </c>
      <c r="F3769" s="6">
        <v>2020</v>
      </c>
      <c r="G3769" s="6" t="s">
        <v>16</v>
      </c>
      <c r="H3769" s="6">
        <v>200</v>
      </c>
      <c r="I3769" s="6">
        <v>200</v>
      </c>
      <c r="J3769" s="6"/>
      <c r="K3769" s="6"/>
      <c r="L3769" s="10">
        <v>20201118</v>
      </c>
      <c r="M3769" s="36" t="str">
        <f t="shared" si="58"/>
        <v>19720311</v>
      </c>
    </row>
    <row r="3770" s="1" customFormat="1" spans="1:13">
      <c r="A3770" s="2">
        <v>7972</v>
      </c>
      <c r="B3770" s="5" t="s">
        <v>15086</v>
      </c>
      <c r="C3770" s="6" t="s">
        <v>15244</v>
      </c>
      <c r="D3770" s="6" t="str">
        <f>"152326197203126874"</f>
        <v>152326197203126874</v>
      </c>
      <c r="E3770" s="5" t="s">
        <v>15</v>
      </c>
      <c r="F3770" s="5">
        <v>2020</v>
      </c>
      <c r="G3770" s="5" t="s">
        <v>16</v>
      </c>
      <c r="H3770" s="5">
        <v>200</v>
      </c>
      <c r="I3770" s="5">
        <v>200</v>
      </c>
      <c r="J3770" s="5"/>
      <c r="K3770" s="5"/>
      <c r="L3770" s="10">
        <v>20201118</v>
      </c>
      <c r="M3770" s="36" t="str">
        <f t="shared" si="58"/>
        <v>19720312</v>
      </c>
    </row>
    <row r="3771" s="1" customFormat="1" spans="1:13">
      <c r="A3771" s="2">
        <v>1091</v>
      </c>
      <c r="B3771" s="5" t="s">
        <v>2469</v>
      </c>
      <c r="C3771" s="9" t="s">
        <v>2770</v>
      </c>
      <c r="D3771" s="9" t="s">
        <v>2771</v>
      </c>
      <c r="E3771" s="5">
        <v>2020</v>
      </c>
      <c r="F3771" s="5">
        <v>2020</v>
      </c>
      <c r="G3771" s="9" t="s">
        <v>2480</v>
      </c>
      <c r="H3771" s="9">
        <v>200</v>
      </c>
      <c r="I3771" s="9">
        <v>200</v>
      </c>
      <c r="J3771" s="5"/>
      <c r="K3771" s="5"/>
      <c r="L3771" s="10">
        <v>20201118</v>
      </c>
      <c r="M3771" s="36" t="str">
        <f t="shared" si="58"/>
        <v>19720314</v>
      </c>
    </row>
    <row r="3772" s="1" customFormat="1" spans="1:13">
      <c r="A3772" s="2">
        <v>5646</v>
      </c>
      <c r="B3772" s="30" t="s">
        <v>11090</v>
      </c>
      <c r="C3772" s="30" t="s">
        <v>11379</v>
      </c>
      <c r="D3772" s="30" t="s">
        <v>11380</v>
      </c>
      <c r="E3772" s="5" t="s">
        <v>15</v>
      </c>
      <c r="F3772" s="5" t="s">
        <v>10250</v>
      </c>
      <c r="G3772" s="6" t="s">
        <v>16</v>
      </c>
      <c r="H3772" s="32">
        <v>200</v>
      </c>
      <c r="I3772" s="32">
        <v>200</v>
      </c>
      <c r="J3772" s="6"/>
      <c r="K3772" s="48"/>
      <c r="L3772" s="10">
        <v>20201118</v>
      </c>
      <c r="M3772" s="36" t="str">
        <f t="shared" si="58"/>
        <v>19720314</v>
      </c>
    </row>
    <row r="3773" s="1" customFormat="1" spans="1:13">
      <c r="A3773" s="2">
        <v>2631</v>
      </c>
      <c r="B3773" s="32" t="s">
        <v>5602</v>
      </c>
      <c r="C3773" s="9" t="s">
        <v>5796</v>
      </c>
      <c r="D3773" s="9" t="s">
        <v>5797</v>
      </c>
      <c r="E3773" s="32">
        <v>2020</v>
      </c>
      <c r="F3773" s="32">
        <v>2020</v>
      </c>
      <c r="G3773" s="32" t="s">
        <v>16</v>
      </c>
      <c r="H3773" s="9">
        <v>200</v>
      </c>
      <c r="I3773" s="9">
        <v>200</v>
      </c>
      <c r="J3773" s="32"/>
      <c r="K3773" s="52"/>
      <c r="L3773" s="10">
        <v>20201118</v>
      </c>
      <c r="M3773" s="36" t="str">
        <f t="shared" si="58"/>
        <v>19720316</v>
      </c>
    </row>
    <row r="3774" s="1" customFormat="1" spans="1:13">
      <c r="A3774" s="2">
        <v>233</v>
      </c>
      <c r="B3774" s="14" t="s">
        <v>327</v>
      </c>
      <c r="C3774" s="14" t="s">
        <v>585</v>
      </c>
      <c r="D3774" s="14" t="s">
        <v>586</v>
      </c>
      <c r="E3774" s="5">
        <v>2020</v>
      </c>
      <c r="F3774" s="5">
        <v>2020</v>
      </c>
      <c r="G3774" s="14" t="s">
        <v>16</v>
      </c>
      <c r="H3774" s="14">
        <v>200</v>
      </c>
      <c r="I3774" s="14">
        <v>200</v>
      </c>
      <c r="J3774" s="14"/>
      <c r="K3774" s="10"/>
      <c r="L3774" s="2" t="s">
        <v>330</v>
      </c>
      <c r="M3774" s="36" t="str">
        <f t="shared" si="58"/>
        <v>19720318</v>
      </c>
    </row>
    <row r="3775" s="1" customFormat="1" spans="1:13">
      <c r="A3775" s="2">
        <v>7523</v>
      </c>
      <c r="B3775" s="5" t="s">
        <v>14402</v>
      </c>
      <c r="C3775" s="5" t="s">
        <v>14657</v>
      </c>
      <c r="D3775" s="5" t="s">
        <v>14658</v>
      </c>
      <c r="E3775" s="5">
        <v>2020</v>
      </c>
      <c r="F3775" s="5">
        <v>2020</v>
      </c>
      <c r="G3775" s="17" t="s">
        <v>16</v>
      </c>
      <c r="H3775" s="5">
        <v>200</v>
      </c>
      <c r="I3775" s="5">
        <v>200</v>
      </c>
      <c r="J3775" s="5" t="s">
        <v>749</v>
      </c>
      <c r="K3775" s="10"/>
      <c r="L3775" s="10">
        <v>20201118</v>
      </c>
      <c r="M3775" s="36" t="str">
        <f t="shared" si="58"/>
        <v>19720318</v>
      </c>
    </row>
    <row r="3776" s="1" customFormat="1" spans="1:13">
      <c r="A3776" s="2">
        <v>6635</v>
      </c>
      <c r="B3776" s="5" t="s">
        <v>13027</v>
      </c>
      <c r="C3776" s="15" t="s">
        <v>7141</v>
      </c>
      <c r="D3776" s="15" t="s">
        <v>13253</v>
      </c>
      <c r="E3776" s="5">
        <v>2020</v>
      </c>
      <c r="F3776" s="5">
        <v>2020</v>
      </c>
      <c r="G3776" s="14" t="s">
        <v>16</v>
      </c>
      <c r="H3776" s="15">
        <v>200</v>
      </c>
      <c r="I3776" s="15">
        <v>200</v>
      </c>
      <c r="J3776" s="5"/>
      <c r="K3776" s="10"/>
      <c r="L3776" s="10">
        <v>20201118</v>
      </c>
      <c r="M3776" s="36" t="str">
        <f t="shared" si="58"/>
        <v>19720320</v>
      </c>
    </row>
    <row r="3777" s="1" customFormat="1" spans="1:13">
      <c r="A3777" s="2">
        <v>8211</v>
      </c>
      <c r="B3777" s="5" t="s">
        <v>15406</v>
      </c>
      <c r="C3777" s="6" t="s">
        <v>15605</v>
      </c>
      <c r="D3777" s="6" t="s">
        <v>15606</v>
      </c>
      <c r="E3777" s="5" t="s">
        <v>15</v>
      </c>
      <c r="F3777" s="5">
        <v>2020</v>
      </c>
      <c r="G3777" s="14" t="s">
        <v>16</v>
      </c>
      <c r="H3777" s="6">
        <v>200</v>
      </c>
      <c r="I3777" s="6">
        <v>200</v>
      </c>
      <c r="J3777" s="5"/>
      <c r="K3777" s="10"/>
      <c r="L3777" s="10">
        <v>20201118</v>
      </c>
      <c r="M3777" s="36" t="str">
        <f t="shared" si="58"/>
        <v>19720320</v>
      </c>
    </row>
    <row r="3778" s="1" customFormat="1" spans="1:13">
      <c r="A3778" s="2">
        <v>459</v>
      </c>
      <c r="B3778" s="29" t="s">
        <v>1040</v>
      </c>
      <c r="C3778" s="29" t="s">
        <v>1194</v>
      </c>
      <c r="D3778" s="29" t="s">
        <v>1195</v>
      </c>
      <c r="E3778" s="30">
        <v>2020</v>
      </c>
      <c r="F3778" s="30">
        <v>2020</v>
      </c>
      <c r="G3778" s="29" t="s">
        <v>16</v>
      </c>
      <c r="H3778" s="29">
        <v>200</v>
      </c>
      <c r="I3778" s="29">
        <v>200</v>
      </c>
      <c r="J3778" s="29"/>
      <c r="K3778" s="47"/>
      <c r="L3778" s="14" t="s">
        <v>330</v>
      </c>
      <c r="M3778" s="36" t="str">
        <f t="shared" ref="M3778:M3841" si="59">MID(D3778,7,8)</f>
        <v>19720321</v>
      </c>
    </row>
    <row r="3779" s="1" customFormat="1" spans="1:13">
      <c r="A3779" s="2">
        <v>2268</v>
      </c>
      <c r="B3779" s="9" t="s">
        <v>4837</v>
      </c>
      <c r="C3779" s="9" t="s">
        <v>5081</v>
      </c>
      <c r="D3779" s="9" t="s">
        <v>5082</v>
      </c>
      <c r="E3779" s="6" t="s">
        <v>15</v>
      </c>
      <c r="F3779" s="6">
        <v>2020</v>
      </c>
      <c r="G3779" s="9" t="s">
        <v>2480</v>
      </c>
      <c r="H3779" s="9">
        <v>200</v>
      </c>
      <c r="I3779" s="9">
        <v>200</v>
      </c>
      <c r="J3779" s="6"/>
      <c r="K3779" s="10"/>
      <c r="L3779" s="10">
        <v>20201118</v>
      </c>
      <c r="M3779" s="36" t="str">
        <f t="shared" si="59"/>
        <v>19720323</v>
      </c>
    </row>
    <row r="3780" s="1" customFormat="1" spans="1:13">
      <c r="A3780" s="2">
        <v>2269</v>
      </c>
      <c r="B3780" s="9" t="s">
        <v>4837</v>
      </c>
      <c r="C3780" s="9" t="s">
        <v>5083</v>
      </c>
      <c r="D3780" s="9" t="s">
        <v>5084</v>
      </c>
      <c r="E3780" s="6" t="s">
        <v>15</v>
      </c>
      <c r="F3780" s="6">
        <v>2020</v>
      </c>
      <c r="G3780" s="9" t="s">
        <v>2480</v>
      </c>
      <c r="H3780" s="9">
        <v>200</v>
      </c>
      <c r="I3780" s="9">
        <v>200</v>
      </c>
      <c r="J3780" s="6"/>
      <c r="K3780" s="10"/>
      <c r="L3780" s="10">
        <v>20201118</v>
      </c>
      <c r="M3780" s="36" t="str">
        <f t="shared" si="59"/>
        <v>19720326</v>
      </c>
    </row>
    <row r="3781" s="1" customFormat="1" ht="14.25" spans="1:13">
      <c r="A3781" s="2">
        <v>2958</v>
      </c>
      <c r="B3781" s="6" t="s">
        <v>6075</v>
      </c>
      <c r="C3781" s="25" t="s">
        <v>4926</v>
      </c>
      <c r="D3781" s="26" t="s">
        <v>6443</v>
      </c>
      <c r="E3781" s="5" t="s">
        <v>15</v>
      </c>
      <c r="F3781" s="5">
        <v>2020</v>
      </c>
      <c r="G3781" s="6" t="s">
        <v>16</v>
      </c>
      <c r="H3781" s="6">
        <v>200</v>
      </c>
      <c r="I3781" s="6">
        <v>200</v>
      </c>
      <c r="J3781" s="6"/>
      <c r="K3781" s="10"/>
      <c r="L3781" s="10">
        <v>20201118</v>
      </c>
      <c r="M3781" s="36" t="str">
        <f t="shared" si="59"/>
        <v>19720327</v>
      </c>
    </row>
    <row r="3782" s="1" customFormat="1" spans="1:13">
      <c r="A3782" s="2">
        <v>1092</v>
      </c>
      <c r="B3782" s="5" t="s">
        <v>2469</v>
      </c>
      <c r="C3782" s="9" t="s">
        <v>2772</v>
      </c>
      <c r="D3782" s="9" t="s">
        <v>2773</v>
      </c>
      <c r="E3782" s="5">
        <v>2020</v>
      </c>
      <c r="F3782" s="5">
        <v>2020</v>
      </c>
      <c r="G3782" s="9" t="s">
        <v>2480</v>
      </c>
      <c r="H3782" s="9">
        <v>200</v>
      </c>
      <c r="I3782" s="9">
        <v>200</v>
      </c>
      <c r="J3782" s="5"/>
      <c r="K3782" s="5"/>
      <c r="L3782" s="10">
        <v>20201118</v>
      </c>
      <c r="M3782" s="36" t="str">
        <f t="shared" si="59"/>
        <v>19720328</v>
      </c>
    </row>
    <row r="3783" s="1" customFormat="1" spans="1:13">
      <c r="A3783" s="2">
        <v>7520</v>
      </c>
      <c r="B3783" s="5" t="s">
        <v>14402</v>
      </c>
      <c r="C3783" s="5" t="s">
        <v>14651</v>
      </c>
      <c r="D3783" s="5" t="s">
        <v>14652</v>
      </c>
      <c r="E3783" s="5">
        <v>2020</v>
      </c>
      <c r="F3783" s="5">
        <v>2020</v>
      </c>
      <c r="G3783" s="17" t="s">
        <v>16</v>
      </c>
      <c r="H3783" s="5">
        <v>200</v>
      </c>
      <c r="I3783" s="5">
        <v>200</v>
      </c>
      <c r="J3783" s="5"/>
      <c r="K3783" s="10"/>
      <c r="L3783" s="10">
        <v>20201118</v>
      </c>
      <c r="M3783" s="36" t="str">
        <f t="shared" si="59"/>
        <v>19720328</v>
      </c>
    </row>
    <row r="3784" s="1" customFormat="1" spans="1:13">
      <c r="A3784" s="2">
        <v>2632</v>
      </c>
      <c r="B3784" s="32" t="s">
        <v>5602</v>
      </c>
      <c r="C3784" s="9" t="s">
        <v>5798</v>
      </c>
      <c r="D3784" s="9" t="s">
        <v>5799</v>
      </c>
      <c r="E3784" s="32">
        <v>2020</v>
      </c>
      <c r="F3784" s="32">
        <v>2020</v>
      </c>
      <c r="G3784" s="32" t="s">
        <v>16</v>
      </c>
      <c r="H3784" s="9">
        <v>200</v>
      </c>
      <c r="I3784" s="9">
        <v>200</v>
      </c>
      <c r="J3784" s="32"/>
      <c r="K3784" s="52"/>
      <c r="L3784" s="10">
        <v>20201118</v>
      </c>
      <c r="M3784" s="36" t="str">
        <f t="shared" si="59"/>
        <v>19720329</v>
      </c>
    </row>
    <row r="3785" s="1" customFormat="1" spans="1:13">
      <c r="A3785" s="2">
        <v>7975</v>
      </c>
      <c r="B3785" s="5" t="s">
        <v>15086</v>
      </c>
      <c r="C3785" s="6" t="s">
        <v>15247</v>
      </c>
      <c r="D3785" s="6" t="str">
        <f>"152326197203296873"</f>
        <v>152326197203296873</v>
      </c>
      <c r="E3785" s="5" t="s">
        <v>15</v>
      </c>
      <c r="F3785" s="5">
        <v>2020</v>
      </c>
      <c r="G3785" s="5" t="s">
        <v>16</v>
      </c>
      <c r="H3785" s="5">
        <v>200</v>
      </c>
      <c r="I3785" s="5">
        <v>200</v>
      </c>
      <c r="J3785" s="5"/>
      <c r="K3785" s="5"/>
      <c r="L3785" s="10">
        <v>20201118</v>
      </c>
      <c r="M3785" s="36" t="str">
        <f t="shared" si="59"/>
        <v>19720329</v>
      </c>
    </row>
    <row r="3786" s="1" customFormat="1" spans="1:13">
      <c r="A3786" s="2">
        <v>2447</v>
      </c>
      <c r="B3786" s="5" t="s">
        <v>5328</v>
      </c>
      <c r="C3786" s="16" t="s">
        <v>5433</v>
      </c>
      <c r="D3786" s="16" t="s">
        <v>5434</v>
      </c>
      <c r="E3786" s="5" t="s">
        <v>15</v>
      </c>
      <c r="F3786" s="5" t="s">
        <v>15</v>
      </c>
      <c r="G3786" s="14" t="s">
        <v>16</v>
      </c>
      <c r="H3786" s="6">
        <v>200</v>
      </c>
      <c r="I3786" s="6">
        <v>200</v>
      </c>
      <c r="J3786" s="5"/>
      <c r="K3786" s="5"/>
      <c r="L3786" s="10">
        <v>20201118</v>
      </c>
      <c r="M3786" s="36" t="str">
        <f t="shared" si="59"/>
        <v>19720402</v>
      </c>
    </row>
    <row r="3787" s="1" customFormat="1" spans="1:13">
      <c r="A3787" s="2">
        <v>28</v>
      </c>
      <c r="B3787" s="31" t="s">
        <v>12</v>
      </c>
      <c r="C3787" s="17" t="s">
        <v>70</v>
      </c>
      <c r="D3787" s="17" t="s">
        <v>71</v>
      </c>
      <c r="E3787" s="3" t="s">
        <v>15</v>
      </c>
      <c r="F3787" s="3" t="s">
        <v>15</v>
      </c>
      <c r="G3787" s="2" t="s">
        <v>16</v>
      </c>
      <c r="H3787" s="17">
        <v>500</v>
      </c>
      <c r="I3787" s="17">
        <v>500</v>
      </c>
      <c r="J3787" s="31"/>
      <c r="K3787" s="17"/>
      <c r="L3787" s="10">
        <v>20201118</v>
      </c>
      <c r="M3787" s="36" t="str">
        <f t="shared" si="59"/>
        <v>19720403</v>
      </c>
    </row>
    <row r="3788" s="1" customFormat="1" spans="1:13">
      <c r="A3788" s="2">
        <v>585</v>
      </c>
      <c r="B3788" s="29" t="s">
        <v>1040</v>
      </c>
      <c r="C3788" s="29" t="s">
        <v>1446</v>
      </c>
      <c r="D3788" s="29" t="s">
        <v>1447</v>
      </c>
      <c r="E3788" s="30">
        <v>2020</v>
      </c>
      <c r="F3788" s="30">
        <v>2020</v>
      </c>
      <c r="G3788" s="29" t="s">
        <v>16</v>
      </c>
      <c r="H3788" s="29">
        <v>200</v>
      </c>
      <c r="I3788" s="29">
        <v>200</v>
      </c>
      <c r="J3788" s="29"/>
      <c r="K3788" s="47"/>
      <c r="L3788" s="14" t="s">
        <v>330</v>
      </c>
      <c r="M3788" s="36" t="str">
        <f t="shared" si="59"/>
        <v>19720403</v>
      </c>
    </row>
    <row r="3789" s="1" customFormat="1" spans="1:13">
      <c r="A3789" s="2">
        <v>4281</v>
      </c>
      <c r="B3789" s="9" t="s">
        <v>8515</v>
      </c>
      <c r="C3789" s="9" t="s">
        <v>200</v>
      </c>
      <c r="D3789" s="9" t="s">
        <v>8757</v>
      </c>
      <c r="E3789" s="5" t="s">
        <v>15</v>
      </c>
      <c r="F3789" s="5">
        <v>2020</v>
      </c>
      <c r="G3789" s="9" t="s">
        <v>2480</v>
      </c>
      <c r="H3789" s="9">
        <v>200</v>
      </c>
      <c r="I3789" s="9">
        <v>200</v>
      </c>
      <c r="J3789" s="9"/>
      <c r="K3789" s="9"/>
      <c r="L3789" s="10">
        <v>20201118</v>
      </c>
      <c r="M3789" s="36" t="str">
        <f t="shared" si="59"/>
        <v>19720403</v>
      </c>
    </row>
    <row r="3790" s="1" customFormat="1" spans="1:13">
      <c r="A3790" s="2">
        <v>7197</v>
      </c>
      <c r="B3790" s="5" t="s">
        <v>13908</v>
      </c>
      <c r="C3790" s="5" t="s">
        <v>14043</v>
      </c>
      <c r="D3790" s="5" t="s">
        <v>14044</v>
      </c>
      <c r="E3790" s="5" t="s">
        <v>15</v>
      </c>
      <c r="F3790" s="5" t="s">
        <v>15</v>
      </c>
      <c r="G3790" s="14" t="s">
        <v>16</v>
      </c>
      <c r="H3790" s="17">
        <v>200</v>
      </c>
      <c r="I3790" s="17">
        <v>200</v>
      </c>
      <c r="J3790" s="5"/>
      <c r="K3790" s="10"/>
      <c r="L3790" s="10">
        <v>20201118</v>
      </c>
      <c r="M3790" s="36" t="str">
        <f t="shared" si="59"/>
        <v>19720403</v>
      </c>
    </row>
    <row r="3791" s="1" customFormat="1" spans="1:13">
      <c r="A3791" s="2">
        <v>7518</v>
      </c>
      <c r="B3791" s="5" t="s">
        <v>14402</v>
      </c>
      <c r="C3791" s="5" t="s">
        <v>7519</v>
      </c>
      <c r="D3791" s="5" t="s">
        <v>14648</v>
      </c>
      <c r="E3791" s="5">
        <v>2020</v>
      </c>
      <c r="F3791" s="5">
        <v>2020</v>
      </c>
      <c r="G3791" s="17" t="s">
        <v>16</v>
      </c>
      <c r="H3791" s="5">
        <v>200</v>
      </c>
      <c r="I3791" s="5">
        <v>200</v>
      </c>
      <c r="J3791" s="5"/>
      <c r="K3791" s="10"/>
      <c r="L3791" s="10">
        <v>20201118</v>
      </c>
      <c r="M3791" s="36" t="str">
        <f t="shared" si="59"/>
        <v>19720404</v>
      </c>
    </row>
    <row r="3792" s="1" customFormat="1" spans="1:13">
      <c r="A3792" s="2">
        <v>3860</v>
      </c>
      <c r="B3792" s="5" t="s">
        <v>7412</v>
      </c>
      <c r="C3792" s="5" t="s">
        <v>7956</v>
      </c>
      <c r="D3792" s="5" t="s">
        <v>7957</v>
      </c>
      <c r="E3792" s="6">
        <v>2020</v>
      </c>
      <c r="F3792" s="6">
        <v>2020</v>
      </c>
      <c r="G3792" s="5" t="s">
        <v>3359</v>
      </c>
      <c r="H3792" s="5">
        <v>200</v>
      </c>
      <c r="I3792" s="5">
        <v>200</v>
      </c>
      <c r="J3792" s="5"/>
      <c r="K3792" s="5"/>
      <c r="L3792" s="10">
        <v>20201118</v>
      </c>
      <c r="M3792" s="36" t="str">
        <f t="shared" si="59"/>
        <v>19720405</v>
      </c>
    </row>
    <row r="3793" s="1" customFormat="1" spans="1:13">
      <c r="A3793" s="2">
        <v>7086</v>
      </c>
      <c r="B3793" s="5" t="s">
        <v>13533</v>
      </c>
      <c r="C3793" s="32" t="s">
        <v>13843</v>
      </c>
      <c r="D3793" s="304" t="s">
        <v>13844</v>
      </c>
      <c r="E3793" s="5">
        <v>2020</v>
      </c>
      <c r="F3793" s="5">
        <v>2020</v>
      </c>
      <c r="G3793" s="9" t="s">
        <v>2480</v>
      </c>
      <c r="H3793" s="32">
        <v>200</v>
      </c>
      <c r="I3793" s="32">
        <v>200</v>
      </c>
      <c r="J3793" s="32"/>
      <c r="K3793" s="10"/>
      <c r="L3793" s="10">
        <v>20201118</v>
      </c>
      <c r="M3793" s="36" t="str">
        <f t="shared" si="59"/>
        <v>19720405</v>
      </c>
    </row>
    <row r="3794" s="1" customFormat="1" spans="1:13">
      <c r="A3794" s="2">
        <v>7265</v>
      </c>
      <c r="B3794" s="5" t="s">
        <v>13908</v>
      </c>
      <c r="C3794" s="5" t="s">
        <v>14172</v>
      </c>
      <c r="D3794" s="5" t="s">
        <v>14173</v>
      </c>
      <c r="E3794" s="5" t="s">
        <v>15</v>
      </c>
      <c r="F3794" s="5" t="s">
        <v>15</v>
      </c>
      <c r="G3794" s="14" t="s">
        <v>16</v>
      </c>
      <c r="H3794" s="17">
        <v>200</v>
      </c>
      <c r="I3794" s="17">
        <v>200</v>
      </c>
      <c r="J3794" s="5"/>
      <c r="K3794" s="10"/>
      <c r="L3794" s="10">
        <v>20201118</v>
      </c>
      <c r="M3794" s="36" t="str">
        <f t="shared" si="59"/>
        <v>19720405</v>
      </c>
    </row>
    <row r="3795" s="1" customFormat="1" ht="14.25" spans="1:13">
      <c r="A3795" s="2">
        <v>5329</v>
      </c>
      <c r="B3795" s="33" t="s">
        <v>10535</v>
      </c>
      <c r="C3795" s="34" t="s">
        <v>10771</v>
      </c>
      <c r="D3795" s="34" t="s">
        <v>10772</v>
      </c>
      <c r="E3795" s="35">
        <v>2020</v>
      </c>
      <c r="F3795" s="35">
        <v>2020</v>
      </c>
      <c r="G3795" s="35" t="s">
        <v>16</v>
      </c>
      <c r="H3795" s="34">
        <v>200</v>
      </c>
      <c r="I3795" s="34">
        <v>200</v>
      </c>
      <c r="J3795" s="49"/>
      <c r="K3795" s="10"/>
      <c r="L3795" s="10">
        <v>20201118</v>
      </c>
      <c r="M3795" s="36" t="str">
        <f t="shared" si="59"/>
        <v>19720412</v>
      </c>
    </row>
    <row r="3796" s="1" customFormat="1" spans="1:13">
      <c r="A3796" s="2">
        <v>2448</v>
      </c>
      <c r="B3796" s="5" t="s">
        <v>5328</v>
      </c>
      <c r="C3796" s="16" t="s">
        <v>5435</v>
      </c>
      <c r="D3796" s="16" t="s">
        <v>5436</v>
      </c>
      <c r="E3796" s="5" t="s">
        <v>15</v>
      </c>
      <c r="F3796" s="5" t="s">
        <v>15</v>
      </c>
      <c r="G3796" s="14" t="s">
        <v>16</v>
      </c>
      <c r="H3796" s="6">
        <v>200</v>
      </c>
      <c r="I3796" s="6">
        <v>200</v>
      </c>
      <c r="J3796" s="5"/>
      <c r="K3796" s="5"/>
      <c r="L3796" s="10">
        <v>20201118</v>
      </c>
      <c r="M3796" s="36" t="str">
        <f t="shared" si="59"/>
        <v>19720413</v>
      </c>
    </row>
    <row r="3797" s="1" customFormat="1" spans="1:13">
      <c r="A3797" s="2">
        <v>3390</v>
      </c>
      <c r="B3797" s="5" t="s">
        <v>3375</v>
      </c>
      <c r="C3797" s="6" t="s">
        <v>7167</v>
      </c>
      <c r="D3797" s="6" t="str">
        <f>"152326197204156872"</f>
        <v>152326197204156872</v>
      </c>
      <c r="E3797" s="5" t="s">
        <v>15</v>
      </c>
      <c r="F3797" s="5">
        <v>2020</v>
      </c>
      <c r="G3797" s="14" t="s">
        <v>16</v>
      </c>
      <c r="H3797" s="17">
        <v>1000</v>
      </c>
      <c r="I3797" s="17">
        <v>1000</v>
      </c>
      <c r="J3797" s="6"/>
      <c r="K3797" s="10"/>
      <c r="L3797" s="10">
        <v>20201118</v>
      </c>
      <c r="M3797" s="36" t="str">
        <f t="shared" si="59"/>
        <v>19720415</v>
      </c>
    </row>
    <row r="3798" s="1" customFormat="1" spans="1:13">
      <c r="A3798" s="2">
        <v>8169</v>
      </c>
      <c r="B3798" s="5" t="s">
        <v>15406</v>
      </c>
      <c r="C3798" s="6" t="s">
        <v>15527</v>
      </c>
      <c r="D3798" s="6" t="s">
        <v>15528</v>
      </c>
      <c r="E3798" s="5" t="s">
        <v>15</v>
      </c>
      <c r="F3798" s="5">
        <v>2020</v>
      </c>
      <c r="G3798" s="14" t="s">
        <v>16</v>
      </c>
      <c r="H3798" s="6">
        <v>200</v>
      </c>
      <c r="I3798" s="6">
        <v>200</v>
      </c>
      <c r="J3798" s="5"/>
      <c r="K3798" s="10"/>
      <c r="L3798" s="10">
        <v>20201118</v>
      </c>
      <c r="M3798" s="36" t="str">
        <f t="shared" si="59"/>
        <v>19720415</v>
      </c>
    </row>
    <row r="3799" s="1" customFormat="1" spans="1:13">
      <c r="A3799" s="2">
        <v>643</v>
      </c>
      <c r="B3799" s="29" t="s">
        <v>1040</v>
      </c>
      <c r="C3799" s="47" t="s">
        <v>1582</v>
      </c>
      <c r="D3799" s="47" t="s">
        <v>1583</v>
      </c>
      <c r="E3799" s="30">
        <v>2020</v>
      </c>
      <c r="F3799" s="30">
        <v>2020</v>
      </c>
      <c r="G3799" s="29" t="s">
        <v>16</v>
      </c>
      <c r="H3799" s="29">
        <v>200</v>
      </c>
      <c r="I3799" s="29">
        <v>200</v>
      </c>
      <c r="J3799" s="29"/>
      <c r="K3799" s="47"/>
      <c r="L3799" s="2" t="s">
        <v>330</v>
      </c>
      <c r="M3799" s="36" t="str">
        <f t="shared" si="59"/>
        <v>19720416</v>
      </c>
    </row>
    <row r="3800" s="1" customFormat="1" spans="1:13">
      <c r="A3800" s="2">
        <v>1937</v>
      </c>
      <c r="B3800" s="5" t="s">
        <v>4189</v>
      </c>
      <c r="C3800" s="16" t="s">
        <v>4433</v>
      </c>
      <c r="D3800" s="16" t="s">
        <v>4434</v>
      </c>
      <c r="E3800" s="5" t="s">
        <v>15</v>
      </c>
      <c r="F3800" s="5" t="s">
        <v>15</v>
      </c>
      <c r="G3800" s="5" t="s">
        <v>3359</v>
      </c>
      <c r="H3800" s="16">
        <v>200</v>
      </c>
      <c r="I3800" s="16">
        <v>200</v>
      </c>
      <c r="J3800" s="5"/>
      <c r="K3800" s="10"/>
      <c r="L3800" s="10">
        <v>20201118</v>
      </c>
      <c r="M3800" s="36" t="str">
        <f t="shared" si="59"/>
        <v>19720418</v>
      </c>
    </row>
    <row r="3801" s="1" customFormat="1" spans="1:13">
      <c r="A3801" s="2">
        <v>7517</v>
      </c>
      <c r="B3801" s="5" t="s">
        <v>14402</v>
      </c>
      <c r="C3801" s="5" t="s">
        <v>14646</v>
      </c>
      <c r="D3801" s="5" t="s">
        <v>14647</v>
      </c>
      <c r="E3801" s="5">
        <v>2020</v>
      </c>
      <c r="F3801" s="5">
        <v>2020</v>
      </c>
      <c r="G3801" s="17" t="s">
        <v>16</v>
      </c>
      <c r="H3801" s="5">
        <v>200</v>
      </c>
      <c r="I3801" s="5">
        <v>200</v>
      </c>
      <c r="J3801" s="5"/>
      <c r="K3801" s="10"/>
      <c r="L3801" s="10">
        <v>20201118</v>
      </c>
      <c r="M3801" s="36" t="str">
        <f t="shared" si="59"/>
        <v>19720421</v>
      </c>
    </row>
    <row r="3802" s="1" customFormat="1" spans="1:13">
      <c r="A3802" s="2">
        <v>1634</v>
      </c>
      <c r="B3802" s="5" t="s">
        <v>3381</v>
      </c>
      <c r="C3802" s="9" t="s">
        <v>3830</v>
      </c>
      <c r="D3802" s="9" t="s">
        <v>3831</v>
      </c>
      <c r="E3802" s="5">
        <v>2020</v>
      </c>
      <c r="F3802" s="5">
        <v>2020</v>
      </c>
      <c r="G3802" s="14" t="s">
        <v>16</v>
      </c>
      <c r="H3802" s="6">
        <v>200</v>
      </c>
      <c r="I3802" s="6">
        <v>200</v>
      </c>
      <c r="J3802" s="5"/>
      <c r="K3802" s="13"/>
      <c r="L3802" s="10">
        <v>20201118</v>
      </c>
      <c r="M3802" s="36" t="str">
        <f t="shared" si="59"/>
        <v>19720425</v>
      </c>
    </row>
    <row r="3803" s="1" customFormat="1" spans="1:13">
      <c r="A3803" s="2">
        <v>4756</v>
      </c>
      <c r="B3803" s="6" t="s">
        <v>9015</v>
      </c>
      <c r="C3803" s="6" t="s">
        <v>9666</v>
      </c>
      <c r="D3803" s="6" t="s">
        <v>9667</v>
      </c>
      <c r="E3803" s="6">
        <v>2020</v>
      </c>
      <c r="F3803" s="6">
        <v>2020</v>
      </c>
      <c r="G3803" s="6" t="s">
        <v>16</v>
      </c>
      <c r="H3803" s="6">
        <v>200</v>
      </c>
      <c r="I3803" s="6">
        <v>200</v>
      </c>
      <c r="J3803" s="6"/>
      <c r="K3803" s="6"/>
      <c r="L3803" s="10">
        <v>20201118</v>
      </c>
      <c r="M3803" s="36" t="str">
        <f t="shared" si="59"/>
        <v>19720501</v>
      </c>
    </row>
    <row r="3804" s="1" customFormat="1" spans="1:13">
      <c r="A3804" s="2">
        <v>4282</v>
      </c>
      <c r="B3804" s="9" t="s">
        <v>8515</v>
      </c>
      <c r="C3804" s="9" t="s">
        <v>8758</v>
      </c>
      <c r="D3804" s="9" t="s">
        <v>8759</v>
      </c>
      <c r="E3804" s="5" t="s">
        <v>15</v>
      </c>
      <c r="F3804" s="5">
        <v>2020</v>
      </c>
      <c r="G3804" s="9" t="s">
        <v>2480</v>
      </c>
      <c r="H3804" s="9">
        <v>200</v>
      </c>
      <c r="I3804" s="9">
        <v>200</v>
      </c>
      <c r="J3804" s="9"/>
      <c r="K3804" s="9"/>
      <c r="L3804" s="10">
        <v>20201118</v>
      </c>
      <c r="M3804" s="36" t="str">
        <f t="shared" si="59"/>
        <v>19720502</v>
      </c>
    </row>
    <row r="3805" s="1" customFormat="1" spans="1:13">
      <c r="A3805" s="2">
        <v>1778</v>
      </c>
      <c r="B3805" s="5" t="s">
        <v>3381</v>
      </c>
      <c r="C3805" s="9" t="s">
        <v>4117</v>
      </c>
      <c r="D3805" s="9" t="s">
        <v>4118</v>
      </c>
      <c r="E3805" s="5">
        <v>2017</v>
      </c>
      <c r="F3805" s="5">
        <v>2020</v>
      </c>
      <c r="G3805" s="14" t="s">
        <v>289</v>
      </c>
      <c r="H3805" s="18">
        <v>200</v>
      </c>
      <c r="I3805" s="6">
        <v>800</v>
      </c>
      <c r="J3805" s="5"/>
      <c r="K3805" s="13"/>
      <c r="L3805" s="10">
        <v>20201118</v>
      </c>
      <c r="M3805" s="36" t="str">
        <f t="shared" si="59"/>
        <v>19720503</v>
      </c>
    </row>
    <row r="3806" s="1" customFormat="1" spans="1:13">
      <c r="A3806" s="2">
        <v>1939</v>
      </c>
      <c r="B3806" s="5" t="s">
        <v>4189</v>
      </c>
      <c r="C3806" s="16" t="s">
        <v>4437</v>
      </c>
      <c r="D3806" s="16" t="s">
        <v>4438</v>
      </c>
      <c r="E3806" s="5" t="s">
        <v>15</v>
      </c>
      <c r="F3806" s="5" t="s">
        <v>15</v>
      </c>
      <c r="G3806" s="5" t="s">
        <v>3359</v>
      </c>
      <c r="H3806" s="16">
        <v>200</v>
      </c>
      <c r="I3806" s="16">
        <v>200</v>
      </c>
      <c r="J3806" s="5"/>
      <c r="K3806" s="10"/>
      <c r="L3806" s="10">
        <v>20201118</v>
      </c>
      <c r="M3806" s="36" t="str">
        <f t="shared" si="59"/>
        <v>19720504</v>
      </c>
    </row>
    <row r="3807" s="1" customFormat="1" spans="1:13">
      <c r="A3807" s="2">
        <v>3861</v>
      </c>
      <c r="B3807" s="5" t="s">
        <v>7412</v>
      </c>
      <c r="C3807" s="5" t="s">
        <v>7958</v>
      </c>
      <c r="D3807" s="5" t="s">
        <v>7959</v>
      </c>
      <c r="E3807" s="6">
        <v>2020</v>
      </c>
      <c r="F3807" s="6">
        <v>2020</v>
      </c>
      <c r="G3807" s="5" t="s">
        <v>3359</v>
      </c>
      <c r="H3807" s="5">
        <v>200</v>
      </c>
      <c r="I3807" s="5">
        <v>200</v>
      </c>
      <c r="J3807" s="5"/>
      <c r="K3807" s="5"/>
      <c r="L3807" s="10">
        <v>20201118</v>
      </c>
      <c r="M3807" s="36" t="str">
        <f t="shared" si="59"/>
        <v>19720504</v>
      </c>
    </row>
    <row r="3808" s="1" customFormat="1" spans="1:13">
      <c r="A3808" s="2">
        <v>607</v>
      </c>
      <c r="B3808" s="29" t="s">
        <v>1040</v>
      </c>
      <c r="C3808" s="29" t="s">
        <v>1490</v>
      </c>
      <c r="D3808" s="29" t="s">
        <v>1491</v>
      </c>
      <c r="E3808" s="30">
        <v>2020</v>
      </c>
      <c r="F3808" s="30">
        <v>2020</v>
      </c>
      <c r="G3808" s="29" t="s">
        <v>16</v>
      </c>
      <c r="H3808" s="29">
        <v>200</v>
      </c>
      <c r="I3808" s="29">
        <v>200</v>
      </c>
      <c r="J3808" s="29"/>
      <c r="K3808" s="47"/>
      <c r="L3808" s="14" t="s">
        <v>330</v>
      </c>
      <c r="M3808" s="36" t="str">
        <f t="shared" si="59"/>
        <v>19720505</v>
      </c>
    </row>
    <row r="3809" s="1" customFormat="1" spans="1:13">
      <c r="A3809" s="2">
        <v>3393</v>
      </c>
      <c r="B3809" s="5" t="s">
        <v>3375</v>
      </c>
      <c r="C3809" s="6" t="s">
        <v>7170</v>
      </c>
      <c r="D3809" s="6" t="str">
        <f>"152326197205066860"</f>
        <v>152326197205066860</v>
      </c>
      <c r="E3809" s="5" t="s">
        <v>15</v>
      </c>
      <c r="F3809" s="5">
        <v>2020</v>
      </c>
      <c r="G3809" s="14" t="s">
        <v>16</v>
      </c>
      <c r="H3809" s="17">
        <v>200</v>
      </c>
      <c r="I3809" s="17">
        <v>200</v>
      </c>
      <c r="J3809" s="6"/>
      <c r="K3809" s="10"/>
      <c r="L3809" s="10">
        <v>20201118</v>
      </c>
      <c r="M3809" s="36" t="str">
        <f t="shared" si="59"/>
        <v>19720506</v>
      </c>
    </row>
    <row r="3810" s="1" customFormat="1" spans="1:13">
      <c r="A3810" s="2">
        <v>2449</v>
      </c>
      <c r="B3810" s="5" t="s">
        <v>5328</v>
      </c>
      <c r="C3810" s="16" t="s">
        <v>5437</v>
      </c>
      <c r="D3810" s="16" t="s">
        <v>5438</v>
      </c>
      <c r="E3810" s="5" t="s">
        <v>15</v>
      </c>
      <c r="F3810" s="5" t="s">
        <v>15</v>
      </c>
      <c r="G3810" s="14" t="s">
        <v>16</v>
      </c>
      <c r="H3810" s="6">
        <v>200</v>
      </c>
      <c r="I3810" s="6">
        <v>200</v>
      </c>
      <c r="J3810" s="5"/>
      <c r="K3810" s="5"/>
      <c r="L3810" s="10">
        <v>20201118</v>
      </c>
      <c r="M3810" s="36" t="str">
        <f t="shared" si="59"/>
        <v>19720507</v>
      </c>
    </row>
    <row r="3811" s="1" customFormat="1" spans="1:13">
      <c r="A3811" s="2">
        <v>4592</v>
      </c>
      <c r="B3811" s="6" t="s">
        <v>9015</v>
      </c>
      <c r="C3811" s="6" t="s">
        <v>1731</v>
      </c>
      <c r="D3811" s="6" t="s">
        <v>9359</v>
      </c>
      <c r="E3811" s="6">
        <v>2020</v>
      </c>
      <c r="F3811" s="6">
        <v>2020</v>
      </c>
      <c r="G3811" s="6" t="s">
        <v>16</v>
      </c>
      <c r="H3811" s="6">
        <v>200</v>
      </c>
      <c r="I3811" s="6">
        <v>200</v>
      </c>
      <c r="J3811" s="6"/>
      <c r="K3811" s="6"/>
      <c r="L3811" s="10">
        <v>20201118</v>
      </c>
      <c r="M3811" s="36" t="str">
        <f t="shared" si="59"/>
        <v>19720507</v>
      </c>
    </row>
    <row r="3812" s="1" customFormat="1" spans="1:13">
      <c r="A3812" s="2">
        <v>1093</v>
      </c>
      <c r="B3812" s="5" t="s">
        <v>2469</v>
      </c>
      <c r="C3812" s="9" t="s">
        <v>1543</v>
      </c>
      <c r="D3812" s="9" t="s">
        <v>2774</v>
      </c>
      <c r="E3812" s="5">
        <v>2020</v>
      </c>
      <c r="F3812" s="5">
        <v>2020</v>
      </c>
      <c r="G3812" s="9" t="s">
        <v>2480</v>
      </c>
      <c r="H3812" s="9">
        <v>200</v>
      </c>
      <c r="I3812" s="9">
        <v>200</v>
      </c>
      <c r="J3812" s="5"/>
      <c r="K3812" s="5"/>
      <c r="L3812" s="10">
        <v>20201118</v>
      </c>
      <c r="M3812" s="36" t="str">
        <f t="shared" si="59"/>
        <v>19720508</v>
      </c>
    </row>
    <row r="3813" s="1" customFormat="1" spans="1:13">
      <c r="A3813" s="2">
        <v>6636</v>
      </c>
      <c r="B3813" s="5" t="s">
        <v>13027</v>
      </c>
      <c r="C3813" s="15" t="s">
        <v>13254</v>
      </c>
      <c r="D3813" s="15" t="s">
        <v>13255</v>
      </c>
      <c r="E3813" s="5">
        <v>2020</v>
      </c>
      <c r="F3813" s="5">
        <v>2020</v>
      </c>
      <c r="G3813" s="14" t="s">
        <v>16</v>
      </c>
      <c r="H3813" s="15">
        <v>200</v>
      </c>
      <c r="I3813" s="15">
        <v>200</v>
      </c>
      <c r="J3813" s="5"/>
      <c r="K3813" s="10"/>
      <c r="L3813" s="10">
        <v>20201118</v>
      </c>
      <c r="M3813" s="36" t="str">
        <f t="shared" si="59"/>
        <v>19720508</v>
      </c>
    </row>
    <row r="3814" s="1" customFormat="1" ht="14.25" spans="1:13">
      <c r="A3814" s="2">
        <v>5707</v>
      </c>
      <c r="B3814" s="30" t="s">
        <v>11090</v>
      </c>
      <c r="C3814" s="30" t="s">
        <v>11499</v>
      </c>
      <c r="D3814" s="80" t="s">
        <v>11500</v>
      </c>
      <c r="E3814" s="5" t="s">
        <v>15</v>
      </c>
      <c r="F3814" s="5" t="s">
        <v>10250</v>
      </c>
      <c r="G3814" s="6" t="s">
        <v>16</v>
      </c>
      <c r="H3814" s="32">
        <v>500</v>
      </c>
      <c r="I3814" s="32">
        <v>500</v>
      </c>
      <c r="J3814" s="6"/>
      <c r="K3814" s="48"/>
      <c r="L3814" s="10">
        <v>20201118</v>
      </c>
      <c r="M3814" s="36" t="str">
        <f t="shared" si="59"/>
        <v>19720510</v>
      </c>
    </row>
    <row r="3815" s="1" customFormat="1" spans="1:13">
      <c r="A3815" s="2">
        <v>1635</v>
      </c>
      <c r="B3815" s="5" t="s">
        <v>3381</v>
      </c>
      <c r="C3815" s="9" t="s">
        <v>3832</v>
      </c>
      <c r="D3815" s="9" t="s">
        <v>3833</v>
      </c>
      <c r="E3815" s="5">
        <v>2020</v>
      </c>
      <c r="F3815" s="5">
        <v>2020</v>
      </c>
      <c r="G3815" s="14" t="s">
        <v>16</v>
      </c>
      <c r="H3815" s="6">
        <v>200</v>
      </c>
      <c r="I3815" s="6">
        <v>200</v>
      </c>
      <c r="J3815" s="5"/>
      <c r="K3815" s="13"/>
      <c r="L3815" s="10">
        <v>20201118</v>
      </c>
      <c r="M3815" s="36" t="str">
        <f t="shared" si="59"/>
        <v>19720512</v>
      </c>
    </row>
    <row r="3816" s="1" customFormat="1" spans="1:13">
      <c r="A3816" s="2">
        <v>3862</v>
      </c>
      <c r="B3816" s="5" t="s">
        <v>7412</v>
      </c>
      <c r="C3816" s="5" t="s">
        <v>7960</v>
      </c>
      <c r="D3816" s="5" t="s">
        <v>7961</v>
      </c>
      <c r="E3816" s="6">
        <v>2020</v>
      </c>
      <c r="F3816" s="6">
        <v>2020</v>
      </c>
      <c r="G3816" s="5" t="s">
        <v>3359</v>
      </c>
      <c r="H3816" s="5">
        <v>200</v>
      </c>
      <c r="I3816" s="5">
        <v>200</v>
      </c>
      <c r="J3816" s="5"/>
      <c r="K3816" s="5"/>
      <c r="L3816" s="10">
        <v>20201118</v>
      </c>
      <c r="M3816" s="36" t="str">
        <f t="shared" si="59"/>
        <v>19720512</v>
      </c>
    </row>
    <row r="3817" s="1" customFormat="1" spans="1:13">
      <c r="A3817" s="2">
        <v>8193</v>
      </c>
      <c r="B3817" s="5" t="s">
        <v>15406</v>
      </c>
      <c r="C3817" s="6" t="s">
        <v>15572</v>
      </c>
      <c r="D3817" s="6" t="s">
        <v>15573</v>
      </c>
      <c r="E3817" s="5" t="s">
        <v>15</v>
      </c>
      <c r="F3817" s="5">
        <v>2020</v>
      </c>
      <c r="G3817" s="14" t="s">
        <v>16</v>
      </c>
      <c r="H3817" s="6">
        <v>200</v>
      </c>
      <c r="I3817" s="6">
        <v>200</v>
      </c>
      <c r="J3817" s="5"/>
      <c r="K3817" s="10"/>
      <c r="L3817" s="10">
        <v>20201118</v>
      </c>
      <c r="M3817" s="36" t="str">
        <f t="shared" si="59"/>
        <v>19720513</v>
      </c>
    </row>
    <row r="3818" s="1" customFormat="1" spans="1:13">
      <c r="A3818" s="2">
        <v>7969</v>
      </c>
      <c r="B3818" s="5" t="s">
        <v>15086</v>
      </c>
      <c r="C3818" s="6" t="s">
        <v>15241</v>
      </c>
      <c r="D3818" s="6" t="str">
        <f>"152326197205156882"</f>
        <v>152326197205156882</v>
      </c>
      <c r="E3818" s="5" t="s">
        <v>15</v>
      </c>
      <c r="F3818" s="5">
        <v>2020</v>
      </c>
      <c r="G3818" s="5" t="s">
        <v>16</v>
      </c>
      <c r="H3818" s="5">
        <v>200</v>
      </c>
      <c r="I3818" s="5">
        <v>200</v>
      </c>
      <c r="J3818" s="5"/>
      <c r="K3818" s="5"/>
      <c r="L3818" s="10">
        <v>20201118</v>
      </c>
      <c r="M3818" s="36" t="str">
        <f t="shared" si="59"/>
        <v>19720515</v>
      </c>
    </row>
    <row r="3819" s="1" customFormat="1" spans="1:13">
      <c r="A3819" s="2">
        <v>3863</v>
      </c>
      <c r="B3819" s="5" t="s">
        <v>7412</v>
      </c>
      <c r="C3819" s="5" t="s">
        <v>7962</v>
      </c>
      <c r="D3819" s="5" t="s">
        <v>7963</v>
      </c>
      <c r="E3819" s="6">
        <v>2020</v>
      </c>
      <c r="F3819" s="6">
        <v>2020</v>
      </c>
      <c r="G3819" s="5" t="s">
        <v>3359</v>
      </c>
      <c r="H3819" s="5">
        <v>200</v>
      </c>
      <c r="I3819" s="5">
        <v>200</v>
      </c>
      <c r="J3819" s="5"/>
      <c r="K3819" s="5"/>
      <c r="L3819" s="10">
        <v>20201118</v>
      </c>
      <c r="M3819" s="36" t="str">
        <f t="shared" si="59"/>
        <v>19720518</v>
      </c>
    </row>
    <row r="3820" s="1" customFormat="1" spans="1:13">
      <c r="A3820" s="2">
        <v>599</v>
      </c>
      <c r="B3820" s="29" t="s">
        <v>1040</v>
      </c>
      <c r="C3820" s="29" t="s">
        <v>1474</v>
      </c>
      <c r="D3820" s="29" t="s">
        <v>1475</v>
      </c>
      <c r="E3820" s="30">
        <v>2020</v>
      </c>
      <c r="F3820" s="30">
        <v>2020</v>
      </c>
      <c r="G3820" s="29" t="s">
        <v>16</v>
      </c>
      <c r="H3820" s="29">
        <v>200</v>
      </c>
      <c r="I3820" s="29">
        <v>200</v>
      </c>
      <c r="J3820" s="29"/>
      <c r="K3820" s="47"/>
      <c r="L3820" s="14" t="s">
        <v>330</v>
      </c>
      <c r="M3820" s="36" t="str">
        <f t="shared" si="59"/>
        <v>19720520</v>
      </c>
    </row>
    <row r="3821" s="1" customFormat="1" spans="1:13">
      <c r="A3821" s="2">
        <v>3394</v>
      </c>
      <c r="B3821" s="5" t="s">
        <v>3375</v>
      </c>
      <c r="C3821" s="6" t="s">
        <v>7171</v>
      </c>
      <c r="D3821" s="6" t="s">
        <v>7172</v>
      </c>
      <c r="E3821" s="5" t="s">
        <v>15</v>
      </c>
      <c r="F3821" s="5">
        <v>2020</v>
      </c>
      <c r="G3821" s="14" t="s">
        <v>16</v>
      </c>
      <c r="H3821" s="17">
        <v>200</v>
      </c>
      <c r="I3821" s="17">
        <v>200</v>
      </c>
      <c r="J3821" s="6" t="s">
        <v>4064</v>
      </c>
      <c r="K3821" s="10"/>
      <c r="L3821" s="10">
        <v>20201118</v>
      </c>
      <c r="M3821" s="36" t="str">
        <f t="shared" si="59"/>
        <v>19720520</v>
      </c>
    </row>
    <row r="3822" s="1" customFormat="1" spans="1:13">
      <c r="A3822" s="2">
        <v>1094</v>
      </c>
      <c r="B3822" s="5" t="s">
        <v>2469</v>
      </c>
      <c r="C3822" s="9" t="s">
        <v>2775</v>
      </c>
      <c r="D3822" s="9" t="s">
        <v>2776</v>
      </c>
      <c r="E3822" s="5">
        <v>2020</v>
      </c>
      <c r="F3822" s="5">
        <v>2020</v>
      </c>
      <c r="G3822" s="9" t="s">
        <v>2480</v>
      </c>
      <c r="H3822" s="9">
        <v>200</v>
      </c>
      <c r="I3822" s="9">
        <v>200</v>
      </c>
      <c r="J3822" s="5"/>
      <c r="K3822" s="5"/>
      <c r="L3822" s="10">
        <v>20201118</v>
      </c>
      <c r="M3822" s="36" t="str">
        <f t="shared" si="59"/>
        <v>19720522</v>
      </c>
    </row>
    <row r="3823" s="1" customFormat="1" spans="1:13">
      <c r="A3823" s="2">
        <v>7372</v>
      </c>
      <c r="B3823" s="5" t="s">
        <v>13908</v>
      </c>
      <c r="C3823" s="5" t="s">
        <v>14370</v>
      </c>
      <c r="D3823" s="5" t="s">
        <v>14371</v>
      </c>
      <c r="E3823" s="5" t="s">
        <v>15</v>
      </c>
      <c r="F3823" s="5" t="s">
        <v>15</v>
      </c>
      <c r="G3823" s="14" t="s">
        <v>16</v>
      </c>
      <c r="H3823" s="17">
        <v>200</v>
      </c>
      <c r="I3823" s="17">
        <v>200</v>
      </c>
      <c r="J3823" s="5"/>
      <c r="K3823" s="10"/>
      <c r="L3823" s="10">
        <v>20201118</v>
      </c>
      <c r="M3823" s="36" t="str">
        <f t="shared" si="59"/>
        <v>19720522</v>
      </c>
    </row>
    <row r="3824" s="1" customFormat="1" spans="1:13">
      <c r="A3824" s="2">
        <v>1095</v>
      </c>
      <c r="B3824" s="5" t="s">
        <v>2469</v>
      </c>
      <c r="C3824" s="9" t="s">
        <v>2777</v>
      </c>
      <c r="D3824" s="9" t="s">
        <v>2778</v>
      </c>
      <c r="E3824" s="5">
        <v>2020</v>
      </c>
      <c r="F3824" s="5">
        <v>2020</v>
      </c>
      <c r="G3824" s="9" t="s">
        <v>2480</v>
      </c>
      <c r="H3824" s="9">
        <v>200</v>
      </c>
      <c r="I3824" s="9">
        <v>200</v>
      </c>
      <c r="J3824" s="5"/>
      <c r="K3824" s="5"/>
      <c r="L3824" s="10">
        <v>20201118</v>
      </c>
      <c r="M3824" s="36" t="str">
        <f t="shared" si="59"/>
        <v>19720523</v>
      </c>
    </row>
    <row r="3825" s="1" customFormat="1" spans="1:13">
      <c r="A3825" s="2">
        <v>6153</v>
      </c>
      <c r="B3825" s="5" t="s">
        <v>12263</v>
      </c>
      <c r="C3825" s="5" t="s">
        <v>12339</v>
      </c>
      <c r="D3825" s="5" t="s">
        <v>12340</v>
      </c>
      <c r="E3825" s="5" t="s">
        <v>10250</v>
      </c>
      <c r="F3825" s="5">
        <v>2020</v>
      </c>
      <c r="G3825" s="17" t="s">
        <v>3359</v>
      </c>
      <c r="H3825" s="5">
        <v>500</v>
      </c>
      <c r="I3825" s="5">
        <v>500</v>
      </c>
      <c r="J3825" s="5"/>
      <c r="K3825" s="5"/>
      <c r="L3825" s="10">
        <v>20201118</v>
      </c>
      <c r="M3825" s="36" t="str">
        <f t="shared" si="59"/>
        <v>19720523</v>
      </c>
    </row>
    <row r="3826" s="1" customFormat="1" spans="1:13">
      <c r="A3826" s="2">
        <v>2633</v>
      </c>
      <c r="B3826" s="32" t="s">
        <v>5602</v>
      </c>
      <c r="C3826" s="9" t="s">
        <v>5800</v>
      </c>
      <c r="D3826" s="9" t="s">
        <v>5801</v>
      </c>
      <c r="E3826" s="32">
        <v>2020</v>
      </c>
      <c r="F3826" s="32">
        <v>2020</v>
      </c>
      <c r="G3826" s="32" t="s">
        <v>16</v>
      </c>
      <c r="H3826" s="9">
        <v>200</v>
      </c>
      <c r="I3826" s="9">
        <v>200</v>
      </c>
      <c r="J3826" s="32"/>
      <c r="K3826" s="52"/>
      <c r="L3826" s="10">
        <v>20201118</v>
      </c>
      <c r="M3826" s="36" t="str">
        <f t="shared" si="59"/>
        <v>19720524</v>
      </c>
    </row>
    <row r="3827" s="1" customFormat="1" spans="1:13">
      <c r="A3827" s="2">
        <v>5649</v>
      </c>
      <c r="B3827" s="30" t="s">
        <v>11090</v>
      </c>
      <c r="C3827" s="30" t="s">
        <v>11385</v>
      </c>
      <c r="D3827" s="30" t="s">
        <v>11386</v>
      </c>
      <c r="E3827" s="5" t="s">
        <v>15</v>
      </c>
      <c r="F3827" s="5" t="s">
        <v>10250</v>
      </c>
      <c r="G3827" s="6" t="s">
        <v>16</v>
      </c>
      <c r="H3827" s="32">
        <v>200</v>
      </c>
      <c r="I3827" s="32">
        <v>200</v>
      </c>
      <c r="J3827" s="6"/>
      <c r="K3827" s="48"/>
      <c r="L3827" s="10">
        <v>20201118</v>
      </c>
      <c r="M3827" s="36" t="str">
        <f t="shared" si="59"/>
        <v>19720526</v>
      </c>
    </row>
    <row r="3828" s="1" customFormat="1" spans="1:13">
      <c r="A3828" s="2">
        <v>1096</v>
      </c>
      <c r="B3828" s="5" t="s">
        <v>2469</v>
      </c>
      <c r="C3828" s="9" t="s">
        <v>2779</v>
      </c>
      <c r="D3828" s="9" t="s">
        <v>2780</v>
      </c>
      <c r="E3828" s="5">
        <v>2020</v>
      </c>
      <c r="F3828" s="5">
        <v>2020</v>
      </c>
      <c r="G3828" s="9" t="s">
        <v>2480</v>
      </c>
      <c r="H3828" s="9">
        <v>200</v>
      </c>
      <c r="I3828" s="9">
        <v>200</v>
      </c>
      <c r="J3828" s="5"/>
      <c r="K3828" s="5"/>
      <c r="L3828" s="10">
        <v>20201118</v>
      </c>
      <c r="M3828" s="36" t="str">
        <f t="shared" si="59"/>
        <v>19720527</v>
      </c>
    </row>
    <row r="3829" s="1" customFormat="1" spans="1:13">
      <c r="A3829" s="2">
        <v>2450</v>
      </c>
      <c r="B3829" s="5" t="s">
        <v>5328</v>
      </c>
      <c r="C3829" s="16" t="s">
        <v>5439</v>
      </c>
      <c r="D3829" s="16" t="s">
        <v>5440</v>
      </c>
      <c r="E3829" s="5" t="s">
        <v>15</v>
      </c>
      <c r="F3829" s="5" t="s">
        <v>15</v>
      </c>
      <c r="G3829" s="14" t="s">
        <v>16</v>
      </c>
      <c r="H3829" s="6">
        <v>200</v>
      </c>
      <c r="I3829" s="6">
        <v>200</v>
      </c>
      <c r="J3829" s="5"/>
      <c r="K3829" s="5"/>
      <c r="L3829" s="10">
        <v>20201118</v>
      </c>
      <c r="M3829" s="36" t="str">
        <f t="shared" si="59"/>
        <v>19720527</v>
      </c>
    </row>
    <row r="3830" s="1" customFormat="1" spans="1:13">
      <c r="A3830" s="2">
        <v>6918</v>
      </c>
      <c r="B3830" s="5" t="s">
        <v>13533</v>
      </c>
      <c r="C3830" s="32" t="s">
        <v>13667</v>
      </c>
      <c r="D3830" s="32" t="str">
        <f>"152326197205277123"</f>
        <v>152326197205277123</v>
      </c>
      <c r="E3830" s="5">
        <v>2020</v>
      </c>
      <c r="F3830" s="5">
        <v>2020</v>
      </c>
      <c r="G3830" s="9" t="s">
        <v>2480</v>
      </c>
      <c r="H3830" s="32">
        <v>200</v>
      </c>
      <c r="I3830" s="32">
        <v>200</v>
      </c>
      <c r="J3830" s="62"/>
      <c r="K3830" s="10"/>
      <c r="L3830" s="10">
        <v>20201118</v>
      </c>
      <c r="M3830" s="36" t="str">
        <f t="shared" si="59"/>
        <v>19720527</v>
      </c>
    </row>
    <row r="3831" s="1" customFormat="1" spans="1:13">
      <c r="A3831" s="2">
        <v>822</v>
      </c>
      <c r="B3831" s="29" t="s">
        <v>1040</v>
      </c>
      <c r="C3831" s="5" t="s">
        <v>884</v>
      </c>
      <c r="D3831" s="317" t="s">
        <v>2116</v>
      </c>
      <c r="E3831" s="30">
        <v>2020</v>
      </c>
      <c r="F3831" s="30">
        <v>2020</v>
      </c>
      <c r="G3831" s="29" t="s">
        <v>16</v>
      </c>
      <c r="H3831" s="29">
        <v>200</v>
      </c>
      <c r="I3831" s="29">
        <v>200</v>
      </c>
      <c r="J3831" s="32"/>
      <c r="K3831" s="32"/>
      <c r="L3831" s="14" t="s">
        <v>330</v>
      </c>
      <c r="M3831" s="36" t="str">
        <f t="shared" si="59"/>
        <v>19720529</v>
      </c>
    </row>
    <row r="3832" s="1" customFormat="1" spans="1:13">
      <c r="A3832" s="2">
        <v>5767</v>
      </c>
      <c r="B3832" s="30" t="s">
        <v>11090</v>
      </c>
      <c r="C3832" s="30" t="s">
        <v>11610</v>
      </c>
      <c r="D3832" s="30" t="s">
        <v>11611</v>
      </c>
      <c r="E3832" s="5" t="s">
        <v>15</v>
      </c>
      <c r="F3832" s="5" t="s">
        <v>10250</v>
      </c>
      <c r="G3832" s="6" t="s">
        <v>16</v>
      </c>
      <c r="H3832" s="32">
        <v>200</v>
      </c>
      <c r="I3832" s="32">
        <v>200</v>
      </c>
      <c r="J3832" s="6"/>
      <c r="K3832" s="48"/>
      <c r="L3832" s="10">
        <v>20201118</v>
      </c>
      <c r="M3832" s="36" t="str">
        <f t="shared" si="59"/>
        <v>19720602</v>
      </c>
    </row>
    <row r="3833" s="1" customFormat="1" spans="1:13">
      <c r="A3833" s="2">
        <v>3864</v>
      </c>
      <c r="B3833" s="5" t="s">
        <v>7412</v>
      </c>
      <c r="C3833" s="5" t="s">
        <v>7964</v>
      </c>
      <c r="D3833" s="5" t="s">
        <v>7965</v>
      </c>
      <c r="E3833" s="6">
        <v>2020</v>
      </c>
      <c r="F3833" s="6">
        <v>2020</v>
      </c>
      <c r="G3833" s="5" t="s">
        <v>3359</v>
      </c>
      <c r="H3833" s="5">
        <v>200</v>
      </c>
      <c r="I3833" s="5">
        <v>200</v>
      </c>
      <c r="J3833" s="5"/>
      <c r="K3833" s="5"/>
      <c r="L3833" s="10">
        <v>20201118</v>
      </c>
      <c r="M3833" s="36" t="str">
        <f t="shared" si="59"/>
        <v>19720603</v>
      </c>
    </row>
    <row r="3834" s="1" customFormat="1" spans="1:13">
      <c r="A3834" s="2">
        <v>2634</v>
      </c>
      <c r="B3834" s="32" t="s">
        <v>5602</v>
      </c>
      <c r="C3834" s="9" t="s">
        <v>5802</v>
      </c>
      <c r="D3834" s="9" t="s">
        <v>5803</v>
      </c>
      <c r="E3834" s="32">
        <v>2020</v>
      </c>
      <c r="F3834" s="32">
        <v>2020</v>
      </c>
      <c r="G3834" s="32" t="s">
        <v>16</v>
      </c>
      <c r="H3834" s="9">
        <v>200</v>
      </c>
      <c r="I3834" s="9">
        <v>200</v>
      </c>
      <c r="J3834" s="32"/>
      <c r="K3834" s="52"/>
      <c r="L3834" s="10">
        <v>20201118</v>
      </c>
      <c r="M3834" s="36" t="str">
        <f t="shared" si="59"/>
        <v>19720604</v>
      </c>
    </row>
    <row r="3835" s="1" customFormat="1" spans="1:13">
      <c r="A3835" s="2">
        <v>2635</v>
      </c>
      <c r="B3835" s="32" t="s">
        <v>5602</v>
      </c>
      <c r="C3835" s="9" t="s">
        <v>5804</v>
      </c>
      <c r="D3835" s="9" t="s">
        <v>5805</v>
      </c>
      <c r="E3835" s="32">
        <v>2020</v>
      </c>
      <c r="F3835" s="32">
        <v>2020</v>
      </c>
      <c r="G3835" s="32" t="s">
        <v>16</v>
      </c>
      <c r="H3835" s="9">
        <v>200</v>
      </c>
      <c r="I3835" s="9">
        <v>200</v>
      </c>
      <c r="J3835" s="32"/>
      <c r="K3835" s="52"/>
      <c r="L3835" s="10">
        <v>20201118</v>
      </c>
      <c r="M3835" s="36" t="str">
        <f t="shared" si="59"/>
        <v>19720606</v>
      </c>
    </row>
    <row r="3836" s="1" customFormat="1" spans="1:13">
      <c r="A3836" s="2">
        <v>6919</v>
      </c>
      <c r="B3836" s="5" t="s">
        <v>13533</v>
      </c>
      <c r="C3836" s="32" t="s">
        <v>13668</v>
      </c>
      <c r="D3836" s="32" t="str">
        <f>"152326197206077115"</f>
        <v>152326197206077115</v>
      </c>
      <c r="E3836" s="5">
        <v>2020</v>
      </c>
      <c r="F3836" s="5">
        <v>2020</v>
      </c>
      <c r="G3836" s="9" t="s">
        <v>2480</v>
      </c>
      <c r="H3836" s="32">
        <v>200</v>
      </c>
      <c r="I3836" s="32">
        <v>200</v>
      </c>
      <c r="J3836" s="62"/>
      <c r="K3836" s="10"/>
      <c r="L3836" s="10">
        <v>20201118</v>
      </c>
      <c r="M3836" s="36" t="str">
        <f t="shared" si="59"/>
        <v>19720607</v>
      </c>
    </row>
    <row r="3837" s="1" customFormat="1" ht="14.25" spans="1:13">
      <c r="A3837" s="2">
        <v>3000</v>
      </c>
      <c r="B3837" s="6" t="s">
        <v>6075</v>
      </c>
      <c r="C3837" s="25" t="s">
        <v>6525</v>
      </c>
      <c r="D3837" s="26" t="s">
        <v>6526</v>
      </c>
      <c r="E3837" s="5" t="s">
        <v>15</v>
      </c>
      <c r="F3837" s="5">
        <v>2020</v>
      </c>
      <c r="G3837" s="6" t="s">
        <v>16</v>
      </c>
      <c r="H3837" s="6">
        <v>200</v>
      </c>
      <c r="I3837" s="6">
        <v>200</v>
      </c>
      <c r="J3837" s="6"/>
      <c r="K3837" s="10"/>
      <c r="L3837" s="10">
        <v>20201118</v>
      </c>
      <c r="M3837" s="36" t="str">
        <f t="shared" si="59"/>
        <v>19720608</v>
      </c>
    </row>
    <row r="3838" s="1" customFormat="1" spans="1:13">
      <c r="A3838" s="2">
        <v>4283</v>
      </c>
      <c r="B3838" s="9" t="s">
        <v>8515</v>
      </c>
      <c r="C3838" s="9" t="s">
        <v>8760</v>
      </c>
      <c r="D3838" s="9" t="s">
        <v>8761</v>
      </c>
      <c r="E3838" s="5" t="s">
        <v>15</v>
      </c>
      <c r="F3838" s="5">
        <v>2020</v>
      </c>
      <c r="G3838" s="9" t="s">
        <v>2480</v>
      </c>
      <c r="H3838" s="9">
        <v>200</v>
      </c>
      <c r="I3838" s="9">
        <v>200</v>
      </c>
      <c r="J3838" s="9"/>
      <c r="K3838" s="9"/>
      <c r="L3838" s="10">
        <v>20201118</v>
      </c>
      <c r="M3838" s="36" t="str">
        <f t="shared" si="59"/>
        <v>19720610</v>
      </c>
    </row>
    <row r="3839" s="1" customFormat="1" spans="1:13">
      <c r="A3839" s="2">
        <v>8204</v>
      </c>
      <c r="B3839" s="5" t="s">
        <v>15406</v>
      </c>
      <c r="C3839" s="6" t="s">
        <v>15592</v>
      </c>
      <c r="D3839" s="6" t="s">
        <v>15593</v>
      </c>
      <c r="E3839" s="5" t="s">
        <v>15</v>
      </c>
      <c r="F3839" s="5">
        <v>2020</v>
      </c>
      <c r="G3839" s="14" t="s">
        <v>16</v>
      </c>
      <c r="H3839" s="6">
        <v>200</v>
      </c>
      <c r="I3839" s="6">
        <v>200</v>
      </c>
      <c r="J3839" s="5"/>
      <c r="K3839" s="10"/>
      <c r="L3839" s="10">
        <v>20201118</v>
      </c>
      <c r="M3839" s="36" t="str">
        <f t="shared" si="59"/>
        <v>19720610</v>
      </c>
    </row>
    <row r="3840" s="1" customFormat="1" spans="1:13">
      <c r="A3840" s="2">
        <v>2636</v>
      </c>
      <c r="B3840" s="32" t="s">
        <v>5602</v>
      </c>
      <c r="C3840" s="9" t="s">
        <v>5806</v>
      </c>
      <c r="D3840" s="9" t="s">
        <v>5807</v>
      </c>
      <c r="E3840" s="32">
        <v>2020</v>
      </c>
      <c r="F3840" s="32">
        <v>2020</v>
      </c>
      <c r="G3840" s="32" t="s">
        <v>16</v>
      </c>
      <c r="H3840" s="9">
        <v>200</v>
      </c>
      <c r="I3840" s="9">
        <v>200</v>
      </c>
      <c r="J3840" s="32"/>
      <c r="K3840" s="52"/>
      <c r="L3840" s="10">
        <v>20201118</v>
      </c>
      <c r="M3840" s="36" t="str">
        <f t="shared" si="59"/>
        <v>19720611</v>
      </c>
    </row>
    <row r="3841" s="1" customFormat="1" spans="1:13">
      <c r="A3841" s="2">
        <v>6420</v>
      </c>
      <c r="B3841" s="5" t="s">
        <v>12263</v>
      </c>
      <c r="C3841" s="5" t="s">
        <v>12846</v>
      </c>
      <c r="D3841" s="5" t="s">
        <v>12847</v>
      </c>
      <c r="E3841" s="5" t="s">
        <v>10250</v>
      </c>
      <c r="F3841" s="5">
        <v>2020</v>
      </c>
      <c r="G3841" s="17" t="s">
        <v>3359</v>
      </c>
      <c r="H3841" s="5">
        <v>200</v>
      </c>
      <c r="I3841" s="5">
        <v>200</v>
      </c>
      <c r="J3841" s="5"/>
      <c r="K3841" s="5"/>
      <c r="L3841" s="10">
        <v>20201118</v>
      </c>
      <c r="M3841" s="36" t="str">
        <f t="shared" si="59"/>
        <v>19720611</v>
      </c>
    </row>
    <row r="3842" s="1" customFormat="1" spans="1:13">
      <c r="A3842" s="2">
        <v>135</v>
      </c>
      <c r="B3842" s="3" t="s">
        <v>12</v>
      </c>
      <c r="C3842" s="3" t="s">
        <v>286</v>
      </c>
      <c r="D3842" s="3" t="s">
        <v>287</v>
      </c>
      <c r="E3842" s="3" t="s">
        <v>288</v>
      </c>
      <c r="F3842" s="3" t="s">
        <v>15</v>
      </c>
      <c r="G3842" s="3" t="s">
        <v>289</v>
      </c>
      <c r="H3842" s="3">
        <v>200</v>
      </c>
      <c r="I3842" s="3">
        <v>800</v>
      </c>
      <c r="J3842" s="3"/>
      <c r="K3842" s="3"/>
      <c r="L3842" s="10">
        <v>20201118</v>
      </c>
      <c r="M3842" s="36" t="str">
        <f t="shared" ref="M3842:M3905" si="60">MID(D3842,7,8)</f>
        <v>19720612</v>
      </c>
    </row>
    <row r="3843" s="1" customFormat="1" spans="1:13">
      <c r="A3843" s="2">
        <v>44</v>
      </c>
      <c r="B3843" s="31" t="s">
        <v>12</v>
      </c>
      <c r="C3843" s="17" t="s">
        <v>102</v>
      </c>
      <c r="D3843" s="17" t="s">
        <v>103</v>
      </c>
      <c r="E3843" s="3" t="s">
        <v>15</v>
      </c>
      <c r="F3843" s="3" t="s">
        <v>15</v>
      </c>
      <c r="G3843" s="2" t="s">
        <v>16</v>
      </c>
      <c r="H3843" s="17">
        <v>200</v>
      </c>
      <c r="I3843" s="17">
        <v>200</v>
      </c>
      <c r="J3843" s="31"/>
      <c r="K3843" s="17"/>
      <c r="L3843" s="10">
        <v>20201118</v>
      </c>
      <c r="M3843" s="36" t="str">
        <f t="shared" si="60"/>
        <v>19720613</v>
      </c>
    </row>
    <row r="3844" s="1" customFormat="1" spans="1:13">
      <c r="A3844" s="2">
        <v>735</v>
      </c>
      <c r="B3844" s="29" t="s">
        <v>1040</v>
      </c>
      <c r="C3844" s="5" t="s">
        <v>1855</v>
      </c>
      <c r="D3844" s="5" t="s">
        <v>1856</v>
      </c>
      <c r="E3844" s="30">
        <v>2020</v>
      </c>
      <c r="F3844" s="30">
        <v>2020</v>
      </c>
      <c r="G3844" s="29" t="s">
        <v>16</v>
      </c>
      <c r="H3844" s="29">
        <v>200</v>
      </c>
      <c r="I3844" s="29">
        <v>200</v>
      </c>
      <c r="J3844" s="32"/>
      <c r="K3844" s="32"/>
      <c r="L3844" s="2" t="s">
        <v>330</v>
      </c>
      <c r="M3844" s="36" t="str">
        <f t="shared" si="60"/>
        <v>19720615</v>
      </c>
    </row>
    <row r="3845" s="1" customFormat="1" spans="1:13">
      <c r="A3845" s="2">
        <v>8181</v>
      </c>
      <c r="B3845" s="5" t="s">
        <v>15406</v>
      </c>
      <c r="C3845" s="6" t="s">
        <v>10412</v>
      </c>
      <c r="D3845" s="6" t="s">
        <v>15550</v>
      </c>
      <c r="E3845" s="5" t="s">
        <v>15</v>
      </c>
      <c r="F3845" s="5">
        <v>2020</v>
      </c>
      <c r="G3845" s="14" t="s">
        <v>16</v>
      </c>
      <c r="H3845" s="6">
        <v>200</v>
      </c>
      <c r="I3845" s="6">
        <v>200</v>
      </c>
      <c r="J3845" s="5"/>
      <c r="K3845" s="10"/>
      <c r="L3845" s="10">
        <v>20201118</v>
      </c>
      <c r="M3845" s="36" t="str">
        <f t="shared" si="60"/>
        <v>19720616</v>
      </c>
    </row>
    <row r="3846" s="1" customFormat="1" ht="14.25" spans="1:13">
      <c r="A3846" s="2">
        <v>2919</v>
      </c>
      <c r="B3846" s="6" t="s">
        <v>6075</v>
      </c>
      <c r="C3846" s="25" t="s">
        <v>4633</v>
      </c>
      <c r="D3846" s="26" t="s">
        <v>6366</v>
      </c>
      <c r="E3846" s="5" t="s">
        <v>15</v>
      </c>
      <c r="F3846" s="5">
        <v>2020</v>
      </c>
      <c r="G3846" s="6" t="s">
        <v>16</v>
      </c>
      <c r="H3846" s="6">
        <v>200</v>
      </c>
      <c r="I3846" s="6">
        <v>200</v>
      </c>
      <c r="J3846" s="6" t="s">
        <v>6097</v>
      </c>
      <c r="K3846" s="10"/>
      <c r="L3846" s="10">
        <v>20201118</v>
      </c>
      <c r="M3846" s="36" t="str">
        <f t="shared" si="60"/>
        <v>19720618</v>
      </c>
    </row>
    <row r="3847" s="1" customFormat="1" spans="1:13">
      <c r="A3847" s="2">
        <v>6469</v>
      </c>
      <c r="B3847" s="5" t="s">
        <v>12263</v>
      </c>
      <c r="C3847" s="5" t="s">
        <v>12941</v>
      </c>
      <c r="D3847" s="5" t="s">
        <v>12942</v>
      </c>
      <c r="E3847" s="5" t="s">
        <v>10250</v>
      </c>
      <c r="F3847" s="5">
        <v>2020</v>
      </c>
      <c r="G3847" s="17" t="s">
        <v>3359</v>
      </c>
      <c r="H3847" s="5">
        <v>500</v>
      </c>
      <c r="I3847" s="5">
        <v>500</v>
      </c>
      <c r="J3847" s="5"/>
      <c r="K3847" s="5"/>
      <c r="L3847" s="10">
        <v>20201118</v>
      </c>
      <c r="M3847" s="36" t="str">
        <f t="shared" si="60"/>
        <v>19720618</v>
      </c>
    </row>
    <row r="3848" s="1" customFormat="1" spans="1:13">
      <c r="A3848" s="2">
        <v>1387</v>
      </c>
      <c r="B3848" s="5" t="s">
        <v>2469</v>
      </c>
      <c r="C3848" s="6" t="s">
        <v>3343</v>
      </c>
      <c r="D3848" s="6" t="str">
        <f>"152326197206206909"</f>
        <v>152326197206206909</v>
      </c>
      <c r="E3848" s="5">
        <v>2020</v>
      </c>
      <c r="F3848" s="5">
        <v>2020</v>
      </c>
      <c r="G3848" s="9" t="s">
        <v>2480</v>
      </c>
      <c r="H3848" s="9">
        <v>200</v>
      </c>
      <c r="I3848" s="9">
        <v>200</v>
      </c>
      <c r="J3848" s="5"/>
      <c r="K3848" s="10"/>
      <c r="L3848" s="10">
        <v>20201118</v>
      </c>
      <c r="M3848" s="36" t="str">
        <f t="shared" si="60"/>
        <v>19720620</v>
      </c>
    </row>
    <row r="3849" s="1" customFormat="1" spans="1:13">
      <c r="A3849" s="2">
        <v>1941</v>
      </c>
      <c r="B3849" s="5" t="s">
        <v>4189</v>
      </c>
      <c r="C3849" s="16" t="s">
        <v>4441</v>
      </c>
      <c r="D3849" s="16" t="s">
        <v>4442</v>
      </c>
      <c r="E3849" s="5" t="s">
        <v>15</v>
      </c>
      <c r="F3849" s="5" t="s">
        <v>15</v>
      </c>
      <c r="G3849" s="5" t="s">
        <v>3359</v>
      </c>
      <c r="H3849" s="16">
        <v>500</v>
      </c>
      <c r="I3849" s="16">
        <v>500</v>
      </c>
      <c r="J3849" s="5"/>
      <c r="K3849" s="10"/>
      <c r="L3849" s="10">
        <v>20201118</v>
      </c>
      <c r="M3849" s="36" t="str">
        <f t="shared" si="60"/>
        <v>19720622</v>
      </c>
    </row>
    <row r="3850" s="1" customFormat="1" spans="1:13">
      <c r="A3850" s="2">
        <v>1097</v>
      </c>
      <c r="B3850" s="5" t="s">
        <v>2469</v>
      </c>
      <c r="C3850" s="9" t="s">
        <v>2781</v>
      </c>
      <c r="D3850" s="9" t="s">
        <v>2782</v>
      </c>
      <c r="E3850" s="5">
        <v>2020</v>
      </c>
      <c r="F3850" s="5">
        <v>2020</v>
      </c>
      <c r="G3850" s="9" t="s">
        <v>2480</v>
      </c>
      <c r="H3850" s="9">
        <v>200</v>
      </c>
      <c r="I3850" s="9">
        <v>200</v>
      </c>
      <c r="J3850" s="5"/>
      <c r="K3850" s="5"/>
      <c r="L3850" s="10">
        <v>20201118</v>
      </c>
      <c r="M3850" s="36" t="str">
        <f t="shared" si="60"/>
        <v>19720624</v>
      </c>
    </row>
    <row r="3851" s="1" customFormat="1" spans="1:13">
      <c r="A3851" s="2">
        <v>3865</v>
      </c>
      <c r="B3851" s="5" t="s">
        <v>7412</v>
      </c>
      <c r="C3851" s="5" t="s">
        <v>7966</v>
      </c>
      <c r="D3851" s="5" t="s">
        <v>7967</v>
      </c>
      <c r="E3851" s="6">
        <v>2020</v>
      </c>
      <c r="F3851" s="6">
        <v>2020</v>
      </c>
      <c r="G3851" s="5" t="s">
        <v>3359</v>
      </c>
      <c r="H3851" s="5">
        <v>200</v>
      </c>
      <c r="I3851" s="5">
        <v>200</v>
      </c>
      <c r="J3851" s="5"/>
      <c r="K3851" s="5"/>
      <c r="L3851" s="10">
        <v>20201118</v>
      </c>
      <c r="M3851" s="36" t="str">
        <f t="shared" si="60"/>
        <v>19720624</v>
      </c>
    </row>
    <row r="3852" s="1" customFormat="1" ht="14.25" spans="1:13">
      <c r="A3852" s="2">
        <v>5053</v>
      </c>
      <c r="B3852" s="13" t="s">
        <v>9954</v>
      </c>
      <c r="C3852" s="13" t="s">
        <v>10239</v>
      </c>
      <c r="D3852" s="309" t="s">
        <v>10240</v>
      </c>
      <c r="E3852" s="13">
        <v>2016</v>
      </c>
      <c r="F3852" s="10">
        <v>2020</v>
      </c>
      <c r="G3852" s="10" t="s">
        <v>289</v>
      </c>
      <c r="H3852" s="13">
        <v>200</v>
      </c>
      <c r="I3852" s="13">
        <v>1000</v>
      </c>
      <c r="J3852" s="10"/>
      <c r="K3852" s="10"/>
      <c r="L3852" s="10">
        <v>20201224</v>
      </c>
      <c r="M3852" s="36" t="str">
        <f t="shared" si="60"/>
        <v>19720627</v>
      </c>
    </row>
    <row r="3853" s="1" customFormat="1" spans="1:13">
      <c r="A3853" s="2">
        <v>7630</v>
      </c>
      <c r="B3853" s="5" t="s">
        <v>14402</v>
      </c>
      <c r="C3853" s="5" t="s">
        <v>14857</v>
      </c>
      <c r="D3853" s="5" t="s">
        <v>14858</v>
      </c>
      <c r="E3853" s="5">
        <v>2020</v>
      </c>
      <c r="F3853" s="5">
        <v>2020</v>
      </c>
      <c r="G3853" s="17" t="s">
        <v>16</v>
      </c>
      <c r="H3853" s="5">
        <v>200</v>
      </c>
      <c r="I3853" s="5">
        <v>200</v>
      </c>
      <c r="J3853" s="5" t="s">
        <v>749</v>
      </c>
      <c r="K3853" s="10"/>
      <c r="L3853" s="10">
        <v>20201118</v>
      </c>
      <c r="M3853" s="36" t="str">
        <f t="shared" si="60"/>
        <v>19720627</v>
      </c>
    </row>
    <row r="3854" s="1" customFormat="1" spans="1:13">
      <c r="A3854" s="2">
        <v>1943</v>
      </c>
      <c r="B3854" s="5" t="s">
        <v>4189</v>
      </c>
      <c r="C3854" s="16" t="s">
        <v>4445</v>
      </c>
      <c r="D3854" s="16" t="s">
        <v>4446</v>
      </c>
      <c r="E3854" s="5" t="s">
        <v>15</v>
      </c>
      <c r="F3854" s="5" t="s">
        <v>15</v>
      </c>
      <c r="G3854" s="5" t="s">
        <v>3359</v>
      </c>
      <c r="H3854" s="16">
        <v>3000</v>
      </c>
      <c r="I3854" s="16">
        <v>3000</v>
      </c>
      <c r="J3854" s="5"/>
      <c r="K3854" s="10"/>
      <c r="L3854" s="10">
        <v>20201118</v>
      </c>
      <c r="M3854" s="36" t="str">
        <f t="shared" si="60"/>
        <v>19720702</v>
      </c>
    </row>
    <row r="3855" s="1" customFormat="1" spans="1:13">
      <c r="A3855" s="2">
        <v>623</v>
      </c>
      <c r="B3855" s="29" t="s">
        <v>1040</v>
      </c>
      <c r="C3855" s="29" t="s">
        <v>1523</v>
      </c>
      <c r="D3855" s="29" t="s">
        <v>1524</v>
      </c>
      <c r="E3855" s="30">
        <v>2020</v>
      </c>
      <c r="F3855" s="30">
        <v>2020</v>
      </c>
      <c r="G3855" s="29" t="s">
        <v>16</v>
      </c>
      <c r="H3855" s="29">
        <v>200</v>
      </c>
      <c r="I3855" s="29">
        <v>200</v>
      </c>
      <c r="J3855" s="29"/>
      <c r="K3855" s="47"/>
      <c r="L3855" s="2" t="s">
        <v>330</v>
      </c>
      <c r="M3855" s="36" t="str">
        <f t="shared" si="60"/>
        <v>19720703</v>
      </c>
    </row>
    <row r="3856" s="1" customFormat="1" spans="1:13">
      <c r="A3856" s="2">
        <v>4284</v>
      </c>
      <c r="B3856" s="9" t="s">
        <v>8515</v>
      </c>
      <c r="C3856" s="9" t="s">
        <v>8762</v>
      </c>
      <c r="D3856" s="9" t="s">
        <v>8763</v>
      </c>
      <c r="E3856" s="5" t="s">
        <v>15</v>
      </c>
      <c r="F3856" s="5">
        <v>2020</v>
      </c>
      <c r="G3856" s="9" t="s">
        <v>2480</v>
      </c>
      <c r="H3856" s="9">
        <v>200</v>
      </c>
      <c r="I3856" s="9">
        <v>200</v>
      </c>
      <c r="J3856" s="9"/>
      <c r="K3856" s="9"/>
      <c r="L3856" s="10">
        <v>20201118</v>
      </c>
      <c r="M3856" s="36" t="str">
        <f t="shared" si="60"/>
        <v>19720703</v>
      </c>
    </row>
    <row r="3857" s="1" customFormat="1" spans="1:13">
      <c r="A3857" s="2">
        <v>5775</v>
      </c>
      <c r="B3857" s="30" t="s">
        <v>11090</v>
      </c>
      <c r="C3857" s="30" t="s">
        <v>11625</v>
      </c>
      <c r="D3857" s="30" t="s">
        <v>11626</v>
      </c>
      <c r="E3857" s="5" t="s">
        <v>15</v>
      </c>
      <c r="F3857" s="5" t="s">
        <v>10250</v>
      </c>
      <c r="G3857" s="6" t="s">
        <v>16</v>
      </c>
      <c r="H3857" s="32">
        <v>200</v>
      </c>
      <c r="I3857" s="32">
        <v>200</v>
      </c>
      <c r="J3857" s="6"/>
      <c r="K3857" s="48"/>
      <c r="L3857" s="10">
        <v>20201118</v>
      </c>
      <c r="M3857" s="36" t="str">
        <f t="shared" si="60"/>
        <v>19720703</v>
      </c>
    </row>
    <row r="3858" s="1" customFormat="1" spans="1:13">
      <c r="A3858" s="2">
        <v>6917</v>
      </c>
      <c r="B3858" s="5" t="s">
        <v>13533</v>
      </c>
      <c r="C3858" s="32" t="s">
        <v>13666</v>
      </c>
      <c r="D3858" s="32" t="str">
        <f>"152326197207047129"</f>
        <v>152326197207047129</v>
      </c>
      <c r="E3858" s="5">
        <v>2020</v>
      </c>
      <c r="F3858" s="5">
        <v>2020</v>
      </c>
      <c r="G3858" s="9" t="s">
        <v>2480</v>
      </c>
      <c r="H3858" s="32">
        <v>200</v>
      </c>
      <c r="I3858" s="32">
        <v>200</v>
      </c>
      <c r="J3858" s="62"/>
      <c r="K3858" s="10"/>
      <c r="L3858" s="10">
        <v>20201118</v>
      </c>
      <c r="M3858" s="36" t="str">
        <f t="shared" si="60"/>
        <v>19720704</v>
      </c>
    </row>
    <row r="3859" s="1" customFormat="1" spans="1:13">
      <c r="A3859" s="2">
        <v>2270</v>
      </c>
      <c r="B3859" s="9" t="s">
        <v>4837</v>
      </c>
      <c r="C3859" s="9" t="s">
        <v>5085</v>
      </c>
      <c r="D3859" s="9" t="s">
        <v>5086</v>
      </c>
      <c r="E3859" s="6" t="s">
        <v>15</v>
      </c>
      <c r="F3859" s="6">
        <v>2020</v>
      </c>
      <c r="G3859" s="9" t="s">
        <v>2480</v>
      </c>
      <c r="H3859" s="9">
        <v>200</v>
      </c>
      <c r="I3859" s="9">
        <v>200</v>
      </c>
      <c r="J3859" s="6"/>
      <c r="K3859" s="10"/>
      <c r="L3859" s="10">
        <v>20201118</v>
      </c>
      <c r="M3859" s="36" t="str">
        <f t="shared" si="60"/>
        <v>19720705</v>
      </c>
    </row>
    <row r="3860" s="1" customFormat="1" spans="1:13">
      <c r="A3860" s="2">
        <v>4982</v>
      </c>
      <c r="B3860" s="6" t="s">
        <v>9954</v>
      </c>
      <c r="C3860" s="60" t="s">
        <v>10103</v>
      </c>
      <c r="D3860" s="60" t="s">
        <v>10104</v>
      </c>
      <c r="E3860" s="5" t="s">
        <v>15</v>
      </c>
      <c r="F3860" s="5" t="s">
        <v>15</v>
      </c>
      <c r="G3860" s="14" t="s">
        <v>16</v>
      </c>
      <c r="H3860" s="6">
        <v>200</v>
      </c>
      <c r="I3860" s="6">
        <v>200</v>
      </c>
      <c r="J3860" s="6" t="s">
        <v>108</v>
      </c>
      <c r="K3860" s="6"/>
      <c r="L3860" s="10">
        <v>20201118</v>
      </c>
      <c r="M3860" s="36" t="str">
        <f t="shared" si="60"/>
        <v>19720705</v>
      </c>
    </row>
    <row r="3861" s="1" customFormat="1" spans="1:13">
      <c r="A3861" s="2">
        <v>7522</v>
      </c>
      <c r="B3861" s="5" t="s">
        <v>14402</v>
      </c>
      <c r="C3861" s="5" t="s">
        <v>14655</v>
      </c>
      <c r="D3861" s="5" t="s">
        <v>14656</v>
      </c>
      <c r="E3861" s="5">
        <v>2020</v>
      </c>
      <c r="F3861" s="5">
        <v>2020</v>
      </c>
      <c r="G3861" s="17" t="s">
        <v>16</v>
      </c>
      <c r="H3861" s="5">
        <v>200</v>
      </c>
      <c r="I3861" s="5">
        <v>200</v>
      </c>
      <c r="J3861" s="5"/>
      <c r="K3861" s="10"/>
      <c r="L3861" s="10">
        <v>20201118</v>
      </c>
      <c r="M3861" s="36" t="str">
        <f t="shared" si="60"/>
        <v>19720705</v>
      </c>
    </row>
    <row r="3862" s="1" customFormat="1" spans="1:13">
      <c r="A3862" s="2">
        <v>1386</v>
      </c>
      <c r="B3862" s="5" t="s">
        <v>2469</v>
      </c>
      <c r="C3862" s="6" t="s">
        <v>3342</v>
      </c>
      <c r="D3862" s="6" t="str">
        <f>"150421197207065126"</f>
        <v>150421197207065126</v>
      </c>
      <c r="E3862" s="5">
        <v>2020</v>
      </c>
      <c r="F3862" s="5">
        <v>2020</v>
      </c>
      <c r="G3862" s="9" t="s">
        <v>2480</v>
      </c>
      <c r="H3862" s="9">
        <v>200</v>
      </c>
      <c r="I3862" s="9">
        <v>200</v>
      </c>
      <c r="J3862" s="5"/>
      <c r="K3862" s="10"/>
      <c r="L3862" s="10">
        <v>20201118</v>
      </c>
      <c r="M3862" s="36" t="str">
        <f t="shared" si="60"/>
        <v>19720706</v>
      </c>
    </row>
    <row r="3863" s="1" customFormat="1" spans="1:13">
      <c r="A3863" s="2">
        <v>7971</v>
      </c>
      <c r="B3863" s="5" t="s">
        <v>15086</v>
      </c>
      <c r="C3863" s="6" t="s">
        <v>15243</v>
      </c>
      <c r="D3863" s="6" t="str">
        <f>"152326197207066872"</f>
        <v>152326197207066872</v>
      </c>
      <c r="E3863" s="5" t="s">
        <v>15</v>
      </c>
      <c r="F3863" s="5">
        <v>2020</v>
      </c>
      <c r="G3863" s="5" t="s">
        <v>16</v>
      </c>
      <c r="H3863" s="5">
        <v>200</v>
      </c>
      <c r="I3863" s="5">
        <v>200</v>
      </c>
      <c r="J3863" s="5"/>
      <c r="K3863" s="5"/>
      <c r="L3863" s="10">
        <v>20201118</v>
      </c>
      <c r="M3863" s="36" t="str">
        <f t="shared" si="60"/>
        <v>19720706</v>
      </c>
    </row>
    <row r="3864" s="1" customFormat="1" spans="1:13">
      <c r="A3864" s="2">
        <v>1098</v>
      </c>
      <c r="B3864" s="5" t="s">
        <v>2469</v>
      </c>
      <c r="C3864" s="9" t="s">
        <v>2783</v>
      </c>
      <c r="D3864" s="9" t="s">
        <v>2784</v>
      </c>
      <c r="E3864" s="5">
        <v>2020</v>
      </c>
      <c r="F3864" s="5">
        <v>2020</v>
      </c>
      <c r="G3864" s="9" t="s">
        <v>2480</v>
      </c>
      <c r="H3864" s="9">
        <v>200</v>
      </c>
      <c r="I3864" s="9">
        <v>200</v>
      </c>
      <c r="J3864" s="5"/>
      <c r="K3864" s="5"/>
      <c r="L3864" s="10">
        <v>20201118</v>
      </c>
      <c r="M3864" s="36" t="str">
        <f t="shared" si="60"/>
        <v>19720707</v>
      </c>
    </row>
    <row r="3865" s="1" customFormat="1" spans="1:13">
      <c r="A3865" s="2">
        <v>686</v>
      </c>
      <c r="B3865" s="29" t="s">
        <v>1040</v>
      </c>
      <c r="C3865" s="47" t="s">
        <v>1710</v>
      </c>
      <c r="D3865" s="47" t="s">
        <v>1711</v>
      </c>
      <c r="E3865" s="30">
        <v>2020</v>
      </c>
      <c r="F3865" s="30">
        <v>2020</v>
      </c>
      <c r="G3865" s="29" t="s">
        <v>16</v>
      </c>
      <c r="H3865" s="29">
        <v>200</v>
      </c>
      <c r="I3865" s="29">
        <v>200</v>
      </c>
      <c r="J3865" s="29"/>
      <c r="K3865" s="54"/>
      <c r="L3865" s="2" t="s">
        <v>330</v>
      </c>
      <c r="M3865" s="36" t="str">
        <f t="shared" si="60"/>
        <v>19720708</v>
      </c>
    </row>
    <row r="3866" s="1" customFormat="1" spans="1:13">
      <c r="A3866" s="2">
        <v>1944</v>
      </c>
      <c r="B3866" s="5" t="s">
        <v>4189</v>
      </c>
      <c r="C3866" s="16" t="s">
        <v>4447</v>
      </c>
      <c r="D3866" s="16" t="s">
        <v>4448</v>
      </c>
      <c r="E3866" s="5" t="s">
        <v>15</v>
      </c>
      <c r="F3866" s="5" t="s">
        <v>15</v>
      </c>
      <c r="G3866" s="5" t="s">
        <v>3359</v>
      </c>
      <c r="H3866" s="16">
        <v>3000</v>
      </c>
      <c r="I3866" s="16">
        <v>3000</v>
      </c>
      <c r="J3866" s="5"/>
      <c r="K3866" s="10"/>
      <c r="L3866" s="10">
        <v>20201118</v>
      </c>
      <c r="M3866" s="36" t="str">
        <f t="shared" si="60"/>
        <v>19720708</v>
      </c>
    </row>
    <row r="3867" s="1" customFormat="1" ht="14.25" spans="1:13">
      <c r="A3867" s="2">
        <v>2865</v>
      </c>
      <c r="B3867" s="6" t="s">
        <v>6075</v>
      </c>
      <c r="C3867" s="25" t="s">
        <v>6259</v>
      </c>
      <c r="D3867" s="26" t="s">
        <v>6260</v>
      </c>
      <c r="E3867" s="5" t="s">
        <v>15</v>
      </c>
      <c r="F3867" s="5">
        <v>2020</v>
      </c>
      <c r="G3867" s="6" t="s">
        <v>16</v>
      </c>
      <c r="H3867" s="6">
        <v>200</v>
      </c>
      <c r="I3867" s="6">
        <v>200</v>
      </c>
      <c r="J3867" s="6"/>
      <c r="K3867" s="10"/>
      <c r="L3867" s="10">
        <v>20201118</v>
      </c>
      <c r="M3867" s="36" t="str">
        <f t="shared" si="60"/>
        <v>19720710</v>
      </c>
    </row>
    <row r="3868" s="1" customFormat="1" spans="1:13">
      <c r="A3868" s="2">
        <v>4285</v>
      </c>
      <c r="B3868" s="9" t="s">
        <v>8515</v>
      </c>
      <c r="C3868" s="9" t="s">
        <v>8764</v>
      </c>
      <c r="D3868" s="9" t="s">
        <v>8765</v>
      </c>
      <c r="E3868" s="5" t="s">
        <v>15</v>
      </c>
      <c r="F3868" s="5">
        <v>2020</v>
      </c>
      <c r="G3868" s="9" t="s">
        <v>2480</v>
      </c>
      <c r="H3868" s="9">
        <v>200</v>
      </c>
      <c r="I3868" s="9">
        <v>200</v>
      </c>
      <c r="J3868" s="9"/>
      <c r="K3868" s="9"/>
      <c r="L3868" s="10">
        <v>20201118</v>
      </c>
      <c r="M3868" s="36" t="str">
        <f t="shared" si="60"/>
        <v>19720710</v>
      </c>
    </row>
    <row r="3869" s="1" customFormat="1" spans="1:13">
      <c r="A3869" s="2">
        <v>5751</v>
      </c>
      <c r="B3869" s="30" t="s">
        <v>11090</v>
      </c>
      <c r="C3869" s="30" t="s">
        <v>11586</v>
      </c>
      <c r="D3869" s="30" t="s">
        <v>11587</v>
      </c>
      <c r="E3869" s="5" t="s">
        <v>15</v>
      </c>
      <c r="F3869" s="5" t="s">
        <v>10250</v>
      </c>
      <c r="G3869" s="6" t="s">
        <v>16</v>
      </c>
      <c r="H3869" s="32">
        <v>200</v>
      </c>
      <c r="I3869" s="32">
        <v>200</v>
      </c>
      <c r="J3869" s="6"/>
      <c r="K3869" s="48"/>
      <c r="L3869" s="10">
        <v>20201118</v>
      </c>
      <c r="M3869" s="36" t="str">
        <f t="shared" si="60"/>
        <v>19720711</v>
      </c>
    </row>
    <row r="3870" s="1" customFormat="1" spans="1:13">
      <c r="A3870" s="2">
        <v>7105</v>
      </c>
      <c r="B3870" s="5" t="s">
        <v>13533</v>
      </c>
      <c r="C3870" s="6" t="s">
        <v>13874</v>
      </c>
      <c r="D3870" s="6" t="str">
        <f>"152326197207127110"</f>
        <v>152326197207127110</v>
      </c>
      <c r="E3870" s="5">
        <v>2020</v>
      </c>
      <c r="F3870" s="5">
        <v>2020</v>
      </c>
      <c r="G3870" s="9" t="s">
        <v>2480</v>
      </c>
      <c r="H3870" s="32">
        <v>200</v>
      </c>
      <c r="I3870" s="32">
        <v>200</v>
      </c>
      <c r="J3870" s="32"/>
      <c r="K3870" s="10"/>
      <c r="L3870" s="10">
        <v>20201118</v>
      </c>
      <c r="M3870" s="36" t="str">
        <f t="shared" si="60"/>
        <v>19720712</v>
      </c>
    </row>
    <row r="3871" s="1" customFormat="1" ht="14.25" spans="1:13">
      <c r="A3871" s="2">
        <v>7708</v>
      </c>
      <c r="B3871" s="5" t="s">
        <v>14875</v>
      </c>
      <c r="C3871" s="51" t="s">
        <v>14951</v>
      </c>
      <c r="D3871" s="24" t="s">
        <v>14952</v>
      </c>
      <c r="E3871" s="6" t="s">
        <v>15</v>
      </c>
      <c r="F3871" s="6">
        <v>2020</v>
      </c>
      <c r="G3871" s="24" t="s">
        <v>14877</v>
      </c>
      <c r="H3871" s="6">
        <v>200</v>
      </c>
      <c r="I3871" s="6">
        <v>200</v>
      </c>
      <c r="J3871" s="6"/>
      <c r="K3871" s="10"/>
      <c r="L3871" s="10">
        <v>20201118</v>
      </c>
      <c r="M3871" s="36" t="str">
        <f t="shared" si="60"/>
        <v>19720714</v>
      </c>
    </row>
    <row r="3872" s="1" customFormat="1" spans="1:13">
      <c r="A3872" s="2">
        <v>7966</v>
      </c>
      <c r="B3872" s="5" t="s">
        <v>15086</v>
      </c>
      <c r="C3872" s="6" t="s">
        <v>7519</v>
      </c>
      <c r="D3872" s="6" t="str">
        <f>"152326197207156886"</f>
        <v>152326197207156886</v>
      </c>
      <c r="E3872" s="5" t="s">
        <v>15</v>
      </c>
      <c r="F3872" s="5">
        <v>2020</v>
      </c>
      <c r="G3872" s="5" t="s">
        <v>16</v>
      </c>
      <c r="H3872" s="5">
        <v>500</v>
      </c>
      <c r="I3872" s="5">
        <v>500</v>
      </c>
      <c r="J3872" s="5"/>
      <c r="K3872" s="5"/>
      <c r="L3872" s="10">
        <v>20201118</v>
      </c>
      <c r="M3872" s="36" t="str">
        <f t="shared" si="60"/>
        <v>19720715</v>
      </c>
    </row>
    <row r="3873" s="1" customFormat="1" spans="1:13">
      <c r="A3873" s="2">
        <v>1636</v>
      </c>
      <c r="B3873" s="5" t="s">
        <v>3381</v>
      </c>
      <c r="C3873" s="9" t="s">
        <v>3834</v>
      </c>
      <c r="D3873" s="9" t="s">
        <v>3835</v>
      </c>
      <c r="E3873" s="5">
        <v>2020</v>
      </c>
      <c r="F3873" s="5">
        <v>2020</v>
      </c>
      <c r="G3873" s="14" t="s">
        <v>16</v>
      </c>
      <c r="H3873" s="6">
        <v>200</v>
      </c>
      <c r="I3873" s="6">
        <v>200</v>
      </c>
      <c r="J3873" s="5"/>
      <c r="K3873" s="13"/>
      <c r="L3873" s="10">
        <v>20201118</v>
      </c>
      <c r="M3873" s="36" t="str">
        <f t="shared" si="60"/>
        <v>19720716</v>
      </c>
    </row>
    <row r="3874" s="1" customFormat="1" spans="1:13">
      <c r="A3874" s="2">
        <v>2271</v>
      </c>
      <c r="B3874" s="9" t="s">
        <v>4837</v>
      </c>
      <c r="C3874" s="9" t="s">
        <v>2890</v>
      </c>
      <c r="D3874" s="9" t="s">
        <v>5087</v>
      </c>
      <c r="E3874" s="6" t="s">
        <v>15</v>
      </c>
      <c r="F3874" s="6">
        <v>2020</v>
      </c>
      <c r="G3874" s="9" t="s">
        <v>2480</v>
      </c>
      <c r="H3874" s="9">
        <v>200</v>
      </c>
      <c r="I3874" s="9">
        <v>200</v>
      </c>
      <c r="J3874" s="6"/>
      <c r="K3874" s="10"/>
      <c r="L3874" s="10">
        <v>20201118</v>
      </c>
      <c r="M3874" s="36" t="str">
        <f t="shared" si="60"/>
        <v>19720716</v>
      </c>
    </row>
    <row r="3875" s="1" customFormat="1" spans="1:13">
      <c r="A3875" s="2">
        <v>7135</v>
      </c>
      <c r="B3875" s="5" t="s">
        <v>13908</v>
      </c>
      <c r="C3875" s="5" t="s">
        <v>13929</v>
      </c>
      <c r="D3875" s="5" t="s">
        <v>13930</v>
      </c>
      <c r="E3875" s="5" t="s">
        <v>15</v>
      </c>
      <c r="F3875" s="5" t="s">
        <v>15</v>
      </c>
      <c r="G3875" s="14" t="s">
        <v>16</v>
      </c>
      <c r="H3875" s="17">
        <v>200</v>
      </c>
      <c r="I3875" s="17">
        <v>200</v>
      </c>
      <c r="J3875" s="5"/>
      <c r="K3875" s="10"/>
      <c r="L3875" s="10">
        <v>20201118</v>
      </c>
      <c r="M3875" s="36" t="str">
        <f t="shared" si="60"/>
        <v>19720717</v>
      </c>
    </row>
    <row r="3876" s="1" customFormat="1" spans="1:13">
      <c r="A3876" s="2">
        <v>3866</v>
      </c>
      <c r="B3876" s="5" t="s">
        <v>7412</v>
      </c>
      <c r="C3876" s="5" t="s">
        <v>7968</v>
      </c>
      <c r="D3876" s="5" t="s">
        <v>7969</v>
      </c>
      <c r="E3876" s="6">
        <v>2020</v>
      </c>
      <c r="F3876" s="6">
        <v>2020</v>
      </c>
      <c r="G3876" s="5" t="s">
        <v>3359</v>
      </c>
      <c r="H3876" s="5">
        <v>200</v>
      </c>
      <c r="I3876" s="5">
        <v>200</v>
      </c>
      <c r="J3876" s="5"/>
      <c r="K3876" s="5"/>
      <c r="L3876" s="10">
        <v>20201118</v>
      </c>
      <c r="M3876" s="36" t="str">
        <f t="shared" si="60"/>
        <v>19720719</v>
      </c>
    </row>
    <row r="3877" s="1" customFormat="1" spans="1:13">
      <c r="A3877" s="2">
        <v>3386</v>
      </c>
      <c r="B3877" s="5" t="s">
        <v>3375</v>
      </c>
      <c r="C3877" s="6" t="s">
        <v>3817</v>
      </c>
      <c r="D3877" s="6" t="str">
        <f>"152326197207236878"</f>
        <v>152326197207236878</v>
      </c>
      <c r="E3877" s="5" t="s">
        <v>15</v>
      </c>
      <c r="F3877" s="5">
        <v>2020</v>
      </c>
      <c r="G3877" s="14" t="s">
        <v>16</v>
      </c>
      <c r="H3877" s="17">
        <v>200</v>
      </c>
      <c r="I3877" s="17">
        <v>200</v>
      </c>
      <c r="J3877" s="6"/>
      <c r="K3877" s="10"/>
      <c r="L3877" s="10">
        <v>20201118</v>
      </c>
      <c r="M3877" s="36" t="str">
        <f t="shared" si="60"/>
        <v>19720723</v>
      </c>
    </row>
    <row r="3878" s="1" customFormat="1" spans="1:13">
      <c r="A3878" s="2">
        <v>3867</v>
      </c>
      <c r="B3878" s="5" t="s">
        <v>7412</v>
      </c>
      <c r="C3878" s="5" t="s">
        <v>7970</v>
      </c>
      <c r="D3878" s="5" t="s">
        <v>7971</v>
      </c>
      <c r="E3878" s="6">
        <v>2020</v>
      </c>
      <c r="F3878" s="6">
        <v>2020</v>
      </c>
      <c r="G3878" s="5" t="s">
        <v>3359</v>
      </c>
      <c r="H3878" s="5">
        <v>200</v>
      </c>
      <c r="I3878" s="5">
        <v>200</v>
      </c>
      <c r="J3878" s="5"/>
      <c r="K3878" s="5"/>
      <c r="L3878" s="10">
        <v>20201118</v>
      </c>
      <c r="M3878" s="36" t="str">
        <f t="shared" si="60"/>
        <v>19720725</v>
      </c>
    </row>
    <row r="3879" s="1" customFormat="1" spans="1:13">
      <c r="A3879" s="2">
        <v>4286</v>
      </c>
      <c r="B3879" s="9" t="s">
        <v>8515</v>
      </c>
      <c r="C3879" s="9" t="s">
        <v>8288</v>
      </c>
      <c r="D3879" s="9" t="s">
        <v>8766</v>
      </c>
      <c r="E3879" s="5" t="s">
        <v>15</v>
      </c>
      <c r="F3879" s="5">
        <v>2020</v>
      </c>
      <c r="G3879" s="9" t="s">
        <v>2480</v>
      </c>
      <c r="H3879" s="9">
        <v>200</v>
      </c>
      <c r="I3879" s="9">
        <v>200</v>
      </c>
      <c r="J3879" s="9"/>
      <c r="K3879" s="9"/>
      <c r="L3879" s="10">
        <v>20201118</v>
      </c>
      <c r="M3879" s="36" t="str">
        <f t="shared" si="60"/>
        <v>19720725</v>
      </c>
    </row>
    <row r="3880" s="1" customFormat="1" spans="1:13">
      <c r="A3880" s="2">
        <v>603</v>
      </c>
      <c r="B3880" s="29" t="s">
        <v>1040</v>
      </c>
      <c r="C3880" s="29" t="s">
        <v>1482</v>
      </c>
      <c r="D3880" s="29" t="s">
        <v>1483</v>
      </c>
      <c r="E3880" s="30">
        <v>2020</v>
      </c>
      <c r="F3880" s="30">
        <v>2020</v>
      </c>
      <c r="G3880" s="29" t="s">
        <v>16</v>
      </c>
      <c r="H3880" s="29">
        <v>200</v>
      </c>
      <c r="I3880" s="29">
        <v>200</v>
      </c>
      <c r="J3880" s="29"/>
      <c r="K3880" s="47"/>
      <c r="L3880" s="14" t="s">
        <v>330</v>
      </c>
      <c r="M3880" s="36" t="str">
        <f t="shared" si="60"/>
        <v>19720726</v>
      </c>
    </row>
    <row r="3881" s="1" customFormat="1" spans="1:13">
      <c r="A3881" s="2">
        <v>3536</v>
      </c>
      <c r="B3881" s="5" t="s">
        <v>3375</v>
      </c>
      <c r="C3881" s="5" t="s">
        <v>7343</v>
      </c>
      <c r="D3881" s="296" t="s">
        <v>7344</v>
      </c>
      <c r="E3881" s="5" t="s">
        <v>15</v>
      </c>
      <c r="F3881" s="5">
        <v>2020</v>
      </c>
      <c r="G3881" s="14" t="s">
        <v>16</v>
      </c>
      <c r="H3881" s="5">
        <v>200</v>
      </c>
      <c r="I3881" s="5">
        <v>200</v>
      </c>
      <c r="J3881" s="5"/>
      <c r="K3881" s="10"/>
      <c r="L3881" s="10">
        <v>20201118</v>
      </c>
      <c r="M3881" s="36" t="str">
        <f t="shared" si="60"/>
        <v>19720727</v>
      </c>
    </row>
    <row r="3882" s="1" customFormat="1" spans="1:13">
      <c r="A3882" s="2">
        <v>644</v>
      </c>
      <c r="B3882" s="29" t="s">
        <v>1040</v>
      </c>
      <c r="C3882" s="47" t="s">
        <v>1585</v>
      </c>
      <c r="D3882" s="47" t="s">
        <v>1586</v>
      </c>
      <c r="E3882" s="30">
        <v>2020</v>
      </c>
      <c r="F3882" s="30">
        <v>2020</v>
      </c>
      <c r="G3882" s="29" t="s">
        <v>16</v>
      </c>
      <c r="H3882" s="29">
        <v>200</v>
      </c>
      <c r="I3882" s="29">
        <v>200</v>
      </c>
      <c r="J3882" s="29"/>
      <c r="K3882" s="47"/>
      <c r="L3882" s="2" t="s">
        <v>330</v>
      </c>
      <c r="M3882" s="36" t="str">
        <f t="shared" si="60"/>
        <v>19720729</v>
      </c>
    </row>
    <row r="3883" s="1" customFormat="1" spans="1:13">
      <c r="A3883" s="2">
        <v>5569</v>
      </c>
      <c r="B3883" s="30" t="s">
        <v>11090</v>
      </c>
      <c r="C3883" s="30" t="s">
        <v>7035</v>
      </c>
      <c r="D3883" s="30" t="s">
        <v>11233</v>
      </c>
      <c r="E3883" s="5" t="s">
        <v>15</v>
      </c>
      <c r="F3883" s="5" t="s">
        <v>10250</v>
      </c>
      <c r="G3883" s="6" t="s">
        <v>16</v>
      </c>
      <c r="H3883" s="32">
        <v>200</v>
      </c>
      <c r="I3883" s="32">
        <v>200</v>
      </c>
      <c r="J3883" s="6"/>
      <c r="K3883" s="48"/>
      <c r="L3883" s="10">
        <v>20201118</v>
      </c>
      <c r="M3883" s="36" t="str">
        <f t="shared" si="60"/>
        <v>19720729</v>
      </c>
    </row>
    <row r="3884" s="1" customFormat="1" ht="14.25" spans="1:13">
      <c r="A3884" s="2">
        <v>1802</v>
      </c>
      <c r="B3884" s="5" t="s">
        <v>3381</v>
      </c>
      <c r="C3884" s="77" t="s">
        <v>4167</v>
      </c>
      <c r="D3884" s="11" t="s">
        <v>4168</v>
      </c>
      <c r="E3884" s="5">
        <v>2020</v>
      </c>
      <c r="F3884" s="5">
        <v>2020</v>
      </c>
      <c r="G3884" s="5" t="s">
        <v>189</v>
      </c>
      <c r="H3884" s="18">
        <v>200</v>
      </c>
      <c r="I3884" s="18">
        <v>200</v>
      </c>
      <c r="J3884" s="77" t="s">
        <v>1242</v>
      </c>
      <c r="K3884" s="13"/>
      <c r="L3884" s="10">
        <v>20201118</v>
      </c>
      <c r="M3884" s="36" t="str">
        <f t="shared" si="60"/>
        <v>19720801</v>
      </c>
    </row>
    <row r="3885" s="1" customFormat="1" spans="1:13">
      <c r="A3885" s="2">
        <v>1945</v>
      </c>
      <c r="B3885" s="5" t="s">
        <v>4189</v>
      </c>
      <c r="C3885" s="16" t="s">
        <v>4449</v>
      </c>
      <c r="D3885" s="16" t="s">
        <v>4450</v>
      </c>
      <c r="E3885" s="5" t="s">
        <v>15</v>
      </c>
      <c r="F3885" s="5" t="s">
        <v>15</v>
      </c>
      <c r="G3885" s="5" t="s">
        <v>3359</v>
      </c>
      <c r="H3885" s="16">
        <v>200</v>
      </c>
      <c r="I3885" s="16">
        <v>200</v>
      </c>
      <c r="J3885" s="5"/>
      <c r="K3885" s="10"/>
      <c r="L3885" s="10">
        <v>20201118</v>
      </c>
      <c r="M3885" s="36" t="str">
        <f t="shared" si="60"/>
        <v>19720801</v>
      </c>
    </row>
    <row r="3886" s="1" customFormat="1" spans="1:13">
      <c r="A3886" s="2">
        <v>3868</v>
      </c>
      <c r="B3886" s="5" t="s">
        <v>7412</v>
      </c>
      <c r="C3886" s="5" t="s">
        <v>7972</v>
      </c>
      <c r="D3886" s="5" t="s">
        <v>7973</v>
      </c>
      <c r="E3886" s="6">
        <v>2020</v>
      </c>
      <c r="F3886" s="6">
        <v>2020</v>
      </c>
      <c r="G3886" s="5" t="s">
        <v>3359</v>
      </c>
      <c r="H3886" s="5">
        <v>200</v>
      </c>
      <c r="I3886" s="5">
        <v>200</v>
      </c>
      <c r="J3886" s="5"/>
      <c r="K3886" s="5"/>
      <c r="L3886" s="10">
        <v>20201118</v>
      </c>
      <c r="M3886" s="36" t="str">
        <f t="shared" si="60"/>
        <v>19720801</v>
      </c>
    </row>
    <row r="3887" s="1" customFormat="1" spans="1:13">
      <c r="A3887" s="2">
        <v>86</v>
      </c>
      <c r="B3887" s="3" t="s">
        <v>12</v>
      </c>
      <c r="C3887" s="6" t="s">
        <v>187</v>
      </c>
      <c r="D3887" s="6" t="s">
        <v>188</v>
      </c>
      <c r="E3887" s="3" t="s">
        <v>15</v>
      </c>
      <c r="F3887" s="3" t="s">
        <v>15</v>
      </c>
      <c r="G3887" s="3" t="s">
        <v>189</v>
      </c>
      <c r="H3887" s="3">
        <v>200</v>
      </c>
      <c r="I3887" s="3">
        <v>200</v>
      </c>
      <c r="J3887" s="3"/>
      <c r="K3887" s="3"/>
      <c r="L3887" s="10">
        <v>20201118</v>
      </c>
      <c r="M3887" s="36" t="str">
        <f t="shared" si="60"/>
        <v>19720806</v>
      </c>
    </row>
    <row r="3888" s="1" customFormat="1" spans="1:13">
      <c r="A3888" s="2">
        <v>2395</v>
      </c>
      <c r="B3888" s="5" t="s">
        <v>5328</v>
      </c>
      <c r="C3888" s="16" t="s">
        <v>5332</v>
      </c>
      <c r="D3888" s="16" t="s">
        <v>5333</v>
      </c>
      <c r="E3888" s="5" t="s">
        <v>15</v>
      </c>
      <c r="F3888" s="5" t="s">
        <v>15</v>
      </c>
      <c r="G3888" s="14" t="s">
        <v>16</v>
      </c>
      <c r="H3888" s="6">
        <v>200</v>
      </c>
      <c r="I3888" s="6">
        <v>200</v>
      </c>
      <c r="J3888" s="5"/>
      <c r="K3888" s="5"/>
      <c r="L3888" s="10">
        <v>20201118</v>
      </c>
      <c r="M3888" s="36" t="str">
        <f t="shared" si="60"/>
        <v>19720806</v>
      </c>
    </row>
    <row r="3889" s="1" customFormat="1" spans="1:13">
      <c r="A3889" s="2">
        <v>3398</v>
      </c>
      <c r="B3889" s="5" t="s">
        <v>3375</v>
      </c>
      <c r="C3889" s="6" t="s">
        <v>7176</v>
      </c>
      <c r="D3889" s="6" t="str">
        <f>"152326197208066874"</f>
        <v>152326197208066874</v>
      </c>
      <c r="E3889" s="5" t="s">
        <v>15</v>
      </c>
      <c r="F3889" s="5">
        <v>2020</v>
      </c>
      <c r="G3889" s="14" t="s">
        <v>16</v>
      </c>
      <c r="H3889" s="17">
        <v>200</v>
      </c>
      <c r="I3889" s="17">
        <v>200</v>
      </c>
      <c r="J3889" s="6"/>
      <c r="K3889" s="10"/>
      <c r="L3889" s="10">
        <v>20201118</v>
      </c>
      <c r="M3889" s="36" t="str">
        <f t="shared" si="60"/>
        <v>19720806</v>
      </c>
    </row>
    <row r="3890" s="1" customFormat="1" spans="1:13">
      <c r="A3890" s="2">
        <v>6916</v>
      </c>
      <c r="B3890" s="5" t="s">
        <v>13533</v>
      </c>
      <c r="C3890" s="32" t="s">
        <v>13665</v>
      </c>
      <c r="D3890" s="32" t="str">
        <f>"152326197208067113"</f>
        <v>152326197208067113</v>
      </c>
      <c r="E3890" s="5">
        <v>2020</v>
      </c>
      <c r="F3890" s="5">
        <v>2020</v>
      </c>
      <c r="G3890" s="9" t="s">
        <v>2480</v>
      </c>
      <c r="H3890" s="32">
        <v>200</v>
      </c>
      <c r="I3890" s="32">
        <v>200</v>
      </c>
      <c r="J3890" s="32"/>
      <c r="K3890" s="10"/>
      <c r="L3890" s="10">
        <v>20201118</v>
      </c>
      <c r="M3890" s="36" t="str">
        <f t="shared" si="60"/>
        <v>19720806</v>
      </c>
    </row>
    <row r="3891" s="1" customFormat="1" spans="1:13">
      <c r="A3891" s="2">
        <v>1099</v>
      </c>
      <c r="B3891" s="5" t="s">
        <v>2469</v>
      </c>
      <c r="C3891" s="9" t="s">
        <v>2785</v>
      </c>
      <c r="D3891" s="9" t="s">
        <v>2786</v>
      </c>
      <c r="E3891" s="5">
        <v>2020</v>
      </c>
      <c r="F3891" s="5">
        <v>2020</v>
      </c>
      <c r="G3891" s="9" t="s">
        <v>2480</v>
      </c>
      <c r="H3891" s="9">
        <v>200</v>
      </c>
      <c r="I3891" s="9">
        <v>200</v>
      </c>
      <c r="J3891" s="5"/>
      <c r="K3891" s="5"/>
      <c r="L3891" s="10">
        <v>20201118</v>
      </c>
      <c r="M3891" s="36" t="str">
        <f t="shared" si="60"/>
        <v>19720808</v>
      </c>
    </row>
    <row r="3892" s="1" customFormat="1" ht="14.25" spans="1:13">
      <c r="A3892" s="2">
        <v>2790</v>
      </c>
      <c r="B3892" s="6" t="s">
        <v>6075</v>
      </c>
      <c r="C3892" s="25" t="s">
        <v>6110</v>
      </c>
      <c r="D3892" s="26" t="s">
        <v>6111</v>
      </c>
      <c r="E3892" s="5" t="s">
        <v>15</v>
      </c>
      <c r="F3892" s="5">
        <v>2020</v>
      </c>
      <c r="G3892" s="6" t="s">
        <v>16</v>
      </c>
      <c r="H3892" s="6">
        <v>200</v>
      </c>
      <c r="I3892" s="6">
        <v>200</v>
      </c>
      <c r="J3892" s="6"/>
      <c r="K3892" s="10"/>
      <c r="L3892" s="10">
        <v>20201118</v>
      </c>
      <c r="M3892" s="36" t="str">
        <f t="shared" si="60"/>
        <v>19720809</v>
      </c>
    </row>
    <row r="3893" s="1" customFormat="1" spans="1:13">
      <c r="A3893" s="2">
        <v>2451</v>
      </c>
      <c r="B3893" s="5" t="s">
        <v>5328</v>
      </c>
      <c r="C3893" s="16" t="s">
        <v>5441</v>
      </c>
      <c r="D3893" s="16" t="s">
        <v>5442</v>
      </c>
      <c r="E3893" s="5" t="s">
        <v>15</v>
      </c>
      <c r="F3893" s="5" t="s">
        <v>15</v>
      </c>
      <c r="G3893" s="14" t="s">
        <v>16</v>
      </c>
      <c r="H3893" s="6">
        <v>200</v>
      </c>
      <c r="I3893" s="6">
        <v>200</v>
      </c>
      <c r="J3893" s="5"/>
      <c r="K3893" s="5"/>
      <c r="L3893" s="10">
        <v>20201118</v>
      </c>
      <c r="M3893" s="36" t="str">
        <f t="shared" si="60"/>
        <v>19720811</v>
      </c>
    </row>
    <row r="3894" s="1" customFormat="1" spans="1:13">
      <c r="A3894" s="2">
        <v>5871</v>
      </c>
      <c r="B3894" s="30" t="s">
        <v>11090</v>
      </c>
      <c r="C3894" s="30" t="s">
        <v>11799</v>
      </c>
      <c r="D3894" s="30" t="s">
        <v>11800</v>
      </c>
      <c r="E3894" s="5" t="s">
        <v>15</v>
      </c>
      <c r="F3894" s="5" t="s">
        <v>10250</v>
      </c>
      <c r="G3894" s="6" t="s">
        <v>16</v>
      </c>
      <c r="H3894" s="32">
        <v>200</v>
      </c>
      <c r="I3894" s="32">
        <v>200</v>
      </c>
      <c r="J3894" s="6"/>
      <c r="K3894" s="48"/>
      <c r="L3894" s="10">
        <v>20201118</v>
      </c>
      <c r="M3894" s="36" t="str">
        <f t="shared" si="60"/>
        <v>19720812</v>
      </c>
    </row>
    <row r="3895" s="1" customFormat="1" spans="1:13">
      <c r="A3895" s="2">
        <v>234</v>
      </c>
      <c r="B3895" s="14" t="s">
        <v>327</v>
      </c>
      <c r="C3895" s="14" t="s">
        <v>588</v>
      </c>
      <c r="D3895" s="14" t="s">
        <v>589</v>
      </c>
      <c r="E3895" s="5">
        <v>2020</v>
      </c>
      <c r="F3895" s="5">
        <v>2020</v>
      </c>
      <c r="G3895" s="14" t="s">
        <v>16</v>
      </c>
      <c r="H3895" s="14">
        <v>200</v>
      </c>
      <c r="I3895" s="14">
        <v>200</v>
      </c>
      <c r="J3895" s="14"/>
      <c r="K3895" s="10"/>
      <c r="L3895" s="14" t="s">
        <v>330</v>
      </c>
      <c r="M3895" s="36" t="str">
        <f t="shared" si="60"/>
        <v>19720813</v>
      </c>
    </row>
    <row r="3896" s="1" customFormat="1" ht="14.25" spans="1:13">
      <c r="A3896" s="2">
        <v>1637</v>
      </c>
      <c r="B3896" s="5" t="s">
        <v>3381</v>
      </c>
      <c r="C3896" s="9" t="s">
        <v>3836</v>
      </c>
      <c r="D3896" s="9" t="s">
        <v>3837</v>
      </c>
      <c r="E3896" s="5">
        <v>2020</v>
      </c>
      <c r="F3896" s="5">
        <v>2020</v>
      </c>
      <c r="G3896" s="14" t="s">
        <v>16</v>
      </c>
      <c r="H3896" s="6">
        <v>400</v>
      </c>
      <c r="I3896" s="6">
        <v>400</v>
      </c>
      <c r="J3896" s="24" t="s">
        <v>1242</v>
      </c>
      <c r="K3896" s="13"/>
      <c r="L3896" s="10">
        <v>20201118</v>
      </c>
      <c r="M3896" s="36" t="str">
        <f t="shared" si="60"/>
        <v>19720815</v>
      </c>
    </row>
    <row r="3897" s="1" customFormat="1" spans="1:13">
      <c r="A3897" s="2">
        <v>4802</v>
      </c>
      <c r="B3897" s="6" t="s">
        <v>9015</v>
      </c>
      <c r="C3897" s="6" t="s">
        <v>9752</v>
      </c>
      <c r="D3897" s="6" t="s">
        <v>9753</v>
      </c>
      <c r="E3897" s="6">
        <v>2020</v>
      </c>
      <c r="F3897" s="6">
        <v>2020</v>
      </c>
      <c r="G3897" s="6" t="s">
        <v>16</v>
      </c>
      <c r="H3897" s="6">
        <v>200</v>
      </c>
      <c r="I3897" s="6">
        <v>200</v>
      </c>
      <c r="J3897" s="6"/>
      <c r="K3897" s="6"/>
      <c r="L3897" s="10">
        <v>20201118</v>
      </c>
      <c r="M3897" s="36" t="str">
        <f t="shared" si="60"/>
        <v>19720815</v>
      </c>
    </row>
    <row r="3898" s="1" customFormat="1" spans="1:13">
      <c r="A3898" s="2">
        <v>4894</v>
      </c>
      <c r="B3898" s="6" t="s">
        <v>9015</v>
      </c>
      <c r="C3898" s="6" t="s">
        <v>9928</v>
      </c>
      <c r="D3898" s="293" t="s">
        <v>9929</v>
      </c>
      <c r="E3898" s="6">
        <v>2020</v>
      </c>
      <c r="F3898" s="6">
        <v>2020</v>
      </c>
      <c r="G3898" s="6" t="s">
        <v>189</v>
      </c>
      <c r="H3898" s="6">
        <v>200</v>
      </c>
      <c r="I3898" s="6">
        <v>800</v>
      </c>
      <c r="J3898" s="6"/>
      <c r="K3898" s="6"/>
      <c r="L3898" s="10">
        <v>20201118</v>
      </c>
      <c r="M3898" s="36" t="str">
        <f t="shared" si="60"/>
        <v>19720815</v>
      </c>
    </row>
    <row r="3899" s="1" customFormat="1" spans="1:13">
      <c r="A3899" s="2">
        <v>2637</v>
      </c>
      <c r="B3899" s="32" t="s">
        <v>5602</v>
      </c>
      <c r="C3899" s="9" t="s">
        <v>5808</v>
      </c>
      <c r="D3899" s="9" t="s">
        <v>5809</v>
      </c>
      <c r="E3899" s="32">
        <v>2020</v>
      </c>
      <c r="F3899" s="32">
        <v>2020</v>
      </c>
      <c r="G3899" s="32" t="s">
        <v>16</v>
      </c>
      <c r="H3899" s="9">
        <v>200</v>
      </c>
      <c r="I3899" s="9">
        <v>200</v>
      </c>
      <c r="J3899" s="32"/>
      <c r="K3899" s="52"/>
      <c r="L3899" s="10">
        <v>20201118</v>
      </c>
      <c r="M3899" s="36" t="str">
        <f t="shared" si="60"/>
        <v>19720818</v>
      </c>
    </row>
    <row r="3900" s="1" customFormat="1" spans="1:13">
      <c r="A3900" s="2">
        <v>4730</v>
      </c>
      <c r="B3900" s="6" t="s">
        <v>9015</v>
      </c>
      <c r="C3900" s="6" t="s">
        <v>9617</v>
      </c>
      <c r="D3900" s="6" t="s">
        <v>9618</v>
      </c>
      <c r="E3900" s="6">
        <v>2020</v>
      </c>
      <c r="F3900" s="6">
        <v>2020</v>
      </c>
      <c r="G3900" s="6" t="s">
        <v>16</v>
      </c>
      <c r="H3900" s="6">
        <v>200</v>
      </c>
      <c r="I3900" s="6">
        <v>200</v>
      </c>
      <c r="J3900" s="6"/>
      <c r="K3900" s="6"/>
      <c r="L3900" s="10">
        <v>20201118</v>
      </c>
      <c r="M3900" s="36" t="str">
        <f t="shared" si="60"/>
        <v>19720822</v>
      </c>
    </row>
    <row r="3901" s="1" customFormat="1" spans="1:13">
      <c r="A3901" s="2">
        <v>1946</v>
      </c>
      <c r="B3901" s="5" t="s">
        <v>4189</v>
      </c>
      <c r="C3901" s="16" t="s">
        <v>4451</v>
      </c>
      <c r="D3901" s="16" t="s">
        <v>4452</v>
      </c>
      <c r="E3901" s="5" t="s">
        <v>15</v>
      </c>
      <c r="F3901" s="5" t="s">
        <v>15</v>
      </c>
      <c r="G3901" s="5" t="s">
        <v>3359</v>
      </c>
      <c r="H3901" s="16">
        <v>200</v>
      </c>
      <c r="I3901" s="16">
        <v>200</v>
      </c>
      <c r="J3901" s="5"/>
      <c r="K3901" s="10"/>
      <c r="L3901" s="10">
        <v>20201118</v>
      </c>
      <c r="M3901" s="36" t="str">
        <f t="shared" si="60"/>
        <v>19720824</v>
      </c>
    </row>
    <row r="3902" s="1" customFormat="1" spans="1:13">
      <c r="A3902" s="2">
        <v>3869</v>
      </c>
      <c r="B3902" s="5" t="s">
        <v>7412</v>
      </c>
      <c r="C3902" s="5" t="s">
        <v>7974</v>
      </c>
      <c r="D3902" s="5" t="s">
        <v>7975</v>
      </c>
      <c r="E3902" s="6">
        <v>2020</v>
      </c>
      <c r="F3902" s="6">
        <v>2020</v>
      </c>
      <c r="G3902" s="5" t="s">
        <v>3359</v>
      </c>
      <c r="H3902" s="5">
        <v>200</v>
      </c>
      <c r="I3902" s="5">
        <v>200</v>
      </c>
      <c r="J3902" s="5"/>
      <c r="K3902" s="5"/>
      <c r="L3902" s="10">
        <v>20201118</v>
      </c>
      <c r="M3902" s="36" t="str">
        <f t="shared" si="60"/>
        <v>19720824</v>
      </c>
    </row>
    <row r="3903" s="1" customFormat="1" ht="14.25" spans="1:13">
      <c r="A3903" s="2">
        <v>2859</v>
      </c>
      <c r="B3903" s="6" t="s">
        <v>6075</v>
      </c>
      <c r="C3903" s="25" t="s">
        <v>6247</v>
      </c>
      <c r="D3903" s="26" t="s">
        <v>6248</v>
      </c>
      <c r="E3903" s="5" t="s">
        <v>15</v>
      </c>
      <c r="F3903" s="5">
        <v>2020</v>
      </c>
      <c r="G3903" s="6" t="s">
        <v>16</v>
      </c>
      <c r="H3903" s="6">
        <v>200</v>
      </c>
      <c r="I3903" s="6">
        <v>200</v>
      </c>
      <c r="J3903" s="6"/>
      <c r="K3903" s="10"/>
      <c r="L3903" s="10">
        <v>20201118</v>
      </c>
      <c r="M3903" s="36" t="str">
        <f t="shared" si="60"/>
        <v>19720826</v>
      </c>
    </row>
    <row r="3904" s="1" customFormat="1" spans="1:13">
      <c r="A3904" s="2">
        <v>494</v>
      </c>
      <c r="B3904" s="29" t="s">
        <v>1040</v>
      </c>
      <c r="C3904" s="29" t="s">
        <v>1265</v>
      </c>
      <c r="D3904" s="29" t="s">
        <v>1266</v>
      </c>
      <c r="E3904" s="30">
        <v>2020</v>
      </c>
      <c r="F3904" s="30">
        <v>2020</v>
      </c>
      <c r="G3904" s="29" t="s">
        <v>16</v>
      </c>
      <c r="H3904" s="29">
        <v>200</v>
      </c>
      <c r="I3904" s="29">
        <v>200</v>
      </c>
      <c r="J3904" s="29"/>
      <c r="K3904" s="47"/>
      <c r="L3904" s="2" t="s">
        <v>330</v>
      </c>
      <c r="M3904" s="36" t="str">
        <f t="shared" si="60"/>
        <v>19720827</v>
      </c>
    </row>
    <row r="3905" s="1" customFormat="1" spans="1:13">
      <c r="A3905" s="2">
        <v>5837</v>
      </c>
      <c r="B3905" s="30" t="s">
        <v>11090</v>
      </c>
      <c r="C3905" s="30" t="s">
        <v>11740</v>
      </c>
      <c r="D3905" s="30" t="s">
        <v>11741</v>
      </c>
      <c r="E3905" s="5" t="s">
        <v>15</v>
      </c>
      <c r="F3905" s="5" t="s">
        <v>10250</v>
      </c>
      <c r="G3905" s="6" t="s">
        <v>16</v>
      </c>
      <c r="H3905" s="32">
        <v>200</v>
      </c>
      <c r="I3905" s="32">
        <v>200</v>
      </c>
      <c r="J3905" s="6"/>
      <c r="K3905" s="48"/>
      <c r="L3905" s="10">
        <v>20201118</v>
      </c>
      <c r="M3905" s="36" t="str">
        <f t="shared" si="60"/>
        <v>19720827</v>
      </c>
    </row>
    <row r="3906" s="1" customFormat="1" spans="1:13">
      <c r="A3906" s="2">
        <v>2452</v>
      </c>
      <c r="B3906" s="5" t="s">
        <v>5328</v>
      </c>
      <c r="C3906" s="16" t="s">
        <v>5443</v>
      </c>
      <c r="D3906" s="16" t="s">
        <v>5444</v>
      </c>
      <c r="E3906" s="5" t="s">
        <v>15</v>
      </c>
      <c r="F3906" s="5" t="s">
        <v>15</v>
      </c>
      <c r="G3906" s="14" t="s">
        <v>16</v>
      </c>
      <c r="H3906" s="6">
        <v>200</v>
      </c>
      <c r="I3906" s="6">
        <v>200</v>
      </c>
      <c r="J3906" s="5"/>
      <c r="K3906" s="5"/>
      <c r="L3906" s="10">
        <v>20201118</v>
      </c>
      <c r="M3906" s="36" t="str">
        <f t="shared" ref="M3906:M3969" si="61">MID(D3906,7,8)</f>
        <v>19720830</v>
      </c>
    </row>
    <row r="3907" s="1" customFormat="1" spans="1:13">
      <c r="A3907" s="2">
        <v>759</v>
      </c>
      <c r="B3907" s="29" t="s">
        <v>1040</v>
      </c>
      <c r="C3907" s="5" t="s">
        <v>1927</v>
      </c>
      <c r="D3907" s="317" t="s">
        <v>1928</v>
      </c>
      <c r="E3907" s="30">
        <v>2020</v>
      </c>
      <c r="F3907" s="30">
        <v>2020</v>
      </c>
      <c r="G3907" s="29" t="s">
        <v>16</v>
      </c>
      <c r="H3907" s="29">
        <v>200</v>
      </c>
      <c r="I3907" s="29">
        <v>200</v>
      </c>
      <c r="J3907" s="32"/>
      <c r="K3907" s="32"/>
      <c r="L3907" s="14" t="s">
        <v>330</v>
      </c>
      <c r="M3907" s="36" t="str">
        <f t="shared" si="61"/>
        <v>19720901</v>
      </c>
    </row>
    <row r="3908" s="1" customFormat="1" spans="1:13">
      <c r="A3908" s="2">
        <v>5906</v>
      </c>
      <c r="B3908" s="30" t="s">
        <v>11090</v>
      </c>
      <c r="C3908" s="30" t="s">
        <v>11863</v>
      </c>
      <c r="D3908" s="30" t="s">
        <v>11864</v>
      </c>
      <c r="E3908" s="5" t="s">
        <v>15</v>
      </c>
      <c r="F3908" s="5" t="s">
        <v>10250</v>
      </c>
      <c r="G3908" s="6" t="s">
        <v>16</v>
      </c>
      <c r="H3908" s="32">
        <v>200</v>
      </c>
      <c r="I3908" s="32">
        <v>200</v>
      </c>
      <c r="J3908" s="6" t="s">
        <v>6097</v>
      </c>
      <c r="K3908" s="48"/>
      <c r="L3908" s="10">
        <v>20201118</v>
      </c>
      <c r="M3908" s="36" t="str">
        <f t="shared" si="61"/>
        <v>19720902</v>
      </c>
    </row>
    <row r="3909" s="1" customFormat="1" spans="1:13">
      <c r="A3909" s="2">
        <v>4287</v>
      </c>
      <c r="B3909" s="9" t="s">
        <v>8515</v>
      </c>
      <c r="C3909" s="9" t="s">
        <v>8767</v>
      </c>
      <c r="D3909" s="9" t="s">
        <v>8768</v>
      </c>
      <c r="E3909" s="5" t="s">
        <v>15</v>
      </c>
      <c r="F3909" s="5">
        <v>2020</v>
      </c>
      <c r="G3909" s="9" t="s">
        <v>2480</v>
      </c>
      <c r="H3909" s="9">
        <v>200</v>
      </c>
      <c r="I3909" s="9">
        <v>200</v>
      </c>
      <c r="J3909" s="9"/>
      <c r="K3909" s="9"/>
      <c r="L3909" s="10">
        <v>20201118</v>
      </c>
      <c r="M3909" s="36" t="str">
        <f t="shared" si="61"/>
        <v>19720905</v>
      </c>
    </row>
    <row r="3910" s="1" customFormat="1" spans="1:13">
      <c r="A3910" s="2">
        <v>6637</v>
      </c>
      <c r="B3910" s="5" t="s">
        <v>13027</v>
      </c>
      <c r="C3910" s="15" t="s">
        <v>13256</v>
      </c>
      <c r="D3910" s="15" t="s">
        <v>13257</v>
      </c>
      <c r="E3910" s="5">
        <v>2020</v>
      </c>
      <c r="F3910" s="5">
        <v>2020</v>
      </c>
      <c r="G3910" s="14" t="s">
        <v>16</v>
      </c>
      <c r="H3910" s="15">
        <v>200</v>
      </c>
      <c r="I3910" s="15">
        <v>200</v>
      </c>
      <c r="J3910" s="5"/>
      <c r="K3910" s="10"/>
      <c r="L3910" s="10">
        <v>20201118</v>
      </c>
      <c r="M3910" s="36" t="str">
        <f t="shared" si="61"/>
        <v>19720905</v>
      </c>
    </row>
    <row r="3911" s="1" customFormat="1" spans="1:13">
      <c r="A3911" s="2">
        <v>4683</v>
      </c>
      <c r="B3911" s="6" t="s">
        <v>9015</v>
      </c>
      <c r="C3911" s="6" t="s">
        <v>9529</v>
      </c>
      <c r="D3911" s="6" t="s">
        <v>9530</v>
      </c>
      <c r="E3911" s="6">
        <v>2020</v>
      </c>
      <c r="F3911" s="6">
        <v>2020</v>
      </c>
      <c r="G3911" s="6" t="s">
        <v>16</v>
      </c>
      <c r="H3911" s="6">
        <v>200</v>
      </c>
      <c r="I3911" s="6">
        <v>200</v>
      </c>
      <c r="J3911" s="6"/>
      <c r="K3911" s="6"/>
      <c r="L3911" s="10">
        <v>20201118</v>
      </c>
      <c r="M3911" s="36" t="str">
        <f t="shared" si="61"/>
        <v>19720906</v>
      </c>
    </row>
    <row r="3912" s="1" customFormat="1" spans="1:13">
      <c r="A3912" s="2">
        <v>4774</v>
      </c>
      <c r="B3912" s="6" t="s">
        <v>9015</v>
      </c>
      <c r="C3912" s="6" t="s">
        <v>1089</v>
      </c>
      <c r="D3912" s="6" t="s">
        <v>9702</v>
      </c>
      <c r="E3912" s="6">
        <v>2020</v>
      </c>
      <c r="F3912" s="6">
        <v>2020</v>
      </c>
      <c r="G3912" s="6" t="s">
        <v>16</v>
      </c>
      <c r="H3912" s="6">
        <v>200</v>
      </c>
      <c r="I3912" s="6">
        <v>200</v>
      </c>
      <c r="J3912" s="6"/>
      <c r="K3912" s="6"/>
      <c r="L3912" s="10">
        <v>20201118</v>
      </c>
      <c r="M3912" s="36" t="str">
        <f t="shared" si="61"/>
        <v>19720908</v>
      </c>
    </row>
    <row r="3913" s="1" customFormat="1" spans="1:13">
      <c r="A3913" s="2">
        <v>456</v>
      </c>
      <c r="B3913" s="29" t="s">
        <v>1040</v>
      </c>
      <c r="C3913" s="29" t="s">
        <v>1188</v>
      </c>
      <c r="D3913" s="29" t="s">
        <v>1189</v>
      </c>
      <c r="E3913" s="30">
        <v>2020</v>
      </c>
      <c r="F3913" s="30">
        <v>2020</v>
      </c>
      <c r="G3913" s="29" t="s">
        <v>16</v>
      </c>
      <c r="H3913" s="29">
        <v>200</v>
      </c>
      <c r="I3913" s="29">
        <v>200</v>
      </c>
      <c r="J3913" s="29"/>
      <c r="K3913" s="47"/>
      <c r="L3913" s="2" t="s">
        <v>330</v>
      </c>
      <c r="M3913" s="36" t="str">
        <f t="shared" si="61"/>
        <v>19720909</v>
      </c>
    </row>
    <row r="3914" s="1" customFormat="1" spans="1:13">
      <c r="A3914" s="2">
        <v>680</v>
      </c>
      <c r="B3914" s="29" t="s">
        <v>1040</v>
      </c>
      <c r="C3914" s="47" t="s">
        <v>1692</v>
      </c>
      <c r="D3914" s="47" t="s">
        <v>1693</v>
      </c>
      <c r="E3914" s="30">
        <v>2020</v>
      </c>
      <c r="F3914" s="30">
        <v>2020</v>
      </c>
      <c r="G3914" s="29" t="s">
        <v>16</v>
      </c>
      <c r="H3914" s="29">
        <v>200</v>
      </c>
      <c r="I3914" s="29">
        <v>200</v>
      </c>
      <c r="J3914" s="29"/>
      <c r="K3914" s="54"/>
      <c r="L3914" s="14" t="s">
        <v>330</v>
      </c>
      <c r="M3914" s="36" t="str">
        <f t="shared" si="61"/>
        <v>19720909</v>
      </c>
    </row>
    <row r="3915" s="1" customFormat="1" spans="1:13">
      <c r="A3915" s="2">
        <v>651</v>
      </c>
      <c r="B3915" s="29" t="s">
        <v>1040</v>
      </c>
      <c r="C3915" s="47" t="s">
        <v>1606</v>
      </c>
      <c r="D3915" s="47" t="s">
        <v>1607</v>
      </c>
      <c r="E3915" s="30">
        <v>2020</v>
      </c>
      <c r="F3915" s="30">
        <v>2020</v>
      </c>
      <c r="G3915" s="29" t="s">
        <v>16</v>
      </c>
      <c r="H3915" s="29">
        <v>200</v>
      </c>
      <c r="I3915" s="29">
        <v>200</v>
      </c>
      <c r="J3915" s="29"/>
      <c r="K3915" s="47"/>
      <c r="L3915" s="2" t="s">
        <v>330</v>
      </c>
      <c r="M3915" s="36" t="str">
        <f t="shared" si="61"/>
        <v>19720910</v>
      </c>
    </row>
    <row r="3916" s="1" customFormat="1" spans="1:13">
      <c r="A3916" s="2">
        <v>5876</v>
      </c>
      <c r="B3916" s="30" t="s">
        <v>11090</v>
      </c>
      <c r="C3916" s="30" t="s">
        <v>11809</v>
      </c>
      <c r="D3916" s="30" t="s">
        <v>11810</v>
      </c>
      <c r="E3916" s="5" t="s">
        <v>15</v>
      </c>
      <c r="F3916" s="5" t="s">
        <v>10250</v>
      </c>
      <c r="G3916" s="6" t="s">
        <v>16</v>
      </c>
      <c r="H3916" s="32">
        <v>200</v>
      </c>
      <c r="I3916" s="32">
        <v>200</v>
      </c>
      <c r="J3916" s="6"/>
      <c r="K3916" s="48"/>
      <c r="L3916" s="10">
        <v>20201118</v>
      </c>
      <c r="M3916" s="36" t="str">
        <f t="shared" si="61"/>
        <v>19720910</v>
      </c>
    </row>
    <row r="3917" s="1" customFormat="1" spans="1:13">
      <c r="A3917" s="2">
        <v>6149</v>
      </c>
      <c r="B3917" s="5" t="s">
        <v>12263</v>
      </c>
      <c r="C3917" s="5" t="s">
        <v>12331</v>
      </c>
      <c r="D3917" s="5" t="s">
        <v>12332</v>
      </c>
      <c r="E3917" s="5" t="s">
        <v>10250</v>
      </c>
      <c r="F3917" s="5">
        <v>2020</v>
      </c>
      <c r="G3917" s="17" t="s">
        <v>3359</v>
      </c>
      <c r="H3917" s="5">
        <v>200</v>
      </c>
      <c r="I3917" s="5">
        <v>200</v>
      </c>
      <c r="J3917" s="5"/>
      <c r="K3917" s="5"/>
      <c r="L3917" s="10">
        <v>20201118</v>
      </c>
      <c r="M3917" s="36" t="str">
        <f t="shared" si="61"/>
        <v>19720910</v>
      </c>
    </row>
    <row r="3918" s="1" customFormat="1" spans="1:13">
      <c r="A3918" s="2">
        <v>7118</v>
      </c>
      <c r="B3918" s="5" t="s">
        <v>13533</v>
      </c>
      <c r="C3918" s="32" t="s">
        <v>13896</v>
      </c>
      <c r="D3918" s="32" t="s">
        <v>13897</v>
      </c>
      <c r="E3918" s="5">
        <v>2017</v>
      </c>
      <c r="F3918" s="5">
        <v>2020</v>
      </c>
      <c r="G3918" s="9" t="s">
        <v>289</v>
      </c>
      <c r="H3918" s="32">
        <v>200</v>
      </c>
      <c r="I3918" s="32">
        <v>800</v>
      </c>
      <c r="J3918" s="32"/>
      <c r="K3918" s="10"/>
      <c r="L3918" s="10">
        <v>20201118</v>
      </c>
      <c r="M3918" s="36" t="str">
        <f t="shared" si="61"/>
        <v>19720910</v>
      </c>
    </row>
    <row r="3919" s="1" customFormat="1" spans="1:13">
      <c r="A3919" s="2">
        <v>147</v>
      </c>
      <c r="B3919" s="14" t="s">
        <v>327</v>
      </c>
      <c r="C3919" s="14" t="s">
        <v>328</v>
      </c>
      <c r="D3919" s="14" t="s">
        <v>329</v>
      </c>
      <c r="E3919" s="5">
        <v>2020</v>
      </c>
      <c r="F3919" s="5">
        <v>2020</v>
      </c>
      <c r="G3919" s="14" t="s">
        <v>16</v>
      </c>
      <c r="H3919" s="14">
        <v>200</v>
      </c>
      <c r="I3919" s="14">
        <v>200</v>
      </c>
      <c r="J3919" s="40"/>
      <c r="K3919" s="10"/>
      <c r="L3919" s="2" t="s">
        <v>330</v>
      </c>
      <c r="M3919" s="36" t="str">
        <f t="shared" si="61"/>
        <v>19720911</v>
      </c>
    </row>
    <row r="3920" s="1" customFormat="1" spans="1:13">
      <c r="A3920" s="2">
        <v>7220</v>
      </c>
      <c r="B3920" s="5" t="s">
        <v>13908</v>
      </c>
      <c r="C3920" s="5" t="s">
        <v>14086</v>
      </c>
      <c r="D3920" s="5" t="s">
        <v>14087</v>
      </c>
      <c r="E3920" s="5" t="s">
        <v>15</v>
      </c>
      <c r="F3920" s="5" t="s">
        <v>15</v>
      </c>
      <c r="G3920" s="14" t="s">
        <v>16</v>
      </c>
      <c r="H3920" s="17">
        <v>200</v>
      </c>
      <c r="I3920" s="17">
        <v>200</v>
      </c>
      <c r="J3920" s="5"/>
      <c r="K3920" s="10"/>
      <c r="L3920" s="10">
        <v>20201118</v>
      </c>
      <c r="M3920" s="36" t="str">
        <f t="shared" si="61"/>
        <v>19720911</v>
      </c>
    </row>
    <row r="3921" s="1" customFormat="1" spans="1:13">
      <c r="A3921" s="2">
        <v>3389</v>
      </c>
      <c r="B3921" s="5" t="s">
        <v>3375</v>
      </c>
      <c r="C3921" s="6" t="s">
        <v>7166</v>
      </c>
      <c r="D3921" s="6" t="str">
        <f>"152326197209126867"</f>
        <v>152326197209126867</v>
      </c>
      <c r="E3921" s="5" t="s">
        <v>15</v>
      </c>
      <c r="F3921" s="5">
        <v>2020</v>
      </c>
      <c r="G3921" s="14" t="s">
        <v>16</v>
      </c>
      <c r="H3921" s="17">
        <v>200</v>
      </c>
      <c r="I3921" s="17">
        <v>200</v>
      </c>
      <c r="J3921" s="6"/>
      <c r="K3921" s="10"/>
      <c r="L3921" s="10">
        <v>20201118</v>
      </c>
      <c r="M3921" s="36" t="str">
        <f t="shared" si="61"/>
        <v>19720912</v>
      </c>
    </row>
    <row r="3922" s="1" customFormat="1" spans="1:13">
      <c r="A3922" s="2">
        <v>4728</v>
      </c>
      <c r="B3922" s="6" t="s">
        <v>9015</v>
      </c>
      <c r="C3922" s="6" t="s">
        <v>9613</v>
      </c>
      <c r="D3922" s="6" t="s">
        <v>9614</v>
      </c>
      <c r="E3922" s="6">
        <v>2020</v>
      </c>
      <c r="F3922" s="6">
        <v>2020</v>
      </c>
      <c r="G3922" s="6" t="s">
        <v>16</v>
      </c>
      <c r="H3922" s="6">
        <v>200</v>
      </c>
      <c r="I3922" s="6">
        <v>200</v>
      </c>
      <c r="J3922" s="6"/>
      <c r="K3922" s="6"/>
      <c r="L3922" s="10">
        <v>20201118</v>
      </c>
      <c r="M3922" s="36" t="str">
        <f t="shared" si="61"/>
        <v>19720912</v>
      </c>
    </row>
    <row r="3923" s="1" customFormat="1" spans="1:13">
      <c r="A3923" s="2">
        <v>1100</v>
      </c>
      <c r="B3923" s="5" t="s">
        <v>2469</v>
      </c>
      <c r="C3923" s="9" t="s">
        <v>2787</v>
      </c>
      <c r="D3923" s="9" t="s">
        <v>2788</v>
      </c>
      <c r="E3923" s="5">
        <v>2020</v>
      </c>
      <c r="F3923" s="5">
        <v>2020</v>
      </c>
      <c r="G3923" s="9" t="s">
        <v>2480</v>
      </c>
      <c r="H3923" s="9">
        <v>200</v>
      </c>
      <c r="I3923" s="9">
        <v>200</v>
      </c>
      <c r="J3923" s="5"/>
      <c r="K3923" s="5"/>
      <c r="L3923" s="10">
        <v>20201118</v>
      </c>
      <c r="M3923" s="36" t="str">
        <f t="shared" si="61"/>
        <v>19720913</v>
      </c>
    </row>
    <row r="3924" s="1" customFormat="1" spans="1:13">
      <c r="A3924" s="2">
        <v>1101</v>
      </c>
      <c r="B3924" s="5" t="s">
        <v>2469</v>
      </c>
      <c r="C3924" s="9" t="s">
        <v>2789</v>
      </c>
      <c r="D3924" s="9" t="s">
        <v>2790</v>
      </c>
      <c r="E3924" s="5">
        <v>2020</v>
      </c>
      <c r="F3924" s="5">
        <v>2020</v>
      </c>
      <c r="G3924" s="9" t="s">
        <v>2480</v>
      </c>
      <c r="H3924" s="9">
        <v>200</v>
      </c>
      <c r="I3924" s="9">
        <v>200</v>
      </c>
      <c r="J3924" s="5"/>
      <c r="K3924" s="5"/>
      <c r="L3924" s="10">
        <v>20201118</v>
      </c>
      <c r="M3924" s="36" t="str">
        <f t="shared" si="61"/>
        <v>19720913</v>
      </c>
    </row>
    <row r="3925" s="1" customFormat="1" spans="1:13">
      <c r="A3925" s="2">
        <v>1102</v>
      </c>
      <c r="B3925" s="5" t="s">
        <v>2469</v>
      </c>
      <c r="C3925" s="9" t="s">
        <v>2791</v>
      </c>
      <c r="D3925" s="9" t="s">
        <v>2792</v>
      </c>
      <c r="E3925" s="5">
        <v>2020</v>
      </c>
      <c r="F3925" s="5">
        <v>2020</v>
      </c>
      <c r="G3925" s="9" t="s">
        <v>2480</v>
      </c>
      <c r="H3925" s="9">
        <v>200</v>
      </c>
      <c r="I3925" s="9">
        <v>200</v>
      </c>
      <c r="J3925" s="5"/>
      <c r="K3925" s="5"/>
      <c r="L3925" s="10">
        <v>20201118</v>
      </c>
      <c r="M3925" s="36" t="str">
        <f t="shared" si="61"/>
        <v>19720917</v>
      </c>
    </row>
    <row r="3926" s="1" customFormat="1" spans="1:13">
      <c r="A3926" s="2">
        <v>684</v>
      </c>
      <c r="B3926" s="29" t="s">
        <v>1040</v>
      </c>
      <c r="C3926" s="47" t="s">
        <v>1704</v>
      </c>
      <c r="D3926" s="47" t="s">
        <v>1705</v>
      </c>
      <c r="E3926" s="30">
        <v>2020</v>
      </c>
      <c r="F3926" s="30">
        <v>2020</v>
      </c>
      <c r="G3926" s="29" t="s">
        <v>16</v>
      </c>
      <c r="H3926" s="29">
        <v>200</v>
      </c>
      <c r="I3926" s="29">
        <v>200</v>
      </c>
      <c r="J3926" s="29"/>
      <c r="K3926" s="54"/>
      <c r="L3926" s="14" t="s">
        <v>330</v>
      </c>
      <c r="M3926" s="36" t="str">
        <f t="shared" si="61"/>
        <v>19720918</v>
      </c>
    </row>
    <row r="3927" s="1" customFormat="1" spans="1:13">
      <c r="A3927" s="2">
        <v>1947</v>
      </c>
      <c r="B3927" s="5" t="s">
        <v>4189</v>
      </c>
      <c r="C3927" s="16" t="s">
        <v>4453</v>
      </c>
      <c r="D3927" s="16" t="s">
        <v>4454</v>
      </c>
      <c r="E3927" s="5" t="s">
        <v>15</v>
      </c>
      <c r="F3927" s="5" t="s">
        <v>15</v>
      </c>
      <c r="G3927" s="5" t="s">
        <v>3359</v>
      </c>
      <c r="H3927" s="16">
        <v>200</v>
      </c>
      <c r="I3927" s="16">
        <v>200</v>
      </c>
      <c r="J3927" s="5"/>
      <c r="K3927" s="10"/>
      <c r="L3927" s="10">
        <v>20201118</v>
      </c>
      <c r="M3927" s="36" t="str">
        <f t="shared" si="61"/>
        <v>19720918</v>
      </c>
    </row>
    <row r="3928" s="1" customFormat="1" spans="1:13">
      <c r="A3928" s="2">
        <v>4711</v>
      </c>
      <c r="B3928" s="6" t="s">
        <v>9015</v>
      </c>
      <c r="C3928" s="6" t="s">
        <v>9582</v>
      </c>
      <c r="D3928" s="6" t="s">
        <v>9583</v>
      </c>
      <c r="E3928" s="6">
        <v>2020</v>
      </c>
      <c r="F3928" s="6">
        <v>2020</v>
      </c>
      <c r="G3928" s="6" t="s">
        <v>16</v>
      </c>
      <c r="H3928" s="6">
        <v>200</v>
      </c>
      <c r="I3928" s="6">
        <v>200</v>
      </c>
      <c r="J3928" s="6"/>
      <c r="K3928" s="6"/>
      <c r="L3928" s="10">
        <v>20201118</v>
      </c>
      <c r="M3928" s="36" t="str">
        <f t="shared" si="61"/>
        <v>19720918</v>
      </c>
    </row>
    <row r="3929" s="1" customFormat="1" spans="1:13">
      <c r="A3929" s="2">
        <v>3388</v>
      </c>
      <c r="B3929" s="5" t="s">
        <v>3375</v>
      </c>
      <c r="C3929" s="6" t="s">
        <v>7165</v>
      </c>
      <c r="D3929" s="6" t="str">
        <f>"152326197209196873"</f>
        <v>152326197209196873</v>
      </c>
      <c r="E3929" s="5" t="s">
        <v>15</v>
      </c>
      <c r="F3929" s="5">
        <v>2020</v>
      </c>
      <c r="G3929" s="14" t="s">
        <v>16</v>
      </c>
      <c r="H3929" s="17">
        <v>200</v>
      </c>
      <c r="I3929" s="17">
        <v>200</v>
      </c>
      <c r="J3929" s="6"/>
      <c r="K3929" s="10"/>
      <c r="L3929" s="10">
        <v>20201118</v>
      </c>
      <c r="M3929" s="36" t="str">
        <f t="shared" si="61"/>
        <v>19720919</v>
      </c>
    </row>
    <row r="3930" s="1" customFormat="1" spans="1:13">
      <c r="A3930" s="2">
        <v>4992</v>
      </c>
      <c r="B3930" s="6" t="s">
        <v>9954</v>
      </c>
      <c r="C3930" s="60" t="s">
        <v>10122</v>
      </c>
      <c r="D3930" s="60" t="s">
        <v>10123</v>
      </c>
      <c r="E3930" s="5" t="s">
        <v>15</v>
      </c>
      <c r="F3930" s="5" t="s">
        <v>15</v>
      </c>
      <c r="G3930" s="14" t="s">
        <v>16</v>
      </c>
      <c r="H3930" s="6">
        <v>500</v>
      </c>
      <c r="I3930" s="6">
        <v>500</v>
      </c>
      <c r="J3930" s="6"/>
      <c r="K3930" s="6"/>
      <c r="L3930" s="10">
        <v>20201118</v>
      </c>
      <c r="M3930" s="36" t="str">
        <f t="shared" si="61"/>
        <v>19720919</v>
      </c>
    </row>
    <row r="3931" s="1" customFormat="1" ht="14.25" spans="1:13">
      <c r="A3931" s="2">
        <v>5330</v>
      </c>
      <c r="B3931" s="33" t="s">
        <v>10535</v>
      </c>
      <c r="C3931" s="34" t="s">
        <v>10773</v>
      </c>
      <c r="D3931" s="34" t="s">
        <v>10774</v>
      </c>
      <c r="E3931" s="35">
        <v>2020</v>
      </c>
      <c r="F3931" s="35">
        <v>2020</v>
      </c>
      <c r="G3931" s="35" t="s">
        <v>16</v>
      </c>
      <c r="H3931" s="34">
        <v>1000</v>
      </c>
      <c r="I3931" s="34">
        <v>1000</v>
      </c>
      <c r="J3931" s="49"/>
      <c r="K3931" s="10"/>
      <c r="L3931" s="10">
        <v>20201118</v>
      </c>
      <c r="M3931" s="36" t="str">
        <f t="shared" si="61"/>
        <v>19720920</v>
      </c>
    </row>
    <row r="3932" s="1" customFormat="1" spans="1:13">
      <c r="A3932" s="2">
        <v>6913</v>
      </c>
      <c r="B3932" s="5" t="s">
        <v>13533</v>
      </c>
      <c r="C3932" s="32" t="s">
        <v>13661</v>
      </c>
      <c r="D3932" s="32" t="str">
        <f>"152326197209207122"</f>
        <v>152326197209207122</v>
      </c>
      <c r="E3932" s="5">
        <v>2020</v>
      </c>
      <c r="F3932" s="5">
        <v>2020</v>
      </c>
      <c r="G3932" s="9" t="s">
        <v>2480</v>
      </c>
      <c r="H3932" s="32">
        <v>200</v>
      </c>
      <c r="I3932" s="32">
        <v>200</v>
      </c>
      <c r="J3932" s="62"/>
      <c r="K3932" s="10"/>
      <c r="L3932" s="10">
        <v>20201118</v>
      </c>
      <c r="M3932" s="36" t="str">
        <f t="shared" si="61"/>
        <v>19720920</v>
      </c>
    </row>
    <row r="3933" s="1" customFormat="1" spans="1:13">
      <c r="A3933" s="2">
        <v>527</v>
      </c>
      <c r="B3933" s="29" t="s">
        <v>1040</v>
      </c>
      <c r="C3933" s="29" t="s">
        <v>1331</v>
      </c>
      <c r="D3933" s="29" t="s">
        <v>1332</v>
      </c>
      <c r="E3933" s="30">
        <v>2020</v>
      </c>
      <c r="F3933" s="30">
        <v>2020</v>
      </c>
      <c r="G3933" s="29" t="s">
        <v>16</v>
      </c>
      <c r="H3933" s="29">
        <v>200</v>
      </c>
      <c r="I3933" s="29">
        <v>200</v>
      </c>
      <c r="J3933" s="29"/>
      <c r="K3933" s="47"/>
      <c r="L3933" s="14" t="s">
        <v>330</v>
      </c>
      <c r="M3933" s="36" t="str">
        <f t="shared" si="61"/>
        <v>19720921</v>
      </c>
    </row>
    <row r="3934" s="1" customFormat="1" spans="1:13">
      <c r="A3934" s="2">
        <v>7080</v>
      </c>
      <c r="B3934" s="5" t="s">
        <v>13533</v>
      </c>
      <c r="C3934" s="32" t="s">
        <v>13831</v>
      </c>
      <c r="D3934" s="32" t="s">
        <v>13832</v>
      </c>
      <c r="E3934" s="5">
        <v>2020</v>
      </c>
      <c r="F3934" s="5">
        <v>2020</v>
      </c>
      <c r="G3934" s="9" t="s">
        <v>2480</v>
      </c>
      <c r="H3934" s="32">
        <v>200</v>
      </c>
      <c r="I3934" s="32">
        <v>200</v>
      </c>
      <c r="J3934" s="62"/>
      <c r="K3934" s="10"/>
      <c r="L3934" s="10">
        <v>20201118</v>
      </c>
      <c r="M3934" s="36" t="str">
        <f t="shared" si="61"/>
        <v>19720921</v>
      </c>
    </row>
    <row r="3935" s="1" customFormat="1" spans="1:13">
      <c r="A3935" s="2">
        <v>3870</v>
      </c>
      <c r="B3935" s="5" t="s">
        <v>7412</v>
      </c>
      <c r="C3935" s="5" t="s">
        <v>7976</v>
      </c>
      <c r="D3935" s="5" t="s">
        <v>7977</v>
      </c>
      <c r="E3935" s="6">
        <v>2020</v>
      </c>
      <c r="F3935" s="6">
        <v>2020</v>
      </c>
      <c r="G3935" s="5" t="s">
        <v>3359</v>
      </c>
      <c r="H3935" s="5">
        <v>200</v>
      </c>
      <c r="I3935" s="5">
        <v>200</v>
      </c>
      <c r="J3935" s="5"/>
      <c r="K3935" s="5"/>
      <c r="L3935" s="10">
        <v>20201118</v>
      </c>
      <c r="M3935" s="36" t="str">
        <f t="shared" si="61"/>
        <v>19720923</v>
      </c>
    </row>
    <row r="3936" s="1" customFormat="1" spans="1:13">
      <c r="A3936" s="2">
        <v>8112</v>
      </c>
      <c r="B3936" s="5" t="s">
        <v>15406</v>
      </c>
      <c r="C3936" s="6" t="s">
        <v>15418</v>
      </c>
      <c r="D3936" s="6" t="s">
        <v>15419</v>
      </c>
      <c r="E3936" s="5" t="s">
        <v>15</v>
      </c>
      <c r="F3936" s="5">
        <v>2020</v>
      </c>
      <c r="G3936" s="14" t="s">
        <v>16</v>
      </c>
      <c r="H3936" s="6" t="s">
        <v>311</v>
      </c>
      <c r="I3936" s="6">
        <v>200</v>
      </c>
      <c r="J3936" s="5"/>
      <c r="K3936" s="10"/>
      <c r="L3936" s="10">
        <v>20201118</v>
      </c>
      <c r="M3936" s="36" t="str">
        <f t="shared" si="61"/>
        <v>19720927</v>
      </c>
    </row>
    <row r="3937" s="1" customFormat="1" ht="14.25" spans="1:13">
      <c r="A3937" s="2">
        <v>2900</v>
      </c>
      <c r="B3937" s="6" t="s">
        <v>6075</v>
      </c>
      <c r="C3937" s="25" t="s">
        <v>6327</v>
      </c>
      <c r="D3937" s="26" t="s">
        <v>6328</v>
      </c>
      <c r="E3937" s="5" t="s">
        <v>15</v>
      </c>
      <c r="F3937" s="5">
        <v>2020</v>
      </c>
      <c r="G3937" s="6" t="s">
        <v>16</v>
      </c>
      <c r="H3937" s="6">
        <v>200</v>
      </c>
      <c r="I3937" s="6">
        <v>200</v>
      </c>
      <c r="J3937" s="6" t="s">
        <v>6097</v>
      </c>
      <c r="K3937" s="10"/>
      <c r="L3937" s="10">
        <v>20201118</v>
      </c>
      <c r="M3937" s="36" t="str">
        <f t="shared" si="61"/>
        <v>19720928</v>
      </c>
    </row>
    <row r="3938" s="1" customFormat="1" spans="1:13">
      <c r="A3938" s="2">
        <v>7271</v>
      </c>
      <c r="B3938" s="5" t="s">
        <v>13908</v>
      </c>
      <c r="C3938" s="5" t="s">
        <v>14184</v>
      </c>
      <c r="D3938" s="5" t="s">
        <v>14185</v>
      </c>
      <c r="E3938" s="5" t="s">
        <v>15</v>
      </c>
      <c r="F3938" s="5" t="s">
        <v>15</v>
      </c>
      <c r="G3938" s="14" t="s">
        <v>16</v>
      </c>
      <c r="H3938" s="17">
        <v>200</v>
      </c>
      <c r="I3938" s="17">
        <v>200</v>
      </c>
      <c r="J3938" s="5"/>
      <c r="K3938" s="10"/>
      <c r="L3938" s="10">
        <v>20201118</v>
      </c>
      <c r="M3938" s="36" t="str">
        <f t="shared" si="61"/>
        <v>19720928</v>
      </c>
    </row>
    <row r="3939" s="1" customFormat="1" spans="1:13">
      <c r="A3939" s="2">
        <v>1638</v>
      </c>
      <c r="B3939" s="5" t="s">
        <v>3381</v>
      </c>
      <c r="C3939" s="9" t="s">
        <v>3838</v>
      </c>
      <c r="D3939" s="9" t="s">
        <v>3839</v>
      </c>
      <c r="E3939" s="5">
        <v>2020</v>
      </c>
      <c r="F3939" s="5">
        <v>2020</v>
      </c>
      <c r="G3939" s="14" t="s">
        <v>16</v>
      </c>
      <c r="H3939" s="6">
        <v>200</v>
      </c>
      <c r="I3939" s="6">
        <v>200</v>
      </c>
      <c r="J3939" s="5"/>
      <c r="K3939" s="13"/>
      <c r="L3939" s="10">
        <v>20201118</v>
      </c>
      <c r="M3939" s="36" t="str">
        <f t="shared" si="61"/>
        <v>19720929</v>
      </c>
    </row>
    <row r="3940" s="1" customFormat="1" ht="14.25" spans="1:13">
      <c r="A3940" s="2">
        <v>2849</v>
      </c>
      <c r="B3940" s="6" t="s">
        <v>6075</v>
      </c>
      <c r="C3940" s="25" t="s">
        <v>6226</v>
      </c>
      <c r="D3940" s="26" t="s">
        <v>6227</v>
      </c>
      <c r="E3940" s="5" t="s">
        <v>15</v>
      </c>
      <c r="F3940" s="5">
        <v>2020</v>
      </c>
      <c r="G3940" s="6" t="s">
        <v>16</v>
      </c>
      <c r="H3940" s="6">
        <v>200</v>
      </c>
      <c r="I3940" s="6">
        <v>200</v>
      </c>
      <c r="J3940" s="6"/>
      <c r="K3940" s="10"/>
      <c r="L3940" s="10">
        <v>20201118</v>
      </c>
      <c r="M3940" s="36" t="str">
        <f t="shared" si="61"/>
        <v>19720930</v>
      </c>
    </row>
    <row r="3941" s="1" customFormat="1" spans="1:13">
      <c r="A3941" s="2">
        <v>3871</v>
      </c>
      <c r="B3941" s="5" t="s">
        <v>7412</v>
      </c>
      <c r="C3941" s="5" t="s">
        <v>7978</v>
      </c>
      <c r="D3941" s="5" t="s">
        <v>7979</v>
      </c>
      <c r="E3941" s="6">
        <v>2020</v>
      </c>
      <c r="F3941" s="6">
        <v>2020</v>
      </c>
      <c r="G3941" s="5" t="s">
        <v>3359</v>
      </c>
      <c r="H3941" s="5">
        <v>200</v>
      </c>
      <c r="I3941" s="5">
        <v>200</v>
      </c>
      <c r="J3941" s="5"/>
      <c r="K3941" s="5"/>
      <c r="L3941" s="10">
        <v>20201118</v>
      </c>
      <c r="M3941" s="36" t="str">
        <f t="shared" si="61"/>
        <v>19721001</v>
      </c>
    </row>
    <row r="3942" s="1" customFormat="1" spans="1:13">
      <c r="A3942" s="2">
        <v>4288</v>
      </c>
      <c r="B3942" s="9" t="s">
        <v>8515</v>
      </c>
      <c r="C3942" s="9" t="s">
        <v>8769</v>
      </c>
      <c r="D3942" s="9" t="s">
        <v>8770</v>
      </c>
      <c r="E3942" s="5" t="s">
        <v>15</v>
      </c>
      <c r="F3942" s="5">
        <v>2020</v>
      </c>
      <c r="G3942" s="9" t="s">
        <v>2480</v>
      </c>
      <c r="H3942" s="9">
        <v>200</v>
      </c>
      <c r="I3942" s="9">
        <v>200</v>
      </c>
      <c r="J3942" s="9"/>
      <c r="K3942" s="9"/>
      <c r="L3942" s="10">
        <v>20201118</v>
      </c>
      <c r="M3942" s="36" t="str">
        <f t="shared" si="61"/>
        <v>19721001</v>
      </c>
    </row>
    <row r="3943" s="1" customFormat="1" spans="1:13">
      <c r="A3943" s="2">
        <v>4762</v>
      </c>
      <c r="B3943" s="6" t="s">
        <v>9015</v>
      </c>
      <c r="C3943" s="6" t="s">
        <v>9678</v>
      </c>
      <c r="D3943" s="6" t="s">
        <v>9679</v>
      </c>
      <c r="E3943" s="6">
        <v>2020</v>
      </c>
      <c r="F3943" s="6">
        <v>2020</v>
      </c>
      <c r="G3943" s="6" t="s">
        <v>16</v>
      </c>
      <c r="H3943" s="6">
        <v>200</v>
      </c>
      <c r="I3943" s="6">
        <v>200</v>
      </c>
      <c r="J3943" s="6"/>
      <c r="K3943" s="6"/>
      <c r="L3943" s="10">
        <v>20201118</v>
      </c>
      <c r="M3943" s="36" t="str">
        <f t="shared" si="61"/>
        <v>19721001</v>
      </c>
    </row>
    <row r="3944" s="1" customFormat="1" spans="1:13">
      <c r="A3944" s="2">
        <v>5719</v>
      </c>
      <c r="B3944" s="30" t="s">
        <v>11090</v>
      </c>
      <c r="C3944" s="30" t="s">
        <v>11523</v>
      </c>
      <c r="D3944" s="30" t="s">
        <v>11524</v>
      </c>
      <c r="E3944" s="5" t="s">
        <v>15</v>
      </c>
      <c r="F3944" s="5" t="s">
        <v>10250</v>
      </c>
      <c r="G3944" s="6" t="s">
        <v>16</v>
      </c>
      <c r="H3944" s="32">
        <v>200</v>
      </c>
      <c r="I3944" s="32">
        <v>200</v>
      </c>
      <c r="J3944" s="6"/>
      <c r="K3944" s="48"/>
      <c r="L3944" s="10">
        <v>20201118</v>
      </c>
      <c r="M3944" s="36" t="str">
        <f t="shared" si="61"/>
        <v>19721002</v>
      </c>
    </row>
    <row r="3945" s="1" customFormat="1" spans="1:13">
      <c r="A3945" s="2">
        <v>2453</v>
      </c>
      <c r="B3945" s="5" t="s">
        <v>5328</v>
      </c>
      <c r="C3945" s="16" t="s">
        <v>5445</v>
      </c>
      <c r="D3945" s="16" t="s">
        <v>5446</v>
      </c>
      <c r="E3945" s="5" t="s">
        <v>15</v>
      </c>
      <c r="F3945" s="5" t="s">
        <v>15</v>
      </c>
      <c r="G3945" s="14" t="s">
        <v>16</v>
      </c>
      <c r="H3945" s="6">
        <v>200</v>
      </c>
      <c r="I3945" s="6">
        <v>200</v>
      </c>
      <c r="J3945" s="5"/>
      <c r="K3945" s="5"/>
      <c r="L3945" s="10">
        <v>20201118</v>
      </c>
      <c r="M3945" s="36" t="str">
        <f t="shared" si="61"/>
        <v>19721004</v>
      </c>
    </row>
    <row r="3946" s="1" customFormat="1" spans="1:13">
      <c r="A3946" s="2">
        <v>3391</v>
      </c>
      <c r="B3946" s="5" t="s">
        <v>3375</v>
      </c>
      <c r="C3946" s="6" t="s">
        <v>7168</v>
      </c>
      <c r="D3946" s="6" t="str">
        <f>"152326197210046864"</f>
        <v>152326197210046864</v>
      </c>
      <c r="E3946" s="5" t="s">
        <v>15</v>
      </c>
      <c r="F3946" s="5">
        <v>2020</v>
      </c>
      <c r="G3946" s="14" t="s">
        <v>16</v>
      </c>
      <c r="H3946" s="17">
        <v>200</v>
      </c>
      <c r="I3946" s="17">
        <v>200</v>
      </c>
      <c r="J3946" s="6"/>
      <c r="K3946" s="10"/>
      <c r="L3946" s="10">
        <v>20201118</v>
      </c>
      <c r="M3946" s="36" t="str">
        <f t="shared" si="61"/>
        <v>19721004</v>
      </c>
    </row>
    <row r="3947" s="1" customFormat="1" ht="14.25" spans="1:13">
      <c r="A3947" s="2">
        <v>7707</v>
      </c>
      <c r="B3947" s="5" t="s">
        <v>14875</v>
      </c>
      <c r="C3947" s="51" t="s">
        <v>14950</v>
      </c>
      <c r="D3947" s="24" t="str">
        <f>"152326197210047111"</f>
        <v>152326197210047111</v>
      </c>
      <c r="E3947" s="6" t="s">
        <v>15</v>
      </c>
      <c r="F3947" s="6">
        <v>2020</v>
      </c>
      <c r="G3947" s="24" t="s">
        <v>14877</v>
      </c>
      <c r="H3947" s="6">
        <v>200</v>
      </c>
      <c r="I3947" s="6">
        <v>200</v>
      </c>
      <c r="J3947" s="6"/>
      <c r="K3947" s="10"/>
      <c r="L3947" s="10">
        <v>20201118</v>
      </c>
      <c r="M3947" s="36" t="str">
        <f t="shared" si="61"/>
        <v>19721004</v>
      </c>
    </row>
    <row r="3948" s="1" customFormat="1" spans="1:13">
      <c r="A3948" s="2">
        <v>7973</v>
      </c>
      <c r="B3948" s="5" t="s">
        <v>15086</v>
      </c>
      <c r="C3948" s="6" t="s">
        <v>15245</v>
      </c>
      <c r="D3948" s="6" t="str">
        <f>"152326197210046901"</f>
        <v>152326197210046901</v>
      </c>
      <c r="E3948" s="5" t="s">
        <v>15</v>
      </c>
      <c r="F3948" s="5">
        <v>2020</v>
      </c>
      <c r="G3948" s="5" t="s">
        <v>16</v>
      </c>
      <c r="H3948" s="5">
        <v>200</v>
      </c>
      <c r="I3948" s="5">
        <v>200</v>
      </c>
      <c r="J3948" s="5"/>
      <c r="K3948" s="5"/>
      <c r="L3948" s="10">
        <v>20201118</v>
      </c>
      <c r="M3948" s="36" t="str">
        <f t="shared" si="61"/>
        <v>19721004</v>
      </c>
    </row>
    <row r="3949" s="1" customFormat="1" spans="1:13">
      <c r="A3949" s="2">
        <v>5715</v>
      </c>
      <c r="B3949" s="30" t="s">
        <v>11090</v>
      </c>
      <c r="C3949" s="30" t="s">
        <v>11515</v>
      </c>
      <c r="D3949" s="30" t="s">
        <v>11516</v>
      </c>
      <c r="E3949" s="5" t="s">
        <v>15</v>
      </c>
      <c r="F3949" s="5" t="s">
        <v>10250</v>
      </c>
      <c r="G3949" s="6" t="s">
        <v>16</v>
      </c>
      <c r="H3949" s="32">
        <v>500</v>
      </c>
      <c r="I3949" s="32">
        <v>500</v>
      </c>
      <c r="J3949" s="6"/>
      <c r="K3949" s="48"/>
      <c r="L3949" s="10">
        <v>20201118</v>
      </c>
      <c r="M3949" s="36" t="str">
        <f t="shared" si="61"/>
        <v>19721006</v>
      </c>
    </row>
    <row r="3950" s="1" customFormat="1" spans="1:13">
      <c r="A3950" s="2">
        <v>6914</v>
      </c>
      <c r="B3950" s="5" t="s">
        <v>13533</v>
      </c>
      <c r="C3950" s="32" t="s">
        <v>13662</v>
      </c>
      <c r="D3950" s="32" t="str">
        <f>"152326197210067112"</f>
        <v>152326197210067112</v>
      </c>
      <c r="E3950" s="5">
        <v>2020</v>
      </c>
      <c r="F3950" s="5">
        <v>2020</v>
      </c>
      <c r="G3950" s="9" t="s">
        <v>2480</v>
      </c>
      <c r="H3950" s="32">
        <v>200</v>
      </c>
      <c r="I3950" s="32">
        <v>200</v>
      </c>
      <c r="J3950" s="62"/>
      <c r="K3950" s="10"/>
      <c r="L3950" s="10">
        <v>20201118</v>
      </c>
      <c r="M3950" s="36" t="str">
        <f t="shared" si="61"/>
        <v>19721006</v>
      </c>
    </row>
    <row r="3951" s="1" customFormat="1" spans="1:13">
      <c r="A3951" s="2">
        <v>1639</v>
      </c>
      <c r="B3951" s="5" t="s">
        <v>3381</v>
      </c>
      <c r="C3951" s="9" t="s">
        <v>3840</v>
      </c>
      <c r="D3951" s="9" t="s">
        <v>3841</v>
      </c>
      <c r="E3951" s="5">
        <v>2020</v>
      </c>
      <c r="F3951" s="5">
        <v>2020</v>
      </c>
      <c r="G3951" s="14" t="s">
        <v>16</v>
      </c>
      <c r="H3951" s="6">
        <v>200</v>
      </c>
      <c r="I3951" s="6">
        <v>200</v>
      </c>
      <c r="J3951" s="5"/>
      <c r="K3951" s="13"/>
      <c r="L3951" s="10">
        <v>20201118</v>
      </c>
      <c r="M3951" s="36" t="str">
        <f t="shared" si="61"/>
        <v>19721007</v>
      </c>
    </row>
    <row r="3952" s="1" customFormat="1" spans="1:13">
      <c r="A3952" s="2">
        <v>4582</v>
      </c>
      <c r="B3952" s="6" t="s">
        <v>9015</v>
      </c>
      <c r="C3952" s="6" t="s">
        <v>9341</v>
      </c>
      <c r="D3952" s="6" t="s">
        <v>9342</v>
      </c>
      <c r="E3952" s="6">
        <v>2020</v>
      </c>
      <c r="F3952" s="6">
        <v>2020</v>
      </c>
      <c r="G3952" s="6" t="s">
        <v>16</v>
      </c>
      <c r="H3952" s="6">
        <v>200</v>
      </c>
      <c r="I3952" s="6">
        <v>200</v>
      </c>
      <c r="J3952" s="6"/>
      <c r="K3952" s="6"/>
      <c r="L3952" s="10">
        <v>20201118</v>
      </c>
      <c r="M3952" s="36" t="str">
        <f t="shared" si="61"/>
        <v>19721007</v>
      </c>
    </row>
    <row r="3953" s="1" customFormat="1" spans="1:13">
      <c r="A3953" s="2">
        <v>5125</v>
      </c>
      <c r="B3953" s="6" t="s">
        <v>10242</v>
      </c>
      <c r="C3953" s="9" t="s">
        <v>10379</v>
      </c>
      <c r="D3953" s="9" t="s">
        <v>10380</v>
      </c>
      <c r="E3953" s="5" t="s">
        <v>10250</v>
      </c>
      <c r="F3953" s="5">
        <v>2020</v>
      </c>
      <c r="G3953" s="6" t="s">
        <v>16</v>
      </c>
      <c r="H3953" s="6">
        <v>200</v>
      </c>
      <c r="I3953" s="6">
        <v>200</v>
      </c>
      <c r="J3953" s="6"/>
      <c r="K3953" s="5"/>
      <c r="L3953" s="10">
        <v>20201118</v>
      </c>
      <c r="M3953" s="36" t="str">
        <f t="shared" si="61"/>
        <v>19721007</v>
      </c>
    </row>
    <row r="3954" s="1" customFormat="1" spans="1:13">
      <c r="A3954" s="2">
        <v>1103</v>
      </c>
      <c r="B3954" s="5" t="s">
        <v>2469</v>
      </c>
      <c r="C3954" s="9" t="s">
        <v>2793</v>
      </c>
      <c r="D3954" s="9" t="s">
        <v>2794</v>
      </c>
      <c r="E3954" s="5">
        <v>2020</v>
      </c>
      <c r="F3954" s="5">
        <v>2020</v>
      </c>
      <c r="G3954" s="9" t="s">
        <v>2480</v>
      </c>
      <c r="H3954" s="9">
        <v>200</v>
      </c>
      <c r="I3954" s="9">
        <v>200</v>
      </c>
      <c r="J3954" s="5"/>
      <c r="K3954" s="5"/>
      <c r="L3954" s="10">
        <v>20201118</v>
      </c>
      <c r="M3954" s="36" t="str">
        <f t="shared" si="61"/>
        <v>19721009</v>
      </c>
    </row>
    <row r="3955" s="1" customFormat="1" ht="14.25" spans="1:13">
      <c r="A3955" s="2">
        <v>2952</v>
      </c>
      <c r="B3955" s="6" t="s">
        <v>6075</v>
      </c>
      <c r="C3955" s="25" t="s">
        <v>6431</v>
      </c>
      <c r="D3955" s="26" t="s">
        <v>6432</v>
      </c>
      <c r="E3955" s="5" t="s">
        <v>15</v>
      </c>
      <c r="F3955" s="5">
        <v>2020</v>
      </c>
      <c r="G3955" s="6" t="s">
        <v>16</v>
      </c>
      <c r="H3955" s="6">
        <v>200</v>
      </c>
      <c r="I3955" s="6">
        <v>200</v>
      </c>
      <c r="J3955" s="6"/>
      <c r="K3955" s="10"/>
      <c r="L3955" s="10">
        <v>20201118</v>
      </c>
      <c r="M3955" s="36" t="str">
        <f t="shared" si="61"/>
        <v>19721009</v>
      </c>
    </row>
    <row r="3956" s="1" customFormat="1" spans="1:13">
      <c r="A3956" s="2">
        <v>2638</v>
      </c>
      <c r="B3956" s="32" t="s">
        <v>5602</v>
      </c>
      <c r="C3956" s="9" t="s">
        <v>5810</v>
      </c>
      <c r="D3956" s="9" t="s">
        <v>5811</v>
      </c>
      <c r="E3956" s="32">
        <v>2020</v>
      </c>
      <c r="F3956" s="32">
        <v>2020</v>
      </c>
      <c r="G3956" s="32" t="s">
        <v>16</v>
      </c>
      <c r="H3956" s="9">
        <v>200</v>
      </c>
      <c r="I3956" s="9">
        <v>200</v>
      </c>
      <c r="J3956" s="32"/>
      <c r="K3956" s="52"/>
      <c r="L3956" s="10">
        <v>20201118</v>
      </c>
      <c r="M3956" s="36" t="str">
        <f t="shared" si="61"/>
        <v>19721010</v>
      </c>
    </row>
    <row r="3957" s="1" customFormat="1" spans="1:13">
      <c r="A3957" s="2">
        <v>6638</v>
      </c>
      <c r="B3957" s="5" t="s">
        <v>13027</v>
      </c>
      <c r="C3957" s="15" t="s">
        <v>13258</v>
      </c>
      <c r="D3957" s="15" t="s">
        <v>13259</v>
      </c>
      <c r="E3957" s="5">
        <v>2020</v>
      </c>
      <c r="F3957" s="5">
        <v>2020</v>
      </c>
      <c r="G3957" s="14" t="s">
        <v>16</v>
      </c>
      <c r="H3957" s="15">
        <v>200</v>
      </c>
      <c r="I3957" s="15">
        <v>200</v>
      </c>
      <c r="J3957" s="5"/>
      <c r="K3957" s="10"/>
      <c r="L3957" s="10">
        <v>20201118</v>
      </c>
      <c r="M3957" s="36" t="str">
        <f t="shared" si="61"/>
        <v>19721010</v>
      </c>
    </row>
    <row r="3958" s="1" customFormat="1" spans="1:13">
      <c r="A3958" s="2">
        <v>7138</v>
      </c>
      <c r="B3958" s="5" t="s">
        <v>13908</v>
      </c>
      <c r="C3958" s="5" t="s">
        <v>13935</v>
      </c>
      <c r="D3958" s="5" t="s">
        <v>13936</v>
      </c>
      <c r="E3958" s="5" t="s">
        <v>15</v>
      </c>
      <c r="F3958" s="5" t="s">
        <v>15</v>
      </c>
      <c r="G3958" s="14" t="s">
        <v>16</v>
      </c>
      <c r="H3958" s="17">
        <v>200</v>
      </c>
      <c r="I3958" s="17">
        <v>200</v>
      </c>
      <c r="J3958" s="5"/>
      <c r="K3958" s="10"/>
      <c r="L3958" s="10">
        <v>20201118</v>
      </c>
      <c r="M3958" s="36" t="str">
        <f t="shared" si="61"/>
        <v>19721010</v>
      </c>
    </row>
    <row r="3959" s="1" customFormat="1" spans="1:13">
      <c r="A3959" s="2">
        <v>8089</v>
      </c>
      <c r="B3959" s="5" t="s">
        <v>15086</v>
      </c>
      <c r="C3959" s="6" t="s">
        <v>15372</v>
      </c>
      <c r="D3959" s="293" t="s">
        <v>15373</v>
      </c>
      <c r="E3959" s="5" t="s">
        <v>288</v>
      </c>
      <c r="F3959" s="5">
        <v>2020</v>
      </c>
      <c r="G3959" s="5" t="s">
        <v>289</v>
      </c>
      <c r="H3959" s="6">
        <v>200</v>
      </c>
      <c r="I3959" s="5">
        <v>800</v>
      </c>
      <c r="J3959" s="5"/>
      <c r="K3959" s="5"/>
      <c r="L3959" s="10">
        <v>20201118</v>
      </c>
      <c r="M3959" s="36" t="str">
        <f t="shared" si="61"/>
        <v>19721012</v>
      </c>
    </row>
    <row r="3960" s="1" customFormat="1" spans="1:13">
      <c r="A3960" s="2">
        <v>830</v>
      </c>
      <c r="B3960" s="29" t="s">
        <v>1040</v>
      </c>
      <c r="C3960" s="5" t="s">
        <v>2139</v>
      </c>
      <c r="D3960" s="317" t="s">
        <v>2140</v>
      </c>
      <c r="E3960" s="30">
        <v>2020</v>
      </c>
      <c r="F3960" s="30">
        <v>2020</v>
      </c>
      <c r="G3960" s="29" t="s">
        <v>16</v>
      </c>
      <c r="H3960" s="29">
        <v>200</v>
      </c>
      <c r="I3960" s="29">
        <v>200</v>
      </c>
      <c r="J3960" s="32"/>
      <c r="K3960" s="32"/>
      <c r="L3960" s="2" t="s">
        <v>330</v>
      </c>
      <c r="M3960" s="36" t="str">
        <f t="shared" si="61"/>
        <v>19721014</v>
      </c>
    </row>
    <row r="3961" s="1" customFormat="1" spans="1:13">
      <c r="A3961" s="2">
        <v>8110</v>
      </c>
      <c r="B3961" s="5" t="s">
        <v>15406</v>
      </c>
      <c r="C3961" s="6" t="s">
        <v>15414</v>
      </c>
      <c r="D3961" s="6" t="s">
        <v>15415</v>
      </c>
      <c r="E3961" s="5" t="s">
        <v>15</v>
      </c>
      <c r="F3961" s="5">
        <v>2020</v>
      </c>
      <c r="G3961" s="14" t="s">
        <v>16</v>
      </c>
      <c r="H3961" s="6" t="s">
        <v>311</v>
      </c>
      <c r="I3961" s="6">
        <v>200</v>
      </c>
      <c r="J3961" s="5"/>
      <c r="K3961" s="10"/>
      <c r="L3961" s="10">
        <v>20201118</v>
      </c>
      <c r="M3961" s="36" t="str">
        <f t="shared" si="61"/>
        <v>19721014</v>
      </c>
    </row>
    <row r="3962" s="1" customFormat="1" ht="14.25" spans="1:13">
      <c r="A3962" s="2">
        <v>3181</v>
      </c>
      <c r="B3962" s="3" t="s">
        <v>6671</v>
      </c>
      <c r="C3962" s="8" t="s">
        <v>6874</v>
      </c>
      <c r="D3962" s="8" t="s">
        <v>6875</v>
      </c>
      <c r="E3962" s="3" t="s">
        <v>15</v>
      </c>
      <c r="F3962" s="3" t="s">
        <v>15</v>
      </c>
      <c r="G3962" s="6" t="s">
        <v>3359</v>
      </c>
      <c r="H3962" s="9">
        <v>200</v>
      </c>
      <c r="I3962" s="9">
        <v>200</v>
      </c>
      <c r="J3962" s="6"/>
      <c r="K3962" s="5"/>
      <c r="L3962" s="10">
        <v>20201118</v>
      </c>
      <c r="M3962" s="36" t="str">
        <f t="shared" si="61"/>
        <v>19721015</v>
      </c>
    </row>
    <row r="3963" s="1" customFormat="1" spans="1:13">
      <c r="A3963" s="2">
        <v>6639</v>
      </c>
      <c r="B3963" s="5" t="s">
        <v>13027</v>
      </c>
      <c r="C3963" s="15" t="s">
        <v>13260</v>
      </c>
      <c r="D3963" s="15" t="s">
        <v>13261</v>
      </c>
      <c r="E3963" s="5">
        <v>2020</v>
      </c>
      <c r="F3963" s="5">
        <v>2020</v>
      </c>
      <c r="G3963" s="14" t="s">
        <v>16</v>
      </c>
      <c r="H3963" s="15">
        <v>200</v>
      </c>
      <c r="I3963" s="15">
        <v>200</v>
      </c>
      <c r="J3963" s="5"/>
      <c r="K3963" s="10"/>
      <c r="L3963" s="10">
        <v>20201118</v>
      </c>
      <c r="M3963" s="36" t="str">
        <f t="shared" si="61"/>
        <v>19721015</v>
      </c>
    </row>
    <row r="3964" s="1" customFormat="1" spans="1:13">
      <c r="A3964" s="2">
        <v>4588</v>
      </c>
      <c r="B3964" s="6" t="s">
        <v>9015</v>
      </c>
      <c r="C3964" s="6" t="s">
        <v>2985</v>
      </c>
      <c r="D3964" s="6" t="s">
        <v>9352</v>
      </c>
      <c r="E3964" s="6">
        <v>2020</v>
      </c>
      <c r="F3964" s="6">
        <v>2020</v>
      </c>
      <c r="G3964" s="6" t="s">
        <v>16</v>
      </c>
      <c r="H3964" s="6">
        <v>200</v>
      </c>
      <c r="I3964" s="6">
        <v>200</v>
      </c>
      <c r="J3964" s="6"/>
      <c r="K3964" s="6"/>
      <c r="L3964" s="10">
        <v>20201118</v>
      </c>
      <c r="M3964" s="36" t="str">
        <f t="shared" si="61"/>
        <v>19721016</v>
      </c>
    </row>
    <row r="3965" s="1" customFormat="1" spans="1:13">
      <c r="A3965" s="2">
        <v>7375</v>
      </c>
      <c r="B3965" s="5" t="s">
        <v>13908</v>
      </c>
      <c r="C3965" s="5" t="s">
        <v>14376</v>
      </c>
      <c r="D3965" s="5" t="s">
        <v>14377</v>
      </c>
      <c r="E3965" s="5" t="s">
        <v>15</v>
      </c>
      <c r="F3965" s="5" t="s">
        <v>15</v>
      </c>
      <c r="G3965" s="14" t="s">
        <v>16</v>
      </c>
      <c r="H3965" s="17">
        <v>200</v>
      </c>
      <c r="I3965" s="17">
        <v>200</v>
      </c>
      <c r="J3965" s="5"/>
      <c r="K3965" s="10"/>
      <c r="L3965" s="10">
        <v>20201118</v>
      </c>
      <c r="M3965" s="36" t="str">
        <f t="shared" si="61"/>
        <v>19721016</v>
      </c>
    </row>
    <row r="3966" s="1" customFormat="1" spans="1:13">
      <c r="A3966" s="2">
        <v>6640</v>
      </c>
      <c r="B3966" s="5" t="s">
        <v>13027</v>
      </c>
      <c r="C3966" s="15" t="s">
        <v>13262</v>
      </c>
      <c r="D3966" s="15" t="s">
        <v>13263</v>
      </c>
      <c r="E3966" s="5">
        <v>2020</v>
      </c>
      <c r="F3966" s="5">
        <v>2020</v>
      </c>
      <c r="G3966" s="14" t="s">
        <v>16</v>
      </c>
      <c r="H3966" s="15">
        <v>200</v>
      </c>
      <c r="I3966" s="15">
        <v>200</v>
      </c>
      <c r="J3966" s="5"/>
      <c r="K3966" s="10"/>
      <c r="L3966" s="10">
        <v>20201118</v>
      </c>
      <c r="M3966" s="36" t="str">
        <f t="shared" si="61"/>
        <v>19721017</v>
      </c>
    </row>
    <row r="3967" s="1" customFormat="1" spans="1:13">
      <c r="A3967" s="2">
        <v>1104</v>
      </c>
      <c r="B3967" s="5" t="s">
        <v>2469</v>
      </c>
      <c r="C3967" s="9" t="s">
        <v>2795</v>
      </c>
      <c r="D3967" s="9" t="s">
        <v>2796</v>
      </c>
      <c r="E3967" s="5">
        <v>2020</v>
      </c>
      <c r="F3967" s="5">
        <v>2020</v>
      </c>
      <c r="G3967" s="9" t="s">
        <v>2480</v>
      </c>
      <c r="H3967" s="9">
        <v>200</v>
      </c>
      <c r="I3967" s="9">
        <v>200</v>
      </c>
      <c r="J3967" s="5"/>
      <c r="K3967" s="5"/>
      <c r="L3967" s="10">
        <v>20201118</v>
      </c>
      <c r="M3967" s="36" t="str">
        <f t="shared" si="61"/>
        <v>19721018</v>
      </c>
    </row>
    <row r="3968" s="1" customFormat="1" spans="1:13">
      <c r="A3968" s="2">
        <v>7293</v>
      </c>
      <c r="B3968" s="5" t="s">
        <v>13908</v>
      </c>
      <c r="C3968" s="5" t="s">
        <v>14224</v>
      </c>
      <c r="D3968" s="5" t="s">
        <v>14225</v>
      </c>
      <c r="E3968" s="5" t="s">
        <v>15</v>
      </c>
      <c r="F3968" s="5" t="s">
        <v>15</v>
      </c>
      <c r="G3968" s="14" t="s">
        <v>16</v>
      </c>
      <c r="H3968" s="17">
        <v>200</v>
      </c>
      <c r="I3968" s="17">
        <v>200</v>
      </c>
      <c r="J3968" s="5"/>
      <c r="K3968" s="10"/>
      <c r="L3968" s="10">
        <v>20201118</v>
      </c>
      <c r="M3968" s="36" t="str">
        <f t="shared" si="61"/>
        <v>19721018</v>
      </c>
    </row>
    <row r="3969" s="1" customFormat="1" spans="1:13">
      <c r="A3969" s="2">
        <v>7970</v>
      </c>
      <c r="B3969" s="5" t="s">
        <v>15086</v>
      </c>
      <c r="C3969" s="6" t="s">
        <v>15242</v>
      </c>
      <c r="D3969" s="6" t="str">
        <f>"152326197210186883"</f>
        <v>152326197210186883</v>
      </c>
      <c r="E3969" s="5" t="s">
        <v>15</v>
      </c>
      <c r="F3969" s="5">
        <v>2020</v>
      </c>
      <c r="G3969" s="5" t="s">
        <v>16</v>
      </c>
      <c r="H3969" s="5">
        <v>200</v>
      </c>
      <c r="I3969" s="5">
        <v>200</v>
      </c>
      <c r="J3969" s="5"/>
      <c r="K3969" s="5"/>
      <c r="L3969" s="10">
        <v>20201118</v>
      </c>
      <c r="M3969" s="36" t="str">
        <f t="shared" si="61"/>
        <v>19721018</v>
      </c>
    </row>
    <row r="3970" s="1" customFormat="1" spans="1:13">
      <c r="A3970" s="2">
        <v>2272</v>
      </c>
      <c r="B3970" s="9" t="s">
        <v>4837</v>
      </c>
      <c r="C3970" s="9" t="s">
        <v>5088</v>
      </c>
      <c r="D3970" s="9" t="s">
        <v>5089</v>
      </c>
      <c r="E3970" s="6" t="s">
        <v>15</v>
      </c>
      <c r="F3970" s="6">
        <v>2020</v>
      </c>
      <c r="G3970" s="9" t="s">
        <v>2480</v>
      </c>
      <c r="H3970" s="9">
        <v>200</v>
      </c>
      <c r="I3970" s="9">
        <v>200</v>
      </c>
      <c r="J3970" s="6"/>
      <c r="K3970" s="10"/>
      <c r="L3970" s="10">
        <v>20201118</v>
      </c>
      <c r="M3970" s="36" t="str">
        <f t="shared" ref="M3970:M4033" si="62">MID(D3970,7,8)</f>
        <v>19721019</v>
      </c>
    </row>
    <row r="3971" s="1" customFormat="1" spans="1:13">
      <c r="A3971" s="2">
        <v>2454</v>
      </c>
      <c r="B3971" s="5" t="s">
        <v>5328</v>
      </c>
      <c r="C3971" s="16" t="s">
        <v>5447</v>
      </c>
      <c r="D3971" s="16" t="s">
        <v>5448</v>
      </c>
      <c r="E3971" s="5" t="s">
        <v>15</v>
      </c>
      <c r="F3971" s="5" t="s">
        <v>15</v>
      </c>
      <c r="G3971" s="14" t="s">
        <v>16</v>
      </c>
      <c r="H3971" s="6">
        <v>200</v>
      </c>
      <c r="I3971" s="6">
        <v>200</v>
      </c>
      <c r="J3971" s="5"/>
      <c r="K3971" s="5"/>
      <c r="L3971" s="10">
        <v>20201118</v>
      </c>
      <c r="M3971" s="36" t="str">
        <f t="shared" si="62"/>
        <v>19721022</v>
      </c>
    </row>
    <row r="3972" s="1" customFormat="1" spans="1:13">
      <c r="A3972" s="2">
        <v>446</v>
      </c>
      <c r="B3972" s="29" t="s">
        <v>1040</v>
      </c>
      <c r="C3972" s="29" t="s">
        <v>1168</v>
      </c>
      <c r="D3972" s="29" t="s">
        <v>1169</v>
      </c>
      <c r="E3972" s="30">
        <v>2020</v>
      </c>
      <c r="F3972" s="30">
        <v>2020</v>
      </c>
      <c r="G3972" s="29" t="s">
        <v>16</v>
      </c>
      <c r="H3972" s="29">
        <v>200</v>
      </c>
      <c r="I3972" s="29">
        <v>200</v>
      </c>
      <c r="J3972" s="29"/>
      <c r="K3972" s="47"/>
      <c r="L3972" s="2" t="s">
        <v>330</v>
      </c>
      <c r="M3972" s="36" t="str">
        <f t="shared" si="62"/>
        <v>19721023</v>
      </c>
    </row>
    <row r="3973" s="1" customFormat="1" spans="1:13">
      <c r="A3973" s="2">
        <v>604</v>
      </c>
      <c r="B3973" s="29" t="s">
        <v>1040</v>
      </c>
      <c r="C3973" s="29" t="s">
        <v>1484</v>
      </c>
      <c r="D3973" s="29" t="s">
        <v>1485</v>
      </c>
      <c r="E3973" s="30">
        <v>2020</v>
      </c>
      <c r="F3973" s="30">
        <v>2020</v>
      </c>
      <c r="G3973" s="29" t="s">
        <v>16</v>
      </c>
      <c r="H3973" s="29">
        <v>200</v>
      </c>
      <c r="I3973" s="29">
        <v>200</v>
      </c>
      <c r="J3973" s="29"/>
      <c r="K3973" s="47"/>
      <c r="L3973" s="2" t="s">
        <v>330</v>
      </c>
      <c r="M3973" s="36" t="str">
        <f t="shared" si="62"/>
        <v>19721025</v>
      </c>
    </row>
    <row r="3974" s="1" customFormat="1" spans="1:13">
      <c r="A3974" s="2">
        <v>5068</v>
      </c>
      <c r="B3974" s="6" t="s">
        <v>10242</v>
      </c>
      <c r="C3974" s="9" t="s">
        <v>10272</v>
      </c>
      <c r="D3974" s="9" t="s">
        <v>10273</v>
      </c>
      <c r="E3974" s="5" t="s">
        <v>10250</v>
      </c>
      <c r="F3974" s="5">
        <v>2020</v>
      </c>
      <c r="G3974" s="6" t="s">
        <v>16</v>
      </c>
      <c r="H3974" s="6">
        <v>200</v>
      </c>
      <c r="I3974" s="6">
        <v>200</v>
      </c>
      <c r="J3974" s="6" t="s">
        <v>108</v>
      </c>
      <c r="K3974" s="5"/>
      <c r="L3974" s="10">
        <v>20201118</v>
      </c>
      <c r="M3974" s="36" t="str">
        <f t="shared" si="62"/>
        <v>19721025</v>
      </c>
    </row>
    <row r="3975" s="1" customFormat="1" spans="1:13">
      <c r="A3975" s="2">
        <v>3387</v>
      </c>
      <c r="B3975" s="5" t="s">
        <v>3375</v>
      </c>
      <c r="C3975" s="6" t="s">
        <v>7164</v>
      </c>
      <c r="D3975" s="6" t="str">
        <f>"152326197210266875"</f>
        <v>152326197210266875</v>
      </c>
      <c r="E3975" s="5" t="s">
        <v>15</v>
      </c>
      <c r="F3975" s="5">
        <v>2020</v>
      </c>
      <c r="G3975" s="14" t="s">
        <v>16</v>
      </c>
      <c r="H3975" s="17">
        <v>200</v>
      </c>
      <c r="I3975" s="17">
        <v>200</v>
      </c>
      <c r="J3975" s="6"/>
      <c r="K3975" s="10"/>
      <c r="L3975" s="10">
        <v>20201118</v>
      </c>
      <c r="M3975" s="36" t="str">
        <f t="shared" si="62"/>
        <v>19721026</v>
      </c>
    </row>
    <row r="3976" s="1" customFormat="1" spans="1:13">
      <c r="A3976" s="2">
        <v>2397</v>
      </c>
      <c r="B3976" s="5" t="s">
        <v>5328</v>
      </c>
      <c r="C3976" s="16" t="s">
        <v>5336</v>
      </c>
      <c r="D3976" s="16" t="s">
        <v>5337</v>
      </c>
      <c r="E3976" s="5" t="s">
        <v>15</v>
      </c>
      <c r="F3976" s="5" t="s">
        <v>15</v>
      </c>
      <c r="G3976" s="14" t="s">
        <v>16</v>
      </c>
      <c r="H3976" s="6">
        <v>200</v>
      </c>
      <c r="I3976" s="6">
        <v>200</v>
      </c>
      <c r="J3976" s="17" t="s">
        <v>5331</v>
      </c>
      <c r="K3976" s="5"/>
      <c r="L3976" s="10">
        <v>20201118</v>
      </c>
      <c r="M3976" s="36" t="str">
        <f t="shared" si="62"/>
        <v>19721029</v>
      </c>
    </row>
    <row r="3977" s="1" customFormat="1" spans="1:13">
      <c r="A3977" s="2">
        <v>3872</v>
      </c>
      <c r="B3977" s="5" t="s">
        <v>7412</v>
      </c>
      <c r="C3977" s="5" t="s">
        <v>7980</v>
      </c>
      <c r="D3977" s="5" t="s">
        <v>7981</v>
      </c>
      <c r="E3977" s="6">
        <v>2020</v>
      </c>
      <c r="F3977" s="6">
        <v>2020</v>
      </c>
      <c r="G3977" s="5" t="s">
        <v>3359</v>
      </c>
      <c r="H3977" s="5">
        <v>200</v>
      </c>
      <c r="I3977" s="5">
        <v>200</v>
      </c>
      <c r="J3977" s="5"/>
      <c r="K3977" s="5"/>
      <c r="L3977" s="10">
        <v>20201118</v>
      </c>
      <c r="M3977" s="36" t="str">
        <f t="shared" si="62"/>
        <v>19721101</v>
      </c>
    </row>
    <row r="3978" s="1" customFormat="1" spans="1:13">
      <c r="A3978" s="2">
        <v>1640</v>
      </c>
      <c r="B3978" s="5" t="s">
        <v>3381</v>
      </c>
      <c r="C3978" s="9" t="s">
        <v>3842</v>
      </c>
      <c r="D3978" s="9" t="s">
        <v>3843</v>
      </c>
      <c r="E3978" s="5">
        <v>2020</v>
      </c>
      <c r="F3978" s="5">
        <v>2020</v>
      </c>
      <c r="G3978" s="14" t="s">
        <v>16</v>
      </c>
      <c r="H3978" s="6">
        <v>200</v>
      </c>
      <c r="I3978" s="6">
        <v>200</v>
      </c>
      <c r="J3978" s="5"/>
      <c r="K3978" s="13"/>
      <c r="L3978" s="10">
        <v>20201118</v>
      </c>
      <c r="M3978" s="36" t="str">
        <f t="shared" si="62"/>
        <v>19721102</v>
      </c>
    </row>
    <row r="3979" s="1" customFormat="1" spans="1:13">
      <c r="A3979" s="2">
        <v>5673</v>
      </c>
      <c r="B3979" s="30" t="s">
        <v>11090</v>
      </c>
      <c r="C3979" s="30" t="s">
        <v>11431</v>
      </c>
      <c r="D3979" s="30" t="s">
        <v>11432</v>
      </c>
      <c r="E3979" s="5" t="s">
        <v>15</v>
      </c>
      <c r="F3979" s="5" t="s">
        <v>10250</v>
      </c>
      <c r="G3979" s="6" t="s">
        <v>16</v>
      </c>
      <c r="H3979" s="32">
        <v>500</v>
      </c>
      <c r="I3979" s="32">
        <v>500</v>
      </c>
      <c r="J3979" s="6"/>
      <c r="K3979" s="48"/>
      <c r="L3979" s="10">
        <v>20201118</v>
      </c>
      <c r="M3979" s="36" t="str">
        <f t="shared" si="62"/>
        <v>19721104</v>
      </c>
    </row>
    <row r="3980" s="1" customFormat="1" spans="1:13">
      <c r="A3980" s="2">
        <v>873</v>
      </c>
      <c r="B3980" s="29" t="s">
        <v>1040</v>
      </c>
      <c r="C3980" s="6" t="s">
        <v>2266</v>
      </c>
      <c r="D3980" s="6" t="s">
        <v>2267</v>
      </c>
      <c r="E3980" s="30">
        <v>2020</v>
      </c>
      <c r="F3980" s="30">
        <v>2020</v>
      </c>
      <c r="G3980" s="29" t="s">
        <v>16</v>
      </c>
      <c r="H3980" s="29">
        <v>200</v>
      </c>
      <c r="I3980" s="29">
        <v>200</v>
      </c>
      <c r="J3980" s="32"/>
      <c r="K3980" s="32"/>
      <c r="L3980" s="14" t="s">
        <v>330</v>
      </c>
      <c r="M3980" s="36" t="str">
        <f t="shared" si="62"/>
        <v>19721105</v>
      </c>
    </row>
    <row r="3981" s="1" customFormat="1" spans="1:13">
      <c r="A3981" s="2">
        <v>6292</v>
      </c>
      <c r="B3981" s="5" t="s">
        <v>12263</v>
      </c>
      <c r="C3981" s="5" t="s">
        <v>11840</v>
      </c>
      <c r="D3981" s="5" t="s">
        <v>12604</v>
      </c>
      <c r="E3981" s="5" t="s">
        <v>10250</v>
      </c>
      <c r="F3981" s="5">
        <v>2020</v>
      </c>
      <c r="G3981" s="17" t="s">
        <v>3359</v>
      </c>
      <c r="H3981" s="5">
        <v>3000</v>
      </c>
      <c r="I3981" s="5">
        <v>3000</v>
      </c>
      <c r="J3981" s="5"/>
      <c r="K3981" s="5"/>
      <c r="L3981" s="10">
        <v>20201118</v>
      </c>
      <c r="M3981" s="36" t="str">
        <f t="shared" si="62"/>
        <v>19721105</v>
      </c>
    </row>
    <row r="3982" s="1" customFormat="1" spans="1:13">
      <c r="A3982" s="2">
        <v>6641</v>
      </c>
      <c r="B3982" s="5" t="s">
        <v>13027</v>
      </c>
      <c r="C3982" s="15" t="s">
        <v>13264</v>
      </c>
      <c r="D3982" s="15" t="s">
        <v>13265</v>
      </c>
      <c r="E3982" s="5">
        <v>2020</v>
      </c>
      <c r="F3982" s="5">
        <v>2020</v>
      </c>
      <c r="G3982" s="14" t="s">
        <v>16</v>
      </c>
      <c r="H3982" s="15">
        <v>200</v>
      </c>
      <c r="I3982" s="15">
        <v>200</v>
      </c>
      <c r="J3982" s="5"/>
      <c r="K3982" s="10"/>
      <c r="L3982" s="10">
        <v>20201118</v>
      </c>
      <c r="M3982" s="36" t="str">
        <f t="shared" si="62"/>
        <v>19721106</v>
      </c>
    </row>
    <row r="3983" s="1" customFormat="1" spans="1:13">
      <c r="A3983" s="2">
        <v>7190</v>
      </c>
      <c r="B3983" s="5" t="s">
        <v>13908</v>
      </c>
      <c r="C3983" s="5" t="s">
        <v>10815</v>
      </c>
      <c r="D3983" s="5" t="s">
        <v>14032</v>
      </c>
      <c r="E3983" s="5" t="s">
        <v>15</v>
      </c>
      <c r="F3983" s="5" t="s">
        <v>15</v>
      </c>
      <c r="G3983" s="14" t="s">
        <v>16</v>
      </c>
      <c r="H3983" s="17">
        <v>200</v>
      </c>
      <c r="I3983" s="17">
        <v>200</v>
      </c>
      <c r="J3983" s="5"/>
      <c r="K3983" s="10"/>
      <c r="L3983" s="10">
        <v>20201118</v>
      </c>
      <c r="M3983" s="36" t="str">
        <f t="shared" si="62"/>
        <v>19721106</v>
      </c>
    </row>
    <row r="3984" s="1" customFormat="1" spans="1:13">
      <c r="A3984" s="2">
        <v>3392</v>
      </c>
      <c r="B3984" s="5" t="s">
        <v>3375</v>
      </c>
      <c r="C3984" s="6" t="s">
        <v>7169</v>
      </c>
      <c r="D3984" s="6" t="str">
        <f>"152326197211086876"</f>
        <v>152326197211086876</v>
      </c>
      <c r="E3984" s="5" t="s">
        <v>15</v>
      </c>
      <c r="F3984" s="5">
        <v>2020</v>
      </c>
      <c r="G3984" s="14" t="s">
        <v>16</v>
      </c>
      <c r="H3984" s="17">
        <v>200</v>
      </c>
      <c r="I3984" s="17">
        <v>200</v>
      </c>
      <c r="J3984" s="6"/>
      <c r="K3984" s="10"/>
      <c r="L3984" s="10">
        <v>20201118</v>
      </c>
      <c r="M3984" s="36" t="str">
        <f t="shared" si="62"/>
        <v>19721108</v>
      </c>
    </row>
    <row r="3985" s="1" customFormat="1" spans="1:13">
      <c r="A3985" s="2">
        <v>6139</v>
      </c>
      <c r="B3985" s="5" t="s">
        <v>12263</v>
      </c>
      <c r="C3985" s="5" t="s">
        <v>12313</v>
      </c>
      <c r="D3985" s="5" t="s">
        <v>12314</v>
      </c>
      <c r="E3985" s="5" t="s">
        <v>10250</v>
      </c>
      <c r="F3985" s="5">
        <v>2020</v>
      </c>
      <c r="G3985" s="17" t="s">
        <v>3359</v>
      </c>
      <c r="H3985" s="5">
        <v>500</v>
      </c>
      <c r="I3985" s="5">
        <v>500</v>
      </c>
      <c r="J3985" s="5"/>
      <c r="K3985" s="5"/>
      <c r="L3985" s="10">
        <v>20201118</v>
      </c>
      <c r="M3985" s="36" t="str">
        <f t="shared" si="62"/>
        <v>19721108</v>
      </c>
    </row>
    <row r="3986" s="1" customFormat="1" spans="1:13">
      <c r="A3986" s="2">
        <v>1899</v>
      </c>
      <c r="B3986" s="5" t="s">
        <v>4189</v>
      </c>
      <c r="C3986" s="16" t="s">
        <v>4359</v>
      </c>
      <c r="D3986" s="16" t="s">
        <v>4360</v>
      </c>
      <c r="E3986" s="5" t="s">
        <v>15</v>
      </c>
      <c r="F3986" s="5" t="s">
        <v>15</v>
      </c>
      <c r="G3986" s="5" t="s">
        <v>3359</v>
      </c>
      <c r="H3986" s="16">
        <v>200</v>
      </c>
      <c r="I3986" s="16">
        <v>200</v>
      </c>
      <c r="J3986" s="5"/>
      <c r="K3986" s="10"/>
      <c r="L3986" s="10">
        <v>20201118</v>
      </c>
      <c r="M3986" s="36" t="str">
        <f t="shared" si="62"/>
        <v>19721109</v>
      </c>
    </row>
    <row r="3987" s="1" customFormat="1" spans="1:13">
      <c r="A3987" s="2">
        <v>5566</v>
      </c>
      <c r="B3987" s="30" t="s">
        <v>11090</v>
      </c>
      <c r="C3987" s="30" t="s">
        <v>11227</v>
      </c>
      <c r="D3987" s="30" t="s">
        <v>11228</v>
      </c>
      <c r="E3987" s="5" t="s">
        <v>15</v>
      </c>
      <c r="F3987" s="5" t="s">
        <v>10250</v>
      </c>
      <c r="G3987" s="6" t="s">
        <v>16</v>
      </c>
      <c r="H3987" s="32">
        <v>200</v>
      </c>
      <c r="I3987" s="32">
        <v>200</v>
      </c>
      <c r="J3987" s="6"/>
      <c r="K3987" s="48"/>
      <c r="L3987" s="10">
        <v>20201118</v>
      </c>
      <c r="M3987" s="36" t="str">
        <f t="shared" si="62"/>
        <v>19721109</v>
      </c>
    </row>
    <row r="3988" s="1" customFormat="1" spans="1:13">
      <c r="A3988" s="2">
        <v>5587</v>
      </c>
      <c r="B3988" s="30" t="s">
        <v>11090</v>
      </c>
      <c r="C3988" s="30" t="s">
        <v>11267</v>
      </c>
      <c r="D3988" s="30" t="s">
        <v>11268</v>
      </c>
      <c r="E3988" s="5" t="s">
        <v>15</v>
      </c>
      <c r="F3988" s="5" t="s">
        <v>10250</v>
      </c>
      <c r="G3988" s="6" t="s">
        <v>16</v>
      </c>
      <c r="H3988" s="32">
        <v>200</v>
      </c>
      <c r="I3988" s="32">
        <v>200</v>
      </c>
      <c r="J3988" s="6"/>
      <c r="K3988" s="48"/>
      <c r="L3988" s="10">
        <v>20201118</v>
      </c>
      <c r="M3988" s="36" t="str">
        <f t="shared" si="62"/>
        <v>19721109</v>
      </c>
    </row>
    <row r="3989" s="1" customFormat="1" spans="1:13">
      <c r="A3989" s="2">
        <v>491</v>
      </c>
      <c r="B3989" s="29" t="s">
        <v>1040</v>
      </c>
      <c r="C3989" s="29" t="s">
        <v>1259</v>
      </c>
      <c r="D3989" s="29" t="s">
        <v>1260</v>
      </c>
      <c r="E3989" s="30">
        <v>2020</v>
      </c>
      <c r="F3989" s="30">
        <v>2020</v>
      </c>
      <c r="G3989" s="29" t="s">
        <v>16</v>
      </c>
      <c r="H3989" s="29">
        <v>200</v>
      </c>
      <c r="I3989" s="29">
        <v>200</v>
      </c>
      <c r="J3989" s="29"/>
      <c r="K3989" s="47"/>
      <c r="L3989" s="14" t="s">
        <v>330</v>
      </c>
      <c r="M3989" s="36" t="str">
        <f t="shared" si="62"/>
        <v>19721110</v>
      </c>
    </row>
    <row r="3990" s="1" customFormat="1" spans="1:13">
      <c r="A3990" s="2">
        <v>545</v>
      </c>
      <c r="B3990" s="29" t="s">
        <v>1040</v>
      </c>
      <c r="C3990" s="29" t="s">
        <v>1367</v>
      </c>
      <c r="D3990" s="29" t="s">
        <v>1368</v>
      </c>
      <c r="E3990" s="30">
        <v>2020</v>
      </c>
      <c r="F3990" s="30">
        <v>2020</v>
      </c>
      <c r="G3990" s="29" t="s">
        <v>16</v>
      </c>
      <c r="H3990" s="29">
        <v>200</v>
      </c>
      <c r="I3990" s="29">
        <v>200</v>
      </c>
      <c r="J3990" s="29"/>
      <c r="K3990" s="47"/>
      <c r="L3990" s="14" t="s">
        <v>330</v>
      </c>
      <c r="M3990" s="36" t="str">
        <f t="shared" si="62"/>
        <v>19721111</v>
      </c>
    </row>
    <row r="3991" s="1" customFormat="1" spans="1:13">
      <c r="A3991" s="2">
        <v>639</v>
      </c>
      <c r="B3991" s="29" t="s">
        <v>1040</v>
      </c>
      <c r="C3991" s="47" t="s">
        <v>1570</v>
      </c>
      <c r="D3991" s="47" t="s">
        <v>1571</v>
      </c>
      <c r="E3991" s="30">
        <v>2020</v>
      </c>
      <c r="F3991" s="30">
        <v>2020</v>
      </c>
      <c r="G3991" s="29" t="s">
        <v>16</v>
      </c>
      <c r="H3991" s="29">
        <v>200</v>
      </c>
      <c r="I3991" s="29">
        <v>200</v>
      </c>
      <c r="J3991" s="29"/>
      <c r="K3991" s="47"/>
      <c r="L3991" s="2" t="s">
        <v>330</v>
      </c>
      <c r="M3991" s="36" t="str">
        <f t="shared" si="62"/>
        <v>19721111</v>
      </c>
    </row>
    <row r="3992" s="1" customFormat="1" spans="1:13">
      <c r="A3992" s="2">
        <v>4289</v>
      </c>
      <c r="B3992" s="9" t="s">
        <v>8515</v>
      </c>
      <c r="C3992" s="9" t="s">
        <v>8771</v>
      </c>
      <c r="D3992" s="9" t="s">
        <v>8772</v>
      </c>
      <c r="E3992" s="5" t="s">
        <v>15</v>
      </c>
      <c r="F3992" s="5">
        <v>2020</v>
      </c>
      <c r="G3992" s="9" t="s">
        <v>2480</v>
      </c>
      <c r="H3992" s="9">
        <v>200</v>
      </c>
      <c r="I3992" s="9">
        <v>200</v>
      </c>
      <c r="J3992" s="9"/>
      <c r="K3992" s="9"/>
      <c r="L3992" s="10">
        <v>20201118</v>
      </c>
      <c r="M3992" s="36" t="str">
        <f t="shared" si="62"/>
        <v>19721111</v>
      </c>
    </row>
    <row r="3993" s="1" customFormat="1" spans="1:13">
      <c r="A3993" s="2">
        <v>1641</v>
      </c>
      <c r="B3993" s="5" t="s">
        <v>3381</v>
      </c>
      <c r="C3993" s="9" t="s">
        <v>3844</v>
      </c>
      <c r="D3993" s="9" t="s">
        <v>3845</v>
      </c>
      <c r="E3993" s="5">
        <v>2020</v>
      </c>
      <c r="F3993" s="5">
        <v>2020</v>
      </c>
      <c r="G3993" s="14" t="s">
        <v>16</v>
      </c>
      <c r="H3993" s="6">
        <v>200</v>
      </c>
      <c r="I3993" s="6">
        <v>200</v>
      </c>
      <c r="J3993" s="5"/>
      <c r="K3993" s="13"/>
      <c r="L3993" s="10">
        <v>20201118</v>
      </c>
      <c r="M3993" s="36" t="str">
        <f t="shared" si="62"/>
        <v>19721112</v>
      </c>
    </row>
    <row r="3994" s="1" customFormat="1" spans="1:13">
      <c r="A3994" s="2">
        <v>5551</v>
      </c>
      <c r="B3994" s="30" t="s">
        <v>11090</v>
      </c>
      <c r="C3994" s="30" t="s">
        <v>11198</v>
      </c>
      <c r="D3994" s="30" t="s">
        <v>11199</v>
      </c>
      <c r="E3994" s="5" t="s">
        <v>15</v>
      </c>
      <c r="F3994" s="5" t="s">
        <v>10250</v>
      </c>
      <c r="G3994" s="6" t="s">
        <v>16</v>
      </c>
      <c r="H3994" s="32">
        <v>200</v>
      </c>
      <c r="I3994" s="32">
        <v>200</v>
      </c>
      <c r="J3994" s="6"/>
      <c r="K3994" s="48"/>
      <c r="L3994" s="10">
        <v>20201118</v>
      </c>
      <c r="M3994" s="36" t="str">
        <f t="shared" si="62"/>
        <v>19721112</v>
      </c>
    </row>
    <row r="3995" s="1" customFormat="1" spans="1:13">
      <c r="A3995" s="2">
        <v>4290</v>
      </c>
      <c r="B3995" s="9" t="s">
        <v>8515</v>
      </c>
      <c r="C3995" s="9" t="s">
        <v>8773</v>
      </c>
      <c r="D3995" s="9" t="s">
        <v>8774</v>
      </c>
      <c r="E3995" s="5" t="s">
        <v>15</v>
      </c>
      <c r="F3995" s="5">
        <v>2020</v>
      </c>
      <c r="G3995" s="9" t="s">
        <v>2480</v>
      </c>
      <c r="H3995" s="9">
        <v>200</v>
      </c>
      <c r="I3995" s="9">
        <v>200</v>
      </c>
      <c r="J3995" s="9"/>
      <c r="K3995" s="9"/>
      <c r="L3995" s="10">
        <v>20201118</v>
      </c>
      <c r="M3995" s="36" t="str">
        <f t="shared" si="62"/>
        <v>19721113</v>
      </c>
    </row>
    <row r="3996" s="1" customFormat="1" spans="1:13">
      <c r="A3996" s="2">
        <v>540</v>
      </c>
      <c r="B3996" s="29" t="s">
        <v>1040</v>
      </c>
      <c r="C3996" s="29" t="s">
        <v>1357</v>
      </c>
      <c r="D3996" s="29" t="s">
        <v>1358</v>
      </c>
      <c r="E3996" s="30">
        <v>2020</v>
      </c>
      <c r="F3996" s="30">
        <v>2020</v>
      </c>
      <c r="G3996" s="29" t="s">
        <v>16</v>
      </c>
      <c r="H3996" s="29">
        <v>200</v>
      </c>
      <c r="I3996" s="29">
        <v>200</v>
      </c>
      <c r="J3996" s="29"/>
      <c r="K3996" s="47"/>
      <c r="L3996" s="2" t="s">
        <v>330</v>
      </c>
      <c r="M3996" s="36" t="str">
        <f t="shared" si="62"/>
        <v>19721114</v>
      </c>
    </row>
    <row r="3997" s="1" customFormat="1" spans="1:13">
      <c r="A3997" s="2">
        <v>772</v>
      </c>
      <c r="B3997" s="29" t="s">
        <v>1040</v>
      </c>
      <c r="C3997" s="5" t="s">
        <v>1966</v>
      </c>
      <c r="D3997" s="317" t="s">
        <v>1967</v>
      </c>
      <c r="E3997" s="30">
        <v>2020</v>
      </c>
      <c r="F3997" s="30">
        <v>2020</v>
      </c>
      <c r="G3997" s="29" t="s">
        <v>16</v>
      </c>
      <c r="H3997" s="29">
        <v>200</v>
      </c>
      <c r="I3997" s="29">
        <v>200</v>
      </c>
      <c r="J3997" s="32"/>
      <c r="K3997" s="32"/>
      <c r="L3997" s="2" t="s">
        <v>330</v>
      </c>
      <c r="M3997" s="36" t="str">
        <f t="shared" si="62"/>
        <v>19721114</v>
      </c>
    </row>
    <row r="3998" s="1" customFormat="1" spans="1:13">
      <c r="A3998" s="2">
        <v>1952</v>
      </c>
      <c r="B3998" s="5" t="s">
        <v>4189</v>
      </c>
      <c r="C3998" s="16" t="s">
        <v>4463</v>
      </c>
      <c r="D3998" s="16" t="s">
        <v>4464</v>
      </c>
      <c r="E3998" s="5" t="s">
        <v>15</v>
      </c>
      <c r="F3998" s="5" t="s">
        <v>15</v>
      </c>
      <c r="G3998" s="5" t="s">
        <v>3359</v>
      </c>
      <c r="H3998" s="16">
        <v>200</v>
      </c>
      <c r="I3998" s="16">
        <v>200</v>
      </c>
      <c r="J3998" s="5"/>
      <c r="K3998" s="10"/>
      <c r="L3998" s="10">
        <v>20201118</v>
      </c>
      <c r="M3998" s="36" t="str">
        <f t="shared" si="62"/>
        <v>19721114</v>
      </c>
    </row>
    <row r="3999" s="1" customFormat="1" spans="1:13">
      <c r="A3999" s="2">
        <v>4729</v>
      </c>
      <c r="B3999" s="6" t="s">
        <v>9015</v>
      </c>
      <c r="C3999" s="6" t="s">
        <v>9615</v>
      </c>
      <c r="D3999" s="6" t="s">
        <v>9616</v>
      </c>
      <c r="E3999" s="6">
        <v>2020</v>
      </c>
      <c r="F3999" s="6">
        <v>2020</v>
      </c>
      <c r="G3999" s="6" t="s">
        <v>16</v>
      </c>
      <c r="H3999" s="6">
        <v>200</v>
      </c>
      <c r="I3999" s="6">
        <v>200</v>
      </c>
      <c r="J3999" s="6"/>
      <c r="K3999" s="6"/>
      <c r="L3999" s="10">
        <v>20201118</v>
      </c>
      <c r="M3999" s="36" t="str">
        <f t="shared" si="62"/>
        <v>19721114</v>
      </c>
    </row>
    <row r="4000" s="1" customFormat="1" spans="1:13">
      <c r="A4000" s="2">
        <v>5126</v>
      </c>
      <c r="B4000" s="6" t="s">
        <v>10242</v>
      </c>
      <c r="C4000" s="9" t="s">
        <v>10381</v>
      </c>
      <c r="D4000" s="9" t="s">
        <v>10382</v>
      </c>
      <c r="E4000" s="5" t="s">
        <v>10250</v>
      </c>
      <c r="F4000" s="5">
        <v>2020</v>
      </c>
      <c r="G4000" s="6" t="s">
        <v>16</v>
      </c>
      <c r="H4000" s="6">
        <v>200</v>
      </c>
      <c r="I4000" s="6">
        <v>200</v>
      </c>
      <c r="J4000" s="6"/>
      <c r="K4000" s="5"/>
      <c r="L4000" s="10">
        <v>20201118</v>
      </c>
      <c r="M4000" s="36" t="str">
        <f t="shared" si="62"/>
        <v>19721115</v>
      </c>
    </row>
    <row r="4001" s="1" customFormat="1" spans="1:13">
      <c r="A4001" s="2">
        <v>492</v>
      </c>
      <c r="B4001" s="29" t="s">
        <v>1040</v>
      </c>
      <c r="C4001" s="29" t="s">
        <v>1261</v>
      </c>
      <c r="D4001" s="29" t="s">
        <v>1262</v>
      </c>
      <c r="E4001" s="30">
        <v>2020</v>
      </c>
      <c r="F4001" s="30">
        <v>2020</v>
      </c>
      <c r="G4001" s="29" t="s">
        <v>16</v>
      </c>
      <c r="H4001" s="29">
        <v>200</v>
      </c>
      <c r="I4001" s="29">
        <v>200</v>
      </c>
      <c r="J4001" s="29"/>
      <c r="K4001" s="47"/>
      <c r="L4001" s="2" t="s">
        <v>330</v>
      </c>
      <c r="M4001" s="36" t="str">
        <f t="shared" si="62"/>
        <v>19721116</v>
      </c>
    </row>
    <row r="4002" s="1" customFormat="1" spans="1:13">
      <c r="A4002" s="2">
        <v>1642</v>
      </c>
      <c r="B4002" s="5" t="s">
        <v>3381</v>
      </c>
      <c r="C4002" s="9" t="s">
        <v>3846</v>
      </c>
      <c r="D4002" s="9" t="s">
        <v>3847</v>
      </c>
      <c r="E4002" s="5">
        <v>2020</v>
      </c>
      <c r="F4002" s="5">
        <v>2020</v>
      </c>
      <c r="G4002" s="14" t="s">
        <v>16</v>
      </c>
      <c r="H4002" s="6">
        <v>200</v>
      </c>
      <c r="I4002" s="6">
        <v>200</v>
      </c>
      <c r="J4002" s="5"/>
      <c r="K4002" s="13"/>
      <c r="L4002" s="10">
        <v>20201118</v>
      </c>
      <c r="M4002" s="36" t="str">
        <f t="shared" si="62"/>
        <v>19721116</v>
      </c>
    </row>
    <row r="4003" s="1" customFormat="1" spans="1:13">
      <c r="A4003" s="2">
        <v>2639</v>
      </c>
      <c r="B4003" s="32" t="s">
        <v>5602</v>
      </c>
      <c r="C4003" s="9" t="s">
        <v>5812</v>
      </c>
      <c r="D4003" s="9" t="s">
        <v>5813</v>
      </c>
      <c r="E4003" s="32">
        <v>2020</v>
      </c>
      <c r="F4003" s="32">
        <v>2020</v>
      </c>
      <c r="G4003" s="32" t="s">
        <v>16</v>
      </c>
      <c r="H4003" s="9">
        <v>200</v>
      </c>
      <c r="I4003" s="9">
        <v>200</v>
      </c>
      <c r="J4003" s="32"/>
      <c r="K4003" s="52"/>
      <c r="L4003" s="10">
        <v>20201118</v>
      </c>
      <c r="M4003" s="36" t="str">
        <f t="shared" si="62"/>
        <v>19721117</v>
      </c>
    </row>
    <row r="4004" s="1" customFormat="1" spans="1:13">
      <c r="A4004" s="2">
        <v>3396</v>
      </c>
      <c r="B4004" s="5" t="s">
        <v>3375</v>
      </c>
      <c r="C4004" s="6" t="s">
        <v>7174</v>
      </c>
      <c r="D4004" s="6" t="str">
        <f>"152326197211176871"</f>
        <v>152326197211176871</v>
      </c>
      <c r="E4004" s="5" t="s">
        <v>15</v>
      </c>
      <c r="F4004" s="5">
        <v>2020</v>
      </c>
      <c r="G4004" s="14" t="s">
        <v>16</v>
      </c>
      <c r="H4004" s="17">
        <v>200</v>
      </c>
      <c r="I4004" s="17">
        <v>200</v>
      </c>
      <c r="J4004" s="6"/>
      <c r="K4004" s="10"/>
      <c r="L4004" s="10">
        <v>20201118</v>
      </c>
      <c r="M4004" s="36" t="str">
        <f t="shared" si="62"/>
        <v>19721117</v>
      </c>
    </row>
    <row r="4005" s="1" customFormat="1" spans="1:13">
      <c r="A4005" s="2">
        <v>5815</v>
      </c>
      <c r="B4005" s="30" t="s">
        <v>11090</v>
      </c>
      <c r="C4005" s="30" t="s">
        <v>11699</v>
      </c>
      <c r="D4005" s="30" t="s">
        <v>11700</v>
      </c>
      <c r="E4005" s="5" t="s">
        <v>15</v>
      </c>
      <c r="F4005" s="5" t="s">
        <v>10250</v>
      </c>
      <c r="G4005" s="6" t="s">
        <v>16</v>
      </c>
      <c r="H4005" s="32">
        <v>200</v>
      </c>
      <c r="I4005" s="32">
        <v>200</v>
      </c>
      <c r="J4005" s="6" t="s">
        <v>6097</v>
      </c>
      <c r="K4005" s="48"/>
      <c r="L4005" s="10">
        <v>20201118</v>
      </c>
      <c r="M4005" s="36" t="str">
        <f t="shared" si="62"/>
        <v>19721118</v>
      </c>
    </row>
    <row r="4006" s="1" customFormat="1" spans="1:13">
      <c r="A4006" s="2">
        <v>2273</v>
      </c>
      <c r="B4006" s="9" t="s">
        <v>4837</v>
      </c>
      <c r="C4006" s="9" t="s">
        <v>2785</v>
      </c>
      <c r="D4006" s="9" t="s">
        <v>5090</v>
      </c>
      <c r="E4006" s="6" t="s">
        <v>15</v>
      </c>
      <c r="F4006" s="6">
        <v>2020</v>
      </c>
      <c r="G4006" s="9" t="s">
        <v>2480</v>
      </c>
      <c r="H4006" s="9">
        <v>200</v>
      </c>
      <c r="I4006" s="9">
        <v>200</v>
      </c>
      <c r="J4006" s="6"/>
      <c r="K4006" s="10"/>
      <c r="L4006" s="10">
        <v>20201118</v>
      </c>
      <c r="M4006" s="36" t="str">
        <f t="shared" si="62"/>
        <v>19721119</v>
      </c>
    </row>
    <row r="4007" s="1" customFormat="1" spans="1:13">
      <c r="A4007" s="2">
        <v>2640</v>
      </c>
      <c r="B4007" s="32" t="s">
        <v>5602</v>
      </c>
      <c r="C4007" s="9" t="s">
        <v>5814</v>
      </c>
      <c r="D4007" s="9" t="s">
        <v>5815</v>
      </c>
      <c r="E4007" s="32">
        <v>2020</v>
      </c>
      <c r="F4007" s="32">
        <v>2020</v>
      </c>
      <c r="G4007" s="32" t="s">
        <v>16</v>
      </c>
      <c r="H4007" s="9">
        <v>200</v>
      </c>
      <c r="I4007" s="9">
        <v>200</v>
      </c>
      <c r="J4007" s="32"/>
      <c r="K4007" s="52"/>
      <c r="L4007" s="10">
        <v>20201118</v>
      </c>
      <c r="M4007" s="36" t="str">
        <f t="shared" si="62"/>
        <v>19721120</v>
      </c>
    </row>
    <row r="4008" s="1" customFormat="1" ht="14.25" spans="1:13">
      <c r="A4008" s="2">
        <v>5331</v>
      </c>
      <c r="B4008" s="33" t="s">
        <v>10535</v>
      </c>
      <c r="C4008" s="34" t="s">
        <v>10775</v>
      </c>
      <c r="D4008" s="34" t="s">
        <v>10776</v>
      </c>
      <c r="E4008" s="35">
        <v>2020</v>
      </c>
      <c r="F4008" s="35">
        <v>2020</v>
      </c>
      <c r="G4008" s="35" t="s">
        <v>16</v>
      </c>
      <c r="H4008" s="34">
        <v>200</v>
      </c>
      <c r="I4008" s="34">
        <v>200</v>
      </c>
      <c r="J4008" s="49"/>
      <c r="K4008" s="10"/>
      <c r="L4008" s="10">
        <v>20201118</v>
      </c>
      <c r="M4008" s="36" t="str">
        <f t="shared" si="62"/>
        <v>19721120</v>
      </c>
    </row>
    <row r="4009" s="1" customFormat="1" spans="1:13">
      <c r="A4009" s="2">
        <v>6642</v>
      </c>
      <c r="B4009" s="5" t="s">
        <v>13027</v>
      </c>
      <c r="C4009" s="15" t="s">
        <v>12371</v>
      </c>
      <c r="D4009" s="15" t="s">
        <v>13266</v>
      </c>
      <c r="E4009" s="5">
        <v>2020</v>
      </c>
      <c r="F4009" s="5">
        <v>2020</v>
      </c>
      <c r="G4009" s="14" t="s">
        <v>16</v>
      </c>
      <c r="H4009" s="15">
        <v>500</v>
      </c>
      <c r="I4009" s="15">
        <v>500</v>
      </c>
      <c r="J4009" s="5"/>
      <c r="K4009" s="10"/>
      <c r="L4009" s="10">
        <v>20201118</v>
      </c>
      <c r="M4009" s="36" t="str">
        <f t="shared" si="62"/>
        <v>19721122</v>
      </c>
    </row>
    <row r="4010" s="1" customFormat="1" spans="1:13">
      <c r="A4010" s="2">
        <v>125</v>
      </c>
      <c r="B4010" s="3" t="s">
        <v>12</v>
      </c>
      <c r="C4010" s="6" t="s">
        <v>266</v>
      </c>
      <c r="D4010" s="6" t="s">
        <v>267</v>
      </c>
      <c r="E4010" s="3" t="s">
        <v>15</v>
      </c>
      <c r="F4010" s="3" t="s">
        <v>15</v>
      </c>
      <c r="G4010" s="3" t="s">
        <v>189</v>
      </c>
      <c r="H4010" s="3">
        <v>200</v>
      </c>
      <c r="I4010" s="3">
        <v>200</v>
      </c>
      <c r="J4010" s="3"/>
      <c r="K4010" s="3"/>
      <c r="L4010" s="10">
        <v>20201118</v>
      </c>
      <c r="M4010" s="36" t="str">
        <f t="shared" si="62"/>
        <v>19721123</v>
      </c>
    </row>
    <row r="4011" s="1" customFormat="1" spans="1:13">
      <c r="A4011" s="2">
        <v>2405</v>
      </c>
      <c r="B4011" s="5" t="s">
        <v>5328</v>
      </c>
      <c r="C4011" s="16" t="s">
        <v>5351</v>
      </c>
      <c r="D4011" s="16" t="s">
        <v>5352</v>
      </c>
      <c r="E4011" s="5" t="s">
        <v>15</v>
      </c>
      <c r="F4011" s="5" t="s">
        <v>15</v>
      </c>
      <c r="G4011" s="14" t="s">
        <v>16</v>
      </c>
      <c r="H4011" s="6">
        <v>200</v>
      </c>
      <c r="I4011" s="6">
        <v>200</v>
      </c>
      <c r="J4011" s="5"/>
      <c r="K4011" s="5"/>
      <c r="L4011" s="10">
        <v>20201118</v>
      </c>
      <c r="M4011" s="36" t="str">
        <f t="shared" si="62"/>
        <v>19721123</v>
      </c>
    </row>
    <row r="4012" s="1" customFormat="1" spans="1:13">
      <c r="A4012" s="2">
        <v>3873</v>
      </c>
      <c r="B4012" s="5" t="s">
        <v>7412</v>
      </c>
      <c r="C4012" s="5" t="s">
        <v>7982</v>
      </c>
      <c r="D4012" s="5" t="s">
        <v>7983</v>
      </c>
      <c r="E4012" s="6">
        <v>2020</v>
      </c>
      <c r="F4012" s="6">
        <v>2020</v>
      </c>
      <c r="G4012" s="5" t="s">
        <v>3359</v>
      </c>
      <c r="H4012" s="5">
        <v>200</v>
      </c>
      <c r="I4012" s="5">
        <v>200</v>
      </c>
      <c r="J4012" s="5"/>
      <c r="K4012" s="5"/>
      <c r="L4012" s="10">
        <v>20201118</v>
      </c>
      <c r="M4012" s="36" t="str">
        <f t="shared" si="62"/>
        <v>19721123</v>
      </c>
    </row>
    <row r="4013" s="1" customFormat="1" spans="1:13">
      <c r="A4013" s="2">
        <v>3094</v>
      </c>
      <c r="B4013" s="3" t="s">
        <v>6671</v>
      </c>
      <c r="C4013" s="9" t="s">
        <v>6712</v>
      </c>
      <c r="D4013" s="9" t="s">
        <v>6713</v>
      </c>
      <c r="E4013" s="3" t="s">
        <v>15</v>
      </c>
      <c r="F4013" s="3" t="s">
        <v>15</v>
      </c>
      <c r="G4013" s="6" t="s">
        <v>3359</v>
      </c>
      <c r="H4013" s="9">
        <v>200</v>
      </c>
      <c r="I4013" s="9">
        <v>200</v>
      </c>
      <c r="J4013" s="6"/>
      <c r="K4013" s="5"/>
      <c r="L4013" s="10">
        <v>20201118</v>
      </c>
      <c r="M4013" s="36" t="str">
        <f t="shared" si="62"/>
        <v>19721124</v>
      </c>
    </row>
    <row r="4014" s="1" customFormat="1" spans="1:13">
      <c r="A4014" s="2">
        <v>6643</v>
      </c>
      <c r="B4014" s="5" t="s">
        <v>13027</v>
      </c>
      <c r="C4014" s="15" t="s">
        <v>13267</v>
      </c>
      <c r="D4014" s="15" t="s">
        <v>13268</v>
      </c>
      <c r="E4014" s="5">
        <v>2020</v>
      </c>
      <c r="F4014" s="5">
        <v>2020</v>
      </c>
      <c r="G4014" s="14" t="s">
        <v>16</v>
      </c>
      <c r="H4014" s="15">
        <v>200</v>
      </c>
      <c r="I4014" s="15">
        <v>200</v>
      </c>
      <c r="J4014" s="5"/>
      <c r="K4014" s="10"/>
      <c r="L4014" s="10">
        <v>20201118</v>
      </c>
      <c r="M4014" s="36" t="str">
        <f t="shared" si="62"/>
        <v>19721124</v>
      </c>
    </row>
    <row r="4015" s="1" customFormat="1" spans="1:13">
      <c r="A4015" s="2">
        <v>7974</v>
      </c>
      <c r="B4015" s="5" t="s">
        <v>15086</v>
      </c>
      <c r="C4015" s="6" t="s">
        <v>15246</v>
      </c>
      <c r="D4015" s="6" t="str">
        <f>"152326197211266877"</f>
        <v>152326197211266877</v>
      </c>
      <c r="E4015" s="5" t="s">
        <v>15</v>
      </c>
      <c r="F4015" s="5">
        <v>2020</v>
      </c>
      <c r="G4015" s="5" t="s">
        <v>16</v>
      </c>
      <c r="H4015" s="5">
        <v>200</v>
      </c>
      <c r="I4015" s="5">
        <v>200</v>
      </c>
      <c r="J4015" s="5"/>
      <c r="K4015" s="5"/>
      <c r="L4015" s="10">
        <v>20201118</v>
      </c>
      <c r="M4015" s="36" t="str">
        <f t="shared" si="62"/>
        <v>19721126</v>
      </c>
    </row>
    <row r="4016" s="1" customFormat="1" spans="1:13">
      <c r="A4016" s="2">
        <v>1105</v>
      </c>
      <c r="B4016" s="5" t="s">
        <v>2469</v>
      </c>
      <c r="C4016" s="9" t="s">
        <v>428</v>
      </c>
      <c r="D4016" s="9" t="s">
        <v>2797</v>
      </c>
      <c r="E4016" s="5">
        <v>2020</v>
      </c>
      <c r="F4016" s="5">
        <v>2020</v>
      </c>
      <c r="G4016" s="9" t="s">
        <v>2480</v>
      </c>
      <c r="H4016" s="9">
        <v>200</v>
      </c>
      <c r="I4016" s="9">
        <v>200</v>
      </c>
      <c r="J4016" s="5"/>
      <c r="K4016" s="5"/>
      <c r="L4016" s="10">
        <v>20201118</v>
      </c>
      <c r="M4016" s="36" t="str">
        <f t="shared" si="62"/>
        <v>19721128</v>
      </c>
    </row>
    <row r="4017" s="1" customFormat="1" spans="1:13">
      <c r="A4017" s="2">
        <v>3535</v>
      </c>
      <c r="B4017" s="5" t="s">
        <v>3375</v>
      </c>
      <c r="C4017" s="5" t="s">
        <v>7341</v>
      </c>
      <c r="D4017" s="296" t="s">
        <v>7342</v>
      </c>
      <c r="E4017" s="5" t="s">
        <v>15</v>
      </c>
      <c r="F4017" s="5">
        <v>2020</v>
      </c>
      <c r="G4017" s="14" t="s">
        <v>16</v>
      </c>
      <c r="H4017" s="5">
        <v>3000</v>
      </c>
      <c r="I4017" s="5">
        <v>3000</v>
      </c>
      <c r="J4017" s="5"/>
      <c r="K4017" s="10"/>
      <c r="L4017" s="10">
        <v>20201118</v>
      </c>
      <c r="M4017" s="36" t="str">
        <f t="shared" si="62"/>
        <v>19721128</v>
      </c>
    </row>
    <row r="4018" s="1" customFormat="1" ht="14.25" spans="1:13">
      <c r="A4018" s="2">
        <v>5332</v>
      </c>
      <c r="B4018" s="33" t="s">
        <v>10535</v>
      </c>
      <c r="C4018" s="34" t="s">
        <v>10777</v>
      </c>
      <c r="D4018" s="34" t="s">
        <v>10778</v>
      </c>
      <c r="E4018" s="35">
        <v>2020</v>
      </c>
      <c r="F4018" s="35">
        <v>2020</v>
      </c>
      <c r="G4018" s="35" t="s">
        <v>16</v>
      </c>
      <c r="H4018" s="34">
        <v>1000</v>
      </c>
      <c r="I4018" s="34">
        <v>1000</v>
      </c>
      <c r="J4018" s="49"/>
      <c r="K4018" s="10"/>
      <c r="L4018" s="10">
        <v>20201118</v>
      </c>
      <c r="M4018" s="36" t="str">
        <f t="shared" si="62"/>
        <v>19721201</v>
      </c>
    </row>
    <row r="4019" s="1" customFormat="1" spans="1:13">
      <c r="A4019" s="2">
        <v>4919</v>
      </c>
      <c r="B4019" s="6" t="s">
        <v>9954</v>
      </c>
      <c r="C4019" s="68" t="s">
        <v>9979</v>
      </c>
      <c r="D4019" s="68" t="s">
        <v>9980</v>
      </c>
      <c r="E4019" s="5" t="s">
        <v>15</v>
      </c>
      <c r="F4019" s="5" t="s">
        <v>15</v>
      </c>
      <c r="G4019" s="14" t="s">
        <v>16</v>
      </c>
      <c r="H4019" s="6">
        <v>500</v>
      </c>
      <c r="I4019" s="6">
        <v>500</v>
      </c>
      <c r="J4019" s="6"/>
      <c r="K4019" s="6"/>
      <c r="L4019" s="10">
        <v>20201118</v>
      </c>
      <c r="M4019" s="36" t="str">
        <f t="shared" si="62"/>
        <v>19721202</v>
      </c>
    </row>
    <row r="4020" s="1" customFormat="1" spans="1:13">
      <c r="A4020" s="2">
        <v>5681</v>
      </c>
      <c r="B4020" s="30" t="s">
        <v>11090</v>
      </c>
      <c r="C4020" s="30" t="s">
        <v>11447</v>
      </c>
      <c r="D4020" s="30" t="s">
        <v>11448</v>
      </c>
      <c r="E4020" s="5" t="s">
        <v>15</v>
      </c>
      <c r="F4020" s="5" t="s">
        <v>10250</v>
      </c>
      <c r="G4020" s="6" t="s">
        <v>16</v>
      </c>
      <c r="H4020" s="32">
        <v>200</v>
      </c>
      <c r="I4020" s="32">
        <v>200</v>
      </c>
      <c r="J4020" s="6"/>
      <c r="K4020" s="48"/>
      <c r="L4020" s="10">
        <v>20201118</v>
      </c>
      <c r="M4020" s="36" t="str">
        <f t="shared" si="62"/>
        <v>19721202</v>
      </c>
    </row>
    <row r="4021" s="1" customFormat="1" spans="1:13">
      <c r="A4021" s="2">
        <v>101</v>
      </c>
      <c r="B4021" s="3" t="s">
        <v>12</v>
      </c>
      <c r="C4021" s="6" t="s">
        <v>218</v>
      </c>
      <c r="D4021" s="6" t="s">
        <v>219</v>
      </c>
      <c r="E4021" s="3" t="s">
        <v>15</v>
      </c>
      <c r="F4021" s="3" t="s">
        <v>15</v>
      </c>
      <c r="G4021" s="3" t="s">
        <v>189</v>
      </c>
      <c r="H4021" s="3">
        <v>200</v>
      </c>
      <c r="I4021" s="3">
        <v>200</v>
      </c>
      <c r="J4021" s="3"/>
      <c r="K4021" s="3"/>
      <c r="L4021" s="10">
        <v>20201118</v>
      </c>
      <c r="M4021" s="36" t="str">
        <f t="shared" si="62"/>
        <v>19721203</v>
      </c>
    </row>
    <row r="4022" s="1" customFormat="1" spans="1:13">
      <c r="A4022" s="2">
        <v>7521</v>
      </c>
      <c r="B4022" s="5" t="s">
        <v>14402</v>
      </c>
      <c r="C4022" s="5" t="s">
        <v>14653</v>
      </c>
      <c r="D4022" s="5" t="s">
        <v>14654</v>
      </c>
      <c r="E4022" s="5">
        <v>2020</v>
      </c>
      <c r="F4022" s="5">
        <v>2020</v>
      </c>
      <c r="G4022" s="17" t="s">
        <v>16</v>
      </c>
      <c r="H4022" s="5">
        <v>200</v>
      </c>
      <c r="I4022" s="5">
        <v>200</v>
      </c>
      <c r="J4022" s="5"/>
      <c r="K4022" s="10"/>
      <c r="L4022" s="10">
        <v>20201118</v>
      </c>
      <c r="M4022" s="36" t="str">
        <f t="shared" si="62"/>
        <v>19721203</v>
      </c>
    </row>
    <row r="4023" s="1" customFormat="1" spans="1:13">
      <c r="A4023" s="2">
        <v>3542</v>
      </c>
      <c r="B4023" s="5" t="s">
        <v>3375</v>
      </c>
      <c r="C4023" s="5" t="s">
        <v>7354</v>
      </c>
      <c r="D4023" s="296" t="s">
        <v>7355</v>
      </c>
      <c r="E4023" s="5" t="s">
        <v>15</v>
      </c>
      <c r="F4023" s="5">
        <v>2020</v>
      </c>
      <c r="G4023" s="14" t="s">
        <v>16</v>
      </c>
      <c r="H4023" s="5">
        <v>200</v>
      </c>
      <c r="I4023" s="5">
        <v>200</v>
      </c>
      <c r="J4023" s="5"/>
      <c r="K4023" s="10"/>
      <c r="L4023" s="10">
        <v>20201118</v>
      </c>
      <c r="M4023" s="36" t="str">
        <f t="shared" si="62"/>
        <v>19721205</v>
      </c>
    </row>
    <row r="4024" s="1" customFormat="1" spans="1:13">
      <c r="A4024" s="2">
        <v>8209</v>
      </c>
      <c r="B4024" s="5" t="s">
        <v>15406</v>
      </c>
      <c r="C4024" s="6" t="s">
        <v>15601</v>
      </c>
      <c r="D4024" s="6" t="s">
        <v>15602</v>
      </c>
      <c r="E4024" s="5" t="s">
        <v>15</v>
      </c>
      <c r="F4024" s="5">
        <v>2020</v>
      </c>
      <c r="G4024" s="14" t="s">
        <v>16</v>
      </c>
      <c r="H4024" s="6" t="s">
        <v>9565</v>
      </c>
      <c r="I4024" s="6">
        <v>1000</v>
      </c>
      <c r="J4024" s="5"/>
      <c r="K4024" s="10"/>
      <c r="L4024" s="10">
        <v>20201118</v>
      </c>
      <c r="M4024" s="36" t="str">
        <f t="shared" si="62"/>
        <v>19721209</v>
      </c>
    </row>
    <row r="4025" s="1" customFormat="1" spans="1:13">
      <c r="A4025" s="2">
        <v>751</v>
      </c>
      <c r="B4025" s="29" t="s">
        <v>1040</v>
      </c>
      <c r="C4025" s="5" t="s">
        <v>1903</v>
      </c>
      <c r="D4025" s="317" t="s">
        <v>1904</v>
      </c>
      <c r="E4025" s="30">
        <v>2020</v>
      </c>
      <c r="F4025" s="30">
        <v>2020</v>
      </c>
      <c r="G4025" s="29" t="s">
        <v>16</v>
      </c>
      <c r="H4025" s="29">
        <v>200</v>
      </c>
      <c r="I4025" s="29">
        <v>200</v>
      </c>
      <c r="J4025" s="32"/>
      <c r="K4025" s="32"/>
      <c r="L4025" s="2" t="s">
        <v>330</v>
      </c>
      <c r="M4025" s="36" t="str">
        <f t="shared" si="62"/>
        <v>19721211</v>
      </c>
    </row>
    <row r="4026" s="1" customFormat="1" spans="1:13">
      <c r="A4026" s="2">
        <v>6273</v>
      </c>
      <c r="B4026" s="5" t="s">
        <v>12263</v>
      </c>
      <c r="C4026" s="5" t="s">
        <v>12568</v>
      </c>
      <c r="D4026" s="5" t="s">
        <v>12569</v>
      </c>
      <c r="E4026" s="5" t="s">
        <v>10250</v>
      </c>
      <c r="F4026" s="5">
        <v>2020</v>
      </c>
      <c r="G4026" s="17" t="s">
        <v>3359</v>
      </c>
      <c r="H4026" s="5">
        <v>200</v>
      </c>
      <c r="I4026" s="5">
        <v>200</v>
      </c>
      <c r="J4026" s="5"/>
      <c r="K4026" s="5"/>
      <c r="L4026" s="10">
        <v>20201118</v>
      </c>
      <c r="M4026" s="36" t="str">
        <f t="shared" si="62"/>
        <v>19721212</v>
      </c>
    </row>
    <row r="4027" s="1" customFormat="1" spans="1:13">
      <c r="A4027" s="2">
        <v>498</v>
      </c>
      <c r="B4027" s="29" t="s">
        <v>1040</v>
      </c>
      <c r="C4027" s="29" t="s">
        <v>1273</v>
      </c>
      <c r="D4027" s="29" t="s">
        <v>1274</v>
      </c>
      <c r="E4027" s="30">
        <v>2020</v>
      </c>
      <c r="F4027" s="30">
        <v>2020</v>
      </c>
      <c r="G4027" s="29" t="s">
        <v>16</v>
      </c>
      <c r="H4027" s="29">
        <v>200</v>
      </c>
      <c r="I4027" s="29">
        <v>200</v>
      </c>
      <c r="J4027" s="29"/>
      <c r="K4027" s="47"/>
      <c r="L4027" s="2" t="s">
        <v>330</v>
      </c>
      <c r="M4027" s="36" t="str">
        <f t="shared" si="62"/>
        <v>19721213</v>
      </c>
    </row>
    <row r="4028" s="1" customFormat="1" spans="1:13">
      <c r="A4028" s="2">
        <v>3874</v>
      </c>
      <c r="B4028" s="5" t="s">
        <v>7412</v>
      </c>
      <c r="C4028" s="5" t="s">
        <v>7984</v>
      </c>
      <c r="D4028" s="5" t="s">
        <v>7985</v>
      </c>
      <c r="E4028" s="6">
        <v>2020</v>
      </c>
      <c r="F4028" s="6">
        <v>2020</v>
      </c>
      <c r="G4028" s="5" t="s">
        <v>3359</v>
      </c>
      <c r="H4028" s="5">
        <v>200</v>
      </c>
      <c r="I4028" s="5">
        <v>200</v>
      </c>
      <c r="J4028" s="5"/>
      <c r="K4028" s="5"/>
      <c r="L4028" s="10">
        <v>20201118</v>
      </c>
      <c r="M4028" s="36" t="str">
        <f t="shared" si="62"/>
        <v>19721213</v>
      </c>
    </row>
    <row r="4029" s="1" customFormat="1" spans="1:13">
      <c r="A4029" s="2">
        <v>7150</v>
      </c>
      <c r="B4029" s="5" t="s">
        <v>13908</v>
      </c>
      <c r="C4029" s="5" t="s">
        <v>13959</v>
      </c>
      <c r="D4029" s="5" t="s">
        <v>13960</v>
      </c>
      <c r="E4029" s="5" t="s">
        <v>15</v>
      </c>
      <c r="F4029" s="5" t="s">
        <v>15</v>
      </c>
      <c r="G4029" s="14" t="s">
        <v>16</v>
      </c>
      <c r="H4029" s="17">
        <v>200</v>
      </c>
      <c r="I4029" s="17">
        <v>200</v>
      </c>
      <c r="J4029" s="5"/>
      <c r="K4029" s="10"/>
      <c r="L4029" s="10">
        <v>20201118</v>
      </c>
      <c r="M4029" s="36" t="str">
        <f t="shared" si="62"/>
        <v>19721214</v>
      </c>
    </row>
    <row r="4030" s="1" customFormat="1" spans="1:13">
      <c r="A4030" s="2">
        <v>1106</v>
      </c>
      <c r="B4030" s="5" t="s">
        <v>2469</v>
      </c>
      <c r="C4030" s="9" t="s">
        <v>2798</v>
      </c>
      <c r="D4030" s="9" t="s">
        <v>2799</v>
      </c>
      <c r="E4030" s="5">
        <v>2020</v>
      </c>
      <c r="F4030" s="5">
        <v>2020</v>
      </c>
      <c r="G4030" s="9" t="s">
        <v>2480</v>
      </c>
      <c r="H4030" s="9">
        <v>200</v>
      </c>
      <c r="I4030" s="9">
        <v>200</v>
      </c>
      <c r="J4030" s="5"/>
      <c r="K4030" s="5"/>
      <c r="L4030" s="10">
        <v>20201118</v>
      </c>
      <c r="M4030" s="36" t="str">
        <f t="shared" si="62"/>
        <v>19721216</v>
      </c>
    </row>
    <row r="4031" s="1" customFormat="1" spans="1:13">
      <c r="A4031" s="2">
        <v>2274</v>
      </c>
      <c r="B4031" s="9" t="s">
        <v>4837</v>
      </c>
      <c r="C4031" s="9" t="s">
        <v>1315</v>
      </c>
      <c r="D4031" s="9" t="s">
        <v>5091</v>
      </c>
      <c r="E4031" s="6" t="s">
        <v>15</v>
      </c>
      <c r="F4031" s="6">
        <v>2020</v>
      </c>
      <c r="G4031" s="9" t="s">
        <v>2480</v>
      </c>
      <c r="H4031" s="9">
        <v>200</v>
      </c>
      <c r="I4031" s="9">
        <v>200</v>
      </c>
      <c r="J4031" s="6"/>
      <c r="K4031" s="10"/>
      <c r="L4031" s="10">
        <v>20201118</v>
      </c>
      <c r="M4031" s="36" t="str">
        <f t="shared" si="62"/>
        <v>19721216</v>
      </c>
    </row>
    <row r="4032" s="1" customFormat="1" spans="1:13">
      <c r="A4032" s="2">
        <v>1107</v>
      </c>
      <c r="B4032" s="5" t="s">
        <v>2469</v>
      </c>
      <c r="C4032" s="9" t="s">
        <v>2800</v>
      </c>
      <c r="D4032" s="9" t="s">
        <v>2801</v>
      </c>
      <c r="E4032" s="5">
        <v>2020</v>
      </c>
      <c r="F4032" s="5">
        <v>2020</v>
      </c>
      <c r="G4032" s="9" t="s">
        <v>2480</v>
      </c>
      <c r="H4032" s="9">
        <v>200</v>
      </c>
      <c r="I4032" s="9">
        <v>200</v>
      </c>
      <c r="J4032" s="5"/>
      <c r="K4032" s="5"/>
      <c r="L4032" s="10">
        <v>20201118</v>
      </c>
      <c r="M4032" s="36" t="str">
        <f t="shared" si="62"/>
        <v>19721219</v>
      </c>
    </row>
    <row r="4033" s="1" customFormat="1" spans="1:13">
      <c r="A4033" s="2">
        <v>4764</v>
      </c>
      <c r="B4033" s="6" t="s">
        <v>9015</v>
      </c>
      <c r="C4033" s="6" t="s">
        <v>9682</v>
      </c>
      <c r="D4033" s="6" t="s">
        <v>9683</v>
      </c>
      <c r="E4033" s="6">
        <v>2020</v>
      </c>
      <c r="F4033" s="6">
        <v>2020</v>
      </c>
      <c r="G4033" s="6" t="s">
        <v>16</v>
      </c>
      <c r="H4033" s="6">
        <v>200</v>
      </c>
      <c r="I4033" s="6">
        <v>200</v>
      </c>
      <c r="J4033" s="6"/>
      <c r="K4033" s="6"/>
      <c r="L4033" s="10">
        <v>20201118</v>
      </c>
      <c r="M4033" s="36" t="str">
        <f t="shared" si="62"/>
        <v>19721220</v>
      </c>
    </row>
    <row r="4034" s="1" customFormat="1" spans="1:13">
      <c r="A4034" s="2">
        <v>6370</v>
      </c>
      <c r="B4034" s="5" t="s">
        <v>12263</v>
      </c>
      <c r="C4034" s="5" t="s">
        <v>12754</v>
      </c>
      <c r="D4034" s="5" t="s">
        <v>12755</v>
      </c>
      <c r="E4034" s="5" t="s">
        <v>10250</v>
      </c>
      <c r="F4034" s="5">
        <v>2020</v>
      </c>
      <c r="G4034" s="17" t="s">
        <v>3359</v>
      </c>
      <c r="H4034" s="5" t="s">
        <v>311</v>
      </c>
      <c r="I4034" s="5">
        <v>200</v>
      </c>
      <c r="J4034" s="5"/>
      <c r="K4034" s="5"/>
      <c r="L4034" s="10">
        <v>20201118</v>
      </c>
      <c r="M4034" s="36" t="str">
        <f t="shared" ref="M4034:M4097" si="63">MID(D4034,7,8)</f>
        <v>19721220</v>
      </c>
    </row>
    <row r="4035" s="1" customFormat="1" spans="1:13">
      <c r="A4035" s="2">
        <v>7631</v>
      </c>
      <c r="B4035" s="5" t="s">
        <v>14402</v>
      </c>
      <c r="C4035" s="5" t="s">
        <v>14859</v>
      </c>
      <c r="D4035" s="5" t="s">
        <v>14860</v>
      </c>
      <c r="E4035" s="5">
        <v>2020</v>
      </c>
      <c r="F4035" s="5">
        <v>2020</v>
      </c>
      <c r="G4035" s="17" t="s">
        <v>16</v>
      </c>
      <c r="H4035" s="5">
        <v>200</v>
      </c>
      <c r="I4035" s="5">
        <v>200</v>
      </c>
      <c r="J4035" s="5"/>
      <c r="K4035" s="10"/>
      <c r="L4035" s="10">
        <v>20201118</v>
      </c>
      <c r="M4035" s="36" t="str">
        <f t="shared" si="63"/>
        <v>19721220</v>
      </c>
    </row>
    <row r="4036" s="1" customFormat="1" spans="1:13">
      <c r="A4036" s="2">
        <v>6644</v>
      </c>
      <c r="B4036" s="5" t="s">
        <v>13027</v>
      </c>
      <c r="C4036" s="15" t="s">
        <v>13269</v>
      </c>
      <c r="D4036" s="15" t="s">
        <v>13270</v>
      </c>
      <c r="E4036" s="5">
        <v>2020</v>
      </c>
      <c r="F4036" s="5">
        <v>2020</v>
      </c>
      <c r="G4036" s="14" t="s">
        <v>16</v>
      </c>
      <c r="H4036" s="15">
        <v>500</v>
      </c>
      <c r="I4036" s="15">
        <v>500</v>
      </c>
      <c r="J4036" s="5"/>
      <c r="K4036" s="10"/>
      <c r="L4036" s="10">
        <v>20201118</v>
      </c>
      <c r="M4036" s="36" t="str">
        <f t="shared" si="63"/>
        <v>19721221</v>
      </c>
    </row>
    <row r="4037" s="1" customFormat="1" spans="1:13">
      <c r="A4037" s="2">
        <v>2774</v>
      </c>
      <c r="B4037" s="6" t="s">
        <v>6075</v>
      </c>
      <c r="C4037" s="63" t="s">
        <v>6078</v>
      </c>
      <c r="D4037" s="63" t="s">
        <v>6079</v>
      </c>
      <c r="E4037" s="5" t="s">
        <v>15</v>
      </c>
      <c r="F4037" s="5">
        <v>2020</v>
      </c>
      <c r="G4037" s="6" t="s">
        <v>16</v>
      </c>
      <c r="H4037" s="6">
        <v>500</v>
      </c>
      <c r="I4037" s="6">
        <v>500</v>
      </c>
      <c r="J4037" s="6"/>
      <c r="K4037" s="10"/>
      <c r="L4037" s="10">
        <v>20201118</v>
      </c>
      <c r="M4037" s="36" t="str">
        <f t="shared" si="63"/>
        <v>19721222</v>
      </c>
    </row>
    <row r="4038" s="1" customFormat="1" spans="1:13">
      <c r="A4038" s="2">
        <v>1643</v>
      </c>
      <c r="B4038" s="5" t="s">
        <v>3381</v>
      </c>
      <c r="C4038" s="9" t="s">
        <v>3848</v>
      </c>
      <c r="D4038" s="9" t="s">
        <v>3849</v>
      </c>
      <c r="E4038" s="5">
        <v>2020</v>
      </c>
      <c r="F4038" s="5">
        <v>2020</v>
      </c>
      <c r="G4038" s="14" t="s">
        <v>16</v>
      </c>
      <c r="H4038" s="6">
        <v>200</v>
      </c>
      <c r="I4038" s="6">
        <v>200</v>
      </c>
      <c r="J4038" s="5"/>
      <c r="K4038" s="13"/>
      <c r="L4038" s="10">
        <v>20201118</v>
      </c>
      <c r="M4038" s="36" t="str">
        <f t="shared" si="63"/>
        <v>19721223</v>
      </c>
    </row>
    <row r="4039" s="1" customFormat="1" ht="14.25" spans="1:13">
      <c r="A4039" s="2">
        <v>2845</v>
      </c>
      <c r="B4039" s="6" t="s">
        <v>6075</v>
      </c>
      <c r="C4039" s="25" t="s">
        <v>6218</v>
      </c>
      <c r="D4039" s="26" t="s">
        <v>6219</v>
      </c>
      <c r="E4039" s="5" t="s">
        <v>15</v>
      </c>
      <c r="F4039" s="5">
        <v>2020</v>
      </c>
      <c r="G4039" s="6" t="s">
        <v>16</v>
      </c>
      <c r="H4039" s="6">
        <v>200</v>
      </c>
      <c r="I4039" s="6">
        <v>200</v>
      </c>
      <c r="J4039" s="6"/>
      <c r="K4039" s="10"/>
      <c r="L4039" s="10">
        <v>20201118</v>
      </c>
      <c r="M4039" s="36" t="str">
        <f t="shared" si="63"/>
        <v>19721224</v>
      </c>
    </row>
    <row r="4040" s="1" customFormat="1" ht="14.25" spans="1:13">
      <c r="A4040" s="2">
        <v>2957</v>
      </c>
      <c r="B4040" s="6" t="s">
        <v>6075</v>
      </c>
      <c r="C4040" s="25" t="s">
        <v>6441</v>
      </c>
      <c r="D4040" s="26" t="s">
        <v>6442</v>
      </c>
      <c r="E4040" s="5" t="s">
        <v>15</v>
      </c>
      <c r="F4040" s="5">
        <v>2020</v>
      </c>
      <c r="G4040" s="6" t="s">
        <v>16</v>
      </c>
      <c r="H4040" s="6">
        <v>200</v>
      </c>
      <c r="I4040" s="6">
        <v>200</v>
      </c>
      <c r="J4040" s="6"/>
      <c r="K4040" s="10"/>
      <c r="L4040" s="10">
        <v>20201118</v>
      </c>
      <c r="M4040" s="36" t="str">
        <f t="shared" si="63"/>
        <v>19721224</v>
      </c>
    </row>
    <row r="4041" s="1" customFormat="1" spans="1:13">
      <c r="A4041" s="2">
        <v>7307</v>
      </c>
      <c r="B4041" s="5" t="s">
        <v>13908</v>
      </c>
      <c r="C4041" s="5" t="s">
        <v>14252</v>
      </c>
      <c r="D4041" s="5" t="s">
        <v>14253</v>
      </c>
      <c r="E4041" s="5" t="s">
        <v>15</v>
      </c>
      <c r="F4041" s="5" t="s">
        <v>15</v>
      </c>
      <c r="G4041" s="14" t="s">
        <v>16</v>
      </c>
      <c r="H4041" s="17">
        <v>200</v>
      </c>
      <c r="I4041" s="17">
        <v>200</v>
      </c>
      <c r="J4041" s="5"/>
      <c r="K4041" s="10"/>
      <c r="L4041" s="10">
        <v>20201118</v>
      </c>
      <c r="M4041" s="36" t="str">
        <f t="shared" si="63"/>
        <v>19721226</v>
      </c>
    </row>
    <row r="4042" s="1" customFormat="1" spans="1:13">
      <c r="A4042" s="2">
        <v>3875</v>
      </c>
      <c r="B4042" s="5" t="s">
        <v>7412</v>
      </c>
      <c r="C4042" s="5" t="s">
        <v>7986</v>
      </c>
      <c r="D4042" s="5" t="s">
        <v>7987</v>
      </c>
      <c r="E4042" s="6">
        <v>2020</v>
      </c>
      <c r="F4042" s="6">
        <v>2020</v>
      </c>
      <c r="G4042" s="5" t="s">
        <v>3359</v>
      </c>
      <c r="H4042" s="5">
        <v>200</v>
      </c>
      <c r="I4042" s="5">
        <v>200</v>
      </c>
      <c r="J4042" s="5"/>
      <c r="K4042" s="5"/>
      <c r="L4042" s="10">
        <v>20201118</v>
      </c>
      <c r="M4042" s="36" t="str">
        <f t="shared" si="63"/>
        <v>19721228</v>
      </c>
    </row>
    <row r="4043" s="1" customFormat="1" spans="1:13">
      <c r="A4043" s="2">
        <v>4989</v>
      </c>
      <c r="B4043" s="6" t="s">
        <v>9954</v>
      </c>
      <c r="C4043" s="60" t="s">
        <v>9027</v>
      </c>
      <c r="D4043" s="60" t="s">
        <v>10117</v>
      </c>
      <c r="E4043" s="5" t="s">
        <v>15</v>
      </c>
      <c r="F4043" s="5" t="s">
        <v>15</v>
      </c>
      <c r="G4043" s="14" t="s">
        <v>16</v>
      </c>
      <c r="H4043" s="6">
        <v>200</v>
      </c>
      <c r="I4043" s="6">
        <v>200</v>
      </c>
      <c r="J4043" s="6"/>
      <c r="K4043" s="6"/>
      <c r="L4043" s="10">
        <v>20201118</v>
      </c>
      <c r="M4043" s="36" t="str">
        <f t="shared" si="63"/>
        <v>19721228</v>
      </c>
    </row>
    <row r="4044" s="1" customFormat="1" spans="1:13">
      <c r="A4044" s="2">
        <v>5127</v>
      </c>
      <c r="B4044" s="6" t="s">
        <v>10242</v>
      </c>
      <c r="C4044" s="9" t="s">
        <v>10383</v>
      </c>
      <c r="D4044" s="9" t="s">
        <v>10384</v>
      </c>
      <c r="E4044" s="5" t="s">
        <v>10250</v>
      </c>
      <c r="F4044" s="5">
        <v>2020</v>
      </c>
      <c r="G4044" s="6" t="s">
        <v>16</v>
      </c>
      <c r="H4044" s="6">
        <v>200</v>
      </c>
      <c r="I4044" s="6">
        <v>200</v>
      </c>
      <c r="J4044" s="6"/>
      <c r="K4044" s="5"/>
      <c r="L4044" s="10">
        <v>20201118</v>
      </c>
      <c r="M4044" s="36" t="str">
        <f t="shared" si="63"/>
        <v>19721228</v>
      </c>
    </row>
    <row r="4045" s="1" customFormat="1" spans="1:13">
      <c r="A4045" s="2">
        <v>2275</v>
      </c>
      <c r="B4045" s="9" t="s">
        <v>4837</v>
      </c>
      <c r="C4045" s="9" t="s">
        <v>5092</v>
      </c>
      <c r="D4045" s="9" t="s">
        <v>5093</v>
      </c>
      <c r="E4045" s="6" t="s">
        <v>15</v>
      </c>
      <c r="F4045" s="6">
        <v>2020</v>
      </c>
      <c r="G4045" s="9" t="s">
        <v>2480</v>
      </c>
      <c r="H4045" s="9">
        <v>200</v>
      </c>
      <c r="I4045" s="9">
        <v>200</v>
      </c>
      <c r="J4045" s="6"/>
      <c r="K4045" s="10"/>
      <c r="L4045" s="10">
        <v>20201118</v>
      </c>
      <c r="M4045" s="36" t="str">
        <f t="shared" si="63"/>
        <v>19721229</v>
      </c>
    </row>
    <row r="4046" s="1" customFormat="1" spans="1:13">
      <c r="A4046" s="2">
        <v>5508</v>
      </c>
      <c r="B4046" s="30" t="s">
        <v>11090</v>
      </c>
      <c r="C4046" s="30" t="s">
        <v>11111</v>
      </c>
      <c r="D4046" s="30" t="s">
        <v>11112</v>
      </c>
      <c r="E4046" s="5" t="s">
        <v>15</v>
      </c>
      <c r="F4046" s="5" t="s">
        <v>10250</v>
      </c>
      <c r="G4046" s="6" t="s">
        <v>16</v>
      </c>
      <c r="H4046" s="32">
        <v>500</v>
      </c>
      <c r="I4046" s="32">
        <v>500</v>
      </c>
      <c r="J4046" s="6"/>
      <c r="K4046" s="48"/>
      <c r="L4046" s="10">
        <v>20201118</v>
      </c>
      <c r="M4046" s="36" t="str">
        <f t="shared" si="63"/>
        <v>19721230</v>
      </c>
    </row>
    <row r="4047" s="1" customFormat="1" spans="1:13">
      <c r="A4047" s="2">
        <v>5555</v>
      </c>
      <c r="B4047" s="30" t="s">
        <v>11090</v>
      </c>
      <c r="C4047" s="30" t="s">
        <v>11205</v>
      </c>
      <c r="D4047" s="30" t="s">
        <v>11206</v>
      </c>
      <c r="E4047" s="5" t="s">
        <v>15</v>
      </c>
      <c r="F4047" s="5" t="s">
        <v>10250</v>
      </c>
      <c r="G4047" s="6" t="s">
        <v>16</v>
      </c>
      <c r="H4047" s="32">
        <v>200</v>
      </c>
      <c r="I4047" s="32">
        <v>200</v>
      </c>
      <c r="J4047" s="6"/>
      <c r="K4047" s="48"/>
      <c r="L4047" s="10">
        <v>20201118</v>
      </c>
      <c r="M4047" s="36" t="str">
        <f t="shared" si="63"/>
        <v>19730101</v>
      </c>
    </row>
    <row r="4048" s="1" customFormat="1" spans="1:13">
      <c r="A4048" s="2">
        <v>208</v>
      </c>
      <c r="B4048" s="14" t="s">
        <v>327</v>
      </c>
      <c r="C4048" s="14" t="s">
        <v>512</v>
      </c>
      <c r="D4048" s="14" t="s">
        <v>513</v>
      </c>
      <c r="E4048" s="5">
        <v>2020</v>
      </c>
      <c r="F4048" s="5">
        <v>2020</v>
      </c>
      <c r="G4048" s="14" t="s">
        <v>16</v>
      </c>
      <c r="H4048" s="28">
        <v>200</v>
      </c>
      <c r="I4048" s="14">
        <v>200</v>
      </c>
      <c r="J4048" s="14"/>
      <c r="K4048" s="10"/>
      <c r="L4048" s="14" t="s">
        <v>330</v>
      </c>
      <c r="M4048" s="36" t="str">
        <f t="shared" si="63"/>
        <v>19730102</v>
      </c>
    </row>
    <row r="4049" s="1" customFormat="1" ht="14.25" spans="1:13">
      <c r="A4049" s="2">
        <v>5333</v>
      </c>
      <c r="B4049" s="33" t="s">
        <v>10535</v>
      </c>
      <c r="C4049" s="34" t="s">
        <v>10779</v>
      </c>
      <c r="D4049" s="34" t="s">
        <v>10780</v>
      </c>
      <c r="E4049" s="35">
        <v>2020</v>
      </c>
      <c r="F4049" s="35">
        <v>2020</v>
      </c>
      <c r="G4049" s="35" t="s">
        <v>16</v>
      </c>
      <c r="H4049" s="34">
        <v>200</v>
      </c>
      <c r="I4049" s="34">
        <v>200</v>
      </c>
      <c r="J4049" s="49"/>
      <c r="K4049" s="10"/>
      <c r="L4049" s="10">
        <v>20201118</v>
      </c>
      <c r="M4049" s="36" t="str">
        <f t="shared" si="63"/>
        <v>19730102</v>
      </c>
    </row>
    <row r="4050" s="1" customFormat="1" spans="1:13">
      <c r="A4050" s="2">
        <v>301</v>
      </c>
      <c r="B4050" s="14" t="s">
        <v>327</v>
      </c>
      <c r="C4050" s="17" t="s">
        <v>791</v>
      </c>
      <c r="D4050" s="306" t="s">
        <v>792</v>
      </c>
      <c r="E4050" s="5">
        <v>2020</v>
      </c>
      <c r="F4050" s="5">
        <v>2020</v>
      </c>
      <c r="G4050" s="14" t="s">
        <v>16</v>
      </c>
      <c r="H4050" s="17">
        <v>200</v>
      </c>
      <c r="I4050" s="17">
        <v>200</v>
      </c>
      <c r="J4050" s="17"/>
      <c r="K4050" s="10"/>
      <c r="L4050" s="2" t="s">
        <v>330</v>
      </c>
      <c r="M4050" s="36" t="str">
        <f t="shared" si="63"/>
        <v>19730103</v>
      </c>
    </row>
    <row r="4051" s="1" customFormat="1" spans="1:13">
      <c r="A4051" s="2">
        <v>5733</v>
      </c>
      <c r="B4051" s="30" t="s">
        <v>11090</v>
      </c>
      <c r="C4051" s="30" t="s">
        <v>11550</v>
      </c>
      <c r="D4051" s="30" t="s">
        <v>11551</v>
      </c>
      <c r="E4051" s="5" t="s">
        <v>15</v>
      </c>
      <c r="F4051" s="5" t="s">
        <v>10250</v>
      </c>
      <c r="G4051" s="6" t="s">
        <v>16</v>
      </c>
      <c r="H4051" s="32">
        <v>200</v>
      </c>
      <c r="I4051" s="32">
        <v>200</v>
      </c>
      <c r="J4051" s="6" t="s">
        <v>6097</v>
      </c>
      <c r="K4051" s="48"/>
      <c r="L4051" s="10">
        <v>20201118</v>
      </c>
      <c r="M4051" s="36" t="str">
        <f t="shared" si="63"/>
        <v>19730104</v>
      </c>
    </row>
    <row r="4052" s="1" customFormat="1" spans="1:13">
      <c r="A4052" s="2">
        <v>5776</v>
      </c>
      <c r="B4052" s="30" t="s">
        <v>11090</v>
      </c>
      <c r="C4052" s="30" t="s">
        <v>11627</v>
      </c>
      <c r="D4052" s="30" t="s">
        <v>11628</v>
      </c>
      <c r="E4052" s="5" t="s">
        <v>15</v>
      </c>
      <c r="F4052" s="5" t="s">
        <v>10250</v>
      </c>
      <c r="G4052" s="6" t="s">
        <v>16</v>
      </c>
      <c r="H4052" s="32">
        <v>200</v>
      </c>
      <c r="I4052" s="32">
        <v>200</v>
      </c>
      <c r="J4052" s="6"/>
      <c r="K4052" s="48"/>
      <c r="L4052" s="10">
        <v>20201118</v>
      </c>
      <c r="M4052" s="36" t="str">
        <f t="shared" si="63"/>
        <v>19730104</v>
      </c>
    </row>
    <row r="4053" s="1" customFormat="1" spans="1:13">
      <c r="A4053" s="2">
        <v>6457</v>
      </c>
      <c r="B4053" s="5" t="s">
        <v>12263</v>
      </c>
      <c r="C4053" s="5" t="s">
        <v>12918</v>
      </c>
      <c r="D4053" s="5" t="s">
        <v>12919</v>
      </c>
      <c r="E4053" s="5" t="s">
        <v>10250</v>
      </c>
      <c r="F4053" s="5">
        <v>2020</v>
      </c>
      <c r="G4053" s="17" t="s">
        <v>3359</v>
      </c>
      <c r="H4053" s="5">
        <v>200</v>
      </c>
      <c r="I4053" s="5">
        <v>200</v>
      </c>
      <c r="J4053" s="5"/>
      <c r="K4053" s="5"/>
      <c r="L4053" s="10">
        <v>20201118</v>
      </c>
      <c r="M4053" s="36" t="str">
        <f t="shared" si="63"/>
        <v>19730105</v>
      </c>
    </row>
    <row r="4054" s="1" customFormat="1" spans="1:13">
      <c r="A4054" s="2">
        <v>5128</v>
      </c>
      <c r="B4054" s="6" t="s">
        <v>10242</v>
      </c>
      <c r="C4054" s="9" t="s">
        <v>10385</v>
      </c>
      <c r="D4054" s="9" t="s">
        <v>10386</v>
      </c>
      <c r="E4054" s="5" t="s">
        <v>10250</v>
      </c>
      <c r="F4054" s="5">
        <v>2020</v>
      </c>
      <c r="G4054" s="6" t="s">
        <v>16</v>
      </c>
      <c r="H4054" s="6">
        <v>200</v>
      </c>
      <c r="I4054" s="6">
        <v>200</v>
      </c>
      <c r="J4054" s="6"/>
      <c r="K4054" s="5"/>
      <c r="L4054" s="10">
        <v>20201118</v>
      </c>
      <c r="M4054" s="36" t="str">
        <f t="shared" si="63"/>
        <v>19730106</v>
      </c>
    </row>
    <row r="4055" s="1" customFormat="1" spans="1:13">
      <c r="A4055" s="2">
        <v>4999</v>
      </c>
      <c r="B4055" s="6" t="s">
        <v>9954</v>
      </c>
      <c r="C4055" s="60" t="s">
        <v>10136</v>
      </c>
      <c r="D4055" s="60" t="s">
        <v>10137</v>
      </c>
      <c r="E4055" s="5" t="s">
        <v>15</v>
      </c>
      <c r="F4055" s="5" t="s">
        <v>15</v>
      </c>
      <c r="G4055" s="14" t="s">
        <v>16</v>
      </c>
      <c r="H4055" s="6">
        <v>200</v>
      </c>
      <c r="I4055" s="6">
        <v>200</v>
      </c>
      <c r="J4055" s="6"/>
      <c r="K4055" s="6"/>
      <c r="L4055" s="10">
        <v>20201118</v>
      </c>
      <c r="M4055" s="36" t="str">
        <f t="shared" si="63"/>
        <v>19730107</v>
      </c>
    </row>
    <row r="4056" s="1" customFormat="1" spans="1:13">
      <c r="A4056" s="2">
        <v>6182</v>
      </c>
      <c r="B4056" s="5" t="s">
        <v>12263</v>
      </c>
      <c r="C4056" s="5" t="s">
        <v>12393</v>
      </c>
      <c r="D4056" s="5" t="s">
        <v>12394</v>
      </c>
      <c r="E4056" s="5" t="s">
        <v>10250</v>
      </c>
      <c r="F4056" s="5">
        <v>2020</v>
      </c>
      <c r="G4056" s="17" t="s">
        <v>3359</v>
      </c>
      <c r="H4056" s="5">
        <v>200</v>
      </c>
      <c r="I4056" s="5">
        <v>200</v>
      </c>
      <c r="J4056" s="5"/>
      <c r="K4056" s="5"/>
      <c r="L4056" s="10">
        <v>20201118</v>
      </c>
      <c r="M4056" s="36" t="str">
        <f t="shared" si="63"/>
        <v>19730107</v>
      </c>
    </row>
    <row r="4057" s="1" customFormat="1" spans="1:13">
      <c r="A4057" s="2">
        <v>1644</v>
      </c>
      <c r="B4057" s="5" t="s">
        <v>3381</v>
      </c>
      <c r="C4057" s="9" t="s">
        <v>3850</v>
      </c>
      <c r="D4057" s="9" t="s">
        <v>3851</v>
      </c>
      <c r="E4057" s="5">
        <v>2020</v>
      </c>
      <c r="F4057" s="5">
        <v>2020</v>
      </c>
      <c r="G4057" s="14" t="s">
        <v>16</v>
      </c>
      <c r="H4057" s="6">
        <v>200</v>
      </c>
      <c r="I4057" s="6">
        <v>200</v>
      </c>
      <c r="J4057" s="5"/>
      <c r="K4057" s="13"/>
      <c r="L4057" s="10">
        <v>20201118</v>
      </c>
      <c r="M4057" s="36" t="str">
        <f t="shared" si="63"/>
        <v>19730113</v>
      </c>
    </row>
    <row r="4058" s="1" customFormat="1" spans="1:13">
      <c r="A4058" s="2">
        <v>8220</v>
      </c>
      <c r="B4058" s="5" t="s">
        <v>15406</v>
      </c>
      <c r="C4058" s="6" t="s">
        <v>15621</v>
      </c>
      <c r="D4058" s="293" t="s">
        <v>15622</v>
      </c>
      <c r="E4058" s="5" t="s">
        <v>1047</v>
      </c>
      <c r="F4058" s="5">
        <v>2020</v>
      </c>
      <c r="G4058" s="5" t="s">
        <v>289</v>
      </c>
      <c r="H4058" s="6">
        <v>200</v>
      </c>
      <c r="I4058" s="6">
        <v>400</v>
      </c>
      <c r="J4058" s="5"/>
      <c r="K4058" s="10"/>
      <c r="L4058" s="10">
        <v>20201118</v>
      </c>
      <c r="M4058" s="36" t="str">
        <f t="shared" si="63"/>
        <v>19730113</v>
      </c>
    </row>
    <row r="4059" s="1" customFormat="1" spans="1:13">
      <c r="A4059" s="2">
        <v>4837</v>
      </c>
      <c r="B4059" s="6" t="s">
        <v>9015</v>
      </c>
      <c r="C4059" s="6" t="s">
        <v>9819</v>
      </c>
      <c r="D4059" s="293" t="s">
        <v>9820</v>
      </c>
      <c r="E4059" s="6">
        <v>2020</v>
      </c>
      <c r="F4059" s="6">
        <v>2020</v>
      </c>
      <c r="G4059" s="6" t="s">
        <v>16</v>
      </c>
      <c r="H4059" s="6">
        <v>200</v>
      </c>
      <c r="I4059" s="6">
        <v>200</v>
      </c>
      <c r="J4059" s="6"/>
      <c r="K4059" s="6"/>
      <c r="L4059" s="10">
        <v>20201118</v>
      </c>
      <c r="M4059" s="36" t="str">
        <f t="shared" si="63"/>
        <v>19730114</v>
      </c>
    </row>
    <row r="4060" s="1" customFormat="1" spans="1:13">
      <c r="A4060" s="2">
        <v>6897</v>
      </c>
      <c r="B4060" s="5" t="s">
        <v>13533</v>
      </c>
      <c r="C4060" s="32" t="s">
        <v>13647</v>
      </c>
      <c r="D4060" s="32" t="str">
        <f>"152326197301157113"</f>
        <v>152326197301157113</v>
      </c>
      <c r="E4060" s="5">
        <v>2020</v>
      </c>
      <c r="F4060" s="5">
        <v>2020</v>
      </c>
      <c r="G4060" s="9" t="s">
        <v>2480</v>
      </c>
      <c r="H4060" s="32">
        <v>200</v>
      </c>
      <c r="I4060" s="32">
        <v>200</v>
      </c>
      <c r="J4060" s="32"/>
      <c r="K4060" s="10"/>
      <c r="L4060" s="10">
        <v>20201118</v>
      </c>
      <c r="M4060" s="36" t="str">
        <f t="shared" si="63"/>
        <v>19730115</v>
      </c>
    </row>
    <row r="4061" s="1" customFormat="1" spans="1:13">
      <c r="A4061" s="2">
        <v>5069</v>
      </c>
      <c r="B4061" s="6" t="s">
        <v>10242</v>
      </c>
      <c r="C4061" s="9" t="s">
        <v>6997</v>
      </c>
      <c r="D4061" s="9" t="s">
        <v>10274</v>
      </c>
      <c r="E4061" s="5" t="s">
        <v>10250</v>
      </c>
      <c r="F4061" s="5">
        <v>2020</v>
      </c>
      <c r="G4061" s="6" t="s">
        <v>16</v>
      </c>
      <c r="H4061" s="6">
        <v>200</v>
      </c>
      <c r="I4061" s="6">
        <v>200</v>
      </c>
      <c r="J4061" s="6"/>
      <c r="K4061" s="5"/>
      <c r="L4061" s="10">
        <v>20201118</v>
      </c>
      <c r="M4061" s="36" t="str">
        <f t="shared" si="63"/>
        <v>19730116</v>
      </c>
    </row>
    <row r="4062" s="1" customFormat="1" spans="1:13">
      <c r="A4062" s="2">
        <v>174</v>
      </c>
      <c r="B4062" s="14" t="s">
        <v>327</v>
      </c>
      <c r="C4062" s="14" t="s">
        <v>410</v>
      </c>
      <c r="D4062" s="14" t="s">
        <v>411</v>
      </c>
      <c r="E4062" s="5">
        <v>2020</v>
      </c>
      <c r="F4062" s="5">
        <v>2020</v>
      </c>
      <c r="G4062" s="14" t="s">
        <v>16</v>
      </c>
      <c r="H4062" s="14">
        <v>200</v>
      </c>
      <c r="I4062" s="14">
        <v>200</v>
      </c>
      <c r="J4062" s="14"/>
      <c r="K4062" s="10"/>
      <c r="L4062" s="14" t="s">
        <v>330</v>
      </c>
      <c r="M4062" s="36" t="str">
        <f t="shared" si="63"/>
        <v>19730117</v>
      </c>
    </row>
    <row r="4063" s="1" customFormat="1" spans="1:13">
      <c r="A4063" s="2">
        <v>6163</v>
      </c>
      <c r="B4063" s="5" t="s">
        <v>12263</v>
      </c>
      <c r="C4063" s="5" t="s">
        <v>12357</v>
      </c>
      <c r="D4063" s="5" t="s">
        <v>12358</v>
      </c>
      <c r="E4063" s="5" t="s">
        <v>10250</v>
      </c>
      <c r="F4063" s="5">
        <v>2020</v>
      </c>
      <c r="G4063" s="17" t="s">
        <v>3359</v>
      </c>
      <c r="H4063" s="5">
        <v>200</v>
      </c>
      <c r="I4063" s="5">
        <v>200</v>
      </c>
      <c r="J4063" s="5"/>
      <c r="K4063" s="5"/>
      <c r="L4063" s="10">
        <v>20201118</v>
      </c>
      <c r="M4063" s="36" t="str">
        <f t="shared" si="63"/>
        <v>19730117</v>
      </c>
    </row>
    <row r="4064" s="1" customFormat="1" ht="14.25" spans="1:13">
      <c r="A4064" s="2">
        <v>5992</v>
      </c>
      <c r="B4064" s="30" t="s">
        <v>11090</v>
      </c>
      <c r="C4064" s="32" t="s">
        <v>12029</v>
      </c>
      <c r="D4064" s="12" t="s">
        <v>12030</v>
      </c>
      <c r="E4064" s="5" t="s">
        <v>15</v>
      </c>
      <c r="F4064" s="5" t="s">
        <v>10250</v>
      </c>
      <c r="G4064" s="6" t="s">
        <v>16</v>
      </c>
      <c r="H4064" s="32">
        <v>200</v>
      </c>
      <c r="I4064" s="32">
        <v>200</v>
      </c>
      <c r="J4064" s="5"/>
      <c r="K4064" s="48"/>
      <c r="L4064" s="10">
        <v>20201118</v>
      </c>
      <c r="M4064" s="36" t="str">
        <f t="shared" si="63"/>
        <v>19730119</v>
      </c>
    </row>
    <row r="4065" s="1" customFormat="1" spans="1:13">
      <c r="A4065" s="2">
        <v>5129</v>
      </c>
      <c r="B4065" s="6" t="s">
        <v>10242</v>
      </c>
      <c r="C4065" s="9" t="s">
        <v>10387</v>
      </c>
      <c r="D4065" s="9" t="s">
        <v>10388</v>
      </c>
      <c r="E4065" s="5" t="s">
        <v>10250</v>
      </c>
      <c r="F4065" s="5">
        <v>2020</v>
      </c>
      <c r="G4065" s="6" t="s">
        <v>16</v>
      </c>
      <c r="H4065" s="6">
        <v>200</v>
      </c>
      <c r="I4065" s="6">
        <v>200</v>
      </c>
      <c r="J4065" s="6"/>
      <c r="K4065" s="5"/>
      <c r="L4065" s="10">
        <v>20201118</v>
      </c>
      <c r="M4065" s="36" t="str">
        <f t="shared" si="63"/>
        <v>19730121</v>
      </c>
    </row>
    <row r="4066" s="1" customFormat="1" spans="1:13">
      <c r="A4066" s="2">
        <v>7103</v>
      </c>
      <c r="B4066" s="5" t="s">
        <v>13533</v>
      </c>
      <c r="C4066" s="6" t="s">
        <v>13873</v>
      </c>
      <c r="D4066" s="6" t="str">
        <f>"152326197301237113"</f>
        <v>152326197301237113</v>
      </c>
      <c r="E4066" s="5">
        <v>2020</v>
      </c>
      <c r="F4066" s="5">
        <v>2020</v>
      </c>
      <c r="G4066" s="9" t="s">
        <v>2480</v>
      </c>
      <c r="H4066" s="32">
        <v>200</v>
      </c>
      <c r="I4066" s="32">
        <v>200</v>
      </c>
      <c r="J4066" s="32"/>
      <c r="K4066" s="10"/>
      <c r="L4066" s="10">
        <v>20201118</v>
      </c>
      <c r="M4066" s="36" t="str">
        <f t="shared" si="63"/>
        <v>19730123</v>
      </c>
    </row>
    <row r="4067" s="1" customFormat="1" spans="1:13">
      <c r="A4067" s="2">
        <v>4635</v>
      </c>
      <c r="B4067" s="6" t="s">
        <v>9015</v>
      </c>
      <c r="C4067" s="6" t="s">
        <v>9437</v>
      </c>
      <c r="D4067" s="6" t="s">
        <v>9438</v>
      </c>
      <c r="E4067" s="6">
        <v>2020</v>
      </c>
      <c r="F4067" s="6">
        <v>2020</v>
      </c>
      <c r="G4067" s="6" t="s">
        <v>16</v>
      </c>
      <c r="H4067" s="6">
        <v>200</v>
      </c>
      <c r="I4067" s="6">
        <v>200</v>
      </c>
      <c r="J4067" s="6"/>
      <c r="K4067" s="6"/>
      <c r="L4067" s="10">
        <v>20201118</v>
      </c>
      <c r="M4067" s="36" t="str">
        <f t="shared" si="63"/>
        <v>19730124</v>
      </c>
    </row>
    <row r="4068" s="1" customFormat="1" spans="1:13">
      <c r="A4068" s="2">
        <v>1108</v>
      </c>
      <c r="B4068" s="5" t="s">
        <v>2469</v>
      </c>
      <c r="C4068" s="9" t="s">
        <v>2802</v>
      </c>
      <c r="D4068" s="9" t="s">
        <v>2803</v>
      </c>
      <c r="E4068" s="5">
        <v>2020</v>
      </c>
      <c r="F4068" s="5">
        <v>2020</v>
      </c>
      <c r="G4068" s="9" t="s">
        <v>2480</v>
      </c>
      <c r="H4068" s="9">
        <v>200</v>
      </c>
      <c r="I4068" s="9">
        <v>200</v>
      </c>
      <c r="J4068" s="5"/>
      <c r="K4068" s="5"/>
      <c r="L4068" s="10">
        <v>20201118</v>
      </c>
      <c r="M4068" s="36" t="str">
        <f t="shared" si="63"/>
        <v>19730125</v>
      </c>
    </row>
    <row r="4069" s="1" customFormat="1" spans="1:13">
      <c r="A4069" s="2">
        <v>5685</v>
      </c>
      <c r="B4069" s="30" t="s">
        <v>11090</v>
      </c>
      <c r="C4069" s="30" t="s">
        <v>11455</v>
      </c>
      <c r="D4069" s="30" t="s">
        <v>11456</v>
      </c>
      <c r="E4069" s="5" t="s">
        <v>15</v>
      </c>
      <c r="F4069" s="5" t="s">
        <v>10250</v>
      </c>
      <c r="G4069" s="6" t="s">
        <v>16</v>
      </c>
      <c r="H4069" s="32">
        <v>200</v>
      </c>
      <c r="I4069" s="32">
        <v>200</v>
      </c>
      <c r="J4069" s="6"/>
      <c r="K4069" s="48"/>
      <c r="L4069" s="10">
        <v>20201118</v>
      </c>
      <c r="M4069" s="36" t="str">
        <f t="shared" si="63"/>
        <v>19730126</v>
      </c>
    </row>
    <row r="4070" s="1" customFormat="1" ht="14.25" spans="1:13">
      <c r="A4070" s="2">
        <v>2912</v>
      </c>
      <c r="B4070" s="6" t="s">
        <v>6075</v>
      </c>
      <c r="C4070" s="25" t="s">
        <v>6352</v>
      </c>
      <c r="D4070" s="26" t="s">
        <v>6353</v>
      </c>
      <c r="E4070" s="5" t="s">
        <v>15</v>
      </c>
      <c r="F4070" s="5">
        <v>2020</v>
      </c>
      <c r="G4070" s="6" t="s">
        <v>16</v>
      </c>
      <c r="H4070" s="6">
        <v>200</v>
      </c>
      <c r="I4070" s="6">
        <v>200</v>
      </c>
      <c r="J4070" s="6"/>
      <c r="K4070" s="10"/>
      <c r="L4070" s="10">
        <v>20201118</v>
      </c>
      <c r="M4070" s="36" t="str">
        <f t="shared" si="63"/>
        <v>19730127</v>
      </c>
    </row>
    <row r="4071" s="1" customFormat="1" ht="14.25" spans="1:13">
      <c r="A4071" s="2">
        <v>5334</v>
      </c>
      <c r="B4071" s="33" t="s">
        <v>10535</v>
      </c>
      <c r="C4071" s="34" t="s">
        <v>10781</v>
      </c>
      <c r="D4071" s="34" t="s">
        <v>10782</v>
      </c>
      <c r="E4071" s="35">
        <v>2020</v>
      </c>
      <c r="F4071" s="35">
        <v>2020</v>
      </c>
      <c r="G4071" s="35" t="s">
        <v>16</v>
      </c>
      <c r="H4071" s="34">
        <v>200</v>
      </c>
      <c r="I4071" s="34">
        <v>200</v>
      </c>
      <c r="J4071" s="49"/>
      <c r="K4071" s="10"/>
      <c r="L4071" s="10">
        <v>20201118</v>
      </c>
      <c r="M4071" s="36" t="str">
        <f t="shared" si="63"/>
        <v>19730127</v>
      </c>
    </row>
    <row r="4072" s="1" customFormat="1" spans="1:13">
      <c r="A4072" s="2">
        <v>7275</v>
      </c>
      <c r="B4072" s="5" t="s">
        <v>13908</v>
      </c>
      <c r="C4072" s="5" t="s">
        <v>7170</v>
      </c>
      <c r="D4072" s="5" t="s">
        <v>14192</v>
      </c>
      <c r="E4072" s="5" t="s">
        <v>15</v>
      </c>
      <c r="F4072" s="5" t="s">
        <v>15</v>
      </c>
      <c r="G4072" s="14" t="s">
        <v>16</v>
      </c>
      <c r="H4072" s="17">
        <v>200</v>
      </c>
      <c r="I4072" s="17">
        <v>200</v>
      </c>
      <c r="J4072" s="5"/>
      <c r="K4072" s="10"/>
      <c r="L4072" s="10">
        <v>20201118</v>
      </c>
      <c r="M4072" s="36" t="str">
        <f t="shared" si="63"/>
        <v>19730127</v>
      </c>
    </row>
    <row r="4073" s="1" customFormat="1" spans="1:13">
      <c r="A4073" s="2">
        <v>750</v>
      </c>
      <c r="B4073" s="29" t="s">
        <v>1040</v>
      </c>
      <c r="C4073" s="5" t="s">
        <v>1900</v>
      </c>
      <c r="D4073" s="317" t="s">
        <v>1901</v>
      </c>
      <c r="E4073" s="30">
        <v>2020</v>
      </c>
      <c r="F4073" s="30">
        <v>2020</v>
      </c>
      <c r="G4073" s="29" t="s">
        <v>16</v>
      </c>
      <c r="H4073" s="29">
        <v>200</v>
      </c>
      <c r="I4073" s="29">
        <v>200</v>
      </c>
      <c r="J4073" s="32"/>
      <c r="K4073" s="32"/>
      <c r="L4073" s="14" t="s">
        <v>330</v>
      </c>
      <c r="M4073" s="36" t="str">
        <f t="shared" si="63"/>
        <v>19730129</v>
      </c>
    </row>
    <row r="4074" s="1" customFormat="1" spans="1:13">
      <c r="A4074" s="2">
        <v>3876</v>
      </c>
      <c r="B4074" s="5" t="s">
        <v>7412</v>
      </c>
      <c r="C4074" s="5" t="s">
        <v>7988</v>
      </c>
      <c r="D4074" s="5" t="s">
        <v>7989</v>
      </c>
      <c r="E4074" s="6">
        <v>2020</v>
      </c>
      <c r="F4074" s="6">
        <v>2020</v>
      </c>
      <c r="G4074" s="5" t="s">
        <v>3359</v>
      </c>
      <c r="H4074" s="5">
        <v>200</v>
      </c>
      <c r="I4074" s="5">
        <v>200</v>
      </c>
      <c r="J4074" s="5"/>
      <c r="K4074" s="5"/>
      <c r="L4074" s="10">
        <v>20201118</v>
      </c>
      <c r="M4074" s="36" t="str">
        <f t="shared" si="63"/>
        <v>19730201</v>
      </c>
    </row>
    <row r="4075" s="1" customFormat="1" spans="1:13">
      <c r="A4075" s="2">
        <v>1949</v>
      </c>
      <c r="B4075" s="5" t="s">
        <v>4189</v>
      </c>
      <c r="C4075" s="16" t="s">
        <v>4457</v>
      </c>
      <c r="D4075" s="16" t="s">
        <v>4458</v>
      </c>
      <c r="E4075" s="5" t="s">
        <v>15</v>
      </c>
      <c r="F4075" s="5" t="s">
        <v>15</v>
      </c>
      <c r="G4075" s="5" t="s">
        <v>3359</v>
      </c>
      <c r="H4075" s="16">
        <v>200</v>
      </c>
      <c r="I4075" s="16">
        <v>200</v>
      </c>
      <c r="J4075" s="5"/>
      <c r="K4075" s="10"/>
      <c r="L4075" s="10">
        <v>20201118</v>
      </c>
      <c r="M4075" s="36" t="str">
        <f t="shared" si="63"/>
        <v>19730202</v>
      </c>
    </row>
    <row r="4076" s="1" customFormat="1" spans="1:13">
      <c r="A4076" s="2">
        <v>546</v>
      </c>
      <c r="B4076" s="29" t="s">
        <v>1040</v>
      </c>
      <c r="C4076" s="29" t="s">
        <v>1369</v>
      </c>
      <c r="D4076" s="29" t="s">
        <v>1370</v>
      </c>
      <c r="E4076" s="30">
        <v>2020</v>
      </c>
      <c r="F4076" s="30">
        <v>2020</v>
      </c>
      <c r="G4076" s="29" t="s">
        <v>16</v>
      </c>
      <c r="H4076" s="29">
        <v>200</v>
      </c>
      <c r="I4076" s="29">
        <v>200</v>
      </c>
      <c r="J4076" s="29"/>
      <c r="K4076" s="47"/>
      <c r="L4076" s="2" t="s">
        <v>330</v>
      </c>
      <c r="M4076" s="36" t="str">
        <f t="shared" si="63"/>
        <v>19730203</v>
      </c>
    </row>
    <row r="4077" s="1" customFormat="1" spans="1:13">
      <c r="A4077" s="2">
        <v>663</v>
      </c>
      <c r="B4077" s="29" t="s">
        <v>1040</v>
      </c>
      <c r="C4077" s="47" t="s">
        <v>434</v>
      </c>
      <c r="D4077" s="47" t="s">
        <v>1642</v>
      </c>
      <c r="E4077" s="30">
        <v>2020</v>
      </c>
      <c r="F4077" s="30">
        <v>2020</v>
      </c>
      <c r="G4077" s="29" t="s">
        <v>16</v>
      </c>
      <c r="H4077" s="29">
        <v>200</v>
      </c>
      <c r="I4077" s="29">
        <v>200</v>
      </c>
      <c r="J4077" s="29"/>
      <c r="K4077" s="47"/>
      <c r="L4077" s="14" t="s">
        <v>330</v>
      </c>
      <c r="M4077" s="36" t="str">
        <f t="shared" si="63"/>
        <v>19730203</v>
      </c>
    </row>
    <row r="4078" s="1" customFormat="1" spans="1:13">
      <c r="A4078" s="2">
        <v>1951</v>
      </c>
      <c r="B4078" s="5" t="s">
        <v>4189</v>
      </c>
      <c r="C4078" s="16" t="s">
        <v>4461</v>
      </c>
      <c r="D4078" s="16" t="s">
        <v>4462</v>
      </c>
      <c r="E4078" s="5" t="s">
        <v>15</v>
      </c>
      <c r="F4078" s="5" t="s">
        <v>15</v>
      </c>
      <c r="G4078" s="5" t="s">
        <v>3359</v>
      </c>
      <c r="H4078" s="16">
        <v>200</v>
      </c>
      <c r="I4078" s="16">
        <v>200</v>
      </c>
      <c r="J4078" s="5"/>
      <c r="K4078" s="10"/>
      <c r="L4078" s="10">
        <v>20201118</v>
      </c>
      <c r="M4078" s="36" t="str">
        <f t="shared" si="63"/>
        <v>19730203</v>
      </c>
    </row>
    <row r="4079" s="1" customFormat="1" spans="1:13">
      <c r="A4079" s="2">
        <v>5672</v>
      </c>
      <c r="B4079" s="30" t="s">
        <v>11090</v>
      </c>
      <c r="C4079" s="30" t="s">
        <v>11429</v>
      </c>
      <c r="D4079" s="30" t="s">
        <v>11430</v>
      </c>
      <c r="E4079" s="5" t="s">
        <v>15</v>
      </c>
      <c r="F4079" s="5" t="s">
        <v>10250</v>
      </c>
      <c r="G4079" s="6" t="s">
        <v>16</v>
      </c>
      <c r="H4079" s="32">
        <v>200</v>
      </c>
      <c r="I4079" s="32">
        <v>200</v>
      </c>
      <c r="J4079" s="6"/>
      <c r="K4079" s="48"/>
      <c r="L4079" s="10">
        <v>20201118</v>
      </c>
      <c r="M4079" s="36" t="str">
        <f t="shared" si="63"/>
        <v>19730203</v>
      </c>
    </row>
    <row r="4080" s="1" customFormat="1" spans="1:13">
      <c r="A4080" s="2">
        <v>1953</v>
      </c>
      <c r="B4080" s="5" t="s">
        <v>4189</v>
      </c>
      <c r="C4080" s="16" t="s">
        <v>4465</v>
      </c>
      <c r="D4080" s="16" t="s">
        <v>4466</v>
      </c>
      <c r="E4080" s="5" t="s">
        <v>15</v>
      </c>
      <c r="F4080" s="5" t="s">
        <v>15</v>
      </c>
      <c r="G4080" s="5" t="s">
        <v>3359</v>
      </c>
      <c r="H4080" s="16">
        <v>500</v>
      </c>
      <c r="I4080" s="16">
        <v>500</v>
      </c>
      <c r="J4080" s="5"/>
      <c r="K4080" s="10"/>
      <c r="L4080" s="10">
        <v>20201118</v>
      </c>
      <c r="M4080" s="36" t="str">
        <f t="shared" si="63"/>
        <v>19730204</v>
      </c>
    </row>
    <row r="4081" s="1" customFormat="1" spans="1:13">
      <c r="A4081" s="2">
        <v>2276</v>
      </c>
      <c r="B4081" s="9" t="s">
        <v>4837</v>
      </c>
      <c r="C4081" s="9" t="s">
        <v>5094</v>
      </c>
      <c r="D4081" s="9" t="s">
        <v>5095</v>
      </c>
      <c r="E4081" s="6" t="s">
        <v>15</v>
      </c>
      <c r="F4081" s="6">
        <v>2020</v>
      </c>
      <c r="G4081" s="9" t="s">
        <v>2480</v>
      </c>
      <c r="H4081" s="9">
        <v>200</v>
      </c>
      <c r="I4081" s="9">
        <v>200</v>
      </c>
      <c r="J4081" s="6"/>
      <c r="K4081" s="10"/>
      <c r="L4081" s="10">
        <v>20201118</v>
      </c>
      <c r="M4081" s="36" t="str">
        <f t="shared" si="63"/>
        <v>19730204</v>
      </c>
    </row>
    <row r="4082" s="1" customFormat="1" spans="1:13">
      <c r="A4082" s="2">
        <v>2641</v>
      </c>
      <c r="B4082" s="32" t="s">
        <v>5602</v>
      </c>
      <c r="C4082" s="9" t="s">
        <v>5816</v>
      </c>
      <c r="D4082" s="9" t="s">
        <v>5817</v>
      </c>
      <c r="E4082" s="32">
        <v>2020</v>
      </c>
      <c r="F4082" s="32">
        <v>2020</v>
      </c>
      <c r="G4082" s="32" t="s">
        <v>16</v>
      </c>
      <c r="H4082" s="9">
        <v>200</v>
      </c>
      <c r="I4082" s="9">
        <v>200</v>
      </c>
      <c r="J4082" s="32"/>
      <c r="K4082" s="52"/>
      <c r="L4082" s="10">
        <v>20201118</v>
      </c>
      <c r="M4082" s="36" t="str">
        <f t="shared" si="63"/>
        <v>19730205</v>
      </c>
    </row>
    <row r="4083" s="1" customFormat="1" ht="14.25" spans="1:13">
      <c r="A4083" s="2">
        <v>5335</v>
      </c>
      <c r="B4083" s="33" t="s">
        <v>10535</v>
      </c>
      <c r="C4083" s="34" t="s">
        <v>10783</v>
      </c>
      <c r="D4083" s="34" t="s">
        <v>10784</v>
      </c>
      <c r="E4083" s="35">
        <v>2020</v>
      </c>
      <c r="F4083" s="35">
        <v>2020</v>
      </c>
      <c r="G4083" s="35" t="s">
        <v>16</v>
      </c>
      <c r="H4083" s="34">
        <v>200</v>
      </c>
      <c r="I4083" s="34">
        <v>200</v>
      </c>
      <c r="J4083" s="49"/>
      <c r="K4083" s="10"/>
      <c r="L4083" s="10">
        <v>20201118</v>
      </c>
      <c r="M4083" s="36" t="str">
        <f t="shared" si="63"/>
        <v>19730205</v>
      </c>
    </row>
    <row r="4084" s="1" customFormat="1" spans="1:13">
      <c r="A4084" s="2">
        <v>8152</v>
      </c>
      <c r="B4084" s="5" t="s">
        <v>15406</v>
      </c>
      <c r="C4084" s="6" t="s">
        <v>15496</v>
      </c>
      <c r="D4084" s="6" t="s">
        <v>15497</v>
      </c>
      <c r="E4084" s="5" t="s">
        <v>15</v>
      </c>
      <c r="F4084" s="5">
        <v>2020</v>
      </c>
      <c r="G4084" s="14" t="s">
        <v>16</v>
      </c>
      <c r="H4084" s="6" t="s">
        <v>4178</v>
      </c>
      <c r="I4084" s="6">
        <v>3000</v>
      </c>
      <c r="J4084" s="5"/>
      <c r="K4084" s="10"/>
      <c r="L4084" s="10">
        <v>20201118</v>
      </c>
      <c r="M4084" s="36" t="str">
        <f t="shared" si="63"/>
        <v>19730205</v>
      </c>
    </row>
    <row r="4085" s="1" customFormat="1" spans="1:13">
      <c r="A4085" s="2">
        <v>790</v>
      </c>
      <c r="B4085" s="29" t="s">
        <v>1040</v>
      </c>
      <c r="C4085" s="5" t="s">
        <v>2020</v>
      </c>
      <c r="D4085" s="317" t="s">
        <v>2021</v>
      </c>
      <c r="E4085" s="30">
        <v>2020</v>
      </c>
      <c r="F4085" s="30">
        <v>2020</v>
      </c>
      <c r="G4085" s="29" t="s">
        <v>16</v>
      </c>
      <c r="H4085" s="29">
        <v>200</v>
      </c>
      <c r="I4085" s="29">
        <v>200</v>
      </c>
      <c r="J4085" s="32"/>
      <c r="K4085" s="32"/>
      <c r="L4085" s="2" t="s">
        <v>330</v>
      </c>
      <c r="M4085" s="36" t="str">
        <f t="shared" si="63"/>
        <v>19730206</v>
      </c>
    </row>
    <row r="4086" s="1" customFormat="1" spans="1:13">
      <c r="A4086" s="2">
        <v>2642</v>
      </c>
      <c r="B4086" s="32" t="s">
        <v>5602</v>
      </c>
      <c r="C4086" s="9" t="s">
        <v>5818</v>
      </c>
      <c r="D4086" s="9" t="s">
        <v>5819</v>
      </c>
      <c r="E4086" s="32">
        <v>2020</v>
      </c>
      <c r="F4086" s="32">
        <v>2020</v>
      </c>
      <c r="G4086" s="32" t="s">
        <v>16</v>
      </c>
      <c r="H4086" s="9">
        <v>200</v>
      </c>
      <c r="I4086" s="9">
        <v>200</v>
      </c>
      <c r="J4086" s="32"/>
      <c r="K4086" s="52"/>
      <c r="L4086" s="10">
        <v>20201118</v>
      </c>
      <c r="M4086" s="36" t="str">
        <f t="shared" si="63"/>
        <v>19730207</v>
      </c>
    </row>
    <row r="4087" s="1" customFormat="1" spans="1:13">
      <c r="A4087" s="2">
        <v>1109</v>
      </c>
      <c r="B4087" s="5" t="s">
        <v>2469</v>
      </c>
      <c r="C4087" s="9" t="s">
        <v>2804</v>
      </c>
      <c r="D4087" s="9" t="s">
        <v>2805</v>
      </c>
      <c r="E4087" s="5">
        <v>2020</v>
      </c>
      <c r="F4087" s="5">
        <v>2020</v>
      </c>
      <c r="G4087" s="9" t="s">
        <v>2480</v>
      </c>
      <c r="H4087" s="9">
        <v>200</v>
      </c>
      <c r="I4087" s="9">
        <v>200</v>
      </c>
      <c r="J4087" s="5"/>
      <c r="K4087" s="5"/>
      <c r="L4087" s="10">
        <v>20201118</v>
      </c>
      <c r="M4087" s="36" t="str">
        <f t="shared" si="63"/>
        <v>19730208</v>
      </c>
    </row>
    <row r="4088" s="1" customFormat="1" spans="1:13">
      <c r="A4088" s="2">
        <v>5537</v>
      </c>
      <c r="B4088" s="30" t="s">
        <v>11090</v>
      </c>
      <c r="C4088" s="30" t="s">
        <v>11171</v>
      </c>
      <c r="D4088" s="30" t="s">
        <v>11172</v>
      </c>
      <c r="E4088" s="5" t="s">
        <v>15</v>
      </c>
      <c r="F4088" s="5" t="s">
        <v>10250</v>
      </c>
      <c r="G4088" s="6" t="s">
        <v>16</v>
      </c>
      <c r="H4088" s="32">
        <v>200</v>
      </c>
      <c r="I4088" s="32">
        <v>200</v>
      </c>
      <c r="J4088" s="6"/>
      <c r="K4088" s="48"/>
      <c r="L4088" s="10">
        <v>20201118</v>
      </c>
      <c r="M4088" s="36" t="str">
        <f t="shared" si="63"/>
        <v>19730208</v>
      </c>
    </row>
    <row r="4089" s="1" customFormat="1" spans="1:13">
      <c r="A4089" s="2">
        <v>6339</v>
      </c>
      <c r="B4089" s="5" t="s">
        <v>12263</v>
      </c>
      <c r="C4089" s="5" t="s">
        <v>12694</v>
      </c>
      <c r="D4089" s="5" t="s">
        <v>12695</v>
      </c>
      <c r="E4089" s="5" t="s">
        <v>10250</v>
      </c>
      <c r="F4089" s="5">
        <v>2020</v>
      </c>
      <c r="G4089" s="17" t="s">
        <v>3359</v>
      </c>
      <c r="H4089" s="5" t="s">
        <v>311</v>
      </c>
      <c r="I4089" s="5">
        <v>200</v>
      </c>
      <c r="J4089" s="5"/>
      <c r="K4089" s="5"/>
      <c r="L4089" s="10">
        <v>20201118</v>
      </c>
      <c r="M4089" s="36" t="str">
        <f t="shared" si="63"/>
        <v>19730208</v>
      </c>
    </row>
    <row r="4090" s="1" customFormat="1" spans="1:13">
      <c r="A4090" s="2">
        <v>2455</v>
      </c>
      <c r="B4090" s="5" t="s">
        <v>5328</v>
      </c>
      <c r="C4090" s="16" t="s">
        <v>5449</v>
      </c>
      <c r="D4090" s="16" t="s">
        <v>5450</v>
      </c>
      <c r="E4090" s="5" t="s">
        <v>15</v>
      </c>
      <c r="F4090" s="5" t="s">
        <v>15</v>
      </c>
      <c r="G4090" s="14" t="s">
        <v>16</v>
      </c>
      <c r="H4090" s="6">
        <v>200</v>
      </c>
      <c r="I4090" s="6">
        <v>200</v>
      </c>
      <c r="J4090" s="5"/>
      <c r="K4090" s="5"/>
      <c r="L4090" s="10">
        <v>20201118</v>
      </c>
      <c r="M4090" s="36" t="str">
        <f t="shared" si="63"/>
        <v>19730209</v>
      </c>
    </row>
    <row r="4091" s="1" customFormat="1" spans="1:13">
      <c r="A4091" s="2">
        <v>7953</v>
      </c>
      <c r="B4091" s="5" t="s">
        <v>15086</v>
      </c>
      <c r="C4091" s="6" t="s">
        <v>15226</v>
      </c>
      <c r="D4091" s="6" t="str">
        <f>"152326197302096877"</f>
        <v>152326197302096877</v>
      </c>
      <c r="E4091" s="5" t="s">
        <v>15</v>
      </c>
      <c r="F4091" s="5">
        <v>2020</v>
      </c>
      <c r="G4091" s="5" t="s">
        <v>16</v>
      </c>
      <c r="H4091" s="5">
        <v>200</v>
      </c>
      <c r="I4091" s="5">
        <v>200</v>
      </c>
      <c r="J4091" s="5"/>
      <c r="K4091" s="5"/>
      <c r="L4091" s="10">
        <v>20201118</v>
      </c>
      <c r="M4091" s="36" t="str">
        <f t="shared" si="63"/>
        <v>19730209</v>
      </c>
    </row>
    <row r="4092" s="1" customFormat="1" spans="1:13">
      <c r="A4092" s="2">
        <v>7111</v>
      </c>
      <c r="B4092" s="5" t="s">
        <v>13533</v>
      </c>
      <c r="C4092" s="5" t="s">
        <v>13883</v>
      </c>
      <c r="D4092" s="5" t="s">
        <v>13884</v>
      </c>
      <c r="E4092" s="5">
        <v>2020</v>
      </c>
      <c r="F4092" s="5">
        <v>2020</v>
      </c>
      <c r="G4092" s="9" t="s">
        <v>2480</v>
      </c>
      <c r="H4092" s="32">
        <v>200</v>
      </c>
      <c r="I4092" s="32">
        <v>200</v>
      </c>
      <c r="J4092" s="32"/>
      <c r="K4092" s="10"/>
      <c r="L4092" s="10">
        <v>20201118</v>
      </c>
      <c r="M4092" s="36" t="str">
        <f t="shared" si="63"/>
        <v>19730210</v>
      </c>
    </row>
    <row r="4093" s="1" customFormat="1" spans="1:13">
      <c r="A4093" s="2">
        <v>58</v>
      </c>
      <c r="B4093" s="31" t="s">
        <v>12</v>
      </c>
      <c r="C4093" s="17" t="s">
        <v>131</v>
      </c>
      <c r="D4093" s="17" t="s">
        <v>132</v>
      </c>
      <c r="E4093" s="3" t="s">
        <v>15</v>
      </c>
      <c r="F4093" s="3" t="s">
        <v>15</v>
      </c>
      <c r="G4093" s="2" t="s">
        <v>16</v>
      </c>
      <c r="H4093" s="17">
        <v>200</v>
      </c>
      <c r="I4093" s="17">
        <v>200</v>
      </c>
      <c r="J4093" s="17"/>
      <c r="K4093" s="17"/>
      <c r="L4093" s="10">
        <v>20201118</v>
      </c>
      <c r="M4093" s="36" t="str">
        <f t="shared" si="63"/>
        <v>19730211</v>
      </c>
    </row>
    <row r="4094" s="1" customFormat="1" spans="1:13">
      <c r="A4094" s="2">
        <v>576</v>
      </c>
      <c r="B4094" s="29" t="s">
        <v>1040</v>
      </c>
      <c r="C4094" s="29" t="s">
        <v>1428</v>
      </c>
      <c r="D4094" s="29" t="s">
        <v>1429</v>
      </c>
      <c r="E4094" s="30">
        <v>2020</v>
      </c>
      <c r="F4094" s="30">
        <v>2020</v>
      </c>
      <c r="G4094" s="29" t="s">
        <v>16</v>
      </c>
      <c r="H4094" s="29">
        <v>200</v>
      </c>
      <c r="I4094" s="29">
        <v>200</v>
      </c>
      <c r="J4094" s="29"/>
      <c r="K4094" s="47"/>
      <c r="L4094" s="2" t="s">
        <v>330</v>
      </c>
      <c r="M4094" s="36" t="str">
        <f t="shared" si="63"/>
        <v>19730211</v>
      </c>
    </row>
    <row r="4095" s="1" customFormat="1" spans="1:13">
      <c r="A4095" s="2">
        <v>3877</v>
      </c>
      <c r="B4095" s="5" t="s">
        <v>7412</v>
      </c>
      <c r="C4095" s="5" t="s">
        <v>7990</v>
      </c>
      <c r="D4095" s="5" t="s">
        <v>7991</v>
      </c>
      <c r="E4095" s="6">
        <v>2020</v>
      </c>
      <c r="F4095" s="6">
        <v>2020</v>
      </c>
      <c r="G4095" s="5" t="s">
        <v>3359</v>
      </c>
      <c r="H4095" s="5">
        <v>200</v>
      </c>
      <c r="I4095" s="5">
        <v>200</v>
      </c>
      <c r="J4095" s="5"/>
      <c r="K4095" s="5"/>
      <c r="L4095" s="10">
        <v>20201118</v>
      </c>
      <c r="M4095" s="36" t="str">
        <f t="shared" si="63"/>
        <v>19730211</v>
      </c>
    </row>
    <row r="4096" s="1" customFormat="1" spans="1:13">
      <c r="A4096" s="2">
        <v>923</v>
      </c>
      <c r="B4096" s="29" t="s">
        <v>1040</v>
      </c>
      <c r="C4096" s="6" t="s">
        <v>2416</v>
      </c>
      <c r="D4096" s="6" t="s">
        <v>2417</v>
      </c>
      <c r="E4096" s="30">
        <v>2020</v>
      </c>
      <c r="F4096" s="30">
        <v>2020</v>
      </c>
      <c r="G4096" s="29" t="s">
        <v>16</v>
      </c>
      <c r="H4096" s="29">
        <v>200</v>
      </c>
      <c r="I4096" s="29">
        <v>200</v>
      </c>
      <c r="J4096" s="32"/>
      <c r="K4096" s="32"/>
      <c r="L4096" s="2" t="s">
        <v>330</v>
      </c>
      <c r="M4096" s="36" t="str">
        <f t="shared" si="63"/>
        <v>19730215</v>
      </c>
    </row>
    <row r="4097" s="1" customFormat="1" spans="1:13">
      <c r="A4097" s="2">
        <v>3374</v>
      </c>
      <c r="B4097" s="5" t="s">
        <v>3375</v>
      </c>
      <c r="C4097" s="6" t="s">
        <v>7150</v>
      </c>
      <c r="D4097" s="6" t="str">
        <f>"152326197302156876"</f>
        <v>152326197302156876</v>
      </c>
      <c r="E4097" s="5" t="s">
        <v>15</v>
      </c>
      <c r="F4097" s="5">
        <v>2020</v>
      </c>
      <c r="G4097" s="14" t="s">
        <v>16</v>
      </c>
      <c r="H4097" s="17">
        <v>200</v>
      </c>
      <c r="I4097" s="17">
        <v>200</v>
      </c>
      <c r="J4097" s="6"/>
      <c r="K4097" s="10"/>
      <c r="L4097" s="10">
        <v>20201118</v>
      </c>
      <c r="M4097" s="36" t="str">
        <f t="shared" si="63"/>
        <v>19730215</v>
      </c>
    </row>
    <row r="4098" s="1" customFormat="1" spans="1:13">
      <c r="A4098" s="2">
        <v>6280</v>
      </c>
      <c r="B4098" s="5" t="s">
        <v>12263</v>
      </c>
      <c r="C4098" s="5" t="s">
        <v>12581</v>
      </c>
      <c r="D4098" s="5" t="s">
        <v>12582</v>
      </c>
      <c r="E4098" s="5" t="s">
        <v>10250</v>
      </c>
      <c r="F4098" s="5">
        <v>2020</v>
      </c>
      <c r="G4098" s="17" t="s">
        <v>3359</v>
      </c>
      <c r="H4098" s="5">
        <v>500</v>
      </c>
      <c r="I4098" s="5">
        <v>500</v>
      </c>
      <c r="J4098" s="5"/>
      <c r="K4098" s="5"/>
      <c r="L4098" s="10">
        <v>20201118</v>
      </c>
      <c r="M4098" s="36" t="str">
        <f t="shared" ref="M4098:M4161" si="64">MID(D4098,7,8)</f>
        <v>19730215</v>
      </c>
    </row>
    <row r="4099" s="1" customFormat="1" spans="1:13">
      <c r="A4099" s="2">
        <v>7512</v>
      </c>
      <c r="B4099" s="5" t="s">
        <v>14402</v>
      </c>
      <c r="C4099" s="5" t="s">
        <v>14637</v>
      </c>
      <c r="D4099" s="5" t="s">
        <v>14638</v>
      </c>
      <c r="E4099" s="5">
        <v>2020</v>
      </c>
      <c r="F4099" s="5">
        <v>2020</v>
      </c>
      <c r="G4099" s="17" t="s">
        <v>16</v>
      </c>
      <c r="H4099" s="5">
        <v>200</v>
      </c>
      <c r="I4099" s="5">
        <v>200</v>
      </c>
      <c r="J4099" s="62" t="s">
        <v>749</v>
      </c>
      <c r="K4099" s="10"/>
      <c r="L4099" s="10">
        <v>20201118</v>
      </c>
      <c r="M4099" s="36" t="str">
        <f t="shared" si="64"/>
        <v>19730215</v>
      </c>
    </row>
    <row r="4100" s="1" customFormat="1" spans="1:13">
      <c r="A4100" s="2">
        <v>5130</v>
      </c>
      <c r="B4100" s="6" t="s">
        <v>10242</v>
      </c>
      <c r="C4100" s="9" t="s">
        <v>4808</v>
      </c>
      <c r="D4100" s="9" t="s">
        <v>10389</v>
      </c>
      <c r="E4100" s="5" t="s">
        <v>10250</v>
      </c>
      <c r="F4100" s="5">
        <v>2020</v>
      </c>
      <c r="G4100" s="6" t="s">
        <v>16</v>
      </c>
      <c r="H4100" s="6">
        <v>200</v>
      </c>
      <c r="I4100" s="6">
        <v>200</v>
      </c>
      <c r="J4100" s="6"/>
      <c r="K4100" s="5"/>
      <c r="L4100" s="10">
        <v>20201118</v>
      </c>
      <c r="M4100" s="36" t="str">
        <f t="shared" si="64"/>
        <v>19730216</v>
      </c>
    </row>
    <row r="4101" s="1" customFormat="1" spans="1:13">
      <c r="A4101" s="2">
        <v>7232</v>
      </c>
      <c r="B4101" s="5" t="s">
        <v>13908</v>
      </c>
      <c r="C4101" s="5" t="s">
        <v>14108</v>
      </c>
      <c r="D4101" s="5" t="s">
        <v>14109</v>
      </c>
      <c r="E4101" s="5" t="s">
        <v>15</v>
      </c>
      <c r="F4101" s="5" t="s">
        <v>15</v>
      </c>
      <c r="G4101" s="14" t="s">
        <v>16</v>
      </c>
      <c r="H4101" s="17">
        <v>1000</v>
      </c>
      <c r="I4101" s="17">
        <v>1000</v>
      </c>
      <c r="J4101" s="5"/>
      <c r="K4101" s="10"/>
      <c r="L4101" s="10">
        <v>20201118</v>
      </c>
      <c r="M4101" s="36" t="str">
        <f t="shared" si="64"/>
        <v>19730216</v>
      </c>
    </row>
    <row r="4102" s="1" customFormat="1" spans="1:13">
      <c r="A4102" s="2">
        <v>6911</v>
      </c>
      <c r="B4102" s="5" t="s">
        <v>13533</v>
      </c>
      <c r="C4102" s="32" t="s">
        <v>13659</v>
      </c>
      <c r="D4102" s="32" t="str">
        <f>"152326197302177124"</f>
        <v>152326197302177124</v>
      </c>
      <c r="E4102" s="5">
        <v>2020</v>
      </c>
      <c r="F4102" s="5">
        <v>2020</v>
      </c>
      <c r="G4102" s="9" t="s">
        <v>2480</v>
      </c>
      <c r="H4102" s="32">
        <v>200</v>
      </c>
      <c r="I4102" s="32">
        <v>200</v>
      </c>
      <c r="J4102" s="32"/>
      <c r="K4102" s="10"/>
      <c r="L4102" s="10">
        <v>20201118</v>
      </c>
      <c r="M4102" s="36" t="str">
        <f t="shared" si="64"/>
        <v>19730217</v>
      </c>
    </row>
    <row r="4103" s="1" customFormat="1" ht="14.25" spans="1:13">
      <c r="A4103" s="2">
        <v>5336</v>
      </c>
      <c r="B4103" s="33" t="s">
        <v>10535</v>
      </c>
      <c r="C4103" s="34" t="s">
        <v>10785</v>
      </c>
      <c r="D4103" s="34" t="s">
        <v>10786</v>
      </c>
      <c r="E4103" s="35">
        <v>2020</v>
      </c>
      <c r="F4103" s="35">
        <v>2020</v>
      </c>
      <c r="G4103" s="35" t="s">
        <v>16</v>
      </c>
      <c r="H4103" s="34">
        <v>200</v>
      </c>
      <c r="I4103" s="34">
        <v>200</v>
      </c>
      <c r="J4103" s="49"/>
      <c r="K4103" s="10"/>
      <c r="L4103" s="10">
        <v>20201118</v>
      </c>
      <c r="M4103" s="36" t="str">
        <f t="shared" si="64"/>
        <v>19730219</v>
      </c>
    </row>
    <row r="4104" s="1" customFormat="1" spans="1:13">
      <c r="A4104" s="2">
        <v>6218</v>
      </c>
      <c r="B4104" s="5" t="s">
        <v>12263</v>
      </c>
      <c r="C4104" s="5" t="s">
        <v>12462</v>
      </c>
      <c r="D4104" s="5" t="s">
        <v>12463</v>
      </c>
      <c r="E4104" s="5" t="s">
        <v>10250</v>
      </c>
      <c r="F4104" s="5">
        <v>2020</v>
      </c>
      <c r="G4104" s="17" t="s">
        <v>3359</v>
      </c>
      <c r="H4104" s="5">
        <v>200</v>
      </c>
      <c r="I4104" s="5">
        <v>200</v>
      </c>
      <c r="J4104" s="5"/>
      <c r="K4104" s="5"/>
      <c r="L4104" s="10">
        <v>20201118</v>
      </c>
      <c r="M4104" s="36" t="str">
        <f t="shared" si="64"/>
        <v>19730219</v>
      </c>
    </row>
    <row r="4105" s="1" customFormat="1" spans="1:13">
      <c r="A4105" s="2">
        <v>2643</v>
      </c>
      <c r="B4105" s="32" t="s">
        <v>5602</v>
      </c>
      <c r="C4105" s="9" t="s">
        <v>5820</v>
      </c>
      <c r="D4105" s="9" t="s">
        <v>5821</v>
      </c>
      <c r="E4105" s="32">
        <v>2020</v>
      </c>
      <c r="F4105" s="32">
        <v>2020</v>
      </c>
      <c r="G4105" s="32" t="s">
        <v>16</v>
      </c>
      <c r="H4105" s="9">
        <v>200</v>
      </c>
      <c r="I4105" s="9">
        <v>200</v>
      </c>
      <c r="J4105" s="32"/>
      <c r="K4105" s="52"/>
      <c r="L4105" s="10">
        <v>20201118</v>
      </c>
      <c r="M4105" s="36" t="str">
        <f t="shared" si="64"/>
        <v>19730220</v>
      </c>
    </row>
    <row r="4106" s="1" customFormat="1" spans="1:13">
      <c r="A4106" s="2">
        <v>7957</v>
      </c>
      <c r="B4106" s="5" t="s">
        <v>15086</v>
      </c>
      <c r="C4106" s="6" t="s">
        <v>15230</v>
      </c>
      <c r="D4106" s="6" t="str">
        <f>"152326197302206861"</f>
        <v>152326197302206861</v>
      </c>
      <c r="E4106" s="5" t="s">
        <v>15</v>
      </c>
      <c r="F4106" s="5">
        <v>2020</v>
      </c>
      <c r="G4106" s="5" t="s">
        <v>16</v>
      </c>
      <c r="H4106" s="5">
        <v>200</v>
      </c>
      <c r="I4106" s="5">
        <v>200</v>
      </c>
      <c r="J4106" s="5"/>
      <c r="K4106" s="5"/>
      <c r="L4106" s="10">
        <v>20201118</v>
      </c>
      <c r="M4106" s="36" t="str">
        <f t="shared" si="64"/>
        <v>19730220</v>
      </c>
    </row>
    <row r="4107" s="1" customFormat="1" spans="1:13">
      <c r="A4107" s="2">
        <v>1110</v>
      </c>
      <c r="B4107" s="5" t="s">
        <v>2469</v>
      </c>
      <c r="C4107" s="9" t="s">
        <v>2806</v>
      </c>
      <c r="D4107" s="9" t="s">
        <v>2807</v>
      </c>
      <c r="E4107" s="5">
        <v>2020</v>
      </c>
      <c r="F4107" s="5">
        <v>2020</v>
      </c>
      <c r="G4107" s="9" t="s">
        <v>2480</v>
      </c>
      <c r="H4107" s="9">
        <v>200</v>
      </c>
      <c r="I4107" s="9">
        <v>200</v>
      </c>
      <c r="J4107" s="5"/>
      <c r="K4107" s="5"/>
      <c r="L4107" s="10">
        <v>20201118</v>
      </c>
      <c r="M4107" s="36" t="str">
        <f t="shared" si="64"/>
        <v>19730221</v>
      </c>
    </row>
    <row r="4108" s="1" customFormat="1" spans="1:13">
      <c r="A4108" s="2">
        <v>2644</v>
      </c>
      <c r="B4108" s="32" t="s">
        <v>5602</v>
      </c>
      <c r="C4108" s="9" t="s">
        <v>5822</v>
      </c>
      <c r="D4108" s="9" t="s">
        <v>5823</v>
      </c>
      <c r="E4108" s="32">
        <v>2020</v>
      </c>
      <c r="F4108" s="32">
        <v>2020</v>
      </c>
      <c r="G4108" s="32" t="s">
        <v>16</v>
      </c>
      <c r="H4108" s="9">
        <v>200</v>
      </c>
      <c r="I4108" s="9">
        <v>200</v>
      </c>
      <c r="J4108" s="32" t="s">
        <v>108</v>
      </c>
      <c r="K4108" s="52"/>
      <c r="L4108" s="10">
        <v>20201118</v>
      </c>
      <c r="M4108" s="36" t="str">
        <f t="shared" si="64"/>
        <v>19730223</v>
      </c>
    </row>
    <row r="4109" s="1" customFormat="1" spans="1:13">
      <c r="A4109" s="2">
        <v>4291</v>
      </c>
      <c r="B4109" s="9" t="s">
        <v>8515</v>
      </c>
      <c r="C4109" s="9" t="s">
        <v>1315</v>
      </c>
      <c r="D4109" s="9" t="s">
        <v>8775</v>
      </c>
      <c r="E4109" s="5" t="s">
        <v>15</v>
      </c>
      <c r="F4109" s="5">
        <v>2020</v>
      </c>
      <c r="G4109" s="9" t="s">
        <v>2480</v>
      </c>
      <c r="H4109" s="9">
        <v>200</v>
      </c>
      <c r="I4109" s="9">
        <v>200</v>
      </c>
      <c r="J4109" s="9"/>
      <c r="K4109" s="9"/>
      <c r="L4109" s="10">
        <v>20201118</v>
      </c>
      <c r="M4109" s="36" t="str">
        <f t="shared" si="64"/>
        <v>19730223</v>
      </c>
    </row>
    <row r="4110" s="1" customFormat="1" spans="1:13">
      <c r="A4110" s="2">
        <v>4777</v>
      </c>
      <c r="B4110" s="6" t="s">
        <v>9015</v>
      </c>
      <c r="C4110" s="6" t="s">
        <v>9706</v>
      </c>
      <c r="D4110" s="6" t="s">
        <v>9707</v>
      </c>
      <c r="E4110" s="6">
        <v>2020</v>
      </c>
      <c r="F4110" s="6">
        <v>2020</v>
      </c>
      <c r="G4110" s="6" t="s">
        <v>16</v>
      </c>
      <c r="H4110" s="6">
        <v>200</v>
      </c>
      <c r="I4110" s="6">
        <v>200</v>
      </c>
      <c r="J4110" s="6"/>
      <c r="K4110" s="6"/>
      <c r="L4110" s="10">
        <v>20201118</v>
      </c>
      <c r="M4110" s="36" t="str">
        <f t="shared" si="64"/>
        <v>19730224</v>
      </c>
    </row>
    <row r="4111" s="1" customFormat="1" spans="1:13">
      <c r="A4111" s="2">
        <v>3878</v>
      </c>
      <c r="B4111" s="5" t="s">
        <v>7412</v>
      </c>
      <c r="C4111" s="5" t="s">
        <v>7992</v>
      </c>
      <c r="D4111" s="5" t="s">
        <v>7993</v>
      </c>
      <c r="E4111" s="6">
        <v>2020</v>
      </c>
      <c r="F4111" s="6">
        <v>2020</v>
      </c>
      <c r="G4111" s="5" t="s">
        <v>3359</v>
      </c>
      <c r="H4111" s="5">
        <v>200</v>
      </c>
      <c r="I4111" s="5">
        <v>200</v>
      </c>
      <c r="J4111" s="5"/>
      <c r="K4111" s="5"/>
      <c r="L4111" s="10">
        <v>20201118</v>
      </c>
      <c r="M4111" s="36" t="str">
        <f t="shared" si="64"/>
        <v>19730226</v>
      </c>
    </row>
    <row r="4112" s="1" customFormat="1" spans="1:13">
      <c r="A4112" s="2">
        <v>4292</v>
      </c>
      <c r="B4112" s="9" t="s">
        <v>8515</v>
      </c>
      <c r="C4112" s="9" t="s">
        <v>8776</v>
      </c>
      <c r="D4112" s="9" t="s">
        <v>8777</v>
      </c>
      <c r="E4112" s="5" t="s">
        <v>15</v>
      </c>
      <c r="F4112" s="5">
        <v>2020</v>
      </c>
      <c r="G4112" s="9" t="s">
        <v>2480</v>
      </c>
      <c r="H4112" s="9">
        <v>200</v>
      </c>
      <c r="I4112" s="9">
        <v>200</v>
      </c>
      <c r="J4112" s="9"/>
      <c r="K4112" s="9"/>
      <c r="L4112" s="10">
        <v>20201118</v>
      </c>
      <c r="M4112" s="36" t="str">
        <f t="shared" si="64"/>
        <v>19730226</v>
      </c>
    </row>
    <row r="4113" s="1" customFormat="1" spans="1:13">
      <c r="A4113" s="2">
        <v>1111</v>
      </c>
      <c r="B4113" s="5" t="s">
        <v>2469</v>
      </c>
      <c r="C4113" s="9" t="s">
        <v>2808</v>
      </c>
      <c r="D4113" s="9" t="s">
        <v>2809</v>
      </c>
      <c r="E4113" s="5">
        <v>2020</v>
      </c>
      <c r="F4113" s="5">
        <v>2020</v>
      </c>
      <c r="G4113" s="9" t="s">
        <v>2480</v>
      </c>
      <c r="H4113" s="9">
        <v>200</v>
      </c>
      <c r="I4113" s="9">
        <v>200</v>
      </c>
      <c r="J4113" s="5"/>
      <c r="K4113" s="5"/>
      <c r="L4113" s="10">
        <v>20201118</v>
      </c>
      <c r="M4113" s="36" t="str">
        <f t="shared" si="64"/>
        <v>19730228</v>
      </c>
    </row>
    <row r="4114" s="1" customFormat="1" ht="14.25" spans="1:13">
      <c r="A4114" s="2">
        <v>7698</v>
      </c>
      <c r="B4114" s="5" t="s">
        <v>14875</v>
      </c>
      <c r="C4114" s="51" t="s">
        <v>8531</v>
      </c>
      <c r="D4114" s="24" t="str">
        <f>"152326197303017149"</f>
        <v>152326197303017149</v>
      </c>
      <c r="E4114" s="6" t="s">
        <v>15</v>
      </c>
      <c r="F4114" s="6">
        <v>2020</v>
      </c>
      <c r="G4114" s="24" t="s">
        <v>14877</v>
      </c>
      <c r="H4114" s="6">
        <v>200</v>
      </c>
      <c r="I4114" s="6">
        <v>200</v>
      </c>
      <c r="J4114" s="6"/>
      <c r="K4114" s="10"/>
      <c r="L4114" s="10">
        <v>20201118</v>
      </c>
      <c r="M4114" s="36" t="str">
        <f t="shared" si="64"/>
        <v>19730301</v>
      </c>
    </row>
    <row r="4115" s="1" customFormat="1" spans="1:13">
      <c r="A4115" s="2">
        <v>21</v>
      </c>
      <c r="B4115" s="31" t="s">
        <v>12</v>
      </c>
      <c r="C4115" s="17" t="s">
        <v>56</v>
      </c>
      <c r="D4115" s="17" t="s">
        <v>57</v>
      </c>
      <c r="E4115" s="3" t="s">
        <v>15</v>
      </c>
      <c r="F4115" s="3" t="s">
        <v>15</v>
      </c>
      <c r="G4115" s="2" t="s">
        <v>16</v>
      </c>
      <c r="H4115" s="17">
        <v>200</v>
      </c>
      <c r="I4115" s="17">
        <v>200</v>
      </c>
      <c r="J4115" s="31"/>
      <c r="K4115" s="17"/>
      <c r="L4115" s="10">
        <v>20201118</v>
      </c>
      <c r="M4115" s="36" t="str">
        <f t="shared" si="64"/>
        <v>19730303</v>
      </c>
    </row>
    <row r="4116" s="1" customFormat="1" spans="1:13">
      <c r="A4116" s="2">
        <v>2277</v>
      </c>
      <c r="B4116" s="9" t="s">
        <v>4837</v>
      </c>
      <c r="C4116" s="9" t="s">
        <v>5096</v>
      </c>
      <c r="D4116" s="9" t="s">
        <v>5097</v>
      </c>
      <c r="E4116" s="6" t="s">
        <v>15</v>
      </c>
      <c r="F4116" s="6">
        <v>2020</v>
      </c>
      <c r="G4116" s="9" t="s">
        <v>2480</v>
      </c>
      <c r="H4116" s="9">
        <v>200</v>
      </c>
      <c r="I4116" s="9">
        <v>200</v>
      </c>
      <c r="J4116" s="6"/>
      <c r="K4116" s="10"/>
      <c r="L4116" s="10">
        <v>20201118</v>
      </c>
      <c r="M4116" s="36" t="str">
        <f t="shared" si="64"/>
        <v>19730305</v>
      </c>
    </row>
    <row r="4117" s="1" customFormat="1" spans="1:13">
      <c r="A4117" s="2">
        <v>3226</v>
      </c>
      <c r="B4117" s="3" t="s">
        <v>6671</v>
      </c>
      <c r="C4117" s="9" t="s">
        <v>94</v>
      </c>
      <c r="D4117" s="9" t="s">
        <v>6958</v>
      </c>
      <c r="E4117" s="3" t="s">
        <v>15</v>
      </c>
      <c r="F4117" s="3" t="s">
        <v>15</v>
      </c>
      <c r="G4117" s="6" t="s">
        <v>3359</v>
      </c>
      <c r="H4117" s="9">
        <v>200</v>
      </c>
      <c r="I4117" s="9">
        <v>200</v>
      </c>
      <c r="J4117" s="6"/>
      <c r="K4117" s="5"/>
      <c r="L4117" s="10">
        <v>20201118</v>
      </c>
      <c r="M4117" s="36" t="str">
        <f t="shared" si="64"/>
        <v>19730305</v>
      </c>
    </row>
    <row r="4118" s="1" customFormat="1" spans="1:13">
      <c r="A4118" s="2">
        <v>4293</v>
      </c>
      <c r="B4118" s="9" t="s">
        <v>8515</v>
      </c>
      <c r="C4118" s="9" t="s">
        <v>8778</v>
      </c>
      <c r="D4118" s="9" t="s">
        <v>8779</v>
      </c>
      <c r="E4118" s="5" t="s">
        <v>15</v>
      </c>
      <c r="F4118" s="5">
        <v>2020</v>
      </c>
      <c r="G4118" s="9" t="s">
        <v>2480</v>
      </c>
      <c r="H4118" s="9">
        <v>200</v>
      </c>
      <c r="I4118" s="9">
        <v>200</v>
      </c>
      <c r="J4118" s="9" t="s">
        <v>1242</v>
      </c>
      <c r="K4118" s="9"/>
      <c r="L4118" s="10">
        <v>20201118</v>
      </c>
      <c r="M4118" s="36" t="str">
        <f t="shared" si="64"/>
        <v>19730305</v>
      </c>
    </row>
    <row r="4119" s="1" customFormat="1" spans="1:13">
      <c r="A4119" s="2">
        <v>100</v>
      </c>
      <c r="B4119" s="3" t="s">
        <v>12</v>
      </c>
      <c r="C4119" s="6" t="s">
        <v>216</v>
      </c>
      <c r="D4119" s="6" t="s">
        <v>217</v>
      </c>
      <c r="E4119" s="3" t="s">
        <v>15</v>
      </c>
      <c r="F4119" s="3" t="s">
        <v>15</v>
      </c>
      <c r="G4119" s="3" t="s">
        <v>189</v>
      </c>
      <c r="H4119" s="3">
        <v>200</v>
      </c>
      <c r="I4119" s="3">
        <v>200</v>
      </c>
      <c r="J4119" s="3"/>
      <c r="K4119" s="3"/>
      <c r="L4119" s="10">
        <v>20201118</v>
      </c>
      <c r="M4119" s="36" t="str">
        <f t="shared" si="64"/>
        <v>19730308</v>
      </c>
    </row>
    <row r="4120" s="1" customFormat="1" spans="1:13">
      <c r="A4120" s="2">
        <v>1645</v>
      </c>
      <c r="B4120" s="5" t="s">
        <v>3381</v>
      </c>
      <c r="C4120" s="9" t="s">
        <v>3852</v>
      </c>
      <c r="D4120" s="9" t="s">
        <v>3853</v>
      </c>
      <c r="E4120" s="5">
        <v>2020</v>
      </c>
      <c r="F4120" s="5">
        <v>2020</v>
      </c>
      <c r="G4120" s="14" t="s">
        <v>16</v>
      </c>
      <c r="H4120" s="6">
        <v>200</v>
      </c>
      <c r="I4120" s="6">
        <v>200</v>
      </c>
      <c r="J4120" s="5"/>
      <c r="K4120" s="13"/>
      <c r="L4120" s="10">
        <v>20201118</v>
      </c>
      <c r="M4120" s="36" t="str">
        <f t="shared" si="64"/>
        <v>19730308</v>
      </c>
    </row>
    <row r="4121" s="1" customFormat="1" spans="1:13">
      <c r="A4121" s="2">
        <v>6645</v>
      </c>
      <c r="B4121" s="5" t="s">
        <v>13027</v>
      </c>
      <c r="C4121" s="15" t="s">
        <v>13271</v>
      </c>
      <c r="D4121" s="15" t="s">
        <v>13272</v>
      </c>
      <c r="E4121" s="5">
        <v>2020</v>
      </c>
      <c r="F4121" s="5">
        <v>2020</v>
      </c>
      <c r="G4121" s="14" t="s">
        <v>16</v>
      </c>
      <c r="H4121" s="15">
        <v>200</v>
      </c>
      <c r="I4121" s="15">
        <v>200</v>
      </c>
      <c r="J4121" s="5"/>
      <c r="K4121" s="10"/>
      <c r="L4121" s="10">
        <v>20201118</v>
      </c>
      <c r="M4121" s="36" t="str">
        <f t="shared" si="64"/>
        <v>19730308</v>
      </c>
    </row>
    <row r="4122" s="1" customFormat="1" spans="1:13">
      <c r="A4122" s="2">
        <v>789</v>
      </c>
      <c r="B4122" s="29" t="s">
        <v>1040</v>
      </c>
      <c r="C4122" s="5" t="s">
        <v>2017</v>
      </c>
      <c r="D4122" s="317" t="s">
        <v>2018</v>
      </c>
      <c r="E4122" s="30">
        <v>2020</v>
      </c>
      <c r="F4122" s="30">
        <v>2020</v>
      </c>
      <c r="G4122" s="29" t="s">
        <v>16</v>
      </c>
      <c r="H4122" s="29">
        <v>200</v>
      </c>
      <c r="I4122" s="29">
        <v>200</v>
      </c>
      <c r="J4122" s="32"/>
      <c r="K4122" s="32"/>
      <c r="L4122" s="14" t="s">
        <v>330</v>
      </c>
      <c r="M4122" s="36" t="str">
        <f t="shared" si="64"/>
        <v>19730310</v>
      </c>
    </row>
    <row r="4123" s="1" customFormat="1" spans="1:13">
      <c r="A4123" s="2">
        <v>3879</v>
      </c>
      <c r="B4123" s="5" t="s">
        <v>7412</v>
      </c>
      <c r="C4123" s="5" t="s">
        <v>5968</v>
      </c>
      <c r="D4123" s="5" t="s">
        <v>7994</v>
      </c>
      <c r="E4123" s="6">
        <v>2020</v>
      </c>
      <c r="F4123" s="6">
        <v>2020</v>
      </c>
      <c r="G4123" s="5" t="s">
        <v>3359</v>
      </c>
      <c r="H4123" s="5">
        <v>200</v>
      </c>
      <c r="I4123" s="5">
        <v>200</v>
      </c>
      <c r="J4123" s="5"/>
      <c r="K4123" s="5"/>
      <c r="L4123" s="10">
        <v>20201118</v>
      </c>
      <c r="M4123" s="36" t="str">
        <f t="shared" si="64"/>
        <v>19730310</v>
      </c>
    </row>
    <row r="4124" s="1" customFormat="1" spans="1:13">
      <c r="A4124" s="2">
        <v>6903</v>
      </c>
      <c r="B4124" s="5" t="s">
        <v>13533</v>
      </c>
      <c r="C4124" s="32" t="s">
        <v>13653</v>
      </c>
      <c r="D4124" s="32" t="s">
        <v>13654</v>
      </c>
      <c r="E4124" s="5">
        <v>2020</v>
      </c>
      <c r="F4124" s="5">
        <v>2020</v>
      </c>
      <c r="G4124" s="9" t="s">
        <v>2480</v>
      </c>
      <c r="H4124" s="32">
        <v>200</v>
      </c>
      <c r="I4124" s="32">
        <v>200</v>
      </c>
      <c r="J4124" s="32"/>
      <c r="K4124" s="10"/>
      <c r="L4124" s="10">
        <v>20201118</v>
      </c>
      <c r="M4124" s="36" t="str">
        <f t="shared" si="64"/>
        <v>19730310</v>
      </c>
    </row>
    <row r="4125" s="1" customFormat="1" spans="1:13">
      <c r="A4125" s="2">
        <v>3088</v>
      </c>
      <c r="B4125" s="3" t="s">
        <v>6671</v>
      </c>
      <c r="C4125" s="9" t="s">
        <v>6701</v>
      </c>
      <c r="D4125" s="9" t="s">
        <v>6702</v>
      </c>
      <c r="E4125" s="3" t="s">
        <v>15</v>
      </c>
      <c r="F4125" s="3" t="s">
        <v>15</v>
      </c>
      <c r="G4125" s="6" t="s">
        <v>3359</v>
      </c>
      <c r="H4125" s="9">
        <v>200</v>
      </c>
      <c r="I4125" s="9">
        <v>200</v>
      </c>
      <c r="J4125" s="6" t="s">
        <v>108</v>
      </c>
      <c r="K4125" s="5"/>
      <c r="L4125" s="10">
        <v>20201118</v>
      </c>
      <c r="M4125" s="36" t="str">
        <f t="shared" si="64"/>
        <v>19730312</v>
      </c>
    </row>
    <row r="4126" s="1" customFormat="1" spans="1:13">
      <c r="A4126" s="2">
        <v>3880</v>
      </c>
      <c r="B4126" s="5" t="s">
        <v>7412</v>
      </c>
      <c r="C4126" s="5" t="s">
        <v>7995</v>
      </c>
      <c r="D4126" s="5" t="s">
        <v>7996</v>
      </c>
      <c r="E4126" s="6">
        <v>2020</v>
      </c>
      <c r="F4126" s="6">
        <v>2020</v>
      </c>
      <c r="G4126" s="5" t="s">
        <v>3359</v>
      </c>
      <c r="H4126" s="5">
        <v>200</v>
      </c>
      <c r="I4126" s="5">
        <v>200</v>
      </c>
      <c r="J4126" s="5"/>
      <c r="K4126" s="5"/>
      <c r="L4126" s="10">
        <v>20201118</v>
      </c>
      <c r="M4126" s="36" t="str">
        <f t="shared" si="64"/>
        <v>19730313</v>
      </c>
    </row>
    <row r="4127" s="1" customFormat="1" spans="1:13">
      <c r="A4127" s="2">
        <v>1112</v>
      </c>
      <c r="B4127" s="5" t="s">
        <v>2469</v>
      </c>
      <c r="C4127" s="9" t="s">
        <v>2810</v>
      </c>
      <c r="D4127" s="9" t="s">
        <v>2811</v>
      </c>
      <c r="E4127" s="5">
        <v>2020</v>
      </c>
      <c r="F4127" s="5">
        <v>2020</v>
      </c>
      <c r="G4127" s="9" t="s">
        <v>2480</v>
      </c>
      <c r="H4127" s="9">
        <v>200</v>
      </c>
      <c r="I4127" s="9">
        <v>200</v>
      </c>
      <c r="J4127" s="5"/>
      <c r="K4127" s="5"/>
      <c r="L4127" s="10">
        <v>20201118</v>
      </c>
      <c r="M4127" s="36" t="str">
        <f t="shared" si="64"/>
        <v>19730314</v>
      </c>
    </row>
    <row r="4128" s="1" customFormat="1" spans="1:13">
      <c r="A4128" s="2">
        <v>6902</v>
      </c>
      <c r="B4128" s="5" t="s">
        <v>13533</v>
      </c>
      <c r="C4128" s="32" t="s">
        <v>13652</v>
      </c>
      <c r="D4128" s="32" t="str">
        <f>"152326197303147111"</f>
        <v>152326197303147111</v>
      </c>
      <c r="E4128" s="5">
        <v>2020</v>
      </c>
      <c r="F4128" s="5">
        <v>2020</v>
      </c>
      <c r="G4128" s="9" t="s">
        <v>2480</v>
      </c>
      <c r="H4128" s="32">
        <v>200</v>
      </c>
      <c r="I4128" s="32">
        <v>200</v>
      </c>
      <c r="J4128" s="32"/>
      <c r="K4128" s="10"/>
      <c r="L4128" s="10">
        <v>20201118</v>
      </c>
      <c r="M4128" s="36" t="str">
        <f t="shared" si="64"/>
        <v>19730314</v>
      </c>
    </row>
    <row r="4129" s="1" customFormat="1" ht="14.25" spans="1:13">
      <c r="A4129" s="2">
        <v>5337</v>
      </c>
      <c r="B4129" s="33" t="s">
        <v>10535</v>
      </c>
      <c r="C4129" s="34" t="s">
        <v>10787</v>
      </c>
      <c r="D4129" s="34" t="s">
        <v>10788</v>
      </c>
      <c r="E4129" s="35">
        <v>2020</v>
      </c>
      <c r="F4129" s="35">
        <v>2020</v>
      </c>
      <c r="G4129" s="35" t="s">
        <v>16</v>
      </c>
      <c r="H4129" s="34">
        <v>200</v>
      </c>
      <c r="I4129" s="34">
        <v>200</v>
      </c>
      <c r="J4129" s="49"/>
      <c r="K4129" s="10"/>
      <c r="L4129" s="10">
        <v>20201118</v>
      </c>
      <c r="M4129" s="36" t="str">
        <f t="shared" si="64"/>
        <v>19730315</v>
      </c>
    </row>
    <row r="4130" s="1" customFormat="1" spans="1:13">
      <c r="A4130" s="2">
        <v>1812</v>
      </c>
      <c r="B4130" s="5" t="s">
        <v>4189</v>
      </c>
      <c r="C4130" s="16" t="s">
        <v>4190</v>
      </c>
      <c r="D4130" s="16" t="s">
        <v>4191</v>
      </c>
      <c r="E4130" s="5" t="s">
        <v>15</v>
      </c>
      <c r="F4130" s="5" t="s">
        <v>15</v>
      </c>
      <c r="G4130" s="5" t="s">
        <v>3359</v>
      </c>
      <c r="H4130" s="16">
        <v>200</v>
      </c>
      <c r="I4130" s="16">
        <v>200</v>
      </c>
      <c r="J4130" s="5"/>
      <c r="K4130" s="10"/>
      <c r="L4130" s="10">
        <v>20201118</v>
      </c>
      <c r="M4130" s="36" t="str">
        <f t="shared" si="64"/>
        <v>19730316</v>
      </c>
    </row>
    <row r="4131" s="1" customFormat="1" spans="1:13">
      <c r="A4131" s="2">
        <v>3380</v>
      </c>
      <c r="B4131" s="5" t="s">
        <v>3375</v>
      </c>
      <c r="C4131" s="6" t="s">
        <v>7158</v>
      </c>
      <c r="D4131" s="6" t="str">
        <f>"152326197303166873"</f>
        <v>152326197303166873</v>
      </c>
      <c r="E4131" s="5" t="s">
        <v>15</v>
      </c>
      <c r="F4131" s="5">
        <v>2020</v>
      </c>
      <c r="G4131" s="14" t="s">
        <v>16</v>
      </c>
      <c r="H4131" s="17">
        <v>200</v>
      </c>
      <c r="I4131" s="17">
        <v>200</v>
      </c>
      <c r="J4131" s="6"/>
      <c r="K4131" s="10"/>
      <c r="L4131" s="10">
        <v>20201118</v>
      </c>
      <c r="M4131" s="36" t="str">
        <f t="shared" si="64"/>
        <v>19730316</v>
      </c>
    </row>
    <row r="4132" s="1" customFormat="1" spans="1:13">
      <c r="A4132" s="2">
        <v>1113</v>
      </c>
      <c r="B4132" s="5" t="s">
        <v>2469</v>
      </c>
      <c r="C4132" s="9" t="s">
        <v>2812</v>
      </c>
      <c r="D4132" s="9" t="s">
        <v>2813</v>
      </c>
      <c r="E4132" s="5">
        <v>2020</v>
      </c>
      <c r="F4132" s="5">
        <v>2020</v>
      </c>
      <c r="G4132" s="9" t="s">
        <v>2480</v>
      </c>
      <c r="H4132" s="9">
        <v>200</v>
      </c>
      <c r="I4132" s="9">
        <v>200</v>
      </c>
      <c r="J4132" s="5"/>
      <c r="K4132" s="5"/>
      <c r="L4132" s="10">
        <v>20201118</v>
      </c>
      <c r="M4132" s="36" t="str">
        <f t="shared" si="64"/>
        <v>19730317</v>
      </c>
    </row>
    <row r="4133" s="1" customFormat="1" spans="1:13">
      <c r="A4133" s="2">
        <v>5131</v>
      </c>
      <c r="B4133" s="6" t="s">
        <v>10242</v>
      </c>
      <c r="C4133" s="9" t="s">
        <v>10390</v>
      </c>
      <c r="D4133" s="9" t="s">
        <v>10391</v>
      </c>
      <c r="E4133" s="5" t="s">
        <v>10250</v>
      </c>
      <c r="F4133" s="5">
        <v>2020</v>
      </c>
      <c r="G4133" s="6" t="s">
        <v>16</v>
      </c>
      <c r="H4133" s="6">
        <v>200</v>
      </c>
      <c r="I4133" s="6">
        <v>200</v>
      </c>
      <c r="J4133" s="6"/>
      <c r="K4133" s="5"/>
      <c r="L4133" s="10">
        <v>20201118</v>
      </c>
      <c r="M4133" s="36" t="str">
        <f t="shared" si="64"/>
        <v>19730317</v>
      </c>
    </row>
    <row r="4134" s="1" customFormat="1" spans="1:13">
      <c r="A4134" s="2">
        <v>679</v>
      </c>
      <c r="B4134" s="29" t="s">
        <v>1040</v>
      </c>
      <c r="C4134" s="47" t="s">
        <v>1689</v>
      </c>
      <c r="D4134" s="47" t="s">
        <v>1690</v>
      </c>
      <c r="E4134" s="30">
        <v>2020</v>
      </c>
      <c r="F4134" s="30">
        <v>2020</v>
      </c>
      <c r="G4134" s="29" t="s">
        <v>16</v>
      </c>
      <c r="H4134" s="29">
        <v>200</v>
      </c>
      <c r="I4134" s="29">
        <v>200</v>
      </c>
      <c r="J4134" s="29"/>
      <c r="K4134" s="54"/>
      <c r="L4134" s="2" t="s">
        <v>330</v>
      </c>
      <c r="M4134" s="36" t="str">
        <f t="shared" si="64"/>
        <v>19730318</v>
      </c>
    </row>
    <row r="4135" s="1" customFormat="1" spans="1:13">
      <c r="A4135" s="2">
        <v>4294</v>
      </c>
      <c r="B4135" s="9" t="s">
        <v>8515</v>
      </c>
      <c r="C4135" s="9" t="s">
        <v>8780</v>
      </c>
      <c r="D4135" s="9" t="s">
        <v>8781</v>
      </c>
      <c r="E4135" s="5" t="s">
        <v>15</v>
      </c>
      <c r="F4135" s="5">
        <v>2020</v>
      </c>
      <c r="G4135" s="9" t="s">
        <v>2480</v>
      </c>
      <c r="H4135" s="9">
        <v>200</v>
      </c>
      <c r="I4135" s="9">
        <v>200</v>
      </c>
      <c r="J4135" s="9"/>
      <c r="K4135" s="9"/>
      <c r="L4135" s="10">
        <v>20201118</v>
      </c>
      <c r="M4135" s="36" t="str">
        <f t="shared" si="64"/>
        <v>19730318</v>
      </c>
    </row>
    <row r="4136" s="1" customFormat="1" spans="1:13">
      <c r="A4136" s="2">
        <v>1114</v>
      </c>
      <c r="B4136" s="5" t="s">
        <v>2469</v>
      </c>
      <c r="C4136" s="9" t="s">
        <v>2814</v>
      </c>
      <c r="D4136" s="9" t="s">
        <v>2815</v>
      </c>
      <c r="E4136" s="5">
        <v>2020</v>
      </c>
      <c r="F4136" s="5">
        <v>2020</v>
      </c>
      <c r="G4136" s="9" t="s">
        <v>2480</v>
      </c>
      <c r="H4136" s="9">
        <v>200</v>
      </c>
      <c r="I4136" s="9">
        <v>200</v>
      </c>
      <c r="J4136" s="5"/>
      <c r="K4136" s="5"/>
      <c r="L4136" s="10">
        <v>20201118</v>
      </c>
      <c r="M4136" s="36" t="str">
        <f t="shared" si="64"/>
        <v>19730319</v>
      </c>
    </row>
    <row r="4137" s="1" customFormat="1" spans="1:13">
      <c r="A4137" s="2">
        <v>4767</v>
      </c>
      <c r="B4137" s="6" t="s">
        <v>9015</v>
      </c>
      <c r="C4137" s="6" t="s">
        <v>9688</v>
      </c>
      <c r="D4137" s="6" t="s">
        <v>9689</v>
      </c>
      <c r="E4137" s="6">
        <v>2020</v>
      </c>
      <c r="F4137" s="6">
        <v>2020</v>
      </c>
      <c r="G4137" s="6" t="s">
        <v>16</v>
      </c>
      <c r="H4137" s="6">
        <v>200</v>
      </c>
      <c r="I4137" s="6">
        <v>200</v>
      </c>
      <c r="J4137" s="6"/>
      <c r="K4137" s="6"/>
      <c r="L4137" s="10">
        <v>20201118</v>
      </c>
      <c r="M4137" s="36" t="str">
        <f t="shared" si="64"/>
        <v>19730324</v>
      </c>
    </row>
    <row r="4138" s="1" customFormat="1" spans="1:13">
      <c r="A4138" s="2">
        <v>2456</v>
      </c>
      <c r="B4138" s="5" t="s">
        <v>5328</v>
      </c>
      <c r="C4138" s="16" t="s">
        <v>5451</v>
      </c>
      <c r="D4138" s="16" t="s">
        <v>5452</v>
      </c>
      <c r="E4138" s="5" t="s">
        <v>15</v>
      </c>
      <c r="F4138" s="5" t="s">
        <v>15</v>
      </c>
      <c r="G4138" s="14" t="s">
        <v>16</v>
      </c>
      <c r="H4138" s="6">
        <v>200</v>
      </c>
      <c r="I4138" s="6">
        <v>200</v>
      </c>
      <c r="J4138" s="5"/>
      <c r="K4138" s="5"/>
      <c r="L4138" s="10">
        <v>20201118</v>
      </c>
      <c r="M4138" s="36" t="str">
        <f t="shared" si="64"/>
        <v>19730325</v>
      </c>
    </row>
    <row r="4139" s="1" customFormat="1" ht="14.25" spans="1:13">
      <c r="A4139" s="2">
        <v>2978</v>
      </c>
      <c r="B4139" s="6" t="s">
        <v>6075</v>
      </c>
      <c r="C4139" s="25" t="s">
        <v>6481</v>
      </c>
      <c r="D4139" s="26" t="s">
        <v>6482</v>
      </c>
      <c r="E4139" s="5" t="s">
        <v>15</v>
      </c>
      <c r="F4139" s="5">
        <v>2020</v>
      </c>
      <c r="G4139" s="6" t="s">
        <v>16</v>
      </c>
      <c r="H4139" s="6">
        <v>200</v>
      </c>
      <c r="I4139" s="6">
        <v>200</v>
      </c>
      <c r="J4139" s="6"/>
      <c r="K4139" s="10"/>
      <c r="L4139" s="10">
        <v>20201118</v>
      </c>
      <c r="M4139" s="36" t="str">
        <f t="shared" si="64"/>
        <v>19730325</v>
      </c>
    </row>
    <row r="4140" s="1" customFormat="1" spans="1:13">
      <c r="A4140" s="2">
        <v>5543</v>
      </c>
      <c r="B4140" s="30" t="s">
        <v>11090</v>
      </c>
      <c r="C4140" s="30" t="s">
        <v>11182</v>
      </c>
      <c r="D4140" s="30" t="s">
        <v>11183</v>
      </c>
      <c r="E4140" s="5" t="s">
        <v>15</v>
      </c>
      <c r="F4140" s="5" t="s">
        <v>10250</v>
      </c>
      <c r="G4140" s="6" t="s">
        <v>16</v>
      </c>
      <c r="H4140" s="32">
        <v>200</v>
      </c>
      <c r="I4140" s="32">
        <v>200</v>
      </c>
      <c r="J4140" s="6"/>
      <c r="K4140" s="48"/>
      <c r="L4140" s="10">
        <v>20201118</v>
      </c>
      <c r="M4140" s="36" t="str">
        <f t="shared" si="64"/>
        <v>19730327</v>
      </c>
    </row>
    <row r="4141" s="1" customFormat="1" ht="14.25" spans="1:13">
      <c r="A4141" s="2">
        <v>7699</v>
      </c>
      <c r="B4141" s="5" t="s">
        <v>14875</v>
      </c>
      <c r="C4141" s="51" t="s">
        <v>14941</v>
      </c>
      <c r="D4141" s="24" t="s">
        <v>14942</v>
      </c>
      <c r="E4141" s="6" t="s">
        <v>15</v>
      </c>
      <c r="F4141" s="6">
        <v>2020</v>
      </c>
      <c r="G4141" s="24" t="s">
        <v>14877</v>
      </c>
      <c r="H4141" s="6">
        <v>200</v>
      </c>
      <c r="I4141" s="6">
        <v>200</v>
      </c>
      <c r="J4141" s="6"/>
      <c r="K4141" s="10"/>
      <c r="L4141" s="10">
        <v>20201118</v>
      </c>
      <c r="M4141" s="36" t="str">
        <f t="shared" si="64"/>
        <v>19730329</v>
      </c>
    </row>
    <row r="4142" s="1" customFormat="1" spans="1:13">
      <c r="A4142" s="2">
        <v>933</v>
      </c>
      <c r="B4142" s="29" t="s">
        <v>1040</v>
      </c>
      <c r="C4142" s="6" t="s">
        <v>2446</v>
      </c>
      <c r="D4142" s="6" t="s">
        <v>2447</v>
      </c>
      <c r="E4142" s="30">
        <v>2020</v>
      </c>
      <c r="F4142" s="30">
        <v>2020</v>
      </c>
      <c r="G4142" s="29" t="s">
        <v>16</v>
      </c>
      <c r="H4142" s="29">
        <v>200</v>
      </c>
      <c r="I4142" s="29">
        <v>200</v>
      </c>
      <c r="J4142" s="32"/>
      <c r="K4142" s="32"/>
      <c r="L4142" s="2" t="s">
        <v>330</v>
      </c>
      <c r="M4142" s="36" t="str">
        <f t="shared" si="64"/>
        <v>19730330</v>
      </c>
    </row>
    <row r="4143" s="1" customFormat="1" spans="1:13">
      <c r="A4143" s="2">
        <v>1115</v>
      </c>
      <c r="B4143" s="5" t="s">
        <v>2469</v>
      </c>
      <c r="C4143" s="9" t="s">
        <v>2816</v>
      </c>
      <c r="D4143" s="9" t="s">
        <v>2817</v>
      </c>
      <c r="E4143" s="5">
        <v>2020</v>
      </c>
      <c r="F4143" s="5">
        <v>2020</v>
      </c>
      <c r="G4143" s="9" t="s">
        <v>2480</v>
      </c>
      <c r="H4143" s="9">
        <v>200</v>
      </c>
      <c r="I4143" s="9">
        <v>200</v>
      </c>
      <c r="J4143" s="5"/>
      <c r="K4143" s="5"/>
      <c r="L4143" s="10">
        <v>20201118</v>
      </c>
      <c r="M4143" s="36" t="str">
        <f t="shared" si="64"/>
        <v>19730401</v>
      </c>
    </row>
    <row r="4144" s="1" customFormat="1" ht="14.25" spans="1:13">
      <c r="A4144" s="2">
        <v>5993</v>
      </c>
      <c r="B4144" s="30" t="s">
        <v>11090</v>
      </c>
      <c r="C4144" s="32" t="s">
        <v>12031</v>
      </c>
      <c r="D4144" s="12" t="s">
        <v>12032</v>
      </c>
      <c r="E4144" s="5" t="s">
        <v>15</v>
      </c>
      <c r="F4144" s="5" t="s">
        <v>10250</v>
      </c>
      <c r="G4144" s="6" t="s">
        <v>16</v>
      </c>
      <c r="H4144" s="32">
        <v>200</v>
      </c>
      <c r="I4144" s="32">
        <v>200</v>
      </c>
      <c r="J4144" s="5"/>
      <c r="K4144" s="48"/>
      <c r="L4144" s="10">
        <v>20201118</v>
      </c>
      <c r="M4144" s="36" t="str">
        <f t="shared" si="64"/>
        <v>19730401</v>
      </c>
    </row>
    <row r="4145" s="1" customFormat="1" ht="14.25" spans="1:13">
      <c r="A4145" s="2">
        <v>2955</v>
      </c>
      <c r="B4145" s="6" t="s">
        <v>6075</v>
      </c>
      <c r="C4145" s="25" t="s">
        <v>6437</v>
      </c>
      <c r="D4145" s="26" t="s">
        <v>6438</v>
      </c>
      <c r="E4145" s="5" t="s">
        <v>15</v>
      </c>
      <c r="F4145" s="5">
        <v>2020</v>
      </c>
      <c r="G4145" s="6" t="s">
        <v>16</v>
      </c>
      <c r="H4145" s="6">
        <v>200</v>
      </c>
      <c r="I4145" s="6">
        <v>200</v>
      </c>
      <c r="J4145" s="6"/>
      <c r="K4145" s="10"/>
      <c r="L4145" s="10">
        <v>20201118</v>
      </c>
      <c r="M4145" s="36" t="str">
        <f t="shared" si="64"/>
        <v>19730402</v>
      </c>
    </row>
    <row r="4146" s="1" customFormat="1" ht="14.25" spans="1:13">
      <c r="A4146" s="2">
        <v>2983</v>
      </c>
      <c r="B4146" s="6" t="s">
        <v>6075</v>
      </c>
      <c r="C4146" s="25" t="s">
        <v>6491</v>
      </c>
      <c r="D4146" s="26" t="s">
        <v>6492</v>
      </c>
      <c r="E4146" s="5" t="s">
        <v>15</v>
      </c>
      <c r="F4146" s="5">
        <v>2020</v>
      </c>
      <c r="G4146" s="6" t="s">
        <v>16</v>
      </c>
      <c r="H4146" s="6">
        <v>200</v>
      </c>
      <c r="I4146" s="6">
        <v>200</v>
      </c>
      <c r="J4146" s="6"/>
      <c r="K4146" s="10"/>
      <c r="L4146" s="10">
        <v>20201118</v>
      </c>
      <c r="M4146" s="36" t="str">
        <f t="shared" si="64"/>
        <v>19730402</v>
      </c>
    </row>
    <row r="4147" s="1" customFormat="1" spans="1:13">
      <c r="A4147" s="2">
        <v>5132</v>
      </c>
      <c r="B4147" s="6" t="s">
        <v>10242</v>
      </c>
      <c r="C4147" s="9" t="s">
        <v>94</v>
      </c>
      <c r="D4147" s="9" t="s">
        <v>10392</v>
      </c>
      <c r="E4147" s="5" t="s">
        <v>10250</v>
      </c>
      <c r="F4147" s="5">
        <v>2020</v>
      </c>
      <c r="G4147" s="6" t="s">
        <v>16</v>
      </c>
      <c r="H4147" s="6">
        <v>200</v>
      </c>
      <c r="I4147" s="6">
        <v>200</v>
      </c>
      <c r="J4147" s="6"/>
      <c r="K4147" s="5"/>
      <c r="L4147" s="10">
        <v>20201118</v>
      </c>
      <c r="M4147" s="36" t="str">
        <f t="shared" si="64"/>
        <v>19730402</v>
      </c>
    </row>
    <row r="4148" s="1" customFormat="1" spans="1:13">
      <c r="A4148" s="2">
        <v>3881</v>
      </c>
      <c r="B4148" s="5" t="s">
        <v>7412</v>
      </c>
      <c r="C4148" s="5" t="s">
        <v>7997</v>
      </c>
      <c r="D4148" s="5" t="s">
        <v>7998</v>
      </c>
      <c r="E4148" s="6">
        <v>2020</v>
      </c>
      <c r="F4148" s="6">
        <v>2020</v>
      </c>
      <c r="G4148" s="5" t="s">
        <v>3359</v>
      </c>
      <c r="H4148" s="5">
        <v>200</v>
      </c>
      <c r="I4148" s="5">
        <v>200</v>
      </c>
      <c r="J4148" s="5"/>
      <c r="K4148" s="5"/>
      <c r="L4148" s="10">
        <v>20201118</v>
      </c>
      <c r="M4148" s="36" t="str">
        <f t="shared" si="64"/>
        <v>19730404</v>
      </c>
    </row>
    <row r="4149" s="1" customFormat="1" spans="1:13">
      <c r="A4149" s="2">
        <v>6405</v>
      </c>
      <c r="B4149" s="5" t="s">
        <v>12263</v>
      </c>
      <c r="C4149" s="5" t="s">
        <v>12817</v>
      </c>
      <c r="D4149" s="5" t="s">
        <v>12818</v>
      </c>
      <c r="E4149" s="5" t="s">
        <v>10250</v>
      </c>
      <c r="F4149" s="5">
        <v>2020</v>
      </c>
      <c r="G4149" s="17" t="s">
        <v>3359</v>
      </c>
      <c r="H4149" s="5" t="s">
        <v>311</v>
      </c>
      <c r="I4149" s="5">
        <v>200</v>
      </c>
      <c r="J4149" s="5"/>
      <c r="K4149" s="5"/>
      <c r="L4149" s="10">
        <v>20201118</v>
      </c>
      <c r="M4149" s="36" t="str">
        <f t="shared" si="64"/>
        <v>19730404</v>
      </c>
    </row>
    <row r="4150" s="1" customFormat="1" spans="1:13">
      <c r="A4150" s="2">
        <v>2278</v>
      </c>
      <c r="B4150" s="9" t="s">
        <v>4837</v>
      </c>
      <c r="C4150" s="9" t="s">
        <v>5098</v>
      </c>
      <c r="D4150" s="9" t="s">
        <v>5099</v>
      </c>
      <c r="E4150" s="6" t="s">
        <v>15</v>
      </c>
      <c r="F4150" s="6">
        <v>2020</v>
      </c>
      <c r="G4150" s="9" t="s">
        <v>2480</v>
      </c>
      <c r="H4150" s="9">
        <v>200</v>
      </c>
      <c r="I4150" s="9">
        <v>200</v>
      </c>
      <c r="J4150" s="6"/>
      <c r="K4150" s="10"/>
      <c r="L4150" s="10">
        <v>20201118</v>
      </c>
      <c r="M4150" s="36" t="str">
        <f t="shared" si="64"/>
        <v>19730405</v>
      </c>
    </row>
    <row r="4151" s="1" customFormat="1" spans="1:13">
      <c r="A4151" s="2">
        <v>6646</v>
      </c>
      <c r="B4151" s="5" t="s">
        <v>13027</v>
      </c>
      <c r="C4151" s="15" t="s">
        <v>13273</v>
      </c>
      <c r="D4151" s="15" t="s">
        <v>13274</v>
      </c>
      <c r="E4151" s="5">
        <v>2020</v>
      </c>
      <c r="F4151" s="5">
        <v>2020</v>
      </c>
      <c r="G4151" s="14" t="s">
        <v>16</v>
      </c>
      <c r="H4151" s="15">
        <v>200</v>
      </c>
      <c r="I4151" s="15">
        <v>200</v>
      </c>
      <c r="J4151" s="5"/>
      <c r="K4151" s="10"/>
      <c r="L4151" s="10">
        <v>20201118</v>
      </c>
      <c r="M4151" s="36" t="str">
        <f t="shared" si="64"/>
        <v>19730406</v>
      </c>
    </row>
    <row r="4152" s="1" customFormat="1" spans="1:13">
      <c r="A4152" s="2">
        <v>1385</v>
      </c>
      <c r="B4152" s="5" t="s">
        <v>2469</v>
      </c>
      <c r="C4152" s="6" t="s">
        <v>3341</v>
      </c>
      <c r="D4152" s="6" t="str">
        <f>"152326197304096862"</f>
        <v>152326197304096862</v>
      </c>
      <c r="E4152" s="5">
        <v>2020</v>
      </c>
      <c r="F4152" s="5">
        <v>2020</v>
      </c>
      <c r="G4152" s="9" t="s">
        <v>2480</v>
      </c>
      <c r="H4152" s="9">
        <v>200</v>
      </c>
      <c r="I4152" s="9">
        <v>200</v>
      </c>
      <c r="J4152" s="5"/>
      <c r="K4152" s="10"/>
      <c r="L4152" s="10">
        <v>20201118</v>
      </c>
      <c r="M4152" s="36" t="str">
        <f t="shared" si="64"/>
        <v>19730409</v>
      </c>
    </row>
    <row r="4153" s="1" customFormat="1" spans="1:13">
      <c r="A4153" s="2">
        <v>4295</v>
      </c>
      <c r="B4153" s="9" t="s">
        <v>8515</v>
      </c>
      <c r="C4153" s="9" t="s">
        <v>8782</v>
      </c>
      <c r="D4153" s="9" t="s">
        <v>8783</v>
      </c>
      <c r="E4153" s="5" t="s">
        <v>15</v>
      </c>
      <c r="F4153" s="5">
        <v>2020</v>
      </c>
      <c r="G4153" s="9" t="s">
        <v>2480</v>
      </c>
      <c r="H4153" s="9">
        <v>200</v>
      </c>
      <c r="I4153" s="9">
        <v>200</v>
      </c>
      <c r="J4153" s="9"/>
      <c r="K4153" s="9"/>
      <c r="L4153" s="10">
        <v>20201118</v>
      </c>
      <c r="M4153" s="36" t="str">
        <f t="shared" si="64"/>
        <v>19730410</v>
      </c>
    </row>
    <row r="4154" s="1" customFormat="1" spans="1:13">
      <c r="A4154" s="2">
        <v>4952</v>
      </c>
      <c r="B4154" s="6" t="s">
        <v>9954</v>
      </c>
      <c r="C4154" s="53" t="s">
        <v>10044</v>
      </c>
      <c r="D4154" s="53" t="s">
        <v>10045</v>
      </c>
      <c r="E4154" s="5" t="s">
        <v>15</v>
      </c>
      <c r="F4154" s="5" t="s">
        <v>15</v>
      </c>
      <c r="G4154" s="14" t="s">
        <v>16</v>
      </c>
      <c r="H4154" s="6">
        <v>200</v>
      </c>
      <c r="I4154" s="6">
        <v>200</v>
      </c>
      <c r="J4154" s="6"/>
      <c r="K4154" s="6"/>
      <c r="L4154" s="10">
        <v>20201118</v>
      </c>
      <c r="M4154" s="36" t="str">
        <f t="shared" si="64"/>
        <v>19730412</v>
      </c>
    </row>
    <row r="4155" s="1" customFormat="1" spans="1:13">
      <c r="A4155" s="2">
        <v>1646</v>
      </c>
      <c r="B4155" s="5" t="s">
        <v>3381</v>
      </c>
      <c r="C4155" s="9" t="s">
        <v>3854</v>
      </c>
      <c r="D4155" s="9" t="s">
        <v>3855</v>
      </c>
      <c r="E4155" s="5">
        <v>2020</v>
      </c>
      <c r="F4155" s="5">
        <v>2020</v>
      </c>
      <c r="G4155" s="14" t="s">
        <v>16</v>
      </c>
      <c r="H4155" s="6">
        <v>200</v>
      </c>
      <c r="I4155" s="6">
        <v>200</v>
      </c>
      <c r="J4155" s="5"/>
      <c r="K4155" s="13"/>
      <c r="L4155" s="10">
        <v>20201118</v>
      </c>
      <c r="M4155" s="36" t="str">
        <f t="shared" si="64"/>
        <v>19730415</v>
      </c>
    </row>
    <row r="4156" s="1" customFormat="1" spans="1:13">
      <c r="A4156" s="2">
        <v>1647</v>
      </c>
      <c r="B4156" s="5" t="s">
        <v>3381</v>
      </c>
      <c r="C4156" s="9" t="s">
        <v>3856</v>
      </c>
      <c r="D4156" s="9" t="s">
        <v>3857</v>
      </c>
      <c r="E4156" s="5">
        <v>2020</v>
      </c>
      <c r="F4156" s="5">
        <v>2020</v>
      </c>
      <c r="G4156" s="14" t="s">
        <v>16</v>
      </c>
      <c r="H4156" s="6">
        <v>200</v>
      </c>
      <c r="I4156" s="6">
        <v>200</v>
      </c>
      <c r="J4156" s="5"/>
      <c r="K4156" s="13"/>
      <c r="L4156" s="10">
        <v>20201118</v>
      </c>
      <c r="M4156" s="36" t="str">
        <f t="shared" si="64"/>
        <v>19730415</v>
      </c>
    </row>
    <row r="4157" s="1" customFormat="1" spans="1:13">
      <c r="A4157" s="2">
        <v>2279</v>
      </c>
      <c r="B4157" s="9" t="s">
        <v>4837</v>
      </c>
      <c r="C4157" s="9" t="s">
        <v>5100</v>
      </c>
      <c r="D4157" s="9" t="s">
        <v>5101</v>
      </c>
      <c r="E4157" s="6" t="s">
        <v>15</v>
      </c>
      <c r="F4157" s="6">
        <v>2020</v>
      </c>
      <c r="G4157" s="9" t="s">
        <v>2480</v>
      </c>
      <c r="H4157" s="9">
        <v>200</v>
      </c>
      <c r="I4157" s="9">
        <v>200</v>
      </c>
      <c r="J4157" s="6"/>
      <c r="K4157" s="10"/>
      <c r="L4157" s="10">
        <v>20201118</v>
      </c>
      <c r="M4157" s="36" t="str">
        <f t="shared" si="64"/>
        <v>19730415</v>
      </c>
    </row>
    <row r="4158" s="1" customFormat="1" spans="1:13">
      <c r="A4158" s="2">
        <v>7960</v>
      </c>
      <c r="B4158" s="5" t="s">
        <v>15086</v>
      </c>
      <c r="C4158" s="6" t="s">
        <v>15233</v>
      </c>
      <c r="D4158" s="6" t="str">
        <f>"152326197304166883"</f>
        <v>152326197304166883</v>
      </c>
      <c r="E4158" s="5" t="s">
        <v>15</v>
      </c>
      <c r="F4158" s="5">
        <v>2020</v>
      </c>
      <c r="G4158" s="5" t="s">
        <v>16</v>
      </c>
      <c r="H4158" s="5">
        <v>300</v>
      </c>
      <c r="I4158" s="5">
        <v>300</v>
      </c>
      <c r="J4158" s="5"/>
      <c r="K4158" s="5"/>
      <c r="L4158" s="10">
        <v>20201118</v>
      </c>
      <c r="M4158" s="36" t="str">
        <f t="shared" si="64"/>
        <v>19730416</v>
      </c>
    </row>
    <row r="4159" s="1" customFormat="1" spans="1:13">
      <c r="A4159" s="2">
        <v>1648</v>
      </c>
      <c r="B4159" s="5" t="s">
        <v>3381</v>
      </c>
      <c r="C4159" s="9" t="s">
        <v>3858</v>
      </c>
      <c r="D4159" s="9" t="s">
        <v>3859</v>
      </c>
      <c r="E4159" s="5">
        <v>2020</v>
      </c>
      <c r="F4159" s="5">
        <v>2020</v>
      </c>
      <c r="G4159" s="14" t="s">
        <v>16</v>
      </c>
      <c r="H4159" s="6">
        <v>200</v>
      </c>
      <c r="I4159" s="6">
        <v>200</v>
      </c>
      <c r="J4159" s="5"/>
      <c r="K4159" s="13"/>
      <c r="L4159" s="10">
        <v>20201118</v>
      </c>
      <c r="M4159" s="36" t="str">
        <f t="shared" si="64"/>
        <v>19730418</v>
      </c>
    </row>
    <row r="4160" s="1" customFormat="1" spans="1:13">
      <c r="A4160" s="2">
        <v>5827</v>
      </c>
      <c r="B4160" s="30" t="s">
        <v>11090</v>
      </c>
      <c r="C4160" s="30" t="s">
        <v>10659</v>
      </c>
      <c r="D4160" s="30" t="s">
        <v>11722</v>
      </c>
      <c r="E4160" s="5" t="s">
        <v>15</v>
      </c>
      <c r="F4160" s="5" t="s">
        <v>10250</v>
      </c>
      <c r="G4160" s="6" t="s">
        <v>16</v>
      </c>
      <c r="H4160" s="32">
        <v>200</v>
      </c>
      <c r="I4160" s="32">
        <v>200</v>
      </c>
      <c r="J4160" s="6"/>
      <c r="K4160" s="48"/>
      <c r="L4160" s="10">
        <v>20201118</v>
      </c>
      <c r="M4160" s="36" t="str">
        <f t="shared" si="64"/>
        <v>19730418</v>
      </c>
    </row>
    <row r="4161" s="1" customFormat="1" spans="1:13">
      <c r="A4161" s="2">
        <v>348</v>
      </c>
      <c r="B4161" s="14" t="s">
        <v>327</v>
      </c>
      <c r="C4161" s="17" t="s">
        <v>931</v>
      </c>
      <c r="D4161" s="306" t="s">
        <v>932</v>
      </c>
      <c r="E4161" s="5">
        <v>2020</v>
      </c>
      <c r="F4161" s="5">
        <v>2020</v>
      </c>
      <c r="G4161" s="14" t="s">
        <v>16</v>
      </c>
      <c r="H4161" s="17">
        <v>200</v>
      </c>
      <c r="I4161" s="17">
        <v>200</v>
      </c>
      <c r="J4161" s="17"/>
      <c r="K4161" s="10"/>
      <c r="L4161" s="14" t="s">
        <v>330</v>
      </c>
      <c r="M4161" s="36" t="str">
        <f t="shared" si="64"/>
        <v>19730419</v>
      </c>
    </row>
    <row r="4162" s="1" customFormat="1" spans="1:13">
      <c r="A4162" s="2">
        <v>549</v>
      </c>
      <c r="B4162" s="29" t="s">
        <v>1040</v>
      </c>
      <c r="C4162" s="29" t="s">
        <v>1375</v>
      </c>
      <c r="D4162" s="29" t="s">
        <v>1376</v>
      </c>
      <c r="E4162" s="30">
        <v>2020</v>
      </c>
      <c r="F4162" s="30">
        <v>2020</v>
      </c>
      <c r="G4162" s="29" t="s">
        <v>16</v>
      </c>
      <c r="H4162" s="29">
        <v>200</v>
      </c>
      <c r="I4162" s="29">
        <v>200</v>
      </c>
      <c r="J4162" s="29"/>
      <c r="K4162" s="47"/>
      <c r="L4162" s="14" t="s">
        <v>330</v>
      </c>
      <c r="M4162" s="36" t="str">
        <f t="shared" ref="M4162:M4225" si="65">MID(D4162,7,8)</f>
        <v>19730419</v>
      </c>
    </row>
    <row r="4163" s="1" customFormat="1" spans="1:13">
      <c r="A4163" s="2">
        <v>6909</v>
      </c>
      <c r="B4163" s="5" t="s">
        <v>13533</v>
      </c>
      <c r="C4163" s="32" t="s">
        <v>13658</v>
      </c>
      <c r="D4163" s="32" t="str">
        <f>"152326197304237119"</f>
        <v>152326197304237119</v>
      </c>
      <c r="E4163" s="5">
        <v>2020</v>
      </c>
      <c r="F4163" s="5">
        <v>2020</v>
      </c>
      <c r="G4163" s="9" t="s">
        <v>2480</v>
      </c>
      <c r="H4163" s="32">
        <v>1000</v>
      </c>
      <c r="I4163" s="32">
        <v>1000</v>
      </c>
      <c r="J4163" s="62"/>
      <c r="K4163" s="10"/>
      <c r="L4163" s="10">
        <v>20201118</v>
      </c>
      <c r="M4163" s="36" t="str">
        <f t="shared" si="65"/>
        <v>19730423</v>
      </c>
    </row>
    <row r="4164" s="1" customFormat="1" spans="1:13">
      <c r="A4164" s="2">
        <v>4623</v>
      </c>
      <c r="B4164" s="6" t="s">
        <v>9015</v>
      </c>
      <c r="C4164" s="6" t="s">
        <v>9414</v>
      </c>
      <c r="D4164" s="6" t="s">
        <v>9415</v>
      </c>
      <c r="E4164" s="6">
        <v>2020</v>
      </c>
      <c r="F4164" s="6">
        <v>2020</v>
      </c>
      <c r="G4164" s="6" t="s">
        <v>16</v>
      </c>
      <c r="H4164" s="6">
        <v>200</v>
      </c>
      <c r="I4164" s="6">
        <v>200</v>
      </c>
      <c r="J4164" s="6"/>
      <c r="K4164" s="6"/>
      <c r="L4164" s="10">
        <v>20201118</v>
      </c>
      <c r="M4164" s="36" t="str">
        <f t="shared" si="65"/>
        <v>19730425</v>
      </c>
    </row>
    <row r="4165" s="1" customFormat="1" spans="1:13">
      <c r="A4165" s="2">
        <v>6411</v>
      </c>
      <c r="B4165" s="5" t="s">
        <v>12263</v>
      </c>
      <c r="C4165" s="5" t="s">
        <v>12829</v>
      </c>
      <c r="D4165" s="5" t="s">
        <v>12830</v>
      </c>
      <c r="E4165" s="5" t="s">
        <v>10250</v>
      </c>
      <c r="F4165" s="5">
        <v>2020</v>
      </c>
      <c r="G4165" s="17" t="s">
        <v>3359</v>
      </c>
      <c r="H4165" s="5" t="s">
        <v>311</v>
      </c>
      <c r="I4165" s="5">
        <v>200</v>
      </c>
      <c r="J4165" s="5"/>
      <c r="K4165" s="5"/>
      <c r="L4165" s="10">
        <v>20201118</v>
      </c>
      <c r="M4165" s="36" t="str">
        <f t="shared" si="65"/>
        <v>19730425</v>
      </c>
    </row>
    <row r="4166" s="1" customFormat="1" spans="1:13">
      <c r="A4166" s="2">
        <v>2280</v>
      </c>
      <c r="B4166" s="9" t="s">
        <v>4837</v>
      </c>
      <c r="C4166" s="9" t="s">
        <v>5102</v>
      </c>
      <c r="D4166" s="9" t="s">
        <v>5103</v>
      </c>
      <c r="E4166" s="6" t="s">
        <v>15</v>
      </c>
      <c r="F4166" s="6">
        <v>2020</v>
      </c>
      <c r="G4166" s="9" t="s">
        <v>2480</v>
      </c>
      <c r="H4166" s="9">
        <v>200</v>
      </c>
      <c r="I4166" s="9">
        <v>200</v>
      </c>
      <c r="J4166" s="6"/>
      <c r="K4166" s="10"/>
      <c r="L4166" s="10">
        <v>20201118</v>
      </c>
      <c r="M4166" s="36" t="str">
        <f t="shared" si="65"/>
        <v>19730427</v>
      </c>
    </row>
    <row r="4167" s="1" customFormat="1" spans="1:13">
      <c r="A4167" s="2">
        <v>6412</v>
      </c>
      <c r="B4167" s="5" t="s">
        <v>12263</v>
      </c>
      <c r="C4167" s="5" t="s">
        <v>12831</v>
      </c>
      <c r="D4167" s="5" t="s">
        <v>12832</v>
      </c>
      <c r="E4167" s="5" t="s">
        <v>10250</v>
      </c>
      <c r="F4167" s="5">
        <v>2020</v>
      </c>
      <c r="G4167" s="17" t="s">
        <v>3359</v>
      </c>
      <c r="H4167" s="5" t="s">
        <v>311</v>
      </c>
      <c r="I4167" s="5">
        <v>200</v>
      </c>
      <c r="J4167" s="5"/>
      <c r="K4167" s="5"/>
      <c r="L4167" s="10">
        <v>20201118</v>
      </c>
      <c r="M4167" s="36" t="str">
        <f t="shared" si="65"/>
        <v>19730428</v>
      </c>
    </row>
    <row r="4168" s="1" customFormat="1" spans="1:13">
      <c r="A4168" s="2">
        <v>496</v>
      </c>
      <c r="B4168" s="29" t="s">
        <v>1040</v>
      </c>
      <c r="C4168" s="29" t="s">
        <v>1269</v>
      </c>
      <c r="D4168" s="29" t="s">
        <v>1270</v>
      </c>
      <c r="E4168" s="30">
        <v>2020</v>
      </c>
      <c r="F4168" s="30">
        <v>2020</v>
      </c>
      <c r="G4168" s="29" t="s">
        <v>16</v>
      </c>
      <c r="H4168" s="29">
        <v>200</v>
      </c>
      <c r="I4168" s="29">
        <v>200</v>
      </c>
      <c r="J4168" s="29"/>
      <c r="K4168" s="47"/>
      <c r="L4168" s="2" t="s">
        <v>330</v>
      </c>
      <c r="M4168" s="36" t="str">
        <f t="shared" si="65"/>
        <v>19730429</v>
      </c>
    </row>
    <row r="4169" s="1" customFormat="1" spans="1:13">
      <c r="A4169" s="2">
        <v>2645</v>
      </c>
      <c r="B4169" s="32" t="s">
        <v>5602</v>
      </c>
      <c r="C4169" s="9" t="s">
        <v>5824</v>
      </c>
      <c r="D4169" s="9" t="s">
        <v>5825</v>
      </c>
      <c r="E4169" s="32">
        <v>2020</v>
      </c>
      <c r="F4169" s="32">
        <v>2020</v>
      </c>
      <c r="G4169" s="32" t="s">
        <v>16</v>
      </c>
      <c r="H4169" s="9">
        <v>200</v>
      </c>
      <c r="I4169" s="9">
        <v>200</v>
      </c>
      <c r="J4169" s="32"/>
      <c r="K4169" s="52"/>
      <c r="L4169" s="10">
        <v>20201118</v>
      </c>
      <c r="M4169" s="36" t="str">
        <f t="shared" si="65"/>
        <v>19730429</v>
      </c>
    </row>
    <row r="4170" s="1" customFormat="1" spans="1:13">
      <c r="A4170" s="2">
        <v>6906</v>
      </c>
      <c r="B4170" s="5" t="s">
        <v>13533</v>
      </c>
      <c r="C4170" s="32" t="s">
        <v>1095</v>
      </c>
      <c r="D4170" s="32" t="str">
        <f>"152326197304297111"</f>
        <v>152326197304297111</v>
      </c>
      <c r="E4170" s="5">
        <v>2020</v>
      </c>
      <c r="F4170" s="5">
        <v>2020</v>
      </c>
      <c r="G4170" s="9" t="s">
        <v>2480</v>
      </c>
      <c r="H4170" s="32">
        <v>200</v>
      </c>
      <c r="I4170" s="32">
        <v>200</v>
      </c>
      <c r="J4170" s="62"/>
      <c r="K4170" s="10"/>
      <c r="L4170" s="10">
        <v>20201118</v>
      </c>
      <c r="M4170" s="36" t="str">
        <f t="shared" si="65"/>
        <v>19730429</v>
      </c>
    </row>
    <row r="4171" s="1" customFormat="1" spans="1:13">
      <c r="A4171" s="2">
        <v>2646</v>
      </c>
      <c r="B4171" s="32" t="s">
        <v>5602</v>
      </c>
      <c r="C4171" s="9" t="s">
        <v>5826</v>
      </c>
      <c r="D4171" s="9" t="s">
        <v>5827</v>
      </c>
      <c r="E4171" s="32">
        <v>2020</v>
      </c>
      <c r="F4171" s="32">
        <v>2020</v>
      </c>
      <c r="G4171" s="32" t="s">
        <v>16</v>
      </c>
      <c r="H4171" s="9">
        <v>200</v>
      </c>
      <c r="I4171" s="9">
        <v>200</v>
      </c>
      <c r="J4171" s="32"/>
      <c r="K4171" s="52"/>
      <c r="L4171" s="10">
        <v>20201118</v>
      </c>
      <c r="M4171" s="36" t="str">
        <f t="shared" si="65"/>
        <v>19730430</v>
      </c>
    </row>
    <row r="4172" s="1" customFormat="1" spans="1:13">
      <c r="A4172" s="2">
        <v>73</v>
      </c>
      <c r="B4172" s="3" t="s">
        <v>12</v>
      </c>
      <c r="C4172" s="3" t="s">
        <v>161</v>
      </c>
      <c r="D4172" s="3" t="s">
        <v>162</v>
      </c>
      <c r="E4172" s="3" t="s">
        <v>15</v>
      </c>
      <c r="F4172" s="3" t="s">
        <v>15</v>
      </c>
      <c r="G4172" s="2" t="s">
        <v>16</v>
      </c>
      <c r="H4172" s="3">
        <v>1000</v>
      </c>
      <c r="I4172" s="3">
        <v>1000</v>
      </c>
      <c r="J4172" s="3"/>
      <c r="K4172" s="3"/>
      <c r="L4172" s="10">
        <v>20201118</v>
      </c>
      <c r="M4172" s="36" t="str">
        <f t="shared" si="65"/>
        <v>19730501</v>
      </c>
    </row>
    <row r="4173" s="1" customFormat="1" spans="1:13">
      <c r="A4173" s="2">
        <v>1116</v>
      </c>
      <c r="B4173" s="5" t="s">
        <v>2469</v>
      </c>
      <c r="C4173" s="9" t="s">
        <v>2818</v>
      </c>
      <c r="D4173" s="9" t="s">
        <v>2819</v>
      </c>
      <c r="E4173" s="5">
        <v>2020</v>
      </c>
      <c r="F4173" s="5">
        <v>2020</v>
      </c>
      <c r="G4173" s="9" t="s">
        <v>2480</v>
      </c>
      <c r="H4173" s="9">
        <v>500</v>
      </c>
      <c r="I4173" s="9">
        <v>500</v>
      </c>
      <c r="J4173" s="5"/>
      <c r="K4173" s="5"/>
      <c r="L4173" s="10">
        <v>20201118</v>
      </c>
      <c r="M4173" s="36" t="str">
        <f t="shared" si="65"/>
        <v>19730501</v>
      </c>
    </row>
    <row r="4174" s="1" customFormat="1" spans="1:13">
      <c r="A4174" s="2">
        <v>260</v>
      </c>
      <c r="B4174" s="14" t="s">
        <v>327</v>
      </c>
      <c r="C4174" s="17" t="s">
        <v>666</v>
      </c>
      <c r="D4174" s="17" t="s">
        <v>667</v>
      </c>
      <c r="E4174" s="5">
        <v>2020</v>
      </c>
      <c r="F4174" s="5">
        <v>2020</v>
      </c>
      <c r="G4174" s="14" t="s">
        <v>16</v>
      </c>
      <c r="H4174" s="17">
        <v>200</v>
      </c>
      <c r="I4174" s="17">
        <v>200</v>
      </c>
      <c r="J4174" s="17"/>
      <c r="K4174" s="10"/>
      <c r="L4174" s="14" t="s">
        <v>330</v>
      </c>
      <c r="M4174" s="36" t="str">
        <f t="shared" si="65"/>
        <v>19730503</v>
      </c>
    </row>
    <row r="4175" s="1" customFormat="1" spans="1:13">
      <c r="A4175" s="2">
        <v>4744</v>
      </c>
      <c r="B4175" s="6" t="s">
        <v>9015</v>
      </c>
      <c r="C4175" s="6" t="s">
        <v>9645</v>
      </c>
      <c r="D4175" s="6" t="s">
        <v>9646</v>
      </c>
      <c r="E4175" s="6">
        <v>2020</v>
      </c>
      <c r="F4175" s="6">
        <v>2020</v>
      </c>
      <c r="G4175" s="6" t="s">
        <v>16</v>
      </c>
      <c r="H4175" s="6">
        <v>200</v>
      </c>
      <c r="I4175" s="6">
        <v>200</v>
      </c>
      <c r="J4175" s="6"/>
      <c r="K4175" s="6"/>
      <c r="L4175" s="10">
        <v>20201118</v>
      </c>
      <c r="M4175" s="36" t="str">
        <f t="shared" si="65"/>
        <v>19730503</v>
      </c>
    </row>
    <row r="4176" s="1" customFormat="1" spans="1:13">
      <c r="A4176" s="2">
        <v>4666</v>
      </c>
      <c r="B4176" s="6" t="s">
        <v>9015</v>
      </c>
      <c r="C4176" s="6" t="s">
        <v>9496</v>
      </c>
      <c r="D4176" s="6" t="s">
        <v>9497</v>
      </c>
      <c r="E4176" s="6">
        <v>2020</v>
      </c>
      <c r="F4176" s="6">
        <v>2020</v>
      </c>
      <c r="G4176" s="6" t="s">
        <v>16</v>
      </c>
      <c r="H4176" s="6">
        <v>200</v>
      </c>
      <c r="I4176" s="6">
        <v>200</v>
      </c>
      <c r="J4176" s="6"/>
      <c r="K4176" s="6"/>
      <c r="L4176" s="10">
        <v>20201118</v>
      </c>
      <c r="M4176" s="36" t="str">
        <f t="shared" si="65"/>
        <v>19730504</v>
      </c>
    </row>
    <row r="4177" s="1" customFormat="1" spans="1:13">
      <c r="A4177" s="2">
        <v>268</v>
      </c>
      <c r="B4177" s="14" t="s">
        <v>327</v>
      </c>
      <c r="C4177" s="17" t="s">
        <v>690</v>
      </c>
      <c r="D4177" s="17" t="s">
        <v>691</v>
      </c>
      <c r="E4177" s="5">
        <v>2020</v>
      </c>
      <c r="F4177" s="5">
        <v>2020</v>
      </c>
      <c r="G4177" s="14" t="s">
        <v>16</v>
      </c>
      <c r="H4177" s="17">
        <v>200</v>
      </c>
      <c r="I4177" s="17">
        <v>200</v>
      </c>
      <c r="J4177" s="17"/>
      <c r="K4177" s="10"/>
      <c r="L4177" s="14" t="s">
        <v>330</v>
      </c>
      <c r="M4177" s="36" t="str">
        <f t="shared" si="65"/>
        <v>19730506</v>
      </c>
    </row>
    <row r="4178" s="1" customFormat="1" spans="1:13">
      <c r="A4178" s="2">
        <v>3171</v>
      </c>
      <c r="B4178" s="3" t="s">
        <v>6671</v>
      </c>
      <c r="C4178" s="9" t="s">
        <v>6855</v>
      </c>
      <c r="D4178" s="9" t="s">
        <v>6856</v>
      </c>
      <c r="E4178" s="3" t="s">
        <v>15</v>
      </c>
      <c r="F4178" s="3" t="s">
        <v>15</v>
      </c>
      <c r="G4178" s="6" t="s">
        <v>3359</v>
      </c>
      <c r="H4178" s="9">
        <v>200</v>
      </c>
      <c r="I4178" s="9">
        <v>200</v>
      </c>
      <c r="J4178" s="6"/>
      <c r="K4178" s="5"/>
      <c r="L4178" s="10">
        <v>20201118</v>
      </c>
      <c r="M4178" s="36" t="str">
        <f t="shared" si="65"/>
        <v>19730506</v>
      </c>
    </row>
    <row r="4179" s="1" customFormat="1" spans="1:13">
      <c r="A4179" s="2">
        <v>6901</v>
      </c>
      <c r="B4179" s="5" t="s">
        <v>13533</v>
      </c>
      <c r="C4179" s="32" t="s">
        <v>13651</v>
      </c>
      <c r="D4179" s="32" t="str">
        <f>"152326197305067131"</f>
        <v>152326197305067131</v>
      </c>
      <c r="E4179" s="5">
        <v>2020</v>
      </c>
      <c r="F4179" s="5">
        <v>2020</v>
      </c>
      <c r="G4179" s="9" t="s">
        <v>2480</v>
      </c>
      <c r="H4179" s="32">
        <v>200</v>
      </c>
      <c r="I4179" s="32">
        <v>200</v>
      </c>
      <c r="J4179" s="62"/>
      <c r="K4179" s="10"/>
      <c r="L4179" s="10">
        <v>20201118</v>
      </c>
      <c r="M4179" s="36" t="str">
        <f t="shared" si="65"/>
        <v>19730506</v>
      </c>
    </row>
    <row r="4180" s="1" customFormat="1" spans="1:13">
      <c r="A4180" s="2">
        <v>1954</v>
      </c>
      <c r="B4180" s="5" t="s">
        <v>4189</v>
      </c>
      <c r="C4180" s="16" t="s">
        <v>4467</v>
      </c>
      <c r="D4180" s="16" t="s">
        <v>4468</v>
      </c>
      <c r="E4180" s="5" t="s">
        <v>15</v>
      </c>
      <c r="F4180" s="5" t="s">
        <v>15</v>
      </c>
      <c r="G4180" s="5" t="s">
        <v>3359</v>
      </c>
      <c r="H4180" s="16">
        <v>200</v>
      </c>
      <c r="I4180" s="16">
        <v>200</v>
      </c>
      <c r="J4180" s="5"/>
      <c r="K4180" s="10"/>
      <c r="L4180" s="10">
        <v>20201118</v>
      </c>
      <c r="M4180" s="36" t="str">
        <f t="shared" si="65"/>
        <v>19730508</v>
      </c>
    </row>
    <row r="4181" s="1" customFormat="1" spans="1:13">
      <c r="A4181" s="2">
        <v>7508</v>
      </c>
      <c r="B4181" s="62" t="s">
        <v>14402</v>
      </c>
      <c r="C4181" s="62" t="s">
        <v>14629</v>
      </c>
      <c r="D4181" s="62" t="s">
        <v>14630</v>
      </c>
      <c r="E4181" s="62">
        <v>2020</v>
      </c>
      <c r="F4181" s="62">
        <v>2020</v>
      </c>
      <c r="G4181" s="3" t="s">
        <v>16</v>
      </c>
      <c r="H4181" s="62">
        <v>200</v>
      </c>
      <c r="I4181" s="62">
        <v>200</v>
      </c>
      <c r="J4181" s="62"/>
      <c r="K4181" s="10"/>
      <c r="L4181" s="10">
        <v>20201118</v>
      </c>
      <c r="M4181" s="36" t="str">
        <f t="shared" si="65"/>
        <v>19730509</v>
      </c>
    </row>
    <row r="4182" s="1" customFormat="1" spans="1:13">
      <c r="A4182" s="2">
        <v>3882</v>
      </c>
      <c r="B4182" s="5" t="s">
        <v>7412</v>
      </c>
      <c r="C4182" s="5" t="s">
        <v>7999</v>
      </c>
      <c r="D4182" s="5" t="s">
        <v>8000</v>
      </c>
      <c r="E4182" s="6">
        <v>2020</v>
      </c>
      <c r="F4182" s="6">
        <v>2020</v>
      </c>
      <c r="G4182" s="5" t="s">
        <v>3359</v>
      </c>
      <c r="H4182" s="5">
        <v>200</v>
      </c>
      <c r="I4182" s="5">
        <v>200</v>
      </c>
      <c r="J4182" s="5"/>
      <c r="K4182" s="5"/>
      <c r="L4182" s="10">
        <v>20201118</v>
      </c>
      <c r="M4182" s="36" t="str">
        <f t="shared" si="65"/>
        <v>19730510</v>
      </c>
    </row>
    <row r="4183" s="1" customFormat="1" spans="1:13">
      <c r="A4183" s="2">
        <v>2647</v>
      </c>
      <c r="B4183" s="32" t="s">
        <v>5602</v>
      </c>
      <c r="C4183" s="9" t="s">
        <v>5828</v>
      </c>
      <c r="D4183" s="9" t="s">
        <v>5829</v>
      </c>
      <c r="E4183" s="32">
        <v>2020</v>
      </c>
      <c r="F4183" s="32">
        <v>2020</v>
      </c>
      <c r="G4183" s="32" t="s">
        <v>16</v>
      </c>
      <c r="H4183" s="9">
        <v>200</v>
      </c>
      <c r="I4183" s="9">
        <v>200</v>
      </c>
      <c r="J4183" s="32"/>
      <c r="K4183" s="52"/>
      <c r="L4183" s="10">
        <v>20201118</v>
      </c>
      <c r="M4183" s="36" t="str">
        <f t="shared" si="65"/>
        <v>19730511</v>
      </c>
    </row>
    <row r="4184" s="1" customFormat="1" spans="1:13">
      <c r="A4184" s="2">
        <v>2281</v>
      </c>
      <c r="B4184" s="9" t="s">
        <v>4837</v>
      </c>
      <c r="C4184" s="9" t="s">
        <v>5104</v>
      </c>
      <c r="D4184" s="9" t="s">
        <v>5105</v>
      </c>
      <c r="E4184" s="6" t="s">
        <v>15</v>
      </c>
      <c r="F4184" s="6">
        <v>2020</v>
      </c>
      <c r="G4184" s="9" t="s">
        <v>2480</v>
      </c>
      <c r="H4184" s="9">
        <v>200</v>
      </c>
      <c r="I4184" s="9">
        <v>200</v>
      </c>
      <c r="J4184" s="6"/>
      <c r="K4184" s="10"/>
      <c r="L4184" s="10">
        <v>20201118</v>
      </c>
      <c r="M4184" s="36" t="str">
        <f t="shared" si="65"/>
        <v>19730512</v>
      </c>
    </row>
    <row r="4185" s="1" customFormat="1" spans="1:13">
      <c r="A4185" s="2">
        <v>7959</v>
      </c>
      <c r="B4185" s="5" t="s">
        <v>15086</v>
      </c>
      <c r="C4185" s="6" t="s">
        <v>15232</v>
      </c>
      <c r="D4185" s="6" t="str">
        <f>"152326197305126875"</f>
        <v>152326197305126875</v>
      </c>
      <c r="E4185" s="5" t="s">
        <v>15</v>
      </c>
      <c r="F4185" s="5">
        <v>2020</v>
      </c>
      <c r="G4185" s="5" t="s">
        <v>16</v>
      </c>
      <c r="H4185" s="5">
        <v>3000</v>
      </c>
      <c r="I4185" s="5">
        <v>3000</v>
      </c>
      <c r="J4185" s="5"/>
      <c r="K4185" s="5"/>
      <c r="L4185" s="10">
        <v>20201118</v>
      </c>
      <c r="M4185" s="36" t="str">
        <f t="shared" si="65"/>
        <v>19730512</v>
      </c>
    </row>
    <row r="4186" s="1" customFormat="1" spans="1:13">
      <c r="A4186" s="2">
        <v>31</v>
      </c>
      <c r="B4186" s="31" t="s">
        <v>12</v>
      </c>
      <c r="C4186" s="17" t="s">
        <v>76</v>
      </c>
      <c r="D4186" s="17" t="s">
        <v>77</v>
      </c>
      <c r="E4186" s="3" t="s">
        <v>15</v>
      </c>
      <c r="F4186" s="3" t="s">
        <v>15</v>
      </c>
      <c r="G4186" s="2" t="s">
        <v>16</v>
      </c>
      <c r="H4186" s="17">
        <v>500</v>
      </c>
      <c r="I4186" s="17">
        <v>500</v>
      </c>
      <c r="J4186" s="31"/>
      <c r="K4186" s="17"/>
      <c r="L4186" s="10">
        <v>20201118</v>
      </c>
      <c r="M4186" s="36" t="str">
        <f t="shared" si="65"/>
        <v>19730513</v>
      </c>
    </row>
    <row r="4187" s="1" customFormat="1" spans="1:13">
      <c r="A4187" s="2">
        <v>3883</v>
      </c>
      <c r="B4187" s="5" t="s">
        <v>7412</v>
      </c>
      <c r="C4187" s="5" t="s">
        <v>8001</v>
      </c>
      <c r="D4187" s="5" t="s">
        <v>8002</v>
      </c>
      <c r="E4187" s="6">
        <v>2020</v>
      </c>
      <c r="F4187" s="6">
        <v>2020</v>
      </c>
      <c r="G4187" s="5" t="s">
        <v>3359</v>
      </c>
      <c r="H4187" s="5">
        <v>200</v>
      </c>
      <c r="I4187" s="5">
        <v>200</v>
      </c>
      <c r="J4187" s="5"/>
      <c r="K4187" s="5"/>
      <c r="L4187" s="10">
        <v>20201118</v>
      </c>
      <c r="M4187" s="36" t="str">
        <f t="shared" si="65"/>
        <v>19730514</v>
      </c>
    </row>
    <row r="4188" s="1" customFormat="1" spans="1:13">
      <c r="A4188" s="2">
        <v>1649</v>
      </c>
      <c r="B4188" s="5" t="s">
        <v>3381</v>
      </c>
      <c r="C4188" s="9" t="s">
        <v>3860</v>
      </c>
      <c r="D4188" s="9" t="s">
        <v>3861</v>
      </c>
      <c r="E4188" s="5">
        <v>2020</v>
      </c>
      <c r="F4188" s="5">
        <v>2020</v>
      </c>
      <c r="G4188" s="14" t="s">
        <v>16</v>
      </c>
      <c r="H4188" s="6">
        <v>200</v>
      </c>
      <c r="I4188" s="6">
        <v>200</v>
      </c>
      <c r="J4188" s="5"/>
      <c r="K4188" s="13"/>
      <c r="L4188" s="10">
        <v>20201118</v>
      </c>
      <c r="M4188" s="36" t="str">
        <f t="shared" si="65"/>
        <v>19730515</v>
      </c>
    </row>
    <row r="4189" s="1" customFormat="1" spans="1:13">
      <c r="A4189" s="2">
        <v>7243</v>
      </c>
      <c r="B4189" s="5" t="s">
        <v>13908</v>
      </c>
      <c r="C4189" s="5" t="s">
        <v>14129</v>
      </c>
      <c r="D4189" s="5" t="s">
        <v>14130</v>
      </c>
      <c r="E4189" s="5" t="s">
        <v>15</v>
      </c>
      <c r="F4189" s="5" t="s">
        <v>15</v>
      </c>
      <c r="G4189" s="14" t="s">
        <v>16</v>
      </c>
      <c r="H4189" s="17">
        <v>200</v>
      </c>
      <c r="I4189" s="17">
        <v>200</v>
      </c>
      <c r="J4189" s="5"/>
      <c r="K4189" s="10"/>
      <c r="L4189" s="10">
        <v>20201118</v>
      </c>
      <c r="M4189" s="36" t="str">
        <f t="shared" si="65"/>
        <v>19730516</v>
      </c>
    </row>
    <row r="4190" s="1" customFormat="1" spans="1:13">
      <c r="A4190" s="2">
        <v>354</v>
      </c>
      <c r="B4190" s="14" t="s">
        <v>327</v>
      </c>
      <c r="C4190" s="17" t="s">
        <v>949</v>
      </c>
      <c r="D4190" s="17" t="s">
        <v>950</v>
      </c>
      <c r="E4190" s="5">
        <v>2020</v>
      </c>
      <c r="F4190" s="5">
        <v>2020</v>
      </c>
      <c r="G4190" s="14" t="s">
        <v>16</v>
      </c>
      <c r="H4190" s="17">
        <v>200</v>
      </c>
      <c r="I4190" s="17">
        <v>200</v>
      </c>
      <c r="J4190" s="17"/>
      <c r="K4190" s="10"/>
      <c r="L4190" s="14" t="s">
        <v>330</v>
      </c>
      <c r="M4190" s="36" t="str">
        <f t="shared" si="65"/>
        <v>19730517</v>
      </c>
    </row>
    <row r="4191" s="1" customFormat="1" spans="1:13">
      <c r="A4191" s="2">
        <v>4296</v>
      </c>
      <c r="B4191" s="9" t="s">
        <v>8515</v>
      </c>
      <c r="C4191" s="9" t="s">
        <v>8784</v>
      </c>
      <c r="D4191" s="9" t="s">
        <v>8785</v>
      </c>
      <c r="E4191" s="5" t="s">
        <v>15</v>
      </c>
      <c r="F4191" s="5">
        <v>2020</v>
      </c>
      <c r="G4191" s="9" t="s">
        <v>2480</v>
      </c>
      <c r="H4191" s="9">
        <v>200</v>
      </c>
      <c r="I4191" s="9">
        <v>200</v>
      </c>
      <c r="J4191" s="9"/>
      <c r="K4191" s="9"/>
      <c r="L4191" s="10">
        <v>20201118</v>
      </c>
      <c r="M4191" s="36" t="str">
        <f t="shared" si="65"/>
        <v>19730517</v>
      </c>
    </row>
    <row r="4192" s="1" customFormat="1" ht="14.25" spans="1:13">
      <c r="A4192" s="2">
        <v>2996</v>
      </c>
      <c r="B4192" s="6" t="s">
        <v>6075</v>
      </c>
      <c r="C4192" s="25" t="s">
        <v>6517</v>
      </c>
      <c r="D4192" s="26" t="s">
        <v>6518</v>
      </c>
      <c r="E4192" s="5" t="s">
        <v>15</v>
      </c>
      <c r="F4192" s="5">
        <v>2020</v>
      </c>
      <c r="G4192" s="6" t="s">
        <v>16</v>
      </c>
      <c r="H4192" s="6">
        <v>200</v>
      </c>
      <c r="I4192" s="6">
        <v>200</v>
      </c>
      <c r="J4192" s="6"/>
      <c r="K4192" s="10"/>
      <c r="L4192" s="10">
        <v>20201118</v>
      </c>
      <c r="M4192" s="36" t="str">
        <f t="shared" si="65"/>
        <v>19730519</v>
      </c>
    </row>
    <row r="4193" s="1" customFormat="1" spans="1:13">
      <c r="A4193" s="2">
        <v>6458</v>
      </c>
      <c r="B4193" s="5" t="s">
        <v>12263</v>
      </c>
      <c r="C4193" s="5" t="s">
        <v>11043</v>
      </c>
      <c r="D4193" s="5" t="s">
        <v>12920</v>
      </c>
      <c r="E4193" s="5" t="s">
        <v>10250</v>
      </c>
      <c r="F4193" s="5">
        <v>2020</v>
      </c>
      <c r="G4193" s="17" t="s">
        <v>3359</v>
      </c>
      <c r="H4193" s="5">
        <v>200</v>
      </c>
      <c r="I4193" s="5">
        <v>200</v>
      </c>
      <c r="J4193" s="5"/>
      <c r="K4193" s="5"/>
      <c r="L4193" s="10">
        <v>20201118</v>
      </c>
      <c r="M4193" s="36" t="str">
        <f t="shared" si="65"/>
        <v>19730519</v>
      </c>
    </row>
    <row r="4194" s="1" customFormat="1" spans="1:13">
      <c r="A4194" s="2">
        <v>2648</v>
      </c>
      <c r="B4194" s="32" t="s">
        <v>5602</v>
      </c>
      <c r="C4194" s="9" t="s">
        <v>5830</v>
      </c>
      <c r="D4194" s="9" t="s">
        <v>5831</v>
      </c>
      <c r="E4194" s="32">
        <v>2020</v>
      </c>
      <c r="F4194" s="32">
        <v>2020</v>
      </c>
      <c r="G4194" s="32" t="s">
        <v>16</v>
      </c>
      <c r="H4194" s="9">
        <v>200</v>
      </c>
      <c r="I4194" s="9">
        <v>200</v>
      </c>
      <c r="J4194" s="32"/>
      <c r="K4194" s="52"/>
      <c r="L4194" s="10">
        <v>20201118</v>
      </c>
      <c r="M4194" s="36" t="str">
        <f t="shared" si="65"/>
        <v>19730520</v>
      </c>
    </row>
    <row r="4195" s="1" customFormat="1" spans="1:13">
      <c r="A4195" s="2">
        <v>4747</v>
      </c>
      <c r="B4195" s="6" t="s">
        <v>9015</v>
      </c>
      <c r="C4195" s="6" t="s">
        <v>9651</v>
      </c>
      <c r="D4195" s="6" t="s">
        <v>9652</v>
      </c>
      <c r="E4195" s="6">
        <v>2020</v>
      </c>
      <c r="F4195" s="6">
        <v>2020</v>
      </c>
      <c r="G4195" s="6" t="s">
        <v>16</v>
      </c>
      <c r="H4195" s="6">
        <v>200</v>
      </c>
      <c r="I4195" s="6">
        <v>200</v>
      </c>
      <c r="J4195" s="6"/>
      <c r="K4195" s="6"/>
      <c r="L4195" s="10">
        <v>20201118</v>
      </c>
      <c r="M4195" s="36" t="str">
        <f t="shared" si="65"/>
        <v>19730522</v>
      </c>
    </row>
    <row r="4196" s="1" customFormat="1" spans="1:13">
      <c r="A4196" s="2">
        <v>2282</v>
      </c>
      <c r="B4196" s="9" t="s">
        <v>4837</v>
      </c>
      <c r="C4196" s="9" t="s">
        <v>5106</v>
      </c>
      <c r="D4196" s="9" t="s">
        <v>5107</v>
      </c>
      <c r="E4196" s="6" t="s">
        <v>15</v>
      </c>
      <c r="F4196" s="6">
        <v>2020</v>
      </c>
      <c r="G4196" s="9" t="s">
        <v>2480</v>
      </c>
      <c r="H4196" s="9">
        <v>200</v>
      </c>
      <c r="I4196" s="9">
        <v>200</v>
      </c>
      <c r="J4196" s="6"/>
      <c r="K4196" s="10"/>
      <c r="L4196" s="10">
        <v>20201118</v>
      </c>
      <c r="M4196" s="36" t="str">
        <f t="shared" si="65"/>
        <v>19730524</v>
      </c>
    </row>
    <row r="4197" s="1" customFormat="1" spans="1:13">
      <c r="A4197" s="2">
        <v>1117</v>
      </c>
      <c r="B4197" s="5" t="s">
        <v>2469</v>
      </c>
      <c r="C4197" s="9" t="s">
        <v>2820</v>
      </c>
      <c r="D4197" s="9" t="s">
        <v>2821</v>
      </c>
      <c r="E4197" s="5">
        <v>2020</v>
      </c>
      <c r="F4197" s="5">
        <v>2020</v>
      </c>
      <c r="G4197" s="9" t="s">
        <v>2480</v>
      </c>
      <c r="H4197" s="9">
        <v>200</v>
      </c>
      <c r="I4197" s="9">
        <v>200</v>
      </c>
      <c r="J4197" s="5"/>
      <c r="K4197" s="5"/>
      <c r="L4197" s="10">
        <v>20201118</v>
      </c>
      <c r="M4197" s="36" t="str">
        <f t="shared" si="65"/>
        <v>19730525</v>
      </c>
    </row>
    <row r="4198" s="1" customFormat="1" spans="1:13">
      <c r="A4198" s="2">
        <v>2649</v>
      </c>
      <c r="B4198" s="32" t="s">
        <v>5602</v>
      </c>
      <c r="C4198" s="9" t="s">
        <v>5832</v>
      </c>
      <c r="D4198" s="9" t="s">
        <v>5833</v>
      </c>
      <c r="E4198" s="32">
        <v>2020</v>
      </c>
      <c r="F4198" s="32">
        <v>2020</v>
      </c>
      <c r="G4198" s="32" t="s">
        <v>16</v>
      </c>
      <c r="H4198" s="9">
        <v>200</v>
      </c>
      <c r="I4198" s="9">
        <v>200</v>
      </c>
      <c r="J4198" s="32"/>
      <c r="K4198" s="52"/>
      <c r="L4198" s="10">
        <v>20201118</v>
      </c>
      <c r="M4198" s="36" t="str">
        <f t="shared" si="65"/>
        <v>19730525</v>
      </c>
    </row>
    <row r="4199" s="1" customFormat="1" spans="1:13">
      <c r="A4199" s="2">
        <v>2779</v>
      </c>
      <c r="B4199" s="6" t="s">
        <v>6075</v>
      </c>
      <c r="C4199" s="63" t="s">
        <v>6088</v>
      </c>
      <c r="D4199" s="63" t="s">
        <v>6089</v>
      </c>
      <c r="E4199" s="5" t="s">
        <v>15</v>
      </c>
      <c r="F4199" s="5">
        <v>2020</v>
      </c>
      <c r="G4199" s="6" t="s">
        <v>16</v>
      </c>
      <c r="H4199" s="6">
        <v>200</v>
      </c>
      <c r="I4199" s="6">
        <v>200</v>
      </c>
      <c r="J4199" s="6" t="s">
        <v>108</v>
      </c>
      <c r="K4199" s="10"/>
      <c r="L4199" s="10">
        <v>20201118</v>
      </c>
      <c r="M4199" s="36" t="str">
        <f t="shared" si="65"/>
        <v>19730527</v>
      </c>
    </row>
    <row r="4200" s="1" customFormat="1" spans="1:13">
      <c r="A4200" s="2">
        <v>4834</v>
      </c>
      <c r="B4200" s="6" t="s">
        <v>9015</v>
      </c>
      <c r="C4200" s="6" t="s">
        <v>7141</v>
      </c>
      <c r="D4200" s="293" t="s">
        <v>9815</v>
      </c>
      <c r="E4200" s="6">
        <v>2020</v>
      </c>
      <c r="F4200" s="6">
        <v>2020</v>
      </c>
      <c r="G4200" s="6" t="s">
        <v>16</v>
      </c>
      <c r="H4200" s="6">
        <v>200</v>
      </c>
      <c r="I4200" s="6">
        <v>200</v>
      </c>
      <c r="J4200" s="6"/>
      <c r="K4200" s="6"/>
      <c r="L4200" s="10">
        <v>20201118</v>
      </c>
      <c r="M4200" s="36" t="str">
        <f t="shared" si="65"/>
        <v>19730601</v>
      </c>
    </row>
    <row r="4201" s="1" customFormat="1" spans="1:13">
      <c r="A4201" s="2">
        <v>8218</v>
      </c>
      <c r="B4201" s="5" t="s">
        <v>15406</v>
      </c>
      <c r="C4201" s="6" t="s">
        <v>2200</v>
      </c>
      <c r="D4201" s="293" t="s">
        <v>15618</v>
      </c>
      <c r="E4201" s="5" t="s">
        <v>1047</v>
      </c>
      <c r="F4201" s="5">
        <v>2020</v>
      </c>
      <c r="G4201" s="5" t="s">
        <v>289</v>
      </c>
      <c r="H4201" s="6">
        <v>200</v>
      </c>
      <c r="I4201" s="6">
        <v>400</v>
      </c>
      <c r="J4201" s="5"/>
      <c r="K4201" s="10"/>
      <c r="L4201" s="10">
        <v>20201118</v>
      </c>
      <c r="M4201" s="36" t="str">
        <f t="shared" si="65"/>
        <v>19730601</v>
      </c>
    </row>
    <row r="4202" s="1" customFormat="1" spans="1:13">
      <c r="A4202" s="2">
        <v>2650</v>
      </c>
      <c r="B4202" s="32" t="s">
        <v>5602</v>
      </c>
      <c r="C4202" s="9" t="s">
        <v>5834</v>
      </c>
      <c r="D4202" s="9" t="s">
        <v>5835</v>
      </c>
      <c r="E4202" s="32">
        <v>2020</v>
      </c>
      <c r="F4202" s="32">
        <v>2020</v>
      </c>
      <c r="G4202" s="32" t="s">
        <v>16</v>
      </c>
      <c r="H4202" s="9">
        <v>200</v>
      </c>
      <c r="I4202" s="9">
        <v>200</v>
      </c>
      <c r="J4202" s="32"/>
      <c r="K4202" s="52"/>
      <c r="L4202" s="10">
        <v>20201118</v>
      </c>
      <c r="M4202" s="36" t="str">
        <f t="shared" si="65"/>
        <v>19730602</v>
      </c>
    </row>
    <row r="4203" s="1" customFormat="1" spans="1:13">
      <c r="A4203" s="2">
        <v>8104</v>
      </c>
      <c r="B4203" s="13" t="s">
        <v>15086</v>
      </c>
      <c r="C4203" s="13" t="s">
        <v>15401</v>
      </c>
      <c r="D4203" s="5" t="s">
        <v>15402</v>
      </c>
      <c r="E4203" s="13">
        <v>2018</v>
      </c>
      <c r="F4203" s="5">
        <v>2020</v>
      </c>
      <c r="G4203" s="5" t="s">
        <v>289</v>
      </c>
      <c r="H4203" s="13">
        <v>200</v>
      </c>
      <c r="I4203" s="13">
        <v>600</v>
      </c>
      <c r="J4203" s="10"/>
      <c r="K4203" s="10"/>
      <c r="L4203" s="10">
        <v>20201224</v>
      </c>
      <c r="M4203" s="36" t="str">
        <f t="shared" si="65"/>
        <v>19730602</v>
      </c>
    </row>
    <row r="4204" s="1" customFormat="1" spans="1:13">
      <c r="A4204" s="2">
        <v>126</v>
      </c>
      <c r="B4204" s="3" t="s">
        <v>12</v>
      </c>
      <c r="C4204" s="6" t="s">
        <v>268</v>
      </c>
      <c r="D4204" s="6" t="s">
        <v>269</v>
      </c>
      <c r="E4204" s="3" t="s">
        <v>15</v>
      </c>
      <c r="F4204" s="3" t="s">
        <v>15</v>
      </c>
      <c r="G4204" s="3" t="s">
        <v>189</v>
      </c>
      <c r="H4204" s="3">
        <v>200</v>
      </c>
      <c r="I4204" s="3">
        <v>200</v>
      </c>
      <c r="J4204" s="3"/>
      <c r="K4204" s="3"/>
      <c r="L4204" s="10">
        <v>20201118</v>
      </c>
      <c r="M4204" s="36" t="str">
        <f t="shared" si="65"/>
        <v>19730603</v>
      </c>
    </row>
    <row r="4205" s="1" customFormat="1" spans="1:13">
      <c r="A4205" s="2">
        <v>261</v>
      </c>
      <c r="B4205" s="14" t="s">
        <v>327</v>
      </c>
      <c r="C4205" s="17" t="s">
        <v>669</v>
      </c>
      <c r="D4205" s="17" t="s">
        <v>670</v>
      </c>
      <c r="E4205" s="5">
        <v>2020</v>
      </c>
      <c r="F4205" s="5">
        <v>2020</v>
      </c>
      <c r="G4205" s="14" t="s">
        <v>16</v>
      </c>
      <c r="H4205" s="14">
        <v>200</v>
      </c>
      <c r="I4205" s="17">
        <v>200</v>
      </c>
      <c r="J4205" s="17"/>
      <c r="K4205" s="10"/>
      <c r="L4205" s="2" t="s">
        <v>330</v>
      </c>
      <c r="M4205" s="36" t="str">
        <f t="shared" si="65"/>
        <v>19730605</v>
      </c>
    </row>
    <row r="4206" s="1" customFormat="1" ht="14.25" spans="1:13">
      <c r="A4206" s="2">
        <v>5338</v>
      </c>
      <c r="B4206" s="33" t="s">
        <v>10535</v>
      </c>
      <c r="C4206" s="34" t="s">
        <v>10789</v>
      </c>
      <c r="D4206" s="34" t="s">
        <v>10790</v>
      </c>
      <c r="E4206" s="35">
        <v>2020</v>
      </c>
      <c r="F4206" s="35">
        <v>2020</v>
      </c>
      <c r="G4206" s="35" t="s">
        <v>16</v>
      </c>
      <c r="H4206" s="34">
        <v>1000</v>
      </c>
      <c r="I4206" s="34">
        <v>1000</v>
      </c>
      <c r="J4206" s="49"/>
      <c r="K4206" s="10"/>
      <c r="L4206" s="10">
        <v>20201118</v>
      </c>
      <c r="M4206" s="36" t="str">
        <f t="shared" si="65"/>
        <v>19730605</v>
      </c>
    </row>
    <row r="4207" s="1" customFormat="1" spans="1:13">
      <c r="A4207" s="2">
        <v>817</v>
      </c>
      <c r="B4207" s="29" t="s">
        <v>1040</v>
      </c>
      <c r="C4207" s="5" t="s">
        <v>2101</v>
      </c>
      <c r="D4207" s="317" t="s">
        <v>2102</v>
      </c>
      <c r="E4207" s="30">
        <v>2020</v>
      </c>
      <c r="F4207" s="30">
        <v>2020</v>
      </c>
      <c r="G4207" s="29" t="s">
        <v>16</v>
      </c>
      <c r="H4207" s="29">
        <v>200</v>
      </c>
      <c r="I4207" s="29">
        <v>200</v>
      </c>
      <c r="J4207" s="32"/>
      <c r="K4207" s="32"/>
      <c r="L4207" s="14" t="s">
        <v>330</v>
      </c>
      <c r="M4207" s="36" t="str">
        <f t="shared" si="65"/>
        <v>19730606</v>
      </c>
    </row>
    <row r="4208" s="1" customFormat="1" spans="1:13">
      <c r="A4208" s="2">
        <v>3376</v>
      </c>
      <c r="B4208" s="5" t="s">
        <v>3375</v>
      </c>
      <c r="C4208" s="6" t="s">
        <v>7152</v>
      </c>
      <c r="D4208" s="6" t="s">
        <v>7153</v>
      </c>
      <c r="E4208" s="5" t="s">
        <v>15</v>
      </c>
      <c r="F4208" s="5">
        <v>2020</v>
      </c>
      <c r="G4208" s="14" t="s">
        <v>16</v>
      </c>
      <c r="H4208" s="17">
        <v>200</v>
      </c>
      <c r="I4208" s="17">
        <v>200</v>
      </c>
      <c r="J4208" s="6" t="s">
        <v>4064</v>
      </c>
      <c r="K4208" s="10"/>
      <c r="L4208" s="10">
        <v>20201118</v>
      </c>
      <c r="M4208" s="36" t="str">
        <f t="shared" si="65"/>
        <v>19730607</v>
      </c>
    </row>
    <row r="4209" s="1" customFormat="1" spans="1:13">
      <c r="A4209" s="2">
        <v>4408</v>
      </c>
      <c r="B4209" s="9" t="s">
        <v>8515</v>
      </c>
      <c r="C4209" s="6" t="s">
        <v>9003</v>
      </c>
      <c r="D4209" s="293" t="s">
        <v>9004</v>
      </c>
      <c r="E4209" s="5" t="s">
        <v>15</v>
      </c>
      <c r="F4209" s="5">
        <v>2020</v>
      </c>
      <c r="G4209" s="6" t="s">
        <v>295</v>
      </c>
      <c r="H4209" s="9">
        <v>200</v>
      </c>
      <c r="I4209" s="9">
        <v>400</v>
      </c>
      <c r="J4209" s="6"/>
      <c r="K4209" s="6"/>
      <c r="L4209" s="10">
        <v>20201118</v>
      </c>
      <c r="M4209" s="36" t="str">
        <f t="shared" si="65"/>
        <v>19730607</v>
      </c>
    </row>
    <row r="4210" s="1" customFormat="1" spans="1:13">
      <c r="A4210" s="2">
        <v>3884</v>
      </c>
      <c r="B4210" s="5" t="s">
        <v>7412</v>
      </c>
      <c r="C4210" s="5" t="s">
        <v>8003</v>
      </c>
      <c r="D4210" s="5" t="s">
        <v>8004</v>
      </c>
      <c r="E4210" s="6">
        <v>2020</v>
      </c>
      <c r="F4210" s="6">
        <v>2020</v>
      </c>
      <c r="G4210" s="5" t="s">
        <v>3359</v>
      </c>
      <c r="H4210" s="5">
        <v>200</v>
      </c>
      <c r="I4210" s="5">
        <v>200</v>
      </c>
      <c r="J4210" s="5"/>
      <c r="K4210" s="5"/>
      <c r="L4210" s="10">
        <v>20201118</v>
      </c>
      <c r="M4210" s="36" t="str">
        <f t="shared" si="65"/>
        <v>19730608</v>
      </c>
    </row>
    <row r="4211" s="1" customFormat="1" spans="1:13">
      <c r="A4211" s="2">
        <v>645</v>
      </c>
      <c r="B4211" s="29" t="s">
        <v>1040</v>
      </c>
      <c r="C4211" s="47" t="s">
        <v>1588</v>
      </c>
      <c r="D4211" s="47" t="s">
        <v>1589</v>
      </c>
      <c r="E4211" s="30">
        <v>2020</v>
      </c>
      <c r="F4211" s="30">
        <v>2020</v>
      </c>
      <c r="G4211" s="29" t="s">
        <v>16</v>
      </c>
      <c r="H4211" s="29">
        <v>200</v>
      </c>
      <c r="I4211" s="29">
        <v>200</v>
      </c>
      <c r="J4211" s="29"/>
      <c r="K4211" s="47"/>
      <c r="L4211" s="14" t="s">
        <v>330</v>
      </c>
      <c r="M4211" s="36" t="str">
        <f t="shared" si="65"/>
        <v>19730609</v>
      </c>
    </row>
    <row r="4212" s="1" customFormat="1" spans="1:13">
      <c r="A4212" s="2">
        <v>3885</v>
      </c>
      <c r="B4212" s="5" t="s">
        <v>7412</v>
      </c>
      <c r="C4212" s="5" t="s">
        <v>8005</v>
      </c>
      <c r="D4212" s="5" t="s">
        <v>8006</v>
      </c>
      <c r="E4212" s="6">
        <v>2020</v>
      </c>
      <c r="F4212" s="6">
        <v>2020</v>
      </c>
      <c r="G4212" s="5" t="s">
        <v>3359</v>
      </c>
      <c r="H4212" s="5">
        <v>200</v>
      </c>
      <c r="I4212" s="5">
        <v>200</v>
      </c>
      <c r="J4212" s="5"/>
      <c r="K4212" s="5"/>
      <c r="L4212" s="10">
        <v>20201118</v>
      </c>
      <c r="M4212" s="36" t="str">
        <f t="shared" si="65"/>
        <v>19730610</v>
      </c>
    </row>
    <row r="4213" s="1" customFormat="1" spans="1:13">
      <c r="A4213" s="2">
        <v>3221</v>
      </c>
      <c r="B4213" s="3" t="s">
        <v>6671</v>
      </c>
      <c r="C4213" s="9" t="s">
        <v>6948</v>
      </c>
      <c r="D4213" s="9" t="s">
        <v>6949</v>
      </c>
      <c r="E4213" s="3" t="s">
        <v>15</v>
      </c>
      <c r="F4213" s="3" t="s">
        <v>15</v>
      </c>
      <c r="G4213" s="6" t="s">
        <v>3359</v>
      </c>
      <c r="H4213" s="9">
        <v>200</v>
      </c>
      <c r="I4213" s="9">
        <v>200</v>
      </c>
      <c r="J4213" s="6"/>
      <c r="K4213" s="5"/>
      <c r="L4213" s="10">
        <v>20201118</v>
      </c>
      <c r="M4213" s="36" t="str">
        <f t="shared" si="65"/>
        <v>19730612</v>
      </c>
    </row>
    <row r="4214" s="1" customFormat="1" ht="14.25" spans="1:13">
      <c r="A4214" s="2">
        <v>3519</v>
      </c>
      <c r="B4214" s="5" t="s">
        <v>3375</v>
      </c>
      <c r="C4214" s="5" t="s">
        <v>3922</v>
      </c>
      <c r="D4214" s="12" t="s">
        <v>7311</v>
      </c>
      <c r="E4214" s="5" t="s">
        <v>15</v>
      </c>
      <c r="F4214" s="5">
        <v>2020</v>
      </c>
      <c r="G4214" s="14" t="s">
        <v>16</v>
      </c>
      <c r="H4214" s="5">
        <v>200</v>
      </c>
      <c r="I4214" s="5">
        <v>200</v>
      </c>
      <c r="J4214" s="5"/>
      <c r="K4214" s="10"/>
      <c r="L4214" s="10">
        <v>20201118</v>
      </c>
      <c r="M4214" s="36" t="str">
        <f t="shared" si="65"/>
        <v>19730612</v>
      </c>
    </row>
    <row r="4215" s="1" customFormat="1" spans="1:13">
      <c r="A4215" s="2">
        <v>400</v>
      </c>
      <c r="B4215" s="29" t="s">
        <v>1040</v>
      </c>
      <c r="C4215" s="29" t="s">
        <v>1076</v>
      </c>
      <c r="D4215" s="29" t="s">
        <v>1077</v>
      </c>
      <c r="E4215" s="30">
        <v>2020</v>
      </c>
      <c r="F4215" s="30">
        <v>2020</v>
      </c>
      <c r="G4215" s="29" t="s">
        <v>16</v>
      </c>
      <c r="H4215" s="29">
        <v>200</v>
      </c>
      <c r="I4215" s="29">
        <v>200</v>
      </c>
      <c r="J4215" s="29"/>
      <c r="K4215" s="47"/>
      <c r="L4215" s="2" t="s">
        <v>330</v>
      </c>
      <c r="M4215" s="36" t="str">
        <f t="shared" si="65"/>
        <v>19730615</v>
      </c>
    </row>
    <row r="4216" s="1" customFormat="1" spans="1:13">
      <c r="A4216" s="2">
        <v>4984</v>
      </c>
      <c r="B4216" s="6" t="s">
        <v>9954</v>
      </c>
      <c r="C4216" s="3" t="s">
        <v>10107</v>
      </c>
      <c r="D4216" s="3" t="s">
        <v>10108</v>
      </c>
      <c r="E4216" s="5" t="s">
        <v>15</v>
      </c>
      <c r="F4216" s="5" t="s">
        <v>15</v>
      </c>
      <c r="G4216" s="14" t="s">
        <v>16</v>
      </c>
      <c r="H4216" s="6">
        <v>200</v>
      </c>
      <c r="I4216" s="6">
        <v>200</v>
      </c>
      <c r="J4216" s="6"/>
      <c r="K4216" s="6"/>
      <c r="L4216" s="10">
        <v>20201118</v>
      </c>
      <c r="M4216" s="36" t="str">
        <f t="shared" si="65"/>
        <v>19730615</v>
      </c>
    </row>
    <row r="4217" s="1" customFormat="1" ht="14.25" spans="1:13">
      <c r="A4217" s="2">
        <v>5339</v>
      </c>
      <c r="B4217" s="33" t="s">
        <v>10535</v>
      </c>
      <c r="C4217" s="34" t="s">
        <v>10791</v>
      </c>
      <c r="D4217" s="34" t="s">
        <v>10792</v>
      </c>
      <c r="E4217" s="35">
        <v>2020</v>
      </c>
      <c r="F4217" s="35">
        <v>2020</v>
      </c>
      <c r="G4217" s="35" t="s">
        <v>16</v>
      </c>
      <c r="H4217" s="34">
        <v>200</v>
      </c>
      <c r="I4217" s="34">
        <v>200</v>
      </c>
      <c r="J4217" s="49"/>
      <c r="K4217" s="10"/>
      <c r="L4217" s="10">
        <v>20201118</v>
      </c>
      <c r="M4217" s="36" t="str">
        <f t="shared" si="65"/>
        <v>19730617</v>
      </c>
    </row>
    <row r="4218" s="1" customFormat="1" spans="1:13">
      <c r="A4218" s="2">
        <v>815</v>
      </c>
      <c r="B4218" s="29" t="s">
        <v>1040</v>
      </c>
      <c r="C4218" s="5" t="s">
        <v>2095</v>
      </c>
      <c r="D4218" s="317" t="s">
        <v>2096</v>
      </c>
      <c r="E4218" s="30">
        <v>2020</v>
      </c>
      <c r="F4218" s="30">
        <v>2020</v>
      </c>
      <c r="G4218" s="29" t="s">
        <v>16</v>
      </c>
      <c r="H4218" s="29">
        <v>200</v>
      </c>
      <c r="I4218" s="29">
        <v>200</v>
      </c>
      <c r="J4218" s="32"/>
      <c r="K4218" s="32"/>
      <c r="L4218" s="14" t="s">
        <v>330</v>
      </c>
      <c r="M4218" s="36" t="str">
        <f t="shared" si="65"/>
        <v>19730618</v>
      </c>
    </row>
    <row r="4219" s="1" customFormat="1" spans="1:13">
      <c r="A4219" s="2">
        <v>7509</v>
      </c>
      <c r="B4219" s="5" t="s">
        <v>14402</v>
      </c>
      <c r="C4219" s="5" t="s">
        <v>14631</v>
      </c>
      <c r="D4219" s="5" t="s">
        <v>14632</v>
      </c>
      <c r="E4219" s="5">
        <v>2020</v>
      </c>
      <c r="F4219" s="5">
        <v>2020</v>
      </c>
      <c r="G4219" s="17" t="s">
        <v>16</v>
      </c>
      <c r="H4219" s="5">
        <v>200</v>
      </c>
      <c r="I4219" s="5">
        <v>200</v>
      </c>
      <c r="J4219" s="5"/>
      <c r="K4219" s="10"/>
      <c r="L4219" s="10">
        <v>20201118</v>
      </c>
      <c r="M4219" s="36" t="str">
        <f t="shared" si="65"/>
        <v>19730619</v>
      </c>
    </row>
    <row r="4220" s="1" customFormat="1" spans="1:13">
      <c r="A4220" s="2">
        <v>4297</v>
      </c>
      <c r="B4220" s="9" t="s">
        <v>8515</v>
      </c>
      <c r="C4220" s="9" t="s">
        <v>8786</v>
      </c>
      <c r="D4220" s="9" t="s">
        <v>8787</v>
      </c>
      <c r="E4220" s="5" t="s">
        <v>15</v>
      </c>
      <c r="F4220" s="5">
        <v>2020</v>
      </c>
      <c r="G4220" s="9" t="s">
        <v>2480</v>
      </c>
      <c r="H4220" s="9">
        <v>200</v>
      </c>
      <c r="I4220" s="9">
        <v>200</v>
      </c>
      <c r="J4220" s="9"/>
      <c r="K4220" s="9"/>
      <c r="L4220" s="10">
        <v>20201118</v>
      </c>
      <c r="M4220" s="36" t="str">
        <f t="shared" si="65"/>
        <v>19730620</v>
      </c>
    </row>
    <row r="4221" s="1" customFormat="1" spans="1:13">
      <c r="A4221" s="2">
        <v>1650</v>
      </c>
      <c r="B4221" s="5" t="s">
        <v>3381</v>
      </c>
      <c r="C4221" s="9" t="s">
        <v>3862</v>
      </c>
      <c r="D4221" s="9" t="s">
        <v>3863</v>
      </c>
      <c r="E4221" s="5">
        <v>2020</v>
      </c>
      <c r="F4221" s="5">
        <v>2020</v>
      </c>
      <c r="G4221" s="14" t="s">
        <v>16</v>
      </c>
      <c r="H4221" s="6">
        <v>200</v>
      </c>
      <c r="I4221" s="6">
        <v>200</v>
      </c>
      <c r="J4221" s="5"/>
      <c r="K4221" s="13"/>
      <c r="L4221" s="10">
        <v>20201118</v>
      </c>
      <c r="M4221" s="36" t="str">
        <f t="shared" si="65"/>
        <v>19730624</v>
      </c>
    </row>
    <row r="4222" s="1" customFormat="1" ht="14.25" spans="1:13">
      <c r="A4222" s="2">
        <v>5340</v>
      </c>
      <c r="B4222" s="33" t="s">
        <v>10535</v>
      </c>
      <c r="C4222" s="34" t="s">
        <v>10793</v>
      </c>
      <c r="D4222" s="34" t="s">
        <v>10794</v>
      </c>
      <c r="E4222" s="35">
        <v>2020</v>
      </c>
      <c r="F4222" s="35">
        <v>2020</v>
      </c>
      <c r="G4222" s="35" t="s">
        <v>16</v>
      </c>
      <c r="H4222" s="34">
        <v>200</v>
      </c>
      <c r="I4222" s="34">
        <v>200</v>
      </c>
      <c r="J4222" s="49"/>
      <c r="K4222" s="10"/>
      <c r="L4222" s="10">
        <v>20201118</v>
      </c>
      <c r="M4222" s="36" t="str">
        <f t="shared" si="65"/>
        <v>19730624</v>
      </c>
    </row>
    <row r="4223" s="1" customFormat="1" spans="1:13">
      <c r="A4223" s="2">
        <v>7513</v>
      </c>
      <c r="B4223" s="5" t="s">
        <v>14402</v>
      </c>
      <c r="C4223" s="5" t="s">
        <v>14639</v>
      </c>
      <c r="D4223" s="5" t="s">
        <v>14640</v>
      </c>
      <c r="E4223" s="5">
        <v>2020</v>
      </c>
      <c r="F4223" s="5">
        <v>2020</v>
      </c>
      <c r="G4223" s="17" t="s">
        <v>16</v>
      </c>
      <c r="H4223" s="5">
        <v>200</v>
      </c>
      <c r="I4223" s="5">
        <v>200</v>
      </c>
      <c r="J4223" s="62" t="s">
        <v>749</v>
      </c>
      <c r="K4223" s="10"/>
      <c r="L4223" s="10">
        <v>20201118</v>
      </c>
      <c r="M4223" s="36" t="str">
        <f t="shared" si="65"/>
        <v>19730629</v>
      </c>
    </row>
    <row r="4224" s="1" customFormat="1" spans="1:13">
      <c r="A4224" s="2">
        <v>7950</v>
      </c>
      <c r="B4224" s="5" t="s">
        <v>15086</v>
      </c>
      <c r="C4224" s="6" t="s">
        <v>4197</v>
      </c>
      <c r="D4224" s="6" t="str">
        <f>"152326197306296884"</f>
        <v>152326197306296884</v>
      </c>
      <c r="E4224" s="5" t="s">
        <v>15</v>
      </c>
      <c r="F4224" s="5">
        <v>2020</v>
      </c>
      <c r="G4224" s="5" t="s">
        <v>16</v>
      </c>
      <c r="H4224" s="5">
        <v>200</v>
      </c>
      <c r="I4224" s="5">
        <v>200</v>
      </c>
      <c r="J4224" s="5"/>
      <c r="K4224" s="5"/>
      <c r="L4224" s="10">
        <v>20201118</v>
      </c>
      <c r="M4224" s="36" t="str">
        <f t="shared" si="65"/>
        <v>19730629</v>
      </c>
    </row>
    <row r="4225" s="1" customFormat="1" spans="1:13">
      <c r="A4225" s="2">
        <v>109</v>
      </c>
      <c r="B4225" s="3" t="s">
        <v>12</v>
      </c>
      <c r="C4225" s="6" t="s">
        <v>234</v>
      </c>
      <c r="D4225" s="6" t="s">
        <v>235</v>
      </c>
      <c r="E4225" s="3" t="s">
        <v>15</v>
      </c>
      <c r="F4225" s="3" t="s">
        <v>15</v>
      </c>
      <c r="G4225" s="3" t="s">
        <v>189</v>
      </c>
      <c r="H4225" s="3">
        <v>200</v>
      </c>
      <c r="I4225" s="3">
        <v>200</v>
      </c>
      <c r="J4225" s="3"/>
      <c r="K4225" s="3"/>
      <c r="L4225" s="10">
        <v>20201118</v>
      </c>
      <c r="M4225" s="36" t="str">
        <f t="shared" si="65"/>
        <v>19730701</v>
      </c>
    </row>
    <row r="4226" s="1" customFormat="1" spans="1:13">
      <c r="A4226" s="2">
        <v>1815</v>
      </c>
      <c r="B4226" s="5" t="s">
        <v>4189</v>
      </c>
      <c r="C4226" s="16" t="s">
        <v>4195</v>
      </c>
      <c r="D4226" s="16" t="s">
        <v>4196</v>
      </c>
      <c r="E4226" s="5" t="s">
        <v>15</v>
      </c>
      <c r="F4226" s="5" t="s">
        <v>15</v>
      </c>
      <c r="G4226" s="5" t="s">
        <v>3359</v>
      </c>
      <c r="H4226" s="16">
        <v>200</v>
      </c>
      <c r="I4226" s="16">
        <v>200</v>
      </c>
      <c r="J4226" s="5"/>
      <c r="K4226" s="10"/>
      <c r="L4226" s="10">
        <v>20201118</v>
      </c>
      <c r="M4226" s="36" t="str">
        <f t="shared" ref="M4226:M4289" si="66">MID(D4226,7,8)</f>
        <v>19730702</v>
      </c>
    </row>
    <row r="4227" s="1" customFormat="1" spans="1:13">
      <c r="A4227" s="2">
        <v>4702</v>
      </c>
      <c r="B4227" s="6" t="s">
        <v>9015</v>
      </c>
      <c r="C4227" s="6" t="s">
        <v>9563</v>
      </c>
      <c r="D4227" s="6" t="s">
        <v>9564</v>
      </c>
      <c r="E4227" s="6">
        <v>2020</v>
      </c>
      <c r="F4227" s="6">
        <v>2020</v>
      </c>
      <c r="G4227" s="6" t="s">
        <v>16</v>
      </c>
      <c r="H4227" s="6" t="s">
        <v>9565</v>
      </c>
      <c r="I4227" s="6">
        <v>1000</v>
      </c>
      <c r="J4227" s="6"/>
      <c r="K4227" s="6"/>
      <c r="L4227" s="10">
        <v>20201118</v>
      </c>
      <c r="M4227" s="36" t="str">
        <f t="shared" si="66"/>
        <v>19730703</v>
      </c>
    </row>
    <row r="4228" s="1" customFormat="1" spans="1:13">
      <c r="A4228" s="2">
        <v>4671</v>
      </c>
      <c r="B4228" s="6" t="s">
        <v>9015</v>
      </c>
      <c r="C4228" s="6" t="s">
        <v>9506</v>
      </c>
      <c r="D4228" s="6" t="s">
        <v>9507</v>
      </c>
      <c r="E4228" s="6">
        <v>2020</v>
      </c>
      <c r="F4228" s="6">
        <v>2020</v>
      </c>
      <c r="G4228" s="6" t="s">
        <v>16</v>
      </c>
      <c r="H4228" s="6">
        <v>200</v>
      </c>
      <c r="I4228" s="6">
        <v>200</v>
      </c>
      <c r="J4228" s="6"/>
      <c r="K4228" s="6"/>
      <c r="L4228" s="10">
        <v>20201118</v>
      </c>
      <c r="M4228" s="36" t="str">
        <f t="shared" si="66"/>
        <v>19730707</v>
      </c>
    </row>
    <row r="4229" s="1" customFormat="1" spans="1:13">
      <c r="A4229" s="2">
        <v>7515</v>
      </c>
      <c r="B4229" s="5" t="s">
        <v>14402</v>
      </c>
      <c r="C4229" s="5" t="s">
        <v>14643</v>
      </c>
      <c r="D4229" s="5" t="s">
        <v>14644</v>
      </c>
      <c r="E4229" s="5">
        <v>2020</v>
      </c>
      <c r="F4229" s="5">
        <v>2020</v>
      </c>
      <c r="G4229" s="17" t="s">
        <v>16</v>
      </c>
      <c r="H4229" s="5">
        <v>200</v>
      </c>
      <c r="I4229" s="5">
        <v>200</v>
      </c>
      <c r="J4229" s="5"/>
      <c r="K4229" s="10"/>
      <c r="L4229" s="10">
        <v>20201118</v>
      </c>
      <c r="M4229" s="36" t="str">
        <f t="shared" si="66"/>
        <v>19730708</v>
      </c>
    </row>
    <row r="4230" s="1" customFormat="1" spans="1:13">
      <c r="A4230" s="2">
        <v>1404</v>
      </c>
      <c r="B4230" s="5" t="s">
        <v>2469</v>
      </c>
      <c r="C4230" s="9" t="s">
        <v>3370</v>
      </c>
      <c r="D4230" s="287" t="s">
        <v>3371</v>
      </c>
      <c r="E4230" s="5">
        <v>2020</v>
      </c>
      <c r="F4230" s="5">
        <v>2020</v>
      </c>
      <c r="G4230" s="9" t="s">
        <v>295</v>
      </c>
      <c r="H4230" s="9">
        <v>200</v>
      </c>
      <c r="I4230" s="9">
        <v>200</v>
      </c>
      <c r="J4230" s="5"/>
      <c r="K4230" s="5"/>
      <c r="L4230" s="10">
        <v>20201118</v>
      </c>
      <c r="M4230" s="36" t="str">
        <f t="shared" si="66"/>
        <v>19730709</v>
      </c>
    </row>
    <row r="4231" s="1" customFormat="1" spans="1:13">
      <c r="A4231" s="2">
        <v>7082</v>
      </c>
      <c r="B4231" s="5" t="s">
        <v>13533</v>
      </c>
      <c r="C4231" s="32" t="s">
        <v>13835</v>
      </c>
      <c r="D4231" s="304" t="s">
        <v>13836</v>
      </c>
      <c r="E4231" s="5">
        <v>2020</v>
      </c>
      <c r="F4231" s="5">
        <v>2020</v>
      </c>
      <c r="G4231" s="9" t="s">
        <v>2480</v>
      </c>
      <c r="H4231" s="32">
        <v>200</v>
      </c>
      <c r="I4231" s="32">
        <v>200</v>
      </c>
      <c r="J4231" s="32"/>
      <c r="K4231" s="10"/>
      <c r="L4231" s="10">
        <v>20201118</v>
      </c>
      <c r="M4231" s="36" t="str">
        <f t="shared" si="66"/>
        <v>19730709</v>
      </c>
    </row>
    <row r="4232" s="1" customFormat="1" spans="1:13">
      <c r="A4232" s="2">
        <v>798</v>
      </c>
      <c r="B4232" s="29" t="s">
        <v>1040</v>
      </c>
      <c r="C4232" s="5" t="s">
        <v>2044</v>
      </c>
      <c r="D4232" s="317" t="s">
        <v>2045</v>
      </c>
      <c r="E4232" s="30">
        <v>2020</v>
      </c>
      <c r="F4232" s="30">
        <v>2020</v>
      </c>
      <c r="G4232" s="29" t="s">
        <v>16</v>
      </c>
      <c r="H4232" s="29">
        <v>200</v>
      </c>
      <c r="I4232" s="29">
        <v>200</v>
      </c>
      <c r="J4232" s="32"/>
      <c r="K4232" s="32"/>
      <c r="L4232" s="2" t="s">
        <v>330</v>
      </c>
      <c r="M4232" s="36" t="str">
        <f t="shared" si="66"/>
        <v>19730710</v>
      </c>
    </row>
    <row r="4233" s="1" customFormat="1" ht="14.25" spans="1:13">
      <c r="A4233" s="2">
        <v>2936</v>
      </c>
      <c r="B4233" s="6" t="s">
        <v>6075</v>
      </c>
      <c r="C4233" s="25" t="s">
        <v>6398</v>
      </c>
      <c r="D4233" s="26" t="s">
        <v>6399</v>
      </c>
      <c r="E4233" s="5" t="s">
        <v>15</v>
      </c>
      <c r="F4233" s="5">
        <v>2020</v>
      </c>
      <c r="G4233" s="6" t="s">
        <v>16</v>
      </c>
      <c r="H4233" s="6">
        <v>200</v>
      </c>
      <c r="I4233" s="6">
        <v>200</v>
      </c>
      <c r="J4233" s="6" t="s">
        <v>6097</v>
      </c>
      <c r="K4233" s="10"/>
      <c r="L4233" s="10">
        <v>20201118</v>
      </c>
      <c r="M4233" s="36" t="str">
        <f t="shared" si="66"/>
        <v>19730710</v>
      </c>
    </row>
    <row r="4234" s="1" customFormat="1" spans="1:13">
      <c r="A4234" s="2">
        <v>3886</v>
      </c>
      <c r="B4234" s="5" t="s">
        <v>7412</v>
      </c>
      <c r="C4234" s="5" t="s">
        <v>8007</v>
      </c>
      <c r="D4234" s="5" t="s">
        <v>8008</v>
      </c>
      <c r="E4234" s="6">
        <v>2020</v>
      </c>
      <c r="F4234" s="6">
        <v>2020</v>
      </c>
      <c r="G4234" s="5" t="s">
        <v>3359</v>
      </c>
      <c r="H4234" s="5">
        <v>200</v>
      </c>
      <c r="I4234" s="5">
        <v>200</v>
      </c>
      <c r="J4234" s="5"/>
      <c r="K4234" s="5"/>
      <c r="L4234" s="10">
        <v>20201118</v>
      </c>
      <c r="M4234" s="36" t="str">
        <f t="shared" si="66"/>
        <v>19730715</v>
      </c>
    </row>
    <row r="4235" s="1" customFormat="1" spans="1:13">
      <c r="A4235" s="2">
        <v>3887</v>
      </c>
      <c r="B4235" s="5" t="s">
        <v>7412</v>
      </c>
      <c r="C4235" s="5" t="s">
        <v>3714</v>
      </c>
      <c r="D4235" s="5" t="s">
        <v>8009</v>
      </c>
      <c r="E4235" s="6">
        <v>2020</v>
      </c>
      <c r="F4235" s="6">
        <v>2020</v>
      </c>
      <c r="G4235" s="5" t="s">
        <v>3359</v>
      </c>
      <c r="H4235" s="5">
        <v>200</v>
      </c>
      <c r="I4235" s="5">
        <v>200</v>
      </c>
      <c r="J4235" s="5"/>
      <c r="K4235" s="5"/>
      <c r="L4235" s="10">
        <v>20201118</v>
      </c>
      <c r="M4235" s="36" t="str">
        <f t="shared" si="66"/>
        <v>19730717</v>
      </c>
    </row>
    <row r="4236" s="1" customFormat="1" spans="1:13">
      <c r="A4236" s="2">
        <v>193</v>
      </c>
      <c r="B4236" s="14" t="s">
        <v>327</v>
      </c>
      <c r="C4236" s="14" t="s">
        <v>467</v>
      </c>
      <c r="D4236" s="14" t="s">
        <v>468</v>
      </c>
      <c r="E4236" s="5">
        <v>2020</v>
      </c>
      <c r="F4236" s="5">
        <v>2020</v>
      </c>
      <c r="G4236" s="14" t="s">
        <v>16</v>
      </c>
      <c r="H4236" s="14">
        <v>200</v>
      </c>
      <c r="I4236" s="14">
        <v>200</v>
      </c>
      <c r="J4236" s="14"/>
      <c r="K4236" s="10"/>
      <c r="L4236" s="2" t="s">
        <v>330</v>
      </c>
      <c r="M4236" s="36" t="str">
        <f t="shared" si="66"/>
        <v>19730722</v>
      </c>
    </row>
    <row r="4237" s="1" customFormat="1" spans="1:13">
      <c r="A4237" s="2">
        <v>4422</v>
      </c>
      <c r="B4237" s="6" t="s">
        <v>9015</v>
      </c>
      <c r="C4237" s="6" t="s">
        <v>9033</v>
      </c>
      <c r="D4237" s="6" t="s">
        <v>9034</v>
      </c>
      <c r="E4237" s="6">
        <v>2020</v>
      </c>
      <c r="F4237" s="6">
        <v>2020</v>
      </c>
      <c r="G4237" s="6" t="s">
        <v>16</v>
      </c>
      <c r="H4237" s="6">
        <v>200</v>
      </c>
      <c r="I4237" s="6">
        <v>200</v>
      </c>
      <c r="J4237" s="6"/>
      <c r="K4237" s="6"/>
      <c r="L4237" s="10">
        <v>20201118</v>
      </c>
      <c r="M4237" s="36" t="str">
        <f t="shared" si="66"/>
        <v>19730724</v>
      </c>
    </row>
    <row r="4238" s="1" customFormat="1" ht="14.25" spans="1:13">
      <c r="A4238" s="2">
        <v>6073</v>
      </c>
      <c r="B4238" s="30" t="s">
        <v>11090</v>
      </c>
      <c r="C4238" s="32" t="s">
        <v>12187</v>
      </c>
      <c r="D4238" s="12" t="s">
        <v>12188</v>
      </c>
      <c r="E4238" s="5" t="s">
        <v>15</v>
      </c>
      <c r="F4238" s="5" t="s">
        <v>10250</v>
      </c>
      <c r="G4238" s="6" t="s">
        <v>16</v>
      </c>
      <c r="H4238" s="32">
        <v>200</v>
      </c>
      <c r="I4238" s="32">
        <v>200</v>
      </c>
      <c r="J4238" s="5"/>
      <c r="K4238" s="48"/>
      <c r="L4238" s="10">
        <v>20201118</v>
      </c>
      <c r="M4238" s="36" t="str">
        <f t="shared" si="66"/>
        <v>19730726</v>
      </c>
    </row>
    <row r="4239" s="1" customFormat="1" spans="1:13">
      <c r="A4239" s="2">
        <v>4863</v>
      </c>
      <c r="B4239" s="6" t="s">
        <v>9015</v>
      </c>
      <c r="C4239" s="6" t="s">
        <v>9869</v>
      </c>
      <c r="D4239" s="293" t="s">
        <v>9870</v>
      </c>
      <c r="E4239" s="6">
        <v>2020</v>
      </c>
      <c r="F4239" s="6">
        <v>2020</v>
      </c>
      <c r="G4239" s="6" t="s">
        <v>16</v>
      </c>
      <c r="H4239" s="6">
        <v>200</v>
      </c>
      <c r="I4239" s="6">
        <v>200</v>
      </c>
      <c r="J4239" s="6"/>
      <c r="K4239" s="6"/>
      <c r="L4239" s="10">
        <v>20201118</v>
      </c>
      <c r="M4239" s="36" t="str">
        <f t="shared" si="66"/>
        <v>19730727</v>
      </c>
    </row>
    <row r="4240" s="1" customFormat="1" spans="1:13">
      <c r="A4240" s="2">
        <v>7514</v>
      </c>
      <c r="B4240" s="5" t="s">
        <v>14402</v>
      </c>
      <c r="C4240" s="5" t="s">
        <v>14641</v>
      </c>
      <c r="D4240" s="5" t="s">
        <v>14642</v>
      </c>
      <c r="E4240" s="5">
        <v>2020</v>
      </c>
      <c r="F4240" s="5">
        <v>2020</v>
      </c>
      <c r="G4240" s="17" t="s">
        <v>16</v>
      </c>
      <c r="H4240" s="5">
        <v>200</v>
      </c>
      <c r="I4240" s="5">
        <v>200</v>
      </c>
      <c r="J4240" s="5"/>
      <c r="K4240" s="10"/>
      <c r="L4240" s="10">
        <v>20201118</v>
      </c>
      <c r="M4240" s="36" t="str">
        <f t="shared" si="66"/>
        <v>19730728</v>
      </c>
    </row>
    <row r="4241" s="1" customFormat="1" spans="1:13">
      <c r="A4241" s="2">
        <v>2651</v>
      </c>
      <c r="B4241" s="32" t="s">
        <v>5602</v>
      </c>
      <c r="C4241" s="9" t="s">
        <v>5836</v>
      </c>
      <c r="D4241" s="9" t="s">
        <v>5837</v>
      </c>
      <c r="E4241" s="32">
        <v>2020</v>
      </c>
      <c r="F4241" s="32">
        <v>2020</v>
      </c>
      <c r="G4241" s="32" t="s">
        <v>16</v>
      </c>
      <c r="H4241" s="9">
        <v>200</v>
      </c>
      <c r="I4241" s="9">
        <v>200</v>
      </c>
      <c r="J4241" s="32"/>
      <c r="K4241" s="52"/>
      <c r="L4241" s="10">
        <v>20201118</v>
      </c>
      <c r="M4241" s="36" t="str">
        <f t="shared" si="66"/>
        <v>19730801</v>
      </c>
    </row>
    <row r="4242" s="1" customFormat="1" spans="1:13">
      <c r="A4242" s="2">
        <v>749</v>
      </c>
      <c r="B4242" s="29" t="s">
        <v>1040</v>
      </c>
      <c r="C4242" s="5" t="s">
        <v>1897</v>
      </c>
      <c r="D4242" s="317" t="s">
        <v>1898</v>
      </c>
      <c r="E4242" s="30">
        <v>2020</v>
      </c>
      <c r="F4242" s="30">
        <v>2020</v>
      </c>
      <c r="G4242" s="29" t="s">
        <v>16</v>
      </c>
      <c r="H4242" s="29">
        <v>200</v>
      </c>
      <c r="I4242" s="29">
        <v>200</v>
      </c>
      <c r="J4242" s="32"/>
      <c r="K4242" s="32"/>
      <c r="L4242" s="2" t="s">
        <v>330</v>
      </c>
      <c r="M4242" s="36" t="str">
        <f t="shared" si="66"/>
        <v>19730803</v>
      </c>
    </row>
    <row r="4243" s="1" customFormat="1" spans="1:13">
      <c r="A4243" s="2">
        <v>3383</v>
      </c>
      <c r="B4243" s="5" t="s">
        <v>3375</v>
      </c>
      <c r="C4243" s="6" t="s">
        <v>7161</v>
      </c>
      <c r="D4243" s="6" t="str">
        <f>"152326197308046870"</f>
        <v>152326197308046870</v>
      </c>
      <c r="E4243" s="5" t="s">
        <v>15</v>
      </c>
      <c r="F4243" s="5">
        <v>2020</v>
      </c>
      <c r="G4243" s="14" t="s">
        <v>16</v>
      </c>
      <c r="H4243" s="17">
        <v>200</v>
      </c>
      <c r="I4243" s="17">
        <v>200</v>
      </c>
      <c r="J4243" s="6"/>
      <c r="K4243" s="10"/>
      <c r="L4243" s="10">
        <v>20201118</v>
      </c>
      <c r="M4243" s="36" t="str">
        <f t="shared" si="66"/>
        <v>19730804</v>
      </c>
    </row>
    <row r="4244" s="1" customFormat="1" spans="1:13">
      <c r="A4244" s="2">
        <v>3888</v>
      </c>
      <c r="B4244" s="5" t="s">
        <v>7412</v>
      </c>
      <c r="C4244" s="5" t="s">
        <v>8010</v>
      </c>
      <c r="D4244" s="5" t="s">
        <v>8011</v>
      </c>
      <c r="E4244" s="6">
        <v>2020</v>
      </c>
      <c r="F4244" s="6">
        <v>2020</v>
      </c>
      <c r="G4244" s="5" t="s">
        <v>3359</v>
      </c>
      <c r="H4244" s="5">
        <v>1000</v>
      </c>
      <c r="I4244" s="5">
        <v>1000</v>
      </c>
      <c r="J4244" s="5"/>
      <c r="K4244" s="5"/>
      <c r="L4244" s="10">
        <v>20201118</v>
      </c>
      <c r="M4244" s="36" t="str">
        <f t="shared" si="66"/>
        <v>19730805</v>
      </c>
    </row>
    <row r="4245" s="1" customFormat="1" spans="1:13">
      <c r="A4245" s="2">
        <v>3378</v>
      </c>
      <c r="B4245" s="5" t="s">
        <v>3375</v>
      </c>
      <c r="C4245" s="6" t="s">
        <v>7156</v>
      </c>
      <c r="D4245" s="6" t="str">
        <f>"152326197308086864"</f>
        <v>152326197308086864</v>
      </c>
      <c r="E4245" s="5" t="s">
        <v>15</v>
      </c>
      <c r="F4245" s="5">
        <v>2020</v>
      </c>
      <c r="G4245" s="14" t="s">
        <v>16</v>
      </c>
      <c r="H4245" s="17">
        <v>200</v>
      </c>
      <c r="I4245" s="17">
        <v>200</v>
      </c>
      <c r="J4245" s="6"/>
      <c r="K4245" s="10"/>
      <c r="L4245" s="10">
        <v>20201118</v>
      </c>
      <c r="M4245" s="36" t="str">
        <f t="shared" si="66"/>
        <v>19730808</v>
      </c>
    </row>
    <row r="4246" s="1" customFormat="1" spans="1:13">
      <c r="A4246" s="2">
        <v>4941</v>
      </c>
      <c r="B4246" s="6" t="s">
        <v>9954</v>
      </c>
      <c r="C4246" s="53" t="s">
        <v>10023</v>
      </c>
      <c r="D4246" s="53" t="s">
        <v>10024</v>
      </c>
      <c r="E4246" s="5" t="s">
        <v>15</v>
      </c>
      <c r="F4246" s="5" t="s">
        <v>15</v>
      </c>
      <c r="G4246" s="14" t="s">
        <v>16</v>
      </c>
      <c r="H4246" s="6">
        <v>200</v>
      </c>
      <c r="I4246" s="6">
        <v>200</v>
      </c>
      <c r="J4246" s="6" t="s">
        <v>108</v>
      </c>
      <c r="K4246" s="6"/>
      <c r="L4246" s="10">
        <v>20201118</v>
      </c>
      <c r="M4246" s="36" t="str">
        <f t="shared" si="66"/>
        <v>19730808</v>
      </c>
    </row>
    <row r="4247" s="1" customFormat="1" spans="1:13">
      <c r="A4247" s="2">
        <v>1118</v>
      </c>
      <c r="B4247" s="5" t="s">
        <v>2469</v>
      </c>
      <c r="C4247" s="9" t="s">
        <v>2822</v>
      </c>
      <c r="D4247" s="9" t="s">
        <v>2823</v>
      </c>
      <c r="E4247" s="5">
        <v>2020</v>
      </c>
      <c r="F4247" s="5">
        <v>2020</v>
      </c>
      <c r="G4247" s="9" t="s">
        <v>2480</v>
      </c>
      <c r="H4247" s="9">
        <v>200</v>
      </c>
      <c r="I4247" s="9">
        <v>200</v>
      </c>
      <c r="J4247" s="5"/>
      <c r="K4247" s="5"/>
      <c r="L4247" s="10">
        <v>20201118</v>
      </c>
      <c r="M4247" s="36" t="str">
        <f t="shared" si="66"/>
        <v>19730809</v>
      </c>
    </row>
    <row r="4248" s="1" customFormat="1" spans="1:13">
      <c r="A4248" s="2">
        <v>2652</v>
      </c>
      <c r="B4248" s="32" t="s">
        <v>5602</v>
      </c>
      <c r="C4248" s="9" t="s">
        <v>5838</v>
      </c>
      <c r="D4248" s="9" t="s">
        <v>5839</v>
      </c>
      <c r="E4248" s="32">
        <v>2020</v>
      </c>
      <c r="F4248" s="32">
        <v>2020</v>
      </c>
      <c r="G4248" s="32" t="s">
        <v>16</v>
      </c>
      <c r="H4248" s="9">
        <v>200</v>
      </c>
      <c r="I4248" s="9">
        <v>200</v>
      </c>
      <c r="J4248" s="32"/>
      <c r="K4248" s="52"/>
      <c r="L4248" s="10">
        <v>20201118</v>
      </c>
      <c r="M4248" s="36" t="str">
        <f t="shared" si="66"/>
        <v>19730809</v>
      </c>
    </row>
    <row r="4249" s="1" customFormat="1" spans="1:13">
      <c r="A4249" s="2">
        <v>2653</v>
      </c>
      <c r="B4249" s="32" t="s">
        <v>5602</v>
      </c>
      <c r="C4249" s="9" t="s">
        <v>5840</v>
      </c>
      <c r="D4249" s="9" t="s">
        <v>5841</v>
      </c>
      <c r="E4249" s="32">
        <v>2020</v>
      </c>
      <c r="F4249" s="32">
        <v>2020</v>
      </c>
      <c r="G4249" s="32" t="s">
        <v>16</v>
      </c>
      <c r="H4249" s="9">
        <v>200</v>
      </c>
      <c r="I4249" s="9">
        <v>200</v>
      </c>
      <c r="J4249" s="32"/>
      <c r="K4249" s="52"/>
      <c r="L4249" s="10">
        <v>20201118</v>
      </c>
      <c r="M4249" s="36" t="str">
        <f t="shared" si="66"/>
        <v>19730810</v>
      </c>
    </row>
    <row r="4250" s="1" customFormat="1" spans="1:13">
      <c r="A4250" s="2">
        <v>5570</v>
      </c>
      <c r="B4250" s="30" t="s">
        <v>11090</v>
      </c>
      <c r="C4250" s="30" t="s">
        <v>11234</v>
      </c>
      <c r="D4250" s="30" t="s">
        <v>11235</v>
      </c>
      <c r="E4250" s="5" t="s">
        <v>15</v>
      </c>
      <c r="F4250" s="5" t="s">
        <v>10250</v>
      </c>
      <c r="G4250" s="6" t="s">
        <v>16</v>
      </c>
      <c r="H4250" s="32">
        <v>200</v>
      </c>
      <c r="I4250" s="32">
        <v>200</v>
      </c>
      <c r="J4250" s="6"/>
      <c r="K4250" s="48"/>
      <c r="L4250" s="10">
        <v>20201118</v>
      </c>
      <c r="M4250" s="36" t="str">
        <f t="shared" si="66"/>
        <v>19730810</v>
      </c>
    </row>
    <row r="4251" s="1" customFormat="1" spans="1:13">
      <c r="A4251" s="2">
        <v>6395</v>
      </c>
      <c r="B4251" s="5" t="s">
        <v>12263</v>
      </c>
      <c r="C4251" s="5" t="s">
        <v>12800</v>
      </c>
      <c r="D4251" s="5" t="s">
        <v>12801</v>
      </c>
      <c r="E4251" s="5" t="s">
        <v>10250</v>
      </c>
      <c r="F4251" s="5">
        <v>2020</v>
      </c>
      <c r="G4251" s="17" t="s">
        <v>3359</v>
      </c>
      <c r="H4251" s="5" t="s">
        <v>311</v>
      </c>
      <c r="I4251" s="5">
        <v>200</v>
      </c>
      <c r="J4251" s="5"/>
      <c r="K4251" s="5"/>
      <c r="L4251" s="10">
        <v>20201118</v>
      </c>
      <c r="M4251" s="36" t="str">
        <f t="shared" si="66"/>
        <v>19730810</v>
      </c>
    </row>
    <row r="4252" s="1" customFormat="1" spans="1:13">
      <c r="A4252" s="2">
        <v>656</v>
      </c>
      <c r="B4252" s="29" t="s">
        <v>1040</v>
      </c>
      <c r="C4252" s="47" t="s">
        <v>1621</v>
      </c>
      <c r="D4252" s="47" t="s">
        <v>1622</v>
      </c>
      <c r="E4252" s="30">
        <v>2020</v>
      </c>
      <c r="F4252" s="30">
        <v>2020</v>
      </c>
      <c r="G4252" s="29" t="s">
        <v>16</v>
      </c>
      <c r="H4252" s="29">
        <v>200</v>
      </c>
      <c r="I4252" s="29">
        <v>200</v>
      </c>
      <c r="J4252" s="29"/>
      <c r="K4252" s="47"/>
      <c r="L4252" s="14" t="s">
        <v>330</v>
      </c>
      <c r="M4252" s="36" t="str">
        <f t="shared" si="66"/>
        <v>19730811</v>
      </c>
    </row>
    <row r="4253" s="1" customFormat="1" spans="1:13">
      <c r="A4253" s="2">
        <v>4298</v>
      </c>
      <c r="B4253" s="9" t="s">
        <v>8515</v>
      </c>
      <c r="C4253" s="9" t="s">
        <v>8788</v>
      </c>
      <c r="D4253" s="9" t="s">
        <v>8789</v>
      </c>
      <c r="E4253" s="5" t="s">
        <v>15</v>
      </c>
      <c r="F4253" s="5">
        <v>2020</v>
      </c>
      <c r="G4253" s="9" t="s">
        <v>2480</v>
      </c>
      <c r="H4253" s="9">
        <v>200</v>
      </c>
      <c r="I4253" s="9">
        <v>200</v>
      </c>
      <c r="J4253" s="9"/>
      <c r="K4253" s="9"/>
      <c r="L4253" s="10">
        <v>20201118</v>
      </c>
      <c r="M4253" s="36" t="str">
        <f t="shared" si="66"/>
        <v>19730811</v>
      </c>
    </row>
    <row r="4254" s="1" customFormat="1" spans="1:13">
      <c r="A4254" s="2">
        <v>1903</v>
      </c>
      <c r="B4254" s="5" t="s">
        <v>4189</v>
      </c>
      <c r="C4254" s="16" t="s">
        <v>4367</v>
      </c>
      <c r="D4254" s="16" t="s">
        <v>4368</v>
      </c>
      <c r="E4254" s="5" t="s">
        <v>15</v>
      </c>
      <c r="F4254" s="5" t="s">
        <v>15</v>
      </c>
      <c r="G4254" s="5" t="s">
        <v>3359</v>
      </c>
      <c r="H4254" s="16">
        <v>200</v>
      </c>
      <c r="I4254" s="16">
        <v>200</v>
      </c>
      <c r="J4254" s="5"/>
      <c r="K4254" s="10"/>
      <c r="L4254" s="10">
        <v>20201118</v>
      </c>
      <c r="M4254" s="36" t="str">
        <f t="shared" si="66"/>
        <v>19730813</v>
      </c>
    </row>
    <row r="4255" s="1" customFormat="1" spans="1:13">
      <c r="A4255" s="2">
        <v>3889</v>
      </c>
      <c r="B4255" s="5" t="s">
        <v>7412</v>
      </c>
      <c r="C4255" s="5" t="s">
        <v>8012</v>
      </c>
      <c r="D4255" s="5" t="s">
        <v>8013</v>
      </c>
      <c r="E4255" s="6">
        <v>2020</v>
      </c>
      <c r="F4255" s="6">
        <v>2020</v>
      </c>
      <c r="G4255" s="5" t="s">
        <v>3359</v>
      </c>
      <c r="H4255" s="5">
        <v>500</v>
      </c>
      <c r="I4255" s="5">
        <v>500</v>
      </c>
      <c r="J4255" s="5"/>
      <c r="K4255" s="5"/>
      <c r="L4255" s="10">
        <v>20201118</v>
      </c>
      <c r="M4255" s="36" t="str">
        <f t="shared" si="66"/>
        <v>19730813</v>
      </c>
    </row>
    <row r="4256" s="1" customFormat="1" spans="1:13">
      <c r="A4256" s="2">
        <v>3890</v>
      </c>
      <c r="B4256" s="5" t="s">
        <v>7412</v>
      </c>
      <c r="C4256" s="5" t="s">
        <v>8007</v>
      </c>
      <c r="D4256" s="5" t="s">
        <v>8014</v>
      </c>
      <c r="E4256" s="6">
        <v>2020</v>
      </c>
      <c r="F4256" s="6">
        <v>2020</v>
      </c>
      <c r="G4256" s="5" t="s">
        <v>3359</v>
      </c>
      <c r="H4256" s="5">
        <v>1000</v>
      </c>
      <c r="I4256" s="5">
        <v>1000</v>
      </c>
      <c r="J4256" s="5"/>
      <c r="K4256" s="5"/>
      <c r="L4256" s="10">
        <v>20201118</v>
      </c>
      <c r="M4256" s="36" t="str">
        <f t="shared" si="66"/>
        <v>19730813</v>
      </c>
    </row>
    <row r="4257" s="1" customFormat="1" spans="1:13">
      <c r="A4257" s="2">
        <v>3891</v>
      </c>
      <c r="B4257" s="5" t="s">
        <v>7412</v>
      </c>
      <c r="C4257" s="5" t="s">
        <v>8015</v>
      </c>
      <c r="D4257" s="5" t="s">
        <v>8016</v>
      </c>
      <c r="E4257" s="6">
        <v>2020</v>
      </c>
      <c r="F4257" s="6">
        <v>2020</v>
      </c>
      <c r="G4257" s="5" t="s">
        <v>3359</v>
      </c>
      <c r="H4257" s="5">
        <v>200</v>
      </c>
      <c r="I4257" s="5">
        <v>200</v>
      </c>
      <c r="J4257" s="5"/>
      <c r="K4257" s="5"/>
      <c r="L4257" s="10">
        <v>20201118</v>
      </c>
      <c r="M4257" s="36" t="str">
        <f t="shared" si="66"/>
        <v>19730814</v>
      </c>
    </row>
    <row r="4258" s="1" customFormat="1" spans="1:13">
      <c r="A4258" s="2">
        <v>3381</v>
      </c>
      <c r="B4258" s="5" t="s">
        <v>3375</v>
      </c>
      <c r="C4258" s="6" t="s">
        <v>7159</v>
      </c>
      <c r="D4258" s="6" t="str">
        <f>"152326197308156885"</f>
        <v>152326197308156885</v>
      </c>
      <c r="E4258" s="5" t="s">
        <v>15</v>
      </c>
      <c r="F4258" s="5">
        <v>2020</v>
      </c>
      <c r="G4258" s="14" t="s">
        <v>16</v>
      </c>
      <c r="H4258" s="17">
        <v>200</v>
      </c>
      <c r="I4258" s="17">
        <v>200</v>
      </c>
      <c r="J4258" s="6"/>
      <c r="K4258" s="10"/>
      <c r="L4258" s="10">
        <v>20201118</v>
      </c>
      <c r="M4258" s="36" t="str">
        <f t="shared" si="66"/>
        <v>19730815</v>
      </c>
    </row>
    <row r="4259" s="1" customFormat="1" spans="1:13">
      <c r="A4259" s="2">
        <v>2095</v>
      </c>
      <c r="B4259" s="5" t="s">
        <v>4189</v>
      </c>
      <c r="C4259" s="16" t="s">
        <v>4741</v>
      </c>
      <c r="D4259" s="16" t="s">
        <v>4742</v>
      </c>
      <c r="E4259" s="5" t="s">
        <v>15</v>
      </c>
      <c r="F4259" s="5" t="s">
        <v>15</v>
      </c>
      <c r="G4259" s="5" t="s">
        <v>3359</v>
      </c>
      <c r="H4259" s="16">
        <v>500</v>
      </c>
      <c r="I4259" s="16">
        <v>500</v>
      </c>
      <c r="J4259" s="5"/>
      <c r="K4259" s="10"/>
      <c r="L4259" s="10">
        <v>20201118</v>
      </c>
      <c r="M4259" s="36" t="str">
        <f t="shared" si="66"/>
        <v>19730816</v>
      </c>
    </row>
    <row r="4260" s="1" customFormat="1" spans="1:13">
      <c r="A4260" s="2">
        <v>5847</v>
      </c>
      <c r="B4260" s="30" t="s">
        <v>11090</v>
      </c>
      <c r="C4260" s="30" t="s">
        <v>678</v>
      </c>
      <c r="D4260" s="30" t="s">
        <v>11759</v>
      </c>
      <c r="E4260" s="5" t="s">
        <v>15</v>
      </c>
      <c r="F4260" s="5" t="s">
        <v>10250</v>
      </c>
      <c r="G4260" s="6" t="s">
        <v>16</v>
      </c>
      <c r="H4260" s="32">
        <v>200</v>
      </c>
      <c r="I4260" s="32">
        <v>200</v>
      </c>
      <c r="J4260" s="6"/>
      <c r="K4260" s="48"/>
      <c r="L4260" s="10">
        <v>20201118</v>
      </c>
      <c r="M4260" s="36" t="str">
        <f t="shared" si="66"/>
        <v>19730816</v>
      </c>
    </row>
    <row r="4261" s="1" customFormat="1" spans="1:13">
      <c r="A4261" s="2">
        <v>3382</v>
      </c>
      <c r="B4261" s="5" t="s">
        <v>3375</v>
      </c>
      <c r="C4261" s="6" t="s">
        <v>7160</v>
      </c>
      <c r="D4261" s="6" t="str">
        <f>"152326197308196887"</f>
        <v>152326197308196887</v>
      </c>
      <c r="E4261" s="5" t="s">
        <v>15</v>
      </c>
      <c r="F4261" s="5">
        <v>2020</v>
      </c>
      <c r="G4261" s="14" t="s">
        <v>16</v>
      </c>
      <c r="H4261" s="17">
        <v>200</v>
      </c>
      <c r="I4261" s="17">
        <v>200</v>
      </c>
      <c r="J4261" s="6"/>
      <c r="K4261" s="10"/>
      <c r="L4261" s="10">
        <v>20201118</v>
      </c>
      <c r="M4261" s="36" t="str">
        <f t="shared" si="66"/>
        <v>19730819</v>
      </c>
    </row>
    <row r="4262" s="1" customFormat="1" spans="1:13">
      <c r="A4262" s="2">
        <v>312</v>
      </c>
      <c r="B4262" s="14" t="s">
        <v>327</v>
      </c>
      <c r="C4262" s="17" t="s">
        <v>824</v>
      </c>
      <c r="D4262" s="306" t="s">
        <v>825</v>
      </c>
      <c r="E4262" s="5">
        <v>2020</v>
      </c>
      <c r="F4262" s="5">
        <v>2020</v>
      </c>
      <c r="G4262" s="14" t="s">
        <v>16</v>
      </c>
      <c r="H4262" s="17">
        <v>200</v>
      </c>
      <c r="I4262" s="17">
        <v>200</v>
      </c>
      <c r="J4262" s="17"/>
      <c r="K4262" s="10"/>
      <c r="L4262" s="14" t="s">
        <v>330</v>
      </c>
      <c r="M4262" s="36" t="str">
        <f t="shared" si="66"/>
        <v>19730821</v>
      </c>
    </row>
    <row r="4263" s="1" customFormat="1" spans="1:13">
      <c r="A4263" s="2">
        <v>3108</v>
      </c>
      <c r="B4263" s="3" t="s">
        <v>6671</v>
      </c>
      <c r="C4263" s="9" t="s">
        <v>6738</v>
      </c>
      <c r="D4263" s="9" t="s">
        <v>6739</v>
      </c>
      <c r="E4263" s="3" t="s">
        <v>15</v>
      </c>
      <c r="F4263" s="3" t="s">
        <v>15</v>
      </c>
      <c r="G4263" s="6" t="s">
        <v>3359</v>
      </c>
      <c r="H4263" s="9">
        <v>200</v>
      </c>
      <c r="I4263" s="9">
        <v>200</v>
      </c>
      <c r="J4263" s="6"/>
      <c r="K4263" s="5"/>
      <c r="L4263" s="10">
        <v>20201118</v>
      </c>
      <c r="M4263" s="36" t="str">
        <f t="shared" si="66"/>
        <v>19730821</v>
      </c>
    </row>
    <row r="4264" s="1" customFormat="1" spans="1:13">
      <c r="A4264" s="2">
        <v>3162</v>
      </c>
      <c r="B4264" s="3" t="s">
        <v>6671</v>
      </c>
      <c r="C4264" s="9" t="s">
        <v>6840</v>
      </c>
      <c r="D4264" s="9" t="s">
        <v>6841</v>
      </c>
      <c r="E4264" s="3" t="s">
        <v>15</v>
      </c>
      <c r="F4264" s="3" t="s">
        <v>15</v>
      </c>
      <c r="G4264" s="6" t="s">
        <v>3359</v>
      </c>
      <c r="H4264" s="9">
        <v>200</v>
      </c>
      <c r="I4264" s="9">
        <v>200</v>
      </c>
      <c r="J4264" s="6"/>
      <c r="K4264" s="5"/>
      <c r="L4264" s="10">
        <v>20201118</v>
      </c>
      <c r="M4264" s="36" t="str">
        <f t="shared" si="66"/>
        <v>19730821</v>
      </c>
    </row>
    <row r="4265" s="1" customFormat="1" spans="1:13">
      <c r="A4265" s="2">
        <v>1651</v>
      </c>
      <c r="B4265" s="5" t="s">
        <v>3381</v>
      </c>
      <c r="C4265" s="9" t="s">
        <v>3864</v>
      </c>
      <c r="D4265" s="9" t="s">
        <v>3865</v>
      </c>
      <c r="E4265" s="5">
        <v>2020</v>
      </c>
      <c r="F4265" s="5">
        <v>2020</v>
      </c>
      <c r="G4265" s="14" t="s">
        <v>16</v>
      </c>
      <c r="H4265" s="6">
        <v>200</v>
      </c>
      <c r="I4265" s="6">
        <v>200</v>
      </c>
      <c r="J4265" s="5"/>
      <c r="K4265" s="13"/>
      <c r="L4265" s="10">
        <v>20201118</v>
      </c>
      <c r="M4265" s="36" t="str">
        <f t="shared" si="66"/>
        <v>19730823</v>
      </c>
    </row>
    <row r="4266" s="1" customFormat="1" spans="1:13">
      <c r="A4266" s="2">
        <v>4920</v>
      </c>
      <c r="B4266" s="6" t="s">
        <v>9954</v>
      </c>
      <c r="C4266" s="60" t="s">
        <v>9981</v>
      </c>
      <c r="D4266" s="60" t="s">
        <v>9982</v>
      </c>
      <c r="E4266" s="5" t="s">
        <v>15</v>
      </c>
      <c r="F4266" s="5" t="s">
        <v>15</v>
      </c>
      <c r="G4266" s="14" t="s">
        <v>16</v>
      </c>
      <c r="H4266" s="6">
        <v>500</v>
      </c>
      <c r="I4266" s="6">
        <v>500</v>
      </c>
      <c r="J4266" s="6"/>
      <c r="K4266" s="6"/>
      <c r="L4266" s="10">
        <v>20201118</v>
      </c>
      <c r="M4266" s="36" t="str">
        <f t="shared" si="66"/>
        <v>19730823</v>
      </c>
    </row>
    <row r="4267" s="1" customFormat="1" spans="1:13">
      <c r="A4267" s="2">
        <v>6183</v>
      </c>
      <c r="B4267" s="5" t="s">
        <v>12263</v>
      </c>
      <c r="C4267" s="5" t="s">
        <v>12395</v>
      </c>
      <c r="D4267" s="5" t="s">
        <v>12396</v>
      </c>
      <c r="E4267" s="5" t="s">
        <v>10250</v>
      </c>
      <c r="F4267" s="5">
        <v>2020</v>
      </c>
      <c r="G4267" s="17" t="s">
        <v>3359</v>
      </c>
      <c r="H4267" s="5">
        <v>200</v>
      </c>
      <c r="I4267" s="5">
        <v>200</v>
      </c>
      <c r="J4267" s="5"/>
      <c r="K4267" s="5"/>
      <c r="L4267" s="10">
        <v>20201118</v>
      </c>
      <c r="M4267" s="36" t="str">
        <f t="shared" si="66"/>
        <v>19730824</v>
      </c>
    </row>
    <row r="4268" s="1" customFormat="1" spans="1:13">
      <c r="A4268" s="2">
        <v>7951</v>
      </c>
      <c r="B4268" s="5" t="s">
        <v>15086</v>
      </c>
      <c r="C4268" s="6" t="s">
        <v>15224</v>
      </c>
      <c r="D4268" s="6" t="str">
        <f>"152326197308246872"</f>
        <v>152326197308246872</v>
      </c>
      <c r="E4268" s="5" t="s">
        <v>15</v>
      </c>
      <c r="F4268" s="5">
        <v>2020</v>
      </c>
      <c r="G4268" s="5" t="s">
        <v>16</v>
      </c>
      <c r="H4268" s="5">
        <v>200</v>
      </c>
      <c r="I4268" s="5">
        <v>200</v>
      </c>
      <c r="J4268" s="5"/>
      <c r="K4268" s="5"/>
      <c r="L4268" s="10">
        <v>20201118</v>
      </c>
      <c r="M4268" s="36" t="str">
        <f t="shared" si="66"/>
        <v>19730824</v>
      </c>
    </row>
    <row r="4269" s="1" customFormat="1" spans="1:13">
      <c r="A4269" s="2">
        <v>3211</v>
      </c>
      <c r="B4269" s="3" t="s">
        <v>6671</v>
      </c>
      <c r="C4269" s="9" t="s">
        <v>6929</v>
      </c>
      <c r="D4269" s="9" t="s">
        <v>6930</v>
      </c>
      <c r="E4269" s="3" t="s">
        <v>15</v>
      </c>
      <c r="F4269" s="3" t="s">
        <v>15</v>
      </c>
      <c r="G4269" s="6" t="s">
        <v>3359</v>
      </c>
      <c r="H4269" s="9">
        <v>200</v>
      </c>
      <c r="I4269" s="9">
        <v>200</v>
      </c>
      <c r="J4269" s="6"/>
      <c r="K4269" s="5"/>
      <c r="L4269" s="10">
        <v>20201118</v>
      </c>
      <c r="M4269" s="36" t="str">
        <f t="shared" si="66"/>
        <v>19730826</v>
      </c>
    </row>
    <row r="4270" s="1" customFormat="1" spans="1:13">
      <c r="A4270" s="2">
        <v>2283</v>
      </c>
      <c r="B4270" s="9" t="s">
        <v>4837</v>
      </c>
      <c r="C4270" s="9" t="s">
        <v>5108</v>
      </c>
      <c r="D4270" s="9" t="s">
        <v>5109</v>
      </c>
      <c r="E4270" s="6" t="s">
        <v>15</v>
      </c>
      <c r="F4270" s="6">
        <v>2020</v>
      </c>
      <c r="G4270" s="9" t="s">
        <v>2480</v>
      </c>
      <c r="H4270" s="9">
        <v>200</v>
      </c>
      <c r="I4270" s="9">
        <v>200</v>
      </c>
      <c r="J4270" s="6"/>
      <c r="K4270" s="10"/>
      <c r="L4270" s="10">
        <v>20201118</v>
      </c>
      <c r="M4270" s="36" t="str">
        <f t="shared" si="66"/>
        <v>19730827</v>
      </c>
    </row>
    <row r="4271" s="1" customFormat="1" spans="1:13">
      <c r="A4271" s="2">
        <v>2457</v>
      </c>
      <c r="B4271" s="5" t="s">
        <v>5328</v>
      </c>
      <c r="C4271" s="16" t="s">
        <v>5453</v>
      </c>
      <c r="D4271" s="16" t="s">
        <v>5454</v>
      </c>
      <c r="E4271" s="5" t="s">
        <v>15</v>
      </c>
      <c r="F4271" s="5" t="s">
        <v>15</v>
      </c>
      <c r="G4271" s="14" t="s">
        <v>16</v>
      </c>
      <c r="H4271" s="6">
        <v>200</v>
      </c>
      <c r="I4271" s="6">
        <v>200</v>
      </c>
      <c r="J4271" s="5"/>
      <c r="K4271" s="5"/>
      <c r="L4271" s="10">
        <v>20201118</v>
      </c>
      <c r="M4271" s="36" t="str">
        <f t="shared" si="66"/>
        <v>19730827</v>
      </c>
    </row>
    <row r="4272" s="1" customFormat="1" ht="14.25" spans="1:13">
      <c r="A4272" s="2">
        <v>7694</v>
      </c>
      <c r="B4272" s="5" t="s">
        <v>14875</v>
      </c>
      <c r="C4272" s="51" t="s">
        <v>14937</v>
      </c>
      <c r="D4272" s="24" t="str">
        <f>"152326197308287121"</f>
        <v>152326197308287121</v>
      </c>
      <c r="E4272" s="6" t="s">
        <v>15</v>
      </c>
      <c r="F4272" s="6">
        <v>2020</v>
      </c>
      <c r="G4272" s="24" t="s">
        <v>14877</v>
      </c>
      <c r="H4272" s="6">
        <v>200</v>
      </c>
      <c r="I4272" s="6">
        <v>200</v>
      </c>
      <c r="J4272" s="6"/>
      <c r="K4272" s="10"/>
      <c r="L4272" s="10">
        <v>20201118</v>
      </c>
      <c r="M4272" s="36" t="str">
        <f t="shared" si="66"/>
        <v>19730828</v>
      </c>
    </row>
    <row r="4273" s="1" customFormat="1" spans="1:13">
      <c r="A4273" s="2">
        <v>72</v>
      </c>
      <c r="B4273" s="3" t="s">
        <v>12</v>
      </c>
      <c r="C4273" s="3" t="s">
        <v>159</v>
      </c>
      <c r="D4273" s="3" t="s">
        <v>160</v>
      </c>
      <c r="E4273" s="3" t="s">
        <v>15</v>
      </c>
      <c r="F4273" s="3" t="s">
        <v>15</v>
      </c>
      <c r="G4273" s="2" t="s">
        <v>16</v>
      </c>
      <c r="H4273" s="3">
        <v>1000</v>
      </c>
      <c r="I4273" s="3">
        <v>1000</v>
      </c>
      <c r="J4273" s="3"/>
      <c r="K4273" s="3"/>
      <c r="L4273" s="10">
        <v>20201118</v>
      </c>
      <c r="M4273" s="36" t="str">
        <f t="shared" si="66"/>
        <v>19730901</v>
      </c>
    </row>
    <row r="4274" s="1" customFormat="1" ht="14.25" spans="1:13">
      <c r="A4274" s="2">
        <v>2948</v>
      </c>
      <c r="B4274" s="6" t="s">
        <v>6075</v>
      </c>
      <c r="C4274" s="25" t="s">
        <v>6423</v>
      </c>
      <c r="D4274" s="26" t="s">
        <v>6424</v>
      </c>
      <c r="E4274" s="5" t="s">
        <v>15</v>
      </c>
      <c r="F4274" s="5">
        <v>2020</v>
      </c>
      <c r="G4274" s="6" t="s">
        <v>16</v>
      </c>
      <c r="H4274" s="6">
        <v>200</v>
      </c>
      <c r="I4274" s="6">
        <v>200</v>
      </c>
      <c r="J4274" s="6"/>
      <c r="K4274" s="10"/>
      <c r="L4274" s="10">
        <v>20201118</v>
      </c>
      <c r="M4274" s="36" t="str">
        <f t="shared" si="66"/>
        <v>19730901</v>
      </c>
    </row>
    <row r="4275" s="1" customFormat="1" spans="1:13">
      <c r="A4275" s="2">
        <v>6465</v>
      </c>
      <c r="B4275" s="5" t="s">
        <v>12263</v>
      </c>
      <c r="C4275" s="5" t="s">
        <v>12933</v>
      </c>
      <c r="D4275" s="5" t="s">
        <v>12934</v>
      </c>
      <c r="E4275" s="5" t="s">
        <v>10250</v>
      </c>
      <c r="F4275" s="5">
        <v>2020</v>
      </c>
      <c r="G4275" s="17" t="s">
        <v>3359</v>
      </c>
      <c r="H4275" s="5">
        <v>200</v>
      </c>
      <c r="I4275" s="5">
        <v>200</v>
      </c>
      <c r="J4275" s="5"/>
      <c r="K4275" s="5"/>
      <c r="L4275" s="10">
        <v>20201118</v>
      </c>
      <c r="M4275" s="36" t="str">
        <f t="shared" si="66"/>
        <v>19730901</v>
      </c>
    </row>
    <row r="4276" s="1" customFormat="1" spans="1:13">
      <c r="A4276" s="2">
        <v>6647</v>
      </c>
      <c r="B4276" s="5" t="s">
        <v>13027</v>
      </c>
      <c r="C4276" s="15" t="s">
        <v>13275</v>
      </c>
      <c r="D4276" s="15" t="s">
        <v>13276</v>
      </c>
      <c r="E4276" s="5">
        <v>2020</v>
      </c>
      <c r="F4276" s="5">
        <v>2020</v>
      </c>
      <c r="G4276" s="14" t="s">
        <v>16</v>
      </c>
      <c r="H4276" s="15">
        <v>200</v>
      </c>
      <c r="I4276" s="15">
        <v>200</v>
      </c>
      <c r="J4276" s="5"/>
      <c r="K4276" s="10"/>
      <c r="L4276" s="10">
        <v>20201118</v>
      </c>
      <c r="M4276" s="36" t="str">
        <f t="shared" si="66"/>
        <v>19730901</v>
      </c>
    </row>
    <row r="4277" s="1" customFormat="1" spans="1:13">
      <c r="A4277" s="2">
        <v>4299</v>
      </c>
      <c r="B4277" s="9" t="s">
        <v>8515</v>
      </c>
      <c r="C4277" s="9" t="s">
        <v>8790</v>
      </c>
      <c r="D4277" s="9" t="s">
        <v>8791</v>
      </c>
      <c r="E4277" s="5" t="s">
        <v>15</v>
      </c>
      <c r="F4277" s="5">
        <v>2020</v>
      </c>
      <c r="G4277" s="9" t="s">
        <v>2480</v>
      </c>
      <c r="H4277" s="9">
        <v>200</v>
      </c>
      <c r="I4277" s="9">
        <v>200</v>
      </c>
      <c r="J4277" s="9"/>
      <c r="K4277" s="9"/>
      <c r="L4277" s="10">
        <v>20201118</v>
      </c>
      <c r="M4277" s="36" t="str">
        <f t="shared" si="66"/>
        <v>19730903</v>
      </c>
    </row>
    <row r="4278" s="1" customFormat="1" spans="1:13">
      <c r="A4278" s="2">
        <v>3892</v>
      </c>
      <c r="B4278" s="5" t="s">
        <v>7412</v>
      </c>
      <c r="C4278" s="5" t="s">
        <v>7576</v>
      </c>
      <c r="D4278" s="5" t="s">
        <v>8017</v>
      </c>
      <c r="E4278" s="6">
        <v>2020</v>
      </c>
      <c r="F4278" s="6">
        <v>2020</v>
      </c>
      <c r="G4278" s="5" t="s">
        <v>3359</v>
      </c>
      <c r="H4278" s="5">
        <v>200</v>
      </c>
      <c r="I4278" s="5">
        <v>200</v>
      </c>
      <c r="J4278" s="5"/>
      <c r="K4278" s="5"/>
      <c r="L4278" s="10">
        <v>20201118</v>
      </c>
      <c r="M4278" s="36" t="str">
        <f t="shared" si="66"/>
        <v>19730904</v>
      </c>
    </row>
    <row r="4279" s="1" customFormat="1" spans="1:13">
      <c r="A4279" s="2">
        <v>7956</v>
      </c>
      <c r="B4279" s="5" t="s">
        <v>15086</v>
      </c>
      <c r="C4279" s="6" t="s">
        <v>15229</v>
      </c>
      <c r="D4279" s="6" t="str">
        <f>"152326197309046864"</f>
        <v>152326197309046864</v>
      </c>
      <c r="E4279" s="5" t="s">
        <v>15</v>
      </c>
      <c r="F4279" s="5">
        <v>2020</v>
      </c>
      <c r="G4279" s="5" t="s">
        <v>16</v>
      </c>
      <c r="H4279" s="5">
        <v>3000</v>
      </c>
      <c r="I4279" s="5">
        <v>3000</v>
      </c>
      <c r="J4279" s="5"/>
      <c r="K4279" s="5"/>
      <c r="L4279" s="10">
        <v>20201118</v>
      </c>
      <c r="M4279" s="36" t="str">
        <f t="shared" si="66"/>
        <v>19730904</v>
      </c>
    </row>
    <row r="4280" s="1" customFormat="1" spans="1:13">
      <c r="A4280" s="2">
        <v>5756</v>
      </c>
      <c r="B4280" s="30" t="s">
        <v>11090</v>
      </c>
      <c r="C4280" s="30" t="s">
        <v>6112</v>
      </c>
      <c r="D4280" s="30" t="s">
        <v>11594</v>
      </c>
      <c r="E4280" s="5" t="s">
        <v>15</v>
      </c>
      <c r="F4280" s="5" t="s">
        <v>10250</v>
      </c>
      <c r="G4280" s="6" t="s">
        <v>16</v>
      </c>
      <c r="H4280" s="32">
        <v>200</v>
      </c>
      <c r="I4280" s="32">
        <v>200</v>
      </c>
      <c r="J4280" s="6"/>
      <c r="K4280" s="48"/>
      <c r="L4280" s="10">
        <v>20201118</v>
      </c>
      <c r="M4280" s="36" t="str">
        <f t="shared" si="66"/>
        <v>19730905</v>
      </c>
    </row>
    <row r="4281" s="1" customFormat="1" ht="14.25" spans="1:13">
      <c r="A4281" s="2">
        <v>7695</v>
      </c>
      <c r="B4281" s="5" t="s">
        <v>14875</v>
      </c>
      <c r="C4281" s="51" t="s">
        <v>14938</v>
      </c>
      <c r="D4281" s="24" t="str">
        <f>"152326197309057117"</f>
        <v>152326197309057117</v>
      </c>
      <c r="E4281" s="6" t="s">
        <v>15</v>
      </c>
      <c r="F4281" s="6">
        <v>2020</v>
      </c>
      <c r="G4281" s="24" t="s">
        <v>14877</v>
      </c>
      <c r="H4281" s="6">
        <v>200</v>
      </c>
      <c r="I4281" s="6">
        <v>200</v>
      </c>
      <c r="J4281" s="6"/>
      <c r="K4281" s="10"/>
      <c r="L4281" s="10">
        <v>20201118</v>
      </c>
      <c r="M4281" s="36" t="str">
        <f t="shared" si="66"/>
        <v>19730905</v>
      </c>
    </row>
    <row r="4282" s="1" customFormat="1" spans="1:13">
      <c r="A4282" s="2">
        <v>1961</v>
      </c>
      <c r="B4282" s="5" t="s">
        <v>4189</v>
      </c>
      <c r="C4282" s="16" t="s">
        <v>4481</v>
      </c>
      <c r="D4282" s="16" t="s">
        <v>4482</v>
      </c>
      <c r="E4282" s="5" t="s">
        <v>15</v>
      </c>
      <c r="F4282" s="5" t="s">
        <v>15</v>
      </c>
      <c r="G4282" s="5" t="s">
        <v>3359</v>
      </c>
      <c r="H4282" s="16">
        <v>200</v>
      </c>
      <c r="I4282" s="16">
        <v>200</v>
      </c>
      <c r="J4282" s="5"/>
      <c r="K4282" s="10"/>
      <c r="L4282" s="10">
        <v>20201118</v>
      </c>
      <c r="M4282" s="36" t="str">
        <f t="shared" si="66"/>
        <v>19730908</v>
      </c>
    </row>
    <row r="4283" s="1" customFormat="1" spans="1:13">
      <c r="A4283" s="2">
        <v>1119</v>
      </c>
      <c r="B4283" s="5" t="s">
        <v>2469</v>
      </c>
      <c r="C4283" s="9" t="s">
        <v>2824</v>
      </c>
      <c r="D4283" s="9" t="s">
        <v>2825</v>
      </c>
      <c r="E4283" s="5">
        <v>2020</v>
      </c>
      <c r="F4283" s="5">
        <v>2020</v>
      </c>
      <c r="G4283" s="9" t="s">
        <v>2480</v>
      </c>
      <c r="H4283" s="9">
        <v>200</v>
      </c>
      <c r="I4283" s="9">
        <v>200</v>
      </c>
      <c r="J4283" s="5"/>
      <c r="K4283" s="5"/>
      <c r="L4283" s="10">
        <v>20201118</v>
      </c>
      <c r="M4283" s="36" t="str">
        <f t="shared" si="66"/>
        <v>19730912</v>
      </c>
    </row>
    <row r="4284" s="1" customFormat="1" spans="1:13">
      <c r="A4284" s="2">
        <v>4300</v>
      </c>
      <c r="B4284" s="9" t="s">
        <v>8515</v>
      </c>
      <c r="C4284" s="9" t="s">
        <v>8792</v>
      </c>
      <c r="D4284" s="9" t="s">
        <v>8793</v>
      </c>
      <c r="E4284" s="5" t="s">
        <v>15</v>
      </c>
      <c r="F4284" s="5">
        <v>2020</v>
      </c>
      <c r="G4284" s="9" t="s">
        <v>2480</v>
      </c>
      <c r="H4284" s="9">
        <v>200</v>
      </c>
      <c r="I4284" s="9">
        <v>200</v>
      </c>
      <c r="J4284" s="9"/>
      <c r="K4284" s="9"/>
      <c r="L4284" s="10">
        <v>20201118</v>
      </c>
      <c r="M4284" s="36" t="str">
        <f t="shared" si="66"/>
        <v>19730912</v>
      </c>
    </row>
    <row r="4285" s="1" customFormat="1" spans="1:13">
      <c r="A4285" s="2">
        <v>367</v>
      </c>
      <c r="B4285" s="14" t="s">
        <v>327</v>
      </c>
      <c r="C4285" s="17" t="s">
        <v>988</v>
      </c>
      <c r="D4285" s="306" t="s">
        <v>989</v>
      </c>
      <c r="E4285" s="5">
        <v>2020</v>
      </c>
      <c r="F4285" s="5">
        <v>2020</v>
      </c>
      <c r="G4285" s="14" t="s">
        <v>16</v>
      </c>
      <c r="H4285" s="17">
        <v>200</v>
      </c>
      <c r="I4285" s="17">
        <v>200</v>
      </c>
      <c r="J4285" s="17" t="s">
        <v>108</v>
      </c>
      <c r="K4285" s="10"/>
      <c r="L4285" s="2" t="s">
        <v>330</v>
      </c>
      <c r="M4285" s="36" t="str">
        <f t="shared" si="66"/>
        <v>19730913</v>
      </c>
    </row>
    <row r="4286" s="1" customFormat="1" spans="1:13">
      <c r="A4286" s="2">
        <v>2284</v>
      </c>
      <c r="B4286" s="9" t="s">
        <v>4837</v>
      </c>
      <c r="C4286" s="9" t="s">
        <v>5110</v>
      </c>
      <c r="D4286" s="9" t="s">
        <v>5111</v>
      </c>
      <c r="E4286" s="6" t="s">
        <v>15</v>
      </c>
      <c r="F4286" s="6">
        <v>2020</v>
      </c>
      <c r="G4286" s="9" t="s">
        <v>2480</v>
      </c>
      <c r="H4286" s="9">
        <v>200</v>
      </c>
      <c r="I4286" s="9">
        <v>200</v>
      </c>
      <c r="J4286" s="6"/>
      <c r="K4286" s="10"/>
      <c r="L4286" s="10">
        <v>20201118</v>
      </c>
      <c r="M4286" s="36" t="str">
        <f t="shared" si="66"/>
        <v>19730913</v>
      </c>
    </row>
    <row r="4287" s="1" customFormat="1" spans="1:13">
      <c r="A4287" s="2">
        <v>2654</v>
      </c>
      <c r="B4287" s="32" t="s">
        <v>5602</v>
      </c>
      <c r="C4287" s="9" t="s">
        <v>5842</v>
      </c>
      <c r="D4287" s="9" t="s">
        <v>5843</v>
      </c>
      <c r="E4287" s="32">
        <v>2020</v>
      </c>
      <c r="F4287" s="32">
        <v>2020</v>
      </c>
      <c r="G4287" s="32" t="s">
        <v>16</v>
      </c>
      <c r="H4287" s="9">
        <v>200</v>
      </c>
      <c r="I4287" s="9">
        <v>200</v>
      </c>
      <c r="J4287" s="32"/>
      <c r="K4287" s="52"/>
      <c r="L4287" s="10">
        <v>20201118</v>
      </c>
      <c r="M4287" s="36" t="str">
        <f t="shared" si="66"/>
        <v>19730913</v>
      </c>
    </row>
    <row r="4288" s="1" customFormat="1" spans="1:13">
      <c r="A4288" s="2">
        <v>646</v>
      </c>
      <c r="B4288" s="29" t="s">
        <v>1040</v>
      </c>
      <c r="C4288" s="47" t="s">
        <v>1591</v>
      </c>
      <c r="D4288" s="47" t="s">
        <v>1592</v>
      </c>
      <c r="E4288" s="30">
        <v>2020</v>
      </c>
      <c r="F4288" s="30">
        <v>2020</v>
      </c>
      <c r="G4288" s="29" t="s">
        <v>16</v>
      </c>
      <c r="H4288" s="29">
        <v>200</v>
      </c>
      <c r="I4288" s="29">
        <v>200</v>
      </c>
      <c r="J4288" s="29"/>
      <c r="K4288" s="47"/>
      <c r="L4288" s="2" t="s">
        <v>330</v>
      </c>
      <c r="M4288" s="36" t="str">
        <f t="shared" si="66"/>
        <v>19730914</v>
      </c>
    </row>
    <row r="4289" s="1" customFormat="1" spans="1:13">
      <c r="A4289" s="2">
        <v>59</v>
      </c>
      <c r="B4289" s="31" t="s">
        <v>12</v>
      </c>
      <c r="C4289" s="17" t="s">
        <v>133</v>
      </c>
      <c r="D4289" s="17" t="s">
        <v>134</v>
      </c>
      <c r="E4289" s="3" t="s">
        <v>15</v>
      </c>
      <c r="F4289" s="3" t="s">
        <v>15</v>
      </c>
      <c r="G4289" s="2" t="s">
        <v>16</v>
      </c>
      <c r="H4289" s="17">
        <v>200</v>
      </c>
      <c r="I4289" s="17">
        <v>200</v>
      </c>
      <c r="J4289" s="17"/>
      <c r="K4289" s="17"/>
      <c r="L4289" s="10">
        <v>20201118</v>
      </c>
      <c r="M4289" s="36" t="str">
        <f t="shared" si="66"/>
        <v>19730915</v>
      </c>
    </row>
    <row r="4290" s="1" customFormat="1" spans="1:13">
      <c r="A4290" s="2">
        <v>6403</v>
      </c>
      <c r="B4290" s="5" t="s">
        <v>12263</v>
      </c>
      <c r="C4290" s="5" t="s">
        <v>10833</v>
      </c>
      <c r="D4290" s="5" t="s">
        <v>12814</v>
      </c>
      <c r="E4290" s="5" t="s">
        <v>10250</v>
      </c>
      <c r="F4290" s="5">
        <v>2020</v>
      </c>
      <c r="G4290" s="17" t="s">
        <v>3359</v>
      </c>
      <c r="H4290" s="5" t="s">
        <v>311</v>
      </c>
      <c r="I4290" s="5">
        <v>200</v>
      </c>
      <c r="J4290" s="5"/>
      <c r="K4290" s="5"/>
      <c r="L4290" s="10">
        <v>20201118</v>
      </c>
      <c r="M4290" s="36" t="str">
        <f t="shared" ref="M4290:M4353" si="67">MID(D4290,7,8)</f>
        <v>19730916</v>
      </c>
    </row>
    <row r="4291" s="1" customFormat="1" spans="1:13">
      <c r="A4291" s="2">
        <v>4301</v>
      </c>
      <c r="B4291" s="9" t="s">
        <v>8515</v>
      </c>
      <c r="C4291" s="9" t="s">
        <v>8794</v>
      </c>
      <c r="D4291" s="9" t="s">
        <v>8795</v>
      </c>
      <c r="E4291" s="5" t="s">
        <v>15</v>
      </c>
      <c r="F4291" s="5">
        <v>2020</v>
      </c>
      <c r="G4291" s="9" t="s">
        <v>2480</v>
      </c>
      <c r="H4291" s="9">
        <v>200</v>
      </c>
      <c r="I4291" s="9">
        <v>200</v>
      </c>
      <c r="J4291" s="9"/>
      <c r="K4291" s="9"/>
      <c r="L4291" s="10">
        <v>20201118</v>
      </c>
      <c r="M4291" s="36" t="str">
        <f t="shared" si="67"/>
        <v>19730917</v>
      </c>
    </row>
    <row r="4292" s="1" customFormat="1" spans="1:13">
      <c r="A4292" s="2">
        <v>7273</v>
      </c>
      <c r="B4292" s="5" t="s">
        <v>13908</v>
      </c>
      <c r="C4292" s="5" t="s">
        <v>14188</v>
      </c>
      <c r="D4292" s="5" t="s">
        <v>14189</v>
      </c>
      <c r="E4292" s="5" t="s">
        <v>15</v>
      </c>
      <c r="F4292" s="5" t="s">
        <v>15</v>
      </c>
      <c r="G4292" s="14" t="s">
        <v>16</v>
      </c>
      <c r="H4292" s="17">
        <v>200</v>
      </c>
      <c r="I4292" s="17">
        <v>200</v>
      </c>
      <c r="J4292" s="5"/>
      <c r="K4292" s="10"/>
      <c r="L4292" s="10">
        <v>20201118</v>
      </c>
      <c r="M4292" s="36" t="str">
        <f t="shared" si="67"/>
        <v>19730917</v>
      </c>
    </row>
    <row r="4293" s="1" customFormat="1" spans="1:13">
      <c r="A4293" s="2">
        <v>1120</v>
      </c>
      <c r="B4293" s="5" t="s">
        <v>2469</v>
      </c>
      <c r="C4293" s="9" t="s">
        <v>2826</v>
      </c>
      <c r="D4293" s="9" t="s">
        <v>2827</v>
      </c>
      <c r="E4293" s="5">
        <v>2020</v>
      </c>
      <c r="F4293" s="5">
        <v>2020</v>
      </c>
      <c r="G4293" s="9" t="s">
        <v>2480</v>
      </c>
      <c r="H4293" s="9">
        <v>200</v>
      </c>
      <c r="I4293" s="9">
        <v>200</v>
      </c>
      <c r="J4293" s="5"/>
      <c r="K4293" s="5"/>
      <c r="L4293" s="10">
        <v>20201118</v>
      </c>
      <c r="M4293" s="36" t="str">
        <f t="shared" si="67"/>
        <v>19730918</v>
      </c>
    </row>
    <row r="4294" s="1" customFormat="1" spans="1:13">
      <c r="A4294" s="2">
        <v>3893</v>
      </c>
      <c r="B4294" s="5" t="s">
        <v>7412</v>
      </c>
      <c r="C4294" s="5" t="s">
        <v>8018</v>
      </c>
      <c r="D4294" s="5" t="s">
        <v>8019</v>
      </c>
      <c r="E4294" s="6">
        <v>2020</v>
      </c>
      <c r="F4294" s="6">
        <v>2020</v>
      </c>
      <c r="G4294" s="5" t="s">
        <v>3359</v>
      </c>
      <c r="H4294" s="5">
        <v>200</v>
      </c>
      <c r="I4294" s="5">
        <v>200</v>
      </c>
      <c r="J4294" s="5"/>
      <c r="K4294" s="5"/>
      <c r="L4294" s="10">
        <v>20201118</v>
      </c>
      <c r="M4294" s="36" t="str">
        <f t="shared" si="67"/>
        <v>19730918</v>
      </c>
    </row>
    <row r="4295" s="1" customFormat="1" spans="1:13">
      <c r="A4295" s="2">
        <v>6357</v>
      </c>
      <c r="B4295" s="5" t="s">
        <v>12263</v>
      </c>
      <c r="C4295" s="5" t="s">
        <v>12730</v>
      </c>
      <c r="D4295" s="5" t="s">
        <v>12731</v>
      </c>
      <c r="E4295" s="5" t="s">
        <v>10250</v>
      </c>
      <c r="F4295" s="5">
        <v>2020</v>
      </c>
      <c r="G4295" s="17" t="s">
        <v>3359</v>
      </c>
      <c r="H4295" s="5" t="s">
        <v>311</v>
      </c>
      <c r="I4295" s="5">
        <v>200</v>
      </c>
      <c r="J4295" s="5"/>
      <c r="K4295" s="5"/>
      <c r="L4295" s="10">
        <v>20201118</v>
      </c>
      <c r="M4295" s="36" t="str">
        <f t="shared" si="67"/>
        <v>19730918</v>
      </c>
    </row>
    <row r="4296" s="1" customFormat="1" spans="1:13">
      <c r="A4296" s="2">
        <v>3071</v>
      </c>
      <c r="B4296" s="6" t="s">
        <v>6075</v>
      </c>
      <c r="C4296" s="9" t="s">
        <v>6666</v>
      </c>
      <c r="D4296" s="6" t="s">
        <v>6667</v>
      </c>
      <c r="E4296" s="5" t="s">
        <v>15</v>
      </c>
      <c r="F4296" s="5">
        <v>2020</v>
      </c>
      <c r="G4296" s="6" t="s">
        <v>16</v>
      </c>
      <c r="H4296" s="6" t="s">
        <v>311</v>
      </c>
      <c r="I4296" s="6">
        <v>200</v>
      </c>
      <c r="J4296" s="6"/>
      <c r="K4296" s="10"/>
      <c r="L4296" s="10">
        <v>20201118</v>
      </c>
      <c r="M4296" s="36" t="str">
        <f t="shared" si="67"/>
        <v>19730919</v>
      </c>
    </row>
    <row r="4297" s="1" customFormat="1" spans="1:13">
      <c r="A4297" s="2">
        <v>4907</v>
      </c>
      <c r="B4297" s="6" t="s">
        <v>9954</v>
      </c>
      <c r="C4297" s="60" t="s">
        <v>9955</v>
      </c>
      <c r="D4297" s="60" t="s">
        <v>9956</v>
      </c>
      <c r="E4297" s="5" t="s">
        <v>15</v>
      </c>
      <c r="F4297" s="5" t="s">
        <v>15</v>
      </c>
      <c r="G4297" s="14" t="s">
        <v>16</v>
      </c>
      <c r="H4297" s="6">
        <v>500</v>
      </c>
      <c r="I4297" s="6">
        <v>500</v>
      </c>
      <c r="J4297" s="6"/>
      <c r="K4297" s="6"/>
      <c r="L4297" s="10">
        <v>20201118</v>
      </c>
      <c r="M4297" s="36" t="str">
        <f t="shared" si="67"/>
        <v>19730920</v>
      </c>
    </row>
    <row r="4298" s="1" customFormat="1" spans="1:13">
      <c r="A4298" s="2">
        <v>5800</v>
      </c>
      <c r="B4298" s="30" t="s">
        <v>11090</v>
      </c>
      <c r="C4298" s="30" t="s">
        <v>11669</v>
      </c>
      <c r="D4298" s="30" t="s">
        <v>11670</v>
      </c>
      <c r="E4298" s="5" t="s">
        <v>15</v>
      </c>
      <c r="F4298" s="5" t="s">
        <v>10250</v>
      </c>
      <c r="G4298" s="6" t="s">
        <v>16</v>
      </c>
      <c r="H4298" s="32">
        <v>200</v>
      </c>
      <c r="I4298" s="32">
        <v>200</v>
      </c>
      <c r="J4298" s="6"/>
      <c r="K4298" s="48"/>
      <c r="L4298" s="10">
        <v>20201118</v>
      </c>
      <c r="M4298" s="36" t="str">
        <f t="shared" si="67"/>
        <v>19730921</v>
      </c>
    </row>
    <row r="4299" s="1" customFormat="1" spans="1:13">
      <c r="A4299" s="2">
        <v>5881</v>
      </c>
      <c r="B4299" s="30" t="s">
        <v>11090</v>
      </c>
      <c r="C4299" s="30" t="s">
        <v>7880</v>
      </c>
      <c r="D4299" s="30" t="s">
        <v>11817</v>
      </c>
      <c r="E4299" s="5" t="s">
        <v>15</v>
      </c>
      <c r="F4299" s="5" t="s">
        <v>10250</v>
      </c>
      <c r="G4299" s="6" t="s">
        <v>16</v>
      </c>
      <c r="H4299" s="32">
        <v>200</v>
      </c>
      <c r="I4299" s="32">
        <v>200</v>
      </c>
      <c r="J4299" s="6"/>
      <c r="K4299" s="48"/>
      <c r="L4299" s="10">
        <v>20201118</v>
      </c>
      <c r="M4299" s="36" t="str">
        <f t="shared" si="67"/>
        <v>19730923</v>
      </c>
    </row>
    <row r="4300" s="1" customFormat="1" spans="1:13">
      <c r="A4300" s="2">
        <v>6648</v>
      </c>
      <c r="B4300" s="5" t="s">
        <v>13027</v>
      </c>
      <c r="C4300" s="15" t="s">
        <v>13277</v>
      </c>
      <c r="D4300" s="15" t="s">
        <v>13278</v>
      </c>
      <c r="E4300" s="5">
        <v>2020</v>
      </c>
      <c r="F4300" s="5">
        <v>2020</v>
      </c>
      <c r="G4300" s="14" t="s">
        <v>16</v>
      </c>
      <c r="H4300" s="15">
        <v>200</v>
      </c>
      <c r="I4300" s="15">
        <v>200</v>
      </c>
      <c r="J4300" s="5"/>
      <c r="K4300" s="10"/>
      <c r="L4300" s="10">
        <v>20201118</v>
      </c>
      <c r="M4300" s="36" t="str">
        <f t="shared" si="67"/>
        <v>19730925</v>
      </c>
    </row>
    <row r="4301" s="1" customFormat="1" spans="1:13">
      <c r="A4301" s="2">
        <v>1959</v>
      </c>
      <c r="B4301" s="5" t="s">
        <v>4189</v>
      </c>
      <c r="C4301" s="16" t="s">
        <v>4477</v>
      </c>
      <c r="D4301" s="16" t="s">
        <v>4478</v>
      </c>
      <c r="E4301" s="5" t="s">
        <v>15</v>
      </c>
      <c r="F4301" s="5" t="s">
        <v>15</v>
      </c>
      <c r="G4301" s="5" t="s">
        <v>3359</v>
      </c>
      <c r="H4301" s="16">
        <v>200</v>
      </c>
      <c r="I4301" s="16">
        <v>200</v>
      </c>
      <c r="J4301" s="5"/>
      <c r="K4301" s="10"/>
      <c r="L4301" s="10">
        <v>20201118</v>
      </c>
      <c r="M4301" s="36" t="str">
        <f t="shared" si="67"/>
        <v>19730926</v>
      </c>
    </row>
    <row r="4302" s="1" customFormat="1" spans="1:13">
      <c r="A4302" s="2">
        <v>7507</v>
      </c>
      <c r="B4302" s="5" t="s">
        <v>14402</v>
      </c>
      <c r="C4302" s="5" t="s">
        <v>14627</v>
      </c>
      <c r="D4302" s="5" t="s">
        <v>14628</v>
      </c>
      <c r="E4302" s="5">
        <v>2020</v>
      </c>
      <c r="F4302" s="5">
        <v>2020</v>
      </c>
      <c r="G4302" s="17" t="s">
        <v>16</v>
      </c>
      <c r="H4302" s="5">
        <v>200</v>
      </c>
      <c r="I4302" s="5">
        <v>200</v>
      </c>
      <c r="J4302" s="5"/>
      <c r="K4302" s="10"/>
      <c r="L4302" s="10">
        <v>20201118</v>
      </c>
      <c r="M4302" s="36" t="str">
        <f t="shared" si="67"/>
        <v>19730926</v>
      </c>
    </row>
    <row r="4303" s="1" customFormat="1" ht="14.25" spans="1:13">
      <c r="A4303" s="2">
        <v>7696</v>
      </c>
      <c r="B4303" s="5" t="s">
        <v>14875</v>
      </c>
      <c r="C4303" s="51" t="s">
        <v>14939</v>
      </c>
      <c r="D4303" s="24" t="str">
        <f>"152326197309267122"</f>
        <v>152326197309267122</v>
      </c>
      <c r="E4303" s="6" t="s">
        <v>15</v>
      </c>
      <c r="F4303" s="6">
        <v>2020</v>
      </c>
      <c r="G4303" s="24" t="s">
        <v>14877</v>
      </c>
      <c r="H4303" s="6">
        <v>500</v>
      </c>
      <c r="I4303" s="6">
        <v>500</v>
      </c>
      <c r="J4303" s="6"/>
      <c r="K4303" s="10"/>
      <c r="L4303" s="10">
        <v>20201118</v>
      </c>
      <c r="M4303" s="36" t="str">
        <f t="shared" si="67"/>
        <v>19730926</v>
      </c>
    </row>
    <row r="4304" s="1" customFormat="1" spans="1:13">
      <c r="A4304" s="2">
        <v>1402</v>
      </c>
      <c r="B4304" s="5" t="s">
        <v>2469</v>
      </c>
      <c r="C4304" s="9" t="s">
        <v>3366</v>
      </c>
      <c r="D4304" s="287" t="s">
        <v>3367</v>
      </c>
      <c r="E4304" s="5">
        <v>2018</v>
      </c>
      <c r="F4304" s="5">
        <v>2020</v>
      </c>
      <c r="G4304" s="9" t="s">
        <v>295</v>
      </c>
      <c r="H4304" s="9">
        <v>200</v>
      </c>
      <c r="I4304" s="9">
        <v>600</v>
      </c>
      <c r="J4304" s="5"/>
      <c r="K4304" s="5"/>
      <c r="L4304" s="10">
        <v>20201118</v>
      </c>
      <c r="M4304" s="36" t="str">
        <f t="shared" si="67"/>
        <v>19730927</v>
      </c>
    </row>
    <row r="4305" s="1" customFormat="1" spans="1:13">
      <c r="A4305" s="2">
        <v>1652</v>
      </c>
      <c r="B4305" s="5" t="s">
        <v>3381</v>
      </c>
      <c r="C4305" s="9" t="s">
        <v>3866</v>
      </c>
      <c r="D4305" s="9" t="s">
        <v>3867</v>
      </c>
      <c r="E4305" s="5">
        <v>2020</v>
      </c>
      <c r="F4305" s="5">
        <v>2020</v>
      </c>
      <c r="G4305" s="14" t="s">
        <v>16</v>
      </c>
      <c r="H4305" s="6">
        <v>200</v>
      </c>
      <c r="I4305" s="6">
        <v>200</v>
      </c>
      <c r="J4305" s="5"/>
      <c r="K4305" s="13"/>
      <c r="L4305" s="10">
        <v>20201118</v>
      </c>
      <c r="M4305" s="36" t="str">
        <f t="shared" si="67"/>
        <v>19730927</v>
      </c>
    </row>
    <row r="4306" s="1" customFormat="1" ht="14.25" spans="1:13">
      <c r="A4306" s="2">
        <v>5341</v>
      </c>
      <c r="B4306" s="33" t="s">
        <v>10535</v>
      </c>
      <c r="C4306" s="34" t="s">
        <v>10795</v>
      </c>
      <c r="D4306" s="34" t="s">
        <v>10796</v>
      </c>
      <c r="E4306" s="35">
        <v>2020</v>
      </c>
      <c r="F4306" s="35">
        <v>2020</v>
      </c>
      <c r="G4306" s="35" t="s">
        <v>16</v>
      </c>
      <c r="H4306" s="34">
        <v>200</v>
      </c>
      <c r="I4306" s="34">
        <v>200</v>
      </c>
      <c r="J4306" s="49"/>
      <c r="K4306" s="10"/>
      <c r="L4306" s="10">
        <v>20201118</v>
      </c>
      <c r="M4306" s="36" t="str">
        <f t="shared" si="67"/>
        <v>19730928</v>
      </c>
    </row>
    <row r="4307" s="1" customFormat="1" spans="1:13">
      <c r="A4307" s="2">
        <v>3894</v>
      </c>
      <c r="B4307" s="5" t="s">
        <v>7412</v>
      </c>
      <c r="C4307" s="5" t="s">
        <v>8020</v>
      </c>
      <c r="D4307" s="5" t="s">
        <v>8021</v>
      </c>
      <c r="E4307" s="6">
        <v>2020</v>
      </c>
      <c r="F4307" s="6">
        <v>2020</v>
      </c>
      <c r="G4307" s="5" t="s">
        <v>3359</v>
      </c>
      <c r="H4307" s="5">
        <v>200</v>
      </c>
      <c r="I4307" s="5">
        <v>200</v>
      </c>
      <c r="J4307" s="5"/>
      <c r="K4307" s="5"/>
      <c r="L4307" s="10">
        <v>20201118</v>
      </c>
      <c r="M4307" s="36" t="str">
        <f t="shared" si="67"/>
        <v>19730929</v>
      </c>
    </row>
    <row r="4308" s="1" customFormat="1" spans="1:13">
      <c r="A4308" s="2">
        <v>6400</v>
      </c>
      <c r="B4308" s="5" t="s">
        <v>12263</v>
      </c>
      <c r="C4308" s="5" t="s">
        <v>1369</v>
      </c>
      <c r="D4308" s="5" t="s">
        <v>12810</v>
      </c>
      <c r="E4308" s="5" t="s">
        <v>10250</v>
      </c>
      <c r="F4308" s="5">
        <v>2020</v>
      </c>
      <c r="G4308" s="17" t="s">
        <v>3359</v>
      </c>
      <c r="H4308" s="5" t="s">
        <v>311</v>
      </c>
      <c r="I4308" s="5">
        <v>200</v>
      </c>
      <c r="J4308" s="5"/>
      <c r="K4308" s="5"/>
      <c r="L4308" s="10">
        <v>20201118</v>
      </c>
      <c r="M4308" s="36" t="str">
        <f t="shared" si="67"/>
        <v>19730929</v>
      </c>
    </row>
    <row r="4309" s="1" customFormat="1" spans="1:13">
      <c r="A4309" s="2">
        <v>621</v>
      </c>
      <c r="B4309" s="29" t="s">
        <v>1040</v>
      </c>
      <c r="C4309" s="29" t="s">
        <v>1518</v>
      </c>
      <c r="D4309" s="29" t="s">
        <v>1519</v>
      </c>
      <c r="E4309" s="30">
        <v>2020</v>
      </c>
      <c r="F4309" s="30">
        <v>2020</v>
      </c>
      <c r="G4309" s="29" t="s">
        <v>16</v>
      </c>
      <c r="H4309" s="29">
        <v>200</v>
      </c>
      <c r="I4309" s="29">
        <v>200</v>
      </c>
      <c r="J4309" s="29"/>
      <c r="K4309" s="47"/>
      <c r="L4309" s="14" t="s">
        <v>330</v>
      </c>
      <c r="M4309" s="36" t="str">
        <f t="shared" si="67"/>
        <v>19730930</v>
      </c>
    </row>
    <row r="4310" s="1" customFormat="1" spans="1:13">
      <c r="A4310" s="2">
        <v>3895</v>
      </c>
      <c r="B4310" s="5" t="s">
        <v>7412</v>
      </c>
      <c r="C4310" s="5" t="s">
        <v>8022</v>
      </c>
      <c r="D4310" s="5" t="s">
        <v>8023</v>
      </c>
      <c r="E4310" s="6">
        <v>2020</v>
      </c>
      <c r="F4310" s="6">
        <v>2020</v>
      </c>
      <c r="G4310" s="5" t="s">
        <v>3359</v>
      </c>
      <c r="H4310" s="5">
        <v>200</v>
      </c>
      <c r="I4310" s="5">
        <v>200</v>
      </c>
      <c r="J4310" s="5"/>
      <c r="K4310" s="5"/>
      <c r="L4310" s="10">
        <v>20201118</v>
      </c>
      <c r="M4310" s="36" t="str">
        <f t="shared" si="67"/>
        <v>19730930</v>
      </c>
    </row>
    <row r="4311" s="1" customFormat="1" spans="1:13">
      <c r="A4311" s="2">
        <v>5803</v>
      </c>
      <c r="B4311" s="30" t="s">
        <v>11090</v>
      </c>
      <c r="C4311" s="30" t="s">
        <v>11675</v>
      </c>
      <c r="D4311" s="30" t="s">
        <v>11676</v>
      </c>
      <c r="E4311" s="5" t="s">
        <v>15</v>
      </c>
      <c r="F4311" s="5" t="s">
        <v>10250</v>
      </c>
      <c r="G4311" s="6" t="s">
        <v>16</v>
      </c>
      <c r="H4311" s="32">
        <v>200</v>
      </c>
      <c r="I4311" s="32">
        <v>200</v>
      </c>
      <c r="J4311" s="6"/>
      <c r="K4311" s="48"/>
      <c r="L4311" s="10">
        <v>20201118</v>
      </c>
      <c r="M4311" s="36" t="str">
        <f t="shared" si="67"/>
        <v>19731001</v>
      </c>
    </row>
    <row r="4312" s="1" customFormat="1" spans="1:13">
      <c r="A4312" s="2">
        <v>1936</v>
      </c>
      <c r="B4312" s="5" t="s">
        <v>4189</v>
      </c>
      <c r="C4312" s="16" t="s">
        <v>2489</v>
      </c>
      <c r="D4312" s="16" t="s">
        <v>4432</v>
      </c>
      <c r="E4312" s="5" t="s">
        <v>15</v>
      </c>
      <c r="F4312" s="5" t="s">
        <v>15</v>
      </c>
      <c r="G4312" s="5" t="s">
        <v>3359</v>
      </c>
      <c r="H4312" s="16">
        <v>200</v>
      </c>
      <c r="I4312" s="16">
        <v>200</v>
      </c>
      <c r="J4312" s="5"/>
      <c r="K4312" s="10"/>
      <c r="L4312" s="10">
        <v>20201118</v>
      </c>
      <c r="M4312" s="36" t="str">
        <f t="shared" si="67"/>
        <v>19731004</v>
      </c>
    </row>
    <row r="4313" s="1" customFormat="1" spans="1:13">
      <c r="A4313" s="2">
        <v>3373</v>
      </c>
      <c r="B4313" s="5" t="s">
        <v>3375</v>
      </c>
      <c r="C4313" s="6" t="s">
        <v>2416</v>
      </c>
      <c r="D4313" s="6" t="str">
        <f>"152326197310046909"</f>
        <v>152326197310046909</v>
      </c>
      <c r="E4313" s="5" t="s">
        <v>15</v>
      </c>
      <c r="F4313" s="5">
        <v>2020</v>
      </c>
      <c r="G4313" s="14" t="s">
        <v>16</v>
      </c>
      <c r="H4313" s="17">
        <v>200</v>
      </c>
      <c r="I4313" s="17">
        <v>200</v>
      </c>
      <c r="J4313" s="6"/>
      <c r="K4313" s="10"/>
      <c r="L4313" s="10">
        <v>20201118</v>
      </c>
      <c r="M4313" s="36" t="str">
        <f t="shared" si="67"/>
        <v>19731004</v>
      </c>
    </row>
    <row r="4314" s="1" customFormat="1" spans="1:13">
      <c r="A4314" s="2">
        <v>4302</v>
      </c>
      <c r="B4314" s="9" t="s">
        <v>8515</v>
      </c>
      <c r="C4314" s="9" t="s">
        <v>8796</v>
      </c>
      <c r="D4314" s="9" t="s">
        <v>8797</v>
      </c>
      <c r="E4314" s="5" t="s">
        <v>15</v>
      </c>
      <c r="F4314" s="5">
        <v>2020</v>
      </c>
      <c r="G4314" s="9" t="s">
        <v>2480</v>
      </c>
      <c r="H4314" s="9">
        <v>200</v>
      </c>
      <c r="I4314" s="9">
        <v>200</v>
      </c>
      <c r="J4314" s="9"/>
      <c r="K4314" s="9"/>
      <c r="L4314" s="10">
        <v>20201118</v>
      </c>
      <c r="M4314" s="36" t="str">
        <f t="shared" si="67"/>
        <v>19731005</v>
      </c>
    </row>
    <row r="4315" s="1" customFormat="1" spans="1:13">
      <c r="A4315" s="2">
        <v>3077</v>
      </c>
      <c r="B4315" s="3" t="s">
        <v>6671</v>
      </c>
      <c r="C4315" s="9" t="s">
        <v>6680</v>
      </c>
      <c r="D4315" s="9" t="s">
        <v>6681</v>
      </c>
      <c r="E4315" s="3" t="s">
        <v>15</v>
      </c>
      <c r="F4315" s="3" t="s">
        <v>15</v>
      </c>
      <c r="G4315" s="6" t="s">
        <v>3359</v>
      </c>
      <c r="H4315" s="9">
        <v>200</v>
      </c>
      <c r="I4315" s="9">
        <v>200</v>
      </c>
      <c r="J4315" s="6"/>
      <c r="K4315" s="5"/>
      <c r="L4315" s="10">
        <v>20201118</v>
      </c>
      <c r="M4315" s="36" t="str">
        <f t="shared" si="67"/>
        <v>19731007</v>
      </c>
    </row>
    <row r="4316" s="1" customFormat="1" ht="14.25" spans="1:13">
      <c r="A4316" s="2">
        <v>5342</v>
      </c>
      <c r="B4316" s="33" t="s">
        <v>10535</v>
      </c>
      <c r="C4316" s="34" t="s">
        <v>10797</v>
      </c>
      <c r="D4316" s="64" t="s">
        <v>10798</v>
      </c>
      <c r="E4316" s="35">
        <v>2020</v>
      </c>
      <c r="F4316" s="35">
        <v>2020</v>
      </c>
      <c r="G4316" s="35" t="s">
        <v>16</v>
      </c>
      <c r="H4316" s="34">
        <v>200</v>
      </c>
      <c r="I4316" s="34">
        <v>200</v>
      </c>
      <c r="J4316" s="49"/>
      <c r="K4316" s="10"/>
      <c r="L4316" s="10">
        <v>20201118</v>
      </c>
      <c r="M4316" s="36" t="str">
        <f t="shared" si="67"/>
        <v>19731007</v>
      </c>
    </row>
    <row r="4317" s="1" customFormat="1" spans="1:13">
      <c r="A4317" s="2">
        <v>2285</v>
      </c>
      <c r="B4317" s="9" t="s">
        <v>4837</v>
      </c>
      <c r="C4317" s="9" t="s">
        <v>5112</v>
      </c>
      <c r="D4317" s="9" t="s">
        <v>5113</v>
      </c>
      <c r="E4317" s="6" t="s">
        <v>15</v>
      </c>
      <c r="F4317" s="6">
        <v>2020</v>
      </c>
      <c r="G4317" s="9" t="s">
        <v>2480</v>
      </c>
      <c r="H4317" s="9">
        <v>200</v>
      </c>
      <c r="I4317" s="9">
        <v>200</v>
      </c>
      <c r="J4317" s="6"/>
      <c r="K4317" s="10"/>
      <c r="L4317" s="10">
        <v>20201118</v>
      </c>
      <c r="M4317" s="36" t="str">
        <f t="shared" si="67"/>
        <v>19731008</v>
      </c>
    </row>
    <row r="4318" s="1" customFormat="1" ht="14.25" spans="1:13">
      <c r="A4318" s="2">
        <v>2980</v>
      </c>
      <c r="B4318" s="6" t="s">
        <v>6075</v>
      </c>
      <c r="C4318" s="25" t="s">
        <v>6485</v>
      </c>
      <c r="D4318" s="26" t="s">
        <v>6486</v>
      </c>
      <c r="E4318" s="5" t="s">
        <v>15</v>
      </c>
      <c r="F4318" s="5">
        <v>2020</v>
      </c>
      <c r="G4318" s="6" t="s">
        <v>16</v>
      </c>
      <c r="H4318" s="6">
        <v>200</v>
      </c>
      <c r="I4318" s="6">
        <v>200</v>
      </c>
      <c r="J4318" s="6"/>
      <c r="K4318" s="10"/>
      <c r="L4318" s="10">
        <v>20201118</v>
      </c>
      <c r="M4318" s="36" t="str">
        <f t="shared" si="67"/>
        <v>19731008</v>
      </c>
    </row>
    <row r="4319" s="1" customFormat="1" spans="1:13">
      <c r="A4319" s="2">
        <v>6907</v>
      </c>
      <c r="B4319" s="5" t="s">
        <v>13533</v>
      </c>
      <c r="C4319" s="32" t="s">
        <v>13656</v>
      </c>
      <c r="D4319" s="32" t="str">
        <f>"152326197310087129"</f>
        <v>152326197310087129</v>
      </c>
      <c r="E4319" s="5">
        <v>2020</v>
      </c>
      <c r="F4319" s="5">
        <v>2020</v>
      </c>
      <c r="G4319" s="9" t="s">
        <v>2480</v>
      </c>
      <c r="H4319" s="32">
        <v>200</v>
      </c>
      <c r="I4319" s="32">
        <v>200</v>
      </c>
      <c r="J4319" s="62"/>
      <c r="K4319" s="10"/>
      <c r="L4319" s="10">
        <v>20201118</v>
      </c>
      <c r="M4319" s="36" t="str">
        <f t="shared" si="67"/>
        <v>19731008</v>
      </c>
    </row>
    <row r="4320" s="1" customFormat="1" spans="1:13">
      <c r="A4320" s="2">
        <v>3896</v>
      </c>
      <c r="B4320" s="5" t="s">
        <v>7412</v>
      </c>
      <c r="C4320" s="5" t="s">
        <v>8024</v>
      </c>
      <c r="D4320" s="5" t="s">
        <v>8025</v>
      </c>
      <c r="E4320" s="6">
        <v>2020</v>
      </c>
      <c r="F4320" s="6">
        <v>2020</v>
      </c>
      <c r="G4320" s="5" t="s">
        <v>3359</v>
      </c>
      <c r="H4320" s="5">
        <v>200</v>
      </c>
      <c r="I4320" s="5">
        <v>200</v>
      </c>
      <c r="J4320" s="5"/>
      <c r="K4320" s="5"/>
      <c r="L4320" s="10">
        <v>20201118</v>
      </c>
      <c r="M4320" s="36" t="str">
        <f t="shared" si="67"/>
        <v>19731009</v>
      </c>
    </row>
    <row r="4321" s="1" customFormat="1" spans="1:13">
      <c r="A4321" s="2">
        <v>4599</v>
      </c>
      <c r="B4321" s="6" t="s">
        <v>9015</v>
      </c>
      <c r="C4321" s="6" t="s">
        <v>9370</v>
      </c>
      <c r="D4321" s="6" t="s">
        <v>9371</v>
      </c>
      <c r="E4321" s="6">
        <v>2020</v>
      </c>
      <c r="F4321" s="6">
        <v>2020</v>
      </c>
      <c r="G4321" s="6" t="s">
        <v>16</v>
      </c>
      <c r="H4321" s="6">
        <v>200</v>
      </c>
      <c r="I4321" s="6">
        <v>200</v>
      </c>
      <c r="J4321" s="6"/>
      <c r="K4321" s="6"/>
      <c r="L4321" s="10">
        <v>20201118</v>
      </c>
      <c r="M4321" s="36" t="str">
        <f t="shared" si="67"/>
        <v>19731009</v>
      </c>
    </row>
    <row r="4322" s="1" customFormat="1" spans="1:13">
      <c r="A4322" s="2">
        <v>652</v>
      </c>
      <c r="B4322" s="29" t="s">
        <v>1040</v>
      </c>
      <c r="C4322" s="47" t="s">
        <v>1609</v>
      </c>
      <c r="D4322" s="47" t="s">
        <v>1610</v>
      </c>
      <c r="E4322" s="30">
        <v>2020</v>
      </c>
      <c r="F4322" s="30">
        <v>2020</v>
      </c>
      <c r="G4322" s="29" t="s">
        <v>16</v>
      </c>
      <c r="H4322" s="29">
        <v>200</v>
      </c>
      <c r="I4322" s="29">
        <v>200</v>
      </c>
      <c r="J4322" s="29"/>
      <c r="K4322" s="47"/>
      <c r="L4322" s="14" t="s">
        <v>330</v>
      </c>
      <c r="M4322" s="36" t="str">
        <f t="shared" si="67"/>
        <v>19731010</v>
      </c>
    </row>
    <row r="4323" s="1" customFormat="1" ht="14.25" spans="1:13">
      <c r="A4323" s="2">
        <v>1653</v>
      </c>
      <c r="B4323" s="5" t="s">
        <v>3381</v>
      </c>
      <c r="C4323" s="9" t="s">
        <v>3868</v>
      </c>
      <c r="D4323" s="9" t="s">
        <v>3869</v>
      </c>
      <c r="E4323" s="5">
        <v>2020</v>
      </c>
      <c r="F4323" s="5">
        <v>2020</v>
      </c>
      <c r="G4323" s="14" t="s">
        <v>16</v>
      </c>
      <c r="H4323" s="6">
        <v>400</v>
      </c>
      <c r="I4323" s="6">
        <v>400</v>
      </c>
      <c r="J4323" s="24" t="s">
        <v>1242</v>
      </c>
      <c r="K4323" s="13"/>
      <c r="L4323" s="10">
        <v>20201118</v>
      </c>
      <c r="M4323" s="36" t="str">
        <f t="shared" si="67"/>
        <v>19731010</v>
      </c>
    </row>
    <row r="4324" s="1" customFormat="1" spans="1:13">
      <c r="A4324" s="2">
        <v>7952</v>
      </c>
      <c r="B4324" s="5" t="s">
        <v>15086</v>
      </c>
      <c r="C4324" s="6" t="s">
        <v>15225</v>
      </c>
      <c r="D4324" s="6" t="str">
        <f>"152326197310116866"</f>
        <v>152326197310116866</v>
      </c>
      <c r="E4324" s="5" t="s">
        <v>15</v>
      </c>
      <c r="F4324" s="5">
        <v>2020</v>
      </c>
      <c r="G4324" s="5" t="s">
        <v>16</v>
      </c>
      <c r="H4324" s="5">
        <v>1000</v>
      </c>
      <c r="I4324" s="5">
        <v>1000</v>
      </c>
      <c r="J4324" s="5"/>
      <c r="K4324" s="5"/>
      <c r="L4324" s="10">
        <v>20201118</v>
      </c>
      <c r="M4324" s="36" t="str">
        <f t="shared" si="67"/>
        <v>19731011</v>
      </c>
    </row>
    <row r="4325" s="1" customFormat="1" spans="1:13">
      <c r="A4325" s="2">
        <v>3384</v>
      </c>
      <c r="B4325" s="5" t="s">
        <v>3375</v>
      </c>
      <c r="C4325" s="6" t="s">
        <v>7162</v>
      </c>
      <c r="D4325" s="6" t="str">
        <f>"152326197310126888"</f>
        <v>152326197310126888</v>
      </c>
      <c r="E4325" s="5" t="s">
        <v>15</v>
      </c>
      <c r="F4325" s="5">
        <v>2020</v>
      </c>
      <c r="G4325" s="14" t="s">
        <v>16</v>
      </c>
      <c r="H4325" s="17">
        <v>200</v>
      </c>
      <c r="I4325" s="17">
        <v>200</v>
      </c>
      <c r="J4325" s="6"/>
      <c r="K4325" s="10"/>
      <c r="L4325" s="10">
        <v>20201118</v>
      </c>
      <c r="M4325" s="36" t="str">
        <f t="shared" si="67"/>
        <v>19731012</v>
      </c>
    </row>
    <row r="4326" s="1" customFormat="1" spans="1:13">
      <c r="A4326" s="2">
        <v>7963</v>
      </c>
      <c r="B4326" s="5" t="s">
        <v>15086</v>
      </c>
      <c r="C4326" s="6" t="s">
        <v>15236</v>
      </c>
      <c r="D4326" s="6" t="str">
        <f>"152326197310136867"</f>
        <v>152326197310136867</v>
      </c>
      <c r="E4326" s="5" t="s">
        <v>15</v>
      </c>
      <c r="F4326" s="5">
        <v>2020</v>
      </c>
      <c r="G4326" s="5" t="s">
        <v>16</v>
      </c>
      <c r="H4326" s="5">
        <v>200</v>
      </c>
      <c r="I4326" s="5">
        <v>200</v>
      </c>
      <c r="J4326" s="5"/>
      <c r="K4326" s="5"/>
      <c r="L4326" s="10">
        <v>20201118</v>
      </c>
      <c r="M4326" s="36" t="str">
        <f t="shared" si="67"/>
        <v>19731013</v>
      </c>
    </row>
    <row r="4327" s="1" customFormat="1" spans="1:13">
      <c r="A4327" s="2">
        <v>105</v>
      </c>
      <c r="B4327" s="3" t="s">
        <v>12</v>
      </c>
      <c r="C4327" s="6" t="s">
        <v>226</v>
      </c>
      <c r="D4327" s="6" t="s">
        <v>227</v>
      </c>
      <c r="E4327" s="3" t="s">
        <v>15</v>
      </c>
      <c r="F4327" s="3" t="s">
        <v>15</v>
      </c>
      <c r="G4327" s="3" t="s">
        <v>189</v>
      </c>
      <c r="H4327" s="3">
        <v>200</v>
      </c>
      <c r="I4327" s="3">
        <v>200</v>
      </c>
      <c r="J4327" s="3"/>
      <c r="K4327" s="3"/>
      <c r="L4327" s="10">
        <v>20201118</v>
      </c>
      <c r="M4327" s="36" t="str">
        <f t="shared" si="67"/>
        <v>19731014</v>
      </c>
    </row>
    <row r="4328" s="1" customFormat="1" spans="1:13">
      <c r="A4328" s="2">
        <v>7510</v>
      </c>
      <c r="B4328" s="5" t="s">
        <v>14402</v>
      </c>
      <c r="C4328" s="5" t="s">
        <v>14633</v>
      </c>
      <c r="D4328" s="5" t="s">
        <v>14634</v>
      </c>
      <c r="E4328" s="5">
        <v>2020</v>
      </c>
      <c r="F4328" s="5">
        <v>2020</v>
      </c>
      <c r="G4328" s="17" t="s">
        <v>16</v>
      </c>
      <c r="H4328" s="5">
        <v>200</v>
      </c>
      <c r="I4328" s="5">
        <v>200</v>
      </c>
      <c r="J4328" s="5"/>
      <c r="K4328" s="10"/>
      <c r="L4328" s="10">
        <v>20201118</v>
      </c>
      <c r="M4328" s="36" t="str">
        <f t="shared" si="67"/>
        <v>19731014</v>
      </c>
    </row>
    <row r="4329" s="1" customFormat="1" spans="1:13">
      <c r="A4329" s="2">
        <v>1654</v>
      </c>
      <c r="B4329" s="5" t="s">
        <v>3381</v>
      </c>
      <c r="C4329" s="9" t="s">
        <v>3870</v>
      </c>
      <c r="D4329" s="9" t="s">
        <v>3871</v>
      </c>
      <c r="E4329" s="5">
        <v>2020</v>
      </c>
      <c r="F4329" s="5">
        <v>2020</v>
      </c>
      <c r="G4329" s="14" t="s">
        <v>16</v>
      </c>
      <c r="H4329" s="6">
        <v>200</v>
      </c>
      <c r="I4329" s="6">
        <v>200</v>
      </c>
      <c r="J4329" s="5"/>
      <c r="K4329" s="13"/>
      <c r="L4329" s="10">
        <v>20201118</v>
      </c>
      <c r="M4329" s="36" t="str">
        <f t="shared" si="67"/>
        <v>19731015</v>
      </c>
    </row>
    <row r="4330" s="1" customFormat="1" spans="1:13">
      <c r="A4330" s="2">
        <v>3377</v>
      </c>
      <c r="B4330" s="5" t="s">
        <v>3375</v>
      </c>
      <c r="C4330" s="6" t="s">
        <v>7154</v>
      </c>
      <c r="D4330" s="6" t="s">
        <v>7155</v>
      </c>
      <c r="E4330" s="5" t="s">
        <v>15</v>
      </c>
      <c r="F4330" s="5">
        <v>2020</v>
      </c>
      <c r="G4330" s="14" t="s">
        <v>16</v>
      </c>
      <c r="H4330" s="17">
        <v>200</v>
      </c>
      <c r="I4330" s="17">
        <v>200</v>
      </c>
      <c r="J4330" s="6"/>
      <c r="K4330" s="10"/>
      <c r="L4330" s="10">
        <v>20201118</v>
      </c>
      <c r="M4330" s="36" t="str">
        <f t="shared" si="67"/>
        <v>19731015</v>
      </c>
    </row>
    <row r="4331" s="1" customFormat="1" spans="1:13">
      <c r="A4331" s="2">
        <v>7955</v>
      </c>
      <c r="B4331" s="5" t="s">
        <v>15086</v>
      </c>
      <c r="C4331" s="6" t="s">
        <v>15228</v>
      </c>
      <c r="D4331" s="6" t="str">
        <f>"152326197310156913"</f>
        <v>152326197310156913</v>
      </c>
      <c r="E4331" s="5" t="s">
        <v>15</v>
      </c>
      <c r="F4331" s="5">
        <v>2020</v>
      </c>
      <c r="G4331" s="5" t="s">
        <v>16</v>
      </c>
      <c r="H4331" s="5">
        <v>200</v>
      </c>
      <c r="I4331" s="5">
        <v>200</v>
      </c>
      <c r="J4331" s="5"/>
      <c r="K4331" s="5"/>
      <c r="L4331" s="10">
        <v>20201118</v>
      </c>
      <c r="M4331" s="36" t="str">
        <f t="shared" si="67"/>
        <v>19731015</v>
      </c>
    </row>
    <row r="4332" s="1" customFormat="1" spans="1:13">
      <c r="A4332" s="2">
        <v>3897</v>
      </c>
      <c r="B4332" s="5" t="s">
        <v>7412</v>
      </c>
      <c r="C4332" s="5" t="s">
        <v>8026</v>
      </c>
      <c r="D4332" s="5" t="s">
        <v>8027</v>
      </c>
      <c r="E4332" s="6">
        <v>2020</v>
      </c>
      <c r="F4332" s="6">
        <v>2020</v>
      </c>
      <c r="G4332" s="5" t="s">
        <v>3359</v>
      </c>
      <c r="H4332" s="5">
        <v>1000</v>
      </c>
      <c r="I4332" s="5">
        <v>1000</v>
      </c>
      <c r="J4332" s="5"/>
      <c r="K4332" s="5"/>
      <c r="L4332" s="10">
        <v>20201118</v>
      </c>
      <c r="M4332" s="36" t="str">
        <f t="shared" si="67"/>
        <v>19731016</v>
      </c>
    </row>
    <row r="4333" s="1" customFormat="1" spans="1:13">
      <c r="A4333" s="2">
        <v>6649</v>
      </c>
      <c r="B4333" s="5" t="s">
        <v>13027</v>
      </c>
      <c r="C4333" s="15" t="s">
        <v>13279</v>
      </c>
      <c r="D4333" s="15" t="s">
        <v>13280</v>
      </c>
      <c r="E4333" s="5">
        <v>2020</v>
      </c>
      <c r="F4333" s="5">
        <v>2020</v>
      </c>
      <c r="G4333" s="14" t="s">
        <v>16</v>
      </c>
      <c r="H4333" s="15">
        <v>200</v>
      </c>
      <c r="I4333" s="15">
        <v>200</v>
      </c>
      <c r="J4333" s="5"/>
      <c r="K4333" s="10"/>
      <c r="L4333" s="10">
        <v>20201118</v>
      </c>
      <c r="M4333" s="36" t="str">
        <f t="shared" si="67"/>
        <v>19731016</v>
      </c>
    </row>
    <row r="4334" s="1" customFormat="1" spans="1:13">
      <c r="A4334" s="2">
        <v>458</v>
      </c>
      <c r="B4334" s="29" t="s">
        <v>1040</v>
      </c>
      <c r="C4334" s="29" t="s">
        <v>1192</v>
      </c>
      <c r="D4334" s="29" t="s">
        <v>1193</v>
      </c>
      <c r="E4334" s="30">
        <v>2020</v>
      </c>
      <c r="F4334" s="30">
        <v>2020</v>
      </c>
      <c r="G4334" s="29" t="s">
        <v>16</v>
      </c>
      <c r="H4334" s="29">
        <v>200</v>
      </c>
      <c r="I4334" s="29">
        <v>200</v>
      </c>
      <c r="J4334" s="29"/>
      <c r="K4334" s="47"/>
      <c r="L4334" s="2" t="s">
        <v>330</v>
      </c>
      <c r="M4334" s="36" t="str">
        <f t="shared" si="67"/>
        <v>19731017</v>
      </c>
    </row>
    <row r="4335" s="1" customFormat="1" ht="14.25" spans="1:13">
      <c r="A4335" s="2">
        <v>5343</v>
      </c>
      <c r="B4335" s="33" t="s">
        <v>10535</v>
      </c>
      <c r="C4335" s="34" t="s">
        <v>10799</v>
      </c>
      <c r="D4335" s="34" t="s">
        <v>10800</v>
      </c>
      <c r="E4335" s="35">
        <v>2020</v>
      </c>
      <c r="F4335" s="35">
        <v>2020</v>
      </c>
      <c r="G4335" s="35" t="s">
        <v>16</v>
      </c>
      <c r="H4335" s="34">
        <v>500</v>
      </c>
      <c r="I4335" s="34">
        <v>500</v>
      </c>
      <c r="J4335" s="49" t="s">
        <v>10667</v>
      </c>
      <c r="K4335" s="10"/>
      <c r="L4335" s="10">
        <v>20201118</v>
      </c>
      <c r="M4335" s="36" t="str">
        <f t="shared" si="67"/>
        <v>19731019</v>
      </c>
    </row>
    <row r="4336" s="1" customFormat="1" spans="1:13">
      <c r="A4336" s="2">
        <v>6650</v>
      </c>
      <c r="B4336" s="5" t="s">
        <v>13027</v>
      </c>
      <c r="C4336" s="15" t="s">
        <v>13281</v>
      </c>
      <c r="D4336" s="15" t="s">
        <v>13282</v>
      </c>
      <c r="E4336" s="5">
        <v>2020</v>
      </c>
      <c r="F4336" s="5">
        <v>2020</v>
      </c>
      <c r="G4336" s="14" t="s">
        <v>16</v>
      </c>
      <c r="H4336" s="15">
        <v>200</v>
      </c>
      <c r="I4336" s="15">
        <v>200</v>
      </c>
      <c r="J4336" s="5"/>
      <c r="K4336" s="10"/>
      <c r="L4336" s="10">
        <v>20201118</v>
      </c>
      <c r="M4336" s="36" t="str">
        <f t="shared" si="67"/>
        <v>19731019</v>
      </c>
    </row>
    <row r="4337" s="1" customFormat="1" spans="1:13">
      <c r="A4337" s="2">
        <v>235</v>
      </c>
      <c r="B4337" s="14" t="s">
        <v>327</v>
      </c>
      <c r="C4337" s="14" t="s">
        <v>591</v>
      </c>
      <c r="D4337" s="14" t="s">
        <v>592</v>
      </c>
      <c r="E4337" s="5">
        <v>2020</v>
      </c>
      <c r="F4337" s="5">
        <v>2020</v>
      </c>
      <c r="G4337" s="14" t="s">
        <v>16</v>
      </c>
      <c r="H4337" s="14">
        <v>500</v>
      </c>
      <c r="I4337" s="14">
        <v>500</v>
      </c>
      <c r="J4337" s="14"/>
      <c r="K4337" s="10"/>
      <c r="L4337" s="2" t="s">
        <v>330</v>
      </c>
      <c r="M4337" s="36" t="str">
        <f t="shared" si="67"/>
        <v>19731020</v>
      </c>
    </row>
    <row r="4338" s="1" customFormat="1" spans="1:13">
      <c r="A4338" s="2">
        <v>1956</v>
      </c>
      <c r="B4338" s="5" t="s">
        <v>4189</v>
      </c>
      <c r="C4338" s="16" t="s">
        <v>4471</v>
      </c>
      <c r="D4338" s="16" t="s">
        <v>4472</v>
      </c>
      <c r="E4338" s="5" t="s">
        <v>15</v>
      </c>
      <c r="F4338" s="5" t="s">
        <v>15</v>
      </c>
      <c r="G4338" s="5" t="s">
        <v>3359</v>
      </c>
      <c r="H4338" s="16">
        <v>200</v>
      </c>
      <c r="I4338" s="16">
        <v>200</v>
      </c>
      <c r="J4338" s="5"/>
      <c r="K4338" s="10"/>
      <c r="L4338" s="10">
        <v>20201118</v>
      </c>
      <c r="M4338" s="36" t="str">
        <f t="shared" si="67"/>
        <v>19731024</v>
      </c>
    </row>
    <row r="4339" s="1" customFormat="1" spans="1:13">
      <c r="A4339" s="2">
        <v>5620</v>
      </c>
      <c r="B4339" s="30" t="s">
        <v>11090</v>
      </c>
      <c r="C4339" s="30" t="s">
        <v>11330</v>
      </c>
      <c r="D4339" s="30" t="s">
        <v>11331</v>
      </c>
      <c r="E4339" s="5" t="s">
        <v>15</v>
      </c>
      <c r="F4339" s="5" t="s">
        <v>10250</v>
      </c>
      <c r="G4339" s="6" t="s">
        <v>16</v>
      </c>
      <c r="H4339" s="32">
        <v>200</v>
      </c>
      <c r="I4339" s="32">
        <v>200</v>
      </c>
      <c r="J4339" s="6"/>
      <c r="K4339" s="48"/>
      <c r="L4339" s="10">
        <v>20201118</v>
      </c>
      <c r="M4339" s="36" t="str">
        <f t="shared" si="67"/>
        <v>19731024</v>
      </c>
    </row>
    <row r="4340" s="1" customFormat="1" spans="1:13">
      <c r="A4340" s="2">
        <v>5630</v>
      </c>
      <c r="B4340" s="30" t="s">
        <v>11090</v>
      </c>
      <c r="C4340" s="30" t="s">
        <v>1793</v>
      </c>
      <c r="D4340" s="30" t="s">
        <v>11350</v>
      </c>
      <c r="E4340" s="5" t="s">
        <v>15</v>
      </c>
      <c r="F4340" s="5" t="s">
        <v>10250</v>
      </c>
      <c r="G4340" s="6" t="s">
        <v>16</v>
      </c>
      <c r="H4340" s="32">
        <v>200</v>
      </c>
      <c r="I4340" s="32">
        <v>200</v>
      </c>
      <c r="J4340" s="6"/>
      <c r="K4340" s="48"/>
      <c r="L4340" s="10">
        <v>20201118</v>
      </c>
      <c r="M4340" s="36" t="str">
        <f t="shared" si="67"/>
        <v>19731024</v>
      </c>
    </row>
    <row r="4341" s="1" customFormat="1" ht="14.25" spans="1:13">
      <c r="A4341" s="2">
        <v>5344</v>
      </c>
      <c r="B4341" s="33" t="s">
        <v>10535</v>
      </c>
      <c r="C4341" s="34" t="s">
        <v>10801</v>
      </c>
      <c r="D4341" s="34" t="s">
        <v>10802</v>
      </c>
      <c r="E4341" s="35">
        <v>2020</v>
      </c>
      <c r="F4341" s="35">
        <v>2020</v>
      </c>
      <c r="G4341" s="35" t="s">
        <v>16</v>
      </c>
      <c r="H4341" s="34">
        <v>200</v>
      </c>
      <c r="I4341" s="34">
        <v>200</v>
      </c>
      <c r="J4341" s="49"/>
      <c r="K4341" s="10"/>
      <c r="L4341" s="10">
        <v>20201118</v>
      </c>
      <c r="M4341" s="36" t="str">
        <f t="shared" si="67"/>
        <v>19731025</v>
      </c>
    </row>
    <row r="4342" s="1" customFormat="1" ht="14.25" spans="1:13">
      <c r="A4342" s="2">
        <v>7803</v>
      </c>
      <c r="B4342" s="5" t="s">
        <v>14875</v>
      </c>
      <c r="C4342" s="70" t="s">
        <v>4786</v>
      </c>
      <c r="D4342" s="71" t="s">
        <v>15055</v>
      </c>
      <c r="E4342" s="6" t="s">
        <v>15</v>
      </c>
      <c r="F4342" s="6">
        <v>2020</v>
      </c>
      <c r="G4342" s="24" t="s">
        <v>14877</v>
      </c>
      <c r="H4342" s="6">
        <v>200</v>
      </c>
      <c r="I4342" s="6">
        <v>200</v>
      </c>
      <c r="J4342" s="6"/>
      <c r="K4342" s="10"/>
      <c r="L4342" s="10">
        <v>20201118</v>
      </c>
      <c r="M4342" s="36" t="str">
        <f t="shared" si="67"/>
        <v>19731025</v>
      </c>
    </row>
    <row r="4343" s="1" customFormat="1" spans="1:13">
      <c r="A4343" s="2">
        <v>2458</v>
      </c>
      <c r="B4343" s="5" t="s">
        <v>5328</v>
      </c>
      <c r="C4343" s="16" t="s">
        <v>5455</v>
      </c>
      <c r="D4343" s="16" t="s">
        <v>5456</v>
      </c>
      <c r="E4343" s="5" t="s">
        <v>15</v>
      </c>
      <c r="F4343" s="5" t="s">
        <v>15</v>
      </c>
      <c r="G4343" s="14" t="s">
        <v>16</v>
      </c>
      <c r="H4343" s="6">
        <v>200</v>
      </c>
      <c r="I4343" s="6">
        <v>200</v>
      </c>
      <c r="J4343" s="5"/>
      <c r="K4343" s="5"/>
      <c r="L4343" s="10">
        <v>20201118</v>
      </c>
      <c r="M4343" s="36" t="str">
        <f t="shared" si="67"/>
        <v>19731026</v>
      </c>
    </row>
    <row r="4344" s="1" customFormat="1" spans="1:13">
      <c r="A4344" s="2">
        <v>1121</v>
      </c>
      <c r="B4344" s="5" t="s">
        <v>2469</v>
      </c>
      <c r="C4344" s="9" t="s">
        <v>2828</v>
      </c>
      <c r="D4344" s="9" t="s">
        <v>2829</v>
      </c>
      <c r="E4344" s="5">
        <v>2020</v>
      </c>
      <c r="F4344" s="5">
        <v>2020</v>
      </c>
      <c r="G4344" s="9" t="s">
        <v>2480</v>
      </c>
      <c r="H4344" s="9">
        <v>200</v>
      </c>
      <c r="I4344" s="9">
        <v>200</v>
      </c>
      <c r="J4344" s="5"/>
      <c r="K4344" s="5"/>
      <c r="L4344" s="10">
        <v>20201118</v>
      </c>
      <c r="M4344" s="36" t="str">
        <f t="shared" si="67"/>
        <v>19731027</v>
      </c>
    </row>
    <row r="4345" s="1" customFormat="1" ht="14.25" spans="1:13">
      <c r="A4345" s="2">
        <v>2897</v>
      </c>
      <c r="B4345" s="6" t="s">
        <v>6075</v>
      </c>
      <c r="C4345" s="25" t="s">
        <v>6322</v>
      </c>
      <c r="D4345" s="26" t="s">
        <v>6323</v>
      </c>
      <c r="E4345" s="5" t="s">
        <v>15</v>
      </c>
      <c r="F4345" s="5">
        <v>2020</v>
      </c>
      <c r="G4345" s="6" t="s">
        <v>16</v>
      </c>
      <c r="H4345" s="6">
        <v>200</v>
      </c>
      <c r="I4345" s="6">
        <v>200</v>
      </c>
      <c r="J4345" s="6"/>
      <c r="K4345" s="10"/>
      <c r="L4345" s="10">
        <v>20201118</v>
      </c>
      <c r="M4345" s="36" t="str">
        <f t="shared" si="67"/>
        <v>19731027</v>
      </c>
    </row>
    <row r="4346" s="1" customFormat="1" spans="1:13">
      <c r="A4346" s="2">
        <v>2655</v>
      </c>
      <c r="B4346" s="32" t="s">
        <v>5602</v>
      </c>
      <c r="C4346" s="9" t="s">
        <v>5844</v>
      </c>
      <c r="D4346" s="9" t="s">
        <v>5845</v>
      </c>
      <c r="E4346" s="32">
        <v>2020</v>
      </c>
      <c r="F4346" s="32">
        <v>2020</v>
      </c>
      <c r="G4346" s="32" t="s">
        <v>16</v>
      </c>
      <c r="H4346" s="9">
        <v>200</v>
      </c>
      <c r="I4346" s="9">
        <v>200</v>
      </c>
      <c r="J4346" s="32"/>
      <c r="K4346" s="52"/>
      <c r="L4346" s="10">
        <v>20201118</v>
      </c>
      <c r="M4346" s="36" t="str">
        <f t="shared" si="67"/>
        <v>19731029</v>
      </c>
    </row>
    <row r="4347" s="1" customFormat="1" spans="1:13">
      <c r="A4347" s="2">
        <v>3379</v>
      </c>
      <c r="B4347" s="5" t="s">
        <v>3375</v>
      </c>
      <c r="C4347" s="6" t="s">
        <v>7157</v>
      </c>
      <c r="D4347" s="6" t="str">
        <f>"152326197310296879"</f>
        <v>152326197310296879</v>
      </c>
      <c r="E4347" s="5" t="s">
        <v>15</v>
      </c>
      <c r="F4347" s="5">
        <v>2020</v>
      </c>
      <c r="G4347" s="14" t="s">
        <v>16</v>
      </c>
      <c r="H4347" s="17">
        <v>200</v>
      </c>
      <c r="I4347" s="17">
        <v>200</v>
      </c>
      <c r="J4347" s="6"/>
      <c r="K4347" s="10"/>
      <c r="L4347" s="10">
        <v>20201118</v>
      </c>
      <c r="M4347" s="36" t="str">
        <f t="shared" si="67"/>
        <v>19731029</v>
      </c>
    </row>
    <row r="4348" s="1" customFormat="1" spans="1:13">
      <c r="A4348" s="2">
        <v>8219</v>
      </c>
      <c r="B4348" s="5" t="s">
        <v>15406</v>
      </c>
      <c r="C4348" s="6" t="s">
        <v>15619</v>
      </c>
      <c r="D4348" s="293" t="s">
        <v>15620</v>
      </c>
      <c r="E4348" s="5" t="s">
        <v>1047</v>
      </c>
      <c r="F4348" s="5">
        <v>2020</v>
      </c>
      <c r="G4348" s="5" t="s">
        <v>289</v>
      </c>
      <c r="H4348" s="6">
        <v>200</v>
      </c>
      <c r="I4348" s="6">
        <v>400</v>
      </c>
      <c r="J4348" s="5"/>
      <c r="K4348" s="10"/>
      <c r="L4348" s="10">
        <v>20201118</v>
      </c>
      <c r="M4348" s="36" t="str">
        <f t="shared" si="67"/>
        <v>19731029</v>
      </c>
    </row>
    <row r="4349" s="1" customFormat="1" spans="1:13">
      <c r="A4349" s="2">
        <v>3375</v>
      </c>
      <c r="B4349" s="5" t="s">
        <v>3375</v>
      </c>
      <c r="C4349" s="6" t="s">
        <v>7151</v>
      </c>
      <c r="D4349" s="6" t="str">
        <f>"152326197310306918"</f>
        <v>152326197310306918</v>
      </c>
      <c r="E4349" s="5" t="s">
        <v>15</v>
      </c>
      <c r="F4349" s="5">
        <v>2020</v>
      </c>
      <c r="G4349" s="14" t="s">
        <v>16</v>
      </c>
      <c r="H4349" s="17">
        <v>1000</v>
      </c>
      <c r="I4349" s="17">
        <v>1000</v>
      </c>
      <c r="J4349" s="6"/>
      <c r="K4349" s="10"/>
      <c r="L4349" s="10">
        <v>20201118</v>
      </c>
      <c r="M4349" s="36" t="str">
        <f t="shared" si="67"/>
        <v>19731030</v>
      </c>
    </row>
    <row r="4350" s="1" customFormat="1" spans="1:13">
      <c r="A4350" s="2">
        <v>6900</v>
      </c>
      <c r="B4350" s="5" t="s">
        <v>13533</v>
      </c>
      <c r="C4350" s="32" t="s">
        <v>13650</v>
      </c>
      <c r="D4350" s="32" t="str">
        <f>"152326197310307128"</f>
        <v>152326197310307128</v>
      </c>
      <c r="E4350" s="5">
        <v>2020</v>
      </c>
      <c r="F4350" s="5">
        <v>2020</v>
      </c>
      <c r="G4350" s="9" t="s">
        <v>2480</v>
      </c>
      <c r="H4350" s="32">
        <v>200</v>
      </c>
      <c r="I4350" s="32">
        <v>200</v>
      </c>
      <c r="J4350" s="62"/>
      <c r="K4350" s="10"/>
      <c r="L4350" s="10">
        <v>20201118</v>
      </c>
      <c r="M4350" s="36" t="str">
        <f t="shared" si="67"/>
        <v>19731030</v>
      </c>
    </row>
    <row r="4351" s="1" customFormat="1" spans="1:13">
      <c r="A4351" s="2">
        <v>107</v>
      </c>
      <c r="B4351" s="3" t="s">
        <v>12</v>
      </c>
      <c r="C4351" s="6" t="s">
        <v>230</v>
      </c>
      <c r="D4351" s="6" t="s">
        <v>231</v>
      </c>
      <c r="E4351" s="3" t="s">
        <v>15</v>
      </c>
      <c r="F4351" s="3" t="s">
        <v>15</v>
      </c>
      <c r="G4351" s="3" t="s">
        <v>189</v>
      </c>
      <c r="H4351" s="3">
        <v>200</v>
      </c>
      <c r="I4351" s="3">
        <v>200</v>
      </c>
      <c r="J4351" s="3"/>
      <c r="K4351" s="3"/>
      <c r="L4351" s="10">
        <v>20201118</v>
      </c>
      <c r="M4351" s="36" t="str">
        <f t="shared" si="67"/>
        <v>19731101</v>
      </c>
    </row>
    <row r="4352" s="1" customFormat="1" spans="1:13">
      <c r="A4352" s="2">
        <v>1122</v>
      </c>
      <c r="B4352" s="5" t="s">
        <v>2469</v>
      </c>
      <c r="C4352" s="9" t="s">
        <v>2830</v>
      </c>
      <c r="D4352" s="9" t="s">
        <v>2831</v>
      </c>
      <c r="E4352" s="5">
        <v>2020</v>
      </c>
      <c r="F4352" s="5">
        <v>2020</v>
      </c>
      <c r="G4352" s="9" t="s">
        <v>2480</v>
      </c>
      <c r="H4352" s="9">
        <v>200</v>
      </c>
      <c r="I4352" s="9">
        <v>200</v>
      </c>
      <c r="J4352" s="5"/>
      <c r="K4352" s="5"/>
      <c r="L4352" s="10">
        <v>20201118</v>
      </c>
      <c r="M4352" s="36" t="str">
        <f t="shared" si="67"/>
        <v>19731101</v>
      </c>
    </row>
    <row r="4353" s="1" customFormat="1" spans="1:13">
      <c r="A4353" s="2">
        <v>1958</v>
      </c>
      <c r="B4353" s="5" t="s">
        <v>4189</v>
      </c>
      <c r="C4353" s="16" t="s">
        <v>4475</v>
      </c>
      <c r="D4353" s="16" t="s">
        <v>4476</v>
      </c>
      <c r="E4353" s="5" t="s">
        <v>15</v>
      </c>
      <c r="F4353" s="5" t="s">
        <v>15</v>
      </c>
      <c r="G4353" s="5" t="s">
        <v>3359</v>
      </c>
      <c r="H4353" s="16">
        <v>200</v>
      </c>
      <c r="I4353" s="16">
        <v>200</v>
      </c>
      <c r="J4353" s="5"/>
      <c r="K4353" s="10"/>
      <c r="L4353" s="10">
        <v>20201118</v>
      </c>
      <c r="M4353" s="36" t="str">
        <f t="shared" si="67"/>
        <v>19731101</v>
      </c>
    </row>
    <row r="4354" s="1" customFormat="1" spans="1:13">
      <c r="A4354" s="2">
        <v>1123</v>
      </c>
      <c r="B4354" s="5" t="s">
        <v>2469</v>
      </c>
      <c r="C4354" s="9" t="s">
        <v>2832</v>
      </c>
      <c r="D4354" s="9" t="s">
        <v>2833</v>
      </c>
      <c r="E4354" s="5">
        <v>2020</v>
      </c>
      <c r="F4354" s="5">
        <v>2020</v>
      </c>
      <c r="G4354" s="9" t="s">
        <v>2480</v>
      </c>
      <c r="H4354" s="9">
        <v>200</v>
      </c>
      <c r="I4354" s="9">
        <v>200</v>
      </c>
      <c r="J4354" s="5"/>
      <c r="K4354" s="5"/>
      <c r="L4354" s="10">
        <v>20201118</v>
      </c>
      <c r="M4354" s="36" t="str">
        <f t="shared" ref="M4354:M4417" si="68">MID(D4354,7,8)</f>
        <v>19731102</v>
      </c>
    </row>
    <row r="4355" s="1" customFormat="1" ht="14.25" spans="1:13">
      <c r="A4355" s="2">
        <v>7702</v>
      </c>
      <c r="B4355" s="5" t="s">
        <v>14875</v>
      </c>
      <c r="C4355" s="51" t="s">
        <v>14946</v>
      </c>
      <c r="D4355" s="24" t="str">
        <f>"152326197311027128"</f>
        <v>152326197311027128</v>
      </c>
      <c r="E4355" s="6" t="s">
        <v>15</v>
      </c>
      <c r="F4355" s="6">
        <v>2020</v>
      </c>
      <c r="G4355" s="24" t="s">
        <v>14877</v>
      </c>
      <c r="H4355" s="6">
        <v>200</v>
      </c>
      <c r="I4355" s="6">
        <v>200</v>
      </c>
      <c r="J4355" s="6"/>
      <c r="K4355" s="10"/>
      <c r="L4355" s="10">
        <v>20201118</v>
      </c>
      <c r="M4355" s="36" t="str">
        <f t="shared" si="68"/>
        <v>19731102</v>
      </c>
    </row>
    <row r="4356" s="1" customFormat="1" spans="1:13">
      <c r="A4356" s="2">
        <v>7964</v>
      </c>
      <c r="B4356" s="5" t="s">
        <v>15086</v>
      </c>
      <c r="C4356" s="6" t="s">
        <v>15237</v>
      </c>
      <c r="D4356" s="6" t="str">
        <f>"152326197311026889"</f>
        <v>152326197311026889</v>
      </c>
      <c r="E4356" s="5" t="s">
        <v>15</v>
      </c>
      <c r="F4356" s="5">
        <v>2020</v>
      </c>
      <c r="G4356" s="5" t="s">
        <v>16</v>
      </c>
      <c r="H4356" s="5">
        <v>200</v>
      </c>
      <c r="I4356" s="5">
        <v>200</v>
      </c>
      <c r="J4356" s="5"/>
      <c r="K4356" s="5"/>
      <c r="L4356" s="10">
        <v>20201118</v>
      </c>
      <c r="M4356" s="36" t="str">
        <f t="shared" si="68"/>
        <v>19731102</v>
      </c>
    </row>
    <row r="4357" s="1" customFormat="1" spans="1:13">
      <c r="A4357" s="2">
        <v>3898</v>
      </c>
      <c r="B4357" s="5" t="s">
        <v>7412</v>
      </c>
      <c r="C4357" s="5" t="s">
        <v>8028</v>
      </c>
      <c r="D4357" s="5" t="s">
        <v>8029</v>
      </c>
      <c r="E4357" s="6">
        <v>2020</v>
      </c>
      <c r="F4357" s="6">
        <v>2020</v>
      </c>
      <c r="G4357" s="5" t="s">
        <v>3359</v>
      </c>
      <c r="H4357" s="5">
        <v>200</v>
      </c>
      <c r="I4357" s="5">
        <v>200</v>
      </c>
      <c r="J4357" s="5"/>
      <c r="K4357" s="5"/>
      <c r="L4357" s="10">
        <v>20201118</v>
      </c>
      <c r="M4357" s="36" t="str">
        <f t="shared" si="68"/>
        <v>19731103</v>
      </c>
    </row>
    <row r="4358" s="1" customFormat="1" spans="1:13">
      <c r="A4358" s="2">
        <v>5524</v>
      </c>
      <c r="B4358" s="30" t="s">
        <v>11090</v>
      </c>
      <c r="C4358" s="30" t="s">
        <v>11144</v>
      </c>
      <c r="D4358" s="30" t="s">
        <v>11145</v>
      </c>
      <c r="E4358" s="5" t="s">
        <v>15</v>
      </c>
      <c r="F4358" s="5" t="s">
        <v>10250</v>
      </c>
      <c r="G4358" s="6" t="s">
        <v>16</v>
      </c>
      <c r="H4358" s="32" t="s">
        <v>311</v>
      </c>
      <c r="I4358" s="32">
        <v>200</v>
      </c>
      <c r="J4358" s="6"/>
      <c r="K4358" s="48"/>
      <c r="L4358" s="10">
        <v>20201118</v>
      </c>
      <c r="M4358" s="36" t="str">
        <f t="shared" si="68"/>
        <v>19731106</v>
      </c>
    </row>
    <row r="4359" s="1" customFormat="1" spans="1:13">
      <c r="A4359" s="2">
        <v>5608</v>
      </c>
      <c r="B4359" s="30" t="s">
        <v>11090</v>
      </c>
      <c r="C4359" s="30" t="s">
        <v>11307</v>
      </c>
      <c r="D4359" s="30" t="s">
        <v>11308</v>
      </c>
      <c r="E4359" s="5" t="s">
        <v>15</v>
      </c>
      <c r="F4359" s="5" t="s">
        <v>10250</v>
      </c>
      <c r="G4359" s="6" t="s">
        <v>16</v>
      </c>
      <c r="H4359" s="32">
        <v>500</v>
      </c>
      <c r="I4359" s="32">
        <v>500</v>
      </c>
      <c r="J4359" s="6"/>
      <c r="K4359" s="48"/>
      <c r="L4359" s="10">
        <v>20201118</v>
      </c>
      <c r="M4359" s="36" t="str">
        <f t="shared" si="68"/>
        <v>19731106</v>
      </c>
    </row>
    <row r="4360" s="1" customFormat="1" spans="1:13">
      <c r="A4360" s="2">
        <v>4684</v>
      </c>
      <c r="B4360" s="6" t="s">
        <v>9015</v>
      </c>
      <c r="C4360" s="6" t="s">
        <v>9531</v>
      </c>
      <c r="D4360" s="6" t="s">
        <v>9532</v>
      </c>
      <c r="E4360" s="6">
        <v>2020</v>
      </c>
      <c r="F4360" s="6">
        <v>2020</v>
      </c>
      <c r="G4360" s="6" t="s">
        <v>16</v>
      </c>
      <c r="H4360" s="6">
        <v>200</v>
      </c>
      <c r="I4360" s="6">
        <v>200</v>
      </c>
      <c r="J4360" s="6"/>
      <c r="K4360" s="6"/>
      <c r="L4360" s="10">
        <v>20201118</v>
      </c>
      <c r="M4360" s="36" t="str">
        <f t="shared" si="68"/>
        <v>19731107</v>
      </c>
    </row>
    <row r="4361" s="1" customFormat="1" spans="1:13">
      <c r="A4361" s="2">
        <v>6908</v>
      </c>
      <c r="B4361" s="5" t="s">
        <v>13533</v>
      </c>
      <c r="C4361" s="32" t="s">
        <v>13657</v>
      </c>
      <c r="D4361" s="32" t="str">
        <f>"152326197311077117"</f>
        <v>152326197311077117</v>
      </c>
      <c r="E4361" s="5">
        <v>2020</v>
      </c>
      <c r="F4361" s="5">
        <v>2020</v>
      </c>
      <c r="G4361" s="9" t="s">
        <v>2480</v>
      </c>
      <c r="H4361" s="32">
        <v>200</v>
      </c>
      <c r="I4361" s="32">
        <v>200</v>
      </c>
      <c r="J4361" s="32"/>
      <c r="K4361" s="10"/>
      <c r="L4361" s="10">
        <v>20201118</v>
      </c>
      <c r="M4361" s="36" t="str">
        <f t="shared" si="68"/>
        <v>19731107</v>
      </c>
    </row>
    <row r="4362" s="1" customFormat="1" spans="1:13">
      <c r="A4362" s="2">
        <v>792</v>
      </c>
      <c r="B4362" s="29" t="s">
        <v>1040</v>
      </c>
      <c r="C4362" s="5" t="s">
        <v>2026</v>
      </c>
      <c r="D4362" s="317" t="s">
        <v>2027</v>
      </c>
      <c r="E4362" s="30">
        <v>2020</v>
      </c>
      <c r="F4362" s="30">
        <v>2020</v>
      </c>
      <c r="G4362" s="29" t="s">
        <v>16</v>
      </c>
      <c r="H4362" s="29">
        <v>200</v>
      </c>
      <c r="I4362" s="29">
        <v>200</v>
      </c>
      <c r="J4362" s="32"/>
      <c r="K4362" s="32"/>
      <c r="L4362" s="14" t="s">
        <v>330</v>
      </c>
      <c r="M4362" s="36" t="str">
        <f t="shared" si="68"/>
        <v>19731109</v>
      </c>
    </row>
    <row r="4363" s="1" customFormat="1" spans="1:13">
      <c r="A4363" s="2">
        <v>6912</v>
      </c>
      <c r="B4363" s="5" t="s">
        <v>13533</v>
      </c>
      <c r="C4363" s="32" t="s">
        <v>13660</v>
      </c>
      <c r="D4363" s="32" t="str">
        <f>"152326197311097118"</f>
        <v>152326197311097118</v>
      </c>
      <c r="E4363" s="5">
        <v>2020</v>
      </c>
      <c r="F4363" s="5">
        <v>2020</v>
      </c>
      <c r="G4363" s="9" t="s">
        <v>2480</v>
      </c>
      <c r="H4363" s="32">
        <v>200</v>
      </c>
      <c r="I4363" s="32">
        <v>200</v>
      </c>
      <c r="J4363" s="62"/>
      <c r="K4363" s="10"/>
      <c r="L4363" s="10">
        <v>20201118</v>
      </c>
      <c r="M4363" s="36" t="str">
        <f t="shared" si="68"/>
        <v>19731109</v>
      </c>
    </row>
    <row r="4364" s="1" customFormat="1" spans="1:13">
      <c r="A4364" s="2">
        <v>7274</v>
      </c>
      <c r="B4364" s="5" t="s">
        <v>13908</v>
      </c>
      <c r="C4364" s="5" t="s">
        <v>14190</v>
      </c>
      <c r="D4364" s="5" t="s">
        <v>14191</v>
      </c>
      <c r="E4364" s="5" t="s">
        <v>15</v>
      </c>
      <c r="F4364" s="5" t="s">
        <v>15</v>
      </c>
      <c r="G4364" s="14" t="s">
        <v>16</v>
      </c>
      <c r="H4364" s="17">
        <v>200</v>
      </c>
      <c r="I4364" s="17">
        <v>200</v>
      </c>
      <c r="J4364" s="5"/>
      <c r="K4364" s="10"/>
      <c r="L4364" s="10">
        <v>20201118</v>
      </c>
      <c r="M4364" s="36" t="str">
        <f t="shared" si="68"/>
        <v>19731109</v>
      </c>
    </row>
    <row r="4365" s="1" customFormat="1" spans="1:13">
      <c r="A4365" s="2">
        <v>6910</v>
      </c>
      <c r="B4365" s="5" t="s">
        <v>13533</v>
      </c>
      <c r="C4365" s="32" t="s">
        <v>12574</v>
      </c>
      <c r="D4365" s="32" t="str">
        <f>"152326197311107128"</f>
        <v>152326197311107128</v>
      </c>
      <c r="E4365" s="5">
        <v>2020</v>
      </c>
      <c r="F4365" s="5">
        <v>2020</v>
      </c>
      <c r="G4365" s="9" t="s">
        <v>2480</v>
      </c>
      <c r="H4365" s="32">
        <v>200</v>
      </c>
      <c r="I4365" s="32">
        <v>200</v>
      </c>
      <c r="J4365" s="62"/>
      <c r="K4365" s="10"/>
      <c r="L4365" s="10">
        <v>20201118</v>
      </c>
      <c r="M4365" s="36" t="str">
        <f t="shared" si="68"/>
        <v>19731110</v>
      </c>
    </row>
    <row r="4366" s="1" customFormat="1" spans="1:13">
      <c r="A4366" s="2">
        <v>1655</v>
      </c>
      <c r="B4366" s="5" t="s">
        <v>3381</v>
      </c>
      <c r="C4366" s="9" t="s">
        <v>3872</v>
      </c>
      <c r="D4366" s="9" t="s">
        <v>3873</v>
      </c>
      <c r="E4366" s="5">
        <v>2020</v>
      </c>
      <c r="F4366" s="5">
        <v>2020</v>
      </c>
      <c r="G4366" s="14" t="s">
        <v>16</v>
      </c>
      <c r="H4366" s="6">
        <v>200</v>
      </c>
      <c r="I4366" s="6">
        <v>200</v>
      </c>
      <c r="J4366" s="5"/>
      <c r="K4366" s="13"/>
      <c r="L4366" s="10">
        <v>20201118</v>
      </c>
      <c r="M4366" s="36" t="str">
        <f t="shared" si="68"/>
        <v>19731111</v>
      </c>
    </row>
    <row r="4367" s="1" customFormat="1" spans="1:13">
      <c r="A4367" s="2">
        <v>1124</v>
      </c>
      <c r="B4367" s="5" t="s">
        <v>2469</v>
      </c>
      <c r="C4367" s="9" t="s">
        <v>2834</v>
      </c>
      <c r="D4367" s="9" t="s">
        <v>2835</v>
      </c>
      <c r="E4367" s="5">
        <v>2020</v>
      </c>
      <c r="F4367" s="5">
        <v>2020</v>
      </c>
      <c r="G4367" s="9" t="s">
        <v>2480</v>
      </c>
      <c r="H4367" s="9">
        <v>200</v>
      </c>
      <c r="I4367" s="9">
        <v>200</v>
      </c>
      <c r="J4367" s="5"/>
      <c r="K4367" s="5"/>
      <c r="L4367" s="10">
        <v>20201118</v>
      </c>
      <c r="M4367" s="36" t="str">
        <f t="shared" si="68"/>
        <v>19731113</v>
      </c>
    </row>
    <row r="4368" s="1" customFormat="1" ht="14.25" spans="1:13">
      <c r="A4368" s="2">
        <v>2824</v>
      </c>
      <c r="B4368" s="6" t="s">
        <v>6075</v>
      </c>
      <c r="C4368" s="25" t="s">
        <v>6175</v>
      </c>
      <c r="D4368" s="26" t="s">
        <v>6176</v>
      </c>
      <c r="E4368" s="5" t="s">
        <v>15</v>
      </c>
      <c r="F4368" s="5">
        <v>2020</v>
      </c>
      <c r="G4368" s="6" t="s">
        <v>16</v>
      </c>
      <c r="H4368" s="6">
        <v>200</v>
      </c>
      <c r="I4368" s="6">
        <v>200</v>
      </c>
      <c r="J4368" s="6"/>
      <c r="K4368" s="10"/>
      <c r="L4368" s="10">
        <v>20201118</v>
      </c>
      <c r="M4368" s="36" t="str">
        <f t="shared" si="68"/>
        <v>19731114</v>
      </c>
    </row>
    <row r="4369" s="1" customFormat="1" spans="1:13">
      <c r="A4369" s="2">
        <v>7511</v>
      </c>
      <c r="B4369" s="62" t="s">
        <v>14402</v>
      </c>
      <c r="C4369" s="62" t="s">
        <v>14635</v>
      </c>
      <c r="D4369" s="62" t="s">
        <v>14636</v>
      </c>
      <c r="E4369" s="62">
        <v>2020</v>
      </c>
      <c r="F4369" s="62">
        <v>2020</v>
      </c>
      <c r="G4369" s="3" t="s">
        <v>16</v>
      </c>
      <c r="H4369" s="62">
        <v>200</v>
      </c>
      <c r="I4369" s="62">
        <v>200</v>
      </c>
      <c r="J4369" s="62" t="s">
        <v>749</v>
      </c>
      <c r="K4369" s="10"/>
      <c r="L4369" s="10">
        <v>20201118</v>
      </c>
      <c r="M4369" s="36" t="str">
        <f t="shared" si="68"/>
        <v>19731114</v>
      </c>
    </row>
    <row r="4370" s="1" customFormat="1" spans="1:13">
      <c r="A4370" s="2">
        <v>8132</v>
      </c>
      <c r="B4370" s="5" t="s">
        <v>15406</v>
      </c>
      <c r="C4370" s="6" t="s">
        <v>15457</v>
      </c>
      <c r="D4370" s="6" t="s">
        <v>15458</v>
      </c>
      <c r="E4370" s="5" t="s">
        <v>15</v>
      </c>
      <c r="F4370" s="5">
        <v>2020</v>
      </c>
      <c r="G4370" s="14" t="s">
        <v>16</v>
      </c>
      <c r="H4370" s="6">
        <v>200</v>
      </c>
      <c r="I4370" s="6">
        <v>200</v>
      </c>
      <c r="J4370" s="5"/>
      <c r="K4370" s="10"/>
      <c r="L4370" s="10">
        <v>20201118</v>
      </c>
      <c r="M4370" s="36" t="str">
        <f t="shared" si="68"/>
        <v>19731114</v>
      </c>
    </row>
    <row r="4371" s="1" customFormat="1" spans="1:13">
      <c r="A4371" s="2">
        <v>602</v>
      </c>
      <c r="B4371" s="29" t="s">
        <v>1040</v>
      </c>
      <c r="C4371" s="29" t="s">
        <v>1480</v>
      </c>
      <c r="D4371" s="29" t="s">
        <v>1481</v>
      </c>
      <c r="E4371" s="30">
        <v>2020</v>
      </c>
      <c r="F4371" s="30">
        <v>2020</v>
      </c>
      <c r="G4371" s="29" t="s">
        <v>16</v>
      </c>
      <c r="H4371" s="29">
        <v>200</v>
      </c>
      <c r="I4371" s="29">
        <v>200</v>
      </c>
      <c r="J4371" s="29"/>
      <c r="K4371" s="47"/>
      <c r="L4371" s="2" t="s">
        <v>330</v>
      </c>
      <c r="M4371" s="36" t="str">
        <f t="shared" si="68"/>
        <v>19731115</v>
      </c>
    </row>
    <row r="4372" s="1" customFormat="1" ht="14.25" spans="1:13">
      <c r="A4372" s="2">
        <v>6058</v>
      </c>
      <c r="B4372" s="30" t="s">
        <v>11090</v>
      </c>
      <c r="C4372" s="32" t="s">
        <v>12159</v>
      </c>
      <c r="D4372" s="12" t="s">
        <v>12160</v>
      </c>
      <c r="E4372" s="5" t="s">
        <v>15</v>
      </c>
      <c r="F4372" s="5" t="s">
        <v>10250</v>
      </c>
      <c r="G4372" s="6" t="s">
        <v>16</v>
      </c>
      <c r="H4372" s="32">
        <v>200</v>
      </c>
      <c r="I4372" s="32">
        <v>200</v>
      </c>
      <c r="J4372" s="5"/>
      <c r="K4372" s="48"/>
      <c r="L4372" s="10">
        <v>20201118</v>
      </c>
      <c r="M4372" s="36" t="str">
        <f t="shared" si="68"/>
        <v>19731115</v>
      </c>
    </row>
    <row r="4373" s="1" customFormat="1" spans="1:13">
      <c r="A4373" s="2">
        <v>1125</v>
      </c>
      <c r="B4373" s="5" t="s">
        <v>2469</v>
      </c>
      <c r="C4373" s="9" t="s">
        <v>2836</v>
      </c>
      <c r="D4373" s="9" t="s">
        <v>2837</v>
      </c>
      <c r="E4373" s="5">
        <v>2020</v>
      </c>
      <c r="F4373" s="5">
        <v>2020</v>
      </c>
      <c r="G4373" s="9" t="s">
        <v>2480</v>
      </c>
      <c r="H4373" s="9">
        <v>200</v>
      </c>
      <c r="I4373" s="9">
        <v>200</v>
      </c>
      <c r="J4373" s="5"/>
      <c r="K4373" s="5"/>
      <c r="L4373" s="10">
        <v>20201118</v>
      </c>
      <c r="M4373" s="36" t="str">
        <f t="shared" si="68"/>
        <v>19731116</v>
      </c>
    </row>
    <row r="4374" s="1" customFormat="1" ht="14.25" spans="1:13">
      <c r="A4374" s="2">
        <v>2933</v>
      </c>
      <c r="B4374" s="6" t="s">
        <v>6075</v>
      </c>
      <c r="C4374" s="25" t="s">
        <v>6392</v>
      </c>
      <c r="D4374" s="26" t="s">
        <v>6393</v>
      </c>
      <c r="E4374" s="5" t="s">
        <v>15</v>
      </c>
      <c r="F4374" s="5">
        <v>2020</v>
      </c>
      <c r="G4374" s="6" t="s">
        <v>16</v>
      </c>
      <c r="H4374" s="6">
        <v>200</v>
      </c>
      <c r="I4374" s="6">
        <v>200</v>
      </c>
      <c r="J4374" s="6"/>
      <c r="K4374" s="10"/>
      <c r="L4374" s="10">
        <v>20201118</v>
      </c>
      <c r="M4374" s="36" t="str">
        <f t="shared" si="68"/>
        <v>19731119</v>
      </c>
    </row>
    <row r="4375" s="1" customFormat="1" spans="1:13">
      <c r="A4375" s="2">
        <v>7954</v>
      </c>
      <c r="B4375" s="5" t="s">
        <v>15086</v>
      </c>
      <c r="C4375" s="6" t="s">
        <v>15227</v>
      </c>
      <c r="D4375" s="6" t="str">
        <f>"152326197311196861"</f>
        <v>152326197311196861</v>
      </c>
      <c r="E4375" s="5" t="s">
        <v>15</v>
      </c>
      <c r="F4375" s="5">
        <v>2020</v>
      </c>
      <c r="G4375" s="5" t="s">
        <v>16</v>
      </c>
      <c r="H4375" s="5">
        <v>200</v>
      </c>
      <c r="I4375" s="5">
        <v>200</v>
      </c>
      <c r="J4375" s="5"/>
      <c r="K4375" s="5"/>
      <c r="L4375" s="10">
        <v>20201118</v>
      </c>
      <c r="M4375" s="36" t="str">
        <f t="shared" si="68"/>
        <v>19731119</v>
      </c>
    </row>
    <row r="4376" s="1" customFormat="1" spans="1:13">
      <c r="A4376" s="2">
        <v>7377</v>
      </c>
      <c r="B4376" s="5" t="s">
        <v>13908</v>
      </c>
      <c r="C4376" s="5" t="s">
        <v>14379</v>
      </c>
      <c r="D4376" s="5" t="s">
        <v>14380</v>
      </c>
      <c r="E4376" s="5" t="s">
        <v>15</v>
      </c>
      <c r="F4376" s="5" t="s">
        <v>15</v>
      </c>
      <c r="G4376" s="14" t="s">
        <v>16</v>
      </c>
      <c r="H4376" s="17">
        <v>200</v>
      </c>
      <c r="I4376" s="17">
        <v>200</v>
      </c>
      <c r="J4376" s="5"/>
      <c r="K4376" s="10"/>
      <c r="L4376" s="10">
        <v>20201118</v>
      </c>
      <c r="M4376" s="36" t="str">
        <f t="shared" si="68"/>
        <v>19731120</v>
      </c>
    </row>
    <row r="4377" s="1" customFormat="1" spans="1:13">
      <c r="A4377" s="2">
        <v>447</v>
      </c>
      <c r="B4377" s="29" t="s">
        <v>1040</v>
      </c>
      <c r="C4377" s="29" t="s">
        <v>1170</v>
      </c>
      <c r="D4377" s="29" t="s">
        <v>1171</v>
      </c>
      <c r="E4377" s="30">
        <v>2020</v>
      </c>
      <c r="F4377" s="30">
        <v>2020</v>
      </c>
      <c r="G4377" s="29" t="s">
        <v>16</v>
      </c>
      <c r="H4377" s="29">
        <v>200</v>
      </c>
      <c r="I4377" s="29">
        <v>200</v>
      </c>
      <c r="J4377" s="29"/>
      <c r="K4377" s="47"/>
      <c r="L4377" s="14" t="s">
        <v>330</v>
      </c>
      <c r="M4377" s="36" t="str">
        <f t="shared" si="68"/>
        <v>19731121</v>
      </c>
    </row>
    <row r="4378" s="1" customFormat="1" spans="1:13">
      <c r="A4378" s="2">
        <v>2656</v>
      </c>
      <c r="B4378" s="32" t="s">
        <v>5602</v>
      </c>
      <c r="C4378" s="9" t="s">
        <v>5846</v>
      </c>
      <c r="D4378" s="9" t="s">
        <v>5847</v>
      </c>
      <c r="E4378" s="32">
        <v>2020</v>
      </c>
      <c r="F4378" s="32">
        <v>2020</v>
      </c>
      <c r="G4378" s="32" t="s">
        <v>16</v>
      </c>
      <c r="H4378" s="9">
        <v>200</v>
      </c>
      <c r="I4378" s="9">
        <v>200</v>
      </c>
      <c r="J4378" s="32"/>
      <c r="K4378" s="52"/>
      <c r="L4378" s="10">
        <v>20201118</v>
      </c>
      <c r="M4378" s="36" t="str">
        <f t="shared" si="68"/>
        <v>19731121</v>
      </c>
    </row>
    <row r="4379" s="1" customFormat="1" spans="1:13">
      <c r="A4379" s="2">
        <v>6898</v>
      </c>
      <c r="B4379" s="5" t="s">
        <v>13533</v>
      </c>
      <c r="C4379" s="32" t="s">
        <v>13648</v>
      </c>
      <c r="D4379" s="32" t="str">
        <f>"152326197311217116"</f>
        <v>152326197311217116</v>
      </c>
      <c r="E4379" s="5">
        <v>2020</v>
      </c>
      <c r="F4379" s="5">
        <v>2020</v>
      </c>
      <c r="G4379" s="9" t="s">
        <v>2480</v>
      </c>
      <c r="H4379" s="32">
        <v>200</v>
      </c>
      <c r="I4379" s="32">
        <v>200</v>
      </c>
      <c r="J4379" s="62"/>
      <c r="K4379" s="10"/>
      <c r="L4379" s="10">
        <v>20201118</v>
      </c>
      <c r="M4379" s="36" t="str">
        <f t="shared" si="68"/>
        <v>19731121</v>
      </c>
    </row>
    <row r="4380" s="1" customFormat="1" spans="1:13">
      <c r="A4380" s="2">
        <v>7911</v>
      </c>
      <c r="B4380" s="5" t="s">
        <v>15086</v>
      </c>
      <c r="C4380" s="6" t="s">
        <v>15119</v>
      </c>
      <c r="D4380" s="6" t="s">
        <v>15189</v>
      </c>
      <c r="E4380" s="5" t="s">
        <v>15</v>
      </c>
      <c r="F4380" s="5">
        <v>2020</v>
      </c>
      <c r="G4380" s="5" t="s">
        <v>16</v>
      </c>
      <c r="H4380" s="5">
        <v>200</v>
      </c>
      <c r="I4380" s="5">
        <v>200</v>
      </c>
      <c r="J4380" s="5"/>
      <c r="K4380" s="5"/>
      <c r="L4380" s="10">
        <v>20201118</v>
      </c>
      <c r="M4380" s="36" t="str">
        <f t="shared" si="68"/>
        <v>19731123</v>
      </c>
    </row>
    <row r="4381" s="1" customFormat="1" ht="14.25" spans="1:13">
      <c r="A4381" s="2">
        <v>7700</v>
      </c>
      <c r="B4381" s="5" t="s">
        <v>14875</v>
      </c>
      <c r="C4381" s="51" t="s">
        <v>14943</v>
      </c>
      <c r="D4381" s="24" t="str">
        <f>"152326197311247884"</f>
        <v>152326197311247884</v>
      </c>
      <c r="E4381" s="6" t="s">
        <v>15</v>
      </c>
      <c r="F4381" s="6">
        <v>2020</v>
      </c>
      <c r="G4381" s="24" t="s">
        <v>14877</v>
      </c>
      <c r="H4381" s="6">
        <v>200</v>
      </c>
      <c r="I4381" s="6">
        <v>200</v>
      </c>
      <c r="J4381" s="6"/>
      <c r="K4381" s="10"/>
      <c r="L4381" s="10">
        <v>20201118</v>
      </c>
      <c r="M4381" s="36" t="str">
        <f t="shared" si="68"/>
        <v>19731124</v>
      </c>
    </row>
    <row r="4382" s="1" customFormat="1" spans="1:13">
      <c r="A4382" s="2">
        <v>1126</v>
      </c>
      <c r="B4382" s="5" t="s">
        <v>2469</v>
      </c>
      <c r="C4382" s="9" t="s">
        <v>2838</v>
      </c>
      <c r="D4382" s="9" t="s">
        <v>2839</v>
      </c>
      <c r="E4382" s="5">
        <v>2020</v>
      </c>
      <c r="F4382" s="5">
        <v>2020</v>
      </c>
      <c r="G4382" s="9" t="s">
        <v>2480</v>
      </c>
      <c r="H4382" s="9">
        <v>200</v>
      </c>
      <c r="I4382" s="9">
        <v>200</v>
      </c>
      <c r="J4382" s="5"/>
      <c r="K4382" s="5"/>
      <c r="L4382" s="10">
        <v>20201118</v>
      </c>
      <c r="M4382" s="36" t="str">
        <f t="shared" si="68"/>
        <v>19731125</v>
      </c>
    </row>
    <row r="4383" s="1" customFormat="1" spans="1:13">
      <c r="A4383" s="2">
        <v>2657</v>
      </c>
      <c r="B4383" s="32" t="s">
        <v>5602</v>
      </c>
      <c r="C4383" s="9" t="s">
        <v>5848</v>
      </c>
      <c r="D4383" s="9" t="s">
        <v>5849</v>
      </c>
      <c r="E4383" s="32">
        <v>2020</v>
      </c>
      <c r="F4383" s="32">
        <v>2020</v>
      </c>
      <c r="G4383" s="32" t="s">
        <v>16</v>
      </c>
      <c r="H4383" s="9">
        <v>200</v>
      </c>
      <c r="I4383" s="9">
        <v>200</v>
      </c>
      <c r="J4383" s="32"/>
      <c r="K4383" s="52"/>
      <c r="L4383" s="10">
        <v>20201118</v>
      </c>
      <c r="M4383" s="36" t="str">
        <f t="shared" si="68"/>
        <v>19731125</v>
      </c>
    </row>
    <row r="4384" s="1" customFormat="1" ht="14.25" spans="1:13">
      <c r="A4384" s="2">
        <v>7697</v>
      </c>
      <c r="B4384" s="5" t="s">
        <v>14875</v>
      </c>
      <c r="C4384" s="51" t="s">
        <v>14940</v>
      </c>
      <c r="D4384" s="24" t="str">
        <f>"152326197311257142"</f>
        <v>152326197311257142</v>
      </c>
      <c r="E4384" s="6" t="s">
        <v>15</v>
      </c>
      <c r="F4384" s="6">
        <v>2020</v>
      </c>
      <c r="G4384" s="24" t="s">
        <v>14877</v>
      </c>
      <c r="H4384" s="6">
        <v>200</v>
      </c>
      <c r="I4384" s="6">
        <v>200</v>
      </c>
      <c r="J4384" s="6"/>
      <c r="K4384" s="10"/>
      <c r="L4384" s="10">
        <v>20201118</v>
      </c>
      <c r="M4384" s="36" t="str">
        <f t="shared" si="68"/>
        <v>19731125</v>
      </c>
    </row>
    <row r="4385" s="1" customFormat="1" spans="1:13">
      <c r="A4385" s="2">
        <v>799</v>
      </c>
      <c r="B4385" s="29" t="s">
        <v>1040</v>
      </c>
      <c r="C4385" s="5" t="s">
        <v>2047</v>
      </c>
      <c r="D4385" s="317" t="s">
        <v>2048</v>
      </c>
      <c r="E4385" s="30">
        <v>2020</v>
      </c>
      <c r="F4385" s="30">
        <v>2020</v>
      </c>
      <c r="G4385" s="29" t="s">
        <v>16</v>
      </c>
      <c r="H4385" s="29">
        <v>200</v>
      </c>
      <c r="I4385" s="29">
        <v>200</v>
      </c>
      <c r="J4385" s="32"/>
      <c r="K4385" s="32"/>
      <c r="L4385" s="14" t="s">
        <v>330</v>
      </c>
      <c r="M4385" s="36" t="str">
        <f t="shared" si="68"/>
        <v>19731128</v>
      </c>
    </row>
    <row r="4386" s="1" customFormat="1" ht="14.25" spans="1:13">
      <c r="A4386" s="2">
        <v>5345</v>
      </c>
      <c r="B4386" s="33" t="s">
        <v>10535</v>
      </c>
      <c r="C4386" s="34" t="s">
        <v>10803</v>
      </c>
      <c r="D4386" s="34" t="s">
        <v>10804</v>
      </c>
      <c r="E4386" s="35">
        <v>2020</v>
      </c>
      <c r="F4386" s="35">
        <v>2020</v>
      </c>
      <c r="G4386" s="35" t="s">
        <v>16</v>
      </c>
      <c r="H4386" s="34">
        <v>200</v>
      </c>
      <c r="I4386" s="34">
        <v>200</v>
      </c>
      <c r="J4386" s="49"/>
      <c r="K4386" s="10"/>
      <c r="L4386" s="10">
        <v>20201118</v>
      </c>
      <c r="M4386" s="36" t="str">
        <f t="shared" si="68"/>
        <v>19731128</v>
      </c>
    </row>
    <row r="4387" s="1" customFormat="1" spans="1:13">
      <c r="A4387" s="2">
        <v>2459</v>
      </c>
      <c r="B4387" s="5" t="s">
        <v>5328</v>
      </c>
      <c r="C4387" s="16" t="s">
        <v>5457</v>
      </c>
      <c r="D4387" s="16" t="s">
        <v>5458</v>
      </c>
      <c r="E4387" s="5" t="s">
        <v>15</v>
      </c>
      <c r="F4387" s="5" t="s">
        <v>15</v>
      </c>
      <c r="G4387" s="14" t="s">
        <v>16</v>
      </c>
      <c r="H4387" s="6">
        <v>200</v>
      </c>
      <c r="I4387" s="6">
        <v>200</v>
      </c>
      <c r="J4387" s="5" t="s">
        <v>108</v>
      </c>
      <c r="K4387" s="5"/>
      <c r="L4387" s="10">
        <v>20201118</v>
      </c>
      <c r="M4387" s="36" t="str">
        <f t="shared" si="68"/>
        <v>19731201</v>
      </c>
    </row>
    <row r="4388" s="1" customFormat="1" ht="14.25" spans="1:13">
      <c r="A4388" s="2">
        <v>1656</v>
      </c>
      <c r="B4388" s="5" t="s">
        <v>3381</v>
      </c>
      <c r="C4388" s="9" t="s">
        <v>3874</v>
      </c>
      <c r="D4388" s="9" t="s">
        <v>3875</v>
      </c>
      <c r="E4388" s="5">
        <v>2020</v>
      </c>
      <c r="F4388" s="5">
        <v>2020</v>
      </c>
      <c r="G4388" s="14" t="s">
        <v>16</v>
      </c>
      <c r="H4388" s="6">
        <v>200</v>
      </c>
      <c r="I4388" s="6">
        <v>200</v>
      </c>
      <c r="J4388" s="24" t="s">
        <v>1242</v>
      </c>
      <c r="K4388" s="13"/>
      <c r="L4388" s="10">
        <v>20201118</v>
      </c>
      <c r="M4388" s="36" t="str">
        <f t="shared" si="68"/>
        <v>19731202</v>
      </c>
    </row>
    <row r="4389" s="1" customFormat="1" spans="1:13">
      <c r="A4389" s="2">
        <v>2460</v>
      </c>
      <c r="B4389" s="5" t="s">
        <v>5328</v>
      </c>
      <c r="C4389" s="16" t="s">
        <v>5459</v>
      </c>
      <c r="D4389" s="16" t="s">
        <v>5460</v>
      </c>
      <c r="E4389" s="5" t="s">
        <v>15</v>
      </c>
      <c r="F4389" s="5" t="s">
        <v>15</v>
      </c>
      <c r="G4389" s="14" t="s">
        <v>16</v>
      </c>
      <c r="H4389" s="6">
        <v>200</v>
      </c>
      <c r="I4389" s="6">
        <v>200</v>
      </c>
      <c r="J4389" s="5"/>
      <c r="K4389" s="5"/>
      <c r="L4389" s="10">
        <v>20201118</v>
      </c>
      <c r="M4389" s="36" t="str">
        <f t="shared" si="68"/>
        <v>19731203</v>
      </c>
    </row>
    <row r="4390" s="1" customFormat="1" ht="14.25" spans="1:13">
      <c r="A4390" s="2">
        <v>1763</v>
      </c>
      <c r="B4390" s="5" t="s">
        <v>3381</v>
      </c>
      <c r="C4390" s="77" t="s">
        <v>4087</v>
      </c>
      <c r="D4390" s="321" t="s">
        <v>4088</v>
      </c>
      <c r="E4390" s="5">
        <v>2020</v>
      </c>
      <c r="F4390" s="5">
        <v>2020</v>
      </c>
      <c r="G4390" s="14" t="s">
        <v>16</v>
      </c>
      <c r="H4390" s="18">
        <v>200</v>
      </c>
      <c r="I4390" s="18">
        <v>200</v>
      </c>
      <c r="J4390" s="77" t="s">
        <v>4064</v>
      </c>
      <c r="K4390" s="13"/>
      <c r="L4390" s="10">
        <v>20201118</v>
      </c>
      <c r="M4390" s="36" t="str">
        <f t="shared" si="68"/>
        <v>19731204</v>
      </c>
    </row>
    <row r="4391" s="1" customFormat="1" spans="1:13">
      <c r="A4391" s="2">
        <v>1960</v>
      </c>
      <c r="B4391" s="5" t="s">
        <v>4189</v>
      </c>
      <c r="C4391" s="16" t="s">
        <v>4479</v>
      </c>
      <c r="D4391" s="16" t="s">
        <v>4480</v>
      </c>
      <c r="E4391" s="5" t="s">
        <v>15</v>
      </c>
      <c r="F4391" s="5" t="s">
        <v>15</v>
      </c>
      <c r="G4391" s="5" t="s">
        <v>3359</v>
      </c>
      <c r="H4391" s="16">
        <v>200</v>
      </c>
      <c r="I4391" s="16">
        <v>200</v>
      </c>
      <c r="J4391" s="5"/>
      <c r="K4391" s="10"/>
      <c r="L4391" s="10">
        <v>20201118</v>
      </c>
      <c r="M4391" s="36" t="str">
        <f t="shared" si="68"/>
        <v>19731205</v>
      </c>
    </row>
    <row r="4392" s="1" customFormat="1" spans="1:13">
      <c r="A4392" s="2">
        <v>3001</v>
      </c>
      <c r="B4392" s="6" t="s">
        <v>6075</v>
      </c>
      <c r="C4392" s="6" t="s">
        <v>6527</v>
      </c>
      <c r="D4392" s="6" t="s">
        <v>6528</v>
      </c>
      <c r="E4392" s="5" t="s">
        <v>15</v>
      </c>
      <c r="F4392" s="5">
        <v>2020</v>
      </c>
      <c r="G4392" s="6" t="s">
        <v>16</v>
      </c>
      <c r="H4392" s="6">
        <v>200</v>
      </c>
      <c r="I4392" s="6">
        <v>200</v>
      </c>
      <c r="J4392" s="6"/>
      <c r="K4392" s="10"/>
      <c r="L4392" s="10">
        <v>20201118</v>
      </c>
      <c r="M4392" s="36" t="str">
        <f t="shared" si="68"/>
        <v>19731205</v>
      </c>
    </row>
    <row r="4393" s="1" customFormat="1" spans="1:13">
      <c r="A4393" s="2">
        <v>4303</v>
      </c>
      <c r="B4393" s="9" t="s">
        <v>8515</v>
      </c>
      <c r="C4393" s="9" t="s">
        <v>8798</v>
      </c>
      <c r="D4393" s="9" t="s">
        <v>8799</v>
      </c>
      <c r="E4393" s="5" t="s">
        <v>15</v>
      </c>
      <c r="F4393" s="5">
        <v>2020</v>
      </c>
      <c r="G4393" s="9" t="s">
        <v>2480</v>
      </c>
      <c r="H4393" s="9">
        <v>200</v>
      </c>
      <c r="I4393" s="9">
        <v>200</v>
      </c>
      <c r="J4393" s="9"/>
      <c r="K4393" s="9"/>
      <c r="L4393" s="10">
        <v>20201118</v>
      </c>
      <c r="M4393" s="36" t="str">
        <f t="shared" si="68"/>
        <v>19731205</v>
      </c>
    </row>
    <row r="4394" s="1" customFormat="1" spans="1:13">
      <c r="A4394" s="2">
        <v>8131</v>
      </c>
      <c r="B4394" s="5" t="s">
        <v>15406</v>
      </c>
      <c r="C4394" s="6" t="s">
        <v>15455</v>
      </c>
      <c r="D4394" s="6" t="s">
        <v>15456</v>
      </c>
      <c r="E4394" s="5" t="s">
        <v>15</v>
      </c>
      <c r="F4394" s="5">
        <v>2020</v>
      </c>
      <c r="G4394" s="14" t="s">
        <v>16</v>
      </c>
      <c r="H4394" s="6">
        <v>200</v>
      </c>
      <c r="I4394" s="6">
        <v>200</v>
      </c>
      <c r="J4394" s="5"/>
      <c r="K4394" s="10"/>
      <c r="L4394" s="10">
        <v>20201118</v>
      </c>
      <c r="M4394" s="36" t="str">
        <f t="shared" si="68"/>
        <v>19731205</v>
      </c>
    </row>
    <row r="4395" s="1" customFormat="1" spans="1:13">
      <c r="A4395" s="2">
        <v>1657</v>
      </c>
      <c r="B4395" s="5" t="s">
        <v>3381</v>
      </c>
      <c r="C4395" s="9" t="s">
        <v>3876</v>
      </c>
      <c r="D4395" s="9" t="s">
        <v>3877</v>
      </c>
      <c r="E4395" s="5">
        <v>2020</v>
      </c>
      <c r="F4395" s="5">
        <v>2020</v>
      </c>
      <c r="G4395" s="14" t="s">
        <v>16</v>
      </c>
      <c r="H4395" s="6">
        <v>200</v>
      </c>
      <c r="I4395" s="6">
        <v>200</v>
      </c>
      <c r="J4395" s="5"/>
      <c r="K4395" s="13"/>
      <c r="L4395" s="10">
        <v>20201118</v>
      </c>
      <c r="M4395" s="36" t="str">
        <f t="shared" si="68"/>
        <v>19731207</v>
      </c>
    </row>
    <row r="4396" s="1" customFormat="1" spans="1:13">
      <c r="A4396" s="2">
        <v>2461</v>
      </c>
      <c r="B4396" s="5" t="s">
        <v>5328</v>
      </c>
      <c r="C4396" s="16" t="s">
        <v>5461</v>
      </c>
      <c r="D4396" s="16" t="s">
        <v>5462</v>
      </c>
      <c r="E4396" s="5" t="s">
        <v>15</v>
      </c>
      <c r="F4396" s="5" t="s">
        <v>15</v>
      </c>
      <c r="G4396" s="14" t="s">
        <v>16</v>
      </c>
      <c r="H4396" s="6">
        <v>200</v>
      </c>
      <c r="I4396" s="6">
        <v>200</v>
      </c>
      <c r="J4396" s="5"/>
      <c r="K4396" s="5"/>
      <c r="L4396" s="10">
        <v>20201118</v>
      </c>
      <c r="M4396" s="36" t="str">
        <f t="shared" si="68"/>
        <v>19731207</v>
      </c>
    </row>
    <row r="4397" s="1" customFormat="1" spans="1:13">
      <c r="A4397" s="2">
        <v>6651</v>
      </c>
      <c r="B4397" s="5" t="s">
        <v>13027</v>
      </c>
      <c r="C4397" s="15" t="s">
        <v>13283</v>
      </c>
      <c r="D4397" s="15" t="s">
        <v>13284</v>
      </c>
      <c r="E4397" s="5">
        <v>2020</v>
      </c>
      <c r="F4397" s="5">
        <v>2020</v>
      </c>
      <c r="G4397" s="14" t="s">
        <v>16</v>
      </c>
      <c r="H4397" s="15">
        <v>200</v>
      </c>
      <c r="I4397" s="15">
        <v>200</v>
      </c>
      <c r="J4397" s="5"/>
      <c r="K4397" s="10"/>
      <c r="L4397" s="10">
        <v>20201118</v>
      </c>
      <c r="M4397" s="36" t="str">
        <f t="shared" si="68"/>
        <v>19731207</v>
      </c>
    </row>
    <row r="4398" s="1" customFormat="1" ht="14.25" spans="1:13">
      <c r="A4398" s="2">
        <v>2795</v>
      </c>
      <c r="B4398" s="6" t="s">
        <v>6075</v>
      </c>
      <c r="C4398" s="25" t="s">
        <v>6120</v>
      </c>
      <c r="D4398" s="26" t="s">
        <v>6121</v>
      </c>
      <c r="E4398" s="5" t="s">
        <v>15</v>
      </c>
      <c r="F4398" s="5">
        <v>2020</v>
      </c>
      <c r="G4398" s="6" t="s">
        <v>16</v>
      </c>
      <c r="H4398" s="6">
        <v>200</v>
      </c>
      <c r="I4398" s="6">
        <v>200</v>
      </c>
      <c r="J4398" s="6" t="s">
        <v>6097</v>
      </c>
      <c r="K4398" s="10"/>
      <c r="L4398" s="10">
        <v>20201118</v>
      </c>
      <c r="M4398" s="36" t="str">
        <f t="shared" si="68"/>
        <v>19731209</v>
      </c>
    </row>
    <row r="4399" s="1" customFormat="1" spans="1:13">
      <c r="A4399" s="2">
        <v>6904</v>
      </c>
      <c r="B4399" s="5" t="s">
        <v>13533</v>
      </c>
      <c r="C4399" s="32" t="s">
        <v>7531</v>
      </c>
      <c r="D4399" s="32" t="str">
        <f>"152326197312097363"</f>
        <v>152326197312097363</v>
      </c>
      <c r="E4399" s="5">
        <v>2020</v>
      </c>
      <c r="F4399" s="5">
        <v>2020</v>
      </c>
      <c r="G4399" s="9" t="s">
        <v>2480</v>
      </c>
      <c r="H4399" s="32">
        <v>200</v>
      </c>
      <c r="I4399" s="32">
        <v>200</v>
      </c>
      <c r="J4399" s="62"/>
      <c r="K4399" s="10"/>
      <c r="L4399" s="10">
        <v>20201118</v>
      </c>
      <c r="M4399" s="36" t="str">
        <f t="shared" si="68"/>
        <v>19731209</v>
      </c>
    </row>
    <row r="4400" s="1" customFormat="1" spans="1:13">
      <c r="A4400" s="2">
        <v>7958</v>
      </c>
      <c r="B4400" s="5" t="s">
        <v>15086</v>
      </c>
      <c r="C4400" s="6" t="s">
        <v>15231</v>
      </c>
      <c r="D4400" s="6" t="str">
        <f>"152326197312106872"</f>
        <v>152326197312106872</v>
      </c>
      <c r="E4400" s="5" t="s">
        <v>15</v>
      </c>
      <c r="F4400" s="5">
        <v>2020</v>
      </c>
      <c r="G4400" s="5" t="s">
        <v>16</v>
      </c>
      <c r="H4400" s="5">
        <v>200</v>
      </c>
      <c r="I4400" s="5">
        <v>200</v>
      </c>
      <c r="J4400" s="5"/>
      <c r="K4400" s="5"/>
      <c r="L4400" s="10">
        <v>20201118</v>
      </c>
      <c r="M4400" s="36" t="str">
        <f t="shared" si="68"/>
        <v>19731210</v>
      </c>
    </row>
    <row r="4401" s="1" customFormat="1" spans="1:13">
      <c r="A4401" s="2">
        <v>7961</v>
      </c>
      <c r="B4401" s="5" t="s">
        <v>15086</v>
      </c>
      <c r="C4401" s="6" t="s">
        <v>15234</v>
      </c>
      <c r="D4401" s="6" t="str">
        <f>"152326197312106899"</f>
        <v>152326197312106899</v>
      </c>
      <c r="E4401" s="5" t="s">
        <v>15</v>
      </c>
      <c r="F4401" s="5">
        <v>2020</v>
      </c>
      <c r="G4401" s="5" t="s">
        <v>16</v>
      </c>
      <c r="H4401" s="5">
        <v>200</v>
      </c>
      <c r="I4401" s="5">
        <v>200</v>
      </c>
      <c r="J4401" s="5"/>
      <c r="K4401" s="5"/>
      <c r="L4401" s="10">
        <v>20201118</v>
      </c>
      <c r="M4401" s="36" t="str">
        <f t="shared" si="68"/>
        <v>19731210</v>
      </c>
    </row>
    <row r="4402" s="1" customFormat="1" spans="1:13">
      <c r="A4402" s="2">
        <v>7962</v>
      </c>
      <c r="B4402" s="5" t="s">
        <v>15086</v>
      </c>
      <c r="C4402" s="6" t="s">
        <v>15235</v>
      </c>
      <c r="D4402" s="6" t="str">
        <f>"152326197312106936"</f>
        <v>152326197312106936</v>
      </c>
      <c r="E4402" s="5" t="s">
        <v>15</v>
      </c>
      <c r="F4402" s="5">
        <v>2020</v>
      </c>
      <c r="G4402" s="5" t="s">
        <v>16</v>
      </c>
      <c r="H4402" s="5">
        <v>200</v>
      </c>
      <c r="I4402" s="5">
        <v>200</v>
      </c>
      <c r="J4402" s="5"/>
      <c r="K4402" s="5"/>
      <c r="L4402" s="10">
        <v>20201118</v>
      </c>
      <c r="M4402" s="36" t="str">
        <f t="shared" si="68"/>
        <v>19731210</v>
      </c>
    </row>
    <row r="4403" s="1" customFormat="1" spans="1:13">
      <c r="A4403" s="2">
        <v>6409</v>
      </c>
      <c r="B4403" s="5" t="s">
        <v>12263</v>
      </c>
      <c r="C4403" s="5" t="s">
        <v>12825</v>
      </c>
      <c r="D4403" s="5" t="s">
        <v>12826</v>
      </c>
      <c r="E4403" s="5" t="s">
        <v>10250</v>
      </c>
      <c r="F4403" s="5">
        <v>2020</v>
      </c>
      <c r="G4403" s="17" t="s">
        <v>3359</v>
      </c>
      <c r="H4403" s="5" t="s">
        <v>311</v>
      </c>
      <c r="I4403" s="5">
        <v>200</v>
      </c>
      <c r="J4403" s="5"/>
      <c r="K4403" s="5"/>
      <c r="L4403" s="10">
        <v>20201118</v>
      </c>
      <c r="M4403" s="36" t="str">
        <f t="shared" si="68"/>
        <v>19731211</v>
      </c>
    </row>
    <row r="4404" s="1" customFormat="1" spans="1:13">
      <c r="A4404" s="2">
        <v>2131</v>
      </c>
      <c r="B4404" s="5" t="s">
        <v>4189</v>
      </c>
      <c r="C4404" s="9" t="s">
        <v>4812</v>
      </c>
      <c r="D4404" s="9" t="s">
        <v>4813</v>
      </c>
      <c r="E4404" s="5" t="s">
        <v>15</v>
      </c>
      <c r="F4404" s="5" t="s">
        <v>15</v>
      </c>
      <c r="G4404" s="5" t="s">
        <v>3359</v>
      </c>
      <c r="H4404" s="16">
        <v>200</v>
      </c>
      <c r="I4404" s="16">
        <v>200</v>
      </c>
      <c r="J4404" s="5"/>
      <c r="K4404" s="10"/>
      <c r="L4404" s="10">
        <v>20201118</v>
      </c>
      <c r="M4404" s="36" t="str">
        <f t="shared" si="68"/>
        <v>19731212</v>
      </c>
    </row>
    <row r="4405" s="1" customFormat="1" spans="1:13">
      <c r="A4405" s="2">
        <v>1127</v>
      </c>
      <c r="B4405" s="5" t="s">
        <v>2469</v>
      </c>
      <c r="C4405" s="9" t="s">
        <v>2840</v>
      </c>
      <c r="D4405" s="9" t="s">
        <v>2841</v>
      </c>
      <c r="E4405" s="5">
        <v>2020</v>
      </c>
      <c r="F4405" s="5">
        <v>2020</v>
      </c>
      <c r="G4405" s="9" t="s">
        <v>2480</v>
      </c>
      <c r="H4405" s="9">
        <v>200</v>
      </c>
      <c r="I4405" s="9">
        <v>200</v>
      </c>
      <c r="J4405" s="5"/>
      <c r="K4405" s="5"/>
      <c r="L4405" s="10">
        <v>20201118</v>
      </c>
      <c r="M4405" s="36" t="str">
        <f t="shared" si="68"/>
        <v>19731215</v>
      </c>
    </row>
    <row r="4406" s="1" customFormat="1" spans="1:13">
      <c r="A4406" s="2">
        <v>3230</v>
      </c>
      <c r="B4406" s="3" t="s">
        <v>6671</v>
      </c>
      <c r="C4406" s="9" t="s">
        <v>6965</v>
      </c>
      <c r="D4406" s="9" t="s">
        <v>6966</v>
      </c>
      <c r="E4406" s="3" t="s">
        <v>15</v>
      </c>
      <c r="F4406" s="3" t="s">
        <v>15</v>
      </c>
      <c r="G4406" s="6" t="s">
        <v>3359</v>
      </c>
      <c r="H4406" s="9">
        <v>200</v>
      </c>
      <c r="I4406" s="9">
        <v>200</v>
      </c>
      <c r="J4406" s="6"/>
      <c r="K4406" s="5"/>
      <c r="L4406" s="10">
        <v>20201118</v>
      </c>
      <c r="M4406" s="36" t="str">
        <f t="shared" si="68"/>
        <v>19731216</v>
      </c>
    </row>
    <row r="4407" s="1" customFormat="1" spans="1:13">
      <c r="A4407" s="2">
        <v>1658</v>
      </c>
      <c r="B4407" s="5" t="s">
        <v>3381</v>
      </c>
      <c r="C4407" s="9" t="s">
        <v>3878</v>
      </c>
      <c r="D4407" s="9" t="s">
        <v>3879</v>
      </c>
      <c r="E4407" s="5">
        <v>2020</v>
      </c>
      <c r="F4407" s="5">
        <v>2020</v>
      </c>
      <c r="G4407" s="14" t="s">
        <v>16</v>
      </c>
      <c r="H4407" s="6">
        <v>200</v>
      </c>
      <c r="I4407" s="6">
        <v>200</v>
      </c>
      <c r="J4407" s="5"/>
      <c r="K4407" s="13"/>
      <c r="L4407" s="10">
        <v>20201118</v>
      </c>
      <c r="M4407" s="36" t="str">
        <f t="shared" si="68"/>
        <v>19731217</v>
      </c>
    </row>
    <row r="4408" s="1" customFormat="1" spans="1:13">
      <c r="A4408" s="2">
        <v>6899</v>
      </c>
      <c r="B4408" s="5" t="s">
        <v>13533</v>
      </c>
      <c r="C4408" s="32" t="s">
        <v>13649</v>
      </c>
      <c r="D4408" s="32" t="str">
        <f>"152326197312197129"</f>
        <v>152326197312197129</v>
      </c>
      <c r="E4408" s="5">
        <v>2020</v>
      </c>
      <c r="F4408" s="5">
        <v>2020</v>
      </c>
      <c r="G4408" s="9" t="s">
        <v>2480</v>
      </c>
      <c r="H4408" s="32">
        <v>200</v>
      </c>
      <c r="I4408" s="32">
        <v>200</v>
      </c>
      <c r="J4408" s="62"/>
      <c r="K4408" s="10"/>
      <c r="L4408" s="10">
        <v>20201118</v>
      </c>
      <c r="M4408" s="36" t="str">
        <f t="shared" si="68"/>
        <v>19731219</v>
      </c>
    </row>
    <row r="4409" s="1" customFormat="1" spans="1:13">
      <c r="A4409" s="2">
        <v>6905</v>
      </c>
      <c r="B4409" s="5" t="s">
        <v>13533</v>
      </c>
      <c r="C4409" s="32" t="s">
        <v>13655</v>
      </c>
      <c r="D4409" s="32" t="str">
        <f>"152326197312207112"</f>
        <v>152326197312207112</v>
      </c>
      <c r="E4409" s="5">
        <v>2020</v>
      </c>
      <c r="F4409" s="5">
        <v>2020</v>
      </c>
      <c r="G4409" s="9" t="s">
        <v>2480</v>
      </c>
      <c r="H4409" s="32">
        <v>200</v>
      </c>
      <c r="I4409" s="32">
        <v>200</v>
      </c>
      <c r="J4409" s="62"/>
      <c r="K4409" s="10"/>
      <c r="L4409" s="10">
        <v>20201118</v>
      </c>
      <c r="M4409" s="36" t="str">
        <f t="shared" si="68"/>
        <v>19731220</v>
      </c>
    </row>
    <row r="4410" s="1" customFormat="1" spans="1:13">
      <c r="A4410" s="2">
        <v>46</v>
      </c>
      <c r="B4410" s="2" t="s">
        <v>12</v>
      </c>
      <c r="C4410" s="17" t="s">
        <v>106</v>
      </c>
      <c r="D4410" s="17" t="s">
        <v>107</v>
      </c>
      <c r="E4410" s="3" t="s">
        <v>15</v>
      </c>
      <c r="F4410" s="3" t="s">
        <v>15</v>
      </c>
      <c r="G4410" s="2" t="s">
        <v>16</v>
      </c>
      <c r="H4410" s="17">
        <v>200</v>
      </c>
      <c r="I4410" s="17">
        <v>200</v>
      </c>
      <c r="J4410" s="2" t="s">
        <v>108</v>
      </c>
      <c r="K4410" s="17"/>
      <c r="L4410" s="10">
        <v>20201118</v>
      </c>
      <c r="M4410" s="36" t="str">
        <f t="shared" si="68"/>
        <v>19731221</v>
      </c>
    </row>
    <row r="4411" s="1" customFormat="1" spans="1:13">
      <c r="A4411" s="2">
        <v>2121</v>
      </c>
      <c r="B4411" s="5" t="s">
        <v>4189</v>
      </c>
      <c r="C4411" s="9" t="s">
        <v>4792</v>
      </c>
      <c r="D4411" s="9" t="s">
        <v>4793</v>
      </c>
      <c r="E4411" s="5" t="s">
        <v>15</v>
      </c>
      <c r="F4411" s="5" t="s">
        <v>15</v>
      </c>
      <c r="G4411" s="5" t="s">
        <v>3359</v>
      </c>
      <c r="H4411" s="16">
        <v>200</v>
      </c>
      <c r="I4411" s="16">
        <v>200</v>
      </c>
      <c r="J4411" s="5"/>
      <c r="K4411" s="10"/>
      <c r="L4411" s="10">
        <v>20201118</v>
      </c>
      <c r="M4411" s="36" t="str">
        <f t="shared" si="68"/>
        <v>19731222</v>
      </c>
    </row>
    <row r="4412" s="1" customFormat="1" spans="1:13">
      <c r="A4412" s="2">
        <v>7516</v>
      </c>
      <c r="B4412" s="5" t="s">
        <v>14402</v>
      </c>
      <c r="C4412" s="5" t="s">
        <v>3590</v>
      </c>
      <c r="D4412" s="5" t="s">
        <v>14645</v>
      </c>
      <c r="E4412" s="5">
        <v>2020</v>
      </c>
      <c r="F4412" s="5">
        <v>2020</v>
      </c>
      <c r="G4412" s="17" t="s">
        <v>16</v>
      </c>
      <c r="H4412" s="5">
        <v>200</v>
      </c>
      <c r="I4412" s="5">
        <v>200</v>
      </c>
      <c r="J4412" s="5"/>
      <c r="K4412" s="10"/>
      <c r="L4412" s="10">
        <v>20201118</v>
      </c>
      <c r="M4412" s="36" t="str">
        <f t="shared" si="68"/>
        <v>19731223</v>
      </c>
    </row>
    <row r="4413" s="1" customFormat="1" spans="1:13">
      <c r="A4413" s="2">
        <v>5070</v>
      </c>
      <c r="B4413" s="6" t="s">
        <v>10242</v>
      </c>
      <c r="C4413" s="9" t="s">
        <v>10275</v>
      </c>
      <c r="D4413" s="9" t="s">
        <v>10276</v>
      </c>
      <c r="E4413" s="5" t="s">
        <v>10250</v>
      </c>
      <c r="F4413" s="5">
        <v>2020</v>
      </c>
      <c r="G4413" s="6" t="s">
        <v>16</v>
      </c>
      <c r="H4413" s="6">
        <v>200</v>
      </c>
      <c r="I4413" s="6">
        <v>200</v>
      </c>
      <c r="J4413" s="6"/>
      <c r="K4413" s="5"/>
      <c r="L4413" s="10">
        <v>20201118</v>
      </c>
      <c r="M4413" s="36" t="str">
        <f t="shared" si="68"/>
        <v>19731224</v>
      </c>
    </row>
    <row r="4414" s="1" customFormat="1" ht="14.25" spans="1:13">
      <c r="A4414" s="2">
        <v>7701</v>
      </c>
      <c r="B4414" s="5" t="s">
        <v>14875</v>
      </c>
      <c r="C4414" s="51" t="s">
        <v>14944</v>
      </c>
      <c r="D4414" s="24" t="s">
        <v>14945</v>
      </c>
      <c r="E4414" s="6" t="s">
        <v>15</v>
      </c>
      <c r="F4414" s="6">
        <v>2020</v>
      </c>
      <c r="G4414" s="24" t="s">
        <v>14877</v>
      </c>
      <c r="H4414" s="6">
        <v>200</v>
      </c>
      <c r="I4414" s="6">
        <v>200</v>
      </c>
      <c r="J4414" s="6" t="s">
        <v>768</v>
      </c>
      <c r="K4414" s="10"/>
      <c r="L4414" s="10">
        <v>20201118</v>
      </c>
      <c r="M4414" s="36" t="str">
        <f t="shared" si="68"/>
        <v>19731225</v>
      </c>
    </row>
    <row r="4415" s="1" customFormat="1" spans="1:13">
      <c r="A4415" s="2">
        <v>4934</v>
      </c>
      <c r="B4415" s="6" t="s">
        <v>9954</v>
      </c>
      <c r="C4415" s="60" t="s">
        <v>10009</v>
      </c>
      <c r="D4415" s="60" t="s">
        <v>10010</v>
      </c>
      <c r="E4415" s="5" t="s">
        <v>15</v>
      </c>
      <c r="F4415" s="5" t="s">
        <v>15</v>
      </c>
      <c r="G4415" s="14" t="s">
        <v>16</v>
      </c>
      <c r="H4415" s="6">
        <v>200</v>
      </c>
      <c r="I4415" s="6">
        <v>200</v>
      </c>
      <c r="J4415" s="6" t="s">
        <v>108</v>
      </c>
      <c r="K4415" s="6"/>
      <c r="L4415" s="10">
        <v>20201118</v>
      </c>
      <c r="M4415" s="36" t="str">
        <f t="shared" si="68"/>
        <v>19731226</v>
      </c>
    </row>
    <row r="4416" s="1" customFormat="1" spans="1:13">
      <c r="A4416" s="2">
        <v>1128</v>
      </c>
      <c r="B4416" s="5" t="s">
        <v>2469</v>
      </c>
      <c r="C4416" s="9" t="s">
        <v>2842</v>
      </c>
      <c r="D4416" s="9" t="s">
        <v>2843</v>
      </c>
      <c r="E4416" s="5">
        <v>2020</v>
      </c>
      <c r="F4416" s="5">
        <v>2020</v>
      </c>
      <c r="G4416" s="9" t="s">
        <v>2480</v>
      </c>
      <c r="H4416" s="9">
        <v>200</v>
      </c>
      <c r="I4416" s="9">
        <v>200</v>
      </c>
      <c r="J4416" s="5"/>
      <c r="K4416" s="5"/>
      <c r="L4416" s="10">
        <v>20201118</v>
      </c>
      <c r="M4416" s="36" t="str">
        <f t="shared" si="68"/>
        <v>19731228</v>
      </c>
    </row>
    <row r="4417" s="1" customFormat="1" ht="14.25" spans="1:13">
      <c r="A4417" s="2">
        <v>7703</v>
      </c>
      <c r="B4417" s="5" t="s">
        <v>14875</v>
      </c>
      <c r="C4417" s="51" t="s">
        <v>14947</v>
      </c>
      <c r="D4417" s="24" t="str">
        <f>"152326197312297111"</f>
        <v>152326197312297111</v>
      </c>
      <c r="E4417" s="6" t="s">
        <v>15</v>
      </c>
      <c r="F4417" s="6">
        <v>2020</v>
      </c>
      <c r="G4417" s="24" t="s">
        <v>14877</v>
      </c>
      <c r="H4417" s="6">
        <v>200</v>
      </c>
      <c r="I4417" s="6">
        <v>200</v>
      </c>
      <c r="J4417" s="6"/>
      <c r="K4417" s="10"/>
      <c r="L4417" s="10">
        <v>20201118</v>
      </c>
      <c r="M4417" s="36" t="str">
        <f t="shared" si="68"/>
        <v>19731229</v>
      </c>
    </row>
    <row r="4418" s="1" customFormat="1" spans="1:13">
      <c r="A4418" s="2">
        <v>2462</v>
      </c>
      <c r="B4418" s="5" t="s">
        <v>5328</v>
      </c>
      <c r="C4418" s="16" t="s">
        <v>5463</v>
      </c>
      <c r="D4418" s="16" t="s">
        <v>5464</v>
      </c>
      <c r="E4418" s="5" t="s">
        <v>15</v>
      </c>
      <c r="F4418" s="5" t="s">
        <v>15</v>
      </c>
      <c r="G4418" s="14" t="s">
        <v>16</v>
      </c>
      <c r="H4418" s="6">
        <v>200</v>
      </c>
      <c r="I4418" s="6">
        <v>200</v>
      </c>
      <c r="J4418" s="5"/>
      <c r="K4418" s="5"/>
      <c r="L4418" s="10">
        <v>20201118</v>
      </c>
      <c r="M4418" s="36" t="str">
        <f t="shared" ref="M4418:M4481" si="69">MID(D4418,7,8)</f>
        <v>19731230</v>
      </c>
    </row>
    <row r="4419" s="1" customFormat="1" spans="1:13">
      <c r="A4419" s="2">
        <v>3140</v>
      </c>
      <c r="B4419" s="3" t="s">
        <v>6671</v>
      </c>
      <c r="C4419" s="9" t="s">
        <v>276</v>
      </c>
      <c r="D4419" s="9" t="s">
        <v>6800</v>
      </c>
      <c r="E4419" s="3" t="s">
        <v>15</v>
      </c>
      <c r="F4419" s="3" t="s">
        <v>15</v>
      </c>
      <c r="G4419" s="6" t="s">
        <v>3359</v>
      </c>
      <c r="H4419" s="9">
        <v>200</v>
      </c>
      <c r="I4419" s="9">
        <v>200</v>
      </c>
      <c r="J4419" s="6"/>
      <c r="K4419" s="5"/>
      <c r="L4419" s="10">
        <v>20201118</v>
      </c>
      <c r="M4419" s="36" t="str">
        <f t="shared" si="69"/>
        <v>19740101</v>
      </c>
    </row>
    <row r="4420" s="1" customFormat="1" spans="1:13">
      <c r="A4420" s="2">
        <v>4304</v>
      </c>
      <c r="B4420" s="9" t="s">
        <v>8515</v>
      </c>
      <c r="C4420" s="9" t="s">
        <v>8800</v>
      </c>
      <c r="D4420" s="9" t="s">
        <v>8801</v>
      </c>
      <c r="E4420" s="5" t="s">
        <v>15</v>
      </c>
      <c r="F4420" s="5">
        <v>2020</v>
      </c>
      <c r="G4420" s="9" t="s">
        <v>2480</v>
      </c>
      <c r="H4420" s="9">
        <v>1000</v>
      </c>
      <c r="I4420" s="9">
        <v>1000</v>
      </c>
      <c r="J4420" s="9"/>
      <c r="K4420" s="9"/>
      <c r="L4420" s="10">
        <v>20201118</v>
      </c>
      <c r="M4420" s="36" t="str">
        <f t="shared" si="69"/>
        <v>19740101</v>
      </c>
    </row>
    <row r="4421" s="1" customFormat="1" spans="1:13">
      <c r="A4421" s="2">
        <v>4786</v>
      </c>
      <c r="B4421" s="6" t="s">
        <v>9015</v>
      </c>
      <c r="C4421" s="6" t="s">
        <v>9723</v>
      </c>
      <c r="D4421" s="6" t="s">
        <v>9724</v>
      </c>
      <c r="E4421" s="6">
        <v>2020</v>
      </c>
      <c r="F4421" s="6">
        <v>2020</v>
      </c>
      <c r="G4421" s="6" t="s">
        <v>16</v>
      </c>
      <c r="H4421" s="6">
        <v>200</v>
      </c>
      <c r="I4421" s="6">
        <v>200</v>
      </c>
      <c r="J4421" s="6"/>
      <c r="K4421" s="6"/>
      <c r="L4421" s="10">
        <v>20201118</v>
      </c>
      <c r="M4421" s="36" t="str">
        <f t="shared" si="69"/>
        <v>19740101</v>
      </c>
    </row>
    <row r="4422" s="1" customFormat="1" spans="1:13">
      <c r="A4422" s="2">
        <v>6652</v>
      </c>
      <c r="B4422" s="5" t="s">
        <v>13027</v>
      </c>
      <c r="C4422" s="15" t="s">
        <v>13285</v>
      </c>
      <c r="D4422" s="15" t="s">
        <v>13286</v>
      </c>
      <c r="E4422" s="5">
        <v>2020</v>
      </c>
      <c r="F4422" s="5">
        <v>2020</v>
      </c>
      <c r="G4422" s="14" t="s">
        <v>16</v>
      </c>
      <c r="H4422" s="15">
        <v>200</v>
      </c>
      <c r="I4422" s="15">
        <v>200</v>
      </c>
      <c r="J4422" s="5"/>
      <c r="K4422" s="10"/>
      <c r="L4422" s="10">
        <v>20201118</v>
      </c>
      <c r="M4422" s="36" t="str">
        <f t="shared" si="69"/>
        <v>19740101</v>
      </c>
    </row>
    <row r="4423" s="1" customFormat="1" spans="1:13">
      <c r="A4423" s="2">
        <v>1659</v>
      </c>
      <c r="B4423" s="5" t="s">
        <v>3381</v>
      </c>
      <c r="C4423" s="9" t="s">
        <v>3880</v>
      </c>
      <c r="D4423" s="9" t="s">
        <v>3881</v>
      </c>
      <c r="E4423" s="5">
        <v>2020</v>
      </c>
      <c r="F4423" s="5">
        <v>2020</v>
      </c>
      <c r="G4423" s="14" t="s">
        <v>16</v>
      </c>
      <c r="H4423" s="6">
        <v>200</v>
      </c>
      <c r="I4423" s="6">
        <v>200</v>
      </c>
      <c r="J4423" s="5"/>
      <c r="K4423" s="13"/>
      <c r="L4423" s="10">
        <v>20201118</v>
      </c>
      <c r="M4423" s="36" t="str">
        <f t="shared" si="69"/>
        <v>19740102</v>
      </c>
    </row>
    <row r="4424" s="1" customFormat="1" spans="1:13">
      <c r="A4424" s="2">
        <v>7116</v>
      </c>
      <c r="B4424" s="5" t="s">
        <v>13533</v>
      </c>
      <c r="C4424" s="5" t="s">
        <v>13892</v>
      </c>
      <c r="D4424" s="5" t="s">
        <v>13893</v>
      </c>
      <c r="E4424" s="5">
        <v>2020</v>
      </c>
      <c r="F4424" s="5">
        <v>2020</v>
      </c>
      <c r="G4424" s="9" t="s">
        <v>2480</v>
      </c>
      <c r="H4424" s="32">
        <v>200</v>
      </c>
      <c r="I4424" s="32">
        <v>200</v>
      </c>
      <c r="J4424" s="32"/>
      <c r="K4424" s="10"/>
      <c r="L4424" s="10">
        <v>20201118</v>
      </c>
      <c r="M4424" s="36" t="str">
        <f t="shared" si="69"/>
        <v>19740102</v>
      </c>
    </row>
    <row r="4425" s="1" customFormat="1" spans="1:13">
      <c r="A4425" s="2">
        <v>1772</v>
      </c>
      <c r="B4425" s="5" t="s">
        <v>3381</v>
      </c>
      <c r="C4425" s="9" t="s">
        <v>4105</v>
      </c>
      <c r="D4425" s="9" t="s">
        <v>4106</v>
      </c>
      <c r="E4425" s="5">
        <v>2011</v>
      </c>
      <c r="F4425" s="5">
        <v>2020</v>
      </c>
      <c r="G4425" s="14" t="s">
        <v>289</v>
      </c>
      <c r="H4425" s="18">
        <v>200</v>
      </c>
      <c r="I4425" s="6">
        <v>2000</v>
      </c>
      <c r="J4425" s="5"/>
      <c r="K4425" s="13"/>
      <c r="L4425" s="10">
        <v>20201118</v>
      </c>
      <c r="M4425" s="36" t="str">
        <f t="shared" si="69"/>
        <v>19740103</v>
      </c>
    </row>
    <row r="4426" s="1" customFormat="1" spans="1:13">
      <c r="A4426" s="2">
        <v>3170</v>
      </c>
      <c r="B4426" s="3" t="s">
        <v>6671</v>
      </c>
      <c r="C4426" s="9" t="s">
        <v>5377</v>
      </c>
      <c r="D4426" s="9" t="s">
        <v>6854</v>
      </c>
      <c r="E4426" s="3" t="s">
        <v>15</v>
      </c>
      <c r="F4426" s="3" t="s">
        <v>15</v>
      </c>
      <c r="G4426" s="6" t="s">
        <v>3359</v>
      </c>
      <c r="H4426" s="9">
        <v>200</v>
      </c>
      <c r="I4426" s="9">
        <v>200</v>
      </c>
      <c r="J4426" s="6"/>
      <c r="K4426" s="5"/>
      <c r="L4426" s="10">
        <v>20201118</v>
      </c>
      <c r="M4426" s="36" t="str">
        <f t="shared" si="69"/>
        <v>19740103</v>
      </c>
    </row>
    <row r="4427" s="1" customFormat="1" spans="1:13">
      <c r="A4427" s="2">
        <v>7943</v>
      </c>
      <c r="B4427" s="5" t="s">
        <v>15086</v>
      </c>
      <c r="C4427" s="6" t="s">
        <v>15215</v>
      </c>
      <c r="D4427" s="6" t="s">
        <v>15216</v>
      </c>
      <c r="E4427" s="5" t="s">
        <v>15</v>
      </c>
      <c r="F4427" s="5">
        <v>2020</v>
      </c>
      <c r="G4427" s="5" t="s">
        <v>16</v>
      </c>
      <c r="H4427" s="5">
        <v>200</v>
      </c>
      <c r="I4427" s="5">
        <v>200</v>
      </c>
      <c r="J4427" s="5"/>
      <c r="K4427" s="5"/>
      <c r="L4427" s="10">
        <v>20201118</v>
      </c>
      <c r="M4427" s="36" t="str">
        <f t="shared" si="69"/>
        <v>19740103</v>
      </c>
    </row>
    <row r="4428" s="1" customFormat="1" spans="1:13">
      <c r="A4428" s="2">
        <v>1660</v>
      </c>
      <c r="B4428" s="5" t="s">
        <v>3381</v>
      </c>
      <c r="C4428" s="9" t="s">
        <v>3882</v>
      </c>
      <c r="D4428" s="9" t="s">
        <v>3883</v>
      </c>
      <c r="E4428" s="5">
        <v>2020</v>
      </c>
      <c r="F4428" s="5">
        <v>2020</v>
      </c>
      <c r="G4428" s="14" t="s">
        <v>16</v>
      </c>
      <c r="H4428" s="6">
        <v>200</v>
      </c>
      <c r="I4428" s="6">
        <v>200</v>
      </c>
      <c r="J4428" s="5"/>
      <c r="K4428" s="13"/>
      <c r="L4428" s="10">
        <v>20201118</v>
      </c>
      <c r="M4428" s="36" t="str">
        <f t="shared" si="69"/>
        <v>19740104</v>
      </c>
    </row>
    <row r="4429" s="1" customFormat="1" spans="1:13">
      <c r="A4429" s="2">
        <v>2658</v>
      </c>
      <c r="B4429" s="32" t="s">
        <v>5602</v>
      </c>
      <c r="C4429" s="9" t="s">
        <v>5850</v>
      </c>
      <c r="D4429" s="9" t="s">
        <v>5851</v>
      </c>
      <c r="E4429" s="32">
        <v>2020</v>
      </c>
      <c r="F4429" s="32">
        <v>2020</v>
      </c>
      <c r="G4429" s="32" t="s">
        <v>16</v>
      </c>
      <c r="H4429" s="9">
        <v>200</v>
      </c>
      <c r="I4429" s="9">
        <v>200</v>
      </c>
      <c r="J4429" s="32"/>
      <c r="K4429" s="52"/>
      <c r="L4429" s="10">
        <v>20201118</v>
      </c>
      <c r="M4429" s="36" t="str">
        <f t="shared" si="69"/>
        <v>19740106</v>
      </c>
    </row>
    <row r="4430" s="1" customFormat="1" spans="1:13">
      <c r="A4430" s="2">
        <v>5676</v>
      </c>
      <c r="B4430" s="30" t="s">
        <v>11090</v>
      </c>
      <c r="C4430" s="30" t="s">
        <v>11437</v>
      </c>
      <c r="D4430" s="30" t="s">
        <v>11438</v>
      </c>
      <c r="E4430" s="5" t="s">
        <v>15</v>
      </c>
      <c r="F4430" s="5" t="s">
        <v>10250</v>
      </c>
      <c r="G4430" s="6" t="s">
        <v>16</v>
      </c>
      <c r="H4430" s="32">
        <v>200</v>
      </c>
      <c r="I4430" s="32">
        <v>200</v>
      </c>
      <c r="J4430" s="6"/>
      <c r="K4430" s="48"/>
      <c r="L4430" s="10">
        <v>20201118</v>
      </c>
      <c r="M4430" s="36" t="str">
        <f t="shared" si="69"/>
        <v>19740106</v>
      </c>
    </row>
    <row r="4431" s="1" customFormat="1" spans="1:13">
      <c r="A4431" s="2">
        <v>4676</v>
      </c>
      <c r="B4431" s="6" t="s">
        <v>9015</v>
      </c>
      <c r="C4431" s="6" t="s">
        <v>9515</v>
      </c>
      <c r="D4431" s="6" t="s">
        <v>9516</v>
      </c>
      <c r="E4431" s="6">
        <v>2020</v>
      </c>
      <c r="F4431" s="6">
        <v>2020</v>
      </c>
      <c r="G4431" s="6" t="s">
        <v>16</v>
      </c>
      <c r="H4431" s="6">
        <v>200</v>
      </c>
      <c r="I4431" s="6">
        <v>200</v>
      </c>
      <c r="J4431" s="6"/>
      <c r="K4431" s="6"/>
      <c r="L4431" s="10">
        <v>20201118</v>
      </c>
      <c r="M4431" s="36" t="str">
        <f t="shared" si="69"/>
        <v>19740107</v>
      </c>
    </row>
    <row r="4432" s="1" customFormat="1" spans="1:13">
      <c r="A4432" s="2">
        <v>2286</v>
      </c>
      <c r="B4432" s="9" t="s">
        <v>4837</v>
      </c>
      <c r="C4432" s="9" t="s">
        <v>5114</v>
      </c>
      <c r="D4432" s="9" t="s">
        <v>5115</v>
      </c>
      <c r="E4432" s="6" t="s">
        <v>15</v>
      </c>
      <c r="F4432" s="6">
        <v>2020</v>
      </c>
      <c r="G4432" s="9" t="s">
        <v>2480</v>
      </c>
      <c r="H4432" s="9">
        <v>500</v>
      </c>
      <c r="I4432" s="9">
        <v>500</v>
      </c>
      <c r="J4432" s="6"/>
      <c r="K4432" s="10"/>
      <c r="L4432" s="10">
        <v>20201118</v>
      </c>
      <c r="M4432" s="36" t="str">
        <f t="shared" si="69"/>
        <v>19740108</v>
      </c>
    </row>
    <row r="4433" s="1" customFormat="1" spans="1:13">
      <c r="A4433" s="2">
        <v>1129</v>
      </c>
      <c r="B4433" s="5" t="s">
        <v>2469</v>
      </c>
      <c r="C4433" s="9" t="s">
        <v>2844</v>
      </c>
      <c r="D4433" s="9" t="s">
        <v>2845</v>
      </c>
      <c r="E4433" s="5">
        <v>2020</v>
      </c>
      <c r="F4433" s="5">
        <v>2020</v>
      </c>
      <c r="G4433" s="9" t="s">
        <v>2480</v>
      </c>
      <c r="H4433" s="9">
        <v>200</v>
      </c>
      <c r="I4433" s="9">
        <v>200</v>
      </c>
      <c r="J4433" s="5"/>
      <c r="K4433" s="5"/>
      <c r="L4433" s="10">
        <v>20201118</v>
      </c>
      <c r="M4433" s="36" t="str">
        <f t="shared" si="69"/>
        <v>19740109</v>
      </c>
    </row>
    <row r="4434" s="1" customFormat="1" spans="1:13">
      <c r="A4434" s="2">
        <v>2463</v>
      </c>
      <c r="B4434" s="5" t="s">
        <v>5328</v>
      </c>
      <c r="C4434" s="16" t="s">
        <v>2621</v>
      </c>
      <c r="D4434" s="16" t="s">
        <v>5465</v>
      </c>
      <c r="E4434" s="5" t="s">
        <v>15</v>
      </c>
      <c r="F4434" s="5" t="s">
        <v>15</v>
      </c>
      <c r="G4434" s="14" t="s">
        <v>16</v>
      </c>
      <c r="H4434" s="6">
        <v>200</v>
      </c>
      <c r="I4434" s="6">
        <v>200</v>
      </c>
      <c r="J4434" s="5"/>
      <c r="K4434" s="5"/>
      <c r="L4434" s="10">
        <v>20201118</v>
      </c>
      <c r="M4434" s="36" t="str">
        <f t="shared" si="69"/>
        <v>19740112</v>
      </c>
    </row>
    <row r="4435" s="1" customFormat="1" spans="1:13">
      <c r="A4435" s="2">
        <v>6653</v>
      </c>
      <c r="B4435" s="5" t="s">
        <v>13027</v>
      </c>
      <c r="C4435" s="15" t="s">
        <v>13287</v>
      </c>
      <c r="D4435" s="15" t="s">
        <v>13288</v>
      </c>
      <c r="E4435" s="5">
        <v>2020</v>
      </c>
      <c r="F4435" s="5">
        <v>2020</v>
      </c>
      <c r="G4435" s="14" t="s">
        <v>16</v>
      </c>
      <c r="H4435" s="15">
        <v>200</v>
      </c>
      <c r="I4435" s="15">
        <v>200</v>
      </c>
      <c r="J4435" s="5"/>
      <c r="K4435" s="10"/>
      <c r="L4435" s="10">
        <v>20201118</v>
      </c>
      <c r="M4435" s="36" t="str">
        <f t="shared" si="69"/>
        <v>19740113</v>
      </c>
    </row>
    <row r="4436" s="1" customFormat="1" spans="1:13">
      <c r="A4436" s="2">
        <v>4305</v>
      </c>
      <c r="B4436" s="9" t="s">
        <v>8515</v>
      </c>
      <c r="C4436" s="9" t="s">
        <v>8802</v>
      </c>
      <c r="D4436" s="9" t="s">
        <v>8803</v>
      </c>
      <c r="E4436" s="5" t="s">
        <v>15</v>
      </c>
      <c r="F4436" s="5">
        <v>2020</v>
      </c>
      <c r="G4436" s="9" t="s">
        <v>2480</v>
      </c>
      <c r="H4436" s="9">
        <v>200</v>
      </c>
      <c r="I4436" s="9">
        <v>200</v>
      </c>
      <c r="J4436" s="9"/>
      <c r="K4436" s="9"/>
      <c r="L4436" s="10">
        <v>20201118</v>
      </c>
      <c r="M4436" s="36" t="str">
        <f t="shared" si="69"/>
        <v>19740115</v>
      </c>
    </row>
    <row r="4437" s="1" customFormat="1" spans="1:13">
      <c r="A4437" s="2">
        <v>175</v>
      </c>
      <c r="B4437" s="14" t="s">
        <v>327</v>
      </c>
      <c r="C4437" s="14" t="s">
        <v>413</v>
      </c>
      <c r="D4437" s="14" t="s">
        <v>414</v>
      </c>
      <c r="E4437" s="5">
        <v>2020</v>
      </c>
      <c r="F4437" s="5">
        <v>2020</v>
      </c>
      <c r="G4437" s="14" t="s">
        <v>16</v>
      </c>
      <c r="H4437" s="14">
        <v>200</v>
      </c>
      <c r="I4437" s="14">
        <v>200</v>
      </c>
      <c r="J4437" s="14"/>
      <c r="K4437" s="10"/>
      <c r="L4437" s="2" t="s">
        <v>330</v>
      </c>
      <c r="M4437" s="36" t="str">
        <f t="shared" si="69"/>
        <v>19740116</v>
      </c>
    </row>
    <row r="4438" s="1" customFormat="1" spans="1:13">
      <c r="A4438" s="2">
        <v>1967</v>
      </c>
      <c r="B4438" s="5" t="s">
        <v>4189</v>
      </c>
      <c r="C4438" s="16" t="s">
        <v>4493</v>
      </c>
      <c r="D4438" s="16" t="s">
        <v>4494</v>
      </c>
      <c r="E4438" s="5" t="s">
        <v>15</v>
      </c>
      <c r="F4438" s="5" t="s">
        <v>15</v>
      </c>
      <c r="G4438" s="5" t="s">
        <v>3359</v>
      </c>
      <c r="H4438" s="16">
        <v>200</v>
      </c>
      <c r="I4438" s="16">
        <v>200</v>
      </c>
      <c r="J4438" s="5"/>
      <c r="K4438" s="10"/>
      <c r="L4438" s="10">
        <v>20201118</v>
      </c>
      <c r="M4438" s="36" t="str">
        <f t="shared" si="69"/>
        <v>19740116</v>
      </c>
    </row>
    <row r="4439" s="1" customFormat="1" spans="1:13">
      <c r="A4439" s="2">
        <v>4404</v>
      </c>
      <c r="B4439" s="9" t="s">
        <v>8515</v>
      </c>
      <c r="C4439" s="6" t="s">
        <v>8995</v>
      </c>
      <c r="D4439" s="293" t="s">
        <v>8996</v>
      </c>
      <c r="E4439" s="5" t="s">
        <v>15</v>
      </c>
      <c r="F4439" s="5">
        <v>2020</v>
      </c>
      <c r="G4439" s="6" t="s">
        <v>295</v>
      </c>
      <c r="H4439" s="9">
        <v>200</v>
      </c>
      <c r="I4439" s="9">
        <v>200</v>
      </c>
      <c r="J4439" s="6"/>
      <c r="K4439" s="6"/>
      <c r="L4439" s="10">
        <v>20201118</v>
      </c>
      <c r="M4439" s="36" t="str">
        <f t="shared" si="69"/>
        <v>19740116</v>
      </c>
    </row>
    <row r="4440" s="1" customFormat="1" spans="1:13">
      <c r="A4440" s="2">
        <v>6654</v>
      </c>
      <c r="B4440" s="5" t="s">
        <v>13027</v>
      </c>
      <c r="C4440" s="15" t="s">
        <v>13289</v>
      </c>
      <c r="D4440" s="15" t="s">
        <v>13290</v>
      </c>
      <c r="E4440" s="5">
        <v>2020</v>
      </c>
      <c r="F4440" s="5">
        <v>2020</v>
      </c>
      <c r="G4440" s="14" t="s">
        <v>16</v>
      </c>
      <c r="H4440" s="15">
        <v>200</v>
      </c>
      <c r="I4440" s="15">
        <v>200</v>
      </c>
      <c r="J4440" s="5"/>
      <c r="K4440" s="10"/>
      <c r="L4440" s="10">
        <v>20201118</v>
      </c>
      <c r="M4440" s="36" t="str">
        <f t="shared" si="69"/>
        <v>19740116</v>
      </c>
    </row>
    <row r="4441" s="1" customFormat="1" spans="1:13">
      <c r="A4441" s="2">
        <v>2464</v>
      </c>
      <c r="B4441" s="5" t="s">
        <v>5328</v>
      </c>
      <c r="C4441" s="16" t="s">
        <v>5466</v>
      </c>
      <c r="D4441" s="16" t="s">
        <v>5467</v>
      </c>
      <c r="E4441" s="5" t="s">
        <v>15</v>
      </c>
      <c r="F4441" s="5" t="s">
        <v>15</v>
      </c>
      <c r="G4441" s="14" t="s">
        <v>16</v>
      </c>
      <c r="H4441" s="6">
        <v>200</v>
      </c>
      <c r="I4441" s="6">
        <v>200</v>
      </c>
      <c r="J4441" s="5"/>
      <c r="K4441" s="5"/>
      <c r="L4441" s="10">
        <v>20201118</v>
      </c>
      <c r="M4441" s="36" t="str">
        <f t="shared" si="69"/>
        <v>19740119</v>
      </c>
    </row>
    <row r="4442" s="1" customFormat="1" spans="1:13">
      <c r="A4442" s="2">
        <v>6120</v>
      </c>
      <c r="B4442" s="5" t="s">
        <v>12263</v>
      </c>
      <c r="C4442" s="5" t="s">
        <v>12276</v>
      </c>
      <c r="D4442" s="5" t="s">
        <v>12277</v>
      </c>
      <c r="E4442" s="5" t="s">
        <v>10250</v>
      </c>
      <c r="F4442" s="5">
        <v>2020</v>
      </c>
      <c r="G4442" s="17" t="s">
        <v>3359</v>
      </c>
      <c r="H4442" s="5">
        <v>200</v>
      </c>
      <c r="I4442" s="5">
        <v>200</v>
      </c>
      <c r="J4442" s="5"/>
      <c r="K4442" s="5"/>
      <c r="L4442" s="10">
        <v>20201118</v>
      </c>
      <c r="M4442" s="36" t="str">
        <f t="shared" si="69"/>
        <v>19740120</v>
      </c>
    </row>
    <row r="4443" s="1" customFormat="1" spans="1:13">
      <c r="A4443" s="2">
        <v>1130</v>
      </c>
      <c r="B4443" s="5" t="s">
        <v>2469</v>
      </c>
      <c r="C4443" s="9" t="s">
        <v>2846</v>
      </c>
      <c r="D4443" s="9" t="s">
        <v>2847</v>
      </c>
      <c r="E4443" s="5">
        <v>2020</v>
      </c>
      <c r="F4443" s="5">
        <v>2020</v>
      </c>
      <c r="G4443" s="9" t="s">
        <v>2480</v>
      </c>
      <c r="H4443" s="9">
        <v>200</v>
      </c>
      <c r="I4443" s="9">
        <v>200</v>
      </c>
      <c r="J4443" s="5"/>
      <c r="K4443" s="5"/>
      <c r="L4443" s="10">
        <v>20201118</v>
      </c>
      <c r="M4443" s="36" t="str">
        <f t="shared" si="69"/>
        <v>19740121</v>
      </c>
    </row>
    <row r="4444" s="1" customFormat="1" spans="1:13">
      <c r="A4444" s="2">
        <v>4667</v>
      </c>
      <c r="B4444" s="6" t="s">
        <v>9015</v>
      </c>
      <c r="C4444" s="6" t="s">
        <v>9498</v>
      </c>
      <c r="D4444" s="6" t="s">
        <v>9499</v>
      </c>
      <c r="E4444" s="6">
        <v>2020</v>
      </c>
      <c r="F4444" s="6">
        <v>2020</v>
      </c>
      <c r="G4444" s="6" t="s">
        <v>16</v>
      </c>
      <c r="H4444" s="6">
        <v>200</v>
      </c>
      <c r="I4444" s="6">
        <v>200</v>
      </c>
      <c r="J4444" s="6"/>
      <c r="K4444" s="6"/>
      <c r="L4444" s="10">
        <v>20201118</v>
      </c>
      <c r="M4444" s="36" t="str">
        <f t="shared" si="69"/>
        <v>19740122</v>
      </c>
    </row>
    <row r="4445" s="1" customFormat="1" spans="1:13">
      <c r="A4445" s="2">
        <v>4876</v>
      </c>
      <c r="B4445" s="6" t="s">
        <v>9015</v>
      </c>
      <c r="C4445" s="6" t="s">
        <v>9894</v>
      </c>
      <c r="D4445" s="293" t="s">
        <v>9895</v>
      </c>
      <c r="E4445" s="6">
        <v>2020</v>
      </c>
      <c r="F4445" s="6">
        <v>2020</v>
      </c>
      <c r="G4445" s="6" t="s">
        <v>16</v>
      </c>
      <c r="H4445" s="6">
        <v>200</v>
      </c>
      <c r="I4445" s="6">
        <v>200</v>
      </c>
      <c r="J4445" s="6"/>
      <c r="K4445" s="6"/>
      <c r="L4445" s="10">
        <v>20201118</v>
      </c>
      <c r="M4445" s="36" t="str">
        <f t="shared" si="69"/>
        <v>19740122</v>
      </c>
    </row>
    <row r="4446" s="1" customFormat="1" ht="14.25" spans="1:13">
      <c r="A4446" s="2">
        <v>2949</v>
      </c>
      <c r="B4446" s="6" t="s">
        <v>6075</v>
      </c>
      <c r="C4446" s="25" t="s">
        <v>6425</v>
      </c>
      <c r="D4446" s="26" t="s">
        <v>6426</v>
      </c>
      <c r="E4446" s="5" t="s">
        <v>15</v>
      </c>
      <c r="F4446" s="5">
        <v>2020</v>
      </c>
      <c r="G4446" s="6" t="s">
        <v>16</v>
      </c>
      <c r="H4446" s="6">
        <v>200</v>
      </c>
      <c r="I4446" s="6">
        <v>200</v>
      </c>
      <c r="J4446" s="6"/>
      <c r="K4446" s="10"/>
      <c r="L4446" s="10">
        <v>20201118</v>
      </c>
      <c r="M4446" s="36" t="str">
        <f t="shared" si="69"/>
        <v>19740123</v>
      </c>
    </row>
    <row r="4447" s="1" customFormat="1" spans="1:13">
      <c r="A4447" s="2">
        <v>2937</v>
      </c>
      <c r="B4447" s="81" t="s">
        <v>6075</v>
      </c>
      <c r="C4447" s="81" t="s">
        <v>6400</v>
      </c>
      <c r="D4447" s="81" t="s">
        <v>6401</v>
      </c>
      <c r="E4447" s="82" t="s">
        <v>15</v>
      </c>
      <c r="F4447" s="82">
        <v>2020</v>
      </c>
      <c r="G4447" s="81" t="s">
        <v>16</v>
      </c>
      <c r="H4447" s="81">
        <v>200</v>
      </c>
      <c r="I4447" s="81">
        <v>200</v>
      </c>
      <c r="J4447" s="81" t="s">
        <v>6402</v>
      </c>
      <c r="K4447" s="10"/>
      <c r="L4447" s="10">
        <v>20201118</v>
      </c>
      <c r="M4447" s="36" t="str">
        <f t="shared" si="69"/>
        <v>19740125</v>
      </c>
    </row>
    <row r="4448" s="1" customFormat="1" spans="1:13">
      <c r="A4448" s="2">
        <v>7949</v>
      </c>
      <c r="B4448" s="5" t="s">
        <v>15086</v>
      </c>
      <c r="C4448" s="6" t="s">
        <v>15223</v>
      </c>
      <c r="D4448" s="6" t="str">
        <f>"152326197401256864"</f>
        <v>152326197401256864</v>
      </c>
      <c r="E4448" s="5" t="s">
        <v>15</v>
      </c>
      <c r="F4448" s="5">
        <v>2020</v>
      </c>
      <c r="G4448" s="5" t="s">
        <v>16</v>
      </c>
      <c r="H4448" s="5">
        <v>200</v>
      </c>
      <c r="I4448" s="5">
        <v>200</v>
      </c>
      <c r="J4448" s="5"/>
      <c r="K4448" s="5"/>
      <c r="L4448" s="10">
        <v>20201118</v>
      </c>
      <c r="M4448" s="36" t="str">
        <f t="shared" si="69"/>
        <v>19740125</v>
      </c>
    </row>
    <row r="4449" s="1" customFormat="1" spans="1:13">
      <c r="A4449" s="2">
        <v>1131</v>
      </c>
      <c r="B4449" s="5" t="s">
        <v>2469</v>
      </c>
      <c r="C4449" s="9" t="s">
        <v>2848</v>
      </c>
      <c r="D4449" s="9" t="s">
        <v>2849</v>
      </c>
      <c r="E4449" s="5">
        <v>2020</v>
      </c>
      <c r="F4449" s="5">
        <v>2020</v>
      </c>
      <c r="G4449" s="9" t="s">
        <v>2480</v>
      </c>
      <c r="H4449" s="9">
        <v>200</v>
      </c>
      <c r="I4449" s="9">
        <v>200</v>
      </c>
      <c r="J4449" s="5"/>
      <c r="K4449" s="5"/>
      <c r="L4449" s="10">
        <v>20201118</v>
      </c>
      <c r="M4449" s="36" t="str">
        <f t="shared" si="69"/>
        <v>19740126</v>
      </c>
    </row>
    <row r="4450" s="1" customFormat="1" ht="14.25" spans="1:13">
      <c r="A4450" s="2">
        <v>5346</v>
      </c>
      <c r="B4450" s="33" t="s">
        <v>10535</v>
      </c>
      <c r="C4450" s="34" t="s">
        <v>10805</v>
      </c>
      <c r="D4450" s="34" t="s">
        <v>10806</v>
      </c>
      <c r="E4450" s="35">
        <v>2020</v>
      </c>
      <c r="F4450" s="35">
        <v>2020</v>
      </c>
      <c r="G4450" s="35" t="s">
        <v>16</v>
      </c>
      <c r="H4450" s="34">
        <v>200</v>
      </c>
      <c r="I4450" s="34">
        <v>200</v>
      </c>
      <c r="J4450" s="49"/>
      <c r="K4450" s="10"/>
      <c r="L4450" s="10">
        <v>20201118</v>
      </c>
      <c r="M4450" s="36" t="str">
        <f t="shared" si="69"/>
        <v>19740128</v>
      </c>
    </row>
    <row r="4451" s="1" customFormat="1" spans="1:13">
      <c r="A4451" s="2">
        <v>236</v>
      </c>
      <c r="B4451" s="14" t="s">
        <v>327</v>
      </c>
      <c r="C4451" s="14" t="s">
        <v>594</v>
      </c>
      <c r="D4451" s="14" t="s">
        <v>595</v>
      </c>
      <c r="E4451" s="5">
        <v>2020</v>
      </c>
      <c r="F4451" s="5">
        <v>2020</v>
      </c>
      <c r="G4451" s="14" t="s">
        <v>16</v>
      </c>
      <c r="H4451" s="14">
        <v>200</v>
      </c>
      <c r="I4451" s="14">
        <v>200</v>
      </c>
      <c r="J4451" s="14"/>
      <c r="K4451" s="10"/>
      <c r="L4451" s="14" t="s">
        <v>330</v>
      </c>
      <c r="M4451" s="36" t="str">
        <f t="shared" si="69"/>
        <v>19740129</v>
      </c>
    </row>
    <row r="4452" s="1" customFormat="1" spans="1:13">
      <c r="A4452" s="2">
        <v>3899</v>
      </c>
      <c r="B4452" s="5" t="s">
        <v>7412</v>
      </c>
      <c r="C4452" s="5" t="s">
        <v>3228</v>
      </c>
      <c r="D4452" s="5" t="s">
        <v>8030</v>
      </c>
      <c r="E4452" s="6">
        <v>2020</v>
      </c>
      <c r="F4452" s="6">
        <v>2020</v>
      </c>
      <c r="G4452" s="5" t="s">
        <v>3359</v>
      </c>
      <c r="H4452" s="5">
        <v>200</v>
      </c>
      <c r="I4452" s="5">
        <v>200</v>
      </c>
      <c r="J4452" s="5"/>
      <c r="K4452" s="5"/>
      <c r="L4452" s="10">
        <v>20201118</v>
      </c>
      <c r="M4452" s="36" t="str">
        <f t="shared" si="69"/>
        <v>19740129</v>
      </c>
    </row>
    <row r="4453" s="1" customFormat="1" spans="1:13">
      <c r="A4453" s="2">
        <v>2465</v>
      </c>
      <c r="B4453" s="5" t="s">
        <v>5328</v>
      </c>
      <c r="C4453" s="16" t="s">
        <v>5468</v>
      </c>
      <c r="D4453" s="16" t="s">
        <v>5469</v>
      </c>
      <c r="E4453" s="5" t="s">
        <v>15</v>
      </c>
      <c r="F4453" s="5" t="s">
        <v>15</v>
      </c>
      <c r="G4453" s="14" t="s">
        <v>16</v>
      </c>
      <c r="H4453" s="6">
        <v>200</v>
      </c>
      <c r="I4453" s="6">
        <v>200</v>
      </c>
      <c r="J4453" s="5"/>
      <c r="K4453" s="5"/>
      <c r="L4453" s="10">
        <v>20201118</v>
      </c>
      <c r="M4453" s="36" t="str">
        <f t="shared" si="69"/>
        <v>19740201</v>
      </c>
    </row>
    <row r="4454" s="1" customFormat="1" spans="1:13">
      <c r="A4454" s="2">
        <v>3194</v>
      </c>
      <c r="B4454" s="3" t="s">
        <v>6671</v>
      </c>
      <c r="C4454" s="9" t="s">
        <v>6898</v>
      </c>
      <c r="D4454" s="9" t="s">
        <v>6899</v>
      </c>
      <c r="E4454" s="3" t="s">
        <v>15</v>
      </c>
      <c r="F4454" s="3" t="s">
        <v>15</v>
      </c>
      <c r="G4454" s="6" t="s">
        <v>3359</v>
      </c>
      <c r="H4454" s="9">
        <v>200</v>
      </c>
      <c r="I4454" s="9">
        <v>200</v>
      </c>
      <c r="J4454" s="6"/>
      <c r="K4454" s="5"/>
      <c r="L4454" s="10">
        <v>20201118</v>
      </c>
      <c r="M4454" s="36" t="str">
        <f t="shared" si="69"/>
        <v>19740201</v>
      </c>
    </row>
    <row r="4455" s="1" customFormat="1" spans="1:13">
      <c r="A4455" s="2">
        <v>4864</v>
      </c>
      <c r="B4455" s="6" t="s">
        <v>9015</v>
      </c>
      <c r="C4455" s="6" t="s">
        <v>9871</v>
      </c>
      <c r="D4455" s="293" t="s">
        <v>9872</v>
      </c>
      <c r="E4455" s="6">
        <v>2020</v>
      </c>
      <c r="F4455" s="6">
        <v>2020</v>
      </c>
      <c r="G4455" s="6" t="s">
        <v>16</v>
      </c>
      <c r="H4455" s="6">
        <v>200</v>
      </c>
      <c r="I4455" s="6">
        <v>200</v>
      </c>
      <c r="J4455" s="6"/>
      <c r="K4455" s="6"/>
      <c r="L4455" s="10">
        <v>20201118</v>
      </c>
      <c r="M4455" s="36" t="str">
        <f t="shared" si="69"/>
        <v>19740201</v>
      </c>
    </row>
    <row r="4456" s="1" customFormat="1" spans="1:13">
      <c r="A4456" s="2">
        <v>5571</v>
      </c>
      <c r="B4456" s="30" t="s">
        <v>11090</v>
      </c>
      <c r="C4456" s="30" t="s">
        <v>11236</v>
      </c>
      <c r="D4456" s="30" t="s">
        <v>11237</v>
      </c>
      <c r="E4456" s="5" t="s">
        <v>15</v>
      </c>
      <c r="F4456" s="5" t="s">
        <v>10250</v>
      </c>
      <c r="G4456" s="6" t="s">
        <v>16</v>
      </c>
      <c r="H4456" s="32">
        <v>200</v>
      </c>
      <c r="I4456" s="32">
        <v>200</v>
      </c>
      <c r="J4456" s="6"/>
      <c r="K4456" s="48"/>
      <c r="L4456" s="10">
        <v>20201118</v>
      </c>
      <c r="M4456" s="36" t="str">
        <f t="shared" si="69"/>
        <v>19740202</v>
      </c>
    </row>
    <row r="4457" s="1" customFormat="1" spans="1:13">
      <c r="A4457" s="2">
        <v>6655</v>
      </c>
      <c r="B4457" s="5" t="s">
        <v>13027</v>
      </c>
      <c r="C4457" s="15" t="s">
        <v>12507</v>
      </c>
      <c r="D4457" s="15" t="s">
        <v>13291</v>
      </c>
      <c r="E4457" s="5">
        <v>2020</v>
      </c>
      <c r="F4457" s="5">
        <v>2020</v>
      </c>
      <c r="G4457" s="14" t="s">
        <v>16</v>
      </c>
      <c r="H4457" s="15">
        <v>600</v>
      </c>
      <c r="I4457" s="15">
        <v>600</v>
      </c>
      <c r="J4457" s="5"/>
      <c r="K4457" s="10"/>
      <c r="L4457" s="10">
        <v>20201118</v>
      </c>
      <c r="M4457" s="36" t="str">
        <f t="shared" si="69"/>
        <v>19740202</v>
      </c>
    </row>
    <row r="4458" s="1" customFormat="1" spans="1:13">
      <c r="A4458" s="2">
        <v>6431</v>
      </c>
      <c r="B4458" s="5" t="s">
        <v>12263</v>
      </c>
      <c r="C4458" s="5" t="s">
        <v>12867</v>
      </c>
      <c r="D4458" s="5" t="s">
        <v>12868</v>
      </c>
      <c r="E4458" s="5" t="s">
        <v>10250</v>
      </c>
      <c r="F4458" s="5">
        <v>2020</v>
      </c>
      <c r="G4458" s="17" t="s">
        <v>3359</v>
      </c>
      <c r="H4458" s="5">
        <v>200</v>
      </c>
      <c r="I4458" s="5">
        <v>200</v>
      </c>
      <c r="J4458" s="5"/>
      <c r="K4458" s="5"/>
      <c r="L4458" s="10">
        <v>20201118</v>
      </c>
      <c r="M4458" s="36" t="str">
        <f t="shared" si="69"/>
        <v>19740203</v>
      </c>
    </row>
    <row r="4459" s="1" customFormat="1" spans="1:13">
      <c r="A4459" s="2">
        <v>6892</v>
      </c>
      <c r="B4459" s="5" t="s">
        <v>13533</v>
      </c>
      <c r="C4459" s="32" t="s">
        <v>13642</v>
      </c>
      <c r="D4459" s="32" t="str">
        <f>"152326197402037110"</f>
        <v>152326197402037110</v>
      </c>
      <c r="E4459" s="5">
        <v>2020</v>
      </c>
      <c r="F4459" s="5">
        <v>2020</v>
      </c>
      <c r="G4459" s="9" t="s">
        <v>2480</v>
      </c>
      <c r="H4459" s="32">
        <v>200</v>
      </c>
      <c r="I4459" s="32">
        <v>200</v>
      </c>
      <c r="J4459" s="32"/>
      <c r="K4459" s="10"/>
      <c r="L4459" s="10">
        <v>20201118</v>
      </c>
      <c r="M4459" s="36" t="str">
        <f t="shared" si="69"/>
        <v>19740203</v>
      </c>
    </row>
    <row r="4460" s="1" customFormat="1" spans="1:13">
      <c r="A4460" s="2">
        <v>854</v>
      </c>
      <c r="B4460" s="29" t="s">
        <v>1040</v>
      </c>
      <c r="C4460" s="6" t="s">
        <v>2209</v>
      </c>
      <c r="D4460" s="6" t="s">
        <v>2210</v>
      </c>
      <c r="E4460" s="30">
        <v>2020</v>
      </c>
      <c r="F4460" s="30">
        <v>2020</v>
      </c>
      <c r="G4460" s="29" t="s">
        <v>16</v>
      </c>
      <c r="H4460" s="29">
        <v>200</v>
      </c>
      <c r="I4460" s="29">
        <v>200</v>
      </c>
      <c r="J4460" s="32"/>
      <c r="K4460" s="32"/>
      <c r="L4460" s="2" t="s">
        <v>330</v>
      </c>
      <c r="M4460" s="36" t="str">
        <f t="shared" si="69"/>
        <v>19740205</v>
      </c>
    </row>
    <row r="4461" s="1" customFormat="1" spans="1:13">
      <c r="A4461" s="2">
        <v>561</v>
      </c>
      <c r="B4461" s="29" t="s">
        <v>1040</v>
      </c>
      <c r="C4461" s="29" t="s">
        <v>681</v>
      </c>
      <c r="D4461" s="29" t="s">
        <v>1399</v>
      </c>
      <c r="E4461" s="30">
        <v>2020</v>
      </c>
      <c r="F4461" s="30">
        <v>2020</v>
      </c>
      <c r="G4461" s="29" t="s">
        <v>16</v>
      </c>
      <c r="H4461" s="29">
        <v>200</v>
      </c>
      <c r="I4461" s="29">
        <v>200</v>
      </c>
      <c r="J4461" s="29"/>
      <c r="K4461" s="47"/>
      <c r="L4461" s="14" t="s">
        <v>330</v>
      </c>
      <c r="M4461" s="36" t="str">
        <f t="shared" si="69"/>
        <v>19740206</v>
      </c>
    </row>
    <row r="4462" s="1" customFormat="1" spans="1:13">
      <c r="A4462" s="2">
        <v>3900</v>
      </c>
      <c r="B4462" s="5" t="s">
        <v>7412</v>
      </c>
      <c r="C4462" s="5" t="s">
        <v>5005</v>
      </c>
      <c r="D4462" s="5" t="s">
        <v>8031</v>
      </c>
      <c r="E4462" s="6">
        <v>2020</v>
      </c>
      <c r="F4462" s="6">
        <v>2020</v>
      </c>
      <c r="G4462" s="5" t="s">
        <v>3359</v>
      </c>
      <c r="H4462" s="5">
        <v>200</v>
      </c>
      <c r="I4462" s="5">
        <v>200</v>
      </c>
      <c r="J4462" s="5"/>
      <c r="K4462" s="5"/>
      <c r="L4462" s="10">
        <v>20201118</v>
      </c>
      <c r="M4462" s="36" t="str">
        <f t="shared" si="69"/>
        <v>19740206</v>
      </c>
    </row>
    <row r="4463" s="1" customFormat="1" spans="1:13">
      <c r="A4463" s="2">
        <v>6371</v>
      </c>
      <c r="B4463" s="5" t="s">
        <v>12263</v>
      </c>
      <c r="C4463" s="5" t="s">
        <v>5734</v>
      </c>
      <c r="D4463" s="5" t="s">
        <v>12756</v>
      </c>
      <c r="E4463" s="5" t="s">
        <v>10250</v>
      </c>
      <c r="F4463" s="5">
        <v>2020</v>
      </c>
      <c r="G4463" s="17" t="s">
        <v>3359</v>
      </c>
      <c r="H4463" s="5" t="s">
        <v>311</v>
      </c>
      <c r="I4463" s="5">
        <v>200</v>
      </c>
      <c r="J4463" s="5"/>
      <c r="K4463" s="5"/>
      <c r="L4463" s="10">
        <v>20201118</v>
      </c>
      <c r="M4463" s="36" t="str">
        <f t="shared" si="69"/>
        <v>19740206</v>
      </c>
    </row>
    <row r="4464" s="1" customFormat="1" spans="1:13">
      <c r="A4464" s="2">
        <v>3365</v>
      </c>
      <c r="B4464" s="5" t="s">
        <v>3375</v>
      </c>
      <c r="C4464" s="6" t="s">
        <v>7142</v>
      </c>
      <c r="D4464" s="6" t="str">
        <f>"152326197402096962"</f>
        <v>152326197402096962</v>
      </c>
      <c r="E4464" s="5" t="s">
        <v>15</v>
      </c>
      <c r="F4464" s="5">
        <v>2020</v>
      </c>
      <c r="G4464" s="14" t="s">
        <v>16</v>
      </c>
      <c r="H4464" s="17">
        <v>200</v>
      </c>
      <c r="I4464" s="17">
        <v>200</v>
      </c>
      <c r="J4464" s="6"/>
      <c r="K4464" s="10"/>
      <c r="L4464" s="10">
        <v>20201118</v>
      </c>
      <c r="M4464" s="36" t="str">
        <f t="shared" si="69"/>
        <v>19740209</v>
      </c>
    </row>
    <row r="4465" s="1" customFormat="1" spans="1:13">
      <c r="A4465" s="2">
        <v>4306</v>
      </c>
      <c r="B4465" s="9" t="s">
        <v>8515</v>
      </c>
      <c r="C4465" s="9" t="s">
        <v>8804</v>
      </c>
      <c r="D4465" s="9" t="s">
        <v>8805</v>
      </c>
      <c r="E4465" s="5" t="s">
        <v>15</v>
      </c>
      <c r="F4465" s="5">
        <v>2020</v>
      </c>
      <c r="G4465" s="9" t="s">
        <v>2480</v>
      </c>
      <c r="H4465" s="9">
        <v>200</v>
      </c>
      <c r="I4465" s="9">
        <v>200</v>
      </c>
      <c r="J4465" s="9"/>
      <c r="K4465" s="9"/>
      <c r="L4465" s="10">
        <v>20201118</v>
      </c>
      <c r="M4465" s="36" t="str">
        <f t="shared" si="69"/>
        <v>19740209</v>
      </c>
    </row>
    <row r="4466" s="1" customFormat="1" spans="1:13">
      <c r="A4466" s="2">
        <v>2466</v>
      </c>
      <c r="B4466" s="5" t="s">
        <v>5328</v>
      </c>
      <c r="C4466" s="16" t="s">
        <v>5470</v>
      </c>
      <c r="D4466" s="16" t="s">
        <v>5471</v>
      </c>
      <c r="E4466" s="5" t="s">
        <v>15</v>
      </c>
      <c r="F4466" s="5" t="s">
        <v>15</v>
      </c>
      <c r="G4466" s="14" t="s">
        <v>16</v>
      </c>
      <c r="H4466" s="6">
        <v>200</v>
      </c>
      <c r="I4466" s="6">
        <v>200</v>
      </c>
      <c r="J4466" s="5"/>
      <c r="K4466" s="5"/>
      <c r="L4466" s="10">
        <v>20201118</v>
      </c>
      <c r="M4466" s="36" t="str">
        <f t="shared" si="69"/>
        <v>19740210</v>
      </c>
    </row>
    <row r="4467" s="1" customFormat="1" spans="1:13">
      <c r="A4467" s="2">
        <v>6782</v>
      </c>
      <c r="B4467" s="5" t="s">
        <v>13027</v>
      </c>
      <c r="C4467" s="15" t="s">
        <v>13524</v>
      </c>
      <c r="D4467" s="16" t="s">
        <v>13525</v>
      </c>
      <c r="E4467" s="5">
        <v>2019</v>
      </c>
      <c r="F4467" s="5">
        <v>2020</v>
      </c>
      <c r="G4467" s="14" t="s">
        <v>13526</v>
      </c>
      <c r="H4467" s="15">
        <v>200</v>
      </c>
      <c r="I4467" s="15">
        <v>400</v>
      </c>
      <c r="J4467" s="5"/>
      <c r="K4467" s="10"/>
      <c r="L4467" s="10">
        <v>20201118</v>
      </c>
      <c r="M4467" s="36" t="str">
        <f t="shared" si="69"/>
        <v>19740213</v>
      </c>
    </row>
    <row r="4468" s="1" customFormat="1" spans="1:13">
      <c r="A4468" s="2">
        <v>4143</v>
      </c>
      <c r="B4468" s="5" t="s">
        <v>7412</v>
      </c>
      <c r="C4468" s="5" t="s">
        <v>8492</v>
      </c>
      <c r="D4468" s="296" t="s">
        <v>8493</v>
      </c>
      <c r="E4468" s="6">
        <v>2020</v>
      </c>
      <c r="F4468" s="6">
        <v>2020</v>
      </c>
      <c r="G4468" s="5" t="s">
        <v>3359</v>
      </c>
      <c r="H4468" s="5">
        <v>200</v>
      </c>
      <c r="I4468" s="5">
        <v>200</v>
      </c>
      <c r="J4468" s="5"/>
      <c r="K4468" s="5"/>
      <c r="L4468" s="10">
        <v>20201118</v>
      </c>
      <c r="M4468" s="36" t="str">
        <f t="shared" si="69"/>
        <v>19740216</v>
      </c>
    </row>
    <row r="4469" s="1" customFormat="1" spans="1:13">
      <c r="A4469" s="2">
        <v>6656</v>
      </c>
      <c r="B4469" s="5" t="s">
        <v>13027</v>
      </c>
      <c r="C4469" s="15" t="s">
        <v>13292</v>
      </c>
      <c r="D4469" s="15" t="s">
        <v>13293</v>
      </c>
      <c r="E4469" s="5">
        <v>2020</v>
      </c>
      <c r="F4469" s="5">
        <v>2020</v>
      </c>
      <c r="G4469" s="14" t="s">
        <v>16</v>
      </c>
      <c r="H4469" s="15">
        <v>200</v>
      </c>
      <c r="I4469" s="15">
        <v>200</v>
      </c>
      <c r="J4469" s="5"/>
      <c r="K4469" s="10"/>
      <c r="L4469" s="10">
        <v>20201118</v>
      </c>
      <c r="M4469" s="36" t="str">
        <f t="shared" si="69"/>
        <v>19740216</v>
      </c>
    </row>
    <row r="4470" s="1" customFormat="1" spans="1:13">
      <c r="A4470" s="2">
        <v>3366</v>
      </c>
      <c r="B4470" s="5" t="s">
        <v>3375</v>
      </c>
      <c r="C4470" s="6" t="s">
        <v>7143</v>
      </c>
      <c r="D4470" s="6" t="str">
        <f>"152326197402176866"</f>
        <v>152326197402176866</v>
      </c>
      <c r="E4470" s="5" t="s">
        <v>15</v>
      </c>
      <c r="F4470" s="5">
        <v>2020</v>
      </c>
      <c r="G4470" s="14" t="s">
        <v>16</v>
      </c>
      <c r="H4470" s="17">
        <v>200</v>
      </c>
      <c r="I4470" s="17">
        <v>200</v>
      </c>
      <c r="J4470" s="6"/>
      <c r="K4470" s="10"/>
      <c r="L4470" s="10">
        <v>20201118</v>
      </c>
      <c r="M4470" s="36" t="str">
        <f t="shared" si="69"/>
        <v>19740217</v>
      </c>
    </row>
    <row r="4471" s="1" customFormat="1" spans="1:13">
      <c r="A4471" s="2">
        <v>7120</v>
      </c>
      <c r="B4471" s="5" t="s">
        <v>13533</v>
      </c>
      <c r="C4471" s="32" t="s">
        <v>13900</v>
      </c>
      <c r="D4471" s="32" t="s">
        <v>13901</v>
      </c>
      <c r="E4471" s="5">
        <v>2019</v>
      </c>
      <c r="F4471" s="5">
        <v>2020</v>
      </c>
      <c r="G4471" s="9" t="s">
        <v>289</v>
      </c>
      <c r="H4471" s="32">
        <v>200</v>
      </c>
      <c r="I4471" s="32">
        <v>400</v>
      </c>
      <c r="J4471" s="32"/>
      <c r="K4471" s="10"/>
      <c r="L4471" s="10">
        <v>20201118</v>
      </c>
      <c r="M4471" s="36" t="str">
        <f t="shared" si="69"/>
        <v>19740217</v>
      </c>
    </row>
    <row r="4472" s="1" customFormat="1" spans="1:13">
      <c r="A4472" s="2">
        <v>2659</v>
      </c>
      <c r="B4472" s="32" t="s">
        <v>5602</v>
      </c>
      <c r="C4472" s="9" t="s">
        <v>5852</v>
      </c>
      <c r="D4472" s="9" t="s">
        <v>5853</v>
      </c>
      <c r="E4472" s="32">
        <v>2020</v>
      </c>
      <c r="F4472" s="32">
        <v>2020</v>
      </c>
      <c r="G4472" s="32" t="s">
        <v>16</v>
      </c>
      <c r="H4472" s="9">
        <v>200</v>
      </c>
      <c r="I4472" s="9">
        <v>200</v>
      </c>
      <c r="J4472" s="32"/>
      <c r="K4472" s="52"/>
      <c r="L4472" s="10">
        <v>20201118</v>
      </c>
      <c r="M4472" s="36" t="str">
        <f t="shared" si="69"/>
        <v>19740219</v>
      </c>
    </row>
    <row r="4473" s="1" customFormat="1" spans="1:13">
      <c r="A4473" s="2">
        <v>4307</v>
      </c>
      <c r="B4473" s="9" t="s">
        <v>8515</v>
      </c>
      <c r="C4473" s="9" t="s">
        <v>8806</v>
      </c>
      <c r="D4473" s="9" t="s">
        <v>8807</v>
      </c>
      <c r="E4473" s="5" t="s">
        <v>15</v>
      </c>
      <c r="F4473" s="5">
        <v>2020</v>
      </c>
      <c r="G4473" s="9" t="s">
        <v>2480</v>
      </c>
      <c r="H4473" s="9">
        <v>200</v>
      </c>
      <c r="I4473" s="9">
        <v>200</v>
      </c>
      <c r="J4473" s="9"/>
      <c r="K4473" s="9"/>
      <c r="L4473" s="10">
        <v>20201118</v>
      </c>
      <c r="M4473" s="36" t="str">
        <f t="shared" si="69"/>
        <v>19740220</v>
      </c>
    </row>
    <row r="4474" s="1" customFormat="1" spans="1:13">
      <c r="A4474" s="2">
        <v>6410</v>
      </c>
      <c r="B4474" s="5" t="s">
        <v>12263</v>
      </c>
      <c r="C4474" s="5" t="s">
        <v>12827</v>
      </c>
      <c r="D4474" s="5" t="s">
        <v>12828</v>
      </c>
      <c r="E4474" s="5" t="s">
        <v>10250</v>
      </c>
      <c r="F4474" s="5">
        <v>2020</v>
      </c>
      <c r="G4474" s="17" t="s">
        <v>3359</v>
      </c>
      <c r="H4474" s="5" t="s">
        <v>311</v>
      </c>
      <c r="I4474" s="5">
        <v>200</v>
      </c>
      <c r="J4474" s="5"/>
      <c r="K4474" s="5"/>
      <c r="L4474" s="10">
        <v>20201118</v>
      </c>
      <c r="M4474" s="36" t="str">
        <f t="shared" si="69"/>
        <v>19740220</v>
      </c>
    </row>
    <row r="4475" s="1" customFormat="1" ht="14.25" spans="1:13">
      <c r="A4475" s="2">
        <v>7813</v>
      </c>
      <c r="B4475" s="5" t="s">
        <v>14875</v>
      </c>
      <c r="C4475" s="23" t="s">
        <v>15068</v>
      </c>
      <c r="D4475" s="12" t="s">
        <v>15069</v>
      </c>
      <c r="E4475" s="6" t="s">
        <v>15</v>
      </c>
      <c r="F4475" s="6">
        <v>2020</v>
      </c>
      <c r="G4475" s="24" t="s">
        <v>14877</v>
      </c>
      <c r="H4475" s="6">
        <v>200</v>
      </c>
      <c r="I4475" s="6">
        <v>200</v>
      </c>
      <c r="J4475" s="6"/>
      <c r="K4475" s="10"/>
      <c r="L4475" s="10">
        <v>20201118</v>
      </c>
      <c r="M4475" s="36" t="str">
        <f t="shared" si="69"/>
        <v>19740220</v>
      </c>
    </row>
    <row r="4476" s="1" customFormat="1" spans="1:13">
      <c r="A4476" s="2">
        <v>1132</v>
      </c>
      <c r="B4476" s="5" t="s">
        <v>2469</v>
      </c>
      <c r="C4476" s="9" t="s">
        <v>2850</v>
      </c>
      <c r="D4476" s="9" t="s">
        <v>2851</v>
      </c>
      <c r="E4476" s="5">
        <v>2020</v>
      </c>
      <c r="F4476" s="5">
        <v>2020</v>
      </c>
      <c r="G4476" s="9" t="s">
        <v>2480</v>
      </c>
      <c r="H4476" s="9">
        <v>200</v>
      </c>
      <c r="I4476" s="9">
        <v>200</v>
      </c>
      <c r="J4476" s="5"/>
      <c r="K4476" s="5"/>
      <c r="L4476" s="10">
        <v>20201118</v>
      </c>
      <c r="M4476" s="36" t="str">
        <f t="shared" si="69"/>
        <v>19740222</v>
      </c>
    </row>
    <row r="4477" s="1" customFormat="1" spans="1:13">
      <c r="A4477" s="2">
        <v>2467</v>
      </c>
      <c r="B4477" s="5" t="s">
        <v>5328</v>
      </c>
      <c r="C4477" s="16" t="s">
        <v>5472</v>
      </c>
      <c r="D4477" s="16" t="s">
        <v>5473</v>
      </c>
      <c r="E4477" s="5" t="s">
        <v>15</v>
      </c>
      <c r="F4477" s="5" t="s">
        <v>15</v>
      </c>
      <c r="G4477" s="14" t="s">
        <v>16</v>
      </c>
      <c r="H4477" s="6">
        <v>300</v>
      </c>
      <c r="I4477" s="6">
        <v>300</v>
      </c>
      <c r="J4477" s="5"/>
      <c r="K4477" s="5"/>
      <c r="L4477" s="10">
        <v>20201118</v>
      </c>
      <c r="M4477" s="36" t="str">
        <f t="shared" si="69"/>
        <v>19740222</v>
      </c>
    </row>
    <row r="4478" s="1" customFormat="1" spans="1:13">
      <c r="A4478" s="2">
        <v>3901</v>
      </c>
      <c r="B4478" s="5" t="s">
        <v>7412</v>
      </c>
      <c r="C4478" s="5" t="s">
        <v>8032</v>
      </c>
      <c r="D4478" s="5" t="s">
        <v>8033</v>
      </c>
      <c r="E4478" s="6">
        <v>2020</v>
      </c>
      <c r="F4478" s="6">
        <v>2020</v>
      </c>
      <c r="G4478" s="5" t="s">
        <v>3359</v>
      </c>
      <c r="H4478" s="5">
        <v>200</v>
      </c>
      <c r="I4478" s="5">
        <v>200</v>
      </c>
      <c r="J4478" s="5"/>
      <c r="K4478" s="5"/>
      <c r="L4478" s="10">
        <v>20201118</v>
      </c>
      <c r="M4478" s="36" t="str">
        <f t="shared" si="69"/>
        <v>19740222</v>
      </c>
    </row>
    <row r="4479" s="1" customFormat="1" spans="1:13">
      <c r="A4479" s="2">
        <v>6657</v>
      </c>
      <c r="B4479" s="5" t="s">
        <v>13027</v>
      </c>
      <c r="C4479" s="15" t="s">
        <v>10815</v>
      </c>
      <c r="D4479" s="15" t="s">
        <v>13294</v>
      </c>
      <c r="E4479" s="5">
        <v>2020</v>
      </c>
      <c r="F4479" s="5">
        <v>2020</v>
      </c>
      <c r="G4479" s="14" t="s">
        <v>16</v>
      </c>
      <c r="H4479" s="15">
        <v>200</v>
      </c>
      <c r="I4479" s="15">
        <v>200</v>
      </c>
      <c r="J4479" s="5"/>
      <c r="K4479" s="10"/>
      <c r="L4479" s="10">
        <v>20201118</v>
      </c>
      <c r="M4479" s="36" t="str">
        <f t="shared" si="69"/>
        <v>19740222</v>
      </c>
    </row>
    <row r="4480" s="1" customFormat="1" spans="1:13">
      <c r="A4480" s="2">
        <v>3147</v>
      </c>
      <c r="B4480" s="3" t="s">
        <v>6671</v>
      </c>
      <c r="C4480" s="9" t="s">
        <v>6813</v>
      </c>
      <c r="D4480" s="9" t="s">
        <v>6814</v>
      </c>
      <c r="E4480" s="3" t="s">
        <v>15</v>
      </c>
      <c r="F4480" s="3" t="s">
        <v>15</v>
      </c>
      <c r="G4480" s="6" t="s">
        <v>3359</v>
      </c>
      <c r="H4480" s="9">
        <v>200</v>
      </c>
      <c r="I4480" s="9">
        <v>200</v>
      </c>
      <c r="J4480" s="6"/>
      <c r="K4480" s="5"/>
      <c r="L4480" s="10">
        <v>20201118</v>
      </c>
      <c r="M4480" s="36" t="str">
        <f t="shared" si="69"/>
        <v>19740223</v>
      </c>
    </row>
    <row r="4481" s="1" customFormat="1" spans="1:13">
      <c r="A4481" s="2">
        <v>279</v>
      </c>
      <c r="B4481" s="14" t="s">
        <v>327</v>
      </c>
      <c r="C4481" s="17" t="s">
        <v>723</v>
      </c>
      <c r="D4481" s="306" t="s">
        <v>724</v>
      </c>
      <c r="E4481" s="5">
        <v>2020</v>
      </c>
      <c r="F4481" s="5">
        <v>2020</v>
      </c>
      <c r="G4481" s="14" t="s">
        <v>16</v>
      </c>
      <c r="H4481" s="17">
        <v>200</v>
      </c>
      <c r="I4481" s="17">
        <v>200</v>
      </c>
      <c r="J4481" s="17"/>
      <c r="K4481" s="10"/>
      <c r="L4481" s="2" t="s">
        <v>330</v>
      </c>
      <c r="M4481" s="36" t="str">
        <f t="shared" si="69"/>
        <v>19740225</v>
      </c>
    </row>
    <row r="4482" s="1" customFormat="1" spans="1:13">
      <c r="A4482" s="2">
        <v>1133</v>
      </c>
      <c r="B4482" s="5" t="s">
        <v>2469</v>
      </c>
      <c r="C4482" s="9" t="s">
        <v>2852</v>
      </c>
      <c r="D4482" s="9" t="s">
        <v>2853</v>
      </c>
      <c r="E4482" s="5">
        <v>2020</v>
      </c>
      <c r="F4482" s="5">
        <v>2020</v>
      </c>
      <c r="G4482" s="9" t="s">
        <v>2480</v>
      </c>
      <c r="H4482" s="9">
        <v>3000</v>
      </c>
      <c r="I4482" s="9">
        <v>3000</v>
      </c>
      <c r="J4482" s="5"/>
      <c r="K4482" s="5"/>
      <c r="L4482" s="10">
        <v>20201118</v>
      </c>
      <c r="M4482" s="36" t="str">
        <f t="shared" ref="M4482:M4545" si="70">MID(D4482,7,8)</f>
        <v>19740225</v>
      </c>
    </row>
    <row r="4483" s="1" customFormat="1" spans="1:13">
      <c r="A4483" s="2">
        <v>3367</v>
      </c>
      <c r="B4483" s="5" t="s">
        <v>3375</v>
      </c>
      <c r="C4483" s="6" t="s">
        <v>7144</v>
      </c>
      <c r="D4483" s="6" t="str">
        <f>"152326197402256882"</f>
        <v>152326197402256882</v>
      </c>
      <c r="E4483" s="5" t="s">
        <v>15</v>
      </c>
      <c r="F4483" s="5">
        <v>2020</v>
      </c>
      <c r="G4483" s="14" t="s">
        <v>16</v>
      </c>
      <c r="H4483" s="17">
        <v>200</v>
      </c>
      <c r="I4483" s="17">
        <v>200</v>
      </c>
      <c r="J4483" s="6"/>
      <c r="K4483" s="10"/>
      <c r="L4483" s="10">
        <v>20201118</v>
      </c>
      <c r="M4483" s="36" t="str">
        <f t="shared" si="70"/>
        <v>19740225</v>
      </c>
    </row>
    <row r="4484" s="1" customFormat="1" spans="1:13">
      <c r="A4484" s="2">
        <v>6222</v>
      </c>
      <c r="B4484" s="5" t="s">
        <v>12263</v>
      </c>
      <c r="C4484" s="5" t="s">
        <v>12470</v>
      </c>
      <c r="D4484" s="5" t="s">
        <v>12471</v>
      </c>
      <c r="E4484" s="5" t="s">
        <v>10250</v>
      </c>
      <c r="F4484" s="5">
        <v>2020</v>
      </c>
      <c r="G4484" s="17" t="s">
        <v>3359</v>
      </c>
      <c r="H4484" s="5">
        <v>200</v>
      </c>
      <c r="I4484" s="5">
        <v>200</v>
      </c>
      <c r="J4484" s="5"/>
      <c r="K4484" s="5"/>
      <c r="L4484" s="10">
        <v>20201118</v>
      </c>
      <c r="M4484" s="36" t="str">
        <f t="shared" si="70"/>
        <v>19740226</v>
      </c>
    </row>
    <row r="4485" s="1" customFormat="1" spans="1:13">
      <c r="A4485" s="2">
        <v>3372</v>
      </c>
      <c r="B4485" s="5" t="s">
        <v>3375</v>
      </c>
      <c r="C4485" s="6" t="s">
        <v>7149</v>
      </c>
      <c r="D4485" s="6" t="str">
        <f>"152326197402276904"</f>
        <v>152326197402276904</v>
      </c>
      <c r="E4485" s="5" t="s">
        <v>15</v>
      </c>
      <c r="F4485" s="5">
        <v>2020</v>
      </c>
      <c r="G4485" s="14" t="s">
        <v>16</v>
      </c>
      <c r="H4485" s="17">
        <v>200</v>
      </c>
      <c r="I4485" s="17">
        <v>200</v>
      </c>
      <c r="J4485" s="6"/>
      <c r="K4485" s="10"/>
      <c r="L4485" s="10">
        <v>20201118</v>
      </c>
      <c r="M4485" s="36" t="str">
        <f t="shared" si="70"/>
        <v>19740227</v>
      </c>
    </row>
    <row r="4486" s="1" customFormat="1" spans="1:13">
      <c r="A4486" s="2">
        <v>4308</v>
      </c>
      <c r="B4486" s="9" t="s">
        <v>8515</v>
      </c>
      <c r="C4486" s="9" t="s">
        <v>8808</v>
      </c>
      <c r="D4486" s="9" t="s">
        <v>8809</v>
      </c>
      <c r="E4486" s="5" t="s">
        <v>15</v>
      </c>
      <c r="F4486" s="5">
        <v>2020</v>
      </c>
      <c r="G4486" s="9" t="s">
        <v>2480</v>
      </c>
      <c r="H4486" s="9">
        <v>200</v>
      </c>
      <c r="I4486" s="9">
        <v>200</v>
      </c>
      <c r="J4486" s="9"/>
      <c r="K4486" s="9"/>
      <c r="L4486" s="10">
        <v>20201118</v>
      </c>
      <c r="M4486" s="36" t="str">
        <f t="shared" si="70"/>
        <v>19740228</v>
      </c>
    </row>
    <row r="4487" s="1" customFormat="1" spans="1:13">
      <c r="A4487" s="2">
        <v>3112</v>
      </c>
      <c r="B4487" s="3" t="s">
        <v>6671</v>
      </c>
      <c r="C4487" s="9" t="s">
        <v>6745</v>
      </c>
      <c r="D4487" s="9" t="s">
        <v>6746</v>
      </c>
      <c r="E4487" s="3" t="s">
        <v>15</v>
      </c>
      <c r="F4487" s="3" t="s">
        <v>15</v>
      </c>
      <c r="G4487" s="6" t="s">
        <v>3359</v>
      </c>
      <c r="H4487" s="9">
        <v>200</v>
      </c>
      <c r="I4487" s="9">
        <v>200</v>
      </c>
      <c r="J4487" s="6"/>
      <c r="K4487" s="5"/>
      <c r="L4487" s="10">
        <v>20201118</v>
      </c>
      <c r="M4487" s="36" t="str">
        <f t="shared" si="70"/>
        <v>19740301</v>
      </c>
    </row>
    <row r="4488" s="1" customFormat="1" spans="1:13">
      <c r="A4488" s="2">
        <v>2660</v>
      </c>
      <c r="B4488" s="32" t="s">
        <v>5602</v>
      </c>
      <c r="C4488" s="9" t="s">
        <v>5854</v>
      </c>
      <c r="D4488" s="9" t="s">
        <v>5855</v>
      </c>
      <c r="E4488" s="32">
        <v>2020</v>
      </c>
      <c r="F4488" s="32">
        <v>2020</v>
      </c>
      <c r="G4488" s="32" t="s">
        <v>16</v>
      </c>
      <c r="H4488" s="9">
        <v>200</v>
      </c>
      <c r="I4488" s="9">
        <v>200</v>
      </c>
      <c r="J4488" s="32"/>
      <c r="K4488" s="52"/>
      <c r="L4488" s="10">
        <v>20201118</v>
      </c>
      <c r="M4488" s="36" t="str">
        <f t="shared" si="70"/>
        <v>19740302</v>
      </c>
    </row>
    <row r="4489" s="1" customFormat="1" spans="1:13">
      <c r="A4489" s="2">
        <v>7946</v>
      </c>
      <c r="B4489" s="5" t="s">
        <v>15086</v>
      </c>
      <c r="C4489" s="6" t="s">
        <v>15220</v>
      </c>
      <c r="D4489" s="6" t="str">
        <f>"152326197403026878"</f>
        <v>152326197403026878</v>
      </c>
      <c r="E4489" s="5" t="s">
        <v>15</v>
      </c>
      <c r="F4489" s="5">
        <v>2020</v>
      </c>
      <c r="G4489" s="5" t="s">
        <v>16</v>
      </c>
      <c r="H4489" s="5">
        <v>200</v>
      </c>
      <c r="I4489" s="5">
        <v>200</v>
      </c>
      <c r="J4489" s="5"/>
      <c r="K4489" s="5"/>
      <c r="L4489" s="10">
        <v>20201118</v>
      </c>
      <c r="M4489" s="36" t="str">
        <f t="shared" si="70"/>
        <v>19740302</v>
      </c>
    </row>
    <row r="4490" s="1" customFormat="1" spans="1:13">
      <c r="A4490" s="2">
        <v>1661</v>
      </c>
      <c r="B4490" s="5" t="s">
        <v>3381</v>
      </c>
      <c r="C4490" s="9" t="s">
        <v>3884</v>
      </c>
      <c r="D4490" s="9" t="s">
        <v>3885</v>
      </c>
      <c r="E4490" s="5">
        <v>2020</v>
      </c>
      <c r="F4490" s="5">
        <v>2020</v>
      </c>
      <c r="G4490" s="14" t="s">
        <v>16</v>
      </c>
      <c r="H4490" s="6">
        <v>200</v>
      </c>
      <c r="I4490" s="6">
        <v>200</v>
      </c>
      <c r="J4490" s="5"/>
      <c r="K4490" s="13"/>
      <c r="L4490" s="10">
        <v>20201118</v>
      </c>
      <c r="M4490" s="36" t="str">
        <f t="shared" si="70"/>
        <v>19740303</v>
      </c>
    </row>
    <row r="4491" s="1" customFormat="1" spans="1:13">
      <c r="A4491" s="2">
        <v>5808</v>
      </c>
      <c r="B4491" s="30" t="s">
        <v>11090</v>
      </c>
      <c r="C4491" s="30" t="s">
        <v>11685</v>
      </c>
      <c r="D4491" s="30" t="s">
        <v>11686</v>
      </c>
      <c r="E4491" s="5" t="s">
        <v>15</v>
      </c>
      <c r="F4491" s="5" t="s">
        <v>10250</v>
      </c>
      <c r="G4491" s="6" t="s">
        <v>16</v>
      </c>
      <c r="H4491" s="32">
        <v>200</v>
      </c>
      <c r="I4491" s="32">
        <v>200</v>
      </c>
      <c r="J4491" s="6"/>
      <c r="K4491" s="48"/>
      <c r="L4491" s="10">
        <v>20201118</v>
      </c>
      <c r="M4491" s="36" t="str">
        <f t="shared" si="70"/>
        <v>19740303</v>
      </c>
    </row>
    <row r="4492" s="1" customFormat="1" spans="1:13">
      <c r="A4492" s="2">
        <v>6162</v>
      </c>
      <c r="B4492" s="5" t="s">
        <v>12263</v>
      </c>
      <c r="C4492" s="5" t="s">
        <v>3161</v>
      </c>
      <c r="D4492" s="5" t="s">
        <v>12356</v>
      </c>
      <c r="E4492" s="5" t="s">
        <v>10250</v>
      </c>
      <c r="F4492" s="5">
        <v>2020</v>
      </c>
      <c r="G4492" s="17" t="s">
        <v>3359</v>
      </c>
      <c r="H4492" s="5">
        <v>200</v>
      </c>
      <c r="I4492" s="5">
        <v>200</v>
      </c>
      <c r="J4492" s="5"/>
      <c r="K4492" s="5"/>
      <c r="L4492" s="10">
        <v>20201118</v>
      </c>
      <c r="M4492" s="36" t="str">
        <f t="shared" si="70"/>
        <v>19740304</v>
      </c>
    </row>
    <row r="4493" s="1" customFormat="1" ht="14.25" spans="1:13">
      <c r="A4493" s="2">
        <v>2890</v>
      </c>
      <c r="B4493" s="6" t="s">
        <v>6075</v>
      </c>
      <c r="C4493" s="25" t="s">
        <v>6309</v>
      </c>
      <c r="D4493" s="26" t="s">
        <v>6310</v>
      </c>
      <c r="E4493" s="5" t="s">
        <v>15</v>
      </c>
      <c r="F4493" s="5">
        <v>2020</v>
      </c>
      <c r="G4493" s="6" t="s">
        <v>16</v>
      </c>
      <c r="H4493" s="6">
        <v>200</v>
      </c>
      <c r="I4493" s="6">
        <v>200</v>
      </c>
      <c r="J4493" s="6"/>
      <c r="K4493" s="10"/>
      <c r="L4493" s="10">
        <v>20201118</v>
      </c>
      <c r="M4493" s="36" t="str">
        <f t="shared" si="70"/>
        <v>19740305</v>
      </c>
    </row>
    <row r="4494" s="1" customFormat="1" spans="1:13">
      <c r="A4494" s="2">
        <v>3369</v>
      </c>
      <c r="B4494" s="5" t="s">
        <v>3375</v>
      </c>
      <c r="C4494" s="6" t="s">
        <v>7146</v>
      </c>
      <c r="D4494" s="6" t="str">
        <f>"152326197403056911"</f>
        <v>152326197403056911</v>
      </c>
      <c r="E4494" s="5" t="s">
        <v>15</v>
      </c>
      <c r="F4494" s="5">
        <v>2020</v>
      </c>
      <c r="G4494" s="14" t="s">
        <v>16</v>
      </c>
      <c r="H4494" s="17">
        <v>200</v>
      </c>
      <c r="I4494" s="17">
        <v>200</v>
      </c>
      <c r="J4494" s="6"/>
      <c r="K4494" s="10"/>
      <c r="L4494" s="10">
        <v>20201118</v>
      </c>
      <c r="M4494" s="36" t="str">
        <f t="shared" si="70"/>
        <v>19740305</v>
      </c>
    </row>
    <row r="4495" s="1" customFormat="1" spans="1:13">
      <c r="A4495" s="2">
        <v>4309</v>
      </c>
      <c r="B4495" s="9" t="s">
        <v>8515</v>
      </c>
      <c r="C4495" s="9" t="s">
        <v>8810</v>
      </c>
      <c r="D4495" s="9" t="s">
        <v>8811</v>
      </c>
      <c r="E4495" s="5" t="s">
        <v>15</v>
      </c>
      <c r="F4495" s="5">
        <v>2020</v>
      </c>
      <c r="G4495" s="9" t="s">
        <v>2480</v>
      </c>
      <c r="H4495" s="9">
        <v>200</v>
      </c>
      <c r="I4495" s="9">
        <v>200</v>
      </c>
      <c r="J4495" s="9"/>
      <c r="K4495" s="9"/>
      <c r="L4495" s="10">
        <v>20201118</v>
      </c>
      <c r="M4495" s="36" t="str">
        <f t="shared" si="70"/>
        <v>19740305</v>
      </c>
    </row>
    <row r="4496" s="1" customFormat="1" spans="1:13">
      <c r="A4496" s="2">
        <v>399</v>
      </c>
      <c r="B4496" s="29" t="s">
        <v>1040</v>
      </c>
      <c r="C4496" s="29" t="s">
        <v>1074</v>
      </c>
      <c r="D4496" s="29" t="s">
        <v>1075</v>
      </c>
      <c r="E4496" s="30">
        <v>2020</v>
      </c>
      <c r="F4496" s="30">
        <v>2020</v>
      </c>
      <c r="G4496" s="29" t="s">
        <v>16</v>
      </c>
      <c r="H4496" s="29">
        <v>200</v>
      </c>
      <c r="I4496" s="29">
        <v>200</v>
      </c>
      <c r="J4496" s="29"/>
      <c r="K4496" s="47"/>
      <c r="L4496" s="14" t="s">
        <v>330</v>
      </c>
      <c r="M4496" s="36" t="str">
        <f t="shared" si="70"/>
        <v>19740307</v>
      </c>
    </row>
    <row r="4497" s="1" customFormat="1" ht="14.25" spans="1:13">
      <c r="A4497" s="2">
        <v>2141</v>
      </c>
      <c r="B4497" s="5" t="s">
        <v>4189</v>
      </c>
      <c r="C4497" s="17" t="s">
        <v>4830</v>
      </c>
      <c r="D4497" s="318" t="s">
        <v>4831</v>
      </c>
      <c r="E4497" s="5" t="s">
        <v>288</v>
      </c>
      <c r="F4497" s="5" t="s">
        <v>15</v>
      </c>
      <c r="G4497" s="5" t="s">
        <v>289</v>
      </c>
      <c r="H4497" s="6" t="s">
        <v>311</v>
      </c>
      <c r="I4497" s="6">
        <v>800</v>
      </c>
      <c r="J4497" s="6"/>
      <c r="K4497" s="10"/>
      <c r="L4497" s="10">
        <v>20201118</v>
      </c>
      <c r="M4497" s="36" t="str">
        <f t="shared" si="70"/>
        <v>19740307</v>
      </c>
    </row>
    <row r="4498" s="1" customFormat="1" spans="1:13">
      <c r="A4498" s="2">
        <v>3902</v>
      </c>
      <c r="B4498" s="5" t="s">
        <v>7412</v>
      </c>
      <c r="C4498" s="5" t="s">
        <v>8034</v>
      </c>
      <c r="D4498" s="5" t="s">
        <v>8035</v>
      </c>
      <c r="E4498" s="6">
        <v>2020</v>
      </c>
      <c r="F4498" s="6">
        <v>2020</v>
      </c>
      <c r="G4498" s="5" t="s">
        <v>3359</v>
      </c>
      <c r="H4498" s="5">
        <v>200</v>
      </c>
      <c r="I4498" s="5">
        <v>200</v>
      </c>
      <c r="J4498" s="5"/>
      <c r="K4498" s="5"/>
      <c r="L4498" s="10">
        <v>20201118</v>
      </c>
      <c r="M4498" s="36" t="str">
        <f t="shared" si="70"/>
        <v>19740307</v>
      </c>
    </row>
    <row r="4499" s="1" customFormat="1" spans="1:13">
      <c r="A4499" s="2">
        <v>6429</v>
      </c>
      <c r="B4499" s="5" t="s">
        <v>12263</v>
      </c>
      <c r="C4499" s="5" t="s">
        <v>12863</v>
      </c>
      <c r="D4499" s="5" t="s">
        <v>12864</v>
      </c>
      <c r="E4499" s="5" t="s">
        <v>10250</v>
      </c>
      <c r="F4499" s="5">
        <v>2020</v>
      </c>
      <c r="G4499" s="17" t="s">
        <v>3359</v>
      </c>
      <c r="H4499" s="5">
        <v>200</v>
      </c>
      <c r="I4499" s="5">
        <v>200</v>
      </c>
      <c r="J4499" s="5"/>
      <c r="K4499" s="5"/>
      <c r="L4499" s="10">
        <v>20201118</v>
      </c>
      <c r="M4499" s="36" t="str">
        <f t="shared" si="70"/>
        <v>19740307</v>
      </c>
    </row>
    <row r="4500" s="1" customFormat="1" spans="1:13">
      <c r="A4500" s="2">
        <v>7942</v>
      </c>
      <c r="B4500" s="5" t="s">
        <v>15086</v>
      </c>
      <c r="C4500" s="6" t="s">
        <v>8086</v>
      </c>
      <c r="D4500" s="6" t="str">
        <f>"152326197403086862"</f>
        <v>152326197403086862</v>
      </c>
      <c r="E4500" s="5" t="s">
        <v>15</v>
      </c>
      <c r="F4500" s="5">
        <v>2020</v>
      </c>
      <c r="G4500" s="5" t="s">
        <v>16</v>
      </c>
      <c r="H4500" s="5">
        <v>500</v>
      </c>
      <c r="I4500" s="5">
        <v>500</v>
      </c>
      <c r="J4500" s="5"/>
      <c r="K4500" s="5"/>
      <c r="L4500" s="10">
        <v>20201118</v>
      </c>
      <c r="M4500" s="36" t="str">
        <f t="shared" si="70"/>
        <v>19740308</v>
      </c>
    </row>
    <row r="4501" s="1" customFormat="1" spans="1:13">
      <c r="A4501" s="2">
        <v>5626</v>
      </c>
      <c r="B4501" s="30" t="s">
        <v>11090</v>
      </c>
      <c r="C4501" s="30" t="s">
        <v>11342</v>
      </c>
      <c r="D4501" s="30" t="s">
        <v>11343</v>
      </c>
      <c r="E4501" s="5" t="s">
        <v>15</v>
      </c>
      <c r="F4501" s="5" t="s">
        <v>10250</v>
      </c>
      <c r="G4501" s="6" t="s">
        <v>16</v>
      </c>
      <c r="H4501" s="32">
        <v>200</v>
      </c>
      <c r="I4501" s="32">
        <v>200</v>
      </c>
      <c r="J4501" s="6"/>
      <c r="K4501" s="48"/>
      <c r="L4501" s="10">
        <v>20201118</v>
      </c>
      <c r="M4501" s="36" t="str">
        <f t="shared" si="70"/>
        <v>19740309</v>
      </c>
    </row>
    <row r="4502" s="1" customFormat="1" spans="1:13">
      <c r="A4502" s="2">
        <v>2661</v>
      </c>
      <c r="B4502" s="32" t="s">
        <v>5602</v>
      </c>
      <c r="C4502" s="9" t="s">
        <v>5856</v>
      </c>
      <c r="D4502" s="9" t="s">
        <v>5857</v>
      </c>
      <c r="E4502" s="32">
        <v>2020</v>
      </c>
      <c r="F4502" s="32">
        <v>2020</v>
      </c>
      <c r="G4502" s="32" t="s">
        <v>16</v>
      </c>
      <c r="H4502" s="9">
        <v>200</v>
      </c>
      <c r="I4502" s="9">
        <v>200</v>
      </c>
      <c r="J4502" s="32"/>
      <c r="K4502" s="52"/>
      <c r="L4502" s="10">
        <v>20201118</v>
      </c>
      <c r="M4502" s="36" t="str">
        <f t="shared" si="70"/>
        <v>19740310</v>
      </c>
    </row>
    <row r="4503" s="1" customFormat="1" spans="1:13">
      <c r="A4503" s="2">
        <v>5855</v>
      </c>
      <c r="B4503" s="30" t="s">
        <v>11090</v>
      </c>
      <c r="C4503" s="30" t="s">
        <v>1291</v>
      </c>
      <c r="D4503" s="30" t="s">
        <v>11773</v>
      </c>
      <c r="E4503" s="5" t="s">
        <v>15</v>
      </c>
      <c r="F4503" s="5" t="s">
        <v>10250</v>
      </c>
      <c r="G4503" s="6" t="s">
        <v>16</v>
      </c>
      <c r="H4503" s="32">
        <v>200</v>
      </c>
      <c r="I4503" s="32">
        <v>200</v>
      </c>
      <c r="J4503" s="6" t="s">
        <v>11135</v>
      </c>
      <c r="K4503" s="48"/>
      <c r="L4503" s="10">
        <v>20201118</v>
      </c>
      <c r="M4503" s="36" t="str">
        <f t="shared" si="70"/>
        <v>19740310</v>
      </c>
    </row>
    <row r="4504" s="1" customFormat="1" spans="1:13">
      <c r="A4504" s="2">
        <v>3219</v>
      </c>
      <c r="B4504" s="3" t="s">
        <v>6671</v>
      </c>
      <c r="C4504" s="9" t="s">
        <v>6944</v>
      </c>
      <c r="D4504" s="9" t="s">
        <v>6945</v>
      </c>
      <c r="E4504" s="3" t="s">
        <v>15</v>
      </c>
      <c r="F4504" s="3" t="s">
        <v>15</v>
      </c>
      <c r="G4504" s="6" t="s">
        <v>3359</v>
      </c>
      <c r="H4504" s="9">
        <v>200</v>
      </c>
      <c r="I4504" s="9">
        <v>200</v>
      </c>
      <c r="J4504" s="6"/>
      <c r="K4504" s="5"/>
      <c r="L4504" s="10">
        <v>20201118</v>
      </c>
      <c r="M4504" s="36" t="str">
        <f t="shared" si="70"/>
        <v>19740311</v>
      </c>
    </row>
    <row r="4505" s="1" customFormat="1" ht="14.25" spans="1:13">
      <c r="A4505" s="2">
        <v>5347</v>
      </c>
      <c r="B4505" s="33" t="s">
        <v>10535</v>
      </c>
      <c r="C4505" s="34" t="s">
        <v>10807</v>
      </c>
      <c r="D4505" s="34" t="s">
        <v>10808</v>
      </c>
      <c r="E4505" s="35">
        <v>2020</v>
      </c>
      <c r="F4505" s="35">
        <v>2020</v>
      </c>
      <c r="G4505" s="35" t="s">
        <v>16</v>
      </c>
      <c r="H4505" s="34">
        <v>200</v>
      </c>
      <c r="I4505" s="34">
        <v>200</v>
      </c>
      <c r="J4505" s="49"/>
      <c r="K4505" s="10"/>
      <c r="L4505" s="10">
        <v>20201118</v>
      </c>
      <c r="M4505" s="36" t="str">
        <f t="shared" si="70"/>
        <v>19740312</v>
      </c>
    </row>
    <row r="4506" s="1" customFormat="1" ht="14.25" spans="1:13">
      <c r="A4506" s="2">
        <v>7688</v>
      </c>
      <c r="B4506" s="5" t="s">
        <v>14875</v>
      </c>
      <c r="C4506" s="51" t="s">
        <v>14930</v>
      </c>
      <c r="D4506" s="24" t="str">
        <f>"152326197403127118"</f>
        <v>152326197403127118</v>
      </c>
      <c r="E4506" s="6" t="s">
        <v>15</v>
      </c>
      <c r="F4506" s="6">
        <v>2020</v>
      </c>
      <c r="G4506" s="24" t="s">
        <v>14877</v>
      </c>
      <c r="H4506" s="6">
        <v>200</v>
      </c>
      <c r="I4506" s="6">
        <v>200</v>
      </c>
      <c r="J4506" s="6"/>
      <c r="K4506" s="10"/>
      <c r="L4506" s="10">
        <v>20201118</v>
      </c>
      <c r="M4506" s="36" t="str">
        <f t="shared" si="70"/>
        <v>19740312</v>
      </c>
    </row>
    <row r="4507" s="1" customFormat="1" spans="1:13">
      <c r="A4507" s="2">
        <v>8201</v>
      </c>
      <c r="B4507" s="5" t="s">
        <v>15406</v>
      </c>
      <c r="C4507" s="6" t="s">
        <v>15586</v>
      </c>
      <c r="D4507" s="6" t="s">
        <v>15587</v>
      </c>
      <c r="E4507" s="5" t="s">
        <v>15</v>
      </c>
      <c r="F4507" s="5">
        <v>2020</v>
      </c>
      <c r="G4507" s="14" t="s">
        <v>16</v>
      </c>
      <c r="H4507" s="6" t="s">
        <v>2295</v>
      </c>
      <c r="I4507" s="6">
        <v>500</v>
      </c>
      <c r="J4507" s="5"/>
      <c r="K4507" s="10"/>
      <c r="L4507" s="10">
        <v>20201118</v>
      </c>
      <c r="M4507" s="36" t="str">
        <f t="shared" si="70"/>
        <v>19740312</v>
      </c>
    </row>
    <row r="4508" s="1" customFormat="1" spans="1:13">
      <c r="A4508" s="2">
        <v>1134</v>
      </c>
      <c r="B4508" s="5" t="s">
        <v>2469</v>
      </c>
      <c r="C4508" s="9" t="s">
        <v>2854</v>
      </c>
      <c r="D4508" s="9" t="s">
        <v>2855</v>
      </c>
      <c r="E4508" s="5">
        <v>2020</v>
      </c>
      <c r="F4508" s="5">
        <v>2020</v>
      </c>
      <c r="G4508" s="9" t="s">
        <v>2480</v>
      </c>
      <c r="H4508" s="9">
        <v>200</v>
      </c>
      <c r="I4508" s="9">
        <v>200</v>
      </c>
      <c r="J4508" s="5"/>
      <c r="K4508" s="5"/>
      <c r="L4508" s="10">
        <v>20201118</v>
      </c>
      <c r="M4508" s="36" t="str">
        <f t="shared" si="70"/>
        <v>19740314</v>
      </c>
    </row>
    <row r="4509" s="1" customFormat="1" spans="1:13">
      <c r="A4509" s="2">
        <v>7106</v>
      </c>
      <c r="B4509" s="5" t="s">
        <v>13533</v>
      </c>
      <c r="C4509" s="6" t="s">
        <v>12075</v>
      </c>
      <c r="D4509" s="6" t="str">
        <f>"152326197403157122"</f>
        <v>152326197403157122</v>
      </c>
      <c r="E4509" s="5">
        <v>2020</v>
      </c>
      <c r="F4509" s="5">
        <v>2020</v>
      </c>
      <c r="G4509" s="9" t="s">
        <v>2480</v>
      </c>
      <c r="H4509" s="32">
        <v>200</v>
      </c>
      <c r="I4509" s="32">
        <v>200</v>
      </c>
      <c r="J4509" s="32"/>
      <c r="K4509" s="10"/>
      <c r="L4509" s="10">
        <v>20201118</v>
      </c>
      <c r="M4509" s="36" t="str">
        <f t="shared" si="70"/>
        <v>19740315</v>
      </c>
    </row>
    <row r="4510" s="1" customFormat="1" spans="1:13">
      <c r="A4510" s="2">
        <v>1962</v>
      </c>
      <c r="B4510" s="5" t="s">
        <v>4189</v>
      </c>
      <c r="C4510" s="16" t="s">
        <v>4483</v>
      </c>
      <c r="D4510" s="16" t="s">
        <v>4484</v>
      </c>
      <c r="E4510" s="5" t="s">
        <v>15</v>
      </c>
      <c r="F4510" s="5" t="s">
        <v>15</v>
      </c>
      <c r="G4510" s="5" t="s">
        <v>3359</v>
      </c>
      <c r="H4510" s="16">
        <v>200</v>
      </c>
      <c r="I4510" s="16">
        <v>200</v>
      </c>
      <c r="J4510" s="5"/>
      <c r="K4510" s="10"/>
      <c r="L4510" s="10">
        <v>20201118</v>
      </c>
      <c r="M4510" s="36" t="str">
        <f t="shared" si="70"/>
        <v>19740316</v>
      </c>
    </row>
    <row r="4511" s="1" customFormat="1" spans="1:13">
      <c r="A4511" s="2">
        <v>7288</v>
      </c>
      <c r="B4511" s="5" t="s">
        <v>13908</v>
      </c>
      <c r="C4511" s="5" t="s">
        <v>14215</v>
      </c>
      <c r="D4511" s="5" t="s">
        <v>14216</v>
      </c>
      <c r="E4511" s="5" t="s">
        <v>15</v>
      </c>
      <c r="F4511" s="5" t="s">
        <v>15</v>
      </c>
      <c r="G4511" s="14" t="s">
        <v>16</v>
      </c>
      <c r="H4511" s="17">
        <v>200</v>
      </c>
      <c r="I4511" s="17">
        <v>200</v>
      </c>
      <c r="J4511" s="5"/>
      <c r="K4511" s="10"/>
      <c r="L4511" s="10">
        <v>20201118</v>
      </c>
      <c r="M4511" s="36" t="str">
        <f t="shared" si="70"/>
        <v>19740317</v>
      </c>
    </row>
    <row r="4512" s="1" customFormat="1" spans="1:13">
      <c r="A4512" s="2">
        <v>6889</v>
      </c>
      <c r="B4512" s="5" t="s">
        <v>13533</v>
      </c>
      <c r="C4512" s="32" t="s">
        <v>13639</v>
      </c>
      <c r="D4512" s="32" t="str">
        <f>"152326197403197140"</f>
        <v>152326197403197140</v>
      </c>
      <c r="E4512" s="5">
        <v>2020</v>
      </c>
      <c r="F4512" s="5">
        <v>2020</v>
      </c>
      <c r="G4512" s="9" t="s">
        <v>2480</v>
      </c>
      <c r="H4512" s="32">
        <v>200</v>
      </c>
      <c r="I4512" s="32">
        <v>200</v>
      </c>
      <c r="J4512" s="62"/>
      <c r="K4512" s="10"/>
      <c r="L4512" s="10">
        <v>20201118</v>
      </c>
      <c r="M4512" s="36" t="str">
        <f t="shared" si="70"/>
        <v>19740319</v>
      </c>
    </row>
    <row r="4513" s="1" customFormat="1" spans="1:13">
      <c r="A4513" s="2">
        <v>3560</v>
      </c>
      <c r="B4513" s="5" t="s">
        <v>3375</v>
      </c>
      <c r="C4513" s="5" t="s">
        <v>7390</v>
      </c>
      <c r="D4513" s="296" t="s">
        <v>7391</v>
      </c>
      <c r="E4513" s="5" t="s">
        <v>15</v>
      </c>
      <c r="F4513" s="5">
        <v>2020</v>
      </c>
      <c r="G4513" s="14" t="s">
        <v>16</v>
      </c>
      <c r="H4513" s="5">
        <v>200</v>
      </c>
      <c r="I4513" s="5">
        <v>200</v>
      </c>
      <c r="J4513" s="5"/>
      <c r="K4513" s="10"/>
      <c r="L4513" s="10">
        <v>20201118</v>
      </c>
      <c r="M4513" s="36" t="str">
        <f t="shared" si="70"/>
        <v>19740320</v>
      </c>
    </row>
    <row r="4514" s="1" customFormat="1" spans="1:13">
      <c r="A4514" s="2">
        <v>3370</v>
      </c>
      <c r="B4514" s="5" t="s">
        <v>3375</v>
      </c>
      <c r="C4514" s="6" t="s">
        <v>7147</v>
      </c>
      <c r="D4514" s="6" t="str">
        <f>"152324197403220862"</f>
        <v>152324197403220862</v>
      </c>
      <c r="E4514" s="5" t="s">
        <v>15</v>
      </c>
      <c r="F4514" s="5">
        <v>2020</v>
      </c>
      <c r="G4514" s="14" t="s">
        <v>16</v>
      </c>
      <c r="H4514" s="17">
        <v>500</v>
      </c>
      <c r="I4514" s="17">
        <v>500</v>
      </c>
      <c r="J4514" s="6"/>
      <c r="K4514" s="10"/>
      <c r="L4514" s="10">
        <v>20201118</v>
      </c>
      <c r="M4514" s="36" t="str">
        <f t="shared" si="70"/>
        <v>19740322</v>
      </c>
    </row>
    <row r="4515" s="1" customFormat="1" spans="1:13">
      <c r="A4515" s="2">
        <v>3129</v>
      </c>
      <c r="B4515" s="3" t="s">
        <v>6671</v>
      </c>
      <c r="C4515" s="9" t="s">
        <v>6779</v>
      </c>
      <c r="D4515" s="9" t="s">
        <v>6780</v>
      </c>
      <c r="E4515" s="3" t="s">
        <v>15</v>
      </c>
      <c r="F4515" s="3" t="s">
        <v>15</v>
      </c>
      <c r="G4515" s="6" t="s">
        <v>3359</v>
      </c>
      <c r="H4515" s="9">
        <v>200</v>
      </c>
      <c r="I4515" s="9">
        <v>200</v>
      </c>
      <c r="J4515" s="6"/>
      <c r="K4515" s="5"/>
      <c r="L4515" s="10">
        <v>20201118</v>
      </c>
      <c r="M4515" s="36" t="str">
        <f t="shared" si="70"/>
        <v>19740403</v>
      </c>
    </row>
    <row r="4516" s="1" customFormat="1" spans="1:13">
      <c r="A4516" s="2">
        <v>4310</v>
      </c>
      <c r="B4516" s="9" t="s">
        <v>8515</v>
      </c>
      <c r="C4516" s="9" t="s">
        <v>8812</v>
      </c>
      <c r="D4516" s="9" t="s">
        <v>8813</v>
      </c>
      <c r="E4516" s="5" t="s">
        <v>15</v>
      </c>
      <c r="F4516" s="5">
        <v>2020</v>
      </c>
      <c r="G4516" s="9" t="s">
        <v>2480</v>
      </c>
      <c r="H4516" s="9">
        <v>200</v>
      </c>
      <c r="I4516" s="9">
        <v>200</v>
      </c>
      <c r="J4516" s="9"/>
      <c r="K4516" s="9"/>
      <c r="L4516" s="10">
        <v>20201118</v>
      </c>
      <c r="M4516" s="36" t="str">
        <f t="shared" si="70"/>
        <v>19740404</v>
      </c>
    </row>
    <row r="4517" s="1" customFormat="1" spans="1:13">
      <c r="A4517" s="2">
        <v>7303</v>
      </c>
      <c r="B4517" s="5" t="s">
        <v>13908</v>
      </c>
      <c r="C4517" s="5" t="s">
        <v>14244</v>
      </c>
      <c r="D4517" s="5" t="s">
        <v>14245</v>
      </c>
      <c r="E4517" s="5" t="s">
        <v>15</v>
      </c>
      <c r="F4517" s="5" t="s">
        <v>15</v>
      </c>
      <c r="G4517" s="14" t="s">
        <v>16</v>
      </c>
      <c r="H4517" s="17">
        <v>200</v>
      </c>
      <c r="I4517" s="17">
        <v>200</v>
      </c>
      <c r="J4517" s="5"/>
      <c r="K4517" s="10"/>
      <c r="L4517" s="10">
        <v>20201118</v>
      </c>
      <c r="M4517" s="36" t="str">
        <f t="shared" si="70"/>
        <v>19740404</v>
      </c>
    </row>
    <row r="4518" s="1" customFormat="1" ht="14.25" spans="1:13">
      <c r="A4518" s="2">
        <v>7692</v>
      </c>
      <c r="B4518" s="5" t="s">
        <v>14875</v>
      </c>
      <c r="C4518" s="51" t="s">
        <v>14935</v>
      </c>
      <c r="D4518" s="24" t="str">
        <f>"152326197404047136"</f>
        <v>152326197404047136</v>
      </c>
      <c r="E4518" s="6" t="s">
        <v>15</v>
      </c>
      <c r="F4518" s="6">
        <v>2020</v>
      </c>
      <c r="G4518" s="24" t="s">
        <v>14877</v>
      </c>
      <c r="H4518" s="6">
        <v>200</v>
      </c>
      <c r="I4518" s="6">
        <v>200</v>
      </c>
      <c r="J4518" s="6"/>
      <c r="K4518" s="10"/>
      <c r="L4518" s="10">
        <v>20201118</v>
      </c>
      <c r="M4518" s="36" t="str">
        <f t="shared" si="70"/>
        <v>19740404</v>
      </c>
    </row>
    <row r="4519" s="1" customFormat="1" spans="1:13">
      <c r="A4519" s="2">
        <v>1662</v>
      </c>
      <c r="B4519" s="5" t="s">
        <v>3381</v>
      </c>
      <c r="C4519" s="9" t="s">
        <v>3886</v>
      </c>
      <c r="D4519" s="9" t="s">
        <v>3887</v>
      </c>
      <c r="E4519" s="5">
        <v>2020</v>
      </c>
      <c r="F4519" s="5">
        <v>2020</v>
      </c>
      <c r="G4519" s="14" t="s">
        <v>16</v>
      </c>
      <c r="H4519" s="6">
        <v>200</v>
      </c>
      <c r="I4519" s="6">
        <v>200</v>
      </c>
      <c r="J4519" s="5"/>
      <c r="K4519" s="13"/>
      <c r="L4519" s="10">
        <v>20201118</v>
      </c>
      <c r="M4519" s="36" t="str">
        <f t="shared" si="70"/>
        <v>19740405</v>
      </c>
    </row>
    <row r="4520" s="1" customFormat="1" spans="1:13">
      <c r="A4520" s="2">
        <v>5133</v>
      </c>
      <c r="B4520" s="6" t="s">
        <v>10242</v>
      </c>
      <c r="C4520" s="9" t="s">
        <v>10393</v>
      </c>
      <c r="D4520" s="9" t="s">
        <v>10394</v>
      </c>
      <c r="E4520" s="5" t="s">
        <v>10250</v>
      </c>
      <c r="F4520" s="5">
        <v>2020</v>
      </c>
      <c r="G4520" s="6" t="s">
        <v>16</v>
      </c>
      <c r="H4520" s="6">
        <v>200</v>
      </c>
      <c r="I4520" s="6">
        <v>200</v>
      </c>
      <c r="J4520" s="6"/>
      <c r="K4520" s="5"/>
      <c r="L4520" s="10">
        <v>20201118</v>
      </c>
      <c r="M4520" s="36" t="str">
        <f t="shared" si="70"/>
        <v>19740406</v>
      </c>
    </row>
    <row r="4521" s="1" customFormat="1" spans="1:13">
      <c r="A4521" s="2">
        <v>1135</v>
      </c>
      <c r="B4521" s="5" t="s">
        <v>2469</v>
      </c>
      <c r="C4521" s="9" t="s">
        <v>2856</v>
      </c>
      <c r="D4521" s="9" t="s">
        <v>2857</v>
      </c>
      <c r="E4521" s="5">
        <v>2020</v>
      </c>
      <c r="F4521" s="5">
        <v>2020</v>
      </c>
      <c r="G4521" s="9" t="s">
        <v>2480</v>
      </c>
      <c r="H4521" s="9">
        <v>200</v>
      </c>
      <c r="I4521" s="9">
        <v>200</v>
      </c>
      <c r="J4521" s="5"/>
      <c r="K4521" s="5"/>
      <c r="L4521" s="10">
        <v>20201118</v>
      </c>
      <c r="M4521" s="36" t="str">
        <f t="shared" si="70"/>
        <v>19740407</v>
      </c>
    </row>
    <row r="4522" s="1" customFormat="1" spans="1:13">
      <c r="A4522" s="2">
        <v>5920</v>
      </c>
      <c r="B4522" s="30" t="s">
        <v>11090</v>
      </c>
      <c r="C4522" s="30" t="s">
        <v>11889</v>
      </c>
      <c r="D4522" s="30" t="s">
        <v>11890</v>
      </c>
      <c r="E4522" s="5" t="s">
        <v>15</v>
      </c>
      <c r="F4522" s="5" t="s">
        <v>10250</v>
      </c>
      <c r="G4522" s="6" t="s">
        <v>16</v>
      </c>
      <c r="H4522" s="32">
        <v>200</v>
      </c>
      <c r="I4522" s="32">
        <v>200</v>
      </c>
      <c r="J4522" s="6"/>
      <c r="K4522" s="48"/>
      <c r="L4522" s="10">
        <v>20201118</v>
      </c>
      <c r="M4522" s="36" t="str">
        <f t="shared" si="70"/>
        <v>19740408</v>
      </c>
    </row>
    <row r="4523" s="1" customFormat="1" spans="1:13">
      <c r="A4523" s="2">
        <v>6398</v>
      </c>
      <c r="B4523" s="5" t="s">
        <v>12263</v>
      </c>
      <c r="C4523" s="5" t="s">
        <v>12806</v>
      </c>
      <c r="D4523" s="5" t="s">
        <v>12807</v>
      </c>
      <c r="E4523" s="5" t="s">
        <v>10250</v>
      </c>
      <c r="F4523" s="5">
        <v>2020</v>
      </c>
      <c r="G4523" s="17" t="s">
        <v>3359</v>
      </c>
      <c r="H4523" s="5" t="s">
        <v>311</v>
      </c>
      <c r="I4523" s="5">
        <v>200</v>
      </c>
      <c r="J4523" s="5"/>
      <c r="K4523" s="5"/>
      <c r="L4523" s="10">
        <v>20201118</v>
      </c>
      <c r="M4523" s="36" t="str">
        <f t="shared" si="70"/>
        <v>19740408</v>
      </c>
    </row>
    <row r="4524" s="1" customFormat="1" spans="1:13">
      <c r="A4524" s="2">
        <v>6895</v>
      </c>
      <c r="B4524" s="5" t="s">
        <v>13533</v>
      </c>
      <c r="C4524" s="32" t="s">
        <v>13645</v>
      </c>
      <c r="D4524" s="32" t="str">
        <f>"152326197404097117"</f>
        <v>152326197404097117</v>
      </c>
      <c r="E4524" s="5">
        <v>2020</v>
      </c>
      <c r="F4524" s="5">
        <v>2020</v>
      </c>
      <c r="G4524" s="9" t="s">
        <v>2480</v>
      </c>
      <c r="H4524" s="32">
        <v>200</v>
      </c>
      <c r="I4524" s="32">
        <v>200</v>
      </c>
      <c r="J4524" s="62"/>
      <c r="K4524" s="10"/>
      <c r="L4524" s="10">
        <v>20201118</v>
      </c>
      <c r="M4524" s="36" t="str">
        <f t="shared" si="70"/>
        <v>19740409</v>
      </c>
    </row>
    <row r="4525" s="1" customFormat="1" spans="1:13">
      <c r="A4525" s="2">
        <v>7944</v>
      </c>
      <c r="B4525" s="5" t="s">
        <v>15086</v>
      </c>
      <c r="C4525" s="6" t="s">
        <v>15217</v>
      </c>
      <c r="D4525" s="6" t="str">
        <f>"152326197404106896"</f>
        <v>152326197404106896</v>
      </c>
      <c r="E4525" s="5" t="s">
        <v>15</v>
      </c>
      <c r="F4525" s="5">
        <v>2020</v>
      </c>
      <c r="G4525" s="5" t="s">
        <v>16</v>
      </c>
      <c r="H4525" s="5">
        <v>200</v>
      </c>
      <c r="I4525" s="5">
        <v>200</v>
      </c>
      <c r="J4525" s="5"/>
      <c r="K4525" s="5"/>
      <c r="L4525" s="10">
        <v>20201118</v>
      </c>
      <c r="M4525" s="36" t="str">
        <f t="shared" si="70"/>
        <v>19740410</v>
      </c>
    </row>
    <row r="4526" s="1" customFormat="1" spans="1:13">
      <c r="A4526" s="2">
        <v>7945</v>
      </c>
      <c r="B4526" s="5" t="s">
        <v>15086</v>
      </c>
      <c r="C4526" s="6" t="s">
        <v>15218</v>
      </c>
      <c r="D4526" s="6" t="s">
        <v>15219</v>
      </c>
      <c r="E4526" s="5" t="s">
        <v>15</v>
      </c>
      <c r="F4526" s="5">
        <v>2020</v>
      </c>
      <c r="G4526" s="5" t="s">
        <v>16</v>
      </c>
      <c r="H4526" s="5">
        <v>200</v>
      </c>
      <c r="I4526" s="5">
        <v>200</v>
      </c>
      <c r="J4526" s="5"/>
      <c r="K4526" s="5"/>
      <c r="L4526" s="10">
        <v>20201118</v>
      </c>
      <c r="M4526" s="36" t="str">
        <f t="shared" si="70"/>
        <v>19740410</v>
      </c>
    </row>
    <row r="4527" s="1" customFormat="1" spans="1:13">
      <c r="A4527" s="2">
        <v>641</v>
      </c>
      <c r="B4527" s="29" t="s">
        <v>1040</v>
      </c>
      <c r="C4527" s="47" t="s">
        <v>1576</v>
      </c>
      <c r="D4527" s="47" t="s">
        <v>1577</v>
      </c>
      <c r="E4527" s="30">
        <v>2020</v>
      </c>
      <c r="F4527" s="30">
        <v>2020</v>
      </c>
      <c r="G4527" s="29" t="s">
        <v>16</v>
      </c>
      <c r="H4527" s="29">
        <v>200</v>
      </c>
      <c r="I4527" s="29">
        <v>200</v>
      </c>
      <c r="J4527" s="29"/>
      <c r="K4527" s="47"/>
      <c r="L4527" s="2" t="s">
        <v>330</v>
      </c>
      <c r="M4527" s="36" t="str">
        <f t="shared" si="70"/>
        <v>19740413</v>
      </c>
    </row>
    <row r="4528" s="1" customFormat="1" spans="1:13">
      <c r="A4528" s="2">
        <v>556</v>
      </c>
      <c r="B4528" s="29" t="s">
        <v>1040</v>
      </c>
      <c r="C4528" s="29" t="s">
        <v>1389</v>
      </c>
      <c r="D4528" s="29" t="s">
        <v>1390</v>
      </c>
      <c r="E4528" s="30">
        <v>2020</v>
      </c>
      <c r="F4528" s="30">
        <v>2020</v>
      </c>
      <c r="G4528" s="29" t="s">
        <v>16</v>
      </c>
      <c r="H4528" s="29">
        <v>200</v>
      </c>
      <c r="I4528" s="29">
        <v>200</v>
      </c>
      <c r="J4528" s="29"/>
      <c r="K4528" s="47"/>
      <c r="L4528" s="2" t="s">
        <v>330</v>
      </c>
      <c r="M4528" s="36" t="str">
        <f t="shared" si="70"/>
        <v>19740414</v>
      </c>
    </row>
    <row r="4529" s="1" customFormat="1" spans="1:13">
      <c r="A4529" s="2">
        <v>6221</v>
      </c>
      <c r="B4529" s="5" t="s">
        <v>12263</v>
      </c>
      <c r="C4529" s="5" t="s">
        <v>12468</v>
      </c>
      <c r="D4529" s="5" t="s">
        <v>12469</v>
      </c>
      <c r="E4529" s="5" t="s">
        <v>10250</v>
      </c>
      <c r="F4529" s="5">
        <v>2020</v>
      </c>
      <c r="G4529" s="17" t="s">
        <v>3359</v>
      </c>
      <c r="H4529" s="5">
        <v>200</v>
      </c>
      <c r="I4529" s="5">
        <v>200</v>
      </c>
      <c r="J4529" s="5"/>
      <c r="K4529" s="5"/>
      <c r="L4529" s="10">
        <v>20201118</v>
      </c>
      <c r="M4529" s="36" t="str">
        <f t="shared" si="70"/>
        <v>19740415</v>
      </c>
    </row>
    <row r="4530" s="1" customFormat="1" spans="1:13">
      <c r="A4530" s="2">
        <v>6658</v>
      </c>
      <c r="B4530" s="5" t="s">
        <v>13027</v>
      </c>
      <c r="C4530" s="15" t="s">
        <v>13295</v>
      </c>
      <c r="D4530" s="15" t="s">
        <v>13296</v>
      </c>
      <c r="E4530" s="5">
        <v>2020</v>
      </c>
      <c r="F4530" s="5">
        <v>2020</v>
      </c>
      <c r="G4530" s="14" t="s">
        <v>16</v>
      </c>
      <c r="H4530" s="15">
        <v>200</v>
      </c>
      <c r="I4530" s="15">
        <v>200</v>
      </c>
      <c r="J4530" s="5"/>
      <c r="K4530" s="10"/>
      <c r="L4530" s="10">
        <v>20201118</v>
      </c>
      <c r="M4530" s="36" t="str">
        <f t="shared" si="70"/>
        <v>19740415</v>
      </c>
    </row>
    <row r="4531" s="1" customFormat="1" spans="1:13">
      <c r="A4531" s="2">
        <v>7358</v>
      </c>
      <c r="B4531" s="5" t="s">
        <v>13908</v>
      </c>
      <c r="C4531" s="5" t="s">
        <v>6733</v>
      </c>
      <c r="D4531" s="5" t="s">
        <v>14346</v>
      </c>
      <c r="E4531" s="5" t="s">
        <v>15</v>
      </c>
      <c r="F4531" s="5" t="s">
        <v>15</v>
      </c>
      <c r="G4531" s="14" t="s">
        <v>16</v>
      </c>
      <c r="H4531" s="17">
        <v>200</v>
      </c>
      <c r="I4531" s="17">
        <v>200</v>
      </c>
      <c r="J4531" s="5" t="s">
        <v>108</v>
      </c>
      <c r="K4531" s="10"/>
      <c r="L4531" s="10">
        <v>20201118</v>
      </c>
      <c r="M4531" s="36" t="str">
        <f t="shared" si="70"/>
        <v>19740415</v>
      </c>
    </row>
    <row r="4532" s="1" customFormat="1" spans="1:13">
      <c r="A4532" s="2">
        <v>1136</v>
      </c>
      <c r="B4532" s="5" t="s">
        <v>2469</v>
      </c>
      <c r="C4532" s="9" t="s">
        <v>2858</v>
      </c>
      <c r="D4532" s="9" t="s">
        <v>2859</v>
      </c>
      <c r="E4532" s="5">
        <v>2020</v>
      </c>
      <c r="F4532" s="5">
        <v>2020</v>
      </c>
      <c r="G4532" s="9" t="s">
        <v>2480</v>
      </c>
      <c r="H4532" s="9">
        <v>200</v>
      </c>
      <c r="I4532" s="9">
        <v>200</v>
      </c>
      <c r="J4532" s="5"/>
      <c r="K4532" s="5"/>
      <c r="L4532" s="10">
        <v>20201118</v>
      </c>
      <c r="M4532" s="36" t="str">
        <f t="shared" si="70"/>
        <v>19740418</v>
      </c>
    </row>
    <row r="4533" s="1" customFormat="1" spans="1:13">
      <c r="A4533" s="2">
        <v>6659</v>
      </c>
      <c r="B4533" s="5" t="s">
        <v>13027</v>
      </c>
      <c r="C4533" s="15" t="s">
        <v>13297</v>
      </c>
      <c r="D4533" s="15" t="s">
        <v>13298</v>
      </c>
      <c r="E4533" s="5">
        <v>2020</v>
      </c>
      <c r="F4533" s="5">
        <v>2020</v>
      </c>
      <c r="G4533" s="14" t="s">
        <v>16</v>
      </c>
      <c r="H4533" s="15">
        <v>200</v>
      </c>
      <c r="I4533" s="15">
        <v>200</v>
      </c>
      <c r="J4533" s="5"/>
      <c r="K4533" s="10"/>
      <c r="L4533" s="10">
        <v>20201118</v>
      </c>
      <c r="M4533" s="36" t="str">
        <f t="shared" si="70"/>
        <v>19740418</v>
      </c>
    </row>
    <row r="4534" s="1" customFormat="1" ht="14.25" spans="1:13">
      <c r="A4534" s="2">
        <v>7693</v>
      </c>
      <c r="B4534" s="5" t="s">
        <v>14875</v>
      </c>
      <c r="C4534" s="51" t="s">
        <v>14936</v>
      </c>
      <c r="D4534" s="24" t="str">
        <f>"152326197404187120"</f>
        <v>152326197404187120</v>
      </c>
      <c r="E4534" s="6" t="s">
        <v>15</v>
      </c>
      <c r="F4534" s="6">
        <v>2020</v>
      </c>
      <c r="G4534" s="24" t="s">
        <v>14877</v>
      </c>
      <c r="H4534" s="6">
        <v>200</v>
      </c>
      <c r="I4534" s="6">
        <v>200</v>
      </c>
      <c r="J4534" s="6"/>
      <c r="K4534" s="10"/>
      <c r="L4534" s="10">
        <v>20201118</v>
      </c>
      <c r="M4534" s="36" t="str">
        <f t="shared" si="70"/>
        <v>19740418</v>
      </c>
    </row>
    <row r="4535" s="1" customFormat="1" spans="1:13">
      <c r="A4535" s="2">
        <v>1964</v>
      </c>
      <c r="B4535" s="5" t="s">
        <v>4189</v>
      </c>
      <c r="C4535" s="16" t="s">
        <v>4487</v>
      </c>
      <c r="D4535" s="16" t="s">
        <v>4488</v>
      </c>
      <c r="E4535" s="5" t="s">
        <v>15</v>
      </c>
      <c r="F4535" s="5" t="s">
        <v>15</v>
      </c>
      <c r="G4535" s="5" t="s">
        <v>3359</v>
      </c>
      <c r="H4535" s="16">
        <v>500</v>
      </c>
      <c r="I4535" s="16">
        <v>500</v>
      </c>
      <c r="J4535" s="5"/>
      <c r="K4535" s="10"/>
      <c r="L4535" s="10">
        <v>20201118</v>
      </c>
      <c r="M4535" s="36" t="str">
        <f t="shared" si="70"/>
        <v>19740419</v>
      </c>
    </row>
    <row r="4536" s="1" customFormat="1" ht="14.25" spans="1:13">
      <c r="A4536" s="2">
        <v>3054</v>
      </c>
      <c r="B4536" s="6" t="s">
        <v>6075</v>
      </c>
      <c r="C4536" s="25" t="s">
        <v>6631</v>
      </c>
      <c r="D4536" s="26" t="s">
        <v>6632</v>
      </c>
      <c r="E4536" s="5" t="s">
        <v>15</v>
      </c>
      <c r="F4536" s="5">
        <v>2020</v>
      </c>
      <c r="G4536" s="6" t="s">
        <v>16</v>
      </c>
      <c r="H4536" s="6">
        <v>200</v>
      </c>
      <c r="I4536" s="6">
        <v>200</v>
      </c>
      <c r="J4536" s="6"/>
      <c r="K4536" s="10"/>
      <c r="L4536" s="10">
        <v>20201118</v>
      </c>
      <c r="M4536" s="36" t="str">
        <f t="shared" si="70"/>
        <v>19740420</v>
      </c>
    </row>
    <row r="4537" s="1" customFormat="1" spans="1:13">
      <c r="A4537" s="2">
        <v>4679</v>
      </c>
      <c r="B4537" s="6" t="s">
        <v>9015</v>
      </c>
      <c r="C4537" s="6" t="s">
        <v>9521</v>
      </c>
      <c r="D4537" s="6" t="s">
        <v>9522</v>
      </c>
      <c r="E4537" s="6">
        <v>2020</v>
      </c>
      <c r="F4537" s="6">
        <v>2020</v>
      </c>
      <c r="G4537" s="6" t="s">
        <v>16</v>
      </c>
      <c r="H4537" s="6">
        <v>200</v>
      </c>
      <c r="I4537" s="6">
        <v>200</v>
      </c>
      <c r="J4537" s="6"/>
      <c r="K4537" s="6"/>
      <c r="L4537" s="10">
        <v>20201118</v>
      </c>
      <c r="M4537" s="36" t="str">
        <f t="shared" si="70"/>
        <v>19740421</v>
      </c>
    </row>
    <row r="4538" s="1" customFormat="1" spans="1:13">
      <c r="A4538" s="2">
        <v>4785</v>
      </c>
      <c r="B4538" s="6" t="s">
        <v>9015</v>
      </c>
      <c r="C4538" s="6" t="s">
        <v>9721</v>
      </c>
      <c r="D4538" s="6" t="s">
        <v>9722</v>
      </c>
      <c r="E4538" s="6">
        <v>2020</v>
      </c>
      <c r="F4538" s="6">
        <v>2020</v>
      </c>
      <c r="G4538" s="6" t="s">
        <v>16</v>
      </c>
      <c r="H4538" s="6">
        <v>200</v>
      </c>
      <c r="I4538" s="6">
        <v>200</v>
      </c>
      <c r="J4538" s="6"/>
      <c r="K4538" s="6"/>
      <c r="L4538" s="10">
        <v>20201118</v>
      </c>
      <c r="M4538" s="36" t="str">
        <f t="shared" si="70"/>
        <v>19740421</v>
      </c>
    </row>
    <row r="4539" s="1" customFormat="1" spans="1:13">
      <c r="A4539" s="2">
        <v>1663</v>
      </c>
      <c r="B4539" s="5" t="s">
        <v>3381</v>
      </c>
      <c r="C4539" s="9" t="s">
        <v>3888</v>
      </c>
      <c r="D4539" s="9" t="s">
        <v>3889</v>
      </c>
      <c r="E4539" s="5">
        <v>2020</v>
      </c>
      <c r="F4539" s="5">
        <v>2020</v>
      </c>
      <c r="G4539" s="14" t="s">
        <v>16</v>
      </c>
      <c r="H4539" s="6">
        <v>200</v>
      </c>
      <c r="I4539" s="6">
        <v>200</v>
      </c>
      <c r="J4539" s="5"/>
      <c r="K4539" s="13"/>
      <c r="L4539" s="10">
        <v>20201118</v>
      </c>
      <c r="M4539" s="36" t="str">
        <f t="shared" si="70"/>
        <v>19740422</v>
      </c>
    </row>
    <row r="4540" s="1" customFormat="1" spans="1:13">
      <c r="A4540" s="2">
        <v>5134</v>
      </c>
      <c r="B4540" s="6" t="s">
        <v>10242</v>
      </c>
      <c r="C4540" s="9" t="s">
        <v>10395</v>
      </c>
      <c r="D4540" s="9" t="s">
        <v>10396</v>
      </c>
      <c r="E4540" s="5" t="s">
        <v>10250</v>
      </c>
      <c r="F4540" s="5">
        <v>2020</v>
      </c>
      <c r="G4540" s="6" t="s">
        <v>16</v>
      </c>
      <c r="H4540" s="6">
        <v>200</v>
      </c>
      <c r="I4540" s="6">
        <v>200</v>
      </c>
      <c r="J4540" s="6"/>
      <c r="K4540" s="5"/>
      <c r="L4540" s="10">
        <v>20201118</v>
      </c>
      <c r="M4540" s="36" t="str">
        <f t="shared" si="70"/>
        <v>19740422</v>
      </c>
    </row>
    <row r="4541" s="1" customFormat="1" spans="1:13">
      <c r="A4541" s="2">
        <v>1137</v>
      </c>
      <c r="B4541" s="5" t="s">
        <v>2469</v>
      </c>
      <c r="C4541" s="9" t="s">
        <v>2860</v>
      </c>
      <c r="D4541" s="9" t="s">
        <v>2861</v>
      </c>
      <c r="E4541" s="5">
        <v>2020</v>
      </c>
      <c r="F4541" s="5">
        <v>2020</v>
      </c>
      <c r="G4541" s="9" t="s">
        <v>2480</v>
      </c>
      <c r="H4541" s="9">
        <v>200</v>
      </c>
      <c r="I4541" s="9">
        <v>200</v>
      </c>
      <c r="J4541" s="5"/>
      <c r="K4541" s="5"/>
      <c r="L4541" s="10">
        <v>20201118</v>
      </c>
      <c r="M4541" s="36" t="str">
        <f t="shared" si="70"/>
        <v>19740425</v>
      </c>
    </row>
    <row r="4542" s="1" customFormat="1" spans="1:13">
      <c r="A4542" s="2">
        <v>2662</v>
      </c>
      <c r="B4542" s="32" t="s">
        <v>5602</v>
      </c>
      <c r="C4542" s="9" t="s">
        <v>5858</v>
      </c>
      <c r="D4542" s="9" t="s">
        <v>5859</v>
      </c>
      <c r="E4542" s="32">
        <v>2020</v>
      </c>
      <c r="F4542" s="32">
        <v>2020</v>
      </c>
      <c r="G4542" s="32" t="s">
        <v>16</v>
      </c>
      <c r="H4542" s="9">
        <v>200</v>
      </c>
      <c r="I4542" s="9">
        <v>200</v>
      </c>
      <c r="J4542" s="32"/>
      <c r="K4542" s="52"/>
      <c r="L4542" s="10">
        <v>20201118</v>
      </c>
      <c r="M4542" s="36" t="str">
        <f t="shared" si="70"/>
        <v>19740425</v>
      </c>
    </row>
    <row r="4543" s="1" customFormat="1" spans="1:13">
      <c r="A4543" s="2">
        <v>3903</v>
      </c>
      <c r="B4543" s="5" t="s">
        <v>7412</v>
      </c>
      <c r="C4543" s="5" t="s">
        <v>7642</v>
      </c>
      <c r="D4543" s="5" t="s">
        <v>8036</v>
      </c>
      <c r="E4543" s="6">
        <v>2020</v>
      </c>
      <c r="F4543" s="6">
        <v>2020</v>
      </c>
      <c r="G4543" s="5" t="s">
        <v>3359</v>
      </c>
      <c r="H4543" s="5">
        <v>1000</v>
      </c>
      <c r="I4543" s="5">
        <v>1000</v>
      </c>
      <c r="J4543" s="5"/>
      <c r="K4543" s="5"/>
      <c r="L4543" s="10">
        <v>20201118</v>
      </c>
      <c r="M4543" s="36" t="str">
        <f t="shared" si="70"/>
        <v>19740427</v>
      </c>
    </row>
    <row r="4544" s="1" customFormat="1" spans="1:13">
      <c r="A4544" s="2">
        <v>4976</v>
      </c>
      <c r="B4544" s="6" t="s">
        <v>9954</v>
      </c>
      <c r="C4544" s="60" t="s">
        <v>10091</v>
      </c>
      <c r="D4544" s="60" t="s">
        <v>10092</v>
      </c>
      <c r="E4544" s="5" t="s">
        <v>15</v>
      </c>
      <c r="F4544" s="5" t="s">
        <v>15</v>
      </c>
      <c r="G4544" s="14" t="s">
        <v>16</v>
      </c>
      <c r="H4544" s="6">
        <v>200</v>
      </c>
      <c r="I4544" s="6">
        <v>200</v>
      </c>
      <c r="J4544" s="6"/>
      <c r="K4544" s="6"/>
      <c r="L4544" s="10">
        <v>20201118</v>
      </c>
      <c r="M4544" s="36" t="str">
        <f t="shared" si="70"/>
        <v>19740428</v>
      </c>
    </row>
    <row r="4545" s="1" customFormat="1" spans="1:13">
      <c r="A4545" s="2">
        <v>6884</v>
      </c>
      <c r="B4545" s="5" t="s">
        <v>13533</v>
      </c>
      <c r="C4545" s="32" t="s">
        <v>13634</v>
      </c>
      <c r="D4545" s="32" t="str">
        <f>"152326197404297135"</f>
        <v>152326197404297135</v>
      </c>
      <c r="E4545" s="5">
        <v>2020</v>
      </c>
      <c r="F4545" s="5">
        <v>2020</v>
      </c>
      <c r="G4545" s="9" t="s">
        <v>2480</v>
      </c>
      <c r="H4545" s="32">
        <v>200</v>
      </c>
      <c r="I4545" s="32">
        <v>200</v>
      </c>
      <c r="J4545" s="62"/>
      <c r="K4545" s="10"/>
      <c r="L4545" s="10">
        <v>20201118</v>
      </c>
      <c r="M4545" s="36" t="str">
        <f t="shared" si="70"/>
        <v>19740429</v>
      </c>
    </row>
    <row r="4546" s="1" customFormat="1" spans="1:13">
      <c r="A4546" s="2">
        <v>7302</v>
      </c>
      <c r="B4546" s="5" t="s">
        <v>13908</v>
      </c>
      <c r="C4546" s="5" t="s">
        <v>14242</v>
      </c>
      <c r="D4546" s="5" t="s">
        <v>14243</v>
      </c>
      <c r="E4546" s="5" t="s">
        <v>15</v>
      </c>
      <c r="F4546" s="5" t="s">
        <v>15</v>
      </c>
      <c r="G4546" s="14" t="s">
        <v>16</v>
      </c>
      <c r="H4546" s="17">
        <v>200</v>
      </c>
      <c r="I4546" s="17">
        <v>200</v>
      </c>
      <c r="J4546" s="5"/>
      <c r="K4546" s="10"/>
      <c r="L4546" s="10">
        <v>20201118</v>
      </c>
      <c r="M4546" s="36" t="str">
        <f t="shared" ref="M4546:M4609" si="71">MID(D4546,7,8)</f>
        <v>19740429</v>
      </c>
    </row>
    <row r="4547" s="1" customFormat="1" spans="1:13">
      <c r="A4547" s="2">
        <v>4311</v>
      </c>
      <c r="B4547" s="9" t="s">
        <v>8515</v>
      </c>
      <c r="C4547" s="9" t="s">
        <v>8814</v>
      </c>
      <c r="D4547" s="9" t="s">
        <v>8815</v>
      </c>
      <c r="E4547" s="5" t="s">
        <v>15</v>
      </c>
      <c r="F4547" s="5">
        <v>2020</v>
      </c>
      <c r="G4547" s="9" t="s">
        <v>2480</v>
      </c>
      <c r="H4547" s="9">
        <v>200</v>
      </c>
      <c r="I4547" s="9">
        <v>200</v>
      </c>
      <c r="J4547" s="9"/>
      <c r="K4547" s="9"/>
      <c r="L4547" s="10">
        <v>20201118</v>
      </c>
      <c r="M4547" s="36" t="str">
        <f t="shared" si="71"/>
        <v>19740501</v>
      </c>
    </row>
    <row r="4548" s="1" customFormat="1" spans="1:13">
      <c r="A4548" s="2">
        <v>4732</v>
      </c>
      <c r="B4548" s="6" t="s">
        <v>9015</v>
      </c>
      <c r="C4548" s="6" t="s">
        <v>9621</v>
      </c>
      <c r="D4548" s="6" t="s">
        <v>9622</v>
      </c>
      <c r="E4548" s="6">
        <v>2020</v>
      </c>
      <c r="F4548" s="6">
        <v>2020</v>
      </c>
      <c r="G4548" s="6" t="s">
        <v>16</v>
      </c>
      <c r="H4548" s="6">
        <v>200</v>
      </c>
      <c r="I4548" s="6">
        <v>200</v>
      </c>
      <c r="J4548" s="6"/>
      <c r="K4548" s="6"/>
      <c r="L4548" s="10">
        <v>20201118</v>
      </c>
      <c r="M4548" s="36" t="str">
        <f t="shared" si="71"/>
        <v>19740502</v>
      </c>
    </row>
    <row r="4549" s="1" customFormat="1" spans="1:13">
      <c r="A4549" s="2">
        <v>3904</v>
      </c>
      <c r="B4549" s="5" t="s">
        <v>7412</v>
      </c>
      <c r="C4549" s="5" t="s">
        <v>3471</v>
      </c>
      <c r="D4549" s="5" t="s">
        <v>8037</v>
      </c>
      <c r="E4549" s="6">
        <v>2020</v>
      </c>
      <c r="F4549" s="6">
        <v>2020</v>
      </c>
      <c r="G4549" s="5" t="s">
        <v>3359</v>
      </c>
      <c r="H4549" s="5">
        <v>200</v>
      </c>
      <c r="I4549" s="5">
        <v>200</v>
      </c>
      <c r="J4549" s="5"/>
      <c r="K4549" s="5"/>
      <c r="L4549" s="10">
        <v>20201118</v>
      </c>
      <c r="M4549" s="36" t="str">
        <f t="shared" si="71"/>
        <v>19740503</v>
      </c>
    </row>
    <row r="4550" s="1" customFormat="1" ht="14.25" spans="1:13">
      <c r="A4550" s="2">
        <v>3254</v>
      </c>
      <c r="B4550" s="3" t="s">
        <v>6671</v>
      </c>
      <c r="C4550" s="7" t="s">
        <v>7010</v>
      </c>
      <c r="D4550" s="8" t="s">
        <v>7011</v>
      </c>
      <c r="E4550" s="3" t="s">
        <v>1047</v>
      </c>
      <c r="F4550" s="3" t="s">
        <v>15</v>
      </c>
      <c r="G4550" s="6" t="s">
        <v>2460</v>
      </c>
      <c r="H4550" s="9">
        <v>200</v>
      </c>
      <c r="I4550" s="9">
        <v>400</v>
      </c>
      <c r="J4550" s="6"/>
      <c r="K4550" s="5"/>
      <c r="L4550" s="10">
        <v>20201118</v>
      </c>
      <c r="M4550" s="36" t="str">
        <f t="shared" si="71"/>
        <v>19740504</v>
      </c>
    </row>
    <row r="4551" s="1" customFormat="1" spans="1:13">
      <c r="A4551" s="2">
        <v>7198</v>
      </c>
      <c r="B4551" s="5" t="s">
        <v>13908</v>
      </c>
      <c r="C4551" s="5" t="s">
        <v>14045</v>
      </c>
      <c r="D4551" s="5" t="s">
        <v>14046</v>
      </c>
      <c r="E4551" s="5" t="s">
        <v>15</v>
      </c>
      <c r="F4551" s="5" t="s">
        <v>15</v>
      </c>
      <c r="G4551" s="14" t="s">
        <v>16</v>
      </c>
      <c r="H4551" s="17">
        <v>200</v>
      </c>
      <c r="I4551" s="17">
        <v>200</v>
      </c>
      <c r="J4551" s="5"/>
      <c r="K4551" s="10"/>
      <c r="L4551" s="10">
        <v>20201118</v>
      </c>
      <c r="M4551" s="36" t="str">
        <f t="shared" si="71"/>
        <v>19740504</v>
      </c>
    </row>
    <row r="4552" s="1" customFormat="1" spans="1:13">
      <c r="A4552" s="2">
        <v>642</v>
      </c>
      <c r="B4552" s="29" t="s">
        <v>1040</v>
      </c>
      <c r="C4552" s="47" t="s">
        <v>1579</v>
      </c>
      <c r="D4552" s="47" t="s">
        <v>1580</v>
      </c>
      <c r="E4552" s="30">
        <v>2020</v>
      </c>
      <c r="F4552" s="30">
        <v>2020</v>
      </c>
      <c r="G4552" s="29" t="s">
        <v>16</v>
      </c>
      <c r="H4552" s="29">
        <v>200</v>
      </c>
      <c r="I4552" s="29">
        <v>200</v>
      </c>
      <c r="J4552" s="29"/>
      <c r="K4552" s="47"/>
      <c r="L4552" s="14" t="s">
        <v>330</v>
      </c>
      <c r="M4552" s="36" t="str">
        <f t="shared" si="71"/>
        <v>19740506</v>
      </c>
    </row>
    <row r="4553" s="1" customFormat="1" ht="14.25" spans="1:13">
      <c r="A4553" s="2">
        <v>2855</v>
      </c>
      <c r="B4553" s="6" t="s">
        <v>6075</v>
      </c>
      <c r="C4553" s="25" t="s">
        <v>6239</v>
      </c>
      <c r="D4553" s="26" t="s">
        <v>6240</v>
      </c>
      <c r="E4553" s="5" t="s">
        <v>15</v>
      </c>
      <c r="F4553" s="5">
        <v>2020</v>
      </c>
      <c r="G4553" s="6" t="s">
        <v>16</v>
      </c>
      <c r="H4553" s="6">
        <v>200</v>
      </c>
      <c r="I4553" s="6">
        <v>200</v>
      </c>
      <c r="J4553" s="6" t="s">
        <v>108</v>
      </c>
      <c r="K4553" s="10"/>
      <c r="L4553" s="10">
        <v>20201118</v>
      </c>
      <c r="M4553" s="36" t="str">
        <f t="shared" si="71"/>
        <v>19740507</v>
      </c>
    </row>
    <row r="4554" s="1" customFormat="1" spans="1:13">
      <c r="A4554" s="2">
        <v>4610</v>
      </c>
      <c r="B4554" s="6" t="s">
        <v>9015</v>
      </c>
      <c r="C4554" s="6" t="s">
        <v>9390</v>
      </c>
      <c r="D4554" s="6" t="s">
        <v>9391</v>
      </c>
      <c r="E4554" s="6">
        <v>2020</v>
      </c>
      <c r="F4554" s="6">
        <v>2020</v>
      </c>
      <c r="G4554" s="6" t="s">
        <v>16</v>
      </c>
      <c r="H4554" s="6">
        <v>200</v>
      </c>
      <c r="I4554" s="6">
        <v>200</v>
      </c>
      <c r="J4554" s="6"/>
      <c r="K4554" s="6"/>
      <c r="L4554" s="10">
        <v>20201118</v>
      </c>
      <c r="M4554" s="36" t="str">
        <f t="shared" si="71"/>
        <v>19740507</v>
      </c>
    </row>
    <row r="4555" s="1" customFormat="1" spans="1:13">
      <c r="A4555" s="2">
        <v>4904</v>
      </c>
      <c r="B4555" s="6" t="s">
        <v>9015</v>
      </c>
      <c r="C4555" s="6" t="s">
        <v>9946</v>
      </c>
      <c r="D4555" s="293" t="s">
        <v>9947</v>
      </c>
      <c r="E4555" s="6">
        <v>2019</v>
      </c>
      <c r="F4555" s="6">
        <v>2020</v>
      </c>
      <c r="G4555" s="6" t="s">
        <v>289</v>
      </c>
      <c r="H4555" s="6">
        <v>200</v>
      </c>
      <c r="I4555" s="6">
        <v>400</v>
      </c>
      <c r="J4555" s="6"/>
      <c r="K4555" s="6"/>
      <c r="L4555" s="10">
        <v>20201118</v>
      </c>
      <c r="M4555" s="36" t="str">
        <f t="shared" si="71"/>
        <v>19740509</v>
      </c>
    </row>
    <row r="4556" s="1" customFormat="1" spans="1:13">
      <c r="A4556" s="2">
        <v>5073</v>
      </c>
      <c r="B4556" s="6" t="s">
        <v>10242</v>
      </c>
      <c r="C4556" s="9" t="s">
        <v>10281</v>
      </c>
      <c r="D4556" s="9" t="s">
        <v>10282</v>
      </c>
      <c r="E4556" s="5" t="s">
        <v>10250</v>
      </c>
      <c r="F4556" s="5">
        <v>2020</v>
      </c>
      <c r="G4556" s="6" t="s">
        <v>16</v>
      </c>
      <c r="H4556" s="6">
        <v>200</v>
      </c>
      <c r="I4556" s="6">
        <v>200</v>
      </c>
      <c r="J4556" s="6"/>
      <c r="K4556" s="5"/>
      <c r="L4556" s="10">
        <v>20201118</v>
      </c>
      <c r="M4556" s="36" t="str">
        <f t="shared" si="71"/>
        <v>19740509</v>
      </c>
    </row>
    <row r="4557" s="1" customFormat="1" spans="1:13">
      <c r="A4557" s="2">
        <v>7083</v>
      </c>
      <c r="B4557" s="5" t="s">
        <v>13533</v>
      </c>
      <c r="C4557" s="32" t="s">
        <v>13837</v>
      </c>
      <c r="D4557" s="304" t="s">
        <v>13838</v>
      </c>
      <c r="E4557" s="5">
        <v>2020</v>
      </c>
      <c r="F4557" s="5">
        <v>2020</v>
      </c>
      <c r="G4557" s="9" t="s">
        <v>2480</v>
      </c>
      <c r="H4557" s="32">
        <v>200</v>
      </c>
      <c r="I4557" s="32">
        <v>200</v>
      </c>
      <c r="J4557" s="32"/>
      <c r="K4557" s="10"/>
      <c r="L4557" s="10">
        <v>20201118</v>
      </c>
      <c r="M4557" s="36" t="str">
        <f t="shared" si="71"/>
        <v>19740511</v>
      </c>
    </row>
    <row r="4558" s="1" customFormat="1" spans="1:13">
      <c r="A4558" s="2">
        <v>1664</v>
      </c>
      <c r="B4558" s="5" t="s">
        <v>3381</v>
      </c>
      <c r="C4558" s="9" t="s">
        <v>3890</v>
      </c>
      <c r="D4558" s="9" t="s">
        <v>3891</v>
      </c>
      <c r="E4558" s="5">
        <v>2020</v>
      </c>
      <c r="F4558" s="5">
        <v>2020</v>
      </c>
      <c r="G4558" s="14" t="s">
        <v>16</v>
      </c>
      <c r="H4558" s="6">
        <v>200</v>
      </c>
      <c r="I4558" s="6">
        <v>200</v>
      </c>
      <c r="J4558" s="5"/>
      <c r="K4558" s="13"/>
      <c r="L4558" s="10">
        <v>20201118</v>
      </c>
      <c r="M4558" s="36" t="str">
        <f t="shared" si="71"/>
        <v>19740514</v>
      </c>
    </row>
    <row r="4559" s="1" customFormat="1" spans="1:13">
      <c r="A4559" s="2">
        <v>4312</v>
      </c>
      <c r="B4559" s="9" t="s">
        <v>8515</v>
      </c>
      <c r="C4559" s="9" t="s">
        <v>8816</v>
      </c>
      <c r="D4559" s="9" t="s">
        <v>8817</v>
      </c>
      <c r="E4559" s="5" t="s">
        <v>15</v>
      </c>
      <c r="F4559" s="5">
        <v>2020</v>
      </c>
      <c r="G4559" s="9" t="s">
        <v>2480</v>
      </c>
      <c r="H4559" s="9">
        <v>200</v>
      </c>
      <c r="I4559" s="9">
        <v>200</v>
      </c>
      <c r="J4559" s="9"/>
      <c r="K4559" s="9"/>
      <c r="L4559" s="10">
        <v>20201118</v>
      </c>
      <c r="M4559" s="36" t="str">
        <f t="shared" si="71"/>
        <v>19740514</v>
      </c>
    </row>
    <row r="4560" s="1" customFormat="1" spans="1:13">
      <c r="A4560" s="2">
        <v>803</v>
      </c>
      <c r="B4560" s="29" t="s">
        <v>1040</v>
      </c>
      <c r="C4560" s="5" t="s">
        <v>2059</v>
      </c>
      <c r="D4560" s="317" t="s">
        <v>2060</v>
      </c>
      <c r="E4560" s="30">
        <v>2020</v>
      </c>
      <c r="F4560" s="30">
        <v>2020</v>
      </c>
      <c r="G4560" s="29" t="s">
        <v>16</v>
      </c>
      <c r="H4560" s="29">
        <v>200</v>
      </c>
      <c r="I4560" s="29">
        <v>200</v>
      </c>
      <c r="J4560" s="32"/>
      <c r="K4560" s="32"/>
      <c r="L4560" s="14" t="s">
        <v>330</v>
      </c>
      <c r="M4560" s="36" t="str">
        <f t="shared" si="71"/>
        <v>19740516</v>
      </c>
    </row>
    <row r="4561" s="1" customFormat="1" spans="1:13">
      <c r="A4561" s="2">
        <v>4313</v>
      </c>
      <c r="B4561" s="9" t="s">
        <v>8515</v>
      </c>
      <c r="C4561" s="9" t="s">
        <v>8818</v>
      </c>
      <c r="D4561" s="9" t="s">
        <v>8819</v>
      </c>
      <c r="E4561" s="5" t="s">
        <v>15</v>
      </c>
      <c r="F4561" s="5">
        <v>2020</v>
      </c>
      <c r="G4561" s="9" t="s">
        <v>2480</v>
      </c>
      <c r="H4561" s="9">
        <v>200</v>
      </c>
      <c r="I4561" s="9">
        <v>200</v>
      </c>
      <c r="J4561" s="9"/>
      <c r="K4561" s="9"/>
      <c r="L4561" s="10">
        <v>20201118</v>
      </c>
      <c r="M4561" s="36" t="str">
        <f t="shared" si="71"/>
        <v>19740518</v>
      </c>
    </row>
    <row r="4562" s="1" customFormat="1" spans="1:13">
      <c r="A4562" s="2">
        <v>6435</v>
      </c>
      <c r="B4562" s="5" t="s">
        <v>12263</v>
      </c>
      <c r="C4562" s="5" t="s">
        <v>12875</v>
      </c>
      <c r="D4562" s="5" t="s">
        <v>12876</v>
      </c>
      <c r="E4562" s="5" t="s">
        <v>10250</v>
      </c>
      <c r="F4562" s="5">
        <v>2020</v>
      </c>
      <c r="G4562" s="17" t="s">
        <v>3359</v>
      </c>
      <c r="H4562" s="5">
        <v>200</v>
      </c>
      <c r="I4562" s="5">
        <v>200</v>
      </c>
      <c r="J4562" s="5"/>
      <c r="K4562" s="5"/>
      <c r="L4562" s="10">
        <v>20201118</v>
      </c>
      <c r="M4562" s="36" t="str">
        <f t="shared" si="71"/>
        <v>19740519</v>
      </c>
    </row>
    <row r="4563" s="1" customFormat="1" spans="1:13">
      <c r="A4563" s="2">
        <v>6386</v>
      </c>
      <c r="B4563" s="5" t="s">
        <v>12263</v>
      </c>
      <c r="C4563" s="5" t="s">
        <v>12784</v>
      </c>
      <c r="D4563" s="5" t="s">
        <v>12785</v>
      </c>
      <c r="E4563" s="5" t="s">
        <v>10250</v>
      </c>
      <c r="F4563" s="5">
        <v>2020</v>
      </c>
      <c r="G4563" s="17" t="s">
        <v>3359</v>
      </c>
      <c r="H4563" s="5" t="s">
        <v>311</v>
      </c>
      <c r="I4563" s="5">
        <v>200</v>
      </c>
      <c r="J4563" s="5"/>
      <c r="K4563" s="5"/>
      <c r="L4563" s="10">
        <v>20201118</v>
      </c>
      <c r="M4563" s="36" t="str">
        <f t="shared" si="71"/>
        <v>19740522</v>
      </c>
    </row>
    <row r="4564" s="1" customFormat="1" spans="1:13">
      <c r="A4564" s="2">
        <v>1665</v>
      </c>
      <c r="B4564" s="5" t="s">
        <v>3381</v>
      </c>
      <c r="C4564" s="9" t="s">
        <v>3892</v>
      </c>
      <c r="D4564" s="9" t="s">
        <v>3893</v>
      </c>
      <c r="E4564" s="5">
        <v>2020</v>
      </c>
      <c r="F4564" s="5">
        <v>2020</v>
      </c>
      <c r="G4564" s="14" t="s">
        <v>16</v>
      </c>
      <c r="H4564" s="6">
        <v>200</v>
      </c>
      <c r="I4564" s="6">
        <v>200</v>
      </c>
      <c r="J4564" s="5"/>
      <c r="K4564" s="13"/>
      <c r="L4564" s="10">
        <v>20201118</v>
      </c>
      <c r="M4564" s="36" t="str">
        <f t="shared" si="71"/>
        <v>19740525</v>
      </c>
    </row>
    <row r="4565" s="1" customFormat="1" spans="1:13">
      <c r="A4565" s="2">
        <v>4703</v>
      </c>
      <c r="B4565" s="6" t="s">
        <v>9015</v>
      </c>
      <c r="C4565" s="6" t="s">
        <v>9566</v>
      </c>
      <c r="D4565" s="6" t="s">
        <v>9567</v>
      </c>
      <c r="E4565" s="6">
        <v>2020</v>
      </c>
      <c r="F4565" s="6">
        <v>2020</v>
      </c>
      <c r="G4565" s="6" t="s">
        <v>16</v>
      </c>
      <c r="H4565" s="6" t="s">
        <v>9565</v>
      </c>
      <c r="I4565" s="6">
        <v>1000</v>
      </c>
      <c r="J4565" s="6"/>
      <c r="K4565" s="6"/>
      <c r="L4565" s="10">
        <v>20201118</v>
      </c>
      <c r="M4565" s="36" t="str">
        <f t="shared" si="71"/>
        <v>19740525</v>
      </c>
    </row>
    <row r="4566" s="1" customFormat="1" spans="1:13">
      <c r="A4566" s="2">
        <v>6660</v>
      </c>
      <c r="B4566" s="5" t="s">
        <v>13027</v>
      </c>
      <c r="C4566" s="15" t="s">
        <v>13299</v>
      </c>
      <c r="D4566" s="15" t="s">
        <v>13300</v>
      </c>
      <c r="E4566" s="5">
        <v>2020</v>
      </c>
      <c r="F4566" s="5">
        <v>2020</v>
      </c>
      <c r="G4566" s="14" t="s">
        <v>16</v>
      </c>
      <c r="H4566" s="15">
        <v>200</v>
      </c>
      <c r="I4566" s="15">
        <v>200</v>
      </c>
      <c r="J4566" s="5"/>
      <c r="K4566" s="10"/>
      <c r="L4566" s="10">
        <v>20201118</v>
      </c>
      <c r="M4566" s="36" t="str">
        <f t="shared" si="71"/>
        <v>19740525</v>
      </c>
    </row>
    <row r="4567" s="1" customFormat="1" ht="14.25" spans="1:13">
      <c r="A4567" s="2">
        <v>5348</v>
      </c>
      <c r="B4567" s="33" t="s">
        <v>10535</v>
      </c>
      <c r="C4567" s="34" t="s">
        <v>10809</v>
      </c>
      <c r="D4567" s="34" t="s">
        <v>10810</v>
      </c>
      <c r="E4567" s="35">
        <v>2020</v>
      </c>
      <c r="F4567" s="35">
        <v>2020</v>
      </c>
      <c r="G4567" s="35" t="s">
        <v>16</v>
      </c>
      <c r="H4567" s="34">
        <v>200</v>
      </c>
      <c r="I4567" s="34">
        <v>200</v>
      </c>
      <c r="J4567" s="49"/>
      <c r="K4567" s="10"/>
      <c r="L4567" s="10">
        <v>20201118</v>
      </c>
      <c r="M4567" s="36" t="str">
        <f t="shared" si="71"/>
        <v>19740526</v>
      </c>
    </row>
    <row r="4568" s="1" customFormat="1" spans="1:13">
      <c r="A4568" s="2">
        <v>6661</v>
      </c>
      <c r="B4568" s="5" t="s">
        <v>13027</v>
      </c>
      <c r="C4568" s="15" t="s">
        <v>13301</v>
      </c>
      <c r="D4568" s="15" t="s">
        <v>13302</v>
      </c>
      <c r="E4568" s="5">
        <v>2020</v>
      </c>
      <c r="F4568" s="5">
        <v>2020</v>
      </c>
      <c r="G4568" s="14" t="s">
        <v>16</v>
      </c>
      <c r="H4568" s="15">
        <v>200</v>
      </c>
      <c r="I4568" s="15">
        <v>200</v>
      </c>
      <c r="J4568" s="5"/>
      <c r="K4568" s="10"/>
      <c r="L4568" s="10">
        <v>20201118</v>
      </c>
      <c r="M4568" s="36" t="str">
        <f t="shared" si="71"/>
        <v>19740526</v>
      </c>
    </row>
    <row r="4569" s="1" customFormat="1" spans="1:13">
      <c r="A4569" s="2">
        <v>5799</v>
      </c>
      <c r="B4569" s="30" t="s">
        <v>11090</v>
      </c>
      <c r="C4569" s="30" t="s">
        <v>11667</v>
      </c>
      <c r="D4569" s="30" t="s">
        <v>11668</v>
      </c>
      <c r="E4569" s="5" t="s">
        <v>15</v>
      </c>
      <c r="F4569" s="5" t="s">
        <v>10250</v>
      </c>
      <c r="G4569" s="6" t="s">
        <v>16</v>
      </c>
      <c r="H4569" s="32">
        <v>200</v>
      </c>
      <c r="I4569" s="32">
        <v>200</v>
      </c>
      <c r="J4569" s="6"/>
      <c r="K4569" s="48"/>
      <c r="L4569" s="10">
        <v>20201118</v>
      </c>
      <c r="M4569" s="36" t="str">
        <f t="shared" si="71"/>
        <v>19740527</v>
      </c>
    </row>
    <row r="4570" s="1" customFormat="1" spans="1:13">
      <c r="A4570" s="2">
        <v>6662</v>
      </c>
      <c r="B4570" s="5" t="s">
        <v>13027</v>
      </c>
      <c r="C4570" s="15" t="s">
        <v>13303</v>
      </c>
      <c r="D4570" s="15" t="s">
        <v>13304</v>
      </c>
      <c r="E4570" s="5">
        <v>2020</v>
      </c>
      <c r="F4570" s="5">
        <v>2020</v>
      </c>
      <c r="G4570" s="14" t="s">
        <v>16</v>
      </c>
      <c r="H4570" s="15">
        <v>200</v>
      </c>
      <c r="I4570" s="15">
        <v>200</v>
      </c>
      <c r="J4570" s="5"/>
      <c r="K4570" s="10"/>
      <c r="L4570" s="10">
        <v>20201118</v>
      </c>
      <c r="M4570" s="36" t="str">
        <f t="shared" si="71"/>
        <v>19740529</v>
      </c>
    </row>
    <row r="4571" s="1" customFormat="1" ht="14.25" spans="1:13">
      <c r="A4571" s="2">
        <v>7689</v>
      </c>
      <c r="B4571" s="5" t="s">
        <v>14875</v>
      </c>
      <c r="C4571" s="51" t="s">
        <v>14931</v>
      </c>
      <c r="D4571" s="24" t="str">
        <f>"152326197405297129"</f>
        <v>152326197405297129</v>
      </c>
      <c r="E4571" s="6" t="s">
        <v>15</v>
      </c>
      <c r="F4571" s="6">
        <v>2020</v>
      </c>
      <c r="G4571" s="24" t="s">
        <v>14877</v>
      </c>
      <c r="H4571" s="6">
        <v>500</v>
      </c>
      <c r="I4571" s="6">
        <v>500</v>
      </c>
      <c r="J4571" s="6"/>
      <c r="K4571" s="10"/>
      <c r="L4571" s="10">
        <v>20201118</v>
      </c>
      <c r="M4571" s="36" t="str">
        <f t="shared" si="71"/>
        <v>19740529</v>
      </c>
    </row>
    <row r="4572" s="1" customFormat="1" spans="1:13">
      <c r="A4572" s="2">
        <v>1666</v>
      </c>
      <c r="B4572" s="5" t="s">
        <v>3381</v>
      </c>
      <c r="C4572" s="9" t="s">
        <v>3894</v>
      </c>
      <c r="D4572" s="9" t="s">
        <v>3895</v>
      </c>
      <c r="E4572" s="5">
        <v>2020</v>
      </c>
      <c r="F4572" s="5">
        <v>2020</v>
      </c>
      <c r="G4572" s="14" t="s">
        <v>16</v>
      </c>
      <c r="H4572" s="6">
        <v>200</v>
      </c>
      <c r="I4572" s="6">
        <v>200</v>
      </c>
      <c r="J4572" s="5"/>
      <c r="K4572" s="13"/>
      <c r="L4572" s="10">
        <v>20201118</v>
      </c>
      <c r="M4572" s="36" t="str">
        <f t="shared" si="71"/>
        <v>19740602</v>
      </c>
    </row>
    <row r="4573" s="1" customFormat="1" spans="1:13">
      <c r="A4573" s="2">
        <v>1963</v>
      </c>
      <c r="B4573" s="5" t="s">
        <v>4189</v>
      </c>
      <c r="C4573" s="16" t="s">
        <v>4485</v>
      </c>
      <c r="D4573" s="16" t="s">
        <v>4486</v>
      </c>
      <c r="E4573" s="5" t="s">
        <v>15</v>
      </c>
      <c r="F4573" s="5" t="s">
        <v>15</v>
      </c>
      <c r="G4573" s="5" t="s">
        <v>3359</v>
      </c>
      <c r="H4573" s="16">
        <v>200</v>
      </c>
      <c r="I4573" s="16">
        <v>200</v>
      </c>
      <c r="J4573" s="5"/>
      <c r="K4573" s="10"/>
      <c r="L4573" s="10">
        <v>20201118</v>
      </c>
      <c r="M4573" s="36" t="str">
        <f t="shared" si="71"/>
        <v>19740604</v>
      </c>
    </row>
    <row r="4574" s="1" customFormat="1" spans="1:13">
      <c r="A4574" s="2">
        <v>6663</v>
      </c>
      <c r="B4574" s="5" t="s">
        <v>13027</v>
      </c>
      <c r="C4574" s="15" t="s">
        <v>13305</v>
      </c>
      <c r="D4574" s="15" t="s">
        <v>13306</v>
      </c>
      <c r="E4574" s="5">
        <v>2020</v>
      </c>
      <c r="F4574" s="5">
        <v>2020</v>
      </c>
      <c r="G4574" s="14" t="s">
        <v>16</v>
      </c>
      <c r="H4574" s="15">
        <v>200</v>
      </c>
      <c r="I4574" s="15">
        <v>200</v>
      </c>
      <c r="J4574" s="5"/>
      <c r="K4574" s="10"/>
      <c r="L4574" s="10">
        <v>20201118</v>
      </c>
      <c r="M4574" s="36" t="str">
        <f t="shared" si="71"/>
        <v>19740608</v>
      </c>
    </row>
    <row r="4575" s="1" customFormat="1" spans="1:13">
      <c r="A4575" s="2">
        <v>5616</v>
      </c>
      <c r="B4575" s="30" t="s">
        <v>11090</v>
      </c>
      <c r="C4575" s="30" t="s">
        <v>11323</v>
      </c>
      <c r="D4575" s="30" t="s">
        <v>11324</v>
      </c>
      <c r="E4575" s="5" t="s">
        <v>15</v>
      </c>
      <c r="F4575" s="5" t="s">
        <v>10250</v>
      </c>
      <c r="G4575" s="6" t="s">
        <v>16</v>
      </c>
      <c r="H4575" s="32">
        <v>200</v>
      </c>
      <c r="I4575" s="32">
        <v>200</v>
      </c>
      <c r="J4575" s="6"/>
      <c r="K4575" s="48"/>
      <c r="L4575" s="10">
        <v>20201118</v>
      </c>
      <c r="M4575" s="36" t="str">
        <f t="shared" si="71"/>
        <v>19740609</v>
      </c>
    </row>
    <row r="4576" s="1" customFormat="1" ht="14.25" spans="1:13">
      <c r="A4576" s="2">
        <v>5349</v>
      </c>
      <c r="B4576" s="33" t="s">
        <v>10535</v>
      </c>
      <c r="C4576" s="34" t="s">
        <v>10811</v>
      </c>
      <c r="D4576" s="34" t="s">
        <v>10812</v>
      </c>
      <c r="E4576" s="35">
        <v>2020</v>
      </c>
      <c r="F4576" s="35">
        <v>2020</v>
      </c>
      <c r="G4576" s="35" t="s">
        <v>16</v>
      </c>
      <c r="H4576" s="34">
        <v>200</v>
      </c>
      <c r="I4576" s="34">
        <v>200</v>
      </c>
      <c r="J4576" s="49"/>
      <c r="K4576" s="10"/>
      <c r="L4576" s="10">
        <v>20201118</v>
      </c>
      <c r="M4576" s="36" t="str">
        <f t="shared" si="71"/>
        <v>19740611</v>
      </c>
    </row>
    <row r="4577" s="1" customFormat="1" spans="1:13">
      <c r="A4577" s="2">
        <v>2853</v>
      </c>
      <c r="B4577" s="6" t="s">
        <v>6075</v>
      </c>
      <c r="C4577" s="6" t="s">
        <v>6234</v>
      </c>
      <c r="D4577" s="6" t="s">
        <v>6235</v>
      </c>
      <c r="E4577" s="5" t="s">
        <v>15</v>
      </c>
      <c r="F4577" s="5">
        <v>2020</v>
      </c>
      <c r="G4577" s="6" t="s">
        <v>16</v>
      </c>
      <c r="H4577" s="6">
        <v>500</v>
      </c>
      <c r="I4577" s="6">
        <v>500</v>
      </c>
      <c r="J4577" s="6"/>
      <c r="K4577" s="10"/>
      <c r="L4577" s="10">
        <v>20201118</v>
      </c>
      <c r="M4577" s="36" t="str">
        <f t="shared" si="71"/>
        <v>19740612</v>
      </c>
    </row>
    <row r="4578" s="1" customFormat="1" ht="14.25" spans="1:13">
      <c r="A4578" s="2">
        <v>5350</v>
      </c>
      <c r="B4578" s="33" t="s">
        <v>10535</v>
      </c>
      <c r="C4578" s="34" t="s">
        <v>10813</v>
      </c>
      <c r="D4578" s="34" t="s">
        <v>10814</v>
      </c>
      <c r="E4578" s="35">
        <v>2020</v>
      </c>
      <c r="F4578" s="35">
        <v>2020</v>
      </c>
      <c r="G4578" s="35" t="s">
        <v>16</v>
      </c>
      <c r="H4578" s="34">
        <v>200</v>
      </c>
      <c r="I4578" s="34">
        <v>200</v>
      </c>
      <c r="J4578" s="49"/>
      <c r="K4578" s="10"/>
      <c r="L4578" s="10">
        <v>20201118</v>
      </c>
      <c r="M4578" s="36" t="str">
        <f t="shared" si="71"/>
        <v>19740614</v>
      </c>
    </row>
    <row r="4579" s="1" customFormat="1" spans="1:13">
      <c r="A4579" s="2">
        <v>734</v>
      </c>
      <c r="B4579" s="29" t="s">
        <v>1040</v>
      </c>
      <c r="C4579" s="5" t="s">
        <v>1852</v>
      </c>
      <c r="D4579" s="317" t="s">
        <v>1853</v>
      </c>
      <c r="E4579" s="30">
        <v>2020</v>
      </c>
      <c r="F4579" s="30">
        <v>2020</v>
      </c>
      <c r="G4579" s="29" t="s">
        <v>16</v>
      </c>
      <c r="H4579" s="29">
        <v>200</v>
      </c>
      <c r="I4579" s="29">
        <v>200</v>
      </c>
      <c r="J4579" s="32"/>
      <c r="K4579" s="32"/>
      <c r="L4579" s="2" t="s">
        <v>330</v>
      </c>
      <c r="M4579" s="36" t="str">
        <f t="shared" si="71"/>
        <v>19740615</v>
      </c>
    </row>
    <row r="4580" s="1" customFormat="1" spans="1:13">
      <c r="A4580" s="2">
        <v>335</v>
      </c>
      <c r="B4580" s="14" t="s">
        <v>327</v>
      </c>
      <c r="C4580" s="17" t="s">
        <v>893</v>
      </c>
      <c r="D4580" s="306" t="s">
        <v>894</v>
      </c>
      <c r="E4580" s="5">
        <v>2020</v>
      </c>
      <c r="F4580" s="5">
        <v>2020</v>
      </c>
      <c r="G4580" s="14" t="s">
        <v>16</v>
      </c>
      <c r="H4580" s="17">
        <v>200</v>
      </c>
      <c r="I4580" s="17">
        <v>200</v>
      </c>
      <c r="J4580" s="17"/>
      <c r="K4580" s="10"/>
      <c r="L4580" s="2" t="s">
        <v>330</v>
      </c>
      <c r="M4580" s="36" t="str">
        <f t="shared" si="71"/>
        <v>19740623</v>
      </c>
    </row>
    <row r="4581" s="1" customFormat="1" spans="1:13">
      <c r="A4581" s="2">
        <v>2663</v>
      </c>
      <c r="B4581" s="32" t="s">
        <v>5602</v>
      </c>
      <c r="C4581" s="9" t="s">
        <v>5860</v>
      </c>
      <c r="D4581" s="9" t="s">
        <v>5861</v>
      </c>
      <c r="E4581" s="32">
        <v>2020</v>
      </c>
      <c r="F4581" s="32">
        <v>2020</v>
      </c>
      <c r="G4581" s="32" t="s">
        <v>16</v>
      </c>
      <c r="H4581" s="9">
        <v>200</v>
      </c>
      <c r="I4581" s="9">
        <v>200</v>
      </c>
      <c r="J4581" s="32"/>
      <c r="K4581" s="52"/>
      <c r="L4581" s="10">
        <v>20201118</v>
      </c>
      <c r="M4581" s="36" t="str">
        <f t="shared" si="71"/>
        <v>19740623</v>
      </c>
    </row>
    <row r="4582" s="1" customFormat="1" spans="1:13">
      <c r="A4582" s="2">
        <v>5687</v>
      </c>
      <c r="B4582" s="30" t="s">
        <v>11090</v>
      </c>
      <c r="C4582" s="30" t="s">
        <v>11459</v>
      </c>
      <c r="D4582" s="30" t="s">
        <v>11460</v>
      </c>
      <c r="E4582" s="5" t="s">
        <v>15</v>
      </c>
      <c r="F4582" s="5" t="s">
        <v>10250</v>
      </c>
      <c r="G4582" s="6" t="s">
        <v>16</v>
      </c>
      <c r="H4582" s="32">
        <v>200</v>
      </c>
      <c r="I4582" s="32">
        <v>200</v>
      </c>
      <c r="J4582" s="6"/>
      <c r="K4582" s="48"/>
      <c r="L4582" s="10">
        <v>20201118</v>
      </c>
      <c r="M4582" s="36" t="str">
        <f t="shared" si="71"/>
        <v>19740623</v>
      </c>
    </row>
    <row r="4583" s="1" customFormat="1" spans="1:13">
      <c r="A4583" s="2">
        <v>5135</v>
      </c>
      <c r="B4583" s="6" t="s">
        <v>10242</v>
      </c>
      <c r="C4583" s="9" t="s">
        <v>10397</v>
      </c>
      <c r="D4583" s="9" t="s">
        <v>10398</v>
      </c>
      <c r="E4583" s="5" t="s">
        <v>10250</v>
      </c>
      <c r="F4583" s="5">
        <v>2020</v>
      </c>
      <c r="G4583" s="6" t="s">
        <v>16</v>
      </c>
      <c r="H4583" s="6">
        <v>200</v>
      </c>
      <c r="I4583" s="6">
        <v>200</v>
      </c>
      <c r="J4583" s="6"/>
      <c r="K4583" s="5"/>
      <c r="L4583" s="10">
        <v>20201118</v>
      </c>
      <c r="M4583" s="36" t="str">
        <f t="shared" si="71"/>
        <v>19740627</v>
      </c>
    </row>
    <row r="4584" s="1" customFormat="1" spans="1:13">
      <c r="A4584" s="2">
        <v>1667</v>
      </c>
      <c r="B4584" s="5" t="s">
        <v>3381</v>
      </c>
      <c r="C4584" s="9" t="s">
        <v>3896</v>
      </c>
      <c r="D4584" s="9" t="s">
        <v>3897</v>
      </c>
      <c r="E4584" s="5">
        <v>2020</v>
      </c>
      <c r="F4584" s="5">
        <v>2020</v>
      </c>
      <c r="G4584" s="14" t="s">
        <v>16</v>
      </c>
      <c r="H4584" s="6">
        <v>200</v>
      </c>
      <c r="I4584" s="6">
        <v>200</v>
      </c>
      <c r="J4584" s="5"/>
      <c r="K4584" s="13"/>
      <c r="L4584" s="10">
        <v>20201118</v>
      </c>
      <c r="M4584" s="36" t="str">
        <f t="shared" si="71"/>
        <v>19740629</v>
      </c>
    </row>
    <row r="4585" s="1" customFormat="1" spans="1:13">
      <c r="A4585" s="2">
        <v>3905</v>
      </c>
      <c r="B4585" s="5" t="s">
        <v>7412</v>
      </c>
      <c r="C4585" s="5" t="s">
        <v>8038</v>
      </c>
      <c r="D4585" s="5" t="s">
        <v>8039</v>
      </c>
      <c r="E4585" s="6">
        <v>2020</v>
      </c>
      <c r="F4585" s="6">
        <v>2020</v>
      </c>
      <c r="G4585" s="5" t="s">
        <v>3359</v>
      </c>
      <c r="H4585" s="5">
        <v>200</v>
      </c>
      <c r="I4585" s="5">
        <v>200</v>
      </c>
      <c r="J4585" s="5"/>
      <c r="K4585" s="5"/>
      <c r="L4585" s="10">
        <v>20201118</v>
      </c>
      <c r="M4585" s="36" t="str">
        <f t="shared" si="71"/>
        <v>19740629</v>
      </c>
    </row>
    <row r="4586" s="1" customFormat="1" ht="14.25" spans="1:13">
      <c r="A4586" s="2">
        <v>5351</v>
      </c>
      <c r="B4586" s="33" t="s">
        <v>10535</v>
      </c>
      <c r="C4586" s="34" t="s">
        <v>10815</v>
      </c>
      <c r="D4586" s="34" t="s">
        <v>10816</v>
      </c>
      <c r="E4586" s="35">
        <v>2020</v>
      </c>
      <c r="F4586" s="35">
        <v>2020</v>
      </c>
      <c r="G4586" s="35" t="s">
        <v>16</v>
      </c>
      <c r="H4586" s="34">
        <v>500</v>
      </c>
      <c r="I4586" s="34">
        <v>500</v>
      </c>
      <c r="J4586" s="49"/>
      <c r="K4586" s="10"/>
      <c r="L4586" s="10">
        <v>20201118</v>
      </c>
      <c r="M4586" s="36" t="str">
        <f t="shared" si="71"/>
        <v>19740629</v>
      </c>
    </row>
    <row r="4587" s="1" customFormat="1" ht="14.25" spans="1:13">
      <c r="A4587" s="2">
        <v>5352</v>
      </c>
      <c r="B4587" s="33" t="s">
        <v>10535</v>
      </c>
      <c r="C4587" s="34" t="s">
        <v>8119</v>
      </c>
      <c r="D4587" s="34" t="s">
        <v>10817</v>
      </c>
      <c r="E4587" s="35">
        <v>2020</v>
      </c>
      <c r="F4587" s="35">
        <v>2020</v>
      </c>
      <c r="G4587" s="35" t="s">
        <v>16</v>
      </c>
      <c r="H4587" s="34">
        <v>500</v>
      </c>
      <c r="I4587" s="34">
        <v>500</v>
      </c>
      <c r="J4587" s="49"/>
      <c r="K4587" s="10"/>
      <c r="L4587" s="10">
        <v>20201118</v>
      </c>
      <c r="M4587" s="36" t="str">
        <f t="shared" si="71"/>
        <v>19740629</v>
      </c>
    </row>
    <row r="4588" s="1" customFormat="1" spans="1:13">
      <c r="A4588" s="2">
        <v>7300</v>
      </c>
      <c r="B4588" s="5" t="s">
        <v>13908</v>
      </c>
      <c r="C4588" s="5" t="s">
        <v>14238</v>
      </c>
      <c r="D4588" s="5" t="s">
        <v>14239</v>
      </c>
      <c r="E4588" s="5" t="s">
        <v>15</v>
      </c>
      <c r="F4588" s="5" t="s">
        <v>15</v>
      </c>
      <c r="G4588" s="14" t="s">
        <v>16</v>
      </c>
      <c r="H4588" s="17">
        <v>200</v>
      </c>
      <c r="I4588" s="17">
        <v>200</v>
      </c>
      <c r="J4588" s="5"/>
      <c r="K4588" s="10"/>
      <c r="L4588" s="10">
        <v>20201118</v>
      </c>
      <c r="M4588" s="36" t="str">
        <f t="shared" si="71"/>
        <v>19740630</v>
      </c>
    </row>
    <row r="4589" s="1" customFormat="1" spans="1:13">
      <c r="A4589" s="2">
        <v>7506</v>
      </c>
      <c r="B4589" s="5" t="s">
        <v>14402</v>
      </c>
      <c r="C4589" s="5" t="s">
        <v>14625</v>
      </c>
      <c r="D4589" s="5" t="s">
        <v>14626</v>
      </c>
      <c r="E4589" s="5">
        <v>2020</v>
      </c>
      <c r="F4589" s="5">
        <v>2020</v>
      </c>
      <c r="G4589" s="17" t="s">
        <v>16</v>
      </c>
      <c r="H4589" s="5">
        <v>200</v>
      </c>
      <c r="I4589" s="5">
        <v>200</v>
      </c>
      <c r="J4589" s="5"/>
      <c r="K4589" s="10"/>
      <c r="L4589" s="10">
        <v>20201118</v>
      </c>
      <c r="M4589" s="36" t="str">
        <f t="shared" si="71"/>
        <v>19740703</v>
      </c>
    </row>
    <row r="4590" s="1" customFormat="1" spans="1:13">
      <c r="A4590" s="2">
        <v>4903</v>
      </c>
      <c r="B4590" s="6" t="s">
        <v>9015</v>
      </c>
      <c r="C4590" s="6" t="s">
        <v>9944</v>
      </c>
      <c r="D4590" s="293" t="s">
        <v>9945</v>
      </c>
      <c r="E4590" s="6">
        <v>2019</v>
      </c>
      <c r="F4590" s="6">
        <v>2020</v>
      </c>
      <c r="G4590" s="6" t="s">
        <v>289</v>
      </c>
      <c r="H4590" s="6">
        <v>200</v>
      </c>
      <c r="I4590" s="6">
        <v>400</v>
      </c>
      <c r="J4590" s="6"/>
      <c r="K4590" s="6"/>
      <c r="L4590" s="10">
        <v>20201118</v>
      </c>
      <c r="M4590" s="36" t="str">
        <f t="shared" si="71"/>
        <v>19740704</v>
      </c>
    </row>
    <row r="4591" s="1" customFormat="1" ht="14.25" spans="1:13">
      <c r="A4591" s="2">
        <v>5353</v>
      </c>
      <c r="B4591" s="33" t="s">
        <v>10535</v>
      </c>
      <c r="C4591" s="34" t="s">
        <v>10818</v>
      </c>
      <c r="D4591" s="34" t="s">
        <v>10819</v>
      </c>
      <c r="E4591" s="35">
        <v>2020</v>
      </c>
      <c r="F4591" s="35">
        <v>2020</v>
      </c>
      <c r="G4591" s="35" t="s">
        <v>16</v>
      </c>
      <c r="H4591" s="34">
        <v>200</v>
      </c>
      <c r="I4591" s="34">
        <v>200</v>
      </c>
      <c r="J4591" s="49"/>
      <c r="K4591" s="10"/>
      <c r="L4591" s="10">
        <v>20201118</v>
      </c>
      <c r="M4591" s="36" t="str">
        <f t="shared" si="71"/>
        <v>19740704</v>
      </c>
    </row>
    <row r="4592" s="1" customFormat="1" spans="1:13">
      <c r="A4592" s="2">
        <v>111</v>
      </c>
      <c r="B4592" s="3" t="s">
        <v>12</v>
      </c>
      <c r="C4592" s="6" t="s">
        <v>238</v>
      </c>
      <c r="D4592" s="6" t="s">
        <v>239</v>
      </c>
      <c r="E4592" s="3" t="s">
        <v>15</v>
      </c>
      <c r="F4592" s="3" t="s">
        <v>15</v>
      </c>
      <c r="G4592" s="3" t="s">
        <v>189</v>
      </c>
      <c r="H4592" s="3">
        <v>200</v>
      </c>
      <c r="I4592" s="3">
        <v>200</v>
      </c>
      <c r="J4592" s="3"/>
      <c r="K4592" s="3"/>
      <c r="L4592" s="10">
        <v>20201118</v>
      </c>
      <c r="M4592" s="36" t="str">
        <f t="shared" si="71"/>
        <v>19740705</v>
      </c>
    </row>
    <row r="4593" s="1" customFormat="1" spans="1:13">
      <c r="A4593" s="2">
        <v>1138</v>
      </c>
      <c r="B4593" s="5" t="s">
        <v>2469</v>
      </c>
      <c r="C4593" s="9" t="s">
        <v>2862</v>
      </c>
      <c r="D4593" s="9" t="s">
        <v>2863</v>
      </c>
      <c r="E4593" s="5">
        <v>2020</v>
      </c>
      <c r="F4593" s="5">
        <v>2020</v>
      </c>
      <c r="G4593" s="9" t="s">
        <v>2480</v>
      </c>
      <c r="H4593" s="9">
        <v>200</v>
      </c>
      <c r="I4593" s="9">
        <v>200</v>
      </c>
      <c r="J4593" s="5"/>
      <c r="K4593" s="5"/>
      <c r="L4593" s="10">
        <v>20201118</v>
      </c>
      <c r="M4593" s="36" t="str">
        <f t="shared" si="71"/>
        <v>19740707</v>
      </c>
    </row>
    <row r="4594" s="1" customFormat="1" spans="1:13">
      <c r="A4594" s="2">
        <v>5639</v>
      </c>
      <c r="B4594" s="30" t="s">
        <v>11090</v>
      </c>
      <c r="C4594" s="30" t="s">
        <v>11366</v>
      </c>
      <c r="D4594" s="30" t="s">
        <v>11367</v>
      </c>
      <c r="E4594" s="5" t="s">
        <v>15</v>
      </c>
      <c r="F4594" s="5" t="s">
        <v>10250</v>
      </c>
      <c r="G4594" s="6" t="s">
        <v>16</v>
      </c>
      <c r="H4594" s="32">
        <v>200</v>
      </c>
      <c r="I4594" s="32">
        <v>200</v>
      </c>
      <c r="J4594" s="6"/>
      <c r="K4594" s="48"/>
      <c r="L4594" s="10">
        <v>20201118</v>
      </c>
      <c r="M4594" s="36" t="str">
        <f t="shared" si="71"/>
        <v>19740707</v>
      </c>
    </row>
    <row r="4595" s="1" customFormat="1" spans="1:13">
      <c r="A4595" s="2">
        <v>5136</v>
      </c>
      <c r="B4595" s="6" t="s">
        <v>10242</v>
      </c>
      <c r="C4595" s="9" t="s">
        <v>10399</v>
      </c>
      <c r="D4595" s="9" t="s">
        <v>10400</v>
      </c>
      <c r="E4595" s="5" t="s">
        <v>10250</v>
      </c>
      <c r="F4595" s="5">
        <v>2020</v>
      </c>
      <c r="G4595" s="6" t="s">
        <v>16</v>
      </c>
      <c r="H4595" s="6">
        <v>200</v>
      </c>
      <c r="I4595" s="6">
        <v>200</v>
      </c>
      <c r="J4595" s="6" t="s">
        <v>768</v>
      </c>
      <c r="K4595" s="5"/>
      <c r="L4595" s="10">
        <v>20201118</v>
      </c>
      <c r="M4595" s="36" t="str">
        <f t="shared" si="71"/>
        <v>19740708</v>
      </c>
    </row>
    <row r="4596" s="1" customFormat="1" spans="1:13">
      <c r="A4596" s="2">
        <v>1139</v>
      </c>
      <c r="B4596" s="5" t="s">
        <v>2469</v>
      </c>
      <c r="C4596" s="9" t="s">
        <v>1820</v>
      </c>
      <c r="D4596" s="9" t="s">
        <v>2864</v>
      </c>
      <c r="E4596" s="5">
        <v>2020</v>
      </c>
      <c r="F4596" s="5">
        <v>2020</v>
      </c>
      <c r="G4596" s="9" t="s">
        <v>2480</v>
      </c>
      <c r="H4596" s="9">
        <v>200</v>
      </c>
      <c r="I4596" s="9">
        <v>200</v>
      </c>
      <c r="J4596" s="5"/>
      <c r="K4596" s="5"/>
      <c r="L4596" s="10">
        <v>20201118</v>
      </c>
      <c r="M4596" s="36" t="str">
        <f t="shared" si="71"/>
        <v>19740709</v>
      </c>
    </row>
    <row r="4597" s="1" customFormat="1" spans="1:13">
      <c r="A4597" s="2">
        <v>1140</v>
      </c>
      <c r="B4597" s="5" t="s">
        <v>2469</v>
      </c>
      <c r="C4597" s="9" t="s">
        <v>2865</v>
      </c>
      <c r="D4597" s="9" t="s">
        <v>2866</v>
      </c>
      <c r="E4597" s="5">
        <v>2020</v>
      </c>
      <c r="F4597" s="5">
        <v>2020</v>
      </c>
      <c r="G4597" s="9" t="s">
        <v>2480</v>
      </c>
      <c r="H4597" s="9">
        <v>200</v>
      </c>
      <c r="I4597" s="9">
        <v>200</v>
      </c>
      <c r="J4597" s="5"/>
      <c r="K4597" s="5"/>
      <c r="L4597" s="10">
        <v>20201118</v>
      </c>
      <c r="M4597" s="36" t="str">
        <f t="shared" si="71"/>
        <v>19740711</v>
      </c>
    </row>
    <row r="4598" s="1" customFormat="1" spans="1:13">
      <c r="A4598" s="2">
        <v>3906</v>
      </c>
      <c r="B4598" s="5" t="s">
        <v>7412</v>
      </c>
      <c r="C4598" s="5" t="s">
        <v>8040</v>
      </c>
      <c r="D4598" s="5" t="s">
        <v>8041</v>
      </c>
      <c r="E4598" s="6">
        <v>2020</v>
      </c>
      <c r="F4598" s="6">
        <v>2020</v>
      </c>
      <c r="G4598" s="5" t="s">
        <v>3359</v>
      </c>
      <c r="H4598" s="5">
        <v>200</v>
      </c>
      <c r="I4598" s="5">
        <v>200</v>
      </c>
      <c r="J4598" s="5"/>
      <c r="K4598" s="5"/>
      <c r="L4598" s="10">
        <v>20201118</v>
      </c>
      <c r="M4598" s="36" t="str">
        <f t="shared" si="71"/>
        <v>19740711</v>
      </c>
    </row>
    <row r="4599" s="1" customFormat="1" spans="1:13">
      <c r="A4599" s="2">
        <v>1668</v>
      </c>
      <c r="B4599" s="5" t="s">
        <v>3381</v>
      </c>
      <c r="C4599" s="9" t="s">
        <v>3898</v>
      </c>
      <c r="D4599" s="9" t="s">
        <v>3899</v>
      </c>
      <c r="E4599" s="5">
        <v>2020</v>
      </c>
      <c r="F4599" s="5">
        <v>2020</v>
      </c>
      <c r="G4599" s="14" t="s">
        <v>16</v>
      </c>
      <c r="H4599" s="6">
        <v>200</v>
      </c>
      <c r="I4599" s="6">
        <v>200</v>
      </c>
      <c r="J4599" s="5"/>
      <c r="K4599" s="13"/>
      <c r="L4599" s="10">
        <v>20201118</v>
      </c>
      <c r="M4599" s="36" t="str">
        <f t="shared" si="71"/>
        <v>19740712</v>
      </c>
    </row>
    <row r="4600" s="1" customFormat="1" ht="14.25" spans="1:13">
      <c r="A4600" s="2">
        <v>3053</v>
      </c>
      <c r="B4600" s="6" t="s">
        <v>6075</v>
      </c>
      <c r="C4600" s="25" t="s">
        <v>6629</v>
      </c>
      <c r="D4600" s="26" t="s">
        <v>6630</v>
      </c>
      <c r="E4600" s="5" t="s">
        <v>15</v>
      </c>
      <c r="F4600" s="5">
        <v>2020</v>
      </c>
      <c r="G4600" s="6" t="s">
        <v>16</v>
      </c>
      <c r="H4600" s="6">
        <v>200</v>
      </c>
      <c r="I4600" s="6">
        <v>200</v>
      </c>
      <c r="J4600" s="6"/>
      <c r="K4600" s="10"/>
      <c r="L4600" s="10">
        <v>20201118</v>
      </c>
      <c r="M4600" s="36" t="str">
        <f t="shared" si="71"/>
        <v>19740715</v>
      </c>
    </row>
    <row r="4601" s="1" customFormat="1" spans="1:13">
      <c r="A4601" s="2">
        <v>3907</v>
      </c>
      <c r="B4601" s="5" t="s">
        <v>7412</v>
      </c>
      <c r="C4601" s="5" t="s">
        <v>8042</v>
      </c>
      <c r="D4601" s="5" t="s">
        <v>8043</v>
      </c>
      <c r="E4601" s="6">
        <v>2020</v>
      </c>
      <c r="F4601" s="6">
        <v>2020</v>
      </c>
      <c r="G4601" s="5" t="s">
        <v>3359</v>
      </c>
      <c r="H4601" s="5">
        <v>200</v>
      </c>
      <c r="I4601" s="5">
        <v>200</v>
      </c>
      <c r="J4601" s="5"/>
      <c r="K4601" s="5"/>
      <c r="L4601" s="10">
        <v>20201118</v>
      </c>
      <c r="M4601" s="36" t="str">
        <f t="shared" si="71"/>
        <v>19740715</v>
      </c>
    </row>
    <row r="4602" s="1" customFormat="1" spans="1:13">
      <c r="A4602" s="2">
        <v>6893</v>
      </c>
      <c r="B4602" s="5" t="s">
        <v>13533</v>
      </c>
      <c r="C4602" s="32" t="s">
        <v>13643</v>
      </c>
      <c r="D4602" s="32" t="str">
        <f>"152326197407157138"</f>
        <v>152326197407157138</v>
      </c>
      <c r="E4602" s="5">
        <v>2020</v>
      </c>
      <c r="F4602" s="5">
        <v>2020</v>
      </c>
      <c r="G4602" s="9" t="s">
        <v>2480</v>
      </c>
      <c r="H4602" s="32">
        <v>200</v>
      </c>
      <c r="I4602" s="32">
        <v>200</v>
      </c>
      <c r="J4602" s="62"/>
      <c r="K4602" s="10"/>
      <c r="L4602" s="10">
        <v>20201118</v>
      </c>
      <c r="M4602" s="36" t="str">
        <f t="shared" si="71"/>
        <v>19740715</v>
      </c>
    </row>
    <row r="4603" s="1" customFormat="1" spans="1:13">
      <c r="A4603" s="2">
        <v>7128</v>
      </c>
      <c r="B4603" s="5" t="s">
        <v>13908</v>
      </c>
      <c r="C4603" s="5" t="s">
        <v>13916</v>
      </c>
      <c r="D4603" s="5" t="s">
        <v>13917</v>
      </c>
      <c r="E4603" s="5" t="s">
        <v>15</v>
      </c>
      <c r="F4603" s="5" t="s">
        <v>15</v>
      </c>
      <c r="G4603" s="14" t="s">
        <v>16</v>
      </c>
      <c r="H4603" s="17">
        <v>200</v>
      </c>
      <c r="I4603" s="17">
        <v>200</v>
      </c>
      <c r="J4603" s="5"/>
      <c r="K4603" s="10"/>
      <c r="L4603" s="10">
        <v>20201118</v>
      </c>
      <c r="M4603" s="36" t="str">
        <f t="shared" si="71"/>
        <v>19740715</v>
      </c>
    </row>
    <row r="4604" s="1" customFormat="1" spans="1:13">
      <c r="A4604" s="2">
        <v>6890</v>
      </c>
      <c r="B4604" s="5" t="s">
        <v>13533</v>
      </c>
      <c r="C4604" s="32" t="s">
        <v>13640</v>
      </c>
      <c r="D4604" s="32" t="str">
        <f>"152326197407177112"</f>
        <v>152326197407177112</v>
      </c>
      <c r="E4604" s="5">
        <v>2020</v>
      </c>
      <c r="F4604" s="5">
        <v>2020</v>
      </c>
      <c r="G4604" s="9" t="s">
        <v>2480</v>
      </c>
      <c r="H4604" s="32">
        <v>200</v>
      </c>
      <c r="I4604" s="32">
        <v>200</v>
      </c>
      <c r="J4604" s="62"/>
      <c r="K4604" s="10"/>
      <c r="L4604" s="10">
        <v>20201118</v>
      </c>
      <c r="M4604" s="36" t="str">
        <f t="shared" si="71"/>
        <v>19740717</v>
      </c>
    </row>
    <row r="4605" s="1" customFormat="1" spans="1:13">
      <c r="A4605" s="2">
        <v>4419</v>
      </c>
      <c r="B4605" s="6" t="s">
        <v>9015</v>
      </c>
      <c r="C4605" s="6" t="s">
        <v>9027</v>
      </c>
      <c r="D4605" s="6" t="s">
        <v>9028</v>
      </c>
      <c r="E4605" s="6">
        <v>2020</v>
      </c>
      <c r="F4605" s="6">
        <v>2020</v>
      </c>
      <c r="G4605" s="6" t="s">
        <v>16</v>
      </c>
      <c r="H4605" s="6">
        <v>200</v>
      </c>
      <c r="I4605" s="6">
        <v>200</v>
      </c>
      <c r="J4605" s="6"/>
      <c r="K4605" s="6"/>
      <c r="L4605" s="10">
        <v>20201118</v>
      </c>
      <c r="M4605" s="36" t="str">
        <f t="shared" si="71"/>
        <v>19740718</v>
      </c>
    </row>
    <row r="4606" s="1" customFormat="1" spans="1:13">
      <c r="A4606" s="2">
        <v>5034</v>
      </c>
      <c r="B4606" s="6" t="s">
        <v>9954</v>
      </c>
      <c r="C4606" s="60" t="s">
        <v>10201</v>
      </c>
      <c r="D4606" s="60" t="s">
        <v>10202</v>
      </c>
      <c r="E4606" s="5" t="s">
        <v>15</v>
      </c>
      <c r="F4606" s="5" t="s">
        <v>15</v>
      </c>
      <c r="G4606" s="14" t="s">
        <v>16</v>
      </c>
      <c r="H4606" s="6">
        <v>500</v>
      </c>
      <c r="I4606" s="6">
        <v>500</v>
      </c>
      <c r="J4606" s="6"/>
      <c r="K4606" s="6"/>
      <c r="L4606" s="10">
        <v>20201118</v>
      </c>
      <c r="M4606" s="36" t="str">
        <f t="shared" si="71"/>
        <v>19740721</v>
      </c>
    </row>
    <row r="4607" s="1" customFormat="1" spans="1:13">
      <c r="A4607" s="2">
        <v>2287</v>
      </c>
      <c r="B4607" s="9" t="s">
        <v>4837</v>
      </c>
      <c r="C4607" s="9" t="s">
        <v>5116</v>
      </c>
      <c r="D4607" s="9" t="s">
        <v>5117</v>
      </c>
      <c r="E4607" s="6" t="s">
        <v>15</v>
      </c>
      <c r="F4607" s="6">
        <v>2020</v>
      </c>
      <c r="G4607" s="9" t="s">
        <v>2480</v>
      </c>
      <c r="H4607" s="9">
        <v>500</v>
      </c>
      <c r="I4607" s="9">
        <v>500</v>
      </c>
      <c r="J4607" s="6"/>
      <c r="K4607" s="10"/>
      <c r="L4607" s="10">
        <v>20201118</v>
      </c>
      <c r="M4607" s="36" t="str">
        <f t="shared" si="71"/>
        <v>19740722</v>
      </c>
    </row>
    <row r="4608" s="1" customFormat="1" ht="14.25" spans="1:13">
      <c r="A4608" s="2">
        <v>6097</v>
      </c>
      <c r="B4608" s="30" t="s">
        <v>11090</v>
      </c>
      <c r="C4608" s="32" t="s">
        <v>12231</v>
      </c>
      <c r="D4608" s="12" t="s">
        <v>12232</v>
      </c>
      <c r="E4608" s="5" t="s">
        <v>15</v>
      </c>
      <c r="F4608" s="5" t="s">
        <v>10250</v>
      </c>
      <c r="G4608" s="6" t="s">
        <v>16</v>
      </c>
      <c r="H4608" s="32">
        <v>200</v>
      </c>
      <c r="I4608" s="32">
        <v>200</v>
      </c>
      <c r="J4608" s="5" t="s">
        <v>6097</v>
      </c>
      <c r="K4608" s="48"/>
      <c r="L4608" s="10">
        <v>20201118</v>
      </c>
      <c r="M4608" s="36" t="str">
        <f t="shared" si="71"/>
        <v>19740722</v>
      </c>
    </row>
    <row r="4609" s="1" customFormat="1" spans="1:13">
      <c r="A4609" s="2">
        <v>6404</v>
      </c>
      <c r="B4609" s="5" t="s">
        <v>12263</v>
      </c>
      <c r="C4609" s="5" t="s">
        <v>12815</v>
      </c>
      <c r="D4609" s="5" t="s">
        <v>12816</v>
      </c>
      <c r="E4609" s="5" t="s">
        <v>10250</v>
      </c>
      <c r="F4609" s="5">
        <v>2020</v>
      </c>
      <c r="G4609" s="17" t="s">
        <v>3359</v>
      </c>
      <c r="H4609" s="5" t="s">
        <v>311</v>
      </c>
      <c r="I4609" s="5">
        <v>200</v>
      </c>
      <c r="J4609" s="5"/>
      <c r="K4609" s="5"/>
      <c r="L4609" s="10">
        <v>20201118</v>
      </c>
      <c r="M4609" s="36" t="str">
        <f t="shared" si="71"/>
        <v>19740722</v>
      </c>
    </row>
    <row r="4610" s="1" customFormat="1" ht="14.25" spans="1:13">
      <c r="A4610" s="2">
        <v>7686</v>
      </c>
      <c r="B4610" s="5" t="s">
        <v>14875</v>
      </c>
      <c r="C4610" s="51" t="s">
        <v>14928</v>
      </c>
      <c r="D4610" s="24" t="str">
        <f>"152326197407227116"</f>
        <v>152326197407227116</v>
      </c>
      <c r="E4610" s="6" t="s">
        <v>15</v>
      </c>
      <c r="F4610" s="6">
        <v>2020</v>
      </c>
      <c r="G4610" s="24" t="s">
        <v>14877</v>
      </c>
      <c r="H4610" s="6">
        <v>200</v>
      </c>
      <c r="I4610" s="6">
        <v>200</v>
      </c>
      <c r="J4610" s="6"/>
      <c r="K4610" s="10"/>
      <c r="L4610" s="10">
        <v>20201118</v>
      </c>
      <c r="M4610" s="36" t="str">
        <f t="shared" ref="M4610:M4673" si="72">MID(D4610,7,8)</f>
        <v>19740722</v>
      </c>
    </row>
    <row r="4611" s="1" customFormat="1" spans="1:13">
      <c r="A4611" s="2">
        <v>1141</v>
      </c>
      <c r="B4611" s="5" t="s">
        <v>2469</v>
      </c>
      <c r="C4611" s="9" t="s">
        <v>2867</v>
      </c>
      <c r="D4611" s="9" t="s">
        <v>2868</v>
      </c>
      <c r="E4611" s="5">
        <v>2020</v>
      </c>
      <c r="F4611" s="5">
        <v>2020</v>
      </c>
      <c r="G4611" s="9" t="s">
        <v>2480</v>
      </c>
      <c r="H4611" s="9">
        <v>200</v>
      </c>
      <c r="I4611" s="9">
        <v>200</v>
      </c>
      <c r="J4611" s="5"/>
      <c r="K4611" s="5"/>
      <c r="L4611" s="10">
        <v>20201118</v>
      </c>
      <c r="M4611" s="36" t="str">
        <f t="shared" si="72"/>
        <v>19740725</v>
      </c>
    </row>
    <row r="4612" s="1" customFormat="1" spans="1:13">
      <c r="A4612" s="2">
        <v>6886</v>
      </c>
      <c r="B4612" s="5" t="s">
        <v>13533</v>
      </c>
      <c r="C4612" s="32" t="s">
        <v>13636</v>
      </c>
      <c r="D4612" s="32" t="str">
        <f>"152326197407257120"</f>
        <v>152326197407257120</v>
      </c>
      <c r="E4612" s="5">
        <v>2020</v>
      </c>
      <c r="F4612" s="5">
        <v>2020</v>
      </c>
      <c r="G4612" s="9" t="s">
        <v>2480</v>
      </c>
      <c r="H4612" s="32">
        <v>200</v>
      </c>
      <c r="I4612" s="32">
        <v>200</v>
      </c>
      <c r="J4612" s="62"/>
      <c r="K4612" s="10"/>
      <c r="L4612" s="10">
        <v>20201118</v>
      </c>
      <c r="M4612" s="36" t="str">
        <f t="shared" si="72"/>
        <v>19740725</v>
      </c>
    </row>
    <row r="4613" s="1" customFormat="1" ht="14.25" spans="1:13">
      <c r="A4613" s="2">
        <v>7802</v>
      </c>
      <c r="B4613" s="5" t="s">
        <v>14875</v>
      </c>
      <c r="C4613" s="6" t="s">
        <v>15054</v>
      </c>
      <c r="D4613" s="6" t="str">
        <f>"152326197407287119"</f>
        <v>152326197407287119</v>
      </c>
      <c r="E4613" s="6" t="s">
        <v>15</v>
      </c>
      <c r="F4613" s="6">
        <v>2020</v>
      </c>
      <c r="G4613" s="24" t="s">
        <v>14877</v>
      </c>
      <c r="H4613" s="6">
        <v>200</v>
      </c>
      <c r="I4613" s="6">
        <v>200</v>
      </c>
      <c r="J4613" s="6"/>
      <c r="K4613" s="10"/>
      <c r="L4613" s="10">
        <v>20201118</v>
      </c>
      <c r="M4613" s="36" t="str">
        <f t="shared" si="72"/>
        <v>19740728</v>
      </c>
    </row>
    <row r="4614" s="1" customFormat="1" spans="1:13">
      <c r="A4614" s="2">
        <v>3908</v>
      </c>
      <c r="B4614" s="5" t="s">
        <v>7412</v>
      </c>
      <c r="C4614" s="5" t="s">
        <v>8044</v>
      </c>
      <c r="D4614" s="5" t="s">
        <v>8045</v>
      </c>
      <c r="E4614" s="6">
        <v>2020</v>
      </c>
      <c r="F4614" s="6">
        <v>2020</v>
      </c>
      <c r="G4614" s="5" t="s">
        <v>3359</v>
      </c>
      <c r="H4614" s="5">
        <v>200</v>
      </c>
      <c r="I4614" s="5">
        <v>200</v>
      </c>
      <c r="J4614" s="5"/>
      <c r="K4614" s="5"/>
      <c r="L4614" s="10">
        <v>20201118</v>
      </c>
      <c r="M4614" s="36" t="str">
        <f t="shared" si="72"/>
        <v>19740729</v>
      </c>
    </row>
    <row r="4615" s="1" customFormat="1" spans="1:13">
      <c r="A4615" s="2">
        <v>7947</v>
      </c>
      <c r="B4615" s="5" t="s">
        <v>15086</v>
      </c>
      <c r="C4615" s="6" t="s">
        <v>15221</v>
      </c>
      <c r="D4615" s="6" t="str">
        <f>"152326197407296867"</f>
        <v>152326197407296867</v>
      </c>
      <c r="E4615" s="5" t="s">
        <v>15</v>
      </c>
      <c r="F4615" s="5">
        <v>2020</v>
      </c>
      <c r="G4615" s="5" t="s">
        <v>16</v>
      </c>
      <c r="H4615" s="5">
        <v>200</v>
      </c>
      <c r="I4615" s="5">
        <v>200</v>
      </c>
      <c r="J4615" s="5"/>
      <c r="K4615" s="5"/>
      <c r="L4615" s="10">
        <v>20201118</v>
      </c>
      <c r="M4615" s="36" t="str">
        <f t="shared" si="72"/>
        <v>19740729</v>
      </c>
    </row>
    <row r="4616" s="1" customFormat="1" ht="14.25" spans="1:13">
      <c r="A4616" s="2">
        <v>6069</v>
      </c>
      <c r="B4616" s="30" t="s">
        <v>11090</v>
      </c>
      <c r="C4616" s="32" t="s">
        <v>12180</v>
      </c>
      <c r="D4616" s="12" t="s">
        <v>12181</v>
      </c>
      <c r="E4616" s="5" t="s">
        <v>15</v>
      </c>
      <c r="F4616" s="5" t="s">
        <v>10250</v>
      </c>
      <c r="G4616" s="6" t="s">
        <v>16</v>
      </c>
      <c r="H4616" s="32">
        <v>200</v>
      </c>
      <c r="I4616" s="32">
        <v>200</v>
      </c>
      <c r="J4616" s="5"/>
      <c r="K4616" s="48"/>
      <c r="L4616" s="10">
        <v>20201118</v>
      </c>
      <c r="M4616" s="36" t="str">
        <f t="shared" si="72"/>
        <v>19740801</v>
      </c>
    </row>
    <row r="4617" s="1" customFormat="1" spans="1:13">
      <c r="A4617" s="2">
        <v>7246</v>
      </c>
      <c r="B4617" s="5" t="s">
        <v>13908</v>
      </c>
      <c r="C4617" s="5" t="s">
        <v>14135</v>
      </c>
      <c r="D4617" s="5" t="s">
        <v>14136</v>
      </c>
      <c r="E4617" s="5" t="s">
        <v>15</v>
      </c>
      <c r="F4617" s="5" t="s">
        <v>15</v>
      </c>
      <c r="G4617" s="14" t="s">
        <v>16</v>
      </c>
      <c r="H4617" s="17">
        <v>200</v>
      </c>
      <c r="I4617" s="17">
        <v>200</v>
      </c>
      <c r="J4617" s="5"/>
      <c r="K4617" s="10"/>
      <c r="L4617" s="10">
        <v>20201118</v>
      </c>
      <c r="M4617" s="36" t="str">
        <f t="shared" si="72"/>
        <v>19740801</v>
      </c>
    </row>
    <row r="4618" s="1" customFormat="1" spans="1:13">
      <c r="A4618" s="2">
        <v>1807</v>
      </c>
      <c r="B4618" s="5" t="s">
        <v>3381</v>
      </c>
      <c r="C4618" s="13" t="s">
        <v>4176</v>
      </c>
      <c r="D4618" s="5" t="s">
        <v>4177</v>
      </c>
      <c r="E4618" s="5" t="s">
        <v>1047</v>
      </c>
      <c r="F4618" s="5" t="s">
        <v>15</v>
      </c>
      <c r="G4618" s="5" t="s">
        <v>289</v>
      </c>
      <c r="H4618" s="5" t="s">
        <v>4178</v>
      </c>
      <c r="I4618" s="43">
        <v>6000</v>
      </c>
      <c r="J4618" s="39"/>
      <c r="K4618" s="39"/>
      <c r="L4618" s="10">
        <v>20201224</v>
      </c>
      <c r="M4618" s="36" t="str">
        <f t="shared" si="72"/>
        <v>19740802</v>
      </c>
    </row>
    <row r="4619" s="1" customFormat="1" spans="1:13">
      <c r="A4619" s="2">
        <v>8125</v>
      </c>
      <c r="B4619" s="5" t="s">
        <v>15406</v>
      </c>
      <c r="C4619" s="6" t="s">
        <v>15443</v>
      </c>
      <c r="D4619" s="6" t="s">
        <v>15444</v>
      </c>
      <c r="E4619" s="5" t="s">
        <v>15</v>
      </c>
      <c r="F4619" s="5">
        <v>2020</v>
      </c>
      <c r="G4619" s="14" t="s">
        <v>16</v>
      </c>
      <c r="H4619" s="6" t="s">
        <v>311</v>
      </c>
      <c r="I4619" s="6">
        <v>200</v>
      </c>
      <c r="J4619" s="5"/>
      <c r="K4619" s="10"/>
      <c r="L4619" s="10">
        <v>20201118</v>
      </c>
      <c r="M4619" s="36" t="str">
        <f t="shared" si="72"/>
        <v>19740802</v>
      </c>
    </row>
    <row r="4620" s="1" customFormat="1" spans="1:13">
      <c r="A4620" s="2">
        <v>347</v>
      </c>
      <c r="B4620" s="14" t="s">
        <v>327</v>
      </c>
      <c r="C4620" s="17" t="s">
        <v>928</v>
      </c>
      <c r="D4620" s="17" t="s">
        <v>929</v>
      </c>
      <c r="E4620" s="5">
        <v>2020</v>
      </c>
      <c r="F4620" s="5">
        <v>2020</v>
      </c>
      <c r="G4620" s="14" t="s">
        <v>16</v>
      </c>
      <c r="H4620" s="17">
        <v>200</v>
      </c>
      <c r="I4620" s="17">
        <v>200</v>
      </c>
      <c r="J4620" s="17"/>
      <c r="K4620" s="10"/>
      <c r="L4620" s="2" t="s">
        <v>330</v>
      </c>
      <c r="M4620" s="36" t="str">
        <f t="shared" si="72"/>
        <v>19740803</v>
      </c>
    </row>
    <row r="4621" s="1" customFormat="1" spans="1:13">
      <c r="A4621" s="2">
        <v>6888</v>
      </c>
      <c r="B4621" s="5" t="s">
        <v>13533</v>
      </c>
      <c r="C4621" s="32" t="s">
        <v>13638</v>
      </c>
      <c r="D4621" s="32" t="str">
        <f>"152326197408037111"</f>
        <v>152326197408037111</v>
      </c>
      <c r="E4621" s="5">
        <v>2020</v>
      </c>
      <c r="F4621" s="5">
        <v>2020</v>
      </c>
      <c r="G4621" s="9" t="s">
        <v>2480</v>
      </c>
      <c r="H4621" s="32">
        <v>200</v>
      </c>
      <c r="I4621" s="32">
        <v>200</v>
      </c>
      <c r="J4621" s="62"/>
      <c r="K4621" s="10"/>
      <c r="L4621" s="10">
        <v>20201118</v>
      </c>
      <c r="M4621" s="36" t="str">
        <f t="shared" si="72"/>
        <v>19740803</v>
      </c>
    </row>
    <row r="4622" s="1" customFormat="1" spans="1:13">
      <c r="A4622" s="2">
        <v>5056</v>
      </c>
      <c r="B4622" s="6" t="s">
        <v>10242</v>
      </c>
      <c r="C4622" s="9" t="s">
        <v>10248</v>
      </c>
      <c r="D4622" s="9" t="s">
        <v>10249</v>
      </c>
      <c r="E4622" s="5" t="s">
        <v>10250</v>
      </c>
      <c r="F4622" s="5">
        <v>2020</v>
      </c>
      <c r="G4622" s="6" t="s">
        <v>16</v>
      </c>
      <c r="H4622" s="6">
        <v>200</v>
      </c>
      <c r="I4622" s="6">
        <v>200</v>
      </c>
      <c r="J4622" s="6"/>
      <c r="K4622" s="5"/>
      <c r="L4622" s="10">
        <v>20201118</v>
      </c>
      <c r="M4622" s="36" t="str">
        <f t="shared" si="72"/>
        <v>19740804</v>
      </c>
    </row>
    <row r="4623" s="1" customFormat="1" spans="1:13">
      <c r="A4623" s="2">
        <v>5205</v>
      </c>
      <c r="B4623" s="6" t="s">
        <v>10242</v>
      </c>
      <c r="C4623" s="9" t="s">
        <v>10529</v>
      </c>
      <c r="D4623" s="287" t="s">
        <v>10530</v>
      </c>
      <c r="E4623" s="5" t="s">
        <v>1047</v>
      </c>
      <c r="F4623" s="5">
        <v>2020</v>
      </c>
      <c r="G4623" s="6" t="s">
        <v>295</v>
      </c>
      <c r="H4623" s="6">
        <v>200</v>
      </c>
      <c r="I4623" s="6">
        <v>400</v>
      </c>
      <c r="J4623" s="6"/>
      <c r="K4623" s="5"/>
      <c r="L4623" s="10">
        <v>20201118</v>
      </c>
      <c r="M4623" s="36" t="str">
        <f t="shared" si="72"/>
        <v>19740806</v>
      </c>
    </row>
    <row r="4624" s="1" customFormat="1" spans="1:13">
      <c r="A4624" s="2">
        <v>5839</v>
      </c>
      <c r="B4624" s="30" t="s">
        <v>11090</v>
      </c>
      <c r="C4624" s="30" t="s">
        <v>11744</v>
      </c>
      <c r="D4624" s="30" t="s">
        <v>11745</v>
      </c>
      <c r="E4624" s="5" t="s">
        <v>15</v>
      </c>
      <c r="F4624" s="5" t="s">
        <v>10250</v>
      </c>
      <c r="G4624" s="6" t="s">
        <v>16</v>
      </c>
      <c r="H4624" s="32">
        <v>200</v>
      </c>
      <c r="I4624" s="32">
        <v>200</v>
      </c>
      <c r="J4624" s="6"/>
      <c r="K4624" s="48"/>
      <c r="L4624" s="10">
        <v>20201118</v>
      </c>
      <c r="M4624" s="36" t="str">
        <f t="shared" si="72"/>
        <v>19740806</v>
      </c>
    </row>
    <row r="4625" s="1" customFormat="1" spans="1:13">
      <c r="A4625" s="2">
        <v>1950</v>
      </c>
      <c r="B4625" s="5" t="s">
        <v>4189</v>
      </c>
      <c r="C4625" s="16" t="s">
        <v>4459</v>
      </c>
      <c r="D4625" s="16" t="s">
        <v>4460</v>
      </c>
      <c r="E4625" s="5" t="s">
        <v>15</v>
      </c>
      <c r="F4625" s="5" t="s">
        <v>15</v>
      </c>
      <c r="G4625" s="5" t="s">
        <v>3359</v>
      </c>
      <c r="H4625" s="16">
        <v>200</v>
      </c>
      <c r="I4625" s="16">
        <v>200</v>
      </c>
      <c r="J4625" s="5"/>
      <c r="K4625" s="10"/>
      <c r="L4625" s="10">
        <v>20201118</v>
      </c>
      <c r="M4625" s="36" t="str">
        <f t="shared" si="72"/>
        <v>19740808</v>
      </c>
    </row>
    <row r="4626" s="1" customFormat="1" spans="1:13">
      <c r="A4626" s="2">
        <v>664</v>
      </c>
      <c r="B4626" s="29" t="s">
        <v>1040</v>
      </c>
      <c r="C4626" s="47" t="s">
        <v>1644</v>
      </c>
      <c r="D4626" s="47" t="s">
        <v>1645</v>
      </c>
      <c r="E4626" s="30">
        <v>2020</v>
      </c>
      <c r="F4626" s="30">
        <v>2020</v>
      </c>
      <c r="G4626" s="29" t="s">
        <v>16</v>
      </c>
      <c r="H4626" s="29">
        <v>200</v>
      </c>
      <c r="I4626" s="29">
        <v>200</v>
      </c>
      <c r="J4626" s="29"/>
      <c r="K4626" s="47"/>
      <c r="L4626" s="2" t="s">
        <v>330</v>
      </c>
      <c r="M4626" s="36" t="str">
        <f t="shared" si="72"/>
        <v>19740809</v>
      </c>
    </row>
    <row r="4627" s="1" customFormat="1" spans="1:13">
      <c r="A4627" s="2">
        <v>1970</v>
      </c>
      <c r="B4627" s="5" t="s">
        <v>4189</v>
      </c>
      <c r="C4627" s="16" t="s">
        <v>4498</v>
      </c>
      <c r="D4627" s="16" t="s">
        <v>4499</v>
      </c>
      <c r="E4627" s="5" t="s">
        <v>15</v>
      </c>
      <c r="F4627" s="5" t="s">
        <v>15</v>
      </c>
      <c r="G4627" s="5" t="s">
        <v>3359</v>
      </c>
      <c r="H4627" s="16">
        <v>500</v>
      </c>
      <c r="I4627" s="16">
        <v>500</v>
      </c>
      <c r="J4627" s="5"/>
      <c r="K4627" s="10"/>
      <c r="L4627" s="10">
        <v>20201118</v>
      </c>
      <c r="M4627" s="36" t="str">
        <f t="shared" si="72"/>
        <v>19740810</v>
      </c>
    </row>
    <row r="4628" s="1" customFormat="1" spans="1:13">
      <c r="A4628" s="2">
        <v>562</v>
      </c>
      <c r="B4628" s="29" t="s">
        <v>1040</v>
      </c>
      <c r="C4628" s="29" t="s">
        <v>1400</v>
      </c>
      <c r="D4628" s="29" t="s">
        <v>1401</v>
      </c>
      <c r="E4628" s="30">
        <v>2020</v>
      </c>
      <c r="F4628" s="30">
        <v>2020</v>
      </c>
      <c r="G4628" s="29" t="s">
        <v>16</v>
      </c>
      <c r="H4628" s="29">
        <v>200</v>
      </c>
      <c r="I4628" s="29">
        <v>200</v>
      </c>
      <c r="J4628" s="29"/>
      <c r="K4628" s="47"/>
      <c r="L4628" s="2" t="s">
        <v>330</v>
      </c>
      <c r="M4628" s="36" t="str">
        <f t="shared" si="72"/>
        <v>19740811</v>
      </c>
    </row>
    <row r="4629" s="1" customFormat="1" spans="1:13">
      <c r="A4629" s="2">
        <v>5831</v>
      </c>
      <c r="B4629" s="30" t="s">
        <v>11090</v>
      </c>
      <c r="C4629" s="30" t="s">
        <v>11729</v>
      </c>
      <c r="D4629" s="30" t="s">
        <v>11730</v>
      </c>
      <c r="E4629" s="5" t="s">
        <v>15</v>
      </c>
      <c r="F4629" s="5" t="s">
        <v>10250</v>
      </c>
      <c r="G4629" s="6" t="s">
        <v>16</v>
      </c>
      <c r="H4629" s="32">
        <v>200</v>
      </c>
      <c r="I4629" s="32">
        <v>200</v>
      </c>
      <c r="J4629" s="6"/>
      <c r="K4629" s="48"/>
      <c r="L4629" s="10">
        <v>20201118</v>
      </c>
      <c r="M4629" s="36" t="str">
        <f t="shared" si="72"/>
        <v>19740813</v>
      </c>
    </row>
    <row r="4630" s="1" customFormat="1" ht="14.25" spans="1:13">
      <c r="A4630" s="2">
        <v>2829</v>
      </c>
      <c r="B4630" s="6" t="s">
        <v>6075</v>
      </c>
      <c r="C4630" s="25" t="s">
        <v>6185</v>
      </c>
      <c r="D4630" s="26" t="s">
        <v>6186</v>
      </c>
      <c r="E4630" s="5" t="s">
        <v>15</v>
      </c>
      <c r="F4630" s="5">
        <v>2020</v>
      </c>
      <c r="G4630" s="6" t="s">
        <v>16</v>
      </c>
      <c r="H4630" s="6">
        <v>200</v>
      </c>
      <c r="I4630" s="6">
        <v>200</v>
      </c>
      <c r="J4630" s="6"/>
      <c r="K4630" s="10"/>
      <c r="L4630" s="10">
        <v>20201118</v>
      </c>
      <c r="M4630" s="36" t="str">
        <f t="shared" si="72"/>
        <v>19740814</v>
      </c>
    </row>
    <row r="4631" s="1" customFormat="1" spans="1:13">
      <c r="A4631" s="2">
        <v>5612</v>
      </c>
      <c r="B4631" s="30" t="s">
        <v>11090</v>
      </c>
      <c r="C4631" s="30" t="s">
        <v>11315</v>
      </c>
      <c r="D4631" s="30" t="s">
        <v>11316</v>
      </c>
      <c r="E4631" s="5" t="s">
        <v>15</v>
      </c>
      <c r="F4631" s="5" t="s">
        <v>10250</v>
      </c>
      <c r="G4631" s="6" t="s">
        <v>16</v>
      </c>
      <c r="H4631" s="32">
        <v>200</v>
      </c>
      <c r="I4631" s="32">
        <v>200</v>
      </c>
      <c r="J4631" s="6" t="s">
        <v>11317</v>
      </c>
      <c r="K4631" s="48"/>
      <c r="L4631" s="10">
        <v>20201118</v>
      </c>
      <c r="M4631" s="36" t="str">
        <f t="shared" si="72"/>
        <v>19740814</v>
      </c>
    </row>
    <row r="4632" s="1" customFormat="1" spans="1:13">
      <c r="A4632" s="2">
        <v>6891</v>
      </c>
      <c r="B4632" s="5" t="s">
        <v>13533</v>
      </c>
      <c r="C4632" s="32" t="s">
        <v>13641</v>
      </c>
      <c r="D4632" s="32" t="str">
        <f>"152326197408147134"</f>
        <v>152326197408147134</v>
      </c>
      <c r="E4632" s="5">
        <v>2020</v>
      </c>
      <c r="F4632" s="5">
        <v>2020</v>
      </c>
      <c r="G4632" s="9" t="s">
        <v>2480</v>
      </c>
      <c r="H4632" s="32">
        <v>200</v>
      </c>
      <c r="I4632" s="32">
        <v>200</v>
      </c>
      <c r="J4632" s="62"/>
      <c r="K4632" s="10"/>
      <c r="L4632" s="10">
        <v>20201118</v>
      </c>
      <c r="M4632" s="36" t="str">
        <f t="shared" si="72"/>
        <v>19740814</v>
      </c>
    </row>
    <row r="4633" s="1" customFormat="1" spans="1:13">
      <c r="A4633" s="2">
        <v>3909</v>
      </c>
      <c r="B4633" s="5" t="s">
        <v>7412</v>
      </c>
      <c r="C4633" s="5" t="s">
        <v>8046</v>
      </c>
      <c r="D4633" s="5" t="s">
        <v>8047</v>
      </c>
      <c r="E4633" s="6">
        <v>2020</v>
      </c>
      <c r="F4633" s="6">
        <v>2020</v>
      </c>
      <c r="G4633" s="5" t="s">
        <v>3359</v>
      </c>
      <c r="H4633" s="5">
        <v>500</v>
      </c>
      <c r="I4633" s="5">
        <v>500</v>
      </c>
      <c r="J4633" s="5"/>
      <c r="K4633" s="5"/>
      <c r="L4633" s="10">
        <v>20201118</v>
      </c>
      <c r="M4633" s="36" t="str">
        <f t="shared" si="72"/>
        <v>19740815</v>
      </c>
    </row>
    <row r="4634" s="1" customFormat="1" spans="1:13">
      <c r="A4634" s="2">
        <v>7948</v>
      </c>
      <c r="B4634" s="5" t="s">
        <v>15086</v>
      </c>
      <c r="C4634" s="6" t="s">
        <v>15222</v>
      </c>
      <c r="D4634" s="6" t="str">
        <f>"152326197408156874"</f>
        <v>152326197408156874</v>
      </c>
      <c r="E4634" s="5" t="s">
        <v>15</v>
      </c>
      <c r="F4634" s="5">
        <v>2020</v>
      </c>
      <c r="G4634" s="5" t="s">
        <v>16</v>
      </c>
      <c r="H4634" s="5">
        <v>500</v>
      </c>
      <c r="I4634" s="5">
        <v>500</v>
      </c>
      <c r="J4634" s="5"/>
      <c r="K4634" s="5"/>
      <c r="L4634" s="10">
        <v>20201118</v>
      </c>
      <c r="M4634" s="36" t="str">
        <f t="shared" si="72"/>
        <v>19740815</v>
      </c>
    </row>
    <row r="4635" s="1" customFormat="1" spans="1:13">
      <c r="A4635" s="2">
        <v>1142</v>
      </c>
      <c r="B4635" s="5" t="s">
        <v>2469</v>
      </c>
      <c r="C4635" s="9" t="s">
        <v>2869</v>
      </c>
      <c r="D4635" s="9" t="s">
        <v>2870</v>
      </c>
      <c r="E4635" s="5">
        <v>2020</v>
      </c>
      <c r="F4635" s="5">
        <v>2020</v>
      </c>
      <c r="G4635" s="9" t="s">
        <v>2480</v>
      </c>
      <c r="H4635" s="9">
        <v>200</v>
      </c>
      <c r="I4635" s="9">
        <v>200</v>
      </c>
      <c r="J4635" s="5"/>
      <c r="K4635" s="5"/>
      <c r="L4635" s="10">
        <v>20201118</v>
      </c>
      <c r="M4635" s="36" t="str">
        <f t="shared" si="72"/>
        <v>19740816</v>
      </c>
    </row>
    <row r="4636" s="1" customFormat="1" spans="1:13">
      <c r="A4636" s="2">
        <v>1965</v>
      </c>
      <c r="B4636" s="5" t="s">
        <v>4189</v>
      </c>
      <c r="C4636" s="16" t="s">
        <v>4489</v>
      </c>
      <c r="D4636" s="16" t="s">
        <v>4490</v>
      </c>
      <c r="E4636" s="5" t="s">
        <v>15</v>
      </c>
      <c r="F4636" s="5" t="s">
        <v>15</v>
      </c>
      <c r="G4636" s="5" t="s">
        <v>3359</v>
      </c>
      <c r="H4636" s="16">
        <v>500</v>
      </c>
      <c r="I4636" s="16">
        <v>500</v>
      </c>
      <c r="J4636" s="5"/>
      <c r="K4636" s="10"/>
      <c r="L4636" s="10">
        <v>20201118</v>
      </c>
      <c r="M4636" s="36" t="str">
        <f t="shared" si="72"/>
        <v>19740816</v>
      </c>
    </row>
    <row r="4637" s="1" customFormat="1" spans="1:13">
      <c r="A4637" s="2">
        <v>3910</v>
      </c>
      <c r="B4637" s="5" t="s">
        <v>7412</v>
      </c>
      <c r="C4637" s="5" t="s">
        <v>8048</v>
      </c>
      <c r="D4637" s="5" t="s">
        <v>8049</v>
      </c>
      <c r="E4637" s="6">
        <v>2020</v>
      </c>
      <c r="F4637" s="6">
        <v>2020</v>
      </c>
      <c r="G4637" s="5" t="s">
        <v>3359</v>
      </c>
      <c r="H4637" s="5">
        <v>200</v>
      </c>
      <c r="I4637" s="5">
        <v>200</v>
      </c>
      <c r="J4637" s="5"/>
      <c r="K4637" s="5"/>
      <c r="L4637" s="10">
        <v>20201118</v>
      </c>
      <c r="M4637" s="36" t="str">
        <f t="shared" si="72"/>
        <v>19740816</v>
      </c>
    </row>
    <row r="4638" s="1" customFormat="1" spans="1:13">
      <c r="A4638" s="2">
        <v>4869</v>
      </c>
      <c r="B4638" s="6" t="s">
        <v>9015</v>
      </c>
      <c r="C4638" s="6" t="s">
        <v>9881</v>
      </c>
      <c r="D4638" s="293" t="s">
        <v>9882</v>
      </c>
      <c r="E4638" s="6">
        <v>2020</v>
      </c>
      <c r="F4638" s="6">
        <v>2020</v>
      </c>
      <c r="G4638" s="6" t="s">
        <v>16</v>
      </c>
      <c r="H4638" s="6">
        <v>200</v>
      </c>
      <c r="I4638" s="6">
        <v>200</v>
      </c>
      <c r="J4638" s="6"/>
      <c r="K4638" s="6"/>
      <c r="L4638" s="10">
        <v>20201118</v>
      </c>
      <c r="M4638" s="36" t="str">
        <f t="shared" si="72"/>
        <v>19740820</v>
      </c>
    </row>
    <row r="4639" s="1" customFormat="1" spans="1:13">
      <c r="A4639" s="2">
        <v>5614</v>
      </c>
      <c r="B4639" s="30" t="s">
        <v>11090</v>
      </c>
      <c r="C4639" s="30" t="s">
        <v>7919</v>
      </c>
      <c r="D4639" s="30" t="s">
        <v>11320</v>
      </c>
      <c r="E4639" s="5" t="s">
        <v>15</v>
      </c>
      <c r="F4639" s="5" t="s">
        <v>10250</v>
      </c>
      <c r="G4639" s="6" t="s">
        <v>16</v>
      </c>
      <c r="H4639" s="32">
        <v>200</v>
      </c>
      <c r="I4639" s="32">
        <v>200</v>
      </c>
      <c r="J4639" s="6"/>
      <c r="K4639" s="48"/>
      <c r="L4639" s="10">
        <v>20201118</v>
      </c>
      <c r="M4639" s="36" t="str">
        <f t="shared" si="72"/>
        <v>19740820</v>
      </c>
    </row>
    <row r="4640" s="1" customFormat="1" spans="1:13">
      <c r="A4640" s="2">
        <v>5698</v>
      </c>
      <c r="B4640" s="30" t="s">
        <v>11090</v>
      </c>
      <c r="C4640" s="30" t="s">
        <v>11481</v>
      </c>
      <c r="D4640" s="30" t="s">
        <v>11482</v>
      </c>
      <c r="E4640" s="5" t="s">
        <v>15</v>
      </c>
      <c r="F4640" s="5" t="s">
        <v>10250</v>
      </c>
      <c r="G4640" s="6" t="s">
        <v>16</v>
      </c>
      <c r="H4640" s="32">
        <v>200</v>
      </c>
      <c r="I4640" s="32">
        <v>200</v>
      </c>
      <c r="J4640" s="6"/>
      <c r="K4640" s="48"/>
      <c r="L4640" s="10">
        <v>20201118</v>
      </c>
      <c r="M4640" s="36" t="str">
        <f t="shared" si="72"/>
        <v>19740820</v>
      </c>
    </row>
    <row r="4641" s="1" customFormat="1" spans="1:13">
      <c r="A4641" s="2">
        <v>4988</v>
      </c>
      <c r="B4641" s="6" t="s">
        <v>9954</v>
      </c>
      <c r="C4641" s="60" t="s">
        <v>10115</v>
      </c>
      <c r="D4641" s="60" t="s">
        <v>10116</v>
      </c>
      <c r="E4641" s="5" t="s">
        <v>15</v>
      </c>
      <c r="F4641" s="5" t="s">
        <v>15</v>
      </c>
      <c r="G4641" s="14" t="s">
        <v>16</v>
      </c>
      <c r="H4641" s="6">
        <v>200</v>
      </c>
      <c r="I4641" s="6">
        <v>200</v>
      </c>
      <c r="J4641" s="6"/>
      <c r="K4641" s="6"/>
      <c r="L4641" s="10">
        <v>20201118</v>
      </c>
      <c r="M4641" s="36" t="str">
        <f t="shared" si="72"/>
        <v>19740822</v>
      </c>
    </row>
    <row r="4642" s="1" customFormat="1" ht="14.25" spans="1:13">
      <c r="A4642" s="2">
        <v>5354</v>
      </c>
      <c r="B4642" s="33" t="s">
        <v>10535</v>
      </c>
      <c r="C4642" s="34" t="s">
        <v>10820</v>
      </c>
      <c r="D4642" s="34" t="s">
        <v>10821</v>
      </c>
      <c r="E4642" s="35">
        <v>2020</v>
      </c>
      <c r="F4642" s="35">
        <v>2020</v>
      </c>
      <c r="G4642" s="35" t="s">
        <v>16</v>
      </c>
      <c r="H4642" s="34">
        <v>200</v>
      </c>
      <c r="I4642" s="34">
        <v>200</v>
      </c>
      <c r="J4642" s="49"/>
      <c r="K4642" s="10"/>
      <c r="L4642" s="10">
        <v>20201118</v>
      </c>
      <c r="M4642" s="36" t="str">
        <f t="shared" si="72"/>
        <v>19740824</v>
      </c>
    </row>
    <row r="4643" s="1" customFormat="1" spans="1:13">
      <c r="A4643" s="2">
        <v>6664</v>
      </c>
      <c r="B4643" s="5" t="s">
        <v>13027</v>
      </c>
      <c r="C4643" s="15" t="s">
        <v>13307</v>
      </c>
      <c r="D4643" s="15" t="s">
        <v>13308</v>
      </c>
      <c r="E4643" s="5">
        <v>2020</v>
      </c>
      <c r="F4643" s="5">
        <v>2020</v>
      </c>
      <c r="G4643" s="14" t="s">
        <v>16</v>
      </c>
      <c r="H4643" s="15">
        <v>200</v>
      </c>
      <c r="I4643" s="15">
        <v>200</v>
      </c>
      <c r="J4643" s="5"/>
      <c r="K4643" s="10"/>
      <c r="L4643" s="10">
        <v>20201118</v>
      </c>
      <c r="M4643" s="36" t="str">
        <f t="shared" si="72"/>
        <v>19740825</v>
      </c>
    </row>
    <row r="4644" s="1" customFormat="1" ht="14.25" spans="1:13">
      <c r="A4644" s="2">
        <v>7691</v>
      </c>
      <c r="B4644" s="5" t="s">
        <v>14875</v>
      </c>
      <c r="C4644" s="51" t="s">
        <v>14934</v>
      </c>
      <c r="D4644" s="24" t="str">
        <f>"152326197408257130"</f>
        <v>152326197408257130</v>
      </c>
      <c r="E4644" s="6" t="s">
        <v>15</v>
      </c>
      <c r="F4644" s="6">
        <v>2020</v>
      </c>
      <c r="G4644" s="24" t="s">
        <v>14877</v>
      </c>
      <c r="H4644" s="6">
        <v>200</v>
      </c>
      <c r="I4644" s="6">
        <v>200</v>
      </c>
      <c r="J4644" s="6"/>
      <c r="K4644" s="10"/>
      <c r="L4644" s="10">
        <v>20201118</v>
      </c>
      <c r="M4644" s="36" t="str">
        <f t="shared" si="72"/>
        <v>19740825</v>
      </c>
    </row>
    <row r="4645" s="1" customFormat="1" spans="1:13">
      <c r="A4645" s="2">
        <v>6519</v>
      </c>
      <c r="B4645" s="5" t="s">
        <v>13027</v>
      </c>
      <c r="C4645" s="15" t="s">
        <v>13037</v>
      </c>
      <c r="D4645" s="15" t="s">
        <v>13038</v>
      </c>
      <c r="E4645" s="5">
        <v>2020</v>
      </c>
      <c r="F4645" s="5">
        <v>2020</v>
      </c>
      <c r="G4645" s="14" t="s">
        <v>16</v>
      </c>
      <c r="H4645" s="15">
        <v>200</v>
      </c>
      <c r="I4645" s="15">
        <v>200</v>
      </c>
      <c r="J4645" s="5"/>
      <c r="K4645" s="10"/>
      <c r="L4645" s="10">
        <v>20201118</v>
      </c>
      <c r="M4645" s="36" t="str">
        <f t="shared" si="72"/>
        <v>19740826</v>
      </c>
    </row>
    <row r="4646" s="1" customFormat="1" spans="1:13">
      <c r="A4646" s="2">
        <v>1143</v>
      </c>
      <c r="B4646" s="5" t="s">
        <v>2469</v>
      </c>
      <c r="C4646" s="9" t="s">
        <v>2871</v>
      </c>
      <c r="D4646" s="9" t="s">
        <v>2872</v>
      </c>
      <c r="E4646" s="5">
        <v>2020</v>
      </c>
      <c r="F4646" s="5">
        <v>2020</v>
      </c>
      <c r="G4646" s="9" t="s">
        <v>2480</v>
      </c>
      <c r="H4646" s="9">
        <v>200</v>
      </c>
      <c r="I4646" s="9">
        <v>200</v>
      </c>
      <c r="J4646" s="5"/>
      <c r="K4646" s="5"/>
      <c r="L4646" s="10">
        <v>20201118</v>
      </c>
      <c r="M4646" s="36" t="str">
        <f t="shared" si="72"/>
        <v>19740827</v>
      </c>
    </row>
    <row r="4647" s="1" customFormat="1" ht="14.25" spans="1:13">
      <c r="A4647" s="2">
        <v>6014</v>
      </c>
      <c r="B4647" s="30" t="s">
        <v>11090</v>
      </c>
      <c r="C4647" s="32" t="s">
        <v>12071</v>
      </c>
      <c r="D4647" s="12" t="s">
        <v>12072</v>
      </c>
      <c r="E4647" s="5" t="s">
        <v>15</v>
      </c>
      <c r="F4647" s="5" t="s">
        <v>10250</v>
      </c>
      <c r="G4647" s="6" t="s">
        <v>16</v>
      </c>
      <c r="H4647" s="32">
        <v>200</v>
      </c>
      <c r="I4647" s="32">
        <v>200</v>
      </c>
      <c r="J4647" s="5"/>
      <c r="K4647" s="48"/>
      <c r="L4647" s="10">
        <v>20201118</v>
      </c>
      <c r="M4647" s="36" t="str">
        <f t="shared" si="72"/>
        <v>19740827</v>
      </c>
    </row>
    <row r="4648" s="1" customFormat="1" spans="1:13">
      <c r="A4648" s="2">
        <v>5605</v>
      </c>
      <c r="B4648" s="30" t="s">
        <v>11090</v>
      </c>
      <c r="C4648" s="30" t="s">
        <v>11301</v>
      </c>
      <c r="D4648" s="30" t="s">
        <v>11302</v>
      </c>
      <c r="E4648" s="5" t="s">
        <v>15</v>
      </c>
      <c r="F4648" s="5" t="s">
        <v>10250</v>
      </c>
      <c r="G4648" s="6" t="s">
        <v>16</v>
      </c>
      <c r="H4648" s="32">
        <v>200</v>
      </c>
      <c r="I4648" s="32">
        <v>200</v>
      </c>
      <c r="J4648" s="6"/>
      <c r="K4648" s="48"/>
      <c r="L4648" s="10">
        <v>20201118</v>
      </c>
      <c r="M4648" s="36" t="str">
        <f t="shared" si="72"/>
        <v>19740829</v>
      </c>
    </row>
    <row r="4649" s="1" customFormat="1" spans="1:13">
      <c r="A4649" s="2">
        <v>1669</v>
      </c>
      <c r="B4649" s="5" t="s">
        <v>3381</v>
      </c>
      <c r="C4649" s="9" t="s">
        <v>3900</v>
      </c>
      <c r="D4649" s="9" t="s">
        <v>3901</v>
      </c>
      <c r="E4649" s="5">
        <v>2020</v>
      </c>
      <c r="F4649" s="5">
        <v>2020</v>
      </c>
      <c r="G4649" s="14" t="s">
        <v>16</v>
      </c>
      <c r="H4649" s="6">
        <v>200</v>
      </c>
      <c r="I4649" s="6">
        <v>200</v>
      </c>
      <c r="J4649" s="5"/>
      <c r="K4649" s="13"/>
      <c r="L4649" s="10">
        <v>20201118</v>
      </c>
      <c r="M4649" s="36" t="str">
        <f t="shared" si="72"/>
        <v>19740830</v>
      </c>
    </row>
    <row r="4650" s="1" customFormat="1" spans="1:13">
      <c r="A4650" s="2">
        <v>8130</v>
      </c>
      <c r="B4650" s="5" t="s">
        <v>15406</v>
      </c>
      <c r="C4650" s="6" t="s">
        <v>15453</v>
      </c>
      <c r="D4650" s="6" t="s">
        <v>15454</v>
      </c>
      <c r="E4650" s="5" t="s">
        <v>15</v>
      </c>
      <c r="F4650" s="5">
        <v>2020</v>
      </c>
      <c r="G4650" s="14" t="s">
        <v>16</v>
      </c>
      <c r="H4650" s="6">
        <v>200</v>
      </c>
      <c r="I4650" s="6">
        <v>200</v>
      </c>
      <c r="J4650" s="5"/>
      <c r="K4650" s="10"/>
      <c r="L4650" s="10">
        <v>20201118</v>
      </c>
      <c r="M4650" s="36" t="str">
        <f t="shared" si="72"/>
        <v>19740901</v>
      </c>
    </row>
    <row r="4651" s="1" customFormat="1" spans="1:13">
      <c r="A4651" s="2">
        <v>811</v>
      </c>
      <c r="B4651" s="29" t="s">
        <v>1040</v>
      </c>
      <c r="C4651" s="5" t="s">
        <v>2083</v>
      </c>
      <c r="D4651" s="317" t="s">
        <v>2084</v>
      </c>
      <c r="E4651" s="30">
        <v>2020</v>
      </c>
      <c r="F4651" s="30">
        <v>2020</v>
      </c>
      <c r="G4651" s="29" t="s">
        <v>16</v>
      </c>
      <c r="H4651" s="29">
        <v>200</v>
      </c>
      <c r="I4651" s="29">
        <v>200</v>
      </c>
      <c r="J4651" s="32"/>
      <c r="K4651" s="32"/>
      <c r="L4651" s="2" t="s">
        <v>330</v>
      </c>
      <c r="M4651" s="36" t="str">
        <f t="shared" si="72"/>
        <v>19740902</v>
      </c>
    </row>
    <row r="4652" s="1" customFormat="1" spans="1:13">
      <c r="A4652" s="2">
        <v>7505</v>
      </c>
      <c r="B4652" s="62" t="s">
        <v>14402</v>
      </c>
      <c r="C4652" s="62" t="s">
        <v>14623</v>
      </c>
      <c r="D4652" s="62" t="s">
        <v>14624</v>
      </c>
      <c r="E4652" s="62">
        <v>2020</v>
      </c>
      <c r="F4652" s="62">
        <v>2020</v>
      </c>
      <c r="G4652" s="3" t="s">
        <v>16</v>
      </c>
      <c r="H4652" s="62">
        <v>200</v>
      </c>
      <c r="I4652" s="62">
        <v>200</v>
      </c>
      <c r="J4652" s="62"/>
      <c r="K4652" s="10"/>
      <c r="L4652" s="10">
        <v>20201118</v>
      </c>
      <c r="M4652" s="36" t="str">
        <f t="shared" si="72"/>
        <v>19740902</v>
      </c>
    </row>
    <row r="4653" s="1" customFormat="1" spans="1:13">
      <c r="A4653" s="2">
        <v>3371</v>
      </c>
      <c r="B4653" s="5" t="s">
        <v>3375</v>
      </c>
      <c r="C4653" s="6" t="s">
        <v>7148</v>
      </c>
      <c r="D4653" s="6" t="str">
        <f>"152326197409036866"</f>
        <v>152326197409036866</v>
      </c>
      <c r="E4653" s="5" t="s">
        <v>15</v>
      </c>
      <c r="F4653" s="5">
        <v>2020</v>
      </c>
      <c r="G4653" s="14" t="s">
        <v>16</v>
      </c>
      <c r="H4653" s="17">
        <v>200</v>
      </c>
      <c r="I4653" s="17">
        <v>200</v>
      </c>
      <c r="J4653" s="6"/>
      <c r="K4653" s="10"/>
      <c r="L4653" s="10">
        <v>20201118</v>
      </c>
      <c r="M4653" s="36" t="str">
        <f t="shared" si="72"/>
        <v>19740903</v>
      </c>
    </row>
    <row r="4654" s="1" customFormat="1" ht="14.25" spans="1:13">
      <c r="A4654" s="2">
        <v>7808</v>
      </c>
      <c r="B4654" s="5" t="s">
        <v>14875</v>
      </c>
      <c r="C4654" s="6" t="s">
        <v>6417</v>
      </c>
      <c r="D4654" s="6" t="str">
        <f>"152326197409044081"</f>
        <v>152326197409044081</v>
      </c>
      <c r="E4654" s="6" t="s">
        <v>15</v>
      </c>
      <c r="F4654" s="6">
        <v>2020</v>
      </c>
      <c r="G4654" s="24" t="s">
        <v>14877</v>
      </c>
      <c r="H4654" s="6">
        <v>500</v>
      </c>
      <c r="I4654" s="6">
        <v>500</v>
      </c>
      <c r="J4654" s="6"/>
      <c r="K4654" s="10"/>
      <c r="L4654" s="10">
        <v>20201118</v>
      </c>
      <c r="M4654" s="36" t="str">
        <f t="shared" si="72"/>
        <v>19740904</v>
      </c>
    </row>
    <row r="4655" s="1" customFormat="1" ht="14.25" spans="1:13">
      <c r="A4655" s="2">
        <v>7814</v>
      </c>
      <c r="B4655" s="5" t="s">
        <v>14875</v>
      </c>
      <c r="C4655" s="23" t="s">
        <v>15070</v>
      </c>
      <c r="D4655" s="12" t="s">
        <v>15071</v>
      </c>
      <c r="E4655" s="6" t="s">
        <v>15</v>
      </c>
      <c r="F4655" s="6">
        <v>2020</v>
      </c>
      <c r="G4655" s="24" t="s">
        <v>14877</v>
      </c>
      <c r="H4655" s="6">
        <v>200</v>
      </c>
      <c r="I4655" s="6">
        <v>200</v>
      </c>
      <c r="J4655" s="6"/>
      <c r="K4655" s="10"/>
      <c r="L4655" s="10">
        <v>20201118</v>
      </c>
      <c r="M4655" s="36" t="str">
        <f t="shared" si="72"/>
        <v>19740904</v>
      </c>
    </row>
    <row r="4656" s="1" customFormat="1" spans="1:13">
      <c r="A4656" s="2">
        <v>7334</v>
      </c>
      <c r="B4656" s="5" t="s">
        <v>13908</v>
      </c>
      <c r="C4656" s="5" t="s">
        <v>14301</v>
      </c>
      <c r="D4656" s="5" t="s">
        <v>14302</v>
      </c>
      <c r="E4656" s="5" t="s">
        <v>15</v>
      </c>
      <c r="F4656" s="5" t="s">
        <v>15</v>
      </c>
      <c r="G4656" s="14" t="s">
        <v>16</v>
      </c>
      <c r="H4656" s="17">
        <v>200</v>
      </c>
      <c r="I4656" s="17">
        <v>200</v>
      </c>
      <c r="J4656" s="5"/>
      <c r="K4656" s="10"/>
      <c r="L4656" s="10">
        <v>20201118</v>
      </c>
      <c r="M4656" s="36" t="str">
        <f t="shared" si="72"/>
        <v>19740905</v>
      </c>
    </row>
    <row r="4657" s="1" customFormat="1" spans="1:13">
      <c r="A4657" s="2">
        <v>6220</v>
      </c>
      <c r="B4657" s="5" t="s">
        <v>12263</v>
      </c>
      <c r="C4657" s="5" t="s">
        <v>12466</v>
      </c>
      <c r="D4657" s="5" t="s">
        <v>12467</v>
      </c>
      <c r="E4657" s="5" t="s">
        <v>10250</v>
      </c>
      <c r="F4657" s="5">
        <v>2020</v>
      </c>
      <c r="G4657" s="17" t="s">
        <v>3359</v>
      </c>
      <c r="H4657" s="5">
        <v>200</v>
      </c>
      <c r="I4657" s="5">
        <v>200</v>
      </c>
      <c r="J4657" s="5"/>
      <c r="K4657" s="5"/>
      <c r="L4657" s="10">
        <v>20201118</v>
      </c>
      <c r="M4657" s="36" t="str">
        <f t="shared" si="72"/>
        <v>19740906</v>
      </c>
    </row>
    <row r="4658" s="1" customFormat="1" spans="1:13">
      <c r="A4658" s="2">
        <v>438</v>
      </c>
      <c r="B4658" s="29" t="s">
        <v>1040</v>
      </c>
      <c r="C4658" s="29" t="s">
        <v>1152</v>
      </c>
      <c r="D4658" s="29" t="s">
        <v>1153</v>
      </c>
      <c r="E4658" s="30">
        <v>2020</v>
      </c>
      <c r="F4658" s="30">
        <v>2020</v>
      </c>
      <c r="G4658" s="29" t="s">
        <v>16</v>
      </c>
      <c r="H4658" s="29">
        <v>200</v>
      </c>
      <c r="I4658" s="29">
        <v>200</v>
      </c>
      <c r="J4658" s="29"/>
      <c r="K4658" s="47"/>
      <c r="L4658" s="2" t="s">
        <v>330</v>
      </c>
      <c r="M4658" s="36" t="str">
        <f t="shared" si="72"/>
        <v>19740907</v>
      </c>
    </row>
    <row r="4659" s="1" customFormat="1" spans="1:13">
      <c r="A4659" s="2">
        <v>4144</v>
      </c>
      <c r="B4659" s="5" t="s">
        <v>7412</v>
      </c>
      <c r="C4659" s="5" t="s">
        <v>8494</v>
      </c>
      <c r="D4659" s="296" t="s">
        <v>8495</v>
      </c>
      <c r="E4659" s="6">
        <v>2020</v>
      </c>
      <c r="F4659" s="6">
        <v>2020</v>
      </c>
      <c r="G4659" s="5" t="s">
        <v>3359</v>
      </c>
      <c r="H4659" s="5">
        <v>200</v>
      </c>
      <c r="I4659" s="5">
        <v>200</v>
      </c>
      <c r="J4659" s="5"/>
      <c r="K4659" s="5"/>
      <c r="L4659" s="10">
        <v>20201118</v>
      </c>
      <c r="M4659" s="36" t="str">
        <f t="shared" si="72"/>
        <v>19740907</v>
      </c>
    </row>
    <row r="4660" s="1" customFormat="1" spans="1:13">
      <c r="A4660" s="2">
        <v>4739</v>
      </c>
      <c r="B4660" s="6" t="s">
        <v>9015</v>
      </c>
      <c r="C4660" s="6" t="s">
        <v>9635</v>
      </c>
      <c r="D4660" s="6" t="s">
        <v>9636</v>
      </c>
      <c r="E4660" s="6">
        <v>2020</v>
      </c>
      <c r="F4660" s="6">
        <v>2020</v>
      </c>
      <c r="G4660" s="6" t="s">
        <v>16</v>
      </c>
      <c r="H4660" s="6">
        <v>200</v>
      </c>
      <c r="I4660" s="6">
        <v>200</v>
      </c>
      <c r="J4660" s="6"/>
      <c r="K4660" s="6"/>
      <c r="L4660" s="10">
        <v>20201118</v>
      </c>
      <c r="M4660" s="36" t="str">
        <f t="shared" si="72"/>
        <v>19740907</v>
      </c>
    </row>
    <row r="4661" s="1" customFormat="1" spans="1:13">
      <c r="A4661" s="2">
        <v>22</v>
      </c>
      <c r="B4661" s="2" t="s">
        <v>12</v>
      </c>
      <c r="C4661" s="17" t="s">
        <v>58</v>
      </c>
      <c r="D4661" s="17" t="s">
        <v>59</v>
      </c>
      <c r="E4661" s="3" t="s">
        <v>15</v>
      </c>
      <c r="F4661" s="3" t="s">
        <v>15</v>
      </c>
      <c r="G4661" s="2" t="s">
        <v>16</v>
      </c>
      <c r="H4661" s="17">
        <v>200</v>
      </c>
      <c r="I4661" s="17">
        <v>200</v>
      </c>
      <c r="J4661" s="31"/>
      <c r="K4661" s="17"/>
      <c r="L4661" s="10">
        <v>20201118</v>
      </c>
      <c r="M4661" s="36" t="str">
        <f t="shared" si="72"/>
        <v>19740908</v>
      </c>
    </row>
    <row r="4662" s="1" customFormat="1" spans="1:13">
      <c r="A4662" s="2">
        <v>2094</v>
      </c>
      <c r="B4662" s="5" t="s">
        <v>4189</v>
      </c>
      <c r="C4662" s="16" t="s">
        <v>4739</v>
      </c>
      <c r="D4662" s="16" t="s">
        <v>4740</v>
      </c>
      <c r="E4662" s="5" t="s">
        <v>15</v>
      </c>
      <c r="F4662" s="5" t="s">
        <v>15</v>
      </c>
      <c r="G4662" s="5" t="s">
        <v>3359</v>
      </c>
      <c r="H4662" s="16">
        <v>200</v>
      </c>
      <c r="I4662" s="16">
        <v>200</v>
      </c>
      <c r="J4662" s="5"/>
      <c r="K4662" s="10"/>
      <c r="L4662" s="10">
        <v>20201118</v>
      </c>
      <c r="M4662" s="36" t="str">
        <f t="shared" si="72"/>
        <v>19740908</v>
      </c>
    </row>
    <row r="4663" s="1" customFormat="1" spans="1:13">
      <c r="A4663" s="2">
        <v>8216</v>
      </c>
      <c r="B4663" s="5" t="s">
        <v>15406</v>
      </c>
      <c r="C4663" s="6" t="s">
        <v>15614</v>
      </c>
      <c r="D4663" s="293" t="s">
        <v>15615</v>
      </c>
      <c r="E4663" s="5" t="s">
        <v>15</v>
      </c>
      <c r="F4663" s="5">
        <v>2020</v>
      </c>
      <c r="G4663" s="5" t="s">
        <v>189</v>
      </c>
      <c r="H4663" s="6">
        <v>200</v>
      </c>
      <c r="I4663" s="6">
        <v>200</v>
      </c>
      <c r="J4663" s="5"/>
      <c r="K4663" s="10"/>
      <c r="L4663" s="10">
        <v>20201118</v>
      </c>
      <c r="M4663" s="36" t="str">
        <f t="shared" si="72"/>
        <v>19740908</v>
      </c>
    </row>
    <row r="4664" s="1" customFormat="1" spans="1:13">
      <c r="A4664" s="2">
        <v>194</v>
      </c>
      <c r="B4664" s="14" t="s">
        <v>327</v>
      </c>
      <c r="C4664" s="14" t="s">
        <v>470</v>
      </c>
      <c r="D4664" s="14" t="s">
        <v>471</v>
      </c>
      <c r="E4664" s="5">
        <v>2020</v>
      </c>
      <c r="F4664" s="5">
        <v>2020</v>
      </c>
      <c r="G4664" s="14" t="s">
        <v>16</v>
      </c>
      <c r="H4664" s="14">
        <v>200</v>
      </c>
      <c r="I4664" s="14">
        <v>200</v>
      </c>
      <c r="J4664" s="14"/>
      <c r="K4664" s="10"/>
      <c r="L4664" s="14" t="s">
        <v>330</v>
      </c>
      <c r="M4664" s="36" t="str">
        <f t="shared" si="72"/>
        <v>19740909</v>
      </c>
    </row>
    <row r="4665" s="1" customFormat="1" spans="1:13">
      <c r="A4665" s="2">
        <v>3368</v>
      </c>
      <c r="B4665" s="5" t="s">
        <v>3375</v>
      </c>
      <c r="C4665" s="6" t="s">
        <v>7145</v>
      </c>
      <c r="D4665" s="6" t="str">
        <f>"152326197409096877"</f>
        <v>152326197409096877</v>
      </c>
      <c r="E4665" s="5" t="s">
        <v>15</v>
      </c>
      <c r="F4665" s="5">
        <v>2020</v>
      </c>
      <c r="G4665" s="14" t="s">
        <v>16</v>
      </c>
      <c r="H4665" s="17">
        <v>200</v>
      </c>
      <c r="I4665" s="17">
        <v>200</v>
      </c>
      <c r="J4665" s="6"/>
      <c r="K4665" s="10"/>
      <c r="L4665" s="10">
        <v>20201118</v>
      </c>
      <c r="M4665" s="36" t="str">
        <f t="shared" si="72"/>
        <v>19740909</v>
      </c>
    </row>
    <row r="4666" s="1" customFormat="1" spans="1:13">
      <c r="A4666" s="2">
        <v>5137</v>
      </c>
      <c r="B4666" s="6" t="s">
        <v>10242</v>
      </c>
      <c r="C4666" s="9" t="s">
        <v>4830</v>
      </c>
      <c r="D4666" s="9" t="s">
        <v>10401</v>
      </c>
      <c r="E4666" s="5" t="s">
        <v>10250</v>
      </c>
      <c r="F4666" s="5">
        <v>2020</v>
      </c>
      <c r="G4666" s="6" t="s">
        <v>16</v>
      </c>
      <c r="H4666" s="6">
        <v>200</v>
      </c>
      <c r="I4666" s="6">
        <v>200</v>
      </c>
      <c r="J4666" s="6"/>
      <c r="K4666" s="5"/>
      <c r="L4666" s="10">
        <v>20201118</v>
      </c>
      <c r="M4666" s="36" t="str">
        <f t="shared" si="72"/>
        <v>19740910</v>
      </c>
    </row>
    <row r="4667" s="1" customFormat="1" spans="1:13">
      <c r="A4667" s="2">
        <v>389</v>
      </c>
      <c r="B4667" s="29" t="s">
        <v>1040</v>
      </c>
      <c r="C4667" s="29" t="s">
        <v>1054</v>
      </c>
      <c r="D4667" s="29" t="s">
        <v>1055</v>
      </c>
      <c r="E4667" s="10">
        <v>2020</v>
      </c>
      <c r="F4667" s="2" t="s">
        <v>15</v>
      </c>
      <c r="G4667" s="76" t="s">
        <v>16</v>
      </c>
      <c r="H4667" s="76">
        <v>200</v>
      </c>
      <c r="I4667" s="76">
        <v>200</v>
      </c>
      <c r="J4667" s="83"/>
      <c r="K4667" s="84"/>
      <c r="L4667" s="14" t="s">
        <v>330</v>
      </c>
      <c r="M4667" s="36" t="str">
        <f t="shared" si="72"/>
        <v>19740911</v>
      </c>
    </row>
    <row r="4668" s="1" customFormat="1" spans="1:13">
      <c r="A4668" s="2">
        <v>2288</v>
      </c>
      <c r="B4668" s="9" t="s">
        <v>4837</v>
      </c>
      <c r="C4668" s="9" t="s">
        <v>5118</v>
      </c>
      <c r="D4668" s="9" t="s">
        <v>5119</v>
      </c>
      <c r="E4668" s="6" t="s">
        <v>15</v>
      </c>
      <c r="F4668" s="6">
        <v>2020</v>
      </c>
      <c r="G4668" s="9" t="s">
        <v>2480</v>
      </c>
      <c r="H4668" s="9">
        <v>200</v>
      </c>
      <c r="I4668" s="9">
        <v>200</v>
      </c>
      <c r="J4668" s="6"/>
      <c r="K4668" s="10"/>
      <c r="L4668" s="10">
        <v>20201118</v>
      </c>
      <c r="M4668" s="36" t="str">
        <f t="shared" si="72"/>
        <v>19740911</v>
      </c>
    </row>
    <row r="4669" s="1" customFormat="1" spans="1:13">
      <c r="A4669" s="2">
        <v>3364</v>
      </c>
      <c r="B4669" s="5" t="s">
        <v>3375</v>
      </c>
      <c r="C4669" s="6" t="s">
        <v>7141</v>
      </c>
      <c r="D4669" s="6" t="str">
        <f>"152326197409116866"</f>
        <v>152326197409116866</v>
      </c>
      <c r="E4669" s="5" t="s">
        <v>15</v>
      </c>
      <c r="F4669" s="5">
        <v>2020</v>
      </c>
      <c r="G4669" s="14" t="s">
        <v>16</v>
      </c>
      <c r="H4669" s="17">
        <v>1000</v>
      </c>
      <c r="I4669" s="17">
        <v>1000</v>
      </c>
      <c r="J4669" s="6"/>
      <c r="K4669" s="10"/>
      <c r="L4669" s="10">
        <v>20201118</v>
      </c>
      <c r="M4669" s="36" t="str">
        <f t="shared" si="72"/>
        <v>19740911</v>
      </c>
    </row>
    <row r="4670" s="1" customFormat="1" spans="1:13">
      <c r="A4670" s="2">
        <v>550</v>
      </c>
      <c r="B4670" s="29" t="s">
        <v>1040</v>
      </c>
      <c r="C4670" s="29" t="s">
        <v>1377</v>
      </c>
      <c r="D4670" s="29" t="s">
        <v>1378</v>
      </c>
      <c r="E4670" s="30">
        <v>2020</v>
      </c>
      <c r="F4670" s="30">
        <v>2020</v>
      </c>
      <c r="G4670" s="29" t="s">
        <v>16</v>
      </c>
      <c r="H4670" s="29">
        <v>200</v>
      </c>
      <c r="I4670" s="29">
        <v>200</v>
      </c>
      <c r="J4670" s="29"/>
      <c r="K4670" s="47"/>
      <c r="L4670" s="2" t="s">
        <v>330</v>
      </c>
      <c r="M4670" s="36" t="str">
        <f t="shared" si="72"/>
        <v>19740912</v>
      </c>
    </row>
    <row r="4671" s="1" customFormat="1" ht="14.25" spans="1:13">
      <c r="A4671" s="2">
        <v>3060</v>
      </c>
      <c r="B4671" s="6" t="s">
        <v>6075</v>
      </c>
      <c r="C4671" s="6" t="s">
        <v>6643</v>
      </c>
      <c r="D4671" s="26" t="s">
        <v>6644</v>
      </c>
      <c r="E4671" s="5" t="s">
        <v>15</v>
      </c>
      <c r="F4671" s="5">
        <v>2020</v>
      </c>
      <c r="G4671" s="6" t="s">
        <v>6642</v>
      </c>
      <c r="H4671" s="6">
        <v>200</v>
      </c>
      <c r="I4671" s="6">
        <v>200</v>
      </c>
      <c r="J4671" s="6"/>
      <c r="K4671" s="10"/>
      <c r="L4671" s="10">
        <v>20201118</v>
      </c>
      <c r="M4671" s="36" t="str">
        <f t="shared" si="72"/>
        <v>19740913</v>
      </c>
    </row>
    <row r="4672" s="1" customFormat="1" spans="1:13">
      <c r="A4672" s="2">
        <v>4314</v>
      </c>
      <c r="B4672" s="9" t="s">
        <v>8515</v>
      </c>
      <c r="C4672" s="9" t="s">
        <v>8820</v>
      </c>
      <c r="D4672" s="9" t="s">
        <v>8821</v>
      </c>
      <c r="E4672" s="5" t="s">
        <v>15</v>
      </c>
      <c r="F4672" s="5">
        <v>2020</v>
      </c>
      <c r="G4672" s="9" t="s">
        <v>2480</v>
      </c>
      <c r="H4672" s="9">
        <v>200</v>
      </c>
      <c r="I4672" s="9">
        <v>200</v>
      </c>
      <c r="J4672" s="9"/>
      <c r="K4672" s="9"/>
      <c r="L4672" s="10">
        <v>20201118</v>
      </c>
      <c r="M4672" s="36" t="str">
        <f t="shared" si="72"/>
        <v>19740913</v>
      </c>
    </row>
    <row r="4673" s="1" customFormat="1" ht="14.25" spans="1:13">
      <c r="A4673" s="2">
        <v>2830</v>
      </c>
      <c r="B4673" s="6" t="s">
        <v>6075</v>
      </c>
      <c r="C4673" s="25" t="s">
        <v>6187</v>
      </c>
      <c r="D4673" s="26" t="s">
        <v>6188</v>
      </c>
      <c r="E4673" s="5" t="s">
        <v>15</v>
      </c>
      <c r="F4673" s="5">
        <v>2020</v>
      </c>
      <c r="G4673" s="6" t="s">
        <v>16</v>
      </c>
      <c r="H4673" s="6">
        <v>200</v>
      </c>
      <c r="I4673" s="6">
        <v>200</v>
      </c>
      <c r="J4673" s="6"/>
      <c r="K4673" s="10"/>
      <c r="L4673" s="10">
        <v>20201118</v>
      </c>
      <c r="M4673" s="36" t="str">
        <f t="shared" si="72"/>
        <v>19740914</v>
      </c>
    </row>
    <row r="4674" s="1" customFormat="1" spans="1:13">
      <c r="A4674" s="2">
        <v>4713</v>
      </c>
      <c r="B4674" s="6" t="s">
        <v>9015</v>
      </c>
      <c r="C4674" s="6" t="s">
        <v>9586</v>
      </c>
      <c r="D4674" s="6" t="s">
        <v>9587</v>
      </c>
      <c r="E4674" s="6">
        <v>2020</v>
      </c>
      <c r="F4674" s="6">
        <v>2020</v>
      </c>
      <c r="G4674" s="6" t="s">
        <v>16</v>
      </c>
      <c r="H4674" s="6">
        <v>200</v>
      </c>
      <c r="I4674" s="6">
        <v>200</v>
      </c>
      <c r="J4674" s="6"/>
      <c r="K4674" s="6"/>
      <c r="L4674" s="10">
        <v>20201118</v>
      </c>
      <c r="M4674" s="36" t="str">
        <f t="shared" ref="M4674:M4737" si="73">MID(D4674,7,8)</f>
        <v>19740915</v>
      </c>
    </row>
    <row r="4675" s="1" customFormat="1" spans="1:13">
      <c r="A4675" s="2">
        <v>6665</v>
      </c>
      <c r="B4675" s="5" t="s">
        <v>13027</v>
      </c>
      <c r="C4675" s="15" t="s">
        <v>13309</v>
      </c>
      <c r="D4675" s="15" t="s">
        <v>13310</v>
      </c>
      <c r="E4675" s="5">
        <v>2020</v>
      </c>
      <c r="F4675" s="5">
        <v>2020</v>
      </c>
      <c r="G4675" s="14" t="s">
        <v>16</v>
      </c>
      <c r="H4675" s="15">
        <v>200</v>
      </c>
      <c r="I4675" s="15">
        <v>200</v>
      </c>
      <c r="J4675" s="5"/>
      <c r="K4675" s="10"/>
      <c r="L4675" s="10">
        <v>20201118</v>
      </c>
      <c r="M4675" s="36" t="str">
        <f t="shared" si="73"/>
        <v>19740915</v>
      </c>
    </row>
    <row r="4676" s="1" customFormat="1" ht="14.25" spans="1:13">
      <c r="A4676" s="2">
        <v>5355</v>
      </c>
      <c r="B4676" s="33" t="s">
        <v>10535</v>
      </c>
      <c r="C4676" s="34" t="s">
        <v>10822</v>
      </c>
      <c r="D4676" s="34" t="s">
        <v>10823</v>
      </c>
      <c r="E4676" s="35">
        <v>2020</v>
      </c>
      <c r="F4676" s="35">
        <v>2020</v>
      </c>
      <c r="G4676" s="35" t="s">
        <v>16</v>
      </c>
      <c r="H4676" s="34">
        <v>200</v>
      </c>
      <c r="I4676" s="34">
        <v>200</v>
      </c>
      <c r="J4676" s="49"/>
      <c r="K4676" s="10"/>
      <c r="L4676" s="10">
        <v>20201118</v>
      </c>
      <c r="M4676" s="36" t="str">
        <f t="shared" si="73"/>
        <v>19740916</v>
      </c>
    </row>
    <row r="4677" s="1" customFormat="1" spans="1:13">
      <c r="A4677" s="2">
        <v>6894</v>
      </c>
      <c r="B4677" s="5" t="s">
        <v>13533</v>
      </c>
      <c r="C4677" s="32" t="s">
        <v>13644</v>
      </c>
      <c r="D4677" s="32" t="str">
        <f>"152326197409167110"</f>
        <v>152326197409167110</v>
      </c>
      <c r="E4677" s="5">
        <v>2020</v>
      </c>
      <c r="F4677" s="5">
        <v>2020</v>
      </c>
      <c r="G4677" s="9" t="s">
        <v>2480</v>
      </c>
      <c r="H4677" s="32">
        <v>200</v>
      </c>
      <c r="I4677" s="32">
        <v>200</v>
      </c>
      <c r="J4677" s="62"/>
      <c r="K4677" s="10"/>
      <c r="L4677" s="10">
        <v>20201118</v>
      </c>
      <c r="M4677" s="36" t="str">
        <f t="shared" si="73"/>
        <v>19740916</v>
      </c>
    </row>
    <row r="4678" s="1" customFormat="1" spans="1:13">
      <c r="A4678" s="2">
        <v>7301</v>
      </c>
      <c r="B4678" s="5" t="s">
        <v>13908</v>
      </c>
      <c r="C4678" s="5" t="s">
        <v>14240</v>
      </c>
      <c r="D4678" s="5" t="s">
        <v>14241</v>
      </c>
      <c r="E4678" s="5" t="s">
        <v>15</v>
      </c>
      <c r="F4678" s="5" t="s">
        <v>15</v>
      </c>
      <c r="G4678" s="14" t="s">
        <v>16</v>
      </c>
      <c r="H4678" s="17">
        <v>200</v>
      </c>
      <c r="I4678" s="17">
        <v>200</v>
      </c>
      <c r="J4678" s="5"/>
      <c r="K4678" s="10"/>
      <c r="L4678" s="10">
        <v>20201118</v>
      </c>
      <c r="M4678" s="36" t="str">
        <f t="shared" si="73"/>
        <v>19740923</v>
      </c>
    </row>
    <row r="4679" s="1" customFormat="1" spans="1:13">
      <c r="A4679" s="2">
        <v>4719</v>
      </c>
      <c r="B4679" s="6" t="s">
        <v>9015</v>
      </c>
      <c r="C4679" s="6" t="s">
        <v>1148</v>
      </c>
      <c r="D4679" s="6" t="s">
        <v>9596</v>
      </c>
      <c r="E4679" s="6">
        <v>2020</v>
      </c>
      <c r="F4679" s="6">
        <v>2020</v>
      </c>
      <c r="G4679" s="6" t="s">
        <v>16</v>
      </c>
      <c r="H4679" s="6">
        <v>200</v>
      </c>
      <c r="I4679" s="6">
        <v>200</v>
      </c>
      <c r="J4679" s="6"/>
      <c r="K4679" s="6"/>
      <c r="L4679" s="10">
        <v>20201118</v>
      </c>
      <c r="M4679" s="36" t="str">
        <f t="shared" si="73"/>
        <v>19740924</v>
      </c>
    </row>
    <row r="4680" s="1" customFormat="1" spans="1:13">
      <c r="A4680" s="2">
        <v>4990</v>
      </c>
      <c r="B4680" s="6" t="s">
        <v>9954</v>
      </c>
      <c r="C4680" s="60" t="s">
        <v>10118</v>
      </c>
      <c r="D4680" s="60" t="s">
        <v>10119</v>
      </c>
      <c r="E4680" s="5" t="s">
        <v>15</v>
      </c>
      <c r="F4680" s="5" t="s">
        <v>15</v>
      </c>
      <c r="G4680" s="14" t="s">
        <v>16</v>
      </c>
      <c r="H4680" s="6">
        <v>200</v>
      </c>
      <c r="I4680" s="6">
        <v>200</v>
      </c>
      <c r="J4680" s="6"/>
      <c r="K4680" s="6"/>
      <c r="L4680" s="10">
        <v>20201118</v>
      </c>
      <c r="M4680" s="36" t="str">
        <f t="shared" si="73"/>
        <v>19740928</v>
      </c>
    </row>
    <row r="4681" s="1" customFormat="1" ht="14.25" spans="1:13">
      <c r="A4681" s="2">
        <v>7687</v>
      </c>
      <c r="B4681" s="5" t="s">
        <v>14875</v>
      </c>
      <c r="C4681" s="51" t="s">
        <v>14929</v>
      </c>
      <c r="D4681" s="24" t="str">
        <f>"152326197409287139"</f>
        <v>152326197409287139</v>
      </c>
      <c r="E4681" s="6" t="s">
        <v>15</v>
      </c>
      <c r="F4681" s="6">
        <v>2020</v>
      </c>
      <c r="G4681" s="24" t="s">
        <v>14877</v>
      </c>
      <c r="H4681" s="6">
        <v>200</v>
      </c>
      <c r="I4681" s="6">
        <v>200</v>
      </c>
      <c r="J4681" s="6"/>
      <c r="K4681" s="10"/>
      <c r="L4681" s="10">
        <v>20201118</v>
      </c>
      <c r="M4681" s="36" t="str">
        <f t="shared" si="73"/>
        <v>19740928</v>
      </c>
    </row>
    <row r="4682" s="1" customFormat="1" spans="1:13">
      <c r="A4682" s="2">
        <v>6896</v>
      </c>
      <c r="B4682" s="5" t="s">
        <v>13533</v>
      </c>
      <c r="C4682" s="32" t="s">
        <v>13646</v>
      </c>
      <c r="D4682" s="32" t="str">
        <f>"152326197409297118"</f>
        <v>152326197409297118</v>
      </c>
      <c r="E4682" s="5">
        <v>2020</v>
      </c>
      <c r="F4682" s="5">
        <v>2020</v>
      </c>
      <c r="G4682" s="9" t="s">
        <v>2480</v>
      </c>
      <c r="H4682" s="32">
        <v>200</v>
      </c>
      <c r="I4682" s="32">
        <v>200</v>
      </c>
      <c r="J4682" s="32"/>
      <c r="K4682" s="10"/>
      <c r="L4682" s="10">
        <v>20201118</v>
      </c>
      <c r="M4682" s="36" t="str">
        <f t="shared" si="73"/>
        <v>19740929</v>
      </c>
    </row>
    <row r="4683" s="1" customFormat="1" spans="1:13">
      <c r="A4683" s="2">
        <v>32</v>
      </c>
      <c r="B4683" s="2" t="s">
        <v>12</v>
      </c>
      <c r="C4683" s="17" t="s">
        <v>78</v>
      </c>
      <c r="D4683" s="17" t="s">
        <v>79</v>
      </c>
      <c r="E4683" s="3" t="s">
        <v>15</v>
      </c>
      <c r="F4683" s="3" t="s">
        <v>15</v>
      </c>
      <c r="G4683" s="2" t="s">
        <v>16</v>
      </c>
      <c r="H4683" s="17">
        <v>500</v>
      </c>
      <c r="I4683" s="17">
        <v>500</v>
      </c>
      <c r="J4683" s="31"/>
      <c r="K4683" s="17"/>
      <c r="L4683" s="10">
        <v>20201118</v>
      </c>
      <c r="M4683" s="36" t="str">
        <f t="shared" si="73"/>
        <v>19740930</v>
      </c>
    </row>
    <row r="4684" s="1" customFormat="1" spans="1:13">
      <c r="A4684" s="2">
        <v>8194</v>
      </c>
      <c r="B4684" s="5" t="s">
        <v>15406</v>
      </c>
      <c r="C4684" s="6" t="s">
        <v>15469</v>
      </c>
      <c r="D4684" s="6" t="s">
        <v>15574</v>
      </c>
      <c r="E4684" s="5" t="s">
        <v>15</v>
      </c>
      <c r="F4684" s="5">
        <v>2020</v>
      </c>
      <c r="G4684" s="14" t="s">
        <v>16</v>
      </c>
      <c r="H4684" s="6">
        <v>200</v>
      </c>
      <c r="I4684" s="6">
        <v>200</v>
      </c>
      <c r="J4684" s="5"/>
      <c r="K4684" s="10"/>
      <c r="L4684" s="10">
        <v>20201118</v>
      </c>
      <c r="M4684" s="36" t="str">
        <f t="shared" si="73"/>
        <v>19741001</v>
      </c>
    </row>
    <row r="4685" s="1" customFormat="1" spans="1:13">
      <c r="A4685" s="2">
        <v>600</v>
      </c>
      <c r="B4685" s="29" t="s">
        <v>1040</v>
      </c>
      <c r="C4685" s="29" t="s">
        <v>1476</v>
      </c>
      <c r="D4685" s="29" t="s">
        <v>1477</v>
      </c>
      <c r="E4685" s="30">
        <v>2020</v>
      </c>
      <c r="F4685" s="30">
        <v>2020</v>
      </c>
      <c r="G4685" s="29" t="s">
        <v>16</v>
      </c>
      <c r="H4685" s="29">
        <v>200</v>
      </c>
      <c r="I4685" s="29">
        <v>200</v>
      </c>
      <c r="J4685" s="29"/>
      <c r="K4685" s="47"/>
      <c r="L4685" s="2" t="s">
        <v>330</v>
      </c>
      <c r="M4685" s="36" t="str">
        <f t="shared" si="73"/>
        <v>19741005</v>
      </c>
    </row>
    <row r="4686" s="1" customFormat="1" spans="1:13">
      <c r="A4686" s="2">
        <v>678</v>
      </c>
      <c r="B4686" s="29" t="s">
        <v>1040</v>
      </c>
      <c r="C4686" s="47" t="s">
        <v>1686</v>
      </c>
      <c r="D4686" s="47" t="s">
        <v>1687</v>
      </c>
      <c r="E4686" s="30">
        <v>2020</v>
      </c>
      <c r="F4686" s="30">
        <v>2020</v>
      </c>
      <c r="G4686" s="29" t="s">
        <v>16</v>
      </c>
      <c r="H4686" s="29">
        <v>200</v>
      </c>
      <c r="I4686" s="29">
        <v>200</v>
      </c>
      <c r="J4686" s="29"/>
      <c r="K4686" s="54"/>
      <c r="L4686" s="2" t="s">
        <v>330</v>
      </c>
      <c r="M4686" s="36" t="str">
        <f t="shared" si="73"/>
        <v>19741007</v>
      </c>
    </row>
    <row r="4687" s="1" customFormat="1" spans="1:13">
      <c r="A4687" s="2">
        <v>5869</v>
      </c>
      <c r="B4687" s="30" t="s">
        <v>11090</v>
      </c>
      <c r="C4687" s="30" t="s">
        <v>8324</v>
      </c>
      <c r="D4687" s="30" t="s">
        <v>11796</v>
      </c>
      <c r="E4687" s="5" t="s">
        <v>15</v>
      </c>
      <c r="F4687" s="5" t="s">
        <v>10250</v>
      </c>
      <c r="G4687" s="6" t="s">
        <v>16</v>
      </c>
      <c r="H4687" s="32">
        <v>200</v>
      </c>
      <c r="I4687" s="32">
        <v>200</v>
      </c>
      <c r="J4687" s="6" t="s">
        <v>6097</v>
      </c>
      <c r="K4687" s="48"/>
      <c r="L4687" s="10">
        <v>20201118</v>
      </c>
      <c r="M4687" s="36" t="str">
        <f t="shared" si="73"/>
        <v>19741007</v>
      </c>
    </row>
    <row r="4688" s="1" customFormat="1" spans="1:13">
      <c r="A4688" s="2">
        <v>3911</v>
      </c>
      <c r="B4688" s="5" t="s">
        <v>7412</v>
      </c>
      <c r="C4688" s="5" t="s">
        <v>8050</v>
      </c>
      <c r="D4688" s="5" t="s">
        <v>8051</v>
      </c>
      <c r="E4688" s="6">
        <v>2020</v>
      </c>
      <c r="F4688" s="6">
        <v>2020</v>
      </c>
      <c r="G4688" s="5" t="s">
        <v>3359</v>
      </c>
      <c r="H4688" s="5">
        <v>200</v>
      </c>
      <c r="I4688" s="5">
        <v>200</v>
      </c>
      <c r="J4688" s="5"/>
      <c r="K4688" s="5"/>
      <c r="L4688" s="10">
        <v>20201118</v>
      </c>
      <c r="M4688" s="36" t="str">
        <f t="shared" si="73"/>
        <v>19741009</v>
      </c>
    </row>
    <row r="4689" s="1" customFormat="1" spans="1:13">
      <c r="A4689" s="2">
        <v>285</v>
      </c>
      <c r="B4689" s="14" t="s">
        <v>327</v>
      </c>
      <c r="C4689" s="17" t="s">
        <v>741</v>
      </c>
      <c r="D4689" s="306" t="s">
        <v>742</v>
      </c>
      <c r="E4689" s="5">
        <v>2020</v>
      </c>
      <c r="F4689" s="5">
        <v>2020</v>
      </c>
      <c r="G4689" s="14" t="s">
        <v>16</v>
      </c>
      <c r="H4689" s="17">
        <v>200</v>
      </c>
      <c r="I4689" s="17">
        <v>200</v>
      </c>
      <c r="J4689" s="17"/>
      <c r="K4689" s="10"/>
      <c r="L4689" s="2" t="s">
        <v>330</v>
      </c>
      <c r="M4689" s="36" t="str">
        <f t="shared" si="73"/>
        <v>19741010</v>
      </c>
    </row>
    <row r="4690" s="1" customFormat="1" spans="1:13">
      <c r="A4690" s="2">
        <v>2468</v>
      </c>
      <c r="B4690" s="5" t="s">
        <v>5328</v>
      </c>
      <c r="C4690" s="16" t="s">
        <v>5474</v>
      </c>
      <c r="D4690" s="16" t="s">
        <v>5475</v>
      </c>
      <c r="E4690" s="5" t="s">
        <v>15</v>
      </c>
      <c r="F4690" s="5" t="s">
        <v>15</v>
      </c>
      <c r="G4690" s="14" t="s">
        <v>16</v>
      </c>
      <c r="H4690" s="6">
        <v>200</v>
      </c>
      <c r="I4690" s="6">
        <v>200</v>
      </c>
      <c r="J4690" s="5"/>
      <c r="K4690" s="5"/>
      <c r="L4690" s="10">
        <v>20201118</v>
      </c>
      <c r="M4690" s="36" t="str">
        <f t="shared" si="73"/>
        <v>19741012</v>
      </c>
    </row>
    <row r="4691" s="1" customFormat="1" spans="1:13">
      <c r="A4691" s="2">
        <v>3229</v>
      </c>
      <c r="B4691" s="3" t="s">
        <v>6671</v>
      </c>
      <c r="C4691" s="9" t="s">
        <v>6963</v>
      </c>
      <c r="D4691" s="9" t="s">
        <v>6964</v>
      </c>
      <c r="E4691" s="3" t="s">
        <v>15</v>
      </c>
      <c r="F4691" s="3" t="s">
        <v>15</v>
      </c>
      <c r="G4691" s="6" t="s">
        <v>3359</v>
      </c>
      <c r="H4691" s="9">
        <v>200</v>
      </c>
      <c r="I4691" s="9">
        <v>200</v>
      </c>
      <c r="J4691" s="6"/>
      <c r="K4691" s="5"/>
      <c r="L4691" s="10">
        <v>20201118</v>
      </c>
      <c r="M4691" s="36" t="str">
        <f t="shared" si="73"/>
        <v>19741012</v>
      </c>
    </row>
    <row r="4692" s="1" customFormat="1" spans="1:13">
      <c r="A4692" s="2">
        <v>3912</v>
      </c>
      <c r="B4692" s="5" t="s">
        <v>7412</v>
      </c>
      <c r="C4692" s="5" t="s">
        <v>8052</v>
      </c>
      <c r="D4692" s="5" t="s">
        <v>8053</v>
      </c>
      <c r="E4692" s="6">
        <v>2020</v>
      </c>
      <c r="F4692" s="6">
        <v>2020</v>
      </c>
      <c r="G4692" s="5" t="s">
        <v>3359</v>
      </c>
      <c r="H4692" s="5">
        <v>200</v>
      </c>
      <c r="I4692" s="5">
        <v>200</v>
      </c>
      <c r="J4692" s="5" t="s">
        <v>3647</v>
      </c>
      <c r="K4692" s="5"/>
      <c r="L4692" s="10">
        <v>20201118</v>
      </c>
      <c r="M4692" s="36" t="str">
        <f t="shared" si="73"/>
        <v>19741012</v>
      </c>
    </row>
    <row r="4693" s="1" customFormat="1" spans="1:13">
      <c r="A4693" s="2">
        <v>3913</v>
      </c>
      <c r="B4693" s="5" t="s">
        <v>7412</v>
      </c>
      <c r="C4693" s="5" t="s">
        <v>8054</v>
      </c>
      <c r="D4693" s="5" t="s">
        <v>8055</v>
      </c>
      <c r="E4693" s="6">
        <v>2020</v>
      </c>
      <c r="F4693" s="6">
        <v>2020</v>
      </c>
      <c r="G4693" s="5" t="s">
        <v>3359</v>
      </c>
      <c r="H4693" s="5">
        <v>200</v>
      </c>
      <c r="I4693" s="5">
        <v>200</v>
      </c>
      <c r="J4693" s="5"/>
      <c r="K4693" s="5"/>
      <c r="L4693" s="10">
        <v>20201118</v>
      </c>
      <c r="M4693" s="36" t="str">
        <f t="shared" si="73"/>
        <v>19741012</v>
      </c>
    </row>
    <row r="4694" s="1" customFormat="1" spans="1:13">
      <c r="A4694" s="2">
        <v>3914</v>
      </c>
      <c r="B4694" s="5" t="s">
        <v>7412</v>
      </c>
      <c r="C4694" s="5" t="s">
        <v>8056</v>
      </c>
      <c r="D4694" s="5" t="s">
        <v>8057</v>
      </c>
      <c r="E4694" s="6">
        <v>2020</v>
      </c>
      <c r="F4694" s="6">
        <v>2020</v>
      </c>
      <c r="G4694" s="5" t="s">
        <v>3359</v>
      </c>
      <c r="H4694" s="5">
        <v>200</v>
      </c>
      <c r="I4694" s="5">
        <v>200</v>
      </c>
      <c r="J4694" s="5"/>
      <c r="K4694" s="5"/>
      <c r="L4694" s="10">
        <v>20201118</v>
      </c>
      <c r="M4694" s="36" t="str">
        <f t="shared" si="73"/>
        <v>19741018</v>
      </c>
    </row>
    <row r="4695" s="1" customFormat="1" spans="1:13">
      <c r="A4695" s="2">
        <v>2391</v>
      </c>
      <c r="B4695" s="9" t="s">
        <v>4837</v>
      </c>
      <c r="C4695" s="6" t="s">
        <v>5320</v>
      </c>
      <c r="D4695" s="293" t="s">
        <v>5321</v>
      </c>
      <c r="E4695" s="6" t="s">
        <v>15</v>
      </c>
      <c r="F4695" s="6">
        <v>2020</v>
      </c>
      <c r="G4695" s="9" t="s">
        <v>2480</v>
      </c>
      <c r="H4695" s="6">
        <v>200</v>
      </c>
      <c r="I4695" s="6">
        <v>200</v>
      </c>
      <c r="J4695" s="6" t="s">
        <v>5315</v>
      </c>
      <c r="K4695" s="10"/>
      <c r="L4695" s="10">
        <v>20201118</v>
      </c>
      <c r="M4695" s="36" t="str">
        <f t="shared" si="73"/>
        <v>19741019</v>
      </c>
    </row>
    <row r="4696" s="1" customFormat="1" spans="1:13">
      <c r="A4696" s="2">
        <v>6432</v>
      </c>
      <c r="B4696" s="5" t="s">
        <v>12263</v>
      </c>
      <c r="C4696" s="5" t="s">
        <v>12869</v>
      </c>
      <c r="D4696" s="5" t="s">
        <v>12870</v>
      </c>
      <c r="E4696" s="5" t="s">
        <v>10250</v>
      </c>
      <c r="F4696" s="5">
        <v>2020</v>
      </c>
      <c r="G4696" s="17" t="s">
        <v>3359</v>
      </c>
      <c r="H4696" s="5">
        <v>200</v>
      </c>
      <c r="I4696" s="5">
        <v>200</v>
      </c>
      <c r="J4696" s="5"/>
      <c r="K4696" s="5"/>
      <c r="L4696" s="10">
        <v>20201118</v>
      </c>
      <c r="M4696" s="36" t="str">
        <f t="shared" si="73"/>
        <v>19741019</v>
      </c>
    </row>
    <row r="4697" s="1" customFormat="1" spans="1:13">
      <c r="A4697" s="2">
        <v>5890</v>
      </c>
      <c r="B4697" s="30" t="s">
        <v>11090</v>
      </c>
      <c r="C4697" s="30" t="s">
        <v>11832</v>
      </c>
      <c r="D4697" s="30" t="s">
        <v>11833</v>
      </c>
      <c r="E4697" s="5" t="s">
        <v>15</v>
      </c>
      <c r="F4697" s="5" t="s">
        <v>10250</v>
      </c>
      <c r="G4697" s="6" t="s">
        <v>16</v>
      </c>
      <c r="H4697" s="32">
        <v>200</v>
      </c>
      <c r="I4697" s="32">
        <v>200</v>
      </c>
      <c r="J4697" s="6"/>
      <c r="K4697" s="48"/>
      <c r="L4697" s="10">
        <v>20201118</v>
      </c>
      <c r="M4697" s="36" t="str">
        <f t="shared" si="73"/>
        <v>19741020</v>
      </c>
    </row>
    <row r="4698" s="1" customFormat="1" spans="1:13">
      <c r="A4698" s="2">
        <v>6468</v>
      </c>
      <c r="B4698" s="5" t="s">
        <v>12263</v>
      </c>
      <c r="C4698" s="5" t="s">
        <v>12939</v>
      </c>
      <c r="D4698" s="5" t="s">
        <v>12940</v>
      </c>
      <c r="E4698" s="5" t="s">
        <v>10250</v>
      </c>
      <c r="F4698" s="5">
        <v>2020</v>
      </c>
      <c r="G4698" s="17" t="s">
        <v>3359</v>
      </c>
      <c r="H4698" s="5">
        <v>500</v>
      </c>
      <c r="I4698" s="5">
        <v>500</v>
      </c>
      <c r="J4698" s="5"/>
      <c r="K4698" s="5"/>
      <c r="L4698" s="10">
        <v>20201118</v>
      </c>
      <c r="M4698" s="36" t="str">
        <f t="shared" si="73"/>
        <v>19741020</v>
      </c>
    </row>
    <row r="4699" s="1" customFormat="1" spans="1:13">
      <c r="A4699" s="2">
        <v>283</v>
      </c>
      <c r="B4699" s="14" t="s">
        <v>327</v>
      </c>
      <c r="C4699" s="17" t="s">
        <v>735</v>
      </c>
      <c r="D4699" s="306" t="s">
        <v>736</v>
      </c>
      <c r="E4699" s="5">
        <v>2020</v>
      </c>
      <c r="F4699" s="5">
        <v>2020</v>
      </c>
      <c r="G4699" s="14" t="s">
        <v>16</v>
      </c>
      <c r="H4699" s="17">
        <v>200</v>
      </c>
      <c r="I4699" s="17">
        <v>200</v>
      </c>
      <c r="J4699" s="17"/>
      <c r="K4699" s="10"/>
      <c r="L4699" s="2" t="s">
        <v>330</v>
      </c>
      <c r="M4699" s="36" t="str">
        <f t="shared" si="73"/>
        <v>19741021</v>
      </c>
    </row>
    <row r="4700" s="1" customFormat="1" spans="1:13">
      <c r="A4700" s="2">
        <v>3915</v>
      </c>
      <c r="B4700" s="5" t="s">
        <v>7412</v>
      </c>
      <c r="C4700" s="5" t="s">
        <v>8058</v>
      </c>
      <c r="D4700" s="5" t="s">
        <v>8059</v>
      </c>
      <c r="E4700" s="6">
        <v>2020</v>
      </c>
      <c r="F4700" s="6">
        <v>2020</v>
      </c>
      <c r="G4700" s="5" t="s">
        <v>3359</v>
      </c>
      <c r="H4700" s="5">
        <v>200</v>
      </c>
      <c r="I4700" s="5">
        <v>200</v>
      </c>
      <c r="J4700" s="5"/>
      <c r="K4700" s="5"/>
      <c r="L4700" s="10">
        <v>20201118</v>
      </c>
      <c r="M4700" s="36" t="str">
        <f t="shared" si="73"/>
        <v>19741022</v>
      </c>
    </row>
    <row r="4701" s="1" customFormat="1" spans="1:13">
      <c r="A4701" s="2">
        <v>6666</v>
      </c>
      <c r="B4701" s="5" t="s">
        <v>13027</v>
      </c>
      <c r="C4701" s="15" t="s">
        <v>13311</v>
      </c>
      <c r="D4701" s="15" t="s">
        <v>13312</v>
      </c>
      <c r="E4701" s="5">
        <v>2020</v>
      </c>
      <c r="F4701" s="5">
        <v>2020</v>
      </c>
      <c r="G4701" s="14" t="s">
        <v>16</v>
      </c>
      <c r="H4701" s="15">
        <v>200</v>
      </c>
      <c r="I4701" s="15">
        <v>200</v>
      </c>
      <c r="J4701" s="5"/>
      <c r="K4701" s="10"/>
      <c r="L4701" s="10">
        <v>20201118</v>
      </c>
      <c r="M4701" s="36" t="str">
        <f t="shared" si="73"/>
        <v>19741023</v>
      </c>
    </row>
    <row r="4702" s="1" customFormat="1" spans="1:13">
      <c r="A4702" s="2">
        <v>5532</v>
      </c>
      <c r="B4702" s="30" t="s">
        <v>11090</v>
      </c>
      <c r="C4702" s="30" t="s">
        <v>11161</v>
      </c>
      <c r="D4702" s="30" t="s">
        <v>11162</v>
      </c>
      <c r="E4702" s="5" t="s">
        <v>15</v>
      </c>
      <c r="F4702" s="5" t="s">
        <v>10250</v>
      </c>
      <c r="G4702" s="6" t="s">
        <v>16</v>
      </c>
      <c r="H4702" s="32">
        <v>200</v>
      </c>
      <c r="I4702" s="32">
        <v>200</v>
      </c>
      <c r="J4702" s="6" t="s">
        <v>1242</v>
      </c>
      <c r="K4702" s="48"/>
      <c r="L4702" s="10">
        <v>20201118</v>
      </c>
      <c r="M4702" s="36" t="str">
        <f t="shared" si="73"/>
        <v>19741024</v>
      </c>
    </row>
    <row r="4703" s="1" customFormat="1" spans="1:13">
      <c r="A4703" s="2">
        <v>6667</v>
      </c>
      <c r="B4703" s="5" t="s">
        <v>13027</v>
      </c>
      <c r="C4703" s="15" t="s">
        <v>13313</v>
      </c>
      <c r="D4703" s="15" t="s">
        <v>13314</v>
      </c>
      <c r="E4703" s="5">
        <v>2020</v>
      </c>
      <c r="F4703" s="5">
        <v>2020</v>
      </c>
      <c r="G4703" s="14" t="s">
        <v>16</v>
      </c>
      <c r="H4703" s="15">
        <v>200</v>
      </c>
      <c r="I4703" s="15">
        <v>200</v>
      </c>
      <c r="J4703" s="5"/>
      <c r="K4703" s="10"/>
      <c r="L4703" s="10">
        <v>20201118</v>
      </c>
      <c r="M4703" s="36" t="str">
        <f t="shared" si="73"/>
        <v>19741024</v>
      </c>
    </row>
    <row r="4704" s="1" customFormat="1" spans="1:13">
      <c r="A4704" s="2">
        <v>1144</v>
      </c>
      <c r="B4704" s="5" t="s">
        <v>2469</v>
      </c>
      <c r="C4704" s="9" t="s">
        <v>2873</v>
      </c>
      <c r="D4704" s="9" t="s">
        <v>2874</v>
      </c>
      <c r="E4704" s="5">
        <v>2020</v>
      </c>
      <c r="F4704" s="5">
        <v>2020</v>
      </c>
      <c r="G4704" s="9" t="s">
        <v>2480</v>
      </c>
      <c r="H4704" s="9">
        <v>200</v>
      </c>
      <c r="I4704" s="9">
        <v>200</v>
      </c>
      <c r="J4704" s="5"/>
      <c r="K4704" s="5"/>
      <c r="L4704" s="10">
        <v>20201118</v>
      </c>
      <c r="M4704" s="36" t="str">
        <f t="shared" si="73"/>
        <v>19741025</v>
      </c>
    </row>
    <row r="4705" s="1" customFormat="1" spans="1:13">
      <c r="A4705" s="2">
        <v>4524</v>
      </c>
      <c r="B4705" s="6" t="s">
        <v>9015</v>
      </c>
      <c r="C4705" s="6" t="s">
        <v>9229</v>
      </c>
      <c r="D4705" s="6" t="s">
        <v>9230</v>
      </c>
      <c r="E4705" s="6">
        <v>2020</v>
      </c>
      <c r="F4705" s="6">
        <v>2020</v>
      </c>
      <c r="G4705" s="6" t="s">
        <v>16</v>
      </c>
      <c r="H4705" s="6">
        <v>200</v>
      </c>
      <c r="I4705" s="6">
        <v>200</v>
      </c>
      <c r="J4705" s="6"/>
      <c r="K4705" s="6"/>
      <c r="L4705" s="10">
        <v>20201118</v>
      </c>
      <c r="M4705" s="36" t="str">
        <f t="shared" si="73"/>
        <v>19741025</v>
      </c>
    </row>
    <row r="4706" s="1" customFormat="1" spans="1:13">
      <c r="A4706" s="2">
        <v>6887</v>
      </c>
      <c r="B4706" s="5" t="s">
        <v>13533</v>
      </c>
      <c r="C4706" s="32" t="s">
        <v>13637</v>
      </c>
      <c r="D4706" s="32" t="str">
        <f>"152326197410257148"</f>
        <v>152326197410257148</v>
      </c>
      <c r="E4706" s="5">
        <v>2020</v>
      </c>
      <c r="F4706" s="5">
        <v>2020</v>
      </c>
      <c r="G4706" s="9" t="s">
        <v>2480</v>
      </c>
      <c r="H4706" s="32">
        <v>200</v>
      </c>
      <c r="I4706" s="32">
        <v>200</v>
      </c>
      <c r="J4706" s="62"/>
      <c r="K4706" s="10"/>
      <c r="L4706" s="10">
        <v>20201118</v>
      </c>
      <c r="M4706" s="36" t="str">
        <f t="shared" si="73"/>
        <v>19741025</v>
      </c>
    </row>
    <row r="4707" s="1" customFormat="1" spans="1:13">
      <c r="A4707" s="2">
        <v>937</v>
      </c>
      <c r="B4707" s="29" t="s">
        <v>1040</v>
      </c>
      <c r="C4707" s="6" t="s">
        <v>2458</v>
      </c>
      <c r="D4707" s="6" t="s">
        <v>2459</v>
      </c>
      <c r="E4707" s="30" t="s">
        <v>1047</v>
      </c>
      <c r="F4707" s="30">
        <v>2020</v>
      </c>
      <c r="G4707" s="29" t="s">
        <v>2460</v>
      </c>
      <c r="H4707" s="29" t="s">
        <v>311</v>
      </c>
      <c r="I4707" s="29">
        <v>400</v>
      </c>
      <c r="J4707" s="32"/>
      <c r="K4707" s="32"/>
      <c r="L4707" s="2" t="s">
        <v>330</v>
      </c>
      <c r="M4707" s="36" t="str">
        <f t="shared" si="73"/>
        <v>19741026</v>
      </c>
    </row>
    <row r="4708" s="1" customFormat="1" spans="1:13">
      <c r="A4708" s="2">
        <v>1145</v>
      </c>
      <c r="B4708" s="5" t="s">
        <v>2469</v>
      </c>
      <c r="C4708" s="9" t="s">
        <v>2875</v>
      </c>
      <c r="D4708" s="9" t="s">
        <v>2876</v>
      </c>
      <c r="E4708" s="5">
        <v>2020</v>
      </c>
      <c r="F4708" s="5">
        <v>2020</v>
      </c>
      <c r="G4708" s="9" t="s">
        <v>2480</v>
      </c>
      <c r="H4708" s="9">
        <v>200</v>
      </c>
      <c r="I4708" s="9">
        <v>200</v>
      </c>
      <c r="J4708" s="5"/>
      <c r="K4708" s="5"/>
      <c r="L4708" s="10">
        <v>20201118</v>
      </c>
      <c r="M4708" s="36" t="str">
        <f t="shared" si="73"/>
        <v>19741026</v>
      </c>
    </row>
    <row r="4709" s="1" customFormat="1" spans="1:13">
      <c r="A4709" s="2">
        <v>5728</v>
      </c>
      <c r="B4709" s="30" t="s">
        <v>11090</v>
      </c>
      <c r="C4709" s="30" t="s">
        <v>11541</v>
      </c>
      <c r="D4709" s="30" t="s">
        <v>11542</v>
      </c>
      <c r="E4709" s="5" t="s">
        <v>15</v>
      </c>
      <c r="F4709" s="5" t="s">
        <v>10250</v>
      </c>
      <c r="G4709" s="6" t="s">
        <v>16</v>
      </c>
      <c r="H4709" s="32">
        <v>200</v>
      </c>
      <c r="I4709" s="32">
        <v>200</v>
      </c>
      <c r="J4709" s="6" t="s">
        <v>11317</v>
      </c>
      <c r="K4709" s="48"/>
      <c r="L4709" s="10">
        <v>20201118</v>
      </c>
      <c r="M4709" s="36" t="str">
        <f t="shared" si="73"/>
        <v>19741026</v>
      </c>
    </row>
    <row r="4710" s="1" customFormat="1" spans="1:13">
      <c r="A4710" s="2">
        <v>12</v>
      </c>
      <c r="B4710" s="2" t="s">
        <v>12</v>
      </c>
      <c r="C4710" s="2" t="s">
        <v>38</v>
      </c>
      <c r="D4710" s="2" t="s">
        <v>39</v>
      </c>
      <c r="E4710" s="3" t="s">
        <v>15</v>
      </c>
      <c r="F4710" s="3" t="s">
        <v>15</v>
      </c>
      <c r="G4710" s="2" t="s">
        <v>16</v>
      </c>
      <c r="H4710" s="2">
        <v>200</v>
      </c>
      <c r="I4710" s="2">
        <v>200</v>
      </c>
      <c r="J4710" s="2"/>
      <c r="K4710" s="2"/>
      <c r="L4710" s="10">
        <v>20201118</v>
      </c>
      <c r="M4710" s="36" t="str">
        <f t="shared" si="73"/>
        <v>19741029</v>
      </c>
    </row>
    <row r="4711" s="1" customFormat="1" spans="1:13">
      <c r="A4711" s="2">
        <v>1670</v>
      </c>
      <c r="B4711" s="5" t="s">
        <v>3381</v>
      </c>
      <c r="C4711" s="9" t="s">
        <v>3902</v>
      </c>
      <c r="D4711" s="9" t="s">
        <v>3903</v>
      </c>
      <c r="E4711" s="5">
        <v>2020</v>
      </c>
      <c r="F4711" s="5">
        <v>2020</v>
      </c>
      <c r="G4711" s="14" t="s">
        <v>16</v>
      </c>
      <c r="H4711" s="6">
        <v>200</v>
      </c>
      <c r="I4711" s="6">
        <v>200</v>
      </c>
      <c r="J4711" s="5"/>
      <c r="K4711" s="13"/>
      <c r="L4711" s="10">
        <v>20201118</v>
      </c>
      <c r="M4711" s="36" t="str">
        <f t="shared" si="73"/>
        <v>19741101</v>
      </c>
    </row>
    <row r="4712" s="1" customFormat="1" spans="1:13">
      <c r="A4712" s="2">
        <v>2143</v>
      </c>
      <c r="B4712" s="5" t="s">
        <v>4189</v>
      </c>
      <c r="C4712" s="6" t="s">
        <v>4834</v>
      </c>
      <c r="D4712" s="293" t="s">
        <v>4835</v>
      </c>
      <c r="E4712" s="10">
        <v>2019</v>
      </c>
      <c r="F4712" s="10">
        <v>2019</v>
      </c>
      <c r="G4712" s="5" t="s">
        <v>289</v>
      </c>
      <c r="H4712" s="10">
        <v>200</v>
      </c>
      <c r="I4712" s="10">
        <v>200</v>
      </c>
      <c r="J4712" s="10"/>
      <c r="K4712" s="10"/>
      <c r="L4712" s="10">
        <v>20200814</v>
      </c>
      <c r="M4712" s="36" t="str">
        <f t="shared" si="73"/>
        <v>19741101</v>
      </c>
    </row>
    <row r="4713" s="1" customFormat="1" spans="1:13">
      <c r="A4713" s="2">
        <v>605</v>
      </c>
      <c r="B4713" s="29" t="s">
        <v>1040</v>
      </c>
      <c r="C4713" s="29" t="s">
        <v>1486</v>
      </c>
      <c r="D4713" s="29" t="s">
        <v>1487</v>
      </c>
      <c r="E4713" s="30">
        <v>2020</v>
      </c>
      <c r="F4713" s="30">
        <v>2020</v>
      </c>
      <c r="G4713" s="29" t="s">
        <v>16</v>
      </c>
      <c r="H4713" s="29">
        <v>200</v>
      </c>
      <c r="I4713" s="29">
        <v>200</v>
      </c>
      <c r="J4713" s="29"/>
      <c r="K4713" s="47"/>
      <c r="L4713" s="14" t="s">
        <v>330</v>
      </c>
      <c r="M4713" s="36" t="str">
        <f t="shared" si="73"/>
        <v>19741103</v>
      </c>
    </row>
    <row r="4714" s="1" customFormat="1" ht="14.25" spans="1:13">
      <c r="A4714" s="2">
        <v>1752</v>
      </c>
      <c r="B4714" s="5" t="s">
        <v>3381</v>
      </c>
      <c r="C4714" s="77" t="s">
        <v>4065</v>
      </c>
      <c r="D4714" s="321" t="s">
        <v>4066</v>
      </c>
      <c r="E4714" s="5">
        <v>2020</v>
      </c>
      <c r="F4714" s="5">
        <v>2020</v>
      </c>
      <c r="G4714" s="14" t="s">
        <v>16</v>
      </c>
      <c r="H4714" s="18">
        <v>200</v>
      </c>
      <c r="I4714" s="18">
        <v>200</v>
      </c>
      <c r="J4714" s="77" t="s">
        <v>4064</v>
      </c>
      <c r="K4714" s="13"/>
      <c r="L4714" s="10">
        <v>20201118</v>
      </c>
      <c r="M4714" s="36" t="str">
        <f t="shared" si="73"/>
        <v>19741104</v>
      </c>
    </row>
    <row r="4715" s="1" customFormat="1" spans="1:13">
      <c r="A4715" s="2">
        <v>1966</v>
      </c>
      <c r="B4715" s="5" t="s">
        <v>4189</v>
      </c>
      <c r="C4715" s="16" t="s">
        <v>4491</v>
      </c>
      <c r="D4715" s="16" t="s">
        <v>4492</v>
      </c>
      <c r="E4715" s="5" t="s">
        <v>15</v>
      </c>
      <c r="F4715" s="5" t="s">
        <v>15</v>
      </c>
      <c r="G4715" s="5" t="s">
        <v>3359</v>
      </c>
      <c r="H4715" s="16">
        <v>200</v>
      </c>
      <c r="I4715" s="16">
        <v>200</v>
      </c>
      <c r="J4715" s="5"/>
      <c r="K4715" s="10"/>
      <c r="L4715" s="10">
        <v>20201118</v>
      </c>
      <c r="M4715" s="36" t="str">
        <f t="shared" si="73"/>
        <v>19741104</v>
      </c>
    </row>
    <row r="4716" s="1" customFormat="1" spans="1:13">
      <c r="A4716" s="2">
        <v>3078</v>
      </c>
      <c r="B4716" s="3" t="s">
        <v>6671</v>
      </c>
      <c r="C4716" s="9" t="s">
        <v>6682</v>
      </c>
      <c r="D4716" s="9" t="s">
        <v>6683</v>
      </c>
      <c r="E4716" s="3" t="s">
        <v>15</v>
      </c>
      <c r="F4716" s="3" t="s">
        <v>15</v>
      </c>
      <c r="G4716" s="6" t="s">
        <v>3359</v>
      </c>
      <c r="H4716" s="9">
        <v>200</v>
      </c>
      <c r="I4716" s="9">
        <v>200</v>
      </c>
      <c r="J4716" s="6"/>
      <c r="K4716" s="5"/>
      <c r="L4716" s="10">
        <v>20201118</v>
      </c>
      <c r="M4716" s="36" t="str">
        <f t="shared" si="73"/>
        <v>19741105</v>
      </c>
    </row>
    <row r="4717" s="1" customFormat="1" spans="1:13">
      <c r="A4717" s="2">
        <v>1922</v>
      </c>
      <c r="B4717" s="5" t="s">
        <v>4189</v>
      </c>
      <c r="C4717" s="16" t="s">
        <v>4404</v>
      </c>
      <c r="D4717" s="16" t="s">
        <v>4405</v>
      </c>
      <c r="E4717" s="5" t="s">
        <v>15</v>
      </c>
      <c r="F4717" s="5" t="s">
        <v>15</v>
      </c>
      <c r="G4717" s="5" t="s">
        <v>3359</v>
      </c>
      <c r="H4717" s="16">
        <v>200</v>
      </c>
      <c r="I4717" s="16">
        <v>200</v>
      </c>
      <c r="J4717" s="5"/>
      <c r="K4717" s="10"/>
      <c r="L4717" s="10">
        <v>20201118</v>
      </c>
      <c r="M4717" s="36" t="str">
        <f t="shared" si="73"/>
        <v>19741106</v>
      </c>
    </row>
    <row r="4718" s="1" customFormat="1" spans="1:13">
      <c r="A4718" s="2">
        <v>5765</v>
      </c>
      <c r="B4718" s="30" t="s">
        <v>11090</v>
      </c>
      <c r="C4718" s="30" t="s">
        <v>11606</v>
      </c>
      <c r="D4718" s="30" t="s">
        <v>11607</v>
      </c>
      <c r="E4718" s="5" t="s">
        <v>15</v>
      </c>
      <c r="F4718" s="5" t="s">
        <v>10250</v>
      </c>
      <c r="G4718" s="6" t="s">
        <v>16</v>
      </c>
      <c r="H4718" s="32">
        <v>200</v>
      </c>
      <c r="I4718" s="32">
        <v>200</v>
      </c>
      <c r="J4718" s="6"/>
      <c r="K4718" s="48"/>
      <c r="L4718" s="10">
        <v>20201118</v>
      </c>
      <c r="M4718" s="36" t="str">
        <f t="shared" si="73"/>
        <v>19741108</v>
      </c>
    </row>
    <row r="4719" s="1" customFormat="1" spans="1:13">
      <c r="A4719" s="2">
        <v>6885</v>
      </c>
      <c r="B4719" s="5" t="s">
        <v>13533</v>
      </c>
      <c r="C4719" s="32" t="s">
        <v>13635</v>
      </c>
      <c r="D4719" s="32" t="str">
        <f>"152326197411087128"</f>
        <v>152326197411087128</v>
      </c>
      <c r="E4719" s="5">
        <v>2020</v>
      </c>
      <c r="F4719" s="5">
        <v>2020</v>
      </c>
      <c r="G4719" s="9" t="s">
        <v>2480</v>
      </c>
      <c r="H4719" s="32">
        <v>200</v>
      </c>
      <c r="I4719" s="32">
        <v>200</v>
      </c>
      <c r="J4719" s="62"/>
      <c r="K4719" s="10"/>
      <c r="L4719" s="10">
        <v>20201118</v>
      </c>
      <c r="M4719" s="36" t="str">
        <f t="shared" si="73"/>
        <v>19741108</v>
      </c>
    </row>
    <row r="4720" s="1" customFormat="1" spans="1:13">
      <c r="A4720" s="2">
        <v>6428</v>
      </c>
      <c r="B4720" s="5" t="s">
        <v>12263</v>
      </c>
      <c r="C4720" s="5" t="s">
        <v>12861</v>
      </c>
      <c r="D4720" s="5" t="s">
        <v>12862</v>
      </c>
      <c r="E4720" s="5" t="s">
        <v>10250</v>
      </c>
      <c r="F4720" s="5">
        <v>2020</v>
      </c>
      <c r="G4720" s="17" t="s">
        <v>3359</v>
      </c>
      <c r="H4720" s="5">
        <v>200</v>
      </c>
      <c r="I4720" s="5">
        <v>200</v>
      </c>
      <c r="J4720" s="5"/>
      <c r="K4720" s="5"/>
      <c r="L4720" s="10">
        <v>20201118</v>
      </c>
      <c r="M4720" s="36" t="str">
        <f t="shared" si="73"/>
        <v>19741112</v>
      </c>
    </row>
    <row r="4721" s="1" customFormat="1" spans="1:13">
      <c r="A4721" s="2">
        <v>622</v>
      </c>
      <c r="B4721" s="29" t="s">
        <v>1040</v>
      </c>
      <c r="C4721" s="29" t="s">
        <v>1520</v>
      </c>
      <c r="D4721" s="29" t="s">
        <v>1521</v>
      </c>
      <c r="E4721" s="30">
        <v>2020</v>
      </c>
      <c r="F4721" s="30">
        <v>2020</v>
      </c>
      <c r="G4721" s="29" t="s">
        <v>16</v>
      </c>
      <c r="H4721" s="29">
        <v>200</v>
      </c>
      <c r="I4721" s="29">
        <v>200</v>
      </c>
      <c r="J4721" s="29"/>
      <c r="K4721" s="47"/>
      <c r="L4721" s="2" t="s">
        <v>330</v>
      </c>
      <c r="M4721" s="36" t="str">
        <f t="shared" si="73"/>
        <v>19741116</v>
      </c>
    </row>
    <row r="4722" s="1" customFormat="1" ht="14.25" spans="1:13">
      <c r="A4722" s="2">
        <v>7690</v>
      </c>
      <c r="B4722" s="5" t="s">
        <v>14875</v>
      </c>
      <c r="C4722" s="51" t="s">
        <v>14932</v>
      </c>
      <c r="D4722" s="24" t="s">
        <v>14933</v>
      </c>
      <c r="E4722" s="6" t="s">
        <v>15</v>
      </c>
      <c r="F4722" s="6">
        <v>2020</v>
      </c>
      <c r="G4722" s="24" t="s">
        <v>14877</v>
      </c>
      <c r="H4722" s="6">
        <v>200</v>
      </c>
      <c r="I4722" s="6">
        <v>200</v>
      </c>
      <c r="J4722" s="6" t="s">
        <v>5331</v>
      </c>
      <c r="K4722" s="10"/>
      <c r="L4722" s="10">
        <v>20201118</v>
      </c>
      <c r="M4722" s="36" t="str">
        <f t="shared" si="73"/>
        <v>19741116</v>
      </c>
    </row>
    <row r="4723" s="1" customFormat="1" spans="1:13">
      <c r="A4723" s="2">
        <v>6520</v>
      </c>
      <c r="B4723" s="5" t="s">
        <v>13027</v>
      </c>
      <c r="C4723" s="15" t="s">
        <v>11786</v>
      </c>
      <c r="D4723" s="15" t="s">
        <v>13039</v>
      </c>
      <c r="E4723" s="5">
        <v>2020</v>
      </c>
      <c r="F4723" s="5">
        <v>2020</v>
      </c>
      <c r="G4723" s="14" t="s">
        <v>16</v>
      </c>
      <c r="H4723" s="15">
        <v>200</v>
      </c>
      <c r="I4723" s="15">
        <v>200</v>
      </c>
      <c r="J4723" s="5"/>
      <c r="K4723" s="10"/>
      <c r="L4723" s="10">
        <v>20201118</v>
      </c>
      <c r="M4723" s="36" t="str">
        <f t="shared" si="73"/>
        <v>19741118</v>
      </c>
    </row>
    <row r="4724" s="1" customFormat="1" spans="1:13">
      <c r="A4724" s="2">
        <v>8203</v>
      </c>
      <c r="B4724" s="5" t="s">
        <v>15406</v>
      </c>
      <c r="C4724" s="6" t="s">
        <v>15590</v>
      </c>
      <c r="D4724" s="6" t="s">
        <v>15591</v>
      </c>
      <c r="E4724" s="5" t="s">
        <v>15</v>
      </c>
      <c r="F4724" s="5">
        <v>2020</v>
      </c>
      <c r="G4724" s="14" t="s">
        <v>16</v>
      </c>
      <c r="H4724" s="6">
        <v>200</v>
      </c>
      <c r="I4724" s="6">
        <v>200</v>
      </c>
      <c r="J4724" s="5"/>
      <c r="K4724" s="10"/>
      <c r="L4724" s="10">
        <v>20201118</v>
      </c>
      <c r="M4724" s="36" t="str">
        <f t="shared" si="73"/>
        <v>19741118</v>
      </c>
    </row>
    <row r="4725" s="1" customFormat="1" spans="1:13">
      <c r="A4725" s="2">
        <v>5802</v>
      </c>
      <c r="B4725" s="30" t="s">
        <v>11090</v>
      </c>
      <c r="C4725" s="30" t="s">
        <v>11673</v>
      </c>
      <c r="D4725" s="30" t="s">
        <v>11674</v>
      </c>
      <c r="E4725" s="5" t="s">
        <v>15</v>
      </c>
      <c r="F4725" s="5" t="s">
        <v>10250</v>
      </c>
      <c r="G4725" s="6" t="s">
        <v>16</v>
      </c>
      <c r="H4725" s="32">
        <v>200</v>
      </c>
      <c r="I4725" s="32">
        <v>200</v>
      </c>
      <c r="J4725" s="6"/>
      <c r="K4725" s="48"/>
      <c r="L4725" s="10">
        <v>20201118</v>
      </c>
      <c r="M4725" s="36" t="str">
        <f t="shared" si="73"/>
        <v>19741120</v>
      </c>
    </row>
    <row r="4726" s="1" customFormat="1" spans="1:13">
      <c r="A4726" s="2">
        <v>3916</v>
      </c>
      <c r="B4726" s="5" t="s">
        <v>7412</v>
      </c>
      <c r="C4726" s="5" t="s">
        <v>8060</v>
      </c>
      <c r="D4726" s="5" t="s">
        <v>8061</v>
      </c>
      <c r="E4726" s="6">
        <v>2020</v>
      </c>
      <c r="F4726" s="6">
        <v>2020</v>
      </c>
      <c r="G4726" s="5" t="s">
        <v>3359</v>
      </c>
      <c r="H4726" s="5">
        <v>200</v>
      </c>
      <c r="I4726" s="5">
        <v>200</v>
      </c>
      <c r="J4726" s="5"/>
      <c r="K4726" s="5"/>
      <c r="L4726" s="10">
        <v>20201118</v>
      </c>
      <c r="M4726" s="36" t="str">
        <f t="shared" si="73"/>
        <v>19741121</v>
      </c>
    </row>
    <row r="4727" s="1" customFormat="1" spans="1:13">
      <c r="A4727" s="2">
        <v>4660</v>
      </c>
      <c r="B4727" s="6" t="s">
        <v>9015</v>
      </c>
      <c r="C4727" s="6" t="s">
        <v>9484</v>
      </c>
      <c r="D4727" s="6" t="s">
        <v>9485</v>
      </c>
      <c r="E4727" s="6">
        <v>2020</v>
      </c>
      <c r="F4727" s="6">
        <v>2020</v>
      </c>
      <c r="G4727" s="6" t="s">
        <v>16</v>
      </c>
      <c r="H4727" s="6">
        <v>200</v>
      </c>
      <c r="I4727" s="6">
        <v>200</v>
      </c>
      <c r="J4727" s="6"/>
      <c r="K4727" s="6"/>
      <c r="L4727" s="10">
        <v>20201118</v>
      </c>
      <c r="M4727" s="36" t="str">
        <f t="shared" si="73"/>
        <v>19741124</v>
      </c>
    </row>
    <row r="4728" s="1" customFormat="1" spans="1:13">
      <c r="A4728" s="2">
        <v>6668</v>
      </c>
      <c r="B4728" s="5" t="s">
        <v>13027</v>
      </c>
      <c r="C4728" s="15" t="s">
        <v>13315</v>
      </c>
      <c r="D4728" s="15" t="s">
        <v>13316</v>
      </c>
      <c r="E4728" s="5">
        <v>2020</v>
      </c>
      <c r="F4728" s="5">
        <v>2020</v>
      </c>
      <c r="G4728" s="14" t="s">
        <v>16</v>
      </c>
      <c r="H4728" s="15">
        <v>200</v>
      </c>
      <c r="I4728" s="15">
        <v>200</v>
      </c>
      <c r="J4728" s="5"/>
      <c r="K4728" s="10"/>
      <c r="L4728" s="10">
        <v>20201118</v>
      </c>
      <c r="M4728" s="36" t="str">
        <f t="shared" si="73"/>
        <v>19741125</v>
      </c>
    </row>
    <row r="4729" s="1" customFormat="1" ht="14.25" spans="1:13">
      <c r="A4729" s="2">
        <v>2858</v>
      </c>
      <c r="B4729" s="6" t="s">
        <v>6075</v>
      </c>
      <c r="C4729" s="25" t="s">
        <v>6245</v>
      </c>
      <c r="D4729" s="26" t="s">
        <v>6246</v>
      </c>
      <c r="E4729" s="5" t="s">
        <v>15</v>
      </c>
      <c r="F4729" s="5">
        <v>2020</v>
      </c>
      <c r="G4729" s="6" t="s">
        <v>16</v>
      </c>
      <c r="H4729" s="6">
        <v>200</v>
      </c>
      <c r="I4729" s="6">
        <v>200</v>
      </c>
      <c r="J4729" s="6"/>
      <c r="K4729" s="10"/>
      <c r="L4729" s="10">
        <v>20201118</v>
      </c>
      <c r="M4729" s="36" t="str">
        <f t="shared" si="73"/>
        <v>19741126</v>
      </c>
    </row>
    <row r="4730" s="1" customFormat="1" spans="1:13">
      <c r="A4730" s="2">
        <v>7174</v>
      </c>
      <c r="B4730" s="5" t="s">
        <v>13908</v>
      </c>
      <c r="C4730" s="5" t="s">
        <v>4981</v>
      </c>
      <c r="D4730" s="5" t="s">
        <v>14002</v>
      </c>
      <c r="E4730" s="5" t="s">
        <v>15</v>
      </c>
      <c r="F4730" s="5" t="s">
        <v>15</v>
      </c>
      <c r="G4730" s="14" t="s">
        <v>16</v>
      </c>
      <c r="H4730" s="17">
        <v>200</v>
      </c>
      <c r="I4730" s="17">
        <v>200</v>
      </c>
      <c r="J4730" s="5"/>
      <c r="K4730" s="10"/>
      <c r="L4730" s="10">
        <v>20201118</v>
      </c>
      <c r="M4730" s="36" t="str">
        <f t="shared" si="73"/>
        <v>19741126</v>
      </c>
    </row>
    <row r="4731" s="1" customFormat="1" spans="1:13">
      <c r="A4731" s="2">
        <v>8178</v>
      </c>
      <c r="B4731" s="5" t="s">
        <v>15406</v>
      </c>
      <c r="C4731" s="6" t="s">
        <v>15544</v>
      </c>
      <c r="D4731" s="293" t="s">
        <v>15545</v>
      </c>
      <c r="E4731" s="5" t="s">
        <v>15</v>
      </c>
      <c r="F4731" s="5">
        <v>2020</v>
      </c>
      <c r="G4731" s="14" t="s">
        <v>16</v>
      </c>
      <c r="H4731" s="6">
        <v>200</v>
      </c>
      <c r="I4731" s="6">
        <v>200</v>
      </c>
      <c r="J4731" s="5"/>
      <c r="K4731" s="10"/>
      <c r="L4731" s="10">
        <v>20201118</v>
      </c>
      <c r="M4731" s="36" t="str">
        <f t="shared" si="73"/>
        <v>19741128</v>
      </c>
    </row>
    <row r="4732" s="1" customFormat="1" spans="1:13">
      <c r="A4732" s="2">
        <v>5656</v>
      </c>
      <c r="B4732" s="30" t="s">
        <v>11090</v>
      </c>
      <c r="C4732" s="30" t="s">
        <v>11397</v>
      </c>
      <c r="D4732" s="30" t="s">
        <v>11399</v>
      </c>
      <c r="E4732" s="5" t="s">
        <v>15</v>
      </c>
      <c r="F4732" s="5" t="s">
        <v>10250</v>
      </c>
      <c r="G4732" s="6" t="s">
        <v>16</v>
      </c>
      <c r="H4732" s="32">
        <v>200</v>
      </c>
      <c r="I4732" s="32">
        <v>200</v>
      </c>
      <c r="J4732" s="6"/>
      <c r="K4732" s="48"/>
      <c r="L4732" s="10">
        <v>20201118</v>
      </c>
      <c r="M4732" s="36" t="str">
        <f t="shared" si="73"/>
        <v>19741129</v>
      </c>
    </row>
    <row r="4733" s="1" customFormat="1" ht="14.25" spans="1:13">
      <c r="A4733" s="2">
        <v>2956</v>
      </c>
      <c r="B4733" s="6" t="s">
        <v>6075</v>
      </c>
      <c r="C4733" s="25" t="s">
        <v>6439</v>
      </c>
      <c r="D4733" s="26" t="s">
        <v>6440</v>
      </c>
      <c r="E4733" s="5" t="s">
        <v>15</v>
      </c>
      <c r="F4733" s="5">
        <v>2020</v>
      </c>
      <c r="G4733" s="6" t="s">
        <v>16</v>
      </c>
      <c r="H4733" s="6">
        <v>200</v>
      </c>
      <c r="I4733" s="6">
        <v>200</v>
      </c>
      <c r="J4733" s="6"/>
      <c r="K4733" s="10"/>
      <c r="L4733" s="10">
        <v>20201118</v>
      </c>
      <c r="M4733" s="36" t="str">
        <f t="shared" si="73"/>
        <v>19741206</v>
      </c>
    </row>
    <row r="4734" s="1" customFormat="1" spans="1:13">
      <c r="A4734" s="2">
        <v>3917</v>
      </c>
      <c r="B4734" s="5" t="s">
        <v>7412</v>
      </c>
      <c r="C4734" s="5" t="s">
        <v>8062</v>
      </c>
      <c r="D4734" s="5" t="s">
        <v>8063</v>
      </c>
      <c r="E4734" s="6">
        <v>2020</v>
      </c>
      <c r="F4734" s="6">
        <v>2020</v>
      </c>
      <c r="G4734" s="5" t="s">
        <v>3359</v>
      </c>
      <c r="H4734" s="5">
        <v>200</v>
      </c>
      <c r="I4734" s="5">
        <v>200</v>
      </c>
      <c r="J4734" s="5"/>
      <c r="K4734" s="5"/>
      <c r="L4734" s="10">
        <v>20201118</v>
      </c>
      <c r="M4734" s="36" t="str">
        <f t="shared" si="73"/>
        <v>19741207</v>
      </c>
    </row>
    <row r="4735" s="1" customFormat="1" spans="1:13">
      <c r="A4735" s="2">
        <v>7328</v>
      </c>
      <c r="B4735" s="5" t="s">
        <v>13908</v>
      </c>
      <c r="C4735" s="5" t="s">
        <v>14290</v>
      </c>
      <c r="D4735" s="5" t="s">
        <v>14291</v>
      </c>
      <c r="E4735" s="5" t="s">
        <v>15</v>
      </c>
      <c r="F4735" s="5" t="s">
        <v>15</v>
      </c>
      <c r="G4735" s="14" t="s">
        <v>16</v>
      </c>
      <c r="H4735" s="17">
        <v>200</v>
      </c>
      <c r="I4735" s="17">
        <v>200</v>
      </c>
      <c r="J4735" s="5"/>
      <c r="K4735" s="10"/>
      <c r="L4735" s="10">
        <v>20201118</v>
      </c>
      <c r="M4735" s="36" t="str">
        <f t="shared" si="73"/>
        <v>19741208</v>
      </c>
    </row>
    <row r="4736" s="1" customFormat="1" ht="14.25" spans="1:13">
      <c r="A4736" s="2">
        <v>2846</v>
      </c>
      <c r="B4736" s="6" t="s">
        <v>6075</v>
      </c>
      <c r="C4736" s="25" t="s">
        <v>6220</v>
      </c>
      <c r="D4736" s="26" t="s">
        <v>6221</v>
      </c>
      <c r="E4736" s="5" t="s">
        <v>15</v>
      </c>
      <c r="F4736" s="5">
        <v>2020</v>
      </c>
      <c r="G4736" s="6" t="s">
        <v>16</v>
      </c>
      <c r="H4736" s="6">
        <v>200</v>
      </c>
      <c r="I4736" s="6">
        <v>200</v>
      </c>
      <c r="J4736" s="6"/>
      <c r="K4736" s="10"/>
      <c r="L4736" s="10">
        <v>20201118</v>
      </c>
      <c r="M4736" s="36" t="str">
        <f t="shared" si="73"/>
        <v>19741211</v>
      </c>
    </row>
    <row r="4737" s="1" customFormat="1" spans="1:13">
      <c r="A4737" s="2">
        <v>1146</v>
      </c>
      <c r="B4737" s="5" t="s">
        <v>2469</v>
      </c>
      <c r="C4737" s="9" t="s">
        <v>2877</v>
      </c>
      <c r="D4737" s="9" t="s">
        <v>2878</v>
      </c>
      <c r="E4737" s="5">
        <v>2020</v>
      </c>
      <c r="F4737" s="5">
        <v>2020</v>
      </c>
      <c r="G4737" s="9" t="s">
        <v>2480</v>
      </c>
      <c r="H4737" s="9">
        <v>200</v>
      </c>
      <c r="I4737" s="9">
        <v>200</v>
      </c>
      <c r="J4737" s="5"/>
      <c r="K4737" s="5"/>
      <c r="L4737" s="10">
        <v>20201118</v>
      </c>
      <c r="M4737" s="36" t="str">
        <f t="shared" si="73"/>
        <v>19741212</v>
      </c>
    </row>
    <row r="4738" s="1" customFormat="1" spans="1:13">
      <c r="A4738" s="2">
        <v>1671</v>
      </c>
      <c r="B4738" s="5" t="s">
        <v>3381</v>
      </c>
      <c r="C4738" s="9" t="s">
        <v>3904</v>
      </c>
      <c r="D4738" s="9" t="s">
        <v>3905</v>
      </c>
      <c r="E4738" s="5">
        <v>2020</v>
      </c>
      <c r="F4738" s="5">
        <v>2020</v>
      </c>
      <c r="G4738" s="14" t="s">
        <v>16</v>
      </c>
      <c r="H4738" s="6">
        <v>200</v>
      </c>
      <c r="I4738" s="6">
        <v>200</v>
      </c>
      <c r="J4738" s="5"/>
      <c r="K4738" s="13"/>
      <c r="L4738" s="10">
        <v>20201118</v>
      </c>
      <c r="M4738" s="36" t="str">
        <f t="shared" ref="M4738:M4801" si="74">MID(D4738,7,8)</f>
        <v>19741212</v>
      </c>
    </row>
    <row r="4739" s="1" customFormat="1" spans="1:13">
      <c r="A4739" s="2">
        <v>420</v>
      </c>
      <c r="B4739" s="29" t="s">
        <v>1040</v>
      </c>
      <c r="C4739" s="29" t="s">
        <v>1116</v>
      </c>
      <c r="D4739" s="29" t="s">
        <v>1117</v>
      </c>
      <c r="E4739" s="30">
        <v>2020</v>
      </c>
      <c r="F4739" s="30">
        <v>2020</v>
      </c>
      <c r="G4739" s="29" t="s">
        <v>16</v>
      </c>
      <c r="H4739" s="29">
        <v>200</v>
      </c>
      <c r="I4739" s="29">
        <v>200</v>
      </c>
      <c r="J4739" s="29"/>
      <c r="K4739" s="47"/>
      <c r="L4739" s="2" t="s">
        <v>330</v>
      </c>
      <c r="M4739" s="36" t="str">
        <f t="shared" si="74"/>
        <v>19741215</v>
      </c>
    </row>
    <row r="4740" s="1" customFormat="1" spans="1:13">
      <c r="A4740" s="2">
        <v>2664</v>
      </c>
      <c r="B4740" s="32" t="s">
        <v>5602</v>
      </c>
      <c r="C4740" s="9" t="s">
        <v>5862</v>
      </c>
      <c r="D4740" s="9" t="s">
        <v>5863</v>
      </c>
      <c r="E4740" s="32">
        <v>2020</v>
      </c>
      <c r="F4740" s="32">
        <v>2020</v>
      </c>
      <c r="G4740" s="32" t="s">
        <v>16</v>
      </c>
      <c r="H4740" s="9">
        <v>200</v>
      </c>
      <c r="I4740" s="9">
        <v>200</v>
      </c>
      <c r="J4740" s="32"/>
      <c r="K4740" s="52"/>
      <c r="L4740" s="10">
        <v>20201118</v>
      </c>
      <c r="M4740" s="36" t="str">
        <f t="shared" si="74"/>
        <v>19741217</v>
      </c>
    </row>
    <row r="4741" s="1" customFormat="1" spans="1:13">
      <c r="A4741" s="2">
        <v>5138</v>
      </c>
      <c r="B4741" s="6" t="s">
        <v>10242</v>
      </c>
      <c r="C4741" s="9" t="s">
        <v>10402</v>
      </c>
      <c r="D4741" s="9" t="s">
        <v>10403</v>
      </c>
      <c r="E4741" s="5" t="s">
        <v>10250</v>
      </c>
      <c r="F4741" s="5">
        <v>2020</v>
      </c>
      <c r="G4741" s="6" t="s">
        <v>16</v>
      </c>
      <c r="H4741" s="6">
        <v>200</v>
      </c>
      <c r="I4741" s="6">
        <v>200</v>
      </c>
      <c r="J4741" s="6"/>
      <c r="K4741" s="5"/>
      <c r="L4741" s="10">
        <v>20201118</v>
      </c>
      <c r="M4741" s="36" t="str">
        <f t="shared" si="74"/>
        <v>19741219</v>
      </c>
    </row>
    <row r="4742" s="1" customFormat="1" spans="1:13">
      <c r="A4742" s="2">
        <v>2665</v>
      </c>
      <c r="B4742" s="32" t="s">
        <v>5602</v>
      </c>
      <c r="C4742" s="9" t="s">
        <v>5864</v>
      </c>
      <c r="D4742" s="9" t="s">
        <v>5865</v>
      </c>
      <c r="E4742" s="32">
        <v>2020</v>
      </c>
      <c r="F4742" s="32">
        <v>2020</v>
      </c>
      <c r="G4742" s="32" t="s">
        <v>16</v>
      </c>
      <c r="H4742" s="9">
        <v>200</v>
      </c>
      <c r="I4742" s="9">
        <v>200</v>
      </c>
      <c r="J4742" s="32"/>
      <c r="K4742" s="52"/>
      <c r="L4742" s="10">
        <v>20201118</v>
      </c>
      <c r="M4742" s="36" t="str">
        <f t="shared" si="74"/>
        <v>19741220</v>
      </c>
    </row>
    <row r="4743" s="1" customFormat="1" spans="1:13">
      <c r="A4743" s="2">
        <v>3918</v>
      </c>
      <c r="B4743" s="5" t="s">
        <v>7412</v>
      </c>
      <c r="C4743" s="5" t="s">
        <v>2601</v>
      </c>
      <c r="D4743" s="5" t="s">
        <v>8064</v>
      </c>
      <c r="E4743" s="6">
        <v>2020</v>
      </c>
      <c r="F4743" s="6">
        <v>2020</v>
      </c>
      <c r="G4743" s="5" t="s">
        <v>3359</v>
      </c>
      <c r="H4743" s="5">
        <v>200</v>
      </c>
      <c r="I4743" s="5">
        <v>200</v>
      </c>
      <c r="J4743" s="5"/>
      <c r="K4743" s="5"/>
      <c r="L4743" s="10">
        <v>20201118</v>
      </c>
      <c r="M4743" s="36" t="str">
        <f t="shared" si="74"/>
        <v>19741221</v>
      </c>
    </row>
    <row r="4744" s="1" customFormat="1" spans="1:13">
      <c r="A4744" s="2">
        <v>3919</v>
      </c>
      <c r="B4744" s="5" t="s">
        <v>7412</v>
      </c>
      <c r="C4744" s="5" t="s">
        <v>1820</v>
      </c>
      <c r="D4744" s="5" t="s">
        <v>8065</v>
      </c>
      <c r="E4744" s="6">
        <v>2020</v>
      </c>
      <c r="F4744" s="6">
        <v>2020</v>
      </c>
      <c r="G4744" s="5" t="s">
        <v>3359</v>
      </c>
      <c r="H4744" s="5">
        <v>1000</v>
      </c>
      <c r="I4744" s="5">
        <v>1000</v>
      </c>
      <c r="J4744" s="5" t="s">
        <v>7435</v>
      </c>
      <c r="K4744" s="5"/>
      <c r="L4744" s="10">
        <v>20201118</v>
      </c>
      <c r="M4744" s="36" t="str">
        <f t="shared" si="74"/>
        <v>19741221</v>
      </c>
    </row>
    <row r="4745" s="1" customFormat="1" spans="1:13">
      <c r="A4745" s="2">
        <v>567</v>
      </c>
      <c r="B4745" s="29" t="s">
        <v>1040</v>
      </c>
      <c r="C4745" s="29" t="s">
        <v>1410</v>
      </c>
      <c r="D4745" s="29" t="s">
        <v>1411</v>
      </c>
      <c r="E4745" s="30">
        <v>2020</v>
      </c>
      <c r="F4745" s="30">
        <v>2020</v>
      </c>
      <c r="G4745" s="29" t="s">
        <v>16</v>
      </c>
      <c r="H4745" s="29">
        <v>200</v>
      </c>
      <c r="I4745" s="29">
        <v>200</v>
      </c>
      <c r="J4745" s="29"/>
      <c r="K4745" s="47"/>
      <c r="L4745" s="14" t="s">
        <v>330</v>
      </c>
      <c r="M4745" s="36" t="str">
        <f t="shared" si="74"/>
        <v>19741224</v>
      </c>
    </row>
    <row r="4746" s="1" customFormat="1" ht="14.25" spans="1:13">
      <c r="A4746" s="2">
        <v>1760</v>
      </c>
      <c r="B4746" s="5" t="s">
        <v>3381</v>
      </c>
      <c r="C4746" s="77" t="s">
        <v>4081</v>
      </c>
      <c r="D4746" s="321" t="s">
        <v>4082</v>
      </c>
      <c r="E4746" s="5">
        <v>2020</v>
      </c>
      <c r="F4746" s="5">
        <v>2020</v>
      </c>
      <c r="G4746" s="14" t="s">
        <v>16</v>
      </c>
      <c r="H4746" s="18">
        <v>200</v>
      </c>
      <c r="I4746" s="18">
        <v>200</v>
      </c>
      <c r="J4746" s="77" t="s">
        <v>4064</v>
      </c>
      <c r="K4746" s="13"/>
      <c r="L4746" s="10">
        <v>20201118</v>
      </c>
      <c r="M4746" s="36" t="str">
        <f t="shared" si="74"/>
        <v>19741225</v>
      </c>
    </row>
    <row r="4747" s="1" customFormat="1" ht="14.25" spans="1:13">
      <c r="A4747" s="2">
        <v>1762</v>
      </c>
      <c r="B4747" s="5" t="s">
        <v>3381</v>
      </c>
      <c r="C4747" s="77" t="s">
        <v>4085</v>
      </c>
      <c r="D4747" s="321" t="s">
        <v>4086</v>
      </c>
      <c r="E4747" s="5">
        <v>2020</v>
      </c>
      <c r="F4747" s="5">
        <v>2020</v>
      </c>
      <c r="G4747" s="14" t="s">
        <v>16</v>
      </c>
      <c r="H4747" s="18">
        <v>200</v>
      </c>
      <c r="I4747" s="18">
        <v>200</v>
      </c>
      <c r="J4747" s="77" t="s">
        <v>4064</v>
      </c>
      <c r="K4747" s="13"/>
      <c r="L4747" s="10">
        <v>20201118</v>
      </c>
      <c r="M4747" s="36" t="str">
        <f t="shared" si="74"/>
        <v>19741226</v>
      </c>
    </row>
    <row r="4748" s="1" customFormat="1" spans="1:13">
      <c r="A4748" s="2">
        <v>528</v>
      </c>
      <c r="B4748" s="29" t="s">
        <v>1040</v>
      </c>
      <c r="C4748" s="29" t="s">
        <v>1333</v>
      </c>
      <c r="D4748" s="29" t="s">
        <v>1334</v>
      </c>
      <c r="E4748" s="30">
        <v>2020</v>
      </c>
      <c r="F4748" s="30">
        <v>2020</v>
      </c>
      <c r="G4748" s="29" t="s">
        <v>16</v>
      </c>
      <c r="H4748" s="29">
        <v>200</v>
      </c>
      <c r="I4748" s="29">
        <v>200</v>
      </c>
      <c r="J4748" s="29"/>
      <c r="K4748" s="47"/>
      <c r="L4748" s="2" t="s">
        <v>330</v>
      </c>
      <c r="M4748" s="36" t="str">
        <f t="shared" si="74"/>
        <v>19741227</v>
      </c>
    </row>
    <row r="4749" s="1" customFormat="1" spans="1:13">
      <c r="A4749" s="2">
        <v>2289</v>
      </c>
      <c r="B4749" s="9" t="s">
        <v>4837</v>
      </c>
      <c r="C4749" s="9" t="s">
        <v>5120</v>
      </c>
      <c r="D4749" s="9" t="s">
        <v>5121</v>
      </c>
      <c r="E4749" s="6" t="s">
        <v>15</v>
      </c>
      <c r="F4749" s="6">
        <v>2020</v>
      </c>
      <c r="G4749" s="9" t="s">
        <v>2480</v>
      </c>
      <c r="H4749" s="9">
        <v>200</v>
      </c>
      <c r="I4749" s="9">
        <v>200</v>
      </c>
      <c r="J4749" s="6"/>
      <c r="K4749" s="10"/>
      <c r="L4749" s="10">
        <v>20201118</v>
      </c>
      <c r="M4749" s="36" t="str">
        <f t="shared" si="74"/>
        <v>19741228</v>
      </c>
    </row>
    <row r="4750" s="1" customFormat="1" spans="1:13">
      <c r="A4750" s="2">
        <v>5011</v>
      </c>
      <c r="B4750" s="6" t="s">
        <v>9954</v>
      </c>
      <c r="C4750" s="60" t="s">
        <v>10158</v>
      </c>
      <c r="D4750" s="60" t="s">
        <v>10159</v>
      </c>
      <c r="E4750" s="5" t="s">
        <v>15</v>
      </c>
      <c r="F4750" s="5" t="s">
        <v>15</v>
      </c>
      <c r="G4750" s="14" t="s">
        <v>16</v>
      </c>
      <c r="H4750" s="6">
        <v>200</v>
      </c>
      <c r="I4750" s="6">
        <v>200</v>
      </c>
      <c r="J4750" s="6" t="s">
        <v>108</v>
      </c>
      <c r="K4750" s="6"/>
      <c r="L4750" s="10">
        <v>20201118</v>
      </c>
      <c r="M4750" s="36" t="str">
        <f t="shared" si="74"/>
        <v>19741228</v>
      </c>
    </row>
    <row r="4751" s="1" customFormat="1" spans="1:13">
      <c r="A4751" s="2">
        <v>4315</v>
      </c>
      <c r="B4751" s="9" t="s">
        <v>8515</v>
      </c>
      <c r="C4751" s="9" t="s">
        <v>8822</v>
      </c>
      <c r="D4751" s="9" t="s">
        <v>8823</v>
      </c>
      <c r="E4751" s="5" t="s">
        <v>15</v>
      </c>
      <c r="F4751" s="5">
        <v>2020</v>
      </c>
      <c r="G4751" s="9" t="s">
        <v>2480</v>
      </c>
      <c r="H4751" s="9">
        <v>200</v>
      </c>
      <c r="I4751" s="9">
        <v>200</v>
      </c>
      <c r="J4751" s="9"/>
      <c r="K4751" s="9"/>
      <c r="L4751" s="10">
        <v>20201118</v>
      </c>
      <c r="M4751" s="36" t="str">
        <f t="shared" si="74"/>
        <v>19741229</v>
      </c>
    </row>
    <row r="4752" s="1" customFormat="1" spans="1:13">
      <c r="A4752" s="2">
        <v>6493</v>
      </c>
      <c r="B4752" s="5" t="s">
        <v>12263</v>
      </c>
      <c r="C4752" s="5" t="s">
        <v>12989</v>
      </c>
      <c r="D4752" s="5" t="s">
        <v>12990</v>
      </c>
      <c r="E4752" s="5" t="s">
        <v>10250</v>
      </c>
      <c r="F4752" s="5">
        <v>2020</v>
      </c>
      <c r="G4752" s="5" t="s">
        <v>295</v>
      </c>
      <c r="H4752" s="5" t="s">
        <v>311</v>
      </c>
      <c r="I4752" s="5">
        <v>200</v>
      </c>
      <c r="J4752" s="5"/>
      <c r="K4752" s="5"/>
      <c r="L4752" s="10">
        <v>20201118</v>
      </c>
      <c r="M4752" s="36" t="str">
        <f t="shared" si="74"/>
        <v>19741229</v>
      </c>
    </row>
    <row r="4753" s="1" customFormat="1" spans="1:13">
      <c r="A4753" s="2">
        <v>5564</v>
      </c>
      <c r="B4753" s="30" t="s">
        <v>11090</v>
      </c>
      <c r="C4753" s="30" t="s">
        <v>11223</v>
      </c>
      <c r="D4753" s="30" t="s">
        <v>11224</v>
      </c>
      <c r="E4753" s="5" t="s">
        <v>15</v>
      </c>
      <c r="F4753" s="5" t="s">
        <v>10250</v>
      </c>
      <c r="G4753" s="6" t="s">
        <v>16</v>
      </c>
      <c r="H4753" s="32">
        <v>200</v>
      </c>
      <c r="I4753" s="32">
        <v>200</v>
      </c>
      <c r="J4753" s="6" t="s">
        <v>6097</v>
      </c>
      <c r="K4753" s="48"/>
      <c r="L4753" s="10">
        <v>20201118</v>
      </c>
      <c r="M4753" s="36" t="str">
        <f t="shared" si="74"/>
        <v>19741230</v>
      </c>
    </row>
    <row r="4754" s="1" customFormat="1" spans="1:13">
      <c r="A4754" s="2">
        <v>1672</v>
      </c>
      <c r="B4754" s="5" t="s">
        <v>3381</v>
      </c>
      <c r="C4754" s="9" t="s">
        <v>3906</v>
      </c>
      <c r="D4754" s="9" t="s">
        <v>3907</v>
      </c>
      <c r="E4754" s="5">
        <v>2020</v>
      </c>
      <c r="F4754" s="5">
        <v>2020</v>
      </c>
      <c r="G4754" s="14" t="s">
        <v>16</v>
      </c>
      <c r="H4754" s="6">
        <v>200</v>
      </c>
      <c r="I4754" s="6">
        <v>200</v>
      </c>
      <c r="J4754" s="5"/>
      <c r="K4754" s="13"/>
      <c r="L4754" s="10">
        <v>20201118</v>
      </c>
      <c r="M4754" s="36" t="str">
        <f t="shared" si="74"/>
        <v>19750101</v>
      </c>
    </row>
    <row r="4755" s="1" customFormat="1" ht="14.25" spans="1:13">
      <c r="A4755" s="2">
        <v>7684</v>
      </c>
      <c r="B4755" s="5" t="s">
        <v>14875</v>
      </c>
      <c r="C4755" s="51" t="s">
        <v>14926</v>
      </c>
      <c r="D4755" s="24" t="str">
        <f>"152326197501017166"</f>
        <v>152326197501017166</v>
      </c>
      <c r="E4755" s="6" t="s">
        <v>15</v>
      </c>
      <c r="F4755" s="6">
        <v>2020</v>
      </c>
      <c r="G4755" s="24" t="s">
        <v>14877</v>
      </c>
      <c r="H4755" s="6">
        <v>200</v>
      </c>
      <c r="I4755" s="6">
        <v>200</v>
      </c>
      <c r="J4755" s="6"/>
      <c r="K4755" s="10"/>
      <c r="L4755" s="10">
        <v>20201118</v>
      </c>
      <c r="M4755" s="36" t="str">
        <f t="shared" si="74"/>
        <v>19750101</v>
      </c>
    </row>
    <row r="4756" s="1" customFormat="1" ht="14.25" spans="1:13">
      <c r="A4756" s="2">
        <v>2142</v>
      </c>
      <c r="B4756" s="5" t="s">
        <v>4189</v>
      </c>
      <c r="C4756" s="17" t="s">
        <v>4832</v>
      </c>
      <c r="D4756" s="318" t="s">
        <v>4833</v>
      </c>
      <c r="E4756" s="5" t="s">
        <v>1047</v>
      </c>
      <c r="F4756" s="5" t="s">
        <v>15</v>
      </c>
      <c r="G4756" s="5" t="s">
        <v>289</v>
      </c>
      <c r="H4756" s="6" t="s">
        <v>311</v>
      </c>
      <c r="I4756" s="6">
        <v>400</v>
      </c>
      <c r="J4756" s="6"/>
      <c r="K4756" s="10"/>
      <c r="L4756" s="10">
        <v>20201118</v>
      </c>
      <c r="M4756" s="36" t="str">
        <f t="shared" si="74"/>
        <v>19750102</v>
      </c>
    </row>
    <row r="4757" s="1" customFormat="1" spans="1:13">
      <c r="A4757" s="2">
        <v>4773</v>
      </c>
      <c r="B4757" s="6" t="s">
        <v>9015</v>
      </c>
      <c r="C4757" s="6" t="s">
        <v>9700</v>
      </c>
      <c r="D4757" s="6" t="s">
        <v>9701</v>
      </c>
      <c r="E4757" s="6">
        <v>2020</v>
      </c>
      <c r="F4757" s="6">
        <v>2020</v>
      </c>
      <c r="G4757" s="6" t="s">
        <v>16</v>
      </c>
      <c r="H4757" s="6">
        <v>200</v>
      </c>
      <c r="I4757" s="6">
        <v>200</v>
      </c>
      <c r="J4757" s="6"/>
      <c r="K4757" s="6"/>
      <c r="L4757" s="10">
        <v>20201118</v>
      </c>
      <c r="M4757" s="36" t="str">
        <f t="shared" si="74"/>
        <v>19750102</v>
      </c>
    </row>
    <row r="4758" s="1" customFormat="1" spans="1:13">
      <c r="A4758" s="2">
        <v>6304</v>
      </c>
      <c r="B4758" s="5" t="s">
        <v>12263</v>
      </c>
      <c r="C4758" s="5" t="s">
        <v>12507</v>
      </c>
      <c r="D4758" s="5" t="s">
        <v>12627</v>
      </c>
      <c r="E4758" s="5" t="s">
        <v>10250</v>
      </c>
      <c r="F4758" s="5">
        <v>2020</v>
      </c>
      <c r="G4758" s="17" t="s">
        <v>3359</v>
      </c>
      <c r="H4758" s="5">
        <v>200</v>
      </c>
      <c r="I4758" s="5">
        <v>200</v>
      </c>
      <c r="J4758" s="5"/>
      <c r="K4758" s="5"/>
      <c r="L4758" s="10">
        <v>20201118</v>
      </c>
      <c r="M4758" s="36" t="str">
        <f t="shared" si="74"/>
        <v>19750104</v>
      </c>
    </row>
    <row r="4759" s="1" customFormat="1" spans="1:13">
      <c r="A4759" s="2">
        <v>3920</v>
      </c>
      <c r="B4759" s="5" t="s">
        <v>7412</v>
      </c>
      <c r="C4759" s="5" t="s">
        <v>8066</v>
      </c>
      <c r="D4759" s="5" t="s">
        <v>8067</v>
      </c>
      <c r="E4759" s="6">
        <v>2020</v>
      </c>
      <c r="F4759" s="6">
        <v>2020</v>
      </c>
      <c r="G4759" s="5" t="s">
        <v>3359</v>
      </c>
      <c r="H4759" s="5">
        <v>200</v>
      </c>
      <c r="I4759" s="5">
        <v>200</v>
      </c>
      <c r="J4759" s="5"/>
      <c r="K4759" s="5"/>
      <c r="L4759" s="10">
        <v>20201118</v>
      </c>
      <c r="M4759" s="36" t="str">
        <f t="shared" si="74"/>
        <v>19750105</v>
      </c>
    </row>
    <row r="4760" s="1" customFormat="1" spans="1:13">
      <c r="A4760" s="2">
        <v>7932</v>
      </c>
      <c r="B4760" s="5" t="s">
        <v>15086</v>
      </c>
      <c r="C4760" s="6" t="s">
        <v>2808</v>
      </c>
      <c r="D4760" s="6" t="str">
        <f>"152326197501066873"</f>
        <v>152326197501066873</v>
      </c>
      <c r="E4760" s="5" t="s">
        <v>15</v>
      </c>
      <c r="F4760" s="5">
        <v>2020</v>
      </c>
      <c r="G4760" s="5" t="s">
        <v>16</v>
      </c>
      <c r="H4760" s="5">
        <v>200</v>
      </c>
      <c r="I4760" s="5">
        <v>200</v>
      </c>
      <c r="J4760" s="5"/>
      <c r="K4760" s="5"/>
      <c r="L4760" s="10">
        <v>20201118</v>
      </c>
      <c r="M4760" s="36" t="str">
        <f t="shared" si="74"/>
        <v>19750106</v>
      </c>
    </row>
    <row r="4761" s="1" customFormat="1" ht="14.25" spans="1:13">
      <c r="A4761" s="2">
        <v>2839</v>
      </c>
      <c r="B4761" s="6" t="s">
        <v>6075</v>
      </c>
      <c r="C4761" s="25" t="s">
        <v>6205</v>
      </c>
      <c r="D4761" s="26" t="s">
        <v>6206</v>
      </c>
      <c r="E4761" s="5" t="s">
        <v>15</v>
      </c>
      <c r="F4761" s="5">
        <v>2020</v>
      </c>
      <c r="G4761" s="6" t="s">
        <v>16</v>
      </c>
      <c r="H4761" s="6">
        <v>200</v>
      </c>
      <c r="I4761" s="6">
        <v>200</v>
      </c>
      <c r="J4761" s="6" t="s">
        <v>6097</v>
      </c>
      <c r="K4761" s="10"/>
      <c r="L4761" s="10">
        <v>20201118</v>
      </c>
      <c r="M4761" s="36" t="str">
        <f t="shared" si="74"/>
        <v>19750107</v>
      </c>
    </row>
    <row r="4762" s="1" customFormat="1" spans="1:13">
      <c r="A4762" s="2">
        <v>846</v>
      </c>
      <c r="B4762" s="29" t="s">
        <v>1040</v>
      </c>
      <c r="C4762" s="29" t="s">
        <v>2185</v>
      </c>
      <c r="D4762" s="29" t="s">
        <v>2186</v>
      </c>
      <c r="E4762" s="30">
        <v>2020</v>
      </c>
      <c r="F4762" s="30">
        <v>2020</v>
      </c>
      <c r="G4762" s="29" t="s">
        <v>16</v>
      </c>
      <c r="H4762" s="29">
        <v>200</v>
      </c>
      <c r="I4762" s="29">
        <v>200</v>
      </c>
      <c r="J4762" s="32" t="s">
        <v>1082</v>
      </c>
      <c r="K4762" s="32"/>
      <c r="L4762" s="2" t="s">
        <v>330</v>
      </c>
      <c r="M4762" s="36" t="str">
        <f t="shared" si="74"/>
        <v>19750109</v>
      </c>
    </row>
    <row r="4763" s="1" customFormat="1" spans="1:13">
      <c r="A4763" s="2">
        <v>1968</v>
      </c>
      <c r="B4763" s="5" t="s">
        <v>4189</v>
      </c>
      <c r="C4763" s="16" t="s">
        <v>4495</v>
      </c>
      <c r="D4763" s="16" t="s">
        <v>4496</v>
      </c>
      <c r="E4763" s="5" t="s">
        <v>15</v>
      </c>
      <c r="F4763" s="5" t="s">
        <v>15</v>
      </c>
      <c r="G4763" s="5" t="s">
        <v>3359</v>
      </c>
      <c r="H4763" s="16">
        <v>200</v>
      </c>
      <c r="I4763" s="16">
        <v>200</v>
      </c>
      <c r="J4763" s="5"/>
      <c r="K4763" s="10"/>
      <c r="L4763" s="10">
        <v>20201118</v>
      </c>
      <c r="M4763" s="36" t="str">
        <f t="shared" si="74"/>
        <v>19750109</v>
      </c>
    </row>
    <row r="4764" s="1" customFormat="1" spans="1:13">
      <c r="A4764" s="2">
        <v>7940</v>
      </c>
      <c r="B4764" s="5" t="s">
        <v>15086</v>
      </c>
      <c r="C4764" s="6" t="s">
        <v>15213</v>
      </c>
      <c r="D4764" s="6" t="str">
        <f>"152326197501096896"</f>
        <v>152326197501096896</v>
      </c>
      <c r="E4764" s="5" t="s">
        <v>15</v>
      </c>
      <c r="F4764" s="5">
        <v>2020</v>
      </c>
      <c r="G4764" s="5" t="s">
        <v>16</v>
      </c>
      <c r="H4764" s="5">
        <v>200</v>
      </c>
      <c r="I4764" s="5">
        <v>200</v>
      </c>
      <c r="J4764" s="5"/>
      <c r="K4764" s="5"/>
      <c r="L4764" s="10">
        <v>20201118</v>
      </c>
      <c r="M4764" s="36" t="str">
        <f t="shared" si="74"/>
        <v>19750109</v>
      </c>
    </row>
    <row r="4765" s="1" customFormat="1" spans="1:13">
      <c r="A4765" s="2">
        <v>6876</v>
      </c>
      <c r="B4765" s="5" t="s">
        <v>13533</v>
      </c>
      <c r="C4765" s="32" t="s">
        <v>10968</v>
      </c>
      <c r="D4765" s="32" t="str">
        <f>"152326197501107110"</f>
        <v>152326197501107110</v>
      </c>
      <c r="E4765" s="5">
        <v>2020</v>
      </c>
      <c r="F4765" s="5">
        <v>2020</v>
      </c>
      <c r="G4765" s="9" t="s">
        <v>2480</v>
      </c>
      <c r="H4765" s="32">
        <v>200</v>
      </c>
      <c r="I4765" s="32">
        <v>200</v>
      </c>
      <c r="J4765" s="62"/>
      <c r="K4765" s="10"/>
      <c r="L4765" s="10">
        <v>20201118</v>
      </c>
      <c r="M4765" s="36" t="str">
        <f t="shared" si="74"/>
        <v>19750110</v>
      </c>
    </row>
    <row r="4766" s="1" customFormat="1" spans="1:13">
      <c r="A4766" s="2">
        <v>7931</v>
      </c>
      <c r="B4766" s="5" t="s">
        <v>15086</v>
      </c>
      <c r="C4766" s="6" t="s">
        <v>15205</v>
      </c>
      <c r="D4766" s="6" t="str">
        <f>"152326197501106898"</f>
        <v>152326197501106898</v>
      </c>
      <c r="E4766" s="5" t="s">
        <v>15</v>
      </c>
      <c r="F4766" s="5">
        <v>2020</v>
      </c>
      <c r="G4766" s="5" t="s">
        <v>16</v>
      </c>
      <c r="H4766" s="5">
        <v>200</v>
      </c>
      <c r="I4766" s="5">
        <v>200</v>
      </c>
      <c r="J4766" s="5"/>
      <c r="K4766" s="5"/>
      <c r="L4766" s="10">
        <v>20201118</v>
      </c>
      <c r="M4766" s="36" t="str">
        <f t="shared" si="74"/>
        <v>19750110</v>
      </c>
    </row>
    <row r="4767" s="1" customFormat="1" spans="1:13">
      <c r="A4767" s="2">
        <v>1673</v>
      </c>
      <c r="B4767" s="5" t="s">
        <v>3381</v>
      </c>
      <c r="C4767" s="9" t="s">
        <v>3908</v>
      </c>
      <c r="D4767" s="9" t="s">
        <v>3909</v>
      </c>
      <c r="E4767" s="5">
        <v>2020</v>
      </c>
      <c r="F4767" s="5">
        <v>2020</v>
      </c>
      <c r="G4767" s="14" t="s">
        <v>16</v>
      </c>
      <c r="H4767" s="6">
        <v>200</v>
      </c>
      <c r="I4767" s="6">
        <v>200</v>
      </c>
      <c r="J4767" s="5"/>
      <c r="K4767" s="13"/>
      <c r="L4767" s="10">
        <v>20201118</v>
      </c>
      <c r="M4767" s="36" t="str">
        <f t="shared" si="74"/>
        <v>19750111</v>
      </c>
    </row>
    <row r="4768" s="1" customFormat="1" spans="1:13">
      <c r="A4768" s="2">
        <v>3921</v>
      </c>
      <c r="B4768" s="5" t="s">
        <v>7412</v>
      </c>
      <c r="C4768" s="5" t="s">
        <v>5619</v>
      </c>
      <c r="D4768" s="5" t="s">
        <v>8068</v>
      </c>
      <c r="E4768" s="6">
        <v>2020</v>
      </c>
      <c r="F4768" s="6">
        <v>2020</v>
      </c>
      <c r="G4768" s="5" t="s">
        <v>3359</v>
      </c>
      <c r="H4768" s="5">
        <v>200</v>
      </c>
      <c r="I4768" s="5">
        <v>200</v>
      </c>
      <c r="J4768" s="5"/>
      <c r="K4768" s="5"/>
      <c r="L4768" s="10">
        <v>20201118</v>
      </c>
      <c r="M4768" s="36" t="str">
        <f t="shared" si="74"/>
        <v>19750111</v>
      </c>
    </row>
    <row r="4769" s="1" customFormat="1" spans="1:13">
      <c r="A4769" s="2">
        <v>4858</v>
      </c>
      <c r="B4769" s="6" t="s">
        <v>9015</v>
      </c>
      <c r="C4769" s="6" t="s">
        <v>9859</v>
      </c>
      <c r="D4769" s="293" t="s">
        <v>9860</v>
      </c>
      <c r="E4769" s="6">
        <v>2020</v>
      </c>
      <c r="F4769" s="6">
        <v>2020</v>
      </c>
      <c r="G4769" s="6" t="s">
        <v>16</v>
      </c>
      <c r="H4769" s="6">
        <v>200</v>
      </c>
      <c r="I4769" s="6">
        <v>200</v>
      </c>
      <c r="J4769" s="6"/>
      <c r="K4769" s="6"/>
      <c r="L4769" s="10">
        <v>20201118</v>
      </c>
      <c r="M4769" s="36" t="str">
        <f t="shared" si="74"/>
        <v>19750111</v>
      </c>
    </row>
    <row r="4770" s="1" customFormat="1" spans="1:13">
      <c r="A4770" s="2">
        <v>455</v>
      </c>
      <c r="B4770" s="29" t="s">
        <v>1040</v>
      </c>
      <c r="C4770" s="29" t="s">
        <v>1186</v>
      </c>
      <c r="D4770" s="29" t="s">
        <v>1187</v>
      </c>
      <c r="E4770" s="30">
        <v>2020</v>
      </c>
      <c r="F4770" s="30">
        <v>2020</v>
      </c>
      <c r="G4770" s="29" t="s">
        <v>16</v>
      </c>
      <c r="H4770" s="29">
        <v>200</v>
      </c>
      <c r="I4770" s="29">
        <v>200</v>
      </c>
      <c r="J4770" s="29"/>
      <c r="K4770" s="47"/>
      <c r="L4770" s="14" t="s">
        <v>330</v>
      </c>
      <c r="M4770" s="36" t="str">
        <f t="shared" si="74"/>
        <v>19750112</v>
      </c>
    </row>
    <row r="4771" s="1" customFormat="1" spans="1:13">
      <c r="A4771" s="2">
        <v>2290</v>
      </c>
      <c r="B4771" s="9" t="s">
        <v>4837</v>
      </c>
      <c r="C4771" s="9" t="s">
        <v>5122</v>
      </c>
      <c r="D4771" s="9" t="s">
        <v>5123</v>
      </c>
      <c r="E4771" s="6" t="s">
        <v>15</v>
      </c>
      <c r="F4771" s="6">
        <v>2020</v>
      </c>
      <c r="G4771" s="9" t="s">
        <v>2480</v>
      </c>
      <c r="H4771" s="9">
        <v>200</v>
      </c>
      <c r="I4771" s="9">
        <v>200</v>
      </c>
      <c r="J4771" s="6"/>
      <c r="K4771" s="10"/>
      <c r="L4771" s="10">
        <v>20201118</v>
      </c>
      <c r="M4771" s="36" t="str">
        <f t="shared" si="74"/>
        <v>19750112</v>
      </c>
    </row>
    <row r="4772" s="1" customFormat="1" ht="14.25" spans="1:13">
      <c r="A4772" s="2">
        <v>2765</v>
      </c>
      <c r="B4772" s="32" t="s">
        <v>5602</v>
      </c>
      <c r="C4772" s="32" t="s">
        <v>4083</v>
      </c>
      <c r="D4772" s="85" t="s">
        <v>6058</v>
      </c>
      <c r="E4772" s="32">
        <v>2020</v>
      </c>
      <c r="F4772" s="32">
        <v>2020</v>
      </c>
      <c r="G4772" s="32" t="s">
        <v>16</v>
      </c>
      <c r="H4772" s="9">
        <v>200</v>
      </c>
      <c r="I4772" s="9">
        <v>200</v>
      </c>
      <c r="J4772" s="32"/>
      <c r="K4772" s="52"/>
      <c r="L4772" s="10">
        <v>20201118</v>
      </c>
      <c r="M4772" s="36" t="str">
        <f t="shared" si="74"/>
        <v>19750112</v>
      </c>
    </row>
    <row r="4773" s="1" customFormat="1" spans="1:13">
      <c r="A4773" s="2">
        <v>3352</v>
      </c>
      <c r="B4773" s="5" t="s">
        <v>3375</v>
      </c>
      <c r="C4773" s="6" t="s">
        <v>7127</v>
      </c>
      <c r="D4773" s="6" t="str">
        <f>"152326197501146881"</f>
        <v>152326197501146881</v>
      </c>
      <c r="E4773" s="5" t="s">
        <v>15</v>
      </c>
      <c r="F4773" s="5">
        <v>2020</v>
      </c>
      <c r="G4773" s="14" t="s">
        <v>16</v>
      </c>
      <c r="H4773" s="17">
        <v>200</v>
      </c>
      <c r="I4773" s="17">
        <v>200</v>
      </c>
      <c r="J4773" s="6"/>
      <c r="K4773" s="10"/>
      <c r="L4773" s="10">
        <v>20201118</v>
      </c>
      <c r="M4773" s="36" t="str">
        <f t="shared" si="74"/>
        <v>19750114</v>
      </c>
    </row>
    <row r="4774" s="1" customFormat="1" spans="1:13">
      <c r="A4774" s="2">
        <v>5550</v>
      </c>
      <c r="B4774" s="30" t="s">
        <v>11090</v>
      </c>
      <c r="C4774" s="6" t="s">
        <v>11196</v>
      </c>
      <c r="D4774" s="86" t="s">
        <v>11197</v>
      </c>
      <c r="E4774" s="5" t="s">
        <v>15</v>
      </c>
      <c r="F4774" s="5" t="s">
        <v>10250</v>
      </c>
      <c r="G4774" s="6" t="s">
        <v>16</v>
      </c>
      <c r="H4774" s="32">
        <v>200</v>
      </c>
      <c r="I4774" s="32">
        <v>200</v>
      </c>
      <c r="J4774" s="6"/>
      <c r="K4774" s="48"/>
      <c r="L4774" s="10">
        <v>20201118</v>
      </c>
      <c r="M4774" s="36" t="str">
        <f t="shared" si="74"/>
        <v>19750116</v>
      </c>
    </row>
    <row r="4775" s="1" customFormat="1" spans="1:13">
      <c r="A4775" s="2">
        <v>1674</v>
      </c>
      <c r="B4775" s="5" t="s">
        <v>3381</v>
      </c>
      <c r="C4775" s="9" t="s">
        <v>3910</v>
      </c>
      <c r="D4775" s="9" t="s">
        <v>3911</v>
      </c>
      <c r="E4775" s="5">
        <v>2020</v>
      </c>
      <c r="F4775" s="5">
        <v>2020</v>
      </c>
      <c r="G4775" s="14" t="s">
        <v>16</v>
      </c>
      <c r="H4775" s="6">
        <v>200</v>
      </c>
      <c r="I4775" s="6">
        <v>200</v>
      </c>
      <c r="J4775" s="5"/>
      <c r="K4775" s="13"/>
      <c r="L4775" s="10">
        <v>20201118</v>
      </c>
      <c r="M4775" s="36" t="str">
        <f t="shared" si="74"/>
        <v>19750121</v>
      </c>
    </row>
    <row r="4776" s="1" customFormat="1" spans="1:13">
      <c r="A4776" s="2">
        <v>7935</v>
      </c>
      <c r="B4776" s="5" t="s">
        <v>15086</v>
      </c>
      <c r="C4776" s="6" t="s">
        <v>15208</v>
      </c>
      <c r="D4776" s="6" t="str">
        <f>"152326197501216886"</f>
        <v>152326197501216886</v>
      </c>
      <c r="E4776" s="5" t="s">
        <v>15</v>
      </c>
      <c r="F4776" s="5">
        <v>2020</v>
      </c>
      <c r="G4776" s="5" t="s">
        <v>16</v>
      </c>
      <c r="H4776" s="5">
        <v>500</v>
      </c>
      <c r="I4776" s="5">
        <v>500</v>
      </c>
      <c r="J4776" s="5"/>
      <c r="K4776" s="5"/>
      <c r="L4776" s="10">
        <v>20201118</v>
      </c>
      <c r="M4776" s="36" t="str">
        <f t="shared" si="74"/>
        <v>19750121</v>
      </c>
    </row>
    <row r="4777" s="1" customFormat="1" spans="1:13">
      <c r="A4777" s="2">
        <v>5919</v>
      </c>
      <c r="B4777" s="30" t="s">
        <v>11090</v>
      </c>
      <c r="C4777" s="30" t="s">
        <v>11887</v>
      </c>
      <c r="D4777" s="30" t="s">
        <v>11888</v>
      </c>
      <c r="E4777" s="5" t="s">
        <v>15</v>
      </c>
      <c r="F4777" s="5" t="s">
        <v>10250</v>
      </c>
      <c r="G4777" s="6" t="s">
        <v>16</v>
      </c>
      <c r="H4777" s="32">
        <v>200</v>
      </c>
      <c r="I4777" s="32">
        <v>200</v>
      </c>
      <c r="J4777" s="6"/>
      <c r="K4777" s="48"/>
      <c r="L4777" s="10">
        <v>20201118</v>
      </c>
      <c r="M4777" s="36" t="str">
        <f t="shared" si="74"/>
        <v>19750122</v>
      </c>
    </row>
    <row r="4778" s="1" customFormat="1" ht="14.25" spans="1:13">
      <c r="A4778" s="2">
        <v>5356</v>
      </c>
      <c r="B4778" s="33" t="s">
        <v>10535</v>
      </c>
      <c r="C4778" s="34" t="s">
        <v>10824</v>
      </c>
      <c r="D4778" s="34" t="s">
        <v>10825</v>
      </c>
      <c r="E4778" s="35">
        <v>2020</v>
      </c>
      <c r="F4778" s="35">
        <v>2020</v>
      </c>
      <c r="G4778" s="35" t="s">
        <v>16</v>
      </c>
      <c r="H4778" s="34">
        <v>200</v>
      </c>
      <c r="I4778" s="34">
        <v>200</v>
      </c>
      <c r="J4778" s="49"/>
      <c r="K4778" s="10"/>
      <c r="L4778" s="10">
        <v>20201118</v>
      </c>
      <c r="M4778" s="36" t="str">
        <f t="shared" si="74"/>
        <v>19750123</v>
      </c>
    </row>
    <row r="4779" s="1" customFormat="1" spans="1:13">
      <c r="A4779" s="2">
        <v>7930</v>
      </c>
      <c r="B4779" s="5" t="s">
        <v>15086</v>
      </c>
      <c r="C4779" s="6" t="s">
        <v>15204</v>
      </c>
      <c r="D4779" s="6" t="str">
        <f>"152326197501236895"</f>
        <v>152326197501236895</v>
      </c>
      <c r="E4779" s="5" t="s">
        <v>15</v>
      </c>
      <c r="F4779" s="5">
        <v>2020</v>
      </c>
      <c r="G4779" s="5" t="s">
        <v>16</v>
      </c>
      <c r="H4779" s="5">
        <v>500</v>
      </c>
      <c r="I4779" s="5">
        <v>500</v>
      </c>
      <c r="J4779" s="5"/>
      <c r="K4779" s="5"/>
      <c r="L4779" s="10">
        <v>20201118</v>
      </c>
      <c r="M4779" s="36" t="str">
        <f t="shared" si="74"/>
        <v>19750123</v>
      </c>
    </row>
    <row r="4780" s="1" customFormat="1" spans="1:13">
      <c r="A4780" s="2">
        <v>3245</v>
      </c>
      <c r="B4780" s="3" t="s">
        <v>6671</v>
      </c>
      <c r="C4780" s="9" t="s">
        <v>6465</v>
      </c>
      <c r="D4780" s="9" t="s">
        <v>6994</v>
      </c>
      <c r="E4780" s="3" t="s">
        <v>15</v>
      </c>
      <c r="F4780" s="3" t="s">
        <v>15</v>
      </c>
      <c r="G4780" s="6" t="s">
        <v>3359</v>
      </c>
      <c r="H4780" s="9">
        <v>200</v>
      </c>
      <c r="I4780" s="9">
        <v>200</v>
      </c>
      <c r="J4780" s="6"/>
      <c r="K4780" s="5"/>
      <c r="L4780" s="10">
        <v>20201118</v>
      </c>
      <c r="M4780" s="36" t="str">
        <f t="shared" si="74"/>
        <v>19750125</v>
      </c>
    </row>
    <row r="4781" s="1" customFormat="1" spans="1:13">
      <c r="A4781" s="2">
        <v>3356</v>
      </c>
      <c r="B4781" s="5" t="s">
        <v>3375</v>
      </c>
      <c r="C4781" s="6" t="s">
        <v>7131</v>
      </c>
      <c r="D4781" s="6" t="str">
        <f>"152326197501256896"</f>
        <v>152326197501256896</v>
      </c>
      <c r="E4781" s="5" t="s">
        <v>15</v>
      </c>
      <c r="F4781" s="5">
        <v>2020</v>
      </c>
      <c r="G4781" s="14" t="s">
        <v>16</v>
      </c>
      <c r="H4781" s="17">
        <v>500</v>
      </c>
      <c r="I4781" s="17">
        <v>500</v>
      </c>
      <c r="J4781" s="6"/>
      <c r="K4781" s="10"/>
      <c r="L4781" s="10">
        <v>20201118</v>
      </c>
      <c r="M4781" s="36" t="str">
        <f t="shared" si="74"/>
        <v>19750125</v>
      </c>
    </row>
    <row r="4782" s="1" customFormat="1" spans="1:13">
      <c r="A4782" s="2">
        <v>4821</v>
      </c>
      <c r="B4782" s="6" t="s">
        <v>9015</v>
      </c>
      <c r="C4782" s="6" t="s">
        <v>9790</v>
      </c>
      <c r="D4782" s="293" t="s">
        <v>9791</v>
      </c>
      <c r="E4782" s="6">
        <v>2020</v>
      </c>
      <c r="F4782" s="6">
        <v>2020</v>
      </c>
      <c r="G4782" s="6" t="s">
        <v>16</v>
      </c>
      <c r="H4782" s="6">
        <v>200</v>
      </c>
      <c r="I4782" s="6">
        <v>200</v>
      </c>
      <c r="J4782" s="6"/>
      <c r="K4782" s="6"/>
      <c r="L4782" s="10">
        <v>20201118</v>
      </c>
      <c r="M4782" s="36" t="str">
        <f t="shared" si="74"/>
        <v>19750125</v>
      </c>
    </row>
    <row r="4783" s="1" customFormat="1" spans="1:13">
      <c r="A4783" s="2">
        <v>7112</v>
      </c>
      <c r="B4783" s="5" t="s">
        <v>13533</v>
      </c>
      <c r="C4783" s="5" t="s">
        <v>13885</v>
      </c>
      <c r="D4783" s="5" t="s">
        <v>13886</v>
      </c>
      <c r="E4783" s="5">
        <v>2020</v>
      </c>
      <c r="F4783" s="5">
        <v>2020</v>
      </c>
      <c r="G4783" s="9" t="s">
        <v>2480</v>
      </c>
      <c r="H4783" s="32">
        <v>200</v>
      </c>
      <c r="I4783" s="32">
        <v>200</v>
      </c>
      <c r="J4783" s="32"/>
      <c r="K4783" s="10"/>
      <c r="L4783" s="10">
        <v>20201118</v>
      </c>
      <c r="M4783" s="36" t="str">
        <f t="shared" si="74"/>
        <v>19750125</v>
      </c>
    </row>
    <row r="4784" s="1" customFormat="1" spans="1:13">
      <c r="A4784" s="2">
        <v>13</v>
      </c>
      <c r="B4784" s="2" t="s">
        <v>12</v>
      </c>
      <c r="C4784" s="2" t="s">
        <v>40</v>
      </c>
      <c r="D4784" s="2" t="s">
        <v>41</v>
      </c>
      <c r="E4784" s="3" t="s">
        <v>15</v>
      </c>
      <c r="F4784" s="3" t="s">
        <v>15</v>
      </c>
      <c r="G4784" s="2" t="s">
        <v>16</v>
      </c>
      <c r="H4784" s="2">
        <v>200</v>
      </c>
      <c r="I4784" s="2">
        <v>200</v>
      </c>
      <c r="J4784" s="2"/>
      <c r="K4784" s="2"/>
      <c r="L4784" s="10">
        <v>20201118</v>
      </c>
      <c r="M4784" s="36" t="str">
        <f t="shared" si="74"/>
        <v>19750127</v>
      </c>
    </row>
    <row r="4785" s="1" customFormat="1" spans="1:13">
      <c r="A4785" s="2">
        <v>3922</v>
      </c>
      <c r="B4785" s="5" t="s">
        <v>7412</v>
      </c>
      <c r="C4785" s="5" t="s">
        <v>8069</v>
      </c>
      <c r="D4785" s="5" t="s">
        <v>8070</v>
      </c>
      <c r="E4785" s="6">
        <v>2020</v>
      </c>
      <c r="F4785" s="6">
        <v>2020</v>
      </c>
      <c r="G4785" s="5" t="s">
        <v>3359</v>
      </c>
      <c r="H4785" s="5">
        <v>200</v>
      </c>
      <c r="I4785" s="5">
        <v>200</v>
      </c>
      <c r="J4785" s="5"/>
      <c r="K4785" s="5"/>
      <c r="L4785" s="10">
        <v>20201118</v>
      </c>
      <c r="M4785" s="36" t="str">
        <f t="shared" si="74"/>
        <v>19750128</v>
      </c>
    </row>
    <row r="4786" s="1" customFormat="1" spans="1:13">
      <c r="A4786" s="2">
        <v>284</v>
      </c>
      <c r="B4786" s="14" t="s">
        <v>327</v>
      </c>
      <c r="C4786" s="17" t="s">
        <v>738</v>
      </c>
      <c r="D4786" s="306" t="s">
        <v>739</v>
      </c>
      <c r="E4786" s="5">
        <v>2020</v>
      </c>
      <c r="F4786" s="5">
        <v>2020</v>
      </c>
      <c r="G4786" s="14" t="s">
        <v>16</v>
      </c>
      <c r="H4786" s="17">
        <v>200</v>
      </c>
      <c r="I4786" s="17">
        <v>200</v>
      </c>
      <c r="J4786" s="17"/>
      <c r="K4786" s="10"/>
      <c r="L4786" s="14" t="s">
        <v>330</v>
      </c>
      <c r="M4786" s="36" t="str">
        <f t="shared" si="74"/>
        <v>19750129</v>
      </c>
    </row>
    <row r="4787" s="1" customFormat="1" spans="1:13">
      <c r="A4787" s="2">
        <v>6284</v>
      </c>
      <c r="B4787" s="5" t="s">
        <v>12263</v>
      </c>
      <c r="C4787" s="5" t="s">
        <v>12589</v>
      </c>
      <c r="D4787" s="5" t="s">
        <v>12590</v>
      </c>
      <c r="E4787" s="5" t="s">
        <v>10250</v>
      </c>
      <c r="F4787" s="5">
        <v>2020</v>
      </c>
      <c r="G4787" s="17" t="s">
        <v>3359</v>
      </c>
      <c r="H4787" s="5">
        <v>500</v>
      </c>
      <c r="I4787" s="5">
        <v>500</v>
      </c>
      <c r="J4787" s="5"/>
      <c r="K4787" s="5"/>
      <c r="L4787" s="10">
        <v>20201118</v>
      </c>
      <c r="M4787" s="36" t="str">
        <f t="shared" si="74"/>
        <v>19750130</v>
      </c>
    </row>
    <row r="4788" s="1" customFormat="1" spans="1:13">
      <c r="A4788" s="2">
        <v>421</v>
      </c>
      <c r="B4788" s="29" t="s">
        <v>1040</v>
      </c>
      <c r="C4788" s="29" t="s">
        <v>1118</v>
      </c>
      <c r="D4788" s="29" t="s">
        <v>1119</v>
      </c>
      <c r="E4788" s="30">
        <v>2020</v>
      </c>
      <c r="F4788" s="30">
        <v>2020</v>
      </c>
      <c r="G4788" s="29" t="s">
        <v>16</v>
      </c>
      <c r="H4788" s="29">
        <v>200</v>
      </c>
      <c r="I4788" s="29">
        <v>200</v>
      </c>
      <c r="J4788" s="29"/>
      <c r="K4788" s="47"/>
      <c r="L4788" s="14" t="s">
        <v>330</v>
      </c>
      <c r="M4788" s="36" t="str">
        <f t="shared" si="74"/>
        <v>19750202</v>
      </c>
    </row>
    <row r="4789" s="1" customFormat="1" ht="14.25" spans="1:13">
      <c r="A4789" s="2">
        <v>2934</v>
      </c>
      <c r="B4789" s="6" t="s">
        <v>6075</v>
      </c>
      <c r="C4789" s="6" t="s">
        <v>6394</v>
      </c>
      <c r="D4789" s="26" t="s">
        <v>6395</v>
      </c>
      <c r="E4789" s="5" t="s">
        <v>15</v>
      </c>
      <c r="F4789" s="5">
        <v>2020</v>
      </c>
      <c r="G4789" s="6" t="s">
        <v>16</v>
      </c>
      <c r="H4789" s="6">
        <v>200</v>
      </c>
      <c r="I4789" s="6">
        <v>200</v>
      </c>
      <c r="J4789" s="6"/>
      <c r="K4789" s="10"/>
      <c r="L4789" s="10">
        <v>20201118</v>
      </c>
      <c r="M4789" s="36" t="str">
        <f t="shared" si="74"/>
        <v>19750204</v>
      </c>
    </row>
    <row r="4790" s="1" customFormat="1" ht="14.25" spans="1:13">
      <c r="A4790" s="2">
        <v>5357</v>
      </c>
      <c r="B4790" s="33" t="s">
        <v>10535</v>
      </c>
      <c r="C4790" s="34" t="s">
        <v>10826</v>
      </c>
      <c r="D4790" s="34" t="s">
        <v>10827</v>
      </c>
      <c r="E4790" s="35">
        <v>2020</v>
      </c>
      <c r="F4790" s="35">
        <v>2020</v>
      </c>
      <c r="G4790" s="35" t="s">
        <v>16</v>
      </c>
      <c r="H4790" s="34">
        <v>200</v>
      </c>
      <c r="I4790" s="34">
        <v>200</v>
      </c>
      <c r="J4790" s="49"/>
      <c r="K4790" s="10"/>
      <c r="L4790" s="10">
        <v>20201118</v>
      </c>
      <c r="M4790" s="36" t="str">
        <f t="shared" si="74"/>
        <v>19750204</v>
      </c>
    </row>
    <row r="4791" s="1" customFormat="1" ht="14.25" spans="1:13">
      <c r="A4791" s="2">
        <v>5358</v>
      </c>
      <c r="B4791" s="33" t="s">
        <v>10535</v>
      </c>
      <c r="C4791" s="34" t="s">
        <v>10828</v>
      </c>
      <c r="D4791" s="34" t="s">
        <v>10829</v>
      </c>
      <c r="E4791" s="35">
        <v>2020</v>
      </c>
      <c r="F4791" s="35">
        <v>2020</v>
      </c>
      <c r="G4791" s="35" t="s">
        <v>16</v>
      </c>
      <c r="H4791" s="34">
        <v>200</v>
      </c>
      <c r="I4791" s="34">
        <v>200</v>
      </c>
      <c r="J4791" s="49"/>
      <c r="K4791" s="10"/>
      <c r="L4791" s="10">
        <v>20201118</v>
      </c>
      <c r="M4791" s="36" t="str">
        <f t="shared" si="74"/>
        <v>19750204</v>
      </c>
    </row>
    <row r="4792" s="1" customFormat="1" spans="1:13">
      <c r="A4792" s="2">
        <v>7934</v>
      </c>
      <c r="B4792" s="5" t="s">
        <v>15086</v>
      </c>
      <c r="C4792" s="6" t="s">
        <v>15207</v>
      </c>
      <c r="D4792" s="6" t="str">
        <f>"152326197502076862"</f>
        <v>152326197502076862</v>
      </c>
      <c r="E4792" s="5" t="s">
        <v>15</v>
      </c>
      <c r="F4792" s="5">
        <v>2020</v>
      </c>
      <c r="G4792" s="5" t="s">
        <v>16</v>
      </c>
      <c r="H4792" s="5">
        <v>200</v>
      </c>
      <c r="I4792" s="5">
        <v>200</v>
      </c>
      <c r="J4792" s="5"/>
      <c r="K4792" s="5"/>
      <c r="L4792" s="10">
        <v>20201118</v>
      </c>
      <c r="M4792" s="36" t="str">
        <f t="shared" si="74"/>
        <v>19750207</v>
      </c>
    </row>
    <row r="4793" s="1" customFormat="1" spans="1:13">
      <c r="A4793" s="2">
        <v>4893</v>
      </c>
      <c r="B4793" s="6" t="s">
        <v>9015</v>
      </c>
      <c r="C4793" s="6" t="s">
        <v>9926</v>
      </c>
      <c r="D4793" s="293" t="s">
        <v>9927</v>
      </c>
      <c r="E4793" s="6">
        <v>2020</v>
      </c>
      <c r="F4793" s="6">
        <v>2020</v>
      </c>
      <c r="G4793" s="6" t="s">
        <v>189</v>
      </c>
      <c r="H4793" s="6">
        <v>200</v>
      </c>
      <c r="I4793" s="6">
        <v>200</v>
      </c>
      <c r="J4793" s="6"/>
      <c r="K4793" s="6"/>
      <c r="L4793" s="10">
        <v>20201118</v>
      </c>
      <c r="M4793" s="36" t="str">
        <f t="shared" si="74"/>
        <v>19750208</v>
      </c>
    </row>
    <row r="4794" s="1" customFormat="1" spans="1:13">
      <c r="A4794" s="2">
        <v>2291</v>
      </c>
      <c r="B4794" s="9" t="s">
        <v>4837</v>
      </c>
      <c r="C4794" s="9" t="s">
        <v>5124</v>
      </c>
      <c r="D4794" s="9" t="s">
        <v>5125</v>
      </c>
      <c r="E4794" s="6" t="s">
        <v>15</v>
      </c>
      <c r="F4794" s="6">
        <v>2020</v>
      </c>
      <c r="G4794" s="9" t="s">
        <v>2480</v>
      </c>
      <c r="H4794" s="9">
        <v>200</v>
      </c>
      <c r="I4794" s="9">
        <v>200</v>
      </c>
      <c r="J4794" s="6"/>
      <c r="K4794" s="10"/>
      <c r="L4794" s="10">
        <v>20201118</v>
      </c>
      <c r="M4794" s="36" t="str">
        <f t="shared" si="74"/>
        <v>19750212</v>
      </c>
    </row>
    <row r="4795" s="1" customFormat="1" spans="1:13">
      <c r="A4795" s="2">
        <v>1</v>
      </c>
      <c r="B4795" s="2" t="s">
        <v>12</v>
      </c>
      <c r="C4795" s="2" t="s">
        <v>13</v>
      </c>
      <c r="D4795" s="2" t="s">
        <v>14</v>
      </c>
      <c r="E4795" s="3" t="s">
        <v>15</v>
      </c>
      <c r="F4795" s="3" t="s">
        <v>15</v>
      </c>
      <c r="G4795" s="2" t="s">
        <v>16</v>
      </c>
      <c r="H4795" s="2">
        <v>200</v>
      </c>
      <c r="I4795" s="2">
        <v>200</v>
      </c>
      <c r="J4795" s="2"/>
      <c r="K4795" s="2"/>
      <c r="L4795" s="10">
        <v>20201118</v>
      </c>
      <c r="M4795" s="36" t="str">
        <f t="shared" si="74"/>
        <v>19750213</v>
      </c>
    </row>
    <row r="4796" s="1" customFormat="1" spans="1:13">
      <c r="A4796" s="2">
        <v>7107</v>
      </c>
      <c r="B4796" s="5" t="s">
        <v>13533</v>
      </c>
      <c r="C4796" s="6" t="s">
        <v>13875</v>
      </c>
      <c r="D4796" s="6" t="s">
        <v>13876</v>
      </c>
      <c r="E4796" s="5">
        <v>2020</v>
      </c>
      <c r="F4796" s="5">
        <v>2020</v>
      </c>
      <c r="G4796" s="9" t="s">
        <v>2480</v>
      </c>
      <c r="H4796" s="32">
        <v>200</v>
      </c>
      <c r="I4796" s="32">
        <v>200</v>
      </c>
      <c r="J4796" s="32"/>
      <c r="K4796" s="10"/>
      <c r="L4796" s="10">
        <v>20201118</v>
      </c>
      <c r="M4796" s="36" t="str">
        <f t="shared" si="74"/>
        <v>19750213</v>
      </c>
    </row>
    <row r="4797" s="1" customFormat="1" spans="1:13">
      <c r="A4797" s="2">
        <v>2469</v>
      </c>
      <c r="B4797" s="5" t="s">
        <v>5328</v>
      </c>
      <c r="C4797" s="16" t="s">
        <v>5476</v>
      </c>
      <c r="D4797" s="16" t="s">
        <v>5477</v>
      </c>
      <c r="E4797" s="5" t="s">
        <v>15</v>
      </c>
      <c r="F4797" s="5" t="s">
        <v>15</v>
      </c>
      <c r="G4797" s="14" t="s">
        <v>16</v>
      </c>
      <c r="H4797" s="6">
        <v>200</v>
      </c>
      <c r="I4797" s="6">
        <v>200</v>
      </c>
      <c r="J4797" s="5"/>
      <c r="K4797" s="5"/>
      <c r="L4797" s="10">
        <v>20201118</v>
      </c>
      <c r="M4797" s="36" t="str">
        <f t="shared" si="74"/>
        <v>19750214</v>
      </c>
    </row>
    <row r="4798" s="1" customFormat="1" ht="14.25" spans="1:13">
      <c r="A4798" s="2">
        <v>2847</v>
      </c>
      <c r="B4798" s="6" t="s">
        <v>6075</v>
      </c>
      <c r="C4798" s="25" t="s">
        <v>6222</v>
      </c>
      <c r="D4798" s="26" t="s">
        <v>6223</v>
      </c>
      <c r="E4798" s="5" t="s">
        <v>15</v>
      </c>
      <c r="F4798" s="5">
        <v>2020</v>
      </c>
      <c r="G4798" s="6" t="s">
        <v>16</v>
      </c>
      <c r="H4798" s="6">
        <v>200</v>
      </c>
      <c r="I4798" s="6">
        <v>200</v>
      </c>
      <c r="J4798" s="6"/>
      <c r="K4798" s="10"/>
      <c r="L4798" s="10">
        <v>20201118</v>
      </c>
      <c r="M4798" s="36" t="str">
        <f t="shared" si="74"/>
        <v>19750214</v>
      </c>
    </row>
    <row r="4799" s="1" customFormat="1" spans="1:13">
      <c r="A4799" s="2">
        <v>3222</v>
      </c>
      <c r="B4799" s="3" t="s">
        <v>6671</v>
      </c>
      <c r="C4799" s="9" t="s">
        <v>6950</v>
      </c>
      <c r="D4799" s="9" t="s">
        <v>6951</v>
      </c>
      <c r="E4799" s="3" t="s">
        <v>15</v>
      </c>
      <c r="F4799" s="3" t="s">
        <v>15</v>
      </c>
      <c r="G4799" s="6" t="s">
        <v>3359</v>
      </c>
      <c r="H4799" s="9">
        <v>200</v>
      </c>
      <c r="I4799" s="9">
        <v>200</v>
      </c>
      <c r="J4799" s="6"/>
      <c r="K4799" s="5"/>
      <c r="L4799" s="10">
        <v>20201118</v>
      </c>
      <c r="M4799" s="36" t="str">
        <f t="shared" si="74"/>
        <v>19750214</v>
      </c>
    </row>
    <row r="4800" s="1" customFormat="1" spans="1:13">
      <c r="A4800" s="2">
        <v>5848</v>
      </c>
      <c r="B4800" s="30" t="s">
        <v>11090</v>
      </c>
      <c r="C4800" s="30" t="s">
        <v>11760</v>
      </c>
      <c r="D4800" s="30" t="s">
        <v>11761</v>
      </c>
      <c r="E4800" s="5" t="s">
        <v>15</v>
      </c>
      <c r="F4800" s="5" t="s">
        <v>10250</v>
      </c>
      <c r="G4800" s="6" t="s">
        <v>16</v>
      </c>
      <c r="H4800" s="32">
        <v>500</v>
      </c>
      <c r="I4800" s="32">
        <v>500</v>
      </c>
      <c r="J4800" s="6"/>
      <c r="K4800" s="48"/>
      <c r="L4800" s="10">
        <v>20201118</v>
      </c>
      <c r="M4800" s="36" t="str">
        <f t="shared" si="74"/>
        <v>19750214</v>
      </c>
    </row>
    <row r="4801" s="1" customFormat="1" spans="1:13">
      <c r="A4801" s="2">
        <v>1675</v>
      </c>
      <c r="B4801" s="5" t="s">
        <v>3381</v>
      </c>
      <c r="C4801" s="9" t="s">
        <v>3912</v>
      </c>
      <c r="D4801" s="9" t="s">
        <v>3913</v>
      </c>
      <c r="E4801" s="5">
        <v>2020</v>
      </c>
      <c r="F4801" s="5">
        <v>2020</v>
      </c>
      <c r="G4801" s="14" t="s">
        <v>16</v>
      </c>
      <c r="H4801" s="6">
        <v>200</v>
      </c>
      <c r="I4801" s="6">
        <v>200</v>
      </c>
      <c r="J4801" s="5"/>
      <c r="K4801" s="13"/>
      <c r="L4801" s="10">
        <v>20201118</v>
      </c>
      <c r="M4801" s="36" t="str">
        <f t="shared" si="74"/>
        <v>19750216</v>
      </c>
    </row>
    <row r="4802" s="1" customFormat="1" spans="1:13">
      <c r="A4802" s="2">
        <v>1969</v>
      </c>
      <c r="B4802" s="5" t="s">
        <v>4189</v>
      </c>
      <c r="C4802" s="16" t="s">
        <v>3786</v>
      </c>
      <c r="D4802" s="16" t="s">
        <v>4497</v>
      </c>
      <c r="E4802" s="5" t="s">
        <v>15</v>
      </c>
      <c r="F4802" s="5" t="s">
        <v>15</v>
      </c>
      <c r="G4802" s="5" t="s">
        <v>3359</v>
      </c>
      <c r="H4802" s="16">
        <v>500</v>
      </c>
      <c r="I4802" s="16">
        <v>500</v>
      </c>
      <c r="J4802" s="5"/>
      <c r="K4802" s="10"/>
      <c r="L4802" s="10">
        <v>20201118</v>
      </c>
      <c r="M4802" s="36" t="str">
        <f t="shared" ref="M4802:M4865" si="75">MID(D4802,7,8)</f>
        <v>19750217</v>
      </c>
    </row>
    <row r="4803" s="1" customFormat="1" ht="14.25" spans="1:13">
      <c r="A4803" s="2">
        <v>2869</v>
      </c>
      <c r="B4803" s="6" t="s">
        <v>6075</v>
      </c>
      <c r="C4803" s="25" t="s">
        <v>6267</v>
      </c>
      <c r="D4803" s="26" t="s">
        <v>6268</v>
      </c>
      <c r="E4803" s="5" t="s">
        <v>15</v>
      </c>
      <c r="F4803" s="5">
        <v>2020</v>
      </c>
      <c r="G4803" s="6" t="s">
        <v>16</v>
      </c>
      <c r="H4803" s="6">
        <v>200</v>
      </c>
      <c r="I4803" s="6">
        <v>200</v>
      </c>
      <c r="J4803" s="6"/>
      <c r="K4803" s="10"/>
      <c r="L4803" s="10">
        <v>20201118</v>
      </c>
      <c r="M4803" s="36" t="str">
        <f t="shared" si="75"/>
        <v>19750218</v>
      </c>
    </row>
    <row r="4804" s="1" customFormat="1" spans="1:13">
      <c r="A4804" s="2">
        <v>4316</v>
      </c>
      <c r="B4804" s="9" t="s">
        <v>8515</v>
      </c>
      <c r="C4804" s="9" t="s">
        <v>8824</v>
      </c>
      <c r="D4804" s="9" t="s">
        <v>8825</v>
      </c>
      <c r="E4804" s="5" t="s">
        <v>15</v>
      </c>
      <c r="F4804" s="5">
        <v>2020</v>
      </c>
      <c r="G4804" s="9" t="s">
        <v>2480</v>
      </c>
      <c r="H4804" s="9">
        <v>200</v>
      </c>
      <c r="I4804" s="9">
        <v>200</v>
      </c>
      <c r="J4804" s="9"/>
      <c r="K4804" s="9"/>
      <c r="L4804" s="10">
        <v>20201118</v>
      </c>
      <c r="M4804" s="36" t="str">
        <f t="shared" si="75"/>
        <v>19750218</v>
      </c>
    </row>
    <row r="4805" s="1" customFormat="1" spans="1:13">
      <c r="A4805" s="2">
        <v>627</v>
      </c>
      <c r="B4805" s="29" t="s">
        <v>1040</v>
      </c>
      <c r="C4805" s="29" t="s">
        <v>1535</v>
      </c>
      <c r="D4805" s="29" t="s">
        <v>1536</v>
      </c>
      <c r="E4805" s="30">
        <v>2020</v>
      </c>
      <c r="F4805" s="30">
        <v>2020</v>
      </c>
      <c r="G4805" s="29" t="s">
        <v>16</v>
      </c>
      <c r="H4805" s="29">
        <v>200</v>
      </c>
      <c r="I4805" s="29">
        <v>200</v>
      </c>
      <c r="J4805" s="29"/>
      <c r="K4805" s="47"/>
      <c r="L4805" s="2" t="s">
        <v>330</v>
      </c>
      <c r="M4805" s="36" t="str">
        <f t="shared" si="75"/>
        <v>19750219</v>
      </c>
    </row>
    <row r="4806" s="1" customFormat="1" spans="1:13">
      <c r="A4806" s="2">
        <v>87</v>
      </c>
      <c r="B4806" s="3" t="s">
        <v>12</v>
      </c>
      <c r="C4806" s="6" t="s">
        <v>190</v>
      </c>
      <c r="D4806" s="6" t="s">
        <v>191</v>
      </c>
      <c r="E4806" s="3" t="s">
        <v>15</v>
      </c>
      <c r="F4806" s="3" t="s">
        <v>15</v>
      </c>
      <c r="G4806" s="2" t="s">
        <v>16</v>
      </c>
      <c r="H4806" s="3">
        <v>200</v>
      </c>
      <c r="I4806" s="3">
        <v>200</v>
      </c>
      <c r="J4806" s="3"/>
      <c r="K4806" s="3"/>
      <c r="L4806" s="10">
        <v>20201118</v>
      </c>
      <c r="M4806" s="36" t="str">
        <f t="shared" si="75"/>
        <v>19750220</v>
      </c>
    </row>
    <row r="4807" s="1" customFormat="1" spans="1:13">
      <c r="A4807" s="2">
        <v>1971</v>
      </c>
      <c r="B4807" s="5" t="s">
        <v>4189</v>
      </c>
      <c r="C4807" s="16" t="s">
        <v>4500</v>
      </c>
      <c r="D4807" s="16" t="s">
        <v>4501</v>
      </c>
      <c r="E4807" s="5" t="s">
        <v>15</v>
      </c>
      <c r="F4807" s="5" t="s">
        <v>15</v>
      </c>
      <c r="G4807" s="5" t="s">
        <v>3359</v>
      </c>
      <c r="H4807" s="16">
        <v>200</v>
      </c>
      <c r="I4807" s="16">
        <v>200</v>
      </c>
      <c r="J4807" s="5"/>
      <c r="K4807" s="10"/>
      <c r="L4807" s="10">
        <v>20201118</v>
      </c>
      <c r="M4807" s="36" t="str">
        <f t="shared" si="75"/>
        <v>19750222</v>
      </c>
    </row>
    <row r="4808" s="1" customFormat="1" spans="1:13">
      <c r="A4808" s="2">
        <v>3360</v>
      </c>
      <c r="B4808" s="5" t="s">
        <v>3375</v>
      </c>
      <c r="C4808" s="6" t="s">
        <v>7135</v>
      </c>
      <c r="D4808" s="6" t="str">
        <f>"152326197502246876"</f>
        <v>152326197502246876</v>
      </c>
      <c r="E4808" s="5" t="s">
        <v>15</v>
      </c>
      <c r="F4808" s="5">
        <v>2020</v>
      </c>
      <c r="G4808" s="14" t="s">
        <v>16</v>
      </c>
      <c r="H4808" s="17">
        <v>200</v>
      </c>
      <c r="I4808" s="17">
        <v>200</v>
      </c>
      <c r="J4808" s="6"/>
      <c r="K4808" s="10"/>
      <c r="L4808" s="10">
        <v>20201118</v>
      </c>
      <c r="M4808" s="36" t="str">
        <f t="shared" si="75"/>
        <v>19750224</v>
      </c>
    </row>
    <row r="4809" s="1" customFormat="1" spans="1:13">
      <c r="A4809" s="2">
        <v>7225</v>
      </c>
      <c r="B4809" s="5" t="s">
        <v>13908</v>
      </c>
      <c r="C4809" s="5" t="s">
        <v>1627</v>
      </c>
      <c r="D4809" s="5" t="s">
        <v>14096</v>
      </c>
      <c r="E4809" s="5" t="s">
        <v>15</v>
      </c>
      <c r="F4809" s="5" t="s">
        <v>15</v>
      </c>
      <c r="G4809" s="14" t="s">
        <v>16</v>
      </c>
      <c r="H4809" s="17">
        <v>200</v>
      </c>
      <c r="I4809" s="17">
        <v>200</v>
      </c>
      <c r="J4809" s="5"/>
      <c r="K4809" s="10"/>
      <c r="L4809" s="10">
        <v>20201118</v>
      </c>
      <c r="M4809" s="36" t="str">
        <f t="shared" si="75"/>
        <v>19750224</v>
      </c>
    </row>
    <row r="4810" s="1" customFormat="1" spans="1:13">
      <c r="A4810" s="2">
        <v>449</v>
      </c>
      <c r="B4810" s="29" t="s">
        <v>1040</v>
      </c>
      <c r="C4810" s="29" t="s">
        <v>1174</v>
      </c>
      <c r="D4810" s="29" t="s">
        <v>1175</v>
      </c>
      <c r="E4810" s="30">
        <v>2020</v>
      </c>
      <c r="F4810" s="30">
        <v>2020</v>
      </c>
      <c r="G4810" s="29" t="s">
        <v>16</v>
      </c>
      <c r="H4810" s="29">
        <v>200</v>
      </c>
      <c r="I4810" s="29">
        <v>200</v>
      </c>
      <c r="J4810" s="29"/>
      <c r="K4810" s="47"/>
      <c r="L4810" s="14" t="s">
        <v>330</v>
      </c>
      <c r="M4810" s="36" t="str">
        <f t="shared" si="75"/>
        <v>19750228</v>
      </c>
    </row>
    <row r="4811" s="1" customFormat="1" ht="14.25" spans="1:13">
      <c r="A4811" s="2">
        <v>2997</v>
      </c>
      <c r="B4811" s="6" t="s">
        <v>6075</v>
      </c>
      <c r="C4811" s="25" t="s">
        <v>6519</v>
      </c>
      <c r="D4811" s="26" t="s">
        <v>6520</v>
      </c>
      <c r="E4811" s="5" t="s">
        <v>15</v>
      </c>
      <c r="F4811" s="5">
        <v>2020</v>
      </c>
      <c r="G4811" s="6" t="s">
        <v>16</v>
      </c>
      <c r="H4811" s="6">
        <v>200</v>
      </c>
      <c r="I4811" s="6">
        <v>200</v>
      </c>
      <c r="J4811" s="6"/>
      <c r="K4811" s="10"/>
      <c r="L4811" s="10">
        <v>20201118</v>
      </c>
      <c r="M4811" s="36" t="str">
        <f t="shared" si="75"/>
        <v>19750228</v>
      </c>
    </row>
    <row r="4812" s="1" customFormat="1" spans="1:13">
      <c r="A4812" s="2">
        <v>89</v>
      </c>
      <c r="B4812" s="3" t="s">
        <v>12</v>
      </c>
      <c r="C4812" s="6" t="s">
        <v>194</v>
      </c>
      <c r="D4812" s="6" t="s">
        <v>195</v>
      </c>
      <c r="E4812" s="3" t="s">
        <v>15</v>
      </c>
      <c r="F4812" s="3" t="s">
        <v>15</v>
      </c>
      <c r="G4812" s="2" t="s">
        <v>16</v>
      </c>
      <c r="H4812" s="3">
        <v>500</v>
      </c>
      <c r="I4812" s="3">
        <v>500</v>
      </c>
      <c r="J4812" s="3"/>
      <c r="K4812" s="3"/>
      <c r="L4812" s="10">
        <v>20201118</v>
      </c>
      <c r="M4812" s="36" t="str">
        <f t="shared" si="75"/>
        <v>19750301</v>
      </c>
    </row>
    <row r="4813" s="1" customFormat="1" spans="1:13">
      <c r="A4813" s="2">
        <v>3227</v>
      </c>
      <c r="B4813" s="3" t="s">
        <v>6671</v>
      </c>
      <c r="C4813" s="9" t="s">
        <v>6959</v>
      </c>
      <c r="D4813" s="9" t="s">
        <v>6960</v>
      </c>
      <c r="E4813" s="3" t="s">
        <v>15</v>
      </c>
      <c r="F4813" s="3" t="s">
        <v>15</v>
      </c>
      <c r="G4813" s="6" t="s">
        <v>3359</v>
      </c>
      <c r="H4813" s="9">
        <v>200</v>
      </c>
      <c r="I4813" s="9">
        <v>200</v>
      </c>
      <c r="J4813" s="6" t="s">
        <v>108</v>
      </c>
      <c r="K4813" s="5"/>
      <c r="L4813" s="10">
        <v>20201118</v>
      </c>
      <c r="M4813" s="36" t="str">
        <f t="shared" si="75"/>
        <v>19750301</v>
      </c>
    </row>
    <row r="4814" s="1" customFormat="1" spans="1:13">
      <c r="A4814" s="2">
        <v>4317</v>
      </c>
      <c r="B4814" s="9" t="s">
        <v>8515</v>
      </c>
      <c r="C4814" s="9" t="s">
        <v>8826</v>
      </c>
      <c r="D4814" s="9" t="s">
        <v>8827</v>
      </c>
      <c r="E4814" s="5" t="s">
        <v>15</v>
      </c>
      <c r="F4814" s="5">
        <v>2020</v>
      </c>
      <c r="G4814" s="9" t="s">
        <v>2480</v>
      </c>
      <c r="H4814" s="9">
        <v>200</v>
      </c>
      <c r="I4814" s="9">
        <v>200</v>
      </c>
      <c r="J4814" s="9"/>
      <c r="K4814" s="9"/>
      <c r="L4814" s="10">
        <v>20201118</v>
      </c>
      <c r="M4814" s="36" t="str">
        <f t="shared" si="75"/>
        <v>19750301</v>
      </c>
    </row>
    <row r="4815" s="1" customFormat="1" spans="1:13">
      <c r="A4815" s="2">
        <v>760</v>
      </c>
      <c r="B4815" s="29" t="s">
        <v>1040</v>
      </c>
      <c r="C4815" s="5" t="s">
        <v>1930</v>
      </c>
      <c r="D4815" s="317" t="s">
        <v>1931</v>
      </c>
      <c r="E4815" s="30">
        <v>2020</v>
      </c>
      <c r="F4815" s="30">
        <v>2020</v>
      </c>
      <c r="G4815" s="29" t="s">
        <v>16</v>
      </c>
      <c r="H4815" s="29">
        <v>200</v>
      </c>
      <c r="I4815" s="29">
        <v>200</v>
      </c>
      <c r="J4815" s="32"/>
      <c r="K4815" s="32"/>
      <c r="L4815" s="2" t="s">
        <v>330</v>
      </c>
      <c r="M4815" s="36" t="str">
        <f t="shared" si="75"/>
        <v>19750302</v>
      </c>
    </row>
    <row r="4816" s="1" customFormat="1" spans="1:13">
      <c r="A4816" s="2">
        <v>4318</v>
      </c>
      <c r="B4816" s="9" t="s">
        <v>8515</v>
      </c>
      <c r="C4816" s="9" t="s">
        <v>884</v>
      </c>
      <c r="D4816" s="9" t="s">
        <v>8828</v>
      </c>
      <c r="E4816" s="5" t="s">
        <v>15</v>
      </c>
      <c r="F4816" s="5">
        <v>2020</v>
      </c>
      <c r="G4816" s="9" t="s">
        <v>2480</v>
      </c>
      <c r="H4816" s="9">
        <v>200</v>
      </c>
      <c r="I4816" s="9">
        <v>200</v>
      </c>
      <c r="J4816" s="9"/>
      <c r="K4816" s="9"/>
      <c r="L4816" s="10">
        <v>20201118</v>
      </c>
      <c r="M4816" s="36" t="str">
        <f t="shared" si="75"/>
        <v>19750304</v>
      </c>
    </row>
    <row r="4817" s="1" customFormat="1" spans="1:13">
      <c r="A4817" s="2">
        <v>4720</v>
      </c>
      <c r="B4817" s="6" t="s">
        <v>9015</v>
      </c>
      <c r="C4817" s="6" t="s">
        <v>9597</v>
      </c>
      <c r="D4817" s="6" t="s">
        <v>9598</v>
      </c>
      <c r="E4817" s="6">
        <v>2020</v>
      </c>
      <c r="F4817" s="6">
        <v>2020</v>
      </c>
      <c r="G4817" s="6" t="s">
        <v>16</v>
      </c>
      <c r="H4817" s="6">
        <v>200</v>
      </c>
      <c r="I4817" s="6">
        <v>200</v>
      </c>
      <c r="J4817" s="6"/>
      <c r="K4817" s="6"/>
      <c r="L4817" s="10">
        <v>20201118</v>
      </c>
      <c r="M4817" s="36" t="str">
        <f t="shared" si="75"/>
        <v>19750304</v>
      </c>
    </row>
    <row r="4818" s="1" customFormat="1" spans="1:13">
      <c r="A4818" s="2">
        <v>4319</v>
      </c>
      <c r="B4818" s="9" t="s">
        <v>8515</v>
      </c>
      <c r="C4818" s="9" t="s">
        <v>8829</v>
      </c>
      <c r="D4818" s="9" t="s">
        <v>8830</v>
      </c>
      <c r="E4818" s="5" t="s">
        <v>15</v>
      </c>
      <c r="F4818" s="5">
        <v>2020</v>
      </c>
      <c r="G4818" s="9" t="s">
        <v>2480</v>
      </c>
      <c r="H4818" s="9">
        <v>200</v>
      </c>
      <c r="I4818" s="9">
        <v>200</v>
      </c>
      <c r="J4818" s="9"/>
      <c r="K4818" s="9"/>
      <c r="L4818" s="10">
        <v>20201118</v>
      </c>
      <c r="M4818" s="36" t="str">
        <f t="shared" si="75"/>
        <v>19750305</v>
      </c>
    </row>
    <row r="4819" s="1" customFormat="1" ht="14.25" spans="1:13">
      <c r="A4819" s="2">
        <v>5359</v>
      </c>
      <c r="B4819" s="33" t="s">
        <v>10535</v>
      </c>
      <c r="C4819" s="34" t="s">
        <v>1624</v>
      </c>
      <c r="D4819" s="34" t="s">
        <v>10830</v>
      </c>
      <c r="E4819" s="35">
        <v>2020</v>
      </c>
      <c r="F4819" s="35">
        <v>2020</v>
      </c>
      <c r="G4819" s="35" t="s">
        <v>16</v>
      </c>
      <c r="H4819" s="34">
        <v>200</v>
      </c>
      <c r="I4819" s="34">
        <v>200</v>
      </c>
      <c r="J4819" s="49"/>
      <c r="K4819" s="10"/>
      <c r="L4819" s="10">
        <v>20201118</v>
      </c>
      <c r="M4819" s="36" t="str">
        <f t="shared" si="75"/>
        <v>19750305</v>
      </c>
    </row>
    <row r="4820" s="1" customFormat="1" spans="1:13">
      <c r="A4820" s="2">
        <v>630</v>
      </c>
      <c r="B4820" s="29" t="s">
        <v>1040</v>
      </c>
      <c r="C4820" s="29" t="s">
        <v>1543</v>
      </c>
      <c r="D4820" s="29" t="s">
        <v>1544</v>
      </c>
      <c r="E4820" s="30">
        <v>2020</v>
      </c>
      <c r="F4820" s="30">
        <v>2020</v>
      </c>
      <c r="G4820" s="29" t="s">
        <v>16</v>
      </c>
      <c r="H4820" s="29">
        <v>200</v>
      </c>
      <c r="I4820" s="29">
        <v>200</v>
      </c>
      <c r="J4820" s="29"/>
      <c r="K4820" s="47"/>
      <c r="L4820" s="2" t="s">
        <v>330</v>
      </c>
      <c r="M4820" s="36" t="str">
        <f t="shared" si="75"/>
        <v>19750306</v>
      </c>
    </row>
    <row r="4821" s="1" customFormat="1" spans="1:13">
      <c r="A4821" s="2">
        <v>5139</v>
      </c>
      <c r="B4821" s="6" t="s">
        <v>10242</v>
      </c>
      <c r="C4821" s="9" t="s">
        <v>10404</v>
      </c>
      <c r="D4821" s="9" t="s">
        <v>10405</v>
      </c>
      <c r="E4821" s="5" t="s">
        <v>10250</v>
      </c>
      <c r="F4821" s="5">
        <v>2020</v>
      </c>
      <c r="G4821" s="6" t="s">
        <v>16</v>
      </c>
      <c r="H4821" s="6">
        <v>200</v>
      </c>
      <c r="I4821" s="6">
        <v>200</v>
      </c>
      <c r="J4821" s="6"/>
      <c r="K4821" s="5"/>
      <c r="L4821" s="10">
        <v>20201118</v>
      </c>
      <c r="M4821" s="36" t="str">
        <f t="shared" si="75"/>
        <v>19750309</v>
      </c>
    </row>
    <row r="4822" s="1" customFormat="1" spans="1:13">
      <c r="A4822" s="2">
        <v>4320</v>
      </c>
      <c r="B4822" s="9" t="s">
        <v>8515</v>
      </c>
      <c r="C4822" s="9" t="s">
        <v>8592</v>
      </c>
      <c r="D4822" s="9" t="s">
        <v>8831</v>
      </c>
      <c r="E4822" s="5" t="s">
        <v>15</v>
      </c>
      <c r="F4822" s="5">
        <v>2020</v>
      </c>
      <c r="G4822" s="9" t="s">
        <v>2480</v>
      </c>
      <c r="H4822" s="9">
        <v>200</v>
      </c>
      <c r="I4822" s="9">
        <v>200</v>
      </c>
      <c r="J4822" s="9"/>
      <c r="K4822" s="9"/>
      <c r="L4822" s="10">
        <v>20201118</v>
      </c>
      <c r="M4822" s="36" t="str">
        <f t="shared" si="75"/>
        <v>19750310</v>
      </c>
    </row>
    <row r="4823" s="1" customFormat="1" spans="1:13">
      <c r="A4823" s="2">
        <v>6396</v>
      </c>
      <c r="B4823" s="5" t="s">
        <v>12263</v>
      </c>
      <c r="C4823" s="5" t="s">
        <v>12802</v>
      </c>
      <c r="D4823" s="5" t="s">
        <v>12803</v>
      </c>
      <c r="E4823" s="5" t="s">
        <v>10250</v>
      </c>
      <c r="F4823" s="5">
        <v>2020</v>
      </c>
      <c r="G4823" s="17" t="s">
        <v>3359</v>
      </c>
      <c r="H4823" s="5" t="s">
        <v>311</v>
      </c>
      <c r="I4823" s="5">
        <v>200</v>
      </c>
      <c r="J4823" s="5"/>
      <c r="K4823" s="5"/>
      <c r="L4823" s="10">
        <v>20201118</v>
      </c>
      <c r="M4823" s="36" t="str">
        <f t="shared" si="75"/>
        <v>19750311</v>
      </c>
    </row>
    <row r="4824" s="1" customFormat="1" spans="1:13">
      <c r="A4824" s="2">
        <v>8215</v>
      </c>
      <c r="B4824" s="5" t="s">
        <v>15406</v>
      </c>
      <c r="C4824" s="6" t="s">
        <v>5504</v>
      </c>
      <c r="D4824" s="293" t="s">
        <v>15613</v>
      </c>
      <c r="E4824" s="5" t="s">
        <v>15</v>
      </c>
      <c r="F4824" s="5">
        <v>2020</v>
      </c>
      <c r="G4824" s="14" t="s">
        <v>189</v>
      </c>
      <c r="H4824" s="6">
        <v>200</v>
      </c>
      <c r="I4824" s="6">
        <v>200</v>
      </c>
      <c r="J4824" s="5"/>
      <c r="K4824" s="10"/>
      <c r="L4824" s="10">
        <v>20201118</v>
      </c>
      <c r="M4824" s="36" t="str">
        <f t="shared" si="75"/>
        <v>19750311</v>
      </c>
    </row>
    <row r="4825" s="1" customFormat="1" ht="14.25" spans="1:13">
      <c r="A4825" s="2">
        <v>3013</v>
      </c>
      <c r="B4825" s="6" t="s">
        <v>6075</v>
      </c>
      <c r="C4825" s="25" t="s">
        <v>6550</v>
      </c>
      <c r="D4825" s="26" t="s">
        <v>6551</v>
      </c>
      <c r="E4825" s="5" t="s">
        <v>15</v>
      </c>
      <c r="F4825" s="5">
        <v>2020</v>
      </c>
      <c r="G4825" s="6" t="s">
        <v>16</v>
      </c>
      <c r="H4825" s="6">
        <v>200</v>
      </c>
      <c r="I4825" s="6">
        <v>200</v>
      </c>
      <c r="J4825" s="6" t="s">
        <v>6097</v>
      </c>
      <c r="K4825" s="10"/>
      <c r="L4825" s="10">
        <v>20201118</v>
      </c>
      <c r="M4825" s="36" t="str">
        <f t="shared" si="75"/>
        <v>19750312</v>
      </c>
    </row>
    <row r="4826" s="1" customFormat="1" spans="1:13">
      <c r="A4826" s="2">
        <v>4321</v>
      </c>
      <c r="B4826" s="9" t="s">
        <v>8515</v>
      </c>
      <c r="C4826" s="9" t="s">
        <v>8832</v>
      </c>
      <c r="D4826" s="9" t="s">
        <v>8833</v>
      </c>
      <c r="E4826" s="5" t="s">
        <v>15</v>
      </c>
      <c r="F4826" s="5">
        <v>2020</v>
      </c>
      <c r="G4826" s="9" t="s">
        <v>2480</v>
      </c>
      <c r="H4826" s="9">
        <v>200</v>
      </c>
      <c r="I4826" s="9">
        <v>200</v>
      </c>
      <c r="J4826" s="9"/>
      <c r="K4826" s="9"/>
      <c r="L4826" s="10">
        <v>20201118</v>
      </c>
      <c r="M4826" s="36" t="str">
        <f t="shared" si="75"/>
        <v>19750312</v>
      </c>
    </row>
    <row r="4827" s="1" customFormat="1" spans="1:13">
      <c r="A4827" s="2">
        <v>1147</v>
      </c>
      <c r="B4827" s="5" t="s">
        <v>2469</v>
      </c>
      <c r="C4827" s="9" t="s">
        <v>2879</v>
      </c>
      <c r="D4827" s="9" t="s">
        <v>2880</v>
      </c>
      <c r="E4827" s="5">
        <v>2020</v>
      </c>
      <c r="F4827" s="5">
        <v>2020</v>
      </c>
      <c r="G4827" s="9" t="s">
        <v>2480</v>
      </c>
      <c r="H4827" s="9">
        <v>200</v>
      </c>
      <c r="I4827" s="9">
        <v>200</v>
      </c>
      <c r="J4827" s="5"/>
      <c r="K4827" s="5"/>
      <c r="L4827" s="10">
        <v>20201118</v>
      </c>
      <c r="M4827" s="36" t="str">
        <f t="shared" si="75"/>
        <v>19750317</v>
      </c>
    </row>
    <row r="4828" s="1" customFormat="1" spans="1:13">
      <c r="A4828" s="2">
        <v>2292</v>
      </c>
      <c r="B4828" s="9" t="s">
        <v>4837</v>
      </c>
      <c r="C4828" s="9" t="s">
        <v>5126</v>
      </c>
      <c r="D4828" s="9" t="s">
        <v>5127</v>
      </c>
      <c r="E4828" s="6" t="s">
        <v>15</v>
      </c>
      <c r="F4828" s="6">
        <v>2020</v>
      </c>
      <c r="G4828" s="9" t="s">
        <v>2480</v>
      </c>
      <c r="H4828" s="9">
        <v>500</v>
      </c>
      <c r="I4828" s="9">
        <v>500</v>
      </c>
      <c r="J4828" s="6"/>
      <c r="K4828" s="10"/>
      <c r="L4828" s="10">
        <v>20201118</v>
      </c>
      <c r="M4828" s="36" t="str">
        <f t="shared" si="75"/>
        <v>19750317</v>
      </c>
    </row>
    <row r="4829" s="1" customFormat="1" spans="1:13">
      <c r="A4829" s="2">
        <v>6877</v>
      </c>
      <c r="B4829" s="5" t="s">
        <v>13533</v>
      </c>
      <c r="C4829" s="32" t="s">
        <v>1852</v>
      </c>
      <c r="D4829" s="32" t="str">
        <f>"152326197503187118"</f>
        <v>152326197503187118</v>
      </c>
      <c r="E4829" s="5">
        <v>2020</v>
      </c>
      <c r="F4829" s="5">
        <v>2020</v>
      </c>
      <c r="G4829" s="9" t="s">
        <v>2480</v>
      </c>
      <c r="H4829" s="32">
        <v>200</v>
      </c>
      <c r="I4829" s="32">
        <v>200</v>
      </c>
      <c r="J4829" s="32"/>
      <c r="K4829" s="10"/>
      <c r="L4829" s="10">
        <v>20201118</v>
      </c>
      <c r="M4829" s="36" t="str">
        <f t="shared" si="75"/>
        <v>19750318</v>
      </c>
    </row>
    <row r="4830" s="1" customFormat="1" spans="1:13">
      <c r="A4830" s="2">
        <v>3354</v>
      </c>
      <c r="B4830" s="5" t="s">
        <v>3375</v>
      </c>
      <c r="C4830" s="6" t="s">
        <v>5265</v>
      </c>
      <c r="D4830" s="6" t="s">
        <v>7129</v>
      </c>
      <c r="E4830" s="5" t="s">
        <v>15</v>
      </c>
      <c r="F4830" s="5">
        <v>2020</v>
      </c>
      <c r="G4830" s="14" t="s">
        <v>16</v>
      </c>
      <c r="H4830" s="17">
        <v>200</v>
      </c>
      <c r="I4830" s="17">
        <v>200</v>
      </c>
      <c r="J4830" s="6" t="s">
        <v>4064</v>
      </c>
      <c r="K4830" s="10"/>
      <c r="L4830" s="10">
        <v>20201118</v>
      </c>
      <c r="M4830" s="36" t="str">
        <f t="shared" si="75"/>
        <v>19750320</v>
      </c>
    </row>
    <row r="4831" s="1" customFormat="1" spans="1:13">
      <c r="A4831" s="2">
        <v>3362</v>
      </c>
      <c r="B4831" s="5" t="s">
        <v>3375</v>
      </c>
      <c r="C4831" s="6" t="s">
        <v>7138</v>
      </c>
      <c r="D4831" s="6" t="s">
        <v>7139</v>
      </c>
      <c r="E4831" s="5" t="s">
        <v>15</v>
      </c>
      <c r="F4831" s="5">
        <v>2020</v>
      </c>
      <c r="G4831" s="14" t="s">
        <v>16</v>
      </c>
      <c r="H4831" s="17">
        <v>200</v>
      </c>
      <c r="I4831" s="17">
        <v>200</v>
      </c>
      <c r="J4831" s="6" t="s">
        <v>4064</v>
      </c>
      <c r="K4831" s="10"/>
      <c r="L4831" s="10">
        <v>20201118</v>
      </c>
      <c r="M4831" s="36" t="str">
        <f t="shared" si="75"/>
        <v>19750321</v>
      </c>
    </row>
    <row r="4832" s="1" customFormat="1" spans="1:13">
      <c r="A4832" s="2">
        <v>418</v>
      </c>
      <c r="B4832" s="29" t="s">
        <v>1040</v>
      </c>
      <c r="C4832" s="29" t="s">
        <v>1112</v>
      </c>
      <c r="D4832" s="29" t="s">
        <v>1113</v>
      </c>
      <c r="E4832" s="30">
        <v>2020</v>
      </c>
      <c r="F4832" s="30">
        <v>2020</v>
      </c>
      <c r="G4832" s="29" t="s">
        <v>16</v>
      </c>
      <c r="H4832" s="29">
        <v>200</v>
      </c>
      <c r="I4832" s="29">
        <v>200</v>
      </c>
      <c r="J4832" s="29"/>
      <c r="K4832" s="47"/>
      <c r="L4832" s="2" t="s">
        <v>330</v>
      </c>
      <c r="M4832" s="36" t="str">
        <f t="shared" si="75"/>
        <v>19750323</v>
      </c>
    </row>
    <row r="4833" s="1" customFormat="1" spans="1:13">
      <c r="A4833" s="2">
        <v>3358</v>
      </c>
      <c r="B4833" s="5" t="s">
        <v>3375</v>
      </c>
      <c r="C4833" s="6" t="s">
        <v>7133</v>
      </c>
      <c r="D4833" s="6" t="str">
        <f>"152326197503236864"</f>
        <v>152326197503236864</v>
      </c>
      <c r="E4833" s="5" t="s">
        <v>15</v>
      </c>
      <c r="F4833" s="5">
        <v>2020</v>
      </c>
      <c r="G4833" s="14" t="s">
        <v>16</v>
      </c>
      <c r="H4833" s="17">
        <v>200</v>
      </c>
      <c r="I4833" s="17">
        <v>200</v>
      </c>
      <c r="J4833" s="6"/>
      <c r="K4833" s="10"/>
      <c r="L4833" s="10">
        <v>20201118</v>
      </c>
      <c r="M4833" s="36" t="str">
        <f t="shared" si="75"/>
        <v>19750323</v>
      </c>
    </row>
    <row r="4834" s="1" customFormat="1" spans="1:13">
      <c r="A4834" s="2">
        <v>7173</v>
      </c>
      <c r="B4834" s="5" t="s">
        <v>13908</v>
      </c>
      <c r="C4834" s="5" t="s">
        <v>13170</v>
      </c>
      <c r="D4834" s="5" t="s">
        <v>14001</v>
      </c>
      <c r="E4834" s="5" t="s">
        <v>15</v>
      </c>
      <c r="F4834" s="5" t="s">
        <v>15</v>
      </c>
      <c r="G4834" s="14" t="s">
        <v>16</v>
      </c>
      <c r="H4834" s="17">
        <v>200</v>
      </c>
      <c r="I4834" s="17">
        <v>200</v>
      </c>
      <c r="J4834" s="5"/>
      <c r="K4834" s="10"/>
      <c r="L4834" s="10">
        <v>20201118</v>
      </c>
      <c r="M4834" s="36" t="str">
        <f t="shared" si="75"/>
        <v>19750323</v>
      </c>
    </row>
    <row r="4835" s="1" customFormat="1" ht="14.25" spans="1:13">
      <c r="A4835" s="2">
        <v>7807</v>
      </c>
      <c r="B4835" s="5" t="s">
        <v>14875</v>
      </c>
      <c r="C4835" s="6" t="s">
        <v>15060</v>
      </c>
      <c r="D4835" s="6" t="str">
        <f>"152326197503237138"</f>
        <v>152326197503237138</v>
      </c>
      <c r="E4835" s="6" t="s">
        <v>15</v>
      </c>
      <c r="F4835" s="6">
        <v>2020</v>
      </c>
      <c r="G4835" s="24" t="s">
        <v>14877</v>
      </c>
      <c r="H4835" s="6">
        <v>500</v>
      </c>
      <c r="I4835" s="6">
        <v>500</v>
      </c>
      <c r="J4835" s="6"/>
      <c r="K4835" s="10"/>
      <c r="L4835" s="10">
        <v>20201118</v>
      </c>
      <c r="M4835" s="36" t="str">
        <f t="shared" si="75"/>
        <v>19750323</v>
      </c>
    </row>
    <row r="4836" s="1" customFormat="1" spans="1:13">
      <c r="A4836" s="2">
        <v>1990</v>
      </c>
      <c r="B4836" s="5" t="s">
        <v>4189</v>
      </c>
      <c r="C4836" s="16" t="s">
        <v>4537</v>
      </c>
      <c r="D4836" s="16" t="s">
        <v>4538</v>
      </c>
      <c r="E4836" s="5" t="s">
        <v>15</v>
      </c>
      <c r="F4836" s="5" t="s">
        <v>15</v>
      </c>
      <c r="G4836" s="5" t="s">
        <v>3359</v>
      </c>
      <c r="H4836" s="16">
        <v>200</v>
      </c>
      <c r="I4836" s="16">
        <v>200</v>
      </c>
      <c r="J4836" s="5"/>
      <c r="K4836" s="10"/>
      <c r="L4836" s="10">
        <v>20201118</v>
      </c>
      <c r="M4836" s="36" t="str">
        <f t="shared" si="75"/>
        <v>19750324</v>
      </c>
    </row>
    <row r="4837" s="1" customFormat="1" spans="1:13">
      <c r="A4837" s="2">
        <v>2666</v>
      </c>
      <c r="B4837" s="32" t="s">
        <v>5602</v>
      </c>
      <c r="C4837" s="9" t="s">
        <v>5866</v>
      </c>
      <c r="D4837" s="9" t="s">
        <v>5867</v>
      </c>
      <c r="E4837" s="32">
        <v>2020</v>
      </c>
      <c r="F4837" s="32">
        <v>2020</v>
      </c>
      <c r="G4837" s="32" t="s">
        <v>16</v>
      </c>
      <c r="H4837" s="9">
        <v>200</v>
      </c>
      <c r="I4837" s="9">
        <v>200</v>
      </c>
      <c r="J4837" s="32"/>
      <c r="K4837" s="52"/>
      <c r="L4837" s="10">
        <v>20201118</v>
      </c>
      <c r="M4837" s="36" t="str">
        <f t="shared" si="75"/>
        <v>19750324</v>
      </c>
    </row>
    <row r="4838" s="1" customFormat="1" ht="14.25" spans="1:13">
      <c r="A4838" s="2">
        <v>1751</v>
      </c>
      <c r="B4838" s="5" t="s">
        <v>3381</v>
      </c>
      <c r="C4838" s="77" t="s">
        <v>4062</v>
      </c>
      <c r="D4838" s="87" t="s">
        <v>4063</v>
      </c>
      <c r="E4838" s="5">
        <v>2020</v>
      </c>
      <c r="F4838" s="5">
        <v>2020</v>
      </c>
      <c r="G4838" s="14" t="s">
        <v>16</v>
      </c>
      <c r="H4838" s="18">
        <v>200</v>
      </c>
      <c r="I4838" s="18">
        <v>200</v>
      </c>
      <c r="J4838" s="77" t="s">
        <v>4064</v>
      </c>
      <c r="K4838" s="13"/>
      <c r="L4838" s="10">
        <v>20201118</v>
      </c>
      <c r="M4838" s="36" t="str">
        <f t="shared" si="75"/>
        <v>19750325</v>
      </c>
    </row>
    <row r="4839" s="1" customFormat="1" spans="1:13">
      <c r="A4839" s="2">
        <v>6878</v>
      </c>
      <c r="B4839" s="5" t="s">
        <v>13533</v>
      </c>
      <c r="C4839" s="32" t="s">
        <v>13627</v>
      </c>
      <c r="D4839" s="32" t="str">
        <f>"152326197503277113"</f>
        <v>152326197503277113</v>
      </c>
      <c r="E4839" s="5">
        <v>2020</v>
      </c>
      <c r="F4839" s="5">
        <v>2020</v>
      </c>
      <c r="G4839" s="9" t="s">
        <v>2480</v>
      </c>
      <c r="H4839" s="32">
        <v>200</v>
      </c>
      <c r="I4839" s="32">
        <v>200</v>
      </c>
      <c r="J4839" s="62"/>
      <c r="K4839" s="10"/>
      <c r="L4839" s="10">
        <v>20201118</v>
      </c>
      <c r="M4839" s="36" t="str">
        <f t="shared" si="75"/>
        <v>19750327</v>
      </c>
    </row>
    <row r="4840" s="1" customFormat="1" spans="1:13">
      <c r="A4840" s="2">
        <v>1676</v>
      </c>
      <c r="B4840" s="5" t="s">
        <v>3381</v>
      </c>
      <c r="C4840" s="9" t="s">
        <v>3914</v>
      </c>
      <c r="D4840" s="9" t="s">
        <v>3915</v>
      </c>
      <c r="E4840" s="5">
        <v>2020</v>
      </c>
      <c r="F4840" s="5">
        <v>2020</v>
      </c>
      <c r="G4840" s="14" t="s">
        <v>16</v>
      </c>
      <c r="H4840" s="6">
        <v>200</v>
      </c>
      <c r="I4840" s="6">
        <v>200</v>
      </c>
      <c r="J4840" s="5"/>
      <c r="K4840" s="13"/>
      <c r="L4840" s="10">
        <v>20201118</v>
      </c>
      <c r="M4840" s="36" t="str">
        <f t="shared" si="75"/>
        <v>19750329</v>
      </c>
    </row>
    <row r="4841" s="1" customFormat="1" spans="1:13">
      <c r="A4841" s="2">
        <v>7928</v>
      </c>
      <c r="B4841" s="5" t="s">
        <v>15086</v>
      </c>
      <c r="C4841" s="6" t="s">
        <v>12371</v>
      </c>
      <c r="D4841" s="6" t="str">
        <f>"152326197504026877"</f>
        <v>152326197504026877</v>
      </c>
      <c r="E4841" s="5" t="s">
        <v>15</v>
      </c>
      <c r="F4841" s="5">
        <v>2020</v>
      </c>
      <c r="G4841" s="5" t="s">
        <v>16</v>
      </c>
      <c r="H4841" s="5">
        <v>200</v>
      </c>
      <c r="I4841" s="5">
        <v>200</v>
      </c>
      <c r="J4841" s="5"/>
      <c r="K4841" s="5"/>
      <c r="L4841" s="10">
        <v>20201118</v>
      </c>
      <c r="M4841" s="36" t="str">
        <f t="shared" si="75"/>
        <v>19750402</v>
      </c>
    </row>
    <row r="4842" s="1" customFormat="1" spans="1:13">
      <c r="A4842" s="2">
        <v>7941</v>
      </c>
      <c r="B4842" s="5" t="s">
        <v>15086</v>
      </c>
      <c r="C4842" s="6" t="s">
        <v>15214</v>
      </c>
      <c r="D4842" s="6" t="str">
        <f>"152326197504026893"</f>
        <v>152326197504026893</v>
      </c>
      <c r="E4842" s="5" t="s">
        <v>15</v>
      </c>
      <c r="F4842" s="5">
        <v>2020</v>
      </c>
      <c r="G4842" s="5" t="s">
        <v>16</v>
      </c>
      <c r="H4842" s="5">
        <v>200</v>
      </c>
      <c r="I4842" s="5">
        <v>200</v>
      </c>
      <c r="J4842" s="5"/>
      <c r="K4842" s="5"/>
      <c r="L4842" s="10">
        <v>20201118</v>
      </c>
      <c r="M4842" s="36" t="str">
        <f t="shared" si="75"/>
        <v>19750402</v>
      </c>
    </row>
    <row r="4843" s="1" customFormat="1" spans="1:13">
      <c r="A4843" s="2">
        <v>237</v>
      </c>
      <c r="B4843" s="14" t="s">
        <v>327</v>
      </c>
      <c r="C4843" s="14" t="s">
        <v>597</v>
      </c>
      <c r="D4843" s="14" t="s">
        <v>598</v>
      </c>
      <c r="E4843" s="5">
        <v>2020</v>
      </c>
      <c r="F4843" s="5">
        <v>2020</v>
      </c>
      <c r="G4843" s="14" t="s">
        <v>16</v>
      </c>
      <c r="H4843" s="14">
        <v>200</v>
      </c>
      <c r="I4843" s="14">
        <v>200</v>
      </c>
      <c r="J4843" s="14"/>
      <c r="K4843" s="10"/>
      <c r="L4843" s="2" t="s">
        <v>330</v>
      </c>
      <c r="M4843" s="36" t="str">
        <f t="shared" si="75"/>
        <v>19750407</v>
      </c>
    </row>
    <row r="4844" s="1" customFormat="1" spans="1:13">
      <c r="A4844" s="2">
        <v>3361</v>
      </c>
      <c r="B4844" s="5" t="s">
        <v>3375</v>
      </c>
      <c r="C4844" s="6" t="s">
        <v>7136</v>
      </c>
      <c r="D4844" s="6" t="s">
        <v>7137</v>
      </c>
      <c r="E4844" s="5" t="s">
        <v>15</v>
      </c>
      <c r="F4844" s="5">
        <v>2020</v>
      </c>
      <c r="G4844" s="14" t="s">
        <v>16</v>
      </c>
      <c r="H4844" s="17">
        <v>200</v>
      </c>
      <c r="I4844" s="17">
        <v>200</v>
      </c>
      <c r="J4844" s="6" t="s">
        <v>4064</v>
      </c>
      <c r="K4844" s="10"/>
      <c r="L4844" s="10">
        <v>20201118</v>
      </c>
      <c r="M4844" s="36" t="str">
        <f t="shared" si="75"/>
        <v>19750410</v>
      </c>
    </row>
    <row r="4845" s="1" customFormat="1" spans="1:13">
      <c r="A4845" s="2">
        <v>3923</v>
      </c>
      <c r="B4845" s="5" t="s">
        <v>7412</v>
      </c>
      <c r="C4845" s="5" t="s">
        <v>8071</v>
      </c>
      <c r="D4845" s="5" t="s">
        <v>8072</v>
      </c>
      <c r="E4845" s="6">
        <v>2020</v>
      </c>
      <c r="F4845" s="6">
        <v>2020</v>
      </c>
      <c r="G4845" s="5" t="s">
        <v>3359</v>
      </c>
      <c r="H4845" s="5">
        <v>200</v>
      </c>
      <c r="I4845" s="5">
        <v>200</v>
      </c>
      <c r="J4845" s="5"/>
      <c r="K4845" s="5"/>
      <c r="L4845" s="10">
        <v>20201118</v>
      </c>
      <c r="M4845" s="36" t="str">
        <f t="shared" si="75"/>
        <v>19750415</v>
      </c>
    </row>
    <row r="4846" s="1" customFormat="1" spans="1:13">
      <c r="A4846" s="2">
        <v>4675</v>
      </c>
      <c r="B4846" s="6" t="s">
        <v>9015</v>
      </c>
      <c r="C4846" s="6" t="s">
        <v>9513</v>
      </c>
      <c r="D4846" s="6" t="s">
        <v>9514</v>
      </c>
      <c r="E4846" s="6">
        <v>2020</v>
      </c>
      <c r="F4846" s="6">
        <v>2020</v>
      </c>
      <c r="G4846" s="6" t="s">
        <v>16</v>
      </c>
      <c r="H4846" s="6">
        <v>200</v>
      </c>
      <c r="I4846" s="6">
        <v>200</v>
      </c>
      <c r="J4846" s="6"/>
      <c r="K4846" s="6"/>
      <c r="L4846" s="10">
        <v>20201118</v>
      </c>
      <c r="M4846" s="36" t="str">
        <f t="shared" si="75"/>
        <v>19750415</v>
      </c>
    </row>
    <row r="4847" s="1" customFormat="1" ht="14.25" spans="1:13">
      <c r="A4847" s="2">
        <v>5360</v>
      </c>
      <c r="B4847" s="33" t="s">
        <v>10535</v>
      </c>
      <c r="C4847" s="34" t="s">
        <v>10831</v>
      </c>
      <c r="D4847" s="34" t="s">
        <v>10832</v>
      </c>
      <c r="E4847" s="35">
        <v>2020</v>
      </c>
      <c r="F4847" s="35">
        <v>2020</v>
      </c>
      <c r="G4847" s="35" t="s">
        <v>16</v>
      </c>
      <c r="H4847" s="34">
        <v>200</v>
      </c>
      <c r="I4847" s="34">
        <v>200</v>
      </c>
      <c r="J4847" s="49"/>
      <c r="K4847" s="10"/>
      <c r="L4847" s="10">
        <v>20201118</v>
      </c>
      <c r="M4847" s="36" t="str">
        <f t="shared" si="75"/>
        <v>19750415</v>
      </c>
    </row>
    <row r="4848" s="1" customFormat="1" spans="1:13">
      <c r="A4848" s="2">
        <v>6669</v>
      </c>
      <c r="B4848" s="5" t="s">
        <v>13027</v>
      </c>
      <c r="C4848" s="15" t="s">
        <v>13317</v>
      </c>
      <c r="D4848" s="15" t="s">
        <v>13318</v>
      </c>
      <c r="E4848" s="5">
        <v>2020</v>
      </c>
      <c r="F4848" s="5">
        <v>2020</v>
      </c>
      <c r="G4848" s="14" t="s">
        <v>16</v>
      </c>
      <c r="H4848" s="15">
        <v>200</v>
      </c>
      <c r="I4848" s="15">
        <v>200</v>
      </c>
      <c r="J4848" s="5"/>
      <c r="K4848" s="10"/>
      <c r="L4848" s="10">
        <v>20201118</v>
      </c>
      <c r="M4848" s="36" t="str">
        <f t="shared" si="75"/>
        <v>19750415</v>
      </c>
    </row>
    <row r="4849" s="1" customFormat="1" spans="1:13">
      <c r="A4849" s="2">
        <v>1148</v>
      </c>
      <c r="B4849" s="5" t="s">
        <v>2469</v>
      </c>
      <c r="C4849" s="9" t="s">
        <v>2881</v>
      </c>
      <c r="D4849" s="9" t="s">
        <v>2882</v>
      </c>
      <c r="E4849" s="5">
        <v>2020</v>
      </c>
      <c r="F4849" s="5">
        <v>2020</v>
      </c>
      <c r="G4849" s="9" t="s">
        <v>2480</v>
      </c>
      <c r="H4849" s="9">
        <v>200</v>
      </c>
      <c r="I4849" s="9">
        <v>200</v>
      </c>
      <c r="J4849" s="5"/>
      <c r="K4849" s="5"/>
      <c r="L4849" s="10">
        <v>20201118</v>
      </c>
      <c r="M4849" s="36" t="str">
        <f t="shared" si="75"/>
        <v>19750418</v>
      </c>
    </row>
    <row r="4850" s="1" customFormat="1" spans="1:13">
      <c r="A4850" s="2">
        <v>2667</v>
      </c>
      <c r="B4850" s="32" t="s">
        <v>5602</v>
      </c>
      <c r="C4850" s="9" t="s">
        <v>5868</v>
      </c>
      <c r="D4850" s="9" t="s">
        <v>5869</v>
      </c>
      <c r="E4850" s="32">
        <v>2020</v>
      </c>
      <c r="F4850" s="32">
        <v>2020</v>
      </c>
      <c r="G4850" s="32" t="s">
        <v>16</v>
      </c>
      <c r="H4850" s="9">
        <v>200</v>
      </c>
      <c r="I4850" s="9">
        <v>200</v>
      </c>
      <c r="J4850" s="32"/>
      <c r="K4850" s="52"/>
      <c r="L4850" s="10">
        <v>20201118</v>
      </c>
      <c r="M4850" s="36" t="str">
        <f t="shared" si="75"/>
        <v>19750425</v>
      </c>
    </row>
    <row r="4851" s="1" customFormat="1" ht="14.25" spans="1:13">
      <c r="A4851" s="2">
        <v>2901</v>
      </c>
      <c r="B4851" s="6" t="s">
        <v>6075</v>
      </c>
      <c r="C4851" s="25" t="s">
        <v>6329</v>
      </c>
      <c r="D4851" s="26" t="s">
        <v>6330</v>
      </c>
      <c r="E4851" s="5" t="s">
        <v>15</v>
      </c>
      <c r="F4851" s="5">
        <v>2020</v>
      </c>
      <c r="G4851" s="6" t="s">
        <v>16</v>
      </c>
      <c r="H4851" s="6">
        <v>200</v>
      </c>
      <c r="I4851" s="6">
        <v>200</v>
      </c>
      <c r="J4851" s="6" t="s">
        <v>6097</v>
      </c>
      <c r="K4851" s="10"/>
      <c r="L4851" s="10">
        <v>20201118</v>
      </c>
      <c r="M4851" s="36" t="str">
        <f t="shared" si="75"/>
        <v>19750425</v>
      </c>
    </row>
    <row r="4852" s="1" customFormat="1" spans="1:13">
      <c r="A4852" s="2">
        <v>2128</v>
      </c>
      <c r="B4852" s="5" t="s">
        <v>4189</v>
      </c>
      <c r="C4852" s="9" t="s">
        <v>4806</v>
      </c>
      <c r="D4852" s="9" t="s">
        <v>4807</v>
      </c>
      <c r="E4852" s="5" t="s">
        <v>15</v>
      </c>
      <c r="F4852" s="5" t="s">
        <v>15</v>
      </c>
      <c r="G4852" s="5" t="s">
        <v>3359</v>
      </c>
      <c r="H4852" s="16">
        <v>200</v>
      </c>
      <c r="I4852" s="16">
        <v>200</v>
      </c>
      <c r="J4852" s="5"/>
      <c r="K4852" s="10"/>
      <c r="L4852" s="10">
        <v>20201118</v>
      </c>
      <c r="M4852" s="36" t="str">
        <f t="shared" si="75"/>
        <v>19750426</v>
      </c>
    </row>
    <row r="4853" s="1" customFormat="1" spans="1:13">
      <c r="A4853" s="2">
        <v>1384</v>
      </c>
      <c r="B4853" s="5" t="s">
        <v>2469</v>
      </c>
      <c r="C4853" s="6" t="s">
        <v>3340</v>
      </c>
      <c r="D4853" s="6" t="str">
        <f>"152326197504276876"</f>
        <v>152326197504276876</v>
      </c>
      <c r="E4853" s="5">
        <v>2020</v>
      </c>
      <c r="F4853" s="5">
        <v>2020</v>
      </c>
      <c r="G4853" s="9" t="s">
        <v>2480</v>
      </c>
      <c r="H4853" s="9">
        <v>200</v>
      </c>
      <c r="I4853" s="9">
        <v>200</v>
      </c>
      <c r="J4853" s="5"/>
      <c r="K4853" s="10"/>
      <c r="L4853" s="10">
        <v>20201118</v>
      </c>
      <c r="M4853" s="36" t="str">
        <f t="shared" si="75"/>
        <v>19750427</v>
      </c>
    </row>
    <row r="4854" s="1" customFormat="1" spans="1:13">
      <c r="A4854" s="2">
        <v>4322</v>
      </c>
      <c r="B4854" s="9" t="s">
        <v>8515</v>
      </c>
      <c r="C4854" s="9" t="s">
        <v>8834</v>
      </c>
      <c r="D4854" s="9" t="s">
        <v>8835</v>
      </c>
      <c r="E4854" s="5" t="s">
        <v>15</v>
      </c>
      <c r="F4854" s="5">
        <v>2020</v>
      </c>
      <c r="G4854" s="9" t="s">
        <v>2480</v>
      </c>
      <c r="H4854" s="9">
        <v>200</v>
      </c>
      <c r="I4854" s="9">
        <v>200</v>
      </c>
      <c r="J4854" s="9"/>
      <c r="K4854" s="9"/>
      <c r="L4854" s="10">
        <v>20201118</v>
      </c>
      <c r="M4854" s="36" t="str">
        <f t="shared" si="75"/>
        <v>19750428</v>
      </c>
    </row>
    <row r="4855" s="1" customFormat="1" spans="1:13">
      <c r="A4855" s="2">
        <v>5628</v>
      </c>
      <c r="B4855" s="30" t="s">
        <v>11090</v>
      </c>
      <c r="C4855" s="30" t="s">
        <v>11346</v>
      </c>
      <c r="D4855" s="30" t="s">
        <v>11347</v>
      </c>
      <c r="E4855" s="5" t="s">
        <v>15</v>
      </c>
      <c r="F4855" s="5" t="s">
        <v>10250</v>
      </c>
      <c r="G4855" s="6" t="s">
        <v>16</v>
      </c>
      <c r="H4855" s="32">
        <v>200</v>
      </c>
      <c r="I4855" s="32">
        <v>200</v>
      </c>
      <c r="J4855" s="6"/>
      <c r="K4855" s="48"/>
      <c r="L4855" s="10">
        <v>20201118</v>
      </c>
      <c r="M4855" s="36" t="str">
        <f t="shared" si="75"/>
        <v>19750428</v>
      </c>
    </row>
    <row r="4856" s="1" customFormat="1" spans="1:13">
      <c r="A4856" s="2">
        <v>4449</v>
      </c>
      <c r="B4856" s="6" t="s">
        <v>9015</v>
      </c>
      <c r="C4856" s="6" t="s">
        <v>9085</v>
      </c>
      <c r="D4856" s="6" t="s">
        <v>9086</v>
      </c>
      <c r="E4856" s="6">
        <v>2020</v>
      </c>
      <c r="F4856" s="6">
        <v>2020</v>
      </c>
      <c r="G4856" s="6" t="s">
        <v>16</v>
      </c>
      <c r="H4856" s="6">
        <v>200</v>
      </c>
      <c r="I4856" s="6">
        <v>200</v>
      </c>
      <c r="J4856" s="6"/>
      <c r="K4856" s="6"/>
      <c r="L4856" s="10">
        <v>20201118</v>
      </c>
      <c r="M4856" s="36" t="str">
        <f t="shared" si="75"/>
        <v>19750501</v>
      </c>
    </row>
    <row r="4857" s="1" customFormat="1" spans="1:13">
      <c r="A4857" s="2">
        <v>5140</v>
      </c>
      <c r="B4857" s="6" t="s">
        <v>10242</v>
      </c>
      <c r="C4857" s="9" t="s">
        <v>10406</v>
      </c>
      <c r="D4857" s="9" t="s">
        <v>10407</v>
      </c>
      <c r="E4857" s="5" t="s">
        <v>10250</v>
      </c>
      <c r="F4857" s="5">
        <v>2020</v>
      </c>
      <c r="G4857" s="6" t="s">
        <v>16</v>
      </c>
      <c r="H4857" s="6">
        <v>200</v>
      </c>
      <c r="I4857" s="6">
        <v>200</v>
      </c>
      <c r="J4857" s="6"/>
      <c r="K4857" s="5"/>
      <c r="L4857" s="10">
        <v>20201118</v>
      </c>
      <c r="M4857" s="36" t="str">
        <f t="shared" si="75"/>
        <v>19750501</v>
      </c>
    </row>
    <row r="4858" s="1" customFormat="1" spans="1:13">
      <c r="A4858" s="2">
        <v>2127</v>
      </c>
      <c r="B4858" s="5" t="s">
        <v>4189</v>
      </c>
      <c r="C4858" s="9" t="s">
        <v>4804</v>
      </c>
      <c r="D4858" s="9" t="s">
        <v>4805</v>
      </c>
      <c r="E4858" s="5" t="s">
        <v>15</v>
      </c>
      <c r="F4858" s="5" t="s">
        <v>15</v>
      </c>
      <c r="G4858" s="5" t="s">
        <v>3359</v>
      </c>
      <c r="H4858" s="16">
        <v>200</v>
      </c>
      <c r="I4858" s="16">
        <v>200</v>
      </c>
      <c r="J4858" s="5"/>
      <c r="K4858" s="10"/>
      <c r="L4858" s="10">
        <v>20201118</v>
      </c>
      <c r="M4858" s="36" t="str">
        <f t="shared" si="75"/>
        <v>19750504</v>
      </c>
    </row>
    <row r="4859" s="1" customFormat="1" spans="1:13">
      <c r="A4859" s="2">
        <v>5851</v>
      </c>
      <c r="B4859" s="30" t="s">
        <v>11090</v>
      </c>
      <c r="C4859" s="30" t="s">
        <v>902</v>
      </c>
      <c r="D4859" s="30" t="s">
        <v>11766</v>
      </c>
      <c r="E4859" s="5" t="s">
        <v>15</v>
      </c>
      <c r="F4859" s="5" t="s">
        <v>10250</v>
      </c>
      <c r="G4859" s="6" t="s">
        <v>16</v>
      </c>
      <c r="H4859" s="32">
        <v>200</v>
      </c>
      <c r="I4859" s="32">
        <v>200</v>
      </c>
      <c r="J4859" s="6"/>
      <c r="K4859" s="48"/>
      <c r="L4859" s="10">
        <v>20201118</v>
      </c>
      <c r="M4859" s="36" t="str">
        <f t="shared" si="75"/>
        <v>19750504</v>
      </c>
    </row>
    <row r="4860" s="1" customFormat="1" spans="1:13">
      <c r="A4860" s="2">
        <v>806</v>
      </c>
      <c r="B4860" s="29" t="s">
        <v>1040</v>
      </c>
      <c r="C4860" s="5" t="s">
        <v>2068</v>
      </c>
      <c r="D4860" s="317" t="s">
        <v>2069</v>
      </c>
      <c r="E4860" s="30">
        <v>2020</v>
      </c>
      <c r="F4860" s="30">
        <v>2020</v>
      </c>
      <c r="G4860" s="29" t="s">
        <v>16</v>
      </c>
      <c r="H4860" s="29">
        <v>200</v>
      </c>
      <c r="I4860" s="29">
        <v>200</v>
      </c>
      <c r="J4860" s="32"/>
      <c r="K4860" s="32"/>
      <c r="L4860" s="14" t="s">
        <v>330</v>
      </c>
      <c r="M4860" s="36" t="str">
        <f t="shared" si="75"/>
        <v>19750506</v>
      </c>
    </row>
    <row r="4861" s="1" customFormat="1" spans="1:13">
      <c r="A4861" s="2">
        <v>6670</v>
      </c>
      <c r="B4861" s="5" t="s">
        <v>13027</v>
      </c>
      <c r="C4861" s="15" t="s">
        <v>8832</v>
      </c>
      <c r="D4861" s="15" t="s">
        <v>13319</v>
      </c>
      <c r="E4861" s="5">
        <v>2020</v>
      </c>
      <c r="F4861" s="5">
        <v>2020</v>
      </c>
      <c r="G4861" s="14" t="s">
        <v>16</v>
      </c>
      <c r="H4861" s="15">
        <v>200</v>
      </c>
      <c r="I4861" s="15">
        <v>200</v>
      </c>
      <c r="J4861" s="5"/>
      <c r="K4861" s="10"/>
      <c r="L4861" s="10">
        <v>20201118</v>
      </c>
      <c r="M4861" s="36" t="str">
        <f t="shared" si="75"/>
        <v>19750507</v>
      </c>
    </row>
    <row r="4862" s="1" customFormat="1" spans="1:13">
      <c r="A4862" s="2">
        <v>2470</v>
      </c>
      <c r="B4862" s="5" t="s">
        <v>5328</v>
      </c>
      <c r="C4862" s="16" t="s">
        <v>5478</v>
      </c>
      <c r="D4862" s="16" t="s">
        <v>5479</v>
      </c>
      <c r="E4862" s="5" t="s">
        <v>15</v>
      </c>
      <c r="F4862" s="5" t="s">
        <v>15</v>
      </c>
      <c r="G4862" s="14" t="s">
        <v>16</v>
      </c>
      <c r="H4862" s="6">
        <v>200</v>
      </c>
      <c r="I4862" s="6">
        <v>200</v>
      </c>
      <c r="J4862" s="5"/>
      <c r="K4862" s="5"/>
      <c r="L4862" s="10">
        <v>20201118</v>
      </c>
      <c r="M4862" s="36" t="str">
        <f t="shared" si="75"/>
        <v>19750509</v>
      </c>
    </row>
    <row r="4863" s="1" customFormat="1" spans="1:13">
      <c r="A4863" s="2">
        <v>372</v>
      </c>
      <c r="B4863" s="14" t="s">
        <v>327</v>
      </c>
      <c r="C4863" s="17" t="s">
        <v>1002</v>
      </c>
      <c r="D4863" s="306" t="s">
        <v>1003</v>
      </c>
      <c r="E4863" s="5">
        <v>2020</v>
      </c>
      <c r="F4863" s="5">
        <v>2020</v>
      </c>
      <c r="G4863" s="14" t="s">
        <v>16</v>
      </c>
      <c r="H4863" s="17">
        <v>200</v>
      </c>
      <c r="I4863" s="17">
        <v>200</v>
      </c>
      <c r="J4863" s="17"/>
      <c r="K4863" s="10"/>
      <c r="L4863" s="14" t="s">
        <v>330</v>
      </c>
      <c r="M4863" s="36" t="str">
        <f t="shared" si="75"/>
        <v>19750510</v>
      </c>
    </row>
    <row r="4864" s="1" customFormat="1" spans="1:13">
      <c r="A4864" s="2">
        <v>1677</v>
      </c>
      <c r="B4864" s="5" t="s">
        <v>3381</v>
      </c>
      <c r="C4864" s="9" t="s">
        <v>3916</v>
      </c>
      <c r="D4864" s="9" t="s">
        <v>3917</v>
      </c>
      <c r="E4864" s="5">
        <v>2020</v>
      </c>
      <c r="F4864" s="5">
        <v>2020</v>
      </c>
      <c r="G4864" s="14" t="s">
        <v>16</v>
      </c>
      <c r="H4864" s="6">
        <v>200</v>
      </c>
      <c r="I4864" s="6">
        <v>200</v>
      </c>
      <c r="J4864" s="5"/>
      <c r="K4864" s="13"/>
      <c r="L4864" s="10">
        <v>20201118</v>
      </c>
      <c r="M4864" s="36" t="str">
        <f t="shared" si="75"/>
        <v>19750510</v>
      </c>
    </row>
    <row r="4865" s="1" customFormat="1" ht="14.25" spans="1:13">
      <c r="A4865" s="2">
        <v>7683</v>
      </c>
      <c r="B4865" s="5" t="s">
        <v>14875</v>
      </c>
      <c r="C4865" s="51" t="s">
        <v>11097</v>
      </c>
      <c r="D4865" s="24" t="str">
        <f>"152326197505107126"</f>
        <v>152326197505107126</v>
      </c>
      <c r="E4865" s="6" t="s">
        <v>15</v>
      </c>
      <c r="F4865" s="6">
        <v>2020</v>
      </c>
      <c r="G4865" s="24" t="s">
        <v>14877</v>
      </c>
      <c r="H4865" s="6">
        <v>200</v>
      </c>
      <c r="I4865" s="6">
        <v>200</v>
      </c>
      <c r="J4865" s="6"/>
      <c r="K4865" s="10"/>
      <c r="L4865" s="10">
        <v>20201118</v>
      </c>
      <c r="M4865" s="36" t="str">
        <f t="shared" si="75"/>
        <v>19750510</v>
      </c>
    </row>
    <row r="4866" s="1" customFormat="1" spans="1:13">
      <c r="A4866" s="2">
        <v>1400</v>
      </c>
      <c r="B4866" s="5" t="s">
        <v>2469</v>
      </c>
      <c r="C4866" s="9" t="s">
        <v>3362</v>
      </c>
      <c r="D4866" s="9" t="s">
        <v>3363</v>
      </c>
      <c r="E4866" s="5">
        <v>2018</v>
      </c>
      <c r="F4866" s="5">
        <v>2020</v>
      </c>
      <c r="G4866" s="9" t="s">
        <v>2477</v>
      </c>
      <c r="H4866" s="9">
        <v>200</v>
      </c>
      <c r="I4866" s="9">
        <v>600</v>
      </c>
      <c r="J4866" s="5"/>
      <c r="K4866" s="5"/>
      <c r="L4866" s="10">
        <v>20201118</v>
      </c>
      <c r="M4866" s="36" t="str">
        <f t="shared" ref="M4866:M4929" si="76">MID(D4866,7,8)</f>
        <v>19750512</v>
      </c>
    </row>
    <row r="4867" s="1" customFormat="1" spans="1:13">
      <c r="A4867" s="2">
        <v>7504</v>
      </c>
      <c r="B4867" s="5" t="s">
        <v>14402</v>
      </c>
      <c r="C4867" s="5" t="s">
        <v>14621</v>
      </c>
      <c r="D4867" s="5" t="s">
        <v>14622</v>
      </c>
      <c r="E4867" s="5">
        <v>2020</v>
      </c>
      <c r="F4867" s="5">
        <v>2020</v>
      </c>
      <c r="G4867" s="17" t="s">
        <v>16</v>
      </c>
      <c r="H4867" s="5">
        <v>200</v>
      </c>
      <c r="I4867" s="5">
        <v>200</v>
      </c>
      <c r="J4867" s="5"/>
      <c r="K4867" s="10"/>
      <c r="L4867" s="10">
        <v>20201118</v>
      </c>
      <c r="M4867" s="36" t="str">
        <f t="shared" si="76"/>
        <v>19750513</v>
      </c>
    </row>
    <row r="4868" s="1" customFormat="1" spans="1:13">
      <c r="A4868" s="2">
        <v>1149</v>
      </c>
      <c r="B4868" s="5" t="s">
        <v>2469</v>
      </c>
      <c r="C4868" s="9" t="s">
        <v>2883</v>
      </c>
      <c r="D4868" s="9" t="s">
        <v>2884</v>
      </c>
      <c r="E4868" s="5">
        <v>2020</v>
      </c>
      <c r="F4868" s="5">
        <v>2020</v>
      </c>
      <c r="G4868" s="9" t="s">
        <v>2480</v>
      </c>
      <c r="H4868" s="9">
        <v>200</v>
      </c>
      <c r="I4868" s="9">
        <v>200</v>
      </c>
      <c r="J4868" s="5"/>
      <c r="K4868" s="5"/>
      <c r="L4868" s="10">
        <v>20201118</v>
      </c>
      <c r="M4868" s="36" t="str">
        <f t="shared" si="76"/>
        <v>19750516</v>
      </c>
    </row>
    <row r="4869" s="1" customFormat="1" ht="14.25" spans="1:13">
      <c r="A4869" s="2">
        <v>3004</v>
      </c>
      <c r="B4869" s="6" t="s">
        <v>6075</v>
      </c>
      <c r="C4869" s="25" t="s">
        <v>6533</v>
      </c>
      <c r="D4869" s="26" t="s">
        <v>6534</v>
      </c>
      <c r="E4869" s="5" t="s">
        <v>15</v>
      </c>
      <c r="F4869" s="5">
        <v>2020</v>
      </c>
      <c r="G4869" s="6" t="s">
        <v>16</v>
      </c>
      <c r="H4869" s="6">
        <v>200</v>
      </c>
      <c r="I4869" s="6">
        <v>200</v>
      </c>
      <c r="J4869" s="6" t="s">
        <v>6097</v>
      </c>
      <c r="K4869" s="10"/>
      <c r="L4869" s="10">
        <v>20201118</v>
      </c>
      <c r="M4869" s="36" t="str">
        <f t="shared" si="76"/>
        <v>19750517</v>
      </c>
    </row>
    <row r="4870" s="1" customFormat="1" spans="1:13">
      <c r="A4870" s="2">
        <v>1678</v>
      </c>
      <c r="B4870" s="5" t="s">
        <v>3381</v>
      </c>
      <c r="C4870" s="9" t="s">
        <v>3918</v>
      </c>
      <c r="D4870" s="9" t="s">
        <v>3919</v>
      </c>
      <c r="E4870" s="5">
        <v>2020</v>
      </c>
      <c r="F4870" s="5">
        <v>2020</v>
      </c>
      <c r="G4870" s="14" t="s">
        <v>16</v>
      </c>
      <c r="H4870" s="6">
        <v>200</v>
      </c>
      <c r="I4870" s="6">
        <v>200</v>
      </c>
      <c r="J4870" s="5"/>
      <c r="K4870" s="13"/>
      <c r="L4870" s="10">
        <v>20201118</v>
      </c>
      <c r="M4870" s="36" t="str">
        <f t="shared" si="76"/>
        <v>19750519</v>
      </c>
    </row>
    <row r="4871" s="1" customFormat="1" spans="1:13">
      <c r="A4871" s="2">
        <v>1150</v>
      </c>
      <c r="B4871" s="5" t="s">
        <v>2469</v>
      </c>
      <c r="C4871" s="9" t="s">
        <v>2885</v>
      </c>
      <c r="D4871" s="9" t="s">
        <v>2886</v>
      </c>
      <c r="E4871" s="5">
        <v>2020</v>
      </c>
      <c r="F4871" s="5">
        <v>2020</v>
      </c>
      <c r="G4871" s="9" t="s">
        <v>2480</v>
      </c>
      <c r="H4871" s="9">
        <v>200</v>
      </c>
      <c r="I4871" s="9">
        <v>200</v>
      </c>
      <c r="J4871" s="5"/>
      <c r="K4871" s="5"/>
      <c r="L4871" s="10">
        <v>20201118</v>
      </c>
      <c r="M4871" s="36" t="str">
        <f t="shared" si="76"/>
        <v>19750521</v>
      </c>
    </row>
    <row r="4872" s="1" customFormat="1" spans="1:13">
      <c r="A4872" s="2">
        <v>427</v>
      </c>
      <c r="B4872" s="29" t="s">
        <v>1040</v>
      </c>
      <c r="C4872" s="29" t="s">
        <v>1130</v>
      </c>
      <c r="D4872" s="29" t="s">
        <v>1131</v>
      </c>
      <c r="E4872" s="30">
        <v>2020</v>
      </c>
      <c r="F4872" s="30">
        <v>2020</v>
      </c>
      <c r="G4872" s="29" t="s">
        <v>16</v>
      </c>
      <c r="H4872" s="29">
        <v>200</v>
      </c>
      <c r="I4872" s="29">
        <v>200</v>
      </c>
      <c r="J4872" s="29"/>
      <c r="K4872" s="47"/>
      <c r="L4872" s="14" t="s">
        <v>330</v>
      </c>
      <c r="M4872" s="36" t="str">
        <f t="shared" si="76"/>
        <v>19750523</v>
      </c>
    </row>
    <row r="4873" s="1" customFormat="1" spans="1:13">
      <c r="A4873" s="2">
        <v>3924</v>
      </c>
      <c r="B4873" s="5" t="s">
        <v>7412</v>
      </c>
      <c r="C4873" s="5" t="s">
        <v>8073</v>
      </c>
      <c r="D4873" s="5" t="s">
        <v>8074</v>
      </c>
      <c r="E4873" s="6">
        <v>2020</v>
      </c>
      <c r="F4873" s="6">
        <v>2020</v>
      </c>
      <c r="G4873" s="5" t="s">
        <v>3359</v>
      </c>
      <c r="H4873" s="5">
        <v>200</v>
      </c>
      <c r="I4873" s="5">
        <v>200</v>
      </c>
      <c r="J4873" s="5"/>
      <c r="K4873" s="5"/>
      <c r="L4873" s="10">
        <v>20201118</v>
      </c>
      <c r="M4873" s="36" t="str">
        <f t="shared" si="76"/>
        <v>19750602</v>
      </c>
    </row>
    <row r="4874" s="1" customFormat="1" spans="1:13">
      <c r="A4874" s="2">
        <v>2118</v>
      </c>
      <c r="B4874" s="5" t="s">
        <v>4189</v>
      </c>
      <c r="C4874" s="9" t="s">
        <v>4786</v>
      </c>
      <c r="D4874" s="9" t="s">
        <v>4787</v>
      </c>
      <c r="E4874" s="5" t="s">
        <v>15</v>
      </c>
      <c r="F4874" s="5" t="s">
        <v>15</v>
      </c>
      <c r="G4874" s="5" t="s">
        <v>3359</v>
      </c>
      <c r="H4874" s="16">
        <v>200</v>
      </c>
      <c r="I4874" s="16">
        <v>200</v>
      </c>
      <c r="J4874" s="5"/>
      <c r="K4874" s="10"/>
      <c r="L4874" s="10">
        <v>20201118</v>
      </c>
      <c r="M4874" s="36" t="str">
        <f t="shared" si="76"/>
        <v>19750605</v>
      </c>
    </row>
    <row r="4875" s="1" customFormat="1" spans="1:13">
      <c r="A4875" s="2">
        <v>3925</v>
      </c>
      <c r="B4875" s="5" t="s">
        <v>7412</v>
      </c>
      <c r="C4875" s="5" t="s">
        <v>8075</v>
      </c>
      <c r="D4875" s="5" t="s">
        <v>8076</v>
      </c>
      <c r="E4875" s="6">
        <v>2020</v>
      </c>
      <c r="F4875" s="6">
        <v>2020</v>
      </c>
      <c r="G4875" s="5" t="s">
        <v>3359</v>
      </c>
      <c r="H4875" s="5">
        <v>200</v>
      </c>
      <c r="I4875" s="5">
        <v>200</v>
      </c>
      <c r="J4875" s="5"/>
      <c r="K4875" s="5"/>
      <c r="L4875" s="10">
        <v>20201118</v>
      </c>
      <c r="M4875" s="36" t="str">
        <f t="shared" si="76"/>
        <v>19750605</v>
      </c>
    </row>
    <row r="4876" s="1" customFormat="1" spans="1:13">
      <c r="A4876" s="2">
        <v>6882</v>
      </c>
      <c r="B4876" s="5" t="s">
        <v>13533</v>
      </c>
      <c r="C4876" s="32" t="s">
        <v>13631</v>
      </c>
      <c r="D4876" s="32" t="str">
        <f>"152326197506057124"</f>
        <v>152326197506057124</v>
      </c>
      <c r="E4876" s="5">
        <v>2020</v>
      </c>
      <c r="F4876" s="5">
        <v>2020</v>
      </c>
      <c r="G4876" s="9" t="s">
        <v>2480</v>
      </c>
      <c r="H4876" s="32">
        <v>200</v>
      </c>
      <c r="I4876" s="32">
        <v>200</v>
      </c>
      <c r="J4876" s="32"/>
      <c r="K4876" s="10"/>
      <c r="L4876" s="10">
        <v>20201118</v>
      </c>
      <c r="M4876" s="36" t="str">
        <f t="shared" si="76"/>
        <v>19750605</v>
      </c>
    </row>
    <row r="4877" s="1" customFormat="1" spans="1:13">
      <c r="A4877" s="2">
        <v>2293</v>
      </c>
      <c r="B4877" s="9" t="s">
        <v>4837</v>
      </c>
      <c r="C4877" s="9" t="s">
        <v>2991</v>
      </c>
      <c r="D4877" s="9" t="s">
        <v>5128</v>
      </c>
      <c r="E4877" s="6" t="s">
        <v>15</v>
      </c>
      <c r="F4877" s="6">
        <v>2020</v>
      </c>
      <c r="G4877" s="9" t="s">
        <v>2480</v>
      </c>
      <c r="H4877" s="9">
        <v>200</v>
      </c>
      <c r="I4877" s="9">
        <v>200</v>
      </c>
      <c r="J4877" s="6"/>
      <c r="K4877" s="10"/>
      <c r="L4877" s="10">
        <v>20201118</v>
      </c>
      <c r="M4877" s="36" t="str">
        <f t="shared" si="76"/>
        <v>19750606</v>
      </c>
    </row>
    <row r="4878" s="1" customFormat="1" spans="1:13">
      <c r="A4878" s="2">
        <v>928</v>
      </c>
      <c r="B4878" s="29" t="s">
        <v>1040</v>
      </c>
      <c r="C4878" s="6" t="s">
        <v>2431</v>
      </c>
      <c r="D4878" s="6" t="s">
        <v>2432</v>
      </c>
      <c r="E4878" s="30">
        <v>2020</v>
      </c>
      <c r="F4878" s="30">
        <v>2020</v>
      </c>
      <c r="G4878" s="29" t="s">
        <v>16</v>
      </c>
      <c r="H4878" s="29">
        <v>200</v>
      </c>
      <c r="I4878" s="29">
        <v>200</v>
      </c>
      <c r="J4878" s="32" t="s">
        <v>1082</v>
      </c>
      <c r="K4878" s="32"/>
      <c r="L4878" s="2" t="s">
        <v>330</v>
      </c>
      <c r="M4878" s="36" t="str">
        <f t="shared" si="76"/>
        <v>19750607</v>
      </c>
    </row>
    <row r="4879" s="1" customFormat="1" spans="1:13">
      <c r="A4879" s="2">
        <v>7351</v>
      </c>
      <c r="B4879" s="5" t="s">
        <v>13908</v>
      </c>
      <c r="C4879" s="5" t="s">
        <v>14332</v>
      </c>
      <c r="D4879" s="5" t="s">
        <v>14333</v>
      </c>
      <c r="E4879" s="5" t="s">
        <v>15</v>
      </c>
      <c r="F4879" s="5" t="s">
        <v>15</v>
      </c>
      <c r="G4879" s="14" t="s">
        <v>16</v>
      </c>
      <c r="H4879" s="17">
        <v>200</v>
      </c>
      <c r="I4879" s="17">
        <v>200</v>
      </c>
      <c r="J4879" s="5"/>
      <c r="K4879" s="10"/>
      <c r="L4879" s="10">
        <v>20201118</v>
      </c>
      <c r="M4879" s="36" t="str">
        <f t="shared" si="76"/>
        <v>19750608</v>
      </c>
    </row>
    <row r="4880" s="1" customFormat="1" spans="1:13">
      <c r="A4880" s="2">
        <v>4552</v>
      </c>
      <c r="B4880" s="6" t="s">
        <v>9015</v>
      </c>
      <c r="C4880" s="6" t="s">
        <v>9283</v>
      </c>
      <c r="D4880" s="6" t="s">
        <v>9284</v>
      </c>
      <c r="E4880" s="6">
        <v>2020</v>
      </c>
      <c r="F4880" s="6">
        <v>2020</v>
      </c>
      <c r="G4880" s="6" t="s">
        <v>16</v>
      </c>
      <c r="H4880" s="6">
        <v>200</v>
      </c>
      <c r="I4880" s="6">
        <v>200</v>
      </c>
      <c r="J4880" s="6"/>
      <c r="K4880" s="6"/>
      <c r="L4880" s="10">
        <v>20201118</v>
      </c>
      <c r="M4880" s="36" t="str">
        <f t="shared" si="76"/>
        <v>19750610</v>
      </c>
    </row>
    <row r="4881" s="1" customFormat="1" ht="14.25" spans="1:13">
      <c r="A4881" s="2">
        <v>5361</v>
      </c>
      <c r="B4881" s="33" t="s">
        <v>10535</v>
      </c>
      <c r="C4881" s="34" t="s">
        <v>10833</v>
      </c>
      <c r="D4881" s="34" t="s">
        <v>10834</v>
      </c>
      <c r="E4881" s="35">
        <v>2020</v>
      </c>
      <c r="F4881" s="35">
        <v>2020</v>
      </c>
      <c r="G4881" s="35" t="s">
        <v>16</v>
      </c>
      <c r="H4881" s="34">
        <v>200</v>
      </c>
      <c r="I4881" s="34">
        <v>200</v>
      </c>
      <c r="J4881" s="49"/>
      <c r="K4881" s="10"/>
      <c r="L4881" s="10">
        <v>20201118</v>
      </c>
      <c r="M4881" s="36" t="str">
        <f t="shared" si="76"/>
        <v>19750612</v>
      </c>
    </row>
    <row r="4882" s="1" customFormat="1" spans="1:13">
      <c r="A4882" s="2">
        <v>7927</v>
      </c>
      <c r="B4882" s="5" t="s">
        <v>15086</v>
      </c>
      <c r="C4882" s="6" t="s">
        <v>15203</v>
      </c>
      <c r="D4882" s="6" t="str">
        <f>"152326197506146872"</f>
        <v>152326197506146872</v>
      </c>
      <c r="E4882" s="5" t="s">
        <v>15</v>
      </c>
      <c r="F4882" s="5">
        <v>2020</v>
      </c>
      <c r="G4882" s="5" t="s">
        <v>16</v>
      </c>
      <c r="H4882" s="5">
        <v>200</v>
      </c>
      <c r="I4882" s="5">
        <v>200</v>
      </c>
      <c r="J4882" s="5"/>
      <c r="K4882" s="5"/>
      <c r="L4882" s="10">
        <v>20201118</v>
      </c>
      <c r="M4882" s="36" t="str">
        <f t="shared" si="76"/>
        <v>19750614</v>
      </c>
    </row>
    <row r="4883" s="1" customFormat="1" spans="1:13">
      <c r="A4883" s="2">
        <v>5627</v>
      </c>
      <c r="B4883" s="30" t="s">
        <v>11090</v>
      </c>
      <c r="C4883" s="30" t="s">
        <v>11344</v>
      </c>
      <c r="D4883" s="30" t="s">
        <v>11345</v>
      </c>
      <c r="E4883" s="5" t="s">
        <v>15</v>
      </c>
      <c r="F4883" s="5" t="s">
        <v>10250</v>
      </c>
      <c r="G4883" s="6" t="s">
        <v>16</v>
      </c>
      <c r="H4883" s="32">
        <v>200</v>
      </c>
      <c r="I4883" s="32">
        <v>200</v>
      </c>
      <c r="J4883" s="6"/>
      <c r="K4883" s="48"/>
      <c r="L4883" s="10">
        <v>20201118</v>
      </c>
      <c r="M4883" s="36" t="str">
        <f t="shared" si="76"/>
        <v>19750615</v>
      </c>
    </row>
    <row r="4884" s="1" customFormat="1" spans="1:13">
      <c r="A4884" s="2">
        <v>6671</v>
      </c>
      <c r="B4884" s="5" t="s">
        <v>13027</v>
      </c>
      <c r="C4884" s="15" t="s">
        <v>13320</v>
      </c>
      <c r="D4884" s="15" t="s">
        <v>13321</v>
      </c>
      <c r="E4884" s="5">
        <v>2020</v>
      </c>
      <c r="F4884" s="5">
        <v>2020</v>
      </c>
      <c r="G4884" s="14" t="s">
        <v>16</v>
      </c>
      <c r="H4884" s="15">
        <v>200</v>
      </c>
      <c r="I4884" s="15">
        <v>200</v>
      </c>
      <c r="J4884" s="5" t="s">
        <v>13322</v>
      </c>
      <c r="K4884" s="10"/>
      <c r="L4884" s="10">
        <v>20201118</v>
      </c>
      <c r="M4884" s="36" t="str">
        <f t="shared" si="76"/>
        <v>19750615</v>
      </c>
    </row>
    <row r="4885" s="1" customFormat="1" spans="1:13">
      <c r="A4885" s="2">
        <v>7926</v>
      </c>
      <c r="B4885" s="5" t="s">
        <v>15086</v>
      </c>
      <c r="C4885" s="6" t="s">
        <v>15202</v>
      </c>
      <c r="D4885" s="6" t="str">
        <f>"152326197506176895"</f>
        <v>152326197506176895</v>
      </c>
      <c r="E4885" s="5" t="s">
        <v>15</v>
      </c>
      <c r="F4885" s="5">
        <v>2020</v>
      </c>
      <c r="G4885" s="5" t="s">
        <v>16</v>
      </c>
      <c r="H4885" s="5">
        <v>500</v>
      </c>
      <c r="I4885" s="5">
        <v>500</v>
      </c>
      <c r="J4885" s="5"/>
      <c r="K4885" s="5"/>
      <c r="L4885" s="10">
        <v>20201118</v>
      </c>
      <c r="M4885" s="36" t="str">
        <f t="shared" si="76"/>
        <v>19750617</v>
      </c>
    </row>
    <row r="4886" s="1" customFormat="1" spans="1:13">
      <c r="A4886" s="2">
        <v>2471</v>
      </c>
      <c r="B4886" s="5" t="s">
        <v>5328</v>
      </c>
      <c r="C4886" s="16" t="s">
        <v>5480</v>
      </c>
      <c r="D4886" s="16" t="s">
        <v>5481</v>
      </c>
      <c r="E4886" s="5" t="s">
        <v>15</v>
      </c>
      <c r="F4886" s="5" t="s">
        <v>15</v>
      </c>
      <c r="G4886" s="14" t="s">
        <v>16</v>
      </c>
      <c r="H4886" s="6">
        <v>200</v>
      </c>
      <c r="I4886" s="6">
        <v>200</v>
      </c>
      <c r="J4886" s="5"/>
      <c r="K4886" s="5"/>
      <c r="L4886" s="10">
        <v>20201118</v>
      </c>
      <c r="M4886" s="36" t="str">
        <f t="shared" si="76"/>
        <v>19750619</v>
      </c>
    </row>
    <row r="4887" s="1" customFormat="1" spans="1:13">
      <c r="A4887" s="2">
        <v>6672</v>
      </c>
      <c r="B4887" s="5" t="s">
        <v>13027</v>
      </c>
      <c r="C4887" s="15" t="s">
        <v>7131</v>
      </c>
      <c r="D4887" s="15" t="s">
        <v>13323</v>
      </c>
      <c r="E4887" s="5">
        <v>2020</v>
      </c>
      <c r="F4887" s="5">
        <v>2020</v>
      </c>
      <c r="G4887" s="14" t="s">
        <v>16</v>
      </c>
      <c r="H4887" s="15">
        <v>200</v>
      </c>
      <c r="I4887" s="15">
        <v>200</v>
      </c>
      <c r="J4887" s="5"/>
      <c r="K4887" s="10"/>
      <c r="L4887" s="10">
        <v>20201118</v>
      </c>
      <c r="M4887" s="36" t="str">
        <f t="shared" si="76"/>
        <v>19750620</v>
      </c>
    </row>
    <row r="4888" s="1" customFormat="1" spans="1:13">
      <c r="A4888" s="2">
        <v>6673</v>
      </c>
      <c r="B4888" s="5" t="s">
        <v>13027</v>
      </c>
      <c r="C4888" s="15" t="s">
        <v>13324</v>
      </c>
      <c r="D4888" s="15" t="s">
        <v>13325</v>
      </c>
      <c r="E4888" s="5">
        <v>2020</v>
      </c>
      <c r="F4888" s="5">
        <v>2020</v>
      </c>
      <c r="G4888" s="14" t="s">
        <v>16</v>
      </c>
      <c r="H4888" s="15">
        <v>200</v>
      </c>
      <c r="I4888" s="15">
        <v>200</v>
      </c>
      <c r="J4888" s="5"/>
      <c r="K4888" s="10"/>
      <c r="L4888" s="10">
        <v>20201118</v>
      </c>
      <c r="M4888" s="36" t="str">
        <f t="shared" si="76"/>
        <v>19750621</v>
      </c>
    </row>
    <row r="4889" s="1" customFormat="1" spans="1:13">
      <c r="A4889" s="2">
        <v>1151</v>
      </c>
      <c r="B4889" s="5" t="s">
        <v>2469</v>
      </c>
      <c r="C4889" s="9" t="s">
        <v>2887</v>
      </c>
      <c r="D4889" s="9" t="s">
        <v>2888</v>
      </c>
      <c r="E4889" s="5">
        <v>2020</v>
      </c>
      <c r="F4889" s="5">
        <v>2020</v>
      </c>
      <c r="G4889" s="9" t="s">
        <v>2480</v>
      </c>
      <c r="H4889" s="9">
        <v>200</v>
      </c>
      <c r="I4889" s="9">
        <v>200</v>
      </c>
      <c r="J4889" s="5"/>
      <c r="K4889" s="5"/>
      <c r="L4889" s="10">
        <v>20201118</v>
      </c>
      <c r="M4889" s="36" t="str">
        <f t="shared" si="76"/>
        <v>19750625</v>
      </c>
    </row>
    <row r="4890" s="1" customFormat="1" spans="1:13">
      <c r="A4890" s="2">
        <v>5141</v>
      </c>
      <c r="B4890" s="6" t="s">
        <v>10242</v>
      </c>
      <c r="C4890" s="9" t="s">
        <v>10408</v>
      </c>
      <c r="D4890" s="9" t="s">
        <v>10409</v>
      </c>
      <c r="E4890" s="5" t="s">
        <v>10250</v>
      </c>
      <c r="F4890" s="5">
        <v>2020</v>
      </c>
      <c r="G4890" s="6" t="s">
        <v>16</v>
      </c>
      <c r="H4890" s="6">
        <v>200</v>
      </c>
      <c r="I4890" s="6">
        <v>200</v>
      </c>
      <c r="J4890" s="6"/>
      <c r="K4890" s="5"/>
      <c r="L4890" s="10">
        <v>20201118</v>
      </c>
      <c r="M4890" s="36" t="str">
        <f t="shared" si="76"/>
        <v>19750625</v>
      </c>
    </row>
    <row r="4891" s="1" customFormat="1" spans="1:13">
      <c r="A4891" s="2">
        <v>98</v>
      </c>
      <c r="B4891" s="3" t="s">
        <v>12</v>
      </c>
      <c r="C4891" s="6" t="s">
        <v>212</v>
      </c>
      <c r="D4891" s="6" t="s">
        <v>213</v>
      </c>
      <c r="E4891" s="3" t="s">
        <v>15</v>
      </c>
      <c r="F4891" s="3" t="s">
        <v>15</v>
      </c>
      <c r="G4891" s="2" t="s">
        <v>16</v>
      </c>
      <c r="H4891" s="3">
        <v>500</v>
      </c>
      <c r="I4891" s="3">
        <v>500</v>
      </c>
      <c r="J4891" s="3"/>
      <c r="K4891" s="3"/>
      <c r="L4891" s="10">
        <v>20201118</v>
      </c>
      <c r="M4891" s="36" t="str">
        <f t="shared" si="76"/>
        <v>19750626</v>
      </c>
    </row>
    <row r="4892" s="1" customFormat="1" ht="14.25" spans="1:13">
      <c r="A4892" s="2">
        <v>1757</v>
      </c>
      <c r="B4892" s="5" t="s">
        <v>3381</v>
      </c>
      <c r="C4892" s="77" t="s">
        <v>4075</v>
      </c>
      <c r="D4892" s="321" t="s">
        <v>4076</v>
      </c>
      <c r="E4892" s="5">
        <v>2020</v>
      </c>
      <c r="F4892" s="5">
        <v>2020</v>
      </c>
      <c r="G4892" s="14" t="s">
        <v>16</v>
      </c>
      <c r="H4892" s="18">
        <v>200</v>
      </c>
      <c r="I4892" s="18">
        <v>200</v>
      </c>
      <c r="J4892" s="77" t="s">
        <v>4064</v>
      </c>
      <c r="K4892" s="13"/>
      <c r="L4892" s="10">
        <v>20201118</v>
      </c>
      <c r="M4892" s="36" t="str">
        <f t="shared" si="76"/>
        <v>19750626</v>
      </c>
    </row>
    <row r="4893" s="1" customFormat="1" spans="1:13">
      <c r="A4893" s="2">
        <v>7501</v>
      </c>
      <c r="B4893" s="62" t="s">
        <v>14402</v>
      </c>
      <c r="C4893" s="62" t="s">
        <v>14615</v>
      </c>
      <c r="D4893" s="62" t="s">
        <v>14616</v>
      </c>
      <c r="E4893" s="62">
        <v>2020</v>
      </c>
      <c r="F4893" s="62">
        <v>2020</v>
      </c>
      <c r="G4893" s="3" t="s">
        <v>16</v>
      </c>
      <c r="H4893" s="62">
        <v>200</v>
      </c>
      <c r="I4893" s="62">
        <v>200</v>
      </c>
      <c r="J4893" s="62" t="s">
        <v>749</v>
      </c>
      <c r="K4893" s="10"/>
      <c r="L4893" s="10">
        <v>20201118</v>
      </c>
      <c r="M4893" s="36" t="str">
        <f t="shared" si="76"/>
        <v>19750630</v>
      </c>
    </row>
    <row r="4894" s="1" customFormat="1" spans="1:13">
      <c r="A4894" s="2">
        <v>6674</v>
      </c>
      <c r="B4894" s="5" t="s">
        <v>13027</v>
      </c>
      <c r="C4894" s="15" t="s">
        <v>13326</v>
      </c>
      <c r="D4894" s="15" t="s">
        <v>13327</v>
      </c>
      <c r="E4894" s="5">
        <v>2020</v>
      </c>
      <c r="F4894" s="5">
        <v>2020</v>
      </c>
      <c r="G4894" s="14" t="s">
        <v>16</v>
      </c>
      <c r="H4894" s="15">
        <v>200</v>
      </c>
      <c r="I4894" s="15">
        <v>200</v>
      </c>
      <c r="J4894" s="5"/>
      <c r="K4894" s="10"/>
      <c r="L4894" s="10">
        <v>20201118</v>
      </c>
      <c r="M4894" s="36" t="str">
        <f t="shared" si="76"/>
        <v>19750701</v>
      </c>
    </row>
    <row r="4895" s="1" customFormat="1" spans="1:13">
      <c r="A4895" s="2">
        <v>4323</v>
      </c>
      <c r="B4895" s="9" t="s">
        <v>8515</v>
      </c>
      <c r="C4895" s="9" t="s">
        <v>8836</v>
      </c>
      <c r="D4895" s="9" t="s">
        <v>8837</v>
      </c>
      <c r="E4895" s="5" t="s">
        <v>15</v>
      </c>
      <c r="F4895" s="5">
        <v>2020</v>
      </c>
      <c r="G4895" s="9" t="s">
        <v>2480</v>
      </c>
      <c r="H4895" s="9">
        <v>200</v>
      </c>
      <c r="I4895" s="9">
        <v>200</v>
      </c>
      <c r="J4895" s="9"/>
      <c r="K4895" s="9"/>
      <c r="L4895" s="10">
        <v>20201118</v>
      </c>
      <c r="M4895" s="36" t="str">
        <f t="shared" si="76"/>
        <v>19750702</v>
      </c>
    </row>
    <row r="4896" s="1" customFormat="1" spans="1:13">
      <c r="A4896" s="2">
        <v>7925</v>
      </c>
      <c r="B4896" s="5" t="s">
        <v>15086</v>
      </c>
      <c r="C4896" s="6" t="s">
        <v>15201</v>
      </c>
      <c r="D4896" s="6" t="str">
        <f>"152326197507026864"</f>
        <v>152326197507026864</v>
      </c>
      <c r="E4896" s="5" t="s">
        <v>15</v>
      </c>
      <c r="F4896" s="5">
        <v>2020</v>
      </c>
      <c r="G4896" s="5" t="s">
        <v>16</v>
      </c>
      <c r="H4896" s="5">
        <v>200</v>
      </c>
      <c r="I4896" s="5">
        <v>200</v>
      </c>
      <c r="J4896" s="5"/>
      <c r="K4896" s="5"/>
      <c r="L4896" s="10">
        <v>20201118</v>
      </c>
      <c r="M4896" s="36" t="str">
        <f t="shared" si="76"/>
        <v>19750702</v>
      </c>
    </row>
    <row r="4897" s="1" customFormat="1" spans="1:13">
      <c r="A4897" s="2">
        <v>480</v>
      </c>
      <c r="B4897" s="29" t="s">
        <v>1040</v>
      </c>
      <c r="C4897" s="29" t="s">
        <v>1236</v>
      </c>
      <c r="D4897" s="29" t="s">
        <v>1237</v>
      </c>
      <c r="E4897" s="30">
        <v>2020</v>
      </c>
      <c r="F4897" s="30">
        <v>2020</v>
      </c>
      <c r="G4897" s="29" t="s">
        <v>16</v>
      </c>
      <c r="H4897" s="29">
        <v>200</v>
      </c>
      <c r="I4897" s="29">
        <v>200</v>
      </c>
      <c r="J4897" s="29"/>
      <c r="K4897" s="47"/>
      <c r="L4897" s="2" t="s">
        <v>330</v>
      </c>
      <c r="M4897" s="36" t="str">
        <f t="shared" si="76"/>
        <v>19750703</v>
      </c>
    </row>
    <row r="4898" s="1" customFormat="1" spans="1:13">
      <c r="A4898" s="2">
        <v>4324</v>
      </c>
      <c r="B4898" s="9" t="s">
        <v>8515</v>
      </c>
      <c r="C4898" s="9" t="s">
        <v>8838</v>
      </c>
      <c r="D4898" s="9" t="s">
        <v>8839</v>
      </c>
      <c r="E4898" s="5" t="s">
        <v>15</v>
      </c>
      <c r="F4898" s="5">
        <v>2020</v>
      </c>
      <c r="G4898" s="9" t="s">
        <v>2480</v>
      </c>
      <c r="H4898" s="9">
        <v>200</v>
      </c>
      <c r="I4898" s="9">
        <v>200</v>
      </c>
      <c r="J4898" s="9"/>
      <c r="K4898" s="9"/>
      <c r="L4898" s="10">
        <v>20201118</v>
      </c>
      <c r="M4898" s="36" t="str">
        <f t="shared" si="76"/>
        <v>19750703</v>
      </c>
    </row>
    <row r="4899" s="1" customFormat="1" spans="1:13">
      <c r="A4899" s="2">
        <v>6675</v>
      </c>
      <c r="B4899" s="5" t="s">
        <v>13027</v>
      </c>
      <c r="C4899" s="15" t="s">
        <v>8674</v>
      </c>
      <c r="D4899" s="15" t="s">
        <v>13328</v>
      </c>
      <c r="E4899" s="5">
        <v>2020</v>
      </c>
      <c r="F4899" s="5">
        <v>2020</v>
      </c>
      <c r="G4899" s="14" t="s">
        <v>16</v>
      </c>
      <c r="H4899" s="15">
        <v>200</v>
      </c>
      <c r="I4899" s="15">
        <v>200</v>
      </c>
      <c r="J4899" s="5"/>
      <c r="K4899" s="10"/>
      <c r="L4899" s="10">
        <v>20201118</v>
      </c>
      <c r="M4899" s="36" t="str">
        <f t="shared" si="76"/>
        <v>19750703</v>
      </c>
    </row>
    <row r="4900" s="1" customFormat="1" spans="1:13">
      <c r="A4900" s="2">
        <v>419</v>
      </c>
      <c r="B4900" s="29" t="s">
        <v>1040</v>
      </c>
      <c r="C4900" s="29" t="s">
        <v>1114</v>
      </c>
      <c r="D4900" s="29" t="s">
        <v>1115</v>
      </c>
      <c r="E4900" s="30">
        <v>2020</v>
      </c>
      <c r="F4900" s="30">
        <v>2020</v>
      </c>
      <c r="G4900" s="29" t="s">
        <v>16</v>
      </c>
      <c r="H4900" s="29">
        <v>200</v>
      </c>
      <c r="I4900" s="29">
        <v>200</v>
      </c>
      <c r="J4900" s="29"/>
      <c r="K4900" s="47"/>
      <c r="L4900" s="14" t="s">
        <v>330</v>
      </c>
      <c r="M4900" s="36" t="str">
        <f t="shared" si="76"/>
        <v>19750705</v>
      </c>
    </row>
    <row r="4901" s="1" customFormat="1" spans="1:13">
      <c r="A4901" s="2">
        <v>640</v>
      </c>
      <c r="B4901" s="29" t="s">
        <v>1040</v>
      </c>
      <c r="C4901" s="47" t="s">
        <v>1573</v>
      </c>
      <c r="D4901" s="47" t="s">
        <v>1574</v>
      </c>
      <c r="E4901" s="30">
        <v>2020</v>
      </c>
      <c r="F4901" s="30">
        <v>2020</v>
      </c>
      <c r="G4901" s="29" t="s">
        <v>16</v>
      </c>
      <c r="H4901" s="29">
        <v>200</v>
      </c>
      <c r="I4901" s="29">
        <v>200</v>
      </c>
      <c r="J4901" s="29"/>
      <c r="K4901" s="47"/>
      <c r="L4901" s="14" t="s">
        <v>330</v>
      </c>
      <c r="M4901" s="36" t="str">
        <f t="shared" si="76"/>
        <v>19750705</v>
      </c>
    </row>
    <row r="4902" s="1" customFormat="1" spans="1:13">
      <c r="A4902" s="2">
        <v>5142</v>
      </c>
      <c r="B4902" s="6" t="s">
        <v>10242</v>
      </c>
      <c r="C4902" s="9" t="s">
        <v>10410</v>
      </c>
      <c r="D4902" s="9" t="s">
        <v>10411</v>
      </c>
      <c r="E4902" s="5" t="s">
        <v>10250</v>
      </c>
      <c r="F4902" s="5">
        <v>2020</v>
      </c>
      <c r="G4902" s="6" t="s">
        <v>16</v>
      </c>
      <c r="H4902" s="6">
        <v>200</v>
      </c>
      <c r="I4902" s="6">
        <v>200</v>
      </c>
      <c r="J4902" s="6"/>
      <c r="K4902" s="5"/>
      <c r="L4902" s="10">
        <v>20201118</v>
      </c>
      <c r="M4902" s="36" t="str">
        <f t="shared" si="76"/>
        <v>19750706</v>
      </c>
    </row>
    <row r="4903" s="1" customFormat="1" spans="1:13">
      <c r="A4903" s="2">
        <v>922</v>
      </c>
      <c r="B4903" s="29" t="s">
        <v>1040</v>
      </c>
      <c r="C4903" s="6" t="s">
        <v>2413</v>
      </c>
      <c r="D4903" s="6" t="s">
        <v>2414</v>
      </c>
      <c r="E4903" s="30">
        <v>2020</v>
      </c>
      <c r="F4903" s="30">
        <v>2020</v>
      </c>
      <c r="G4903" s="29" t="s">
        <v>16</v>
      </c>
      <c r="H4903" s="29">
        <v>200</v>
      </c>
      <c r="I4903" s="29">
        <v>200</v>
      </c>
      <c r="J4903" s="32"/>
      <c r="K4903" s="32"/>
      <c r="L4903" s="14" t="s">
        <v>330</v>
      </c>
      <c r="M4903" s="36" t="str">
        <f t="shared" si="76"/>
        <v>19750708</v>
      </c>
    </row>
    <row r="4904" s="1" customFormat="1" spans="1:13">
      <c r="A4904" s="2">
        <v>4674</v>
      </c>
      <c r="B4904" s="6" t="s">
        <v>9015</v>
      </c>
      <c r="C4904" s="6" t="s">
        <v>9511</v>
      </c>
      <c r="D4904" s="6" t="s">
        <v>9512</v>
      </c>
      <c r="E4904" s="6">
        <v>2020</v>
      </c>
      <c r="F4904" s="6">
        <v>2020</v>
      </c>
      <c r="G4904" s="6" t="s">
        <v>16</v>
      </c>
      <c r="H4904" s="6">
        <v>200</v>
      </c>
      <c r="I4904" s="6">
        <v>200</v>
      </c>
      <c r="J4904" s="6"/>
      <c r="K4904" s="6"/>
      <c r="L4904" s="10">
        <v>20201118</v>
      </c>
      <c r="M4904" s="36" t="str">
        <f t="shared" si="76"/>
        <v>19750710</v>
      </c>
    </row>
    <row r="4905" s="1" customFormat="1" spans="1:13">
      <c r="A4905" s="2">
        <v>591</v>
      </c>
      <c r="B4905" s="29" t="s">
        <v>1040</v>
      </c>
      <c r="C4905" s="29" t="s">
        <v>1458</v>
      </c>
      <c r="D4905" s="29" t="s">
        <v>1459</v>
      </c>
      <c r="E4905" s="30">
        <v>2020</v>
      </c>
      <c r="F4905" s="30">
        <v>2020</v>
      </c>
      <c r="G4905" s="29" t="s">
        <v>16</v>
      </c>
      <c r="H4905" s="29">
        <v>200</v>
      </c>
      <c r="I4905" s="29">
        <v>200</v>
      </c>
      <c r="J4905" s="29"/>
      <c r="K4905" s="47"/>
      <c r="L4905" s="14" t="s">
        <v>330</v>
      </c>
      <c r="M4905" s="36" t="str">
        <f t="shared" si="76"/>
        <v>19750713</v>
      </c>
    </row>
    <row r="4906" s="1" customFormat="1" spans="1:13">
      <c r="A4906" s="2">
        <v>5143</v>
      </c>
      <c r="B4906" s="6" t="s">
        <v>10242</v>
      </c>
      <c r="C4906" s="9" t="s">
        <v>10412</v>
      </c>
      <c r="D4906" s="9" t="s">
        <v>10413</v>
      </c>
      <c r="E4906" s="5" t="s">
        <v>10250</v>
      </c>
      <c r="F4906" s="5">
        <v>2020</v>
      </c>
      <c r="G4906" s="6" t="s">
        <v>16</v>
      </c>
      <c r="H4906" s="6">
        <v>200</v>
      </c>
      <c r="I4906" s="6">
        <v>200</v>
      </c>
      <c r="J4906" s="6"/>
      <c r="K4906" s="5"/>
      <c r="L4906" s="10">
        <v>20201118</v>
      </c>
      <c r="M4906" s="36" t="str">
        <f t="shared" si="76"/>
        <v>19750713</v>
      </c>
    </row>
    <row r="4907" s="1" customFormat="1" ht="14.25" spans="1:13">
      <c r="A4907" s="2">
        <v>5995</v>
      </c>
      <c r="B4907" s="30" t="s">
        <v>11090</v>
      </c>
      <c r="C4907" s="32" t="s">
        <v>12035</v>
      </c>
      <c r="D4907" s="12" t="s">
        <v>12036</v>
      </c>
      <c r="E4907" s="5" t="s">
        <v>15</v>
      </c>
      <c r="F4907" s="5" t="s">
        <v>10250</v>
      </c>
      <c r="G4907" s="6" t="s">
        <v>16</v>
      </c>
      <c r="H4907" s="32">
        <v>200</v>
      </c>
      <c r="I4907" s="32">
        <v>200</v>
      </c>
      <c r="J4907" s="5"/>
      <c r="K4907" s="48"/>
      <c r="L4907" s="10">
        <v>20201118</v>
      </c>
      <c r="M4907" s="36" t="str">
        <f t="shared" si="76"/>
        <v>19750713</v>
      </c>
    </row>
    <row r="4908" s="1" customFormat="1" spans="1:13">
      <c r="A4908" s="2">
        <v>4325</v>
      </c>
      <c r="B4908" s="9" t="s">
        <v>8515</v>
      </c>
      <c r="C4908" s="9" t="s">
        <v>8840</v>
      </c>
      <c r="D4908" s="9" t="s">
        <v>8841</v>
      </c>
      <c r="E4908" s="5" t="s">
        <v>15</v>
      </c>
      <c r="F4908" s="5">
        <v>2020</v>
      </c>
      <c r="G4908" s="9" t="s">
        <v>2480</v>
      </c>
      <c r="H4908" s="9">
        <v>200</v>
      </c>
      <c r="I4908" s="9">
        <v>200</v>
      </c>
      <c r="J4908" s="9"/>
      <c r="K4908" s="9"/>
      <c r="L4908" s="10">
        <v>20201118</v>
      </c>
      <c r="M4908" s="36" t="str">
        <f t="shared" si="76"/>
        <v>19750721</v>
      </c>
    </row>
    <row r="4909" s="1" customFormat="1" spans="1:13">
      <c r="A4909" s="2">
        <v>3926</v>
      </c>
      <c r="B4909" s="5" t="s">
        <v>7412</v>
      </c>
      <c r="C4909" s="5" t="s">
        <v>8077</v>
      </c>
      <c r="D4909" s="5" t="s">
        <v>8078</v>
      </c>
      <c r="E4909" s="6">
        <v>2020</v>
      </c>
      <c r="F4909" s="6">
        <v>2020</v>
      </c>
      <c r="G4909" s="5" t="s">
        <v>3359</v>
      </c>
      <c r="H4909" s="5">
        <v>200</v>
      </c>
      <c r="I4909" s="5">
        <v>200</v>
      </c>
      <c r="J4909" s="5"/>
      <c r="K4909" s="5"/>
      <c r="L4909" s="10">
        <v>20201118</v>
      </c>
      <c r="M4909" s="36" t="str">
        <f t="shared" si="76"/>
        <v>19750722</v>
      </c>
    </row>
    <row r="4910" s="1" customFormat="1" spans="1:13">
      <c r="A4910" s="2">
        <v>5625</v>
      </c>
      <c r="B4910" s="30" t="s">
        <v>11090</v>
      </c>
      <c r="C4910" s="30" t="s">
        <v>11340</v>
      </c>
      <c r="D4910" s="30" t="s">
        <v>11341</v>
      </c>
      <c r="E4910" s="5" t="s">
        <v>15</v>
      </c>
      <c r="F4910" s="5" t="s">
        <v>10250</v>
      </c>
      <c r="G4910" s="6" t="s">
        <v>16</v>
      </c>
      <c r="H4910" s="32">
        <v>200</v>
      </c>
      <c r="I4910" s="32">
        <v>200</v>
      </c>
      <c r="J4910" s="6"/>
      <c r="K4910" s="48"/>
      <c r="L4910" s="10">
        <v>20201118</v>
      </c>
      <c r="M4910" s="36" t="str">
        <f t="shared" si="76"/>
        <v>19750726</v>
      </c>
    </row>
    <row r="4911" s="1" customFormat="1" spans="1:13">
      <c r="A4911" s="2">
        <v>6883</v>
      </c>
      <c r="B4911" s="5" t="s">
        <v>13533</v>
      </c>
      <c r="C4911" s="32" t="s">
        <v>13632</v>
      </c>
      <c r="D4911" s="32" t="s">
        <v>13633</v>
      </c>
      <c r="E4911" s="5">
        <v>2020</v>
      </c>
      <c r="F4911" s="5">
        <v>2020</v>
      </c>
      <c r="G4911" s="9" t="s">
        <v>2480</v>
      </c>
      <c r="H4911" s="32">
        <v>200</v>
      </c>
      <c r="I4911" s="32">
        <v>200</v>
      </c>
      <c r="J4911" s="62"/>
      <c r="K4911" s="10"/>
      <c r="L4911" s="10">
        <v>20201118</v>
      </c>
      <c r="M4911" s="36" t="str">
        <f t="shared" si="76"/>
        <v>19750726</v>
      </c>
    </row>
    <row r="4912" s="1" customFormat="1" spans="1:13">
      <c r="A4912" s="2">
        <v>1679</v>
      </c>
      <c r="B4912" s="5" t="s">
        <v>3381</v>
      </c>
      <c r="C4912" s="9" t="s">
        <v>3920</v>
      </c>
      <c r="D4912" s="9" t="s">
        <v>3921</v>
      </c>
      <c r="E4912" s="5">
        <v>2020</v>
      </c>
      <c r="F4912" s="5">
        <v>2020</v>
      </c>
      <c r="G4912" s="14" t="s">
        <v>16</v>
      </c>
      <c r="H4912" s="6">
        <v>200</v>
      </c>
      <c r="I4912" s="6">
        <v>200</v>
      </c>
      <c r="J4912" s="5"/>
      <c r="K4912" s="13"/>
      <c r="L4912" s="10">
        <v>20201118</v>
      </c>
      <c r="M4912" s="36" t="str">
        <f t="shared" si="76"/>
        <v>19750728</v>
      </c>
    </row>
    <row r="4913" s="1" customFormat="1" spans="1:13">
      <c r="A4913" s="2">
        <v>1680</v>
      </c>
      <c r="B4913" s="5" t="s">
        <v>3381</v>
      </c>
      <c r="C4913" s="9" t="s">
        <v>3922</v>
      </c>
      <c r="D4913" s="9" t="s">
        <v>3923</v>
      </c>
      <c r="E4913" s="5">
        <v>2020</v>
      </c>
      <c r="F4913" s="5">
        <v>2020</v>
      </c>
      <c r="G4913" s="14" t="s">
        <v>16</v>
      </c>
      <c r="H4913" s="6">
        <v>200</v>
      </c>
      <c r="I4913" s="6">
        <v>200</v>
      </c>
      <c r="J4913" s="5"/>
      <c r="K4913" s="13"/>
      <c r="L4913" s="10">
        <v>20201118</v>
      </c>
      <c r="M4913" s="36" t="str">
        <f t="shared" si="76"/>
        <v>19750728</v>
      </c>
    </row>
    <row r="4914" s="1" customFormat="1" spans="1:13">
      <c r="A4914" s="2">
        <v>4776</v>
      </c>
      <c r="B4914" s="6" t="s">
        <v>9015</v>
      </c>
      <c r="C4914" s="6" t="s">
        <v>7929</v>
      </c>
      <c r="D4914" s="6" t="s">
        <v>9705</v>
      </c>
      <c r="E4914" s="6">
        <v>2020</v>
      </c>
      <c r="F4914" s="6">
        <v>2020</v>
      </c>
      <c r="G4914" s="6" t="s">
        <v>16</v>
      </c>
      <c r="H4914" s="6">
        <v>200</v>
      </c>
      <c r="I4914" s="6">
        <v>200</v>
      </c>
      <c r="J4914" s="6"/>
      <c r="K4914" s="6"/>
      <c r="L4914" s="10">
        <v>20201118</v>
      </c>
      <c r="M4914" s="36" t="str">
        <f t="shared" si="76"/>
        <v>19750730</v>
      </c>
    </row>
    <row r="4915" s="1" customFormat="1" spans="1:13">
      <c r="A4915" s="2">
        <v>83</v>
      </c>
      <c r="B4915" s="3" t="s">
        <v>12</v>
      </c>
      <c r="C4915" s="6" t="s">
        <v>181</v>
      </c>
      <c r="D4915" s="6" t="s">
        <v>182</v>
      </c>
      <c r="E4915" s="3" t="s">
        <v>15</v>
      </c>
      <c r="F4915" s="3" t="s">
        <v>15</v>
      </c>
      <c r="G4915" s="2" t="s">
        <v>16</v>
      </c>
      <c r="H4915" s="3">
        <v>500</v>
      </c>
      <c r="I4915" s="3">
        <v>500</v>
      </c>
      <c r="J4915" s="3"/>
      <c r="K4915" s="3"/>
      <c r="L4915" s="10">
        <v>20201118</v>
      </c>
      <c r="M4915" s="36" t="str">
        <f t="shared" si="76"/>
        <v>19750801</v>
      </c>
    </row>
    <row r="4916" s="1" customFormat="1" spans="1:13">
      <c r="A4916" s="2">
        <v>5033</v>
      </c>
      <c r="B4916" s="6" t="s">
        <v>9954</v>
      </c>
      <c r="C4916" s="60" t="s">
        <v>10199</v>
      </c>
      <c r="D4916" s="60" t="s">
        <v>10200</v>
      </c>
      <c r="E4916" s="5" t="s">
        <v>15</v>
      </c>
      <c r="F4916" s="5" t="s">
        <v>15</v>
      </c>
      <c r="G4916" s="14" t="s">
        <v>16</v>
      </c>
      <c r="H4916" s="6">
        <v>1000</v>
      </c>
      <c r="I4916" s="6">
        <v>1000</v>
      </c>
      <c r="J4916" s="6"/>
      <c r="K4916" s="6"/>
      <c r="L4916" s="10">
        <v>20201118</v>
      </c>
      <c r="M4916" s="36" t="str">
        <f t="shared" si="76"/>
        <v>19750802</v>
      </c>
    </row>
    <row r="4917" s="1" customFormat="1" spans="1:13">
      <c r="A4917" s="2">
        <v>277</v>
      </c>
      <c r="B4917" s="14" t="s">
        <v>327</v>
      </c>
      <c r="C4917" s="17" t="s">
        <v>717</v>
      </c>
      <c r="D4917" s="306" t="s">
        <v>718</v>
      </c>
      <c r="E4917" s="5">
        <v>2020</v>
      </c>
      <c r="F4917" s="5">
        <v>2020</v>
      </c>
      <c r="G4917" s="14" t="s">
        <v>16</v>
      </c>
      <c r="H4917" s="17">
        <v>200</v>
      </c>
      <c r="I4917" s="17">
        <v>200</v>
      </c>
      <c r="J4917" s="17"/>
      <c r="K4917" s="10"/>
      <c r="L4917" s="2" t="s">
        <v>330</v>
      </c>
      <c r="M4917" s="36" t="str">
        <f t="shared" si="76"/>
        <v>19750803</v>
      </c>
    </row>
    <row r="4918" s="1" customFormat="1" spans="1:13">
      <c r="A4918" s="2">
        <v>2294</v>
      </c>
      <c r="B4918" s="9" t="s">
        <v>4837</v>
      </c>
      <c r="C4918" s="9" t="s">
        <v>5129</v>
      </c>
      <c r="D4918" s="9" t="s">
        <v>5130</v>
      </c>
      <c r="E4918" s="6" t="s">
        <v>15</v>
      </c>
      <c r="F4918" s="6">
        <v>2020</v>
      </c>
      <c r="G4918" s="9" t="s">
        <v>2480</v>
      </c>
      <c r="H4918" s="9">
        <v>200</v>
      </c>
      <c r="I4918" s="9">
        <v>200</v>
      </c>
      <c r="J4918" s="6"/>
      <c r="K4918" s="10"/>
      <c r="L4918" s="10">
        <v>20201118</v>
      </c>
      <c r="M4918" s="36" t="str">
        <f t="shared" si="76"/>
        <v>19750803</v>
      </c>
    </row>
    <row r="4919" s="1" customFormat="1" spans="1:13">
      <c r="A4919" s="2">
        <v>1996</v>
      </c>
      <c r="B4919" s="5" t="s">
        <v>4189</v>
      </c>
      <c r="C4919" s="16" t="s">
        <v>4549</v>
      </c>
      <c r="D4919" s="16" t="s">
        <v>4550</v>
      </c>
      <c r="E4919" s="5" t="s">
        <v>15</v>
      </c>
      <c r="F4919" s="5" t="s">
        <v>15</v>
      </c>
      <c r="G4919" s="5" t="s">
        <v>3359</v>
      </c>
      <c r="H4919" s="16">
        <v>200</v>
      </c>
      <c r="I4919" s="16">
        <v>200</v>
      </c>
      <c r="J4919" s="5"/>
      <c r="K4919" s="10"/>
      <c r="L4919" s="10">
        <v>20201118</v>
      </c>
      <c r="M4919" s="36" t="str">
        <f t="shared" si="76"/>
        <v>19750805</v>
      </c>
    </row>
    <row r="4920" s="1" customFormat="1" ht="14.25" spans="1:13">
      <c r="A4920" s="2">
        <v>5362</v>
      </c>
      <c r="B4920" s="33" t="s">
        <v>10535</v>
      </c>
      <c r="C4920" s="34" t="s">
        <v>10835</v>
      </c>
      <c r="D4920" s="34" t="s">
        <v>10836</v>
      </c>
      <c r="E4920" s="35">
        <v>2020</v>
      </c>
      <c r="F4920" s="35">
        <v>2020</v>
      </c>
      <c r="G4920" s="35" t="s">
        <v>16</v>
      </c>
      <c r="H4920" s="34">
        <v>200</v>
      </c>
      <c r="I4920" s="34">
        <v>200</v>
      </c>
      <c r="J4920" s="49"/>
      <c r="K4920" s="10"/>
      <c r="L4920" s="10">
        <v>20201118</v>
      </c>
      <c r="M4920" s="36" t="str">
        <f t="shared" si="76"/>
        <v>19750805</v>
      </c>
    </row>
    <row r="4921" s="1" customFormat="1" spans="1:13">
      <c r="A4921" s="2">
        <v>5499</v>
      </c>
      <c r="B4921" s="30" t="s">
        <v>11090</v>
      </c>
      <c r="C4921" s="30" t="s">
        <v>11093</v>
      </c>
      <c r="D4921" s="30" t="s">
        <v>11094</v>
      </c>
      <c r="E4921" s="5" t="s">
        <v>15</v>
      </c>
      <c r="F4921" s="5" t="s">
        <v>10245</v>
      </c>
      <c r="G4921" s="6" t="s">
        <v>16</v>
      </c>
      <c r="H4921" s="32">
        <v>200</v>
      </c>
      <c r="I4921" s="32">
        <v>200</v>
      </c>
      <c r="J4921" s="6" t="s">
        <v>1242</v>
      </c>
      <c r="K4921" s="48"/>
      <c r="L4921" s="10">
        <v>20201118</v>
      </c>
      <c r="M4921" s="36" t="str">
        <f t="shared" si="76"/>
        <v>19750805</v>
      </c>
    </row>
    <row r="4922" s="1" customFormat="1" spans="1:13">
      <c r="A4922" s="2">
        <v>5902</v>
      </c>
      <c r="B4922" s="30" t="s">
        <v>11090</v>
      </c>
      <c r="C4922" s="30" t="s">
        <v>11855</v>
      </c>
      <c r="D4922" s="30" t="s">
        <v>11856</v>
      </c>
      <c r="E4922" s="5" t="s">
        <v>15</v>
      </c>
      <c r="F4922" s="5" t="s">
        <v>10250</v>
      </c>
      <c r="G4922" s="6" t="s">
        <v>16</v>
      </c>
      <c r="H4922" s="32">
        <v>200</v>
      </c>
      <c r="I4922" s="32">
        <v>200</v>
      </c>
      <c r="J4922" s="6"/>
      <c r="K4922" s="48"/>
      <c r="L4922" s="10">
        <v>20201118</v>
      </c>
      <c r="M4922" s="36" t="str">
        <f t="shared" si="76"/>
        <v>19750806</v>
      </c>
    </row>
    <row r="4923" s="1" customFormat="1" spans="1:13">
      <c r="A4923" s="2">
        <v>6875</v>
      </c>
      <c r="B4923" s="5" t="s">
        <v>13533</v>
      </c>
      <c r="C4923" s="32" t="s">
        <v>13626</v>
      </c>
      <c r="D4923" s="32" t="str">
        <f>"152326197508087124"</f>
        <v>152326197508087124</v>
      </c>
      <c r="E4923" s="5">
        <v>2020</v>
      </c>
      <c r="F4923" s="5">
        <v>2020</v>
      </c>
      <c r="G4923" s="9" t="s">
        <v>2480</v>
      </c>
      <c r="H4923" s="32">
        <v>200</v>
      </c>
      <c r="I4923" s="32">
        <v>200</v>
      </c>
      <c r="J4923" s="32"/>
      <c r="K4923" s="10"/>
      <c r="L4923" s="10">
        <v>20201118</v>
      </c>
      <c r="M4923" s="36" t="str">
        <f t="shared" si="76"/>
        <v>19750808</v>
      </c>
    </row>
    <row r="4924" s="1" customFormat="1" spans="1:13">
      <c r="A4924" s="2">
        <v>4707</v>
      </c>
      <c r="B4924" s="6" t="s">
        <v>9015</v>
      </c>
      <c r="C4924" s="6" t="s">
        <v>9574</v>
      </c>
      <c r="D4924" s="6" t="s">
        <v>9575</v>
      </c>
      <c r="E4924" s="6">
        <v>2020</v>
      </c>
      <c r="F4924" s="6">
        <v>2020</v>
      </c>
      <c r="G4924" s="6" t="s">
        <v>16</v>
      </c>
      <c r="H4924" s="6">
        <v>200</v>
      </c>
      <c r="I4924" s="6">
        <v>200</v>
      </c>
      <c r="J4924" s="6"/>
      <c r="K4924" s="6"/>
      <c r="L4924" s="10">
        <v>20201118</v>
      </c>
      <c r="M4924" s="36" t="str">
        <f t="shared" si="76"/>
        <v>19750809</v>
      </c>
    </row>
    <row r="4925" s="1" customFormat="1" spans="1:13">
      <c r="A4925" s="2">
        <v>6873</v>
      </c>
      <c r="B4925" s="5" t="s">
        <v>13533</v>
      </c>
      <c r="C4925" s="32" t="s">
        <v>13624</v>
      </c>
      <c r="D4925" s="32" t="str">
        <f>"152326197508107121"</f>
        <v>152326197508107121</v>
      </c>
      <c r="E4925" s="5">
        <v>2020</v>
      </c>
      <c r="F4925" s="5">
        <v>2020</v>
      </c>
      <c r="G4925" s="9" t="s">
        <v>2480</v>
      </c>
      <c r="H4925" s="32">
        <v>200</v>
      </c>
      <c r="I4925" s="32">
        <v>200</v>
      </c>
      <c r="J4925" s="62"/>
      <c r="K4925" s="10"/>
      <c r="L4925" s="10">
        <v>20201118</v>
      </c>
      <c r="M4925" s="36" t="str">
        <f t="shared" si="76"/>
        <v>19750810</v>
      </c>
    </row>
    <row r="4926" s="1" customFormat="1" spans="1:13">
      <c r="A4926" s="2">
        <v>4326</v>
      </c>
      <c r="B4926" s="9" t="s">
        <v>8515</v>
      </c>
      <c r="C4926" s="9" t="s">
        <v>8842</v>
      </c>
      <c r="D4926" s="9" t="s">
        <v>8843</v>
      </c>
      <c r="E4926" s="5" t="s">
        <v>15</v>
      </c>
      <c r="F4926" s="5">
        <v>2020</v>
      </c>
      <c r="G4926" s="9" t="s">
        <v>2480</v>
      </c>
      <c r="H4926" s="9">
        <v>200</v>
      </c>
      <c r="I4926" s="9">
        <v>200</v>
      </c>
      <c r="J4926" s="9"/>
      <c r="K4926" s="9"/>
      <c r="L4926" s="10">
        <v>20201118</v>
      </c>
      <c r="M4926" s="36" t="str">
        <f t="shared" si="76"/>
        <v>19750812</v>
      </c>
    </row>
    <row r="4927" s="1" customFormat="1" spans="1:13">
      <c r="A4927" s="2">
        <v>2295</v>
      </c>
      <c r="B4927" s="9" t="s">
        <v>4837</v>
      </c>
      <c r="C4927" s="9" t="s">
        <v>5131</v>
      </c>
      <c r="D4927" s="9" t="s">
        <v>5132</v>
      </c>
      <c r="E4927" s="6" t="s">
        <v>15</v>
      </c>
      <c r="F4927" s="6">
        <v>2020</v>
      </c>
      <c r="G4927" s="9" t="s">
        <v>2480</v>
      </c>
      <c r="H4927" s="9">
        <v>200</v>
      </c>
      <c r="I4927" s="9">
        <v>200</v>
      </c>
      <c r="J4927" s="6"/>
      <c r="K4927" s="10"/>
      <c r="L4927" s="10">
        <v>20201118</v>
      </c>
      <c r="M4927" s="36" t="str">
        <f t="shared" si="76"/>
        <v>19750814</v>
      </c>
    </row>
    <row r="4928" s="1" customFormat="1" ht="14.25" spans="1:13">
      <c r="A4928" s="2">
        <v>3191</v>
      </c>
      <c r="B4928" s="3" t="s">
        <v>6671</v>
      </c>
      <c r="C4928" s="7" t="s">
        <v>6892</v>
      </c>
      <c r="D4928" s="8" t="s">
        <v>6893</v>
      </c>
      <c r="E4928" s="3" t="s">
        <v>15</v>
      </c>
      <c r="F4928" s="3" t="s">
        <v>15</v>
      </c>
      <c r="G4928" s="6" t="s">
        <v>295</v>
      </c>
      <c r="H4928" s="9">
        <v>200</v>
      </c>
      <c r="I4928" s="9">
        <v>200</v>
      </c>
      <c r="J4928" s="6"/>
      <c r="K4928" s="5"/>
      <c r="L4928" s="10">
        <v>20201118</v>
      </c>
      <c r="M4928" s="36" t="str">
        <f t="shared" si="76"/>
        <v>19750814</v>
      </c>
    </row>
    <row r="4929" s="1" customFormat="1" spans="1:13">
      <c r="A4929" s="2">
        <v>1152</v>
      </c>
      <c r="B4929" s="5" t="s">
        <v>2469</v>
      </c>
      <c r="C4929" s="9" t="s">
        <v>1820</v>
      </c>
      <c r="D4929" s="9" t="s">
        <v>2889</v>
      </c>
      <c r="E4929" s="5">
        <v>2020</v>
      </c>
      <c r="F4929" s="5">
        <v>2020</v>
      </c>
      <c r="G4929" s="9" t="s">
        <v>2480</v>
      </c>
      <c r="H4929" s="9">
        <v>200</v>
      </c>
      <c r="I4929" s="9">
        <v>200</v>
      </c>
      <c r="J4929" s="5"/>
      <c r="K4929" s="5"/>
      <c r="L4929" s="10">
        <v>20201118</v>
      </c>
      <c r="M4929" s="36" t="str">
        <f t="shared" si="76"/>
        <v>19750815</v>
      </c>
    </row>
    <row r="4930" s="1" customFormat="1" spans="1:13">
      <c r="A4930" s="2">
        <v>1153</v>
      </c>
      <c r="B4930" s="5" t="s">
        <v>2469</v>
      </c>
      <c r="C4930" s="9" t="s">
        <v>2890</v>
      </c>
      <c r="D4930" s="9" t="s">
        <v>2891</v>
      </c>
      <c r="E4930" s="5">
        <v>2020</v>
      </c>
      <c r="F4930" s="5">
        <v>2020</v>
      </c>
      <c r="G4930" s="9" t="s">
        <v>2480</v>
      </c>
      <c r="H4930" s="9">
        <v>200</v>
      </c>
      <c r="I4930" s="9">
        <v>200</v>
      </c>
      <c r="J4930" s="5"/>
      <c r="K4930" s="5"/>
      <c r="L4930" s="10">
        <v>20201118</v>
      </c>
      <c r="M4930" s="36" t="str">
        <f t="shared" ref="M4930:M4993" si="77">MID(D4930,7,8)</f>
        <v>19750815</v>
      </c>
    </row>
    <row r="4931" s="1" customFormat="1" spans="1:13">
      <c r="A4931" s="2">
        <v>2296</v>
      </c>
      <c r="B4931" s="9" t="s">
        <v>4837</v>
      </c>
      <c r="C4931" s="9" t="s">
        <v>5133</v>
      </c>
      <c r="D4931" s="9" t="s">
        <v>5134</v>
      </c>
      <c r="E4931" s="6" t="s">
        <v>15</v>
      </c>
      <c r="F4931" s="6">
        <v>2020</v>
      </c>
      <c r="G4931" s="9" t="s">
        <v>2480</v>
      </c>
      <c r="H4931" s="9">
        <v>200</v>
      </c>
      <c r="I4931" s="9">
        <v>200</v>
      </c>
      <c r="J4931" s="6"/>
      <c r="K4931" s="10"/>
      <c r="L4931" s="10">
        <v>20201118</v>
      </c>
      <c r="M4931" s="36" t="str">
        <f t="shared" si="77"/>
        <v>19750815</v>
      </c>
    </row>
    <row r="4932" s="1" customFormat="1" spans="1:13">
      <c r="A4932" s="2">
        <v>3927</v>
      </c>
      <c r="B4932" s="5" t="s">
        <v>7412</v>
      </c>
      <c r="C4932" s="5" t="s">
        <v>8079</v>
      </c>
      <c r="D4932" s="5" t="s">
        <v>8080</v>
      </c>
      <c r="E4932" s="6">
        <v>2020</v>
      </c>
      <c r="F4932" s="6">
        <v>2020</v>
      </c>
      <c r="G4932" s="5" t="s">
        <v>3359</v>
      </c>
      <c r="H4932" s="5">
        <v>200</v>
      </c>
      <c r="I4932" s="5">
        <v>200</v>
      </c>
      <c r="J4932" s="5"/>
      <c r="K4932" s="5"/>
      <c r="L4932" s="10">
        <v>20201118</v>
      </c>
      <c r="M4932" s="36" t="str">
        <f t="shared" si="77"/>
        <v>19750815</v>
      </c>
    </row>
    <row r="4933" s="1" customFormat="1" spans="1:13">
      <c r="A4933" s="2">
        <v>4896</v>
      </c>
      <c r="B4933" s="6" t="s">
        <v>9015</v>
      </c>
      <c r="C4933" s="6" t="s">
        <v>9931</v>
      </c>
      <c r="D4933" s="293" t="s">
        <v>9932</v>
      </c>
      <c r="E4933" s="6">
        <v>2020</v>
      </c>
      <c r="F4933" s="6">
        <v>2020</v>
      </c>
      <c r="G4933" s="6" t="s">
        <v>189</v>
      </c>
      <c r="H4933" s="6">
        <v>1000</v>
      </c>
      <c r="I4933" s="6">
        <v>1000</v>
      </c>
      <c r="J4933" s="6"/>
      <c r="K4933" s="6"/>
      <c r="L4933" s="10">
        <v>20201118</v>
      </c>
      <c r="M4933" s="36" t="str">
        <f t="shared" si="77"/>
        <v>19750816</v>
      </c>
    </row>
    <row r="4934" s="1" customFormat="1" spans="1:13">
      <c r="A4934" s="2">
        <v>2297</v>
      </c>
      <c r="B4934" s="9" t="s">
        <v>4837</v>
      </c>
      <c r="C4934" s="9" t="s">
        <v>5135</v>
      </c>
      <c r="D4934" s="9" t="s">
        <v>5136</v>
      </c>
      <c r="E4934" s="6" t="s">
        <v>15</v>
      </c>
      <c r="F4934" s="6">
        <v>2020</v>
      </c>
      <c r="G4934" s="9" t="s">
        <v>2480</v>
      </c>
      <c r="H4934" s="9">
        <v>200</v>
      </c>
      <c r="I4934" s="9">
        <v>200</v>
      </c>
      <c r="J4934" s="6"/>
      <c r="K4934" s="10"/>
      <c r="L4934" s="10">
        <v>20201118</v>
      </c>
      <c r="M4934" s="36" t="str">
        <f t="shared" si="77"/>
        <v>19750817</v>
      </c>
    </row>
    <row r="4935" s="1" customFormat="1" spans="1:13">
      <c r="A4935" s="2">
        <v>7093</v>
      </c>
      <c r="B4935" s="5" t="s">
        <v>13533</v>
      </c>
      <c r="C4935" s="32" t="s">
        <v>13855</v>
      </c>
      <c r="D4935" s="32" t="s">
        <v>13856</v>
      </c>
      <c r="E4935" s="5">
        <v>2020</v>
      </c>
      <c r="F4935" s="5">
        <v>2020</v>
      </c>
      <c r="G4935" s="9" t="s">
        <v>2480</v>
      </c>
      <c r="H4935" s="32">
        <v>200</v>
      </c>
      <c r="I4935" s="32">
        <v>200</v>
      </c>
      <c r="J4935" s="32"/>
      <c r="K4935" s="10"/>
      <c r="L4935" s="10">
        <v>20201118</v>
      </c>
      <c r="M4935" s="36" t="str">
        <f t="shared" si="77"/>
        <v>19750818</v>
      </c>
    </row>
    <row r="4936" s="1" customFormat="1" spans="1:13">
      <c r="A4936" s="2">
        <v>1790</v>
      </c>
      <c r="B4936" s="5" t="s">
        <v>3381</v>
      </c>
      <c r="C4936" s="9" t="s">
        <v>4142</v>
      </c>
      <c r="D4936" s="9" t="s">
        <v>4143</v>
      </c>
      <c r="E4936" s="5">
        <v>2020</v>
      </c>
      <c r="F4936" s="5">
        <v>2020</v>
      </c>
      <c r="G4936" s="5" t="s">
        <v>189</v>
      </c>
      <c r="H4936" s="6">
        <v>200</v>
      </c>
      <c r="I4936" s="6">
        <v>200</v>
      </c>
      <c r="J4936" s="5"/>
      <c r="K4936" s="13"/>
      <c r="L4936" s="10">
        <v>20201118</v>
      </c>
      <c r="M4936" s="36" t="str">
        <f t="shared" si="77"/>
        <v>19750819</v>
      </c>
    </row>
    <row r="4937" s="1" customFormat="1" spans="1:13">
      <c r="A4937" s="2">
        <v>3363</v>
      </c>
      <c r="B4937" s="5" t="s">
        <v>3375</v>
      </c>
      <c r="C4937" s="6" t="s">
        <v>7140</v>
      </c>
      <c r="D4937" s="6" t="str">
        <f>"152326197508196961"</f>
        <v>152326197508196961</v>
      </c>
      <c r="E4937" s="5" t="s">
        <v>15</v>
      </c>
      <c r="F4937" s="5">
        <v>2020</v>
      </c>
      <c r="G4937" s="14" t="s">
        <v>16</v>
      </c>
      <c r="H4937" s="17">
        <v>200</v>
      </c>
      <c r="I4937" s="17">
        <v>200</v>
      </c>
      <c r="J4937" s="6"/>
      <c r="K4937" s="10"/>
      <c r="L4937" s="10">
        <v>20201118</v>
      </c>
      <c r="M4937" s="36" t="str">
        <f t="shared" si="77"/>
        <v>19750819</v>
      </c>
    </row>
    <row r="4938" s="1" customFormat="1" spans="1:13">
      <c r="A4938" s="2">
        <v>4327</v>
      </c>
      <c r="B4938" s="9" t="s">
        <v>8515</v>
      </c>
      <c r="C4938" s="9" t="s">
        <v>8844</v>
      </c>
      <c r="D4938" s="9" t="s">
        <v>8845</v>
      </c>
      <c r="E4938" s="5" t="s">
        <v>15</v>
      </c>
      <c r="F4938" s="5">
        <v>2020</v>
      </c>
      <c r="G4938" s="9" t="s">
        <v>2480</v>
      </c>
      <c r="H4938" s="9">
        <v>200</v>
      </c>
      <c r="I4938" s="9">
        <v>200</v>
      </c>
      <c r="J4938" s="9"/>
      <c r="K4938" s="9"/>
      <c r="L4938" s="10">
        <v>20201118</v>
      </c>
      <c r="M4938" s="36" t="str">
        <f t="shared" si="77"/>
        <v>19750819</v>
      </c>
    </row>
    <row r="4939" s="1" customFormat="1" spans="1:13">
      <c r="A4939" s="2">
        <v>1154</v>
      </c>
      <c r="B4939" s="5" t="s">
        <v>2469</v>
      </c>
      <c r="C4939" s="9" t="s">
        <v>2892</v>
      </c>
      <c r="D4939" s="9" t="s">
        <v>2893</v>
      </c>
      <c r="E4939" s="5">
        <v>2020</v>
      </c>
      <c r="F4939" s="5">
        <v>2020</v>
      </c>
      <c r="G4939" s="9" t="s">
        <v>2480</v>
      </c>
      <c r="H4939" s="9">
        <v>200</v>
      </c>
      <c r="I4939" s="9">
        <v>200</v>
      </c>
      <c r="J4939" s="5"/>
      <c r="K4939" s="5"/>
      <c r="L4939" s="10">
        <v>20201118</v>
      </c>
      <c r="M4939" s="36" t="str">
        <f t="shared" si="77"/>
        <v>19750820</v>
      </c>
    </row>
    <row r="4940" s="1" customFormat="1" spans="1:13">
      <c r="A4940" s="2">
        <v>1155</v>
      </c>
      <c r="B4940" s="5" t="s">
        <v>2469</v>
      </c>
      <c r="C4940" s="9" t="s">
        <v>2894</v>
      </c>
      <c r="D4940" s="9" t="s">
        <v>2895</v>
      </c>
      <c r="E4940" s="5">
        <v>2020</v>
      </c>
      <c r="F4940" s="5">
        <v>2020</v>
      </c>
      <c r="G4940" s="9" t="s">
        <v>2480</v>
      </c>
      <c r="H4940" s="9">
        <v>200</v>
      </c>
      <c r="I4940" s="9">
        <v>200</v>
      </c>
      <c r="J4940" s="5"/>
      <c r="K4940" s="5"/>
      <c r="L4940" s="10">
        <v>20201118</v>
      </c>
      <c r="M4940" s="36" t="str">
        <f t="shared" si="77"/>
        <v>19750820</v>
      </c>
    </row>
    <row r="4941" s="1" customFormat="1" spans="1:13">
      <c r="A4941" s="2">
        <v>3928</v>
      </c>
      <c r="B4941" s="5" t="s">
        <v>7412</v>
      </c>
      <c r="C4941" s="5" t="s">
        <v>8081</v>
      </c>
      <c r="D4941" s="5" t="s">
        <v>8082</v>
      </c>
      <c r="E4941" s="6">
        <v>2020</v>
      </c>
      <c r="F4941" s="6">
        <v>2020</v>
      </c>
      <c r="G4941" s="5" t="s">
        <v>3359</v>
      </c>
      <c r="H4941" s="5">
        <v>200</v>
      </c>
      <c r="I4941" s="5">
        <v>200</v>
      </c>
      <c r="J4941" s="5"/>
      <c r="K4941" s="5"/>
      <c r="L4941" s="10">
        <v>20201118</v>
      </c>
      <c r="M4941" s="36" t="str">
        <f t="shared" si="77"/>
        <v>19750822</v>
      </c>
    </row>
    <row r="4942" s="1" customFormat="1" ht="14.25" spans="1:13">
      <c r="A4942" s="2">
        <v>2913</v>
      </c>
      <c r="B4942" s="6" t="s">
        <v>6075</v>
      </c>
      <c r="C4942" s="25" t="s">
        <v>6354</v>
      </c>
      <c r="D4942" s="26" t="s">
        <v>6355</v>
      </c>
      <c r="E4942" s="5" t="s">
        <v>15</v>
      </c>
      <c r="F4942" s="5">
        <v>2020</v>
      </c>
      <c r="G4942" s="6" t="s">
        <v>16</v>
      </c>
      <c r="H4942" s="6">
        <v>200</v>
      </c>
      <c r="I4942" s="6">
        <v>200</v>
      </c>
      <c r="J4942" s="6"/>
      <c r="K4942" s="10"/>
      <c r="L4942" s="10">
        <v>20201118</v>
      </c>
      <c r="M4942" s="36" t="str">
        <f t="shared" si="77"/>
        <v>19750826</v>
      </c>
    </row>
    <row r="4943" s="1" customFormat="1" spans="1:13">
      <c r="A4943" s="2">
        <v>1156</v>
      </c>
      <c r="B4943" s="5" t="s">
        <v>2469</v>
      </c>
      <c r="C4943" s="9" t="s">
        <v>2896</v>
      </c>
      <c r="D4943" s="9" t="s">
        <v>2897</v>
      </c>
      <c r="E4943" s="5">
        <v>2020</v>
      </c>
      <c r="F4943" s="5">
        <v>2020</v>
      </c>
      <c r="G4943" s="9" t="s">
        <v>2480</v>
      </c>
      <c r="H4943" s="9">
        <v>1000</v>
      </c>
      <c r="I4943" s="9">
        <v>1000</v>
      </c>
      <c r="J4943" s="5"/>
      <c r="K4943" s="5"/>
      <c r="L4943" s="10">
        <v>20201118</v>
      </c>
      <c r="M4943" s="36" t="str">
        <f t="shared" si="77"/>
        <v>19750828</v>
      </c>
    </row>
    <row r="4944" s="1" customFormat="1" spans="1:13">
      <c r="A4944" s="2">
        <v>7133</v>
      </c>
      <c r="B4944" s="5" t="s">
        <v>13908</v>
      </c>
      <c r="C4944" s="5" t="s">
        <v>13925</v>
      </c>
      <c r="D4944" s="5" t="s">
        <v>13926</v>
      </c>
      <c r="E4944" s="5" t="s">
        <v>15</v>
      </c>
      <c r="F4944" s="5" t="s">
        <v>15</v>
      </c>
      <c r="G4944" s="14" t="s">
        <v>16</v>
      </c>
      <c r="H4944" s="17">
        <v>200</v>
      </c>
      <c r="I4944" s="17">
        <v>200</v>
      </c>
      <c r="J4944" s="5"/>
      <c r="K4944" s="10"/>
      <c r="L4944" s="10">
        <v>20201118</v>
      </c>
      <c r="M4944" s="36" t="str">
        <f t="shared" si="77"/>
        <v>19750828</v>
      </c>
    </row>
    <row r="4945" s="1" customFormat="1" spans="1:13">
      <c r="A4945" s="2">
        <v>7500</v>
      </c>
      <c r="B4945" s="5" t="s">
        <v>14402</v>
      </c>
      <c r="C4945" s="5" t="s">
        <v>14613</v>
      </c>
      <c r="D4945" s="5" t="s">
        <v>14614</v>
      </c>
      <c r="E4945" s="5">
        <v>2020</v>
      </c>
      <c r="F4945" s="5">
        <v>2020</v>
      </c>
      <c r="G4945" s="17" t="s">
        <v>16</v>
      </c>
      <c r="H4945" s="5">
        <v>200</v>
      </c>
      <c r="I4945" s="5">
        <v>200</v>
      </c>
      <c r="J4945" s="5"/>
      <c r="K4945" s="10"/>
      <c r="L4945" s="10">
        <v>20201118</v>
      </c>
      <c r="M4945" s="36" t="str">
        <f t="shared" si="77"/>
        <v>19750901</v>
      </c>
    </row>
    <row r="4946" s="1" customFormat="1" spans="1:13">
      <c r="A4946" s="2">
        <v>3929</v>
      </c>
      <c r="B4946" s="5" t="s">
        <v>7412</v>
      </c>
      <c r="C4946" s="5" t="s">
        <v>5098</v>
      </c>
      <c r="D4946" s="5" t="s">
        <v>8083</v>
      </c>
      <c r="E4946" s="6">
        <v>2020</v>
      </c>
      <c r="F4946" s="6">
        <v>2020</v>
      </c>
      <c r="G4946" s="5" t="s">
        <v>3359</v>
      </c>
      <c r="H4946" s="5">
        <v>200</v>
      </c>
      <c r="I4946" s="5">
        <v>200</v>
      </c>
      <c r="J4946" s="5"/>
      <c r="K4946" s="5"/>
      <c r="L4946" s="10">
        <v>20201118</v>
      </c>
      <c r="M4946" s="36" t="str">
        <f t="shared" si="77"/>
        <v>19750902</v>
      </c>
    </row>
    <row r="4947" s="1" customFormat="1" spans="1:13">
      <c r="A4947" s="2">
        <v>3930</v>
      </c>
      <c r="B4947" s="5" t="s">
        <v>7412</v>
      </c>
      <c r="C4947" s="5" t="s">
        <v>8084</v>
      </c>
      <c r="D4947" s="5" t="s">
        <v>8085</v>
      </c>
      <c r="E4947" s="6">
        <v>2020</v>
      </c>
      <c r="F4947" s="6">
        <v>2020</v>
      </c>
      <c r="G4947" s="5" t="s">
        <v>3359</v>
      </c>
      <c r="H4947" s="5">
        <v>200</v>
      </c>
      <c r="I4947" s="5">
        <v>200</v>
      </c>
      <c r="J4947" s="5"/>
      <c r="K4947" s="5"/>
      <c r="L4947" s="10">
        <v>20201118</v>
      </c>
      <c r="M4947" s="36" t="str">
        <f t="shared" si="77"/>
        <v>19750902</v>
      </c>
    </row>
    <row r="4948" s="1" customFormat="1" ht="14.25" spans="1:13">
      <c r="A4948" s="2">
        <v>1681</v>
      </c>
      <c r="B4948" s="5" t="s">
        <v>3381</v>
      </c>
      <c r="C4948" s="9" t="s">
        <v>3924</v>
      </c>
      <c r="D4948" s="9" t="s">
        <v>3925</v>
      </c>
      <c r="E4948" s="5">
        <v>2020</v>
      </c>
      <c r="F4948" s="5">
        <v>2020</v>
      </c>
      <c r="G4948" s="14" t="s">
        <v>16</v>
      </c>
      <c r="H4948" s="6">
        <v>200</v>
      </c>
      <c r="I4948" s="6">
        <v>200</v>
      </c>
      <c r="J4948" s="24" t="s">
        <v>3552</v>
      </c>
      <c r="K4948" s="13"/>
      <c r="L4948" s="10">
        <v>20201118</v>
      </c>
      <c r="M4948" s="36" t="str">
        <f t="shared" si="77"/>
        <v>19750903</v>
      </c>
    </row>
    <row r="4949" s="1" customFormat="1" spans="1:13">
      <c r="A4949" s="2">
        <v>5648</v>
      </c>
      <c r="B4949" s="30" t="s">
        <v>11090</v>
      </c>
      <c r="C4949" s="30" t="s">
        <v>11383</v>
      </c>
      <c r="D4949" s="30" t="s">
        <v>11384</v>
      </c>
      <c r="E4949" s="5" t="s">
        <v>15</v>
      </c>
      <c r="F4949" s="5" t="s">
        <v>10250</v>
      </c>
      <c r="G4949" s="6" t="s">
        <v>16</v>
      </c>
      <c r="H4949" s="32">
        <v>200</v>
      </c>
      <c r="I4949" s="32">
        <v>200</v>
      </c>
      <c r="J4949" s="6"/>
      <c r="K4949" s="48"/>
      <c r="L4949" s="10">
        <v>20201118</v>
      </c>
      <c r="M4949" s="36" t="str">
        <f t="shared" si="77"/>
        <v>19750903</v>
      </c>
    </row>
    <row r="4950" s="1" customFormat="1" spans="1:13">
      <c r="A4950" s="2">
        <v>1682</v>
      </c>
      <c r="B4950" s="5" t="s">
        <v>3381</v>
      </c>
      <c r="C4950" s="9" t="s">
        <v>3926</v>
      </c>
      <c r="D4950" s="9" t="s">
        <v>3927</v>
      </c>
      <c r="E4950" s="5">
        <v>2020</v>
      </c>
      <c r="F4950" s="5">
        <v>2020</v>
      </c>
      <c r="G4950" s="14" t="s">
        <v>16</v>
      </c>
      <c r="H4950" s="6">
        <v>200</v>
      </c>
      <c r="I4950" s="6">
        <v>200</v>
      </c>
      <c r="J4950" s="5"/>
      <c r="K4950" s="13"/>
      <c r="L4950" s="10">
        <v>20201118</v>
      </c>
      <c r="M4950" s="36" t="str">
        <f t="shared" si="77"/>
        <v>19750905</v>
      </c>
    </row>
    <row r="4951" s="1" customFormat="1" spans="1:13">
      <c r="A4951" s="2">
        <v>3931</v>
      </c>
      <c r="B4951" s="5" t="s">
        <v>7412</v>
      </c>
      <c r="C4951" s="5" t="s">
        <v>8086</v>
      </c>
      <c r="D4951" s="5" t="s">
        <v>8087</v>
      </c>
      <c r="E4951" s="6">
        <v>2020</v>
      </c>
      <c r="F4951" s="6">
        <v>2020</v>
      </c>
      <c r="G4951" s="5" t="s">
        <v>3359</v>
      </c>
      <c r="H4951" s="5">
        <v>200</v>
      </c>
      <c r="I4951" s="5">
        <v>200</v>
      </c>
      <c r="J4951" s="5"/>
      <c r="K4951" s="5"/>
      <c r="L4951" s="10">
        <v>20201118</v>
      </c>
      <c r="M4951" s="36" t="str">
        <f t="shared" si="77"/>
        <v>19750905</v>
      </c>
    </row>
    <row r="4952" s="1" customFormat="1" spans="1:13">
      <c r="A4952" s="2">
        <v>6289</v>
      </c>
      <c r="B4952" s="5" t="s">
        <v>12263</v>
      </c>
      <c r="C4952" s="5" t="s">
        <v>12598</v>
      </c>
      <c r="D4952" s="5" t="s">
        <v>12599</v>
      </c>
      <c r="E4952" s="5" t="s">
        <v>10250</v>
      </c>
      <c r="F4952" s="5">
        <v>2020</v>
      </c>
      <c r="G4952" s="17" t="s">
        <v>3359</v>
      </c>
      <c r="H4952" s="5">
        <v>200</v>
      </c>
      <c r="I4952" s="5">
        <v>200</v>
      </c>
      <c r="J4952" s="5"/>
      <c r="K4952" s="5"/>
      <c r="L4952" s="10">
        <v>20201118</v>
      </c>
      <c r="M4952" s="36" t="str">
        <f t="shared" si="77"/>
        <v>19750906</v>
      </c>
    </row>
    <row r="4953" s="1" customFormat="1" spans="1:13">
      <c r="A4953" s="2">
        <v>6879</v>
      </c>
      <c r="B4953" s="5" t="s">
        <v>13533</v>
      </c>
      <c r="C4953" s="32" t="s">
        <v>13628</v>
      </c>
      <c r="D4953" s="32" t="str">
        <f>"152326197509067125"</f>
        <v>152326197509067125</v>
      </c>
      <c r="E4953" s="5">
        <v>2020</v>
      </c>
      <c r="F4953" s="5">
        <v>2020</v>
      </c>
      <c r="G4953" s="9" t="s">
        <v>2480</v>
      </c>
      <c r="H4953" s="32">
        <v>1000</v>
      </c>
      <c r="I4953" s="32">
        <v>1000</v>
      </c>
      <c r="J4953" s="32"/>
      <c r="K4953" s="10"/>
      <c r="L4953" s="10">
        <v>20201118</v>
      </c>
      <c r="M4953" s="36" t="str">
        <f t="shared" si="77"/>
        <v>19750906</v>
      </c>
    </row>
    <row r="4954" s="1" customFormat="1" ht="14.25" spans="1:13">
      <c r="A4954" s="2">
        <v>1754</v>
      </c>
      <c r="B4954" s="5" t="s">
        <v>3381</v>
      </c>
      <c r="C4954" s="77" t="s">
        <v>4069</v>
      </c>
      <c r="D4954" s="321" t="s">
        <v>4070</v>
      </c>
      <c r="E4954" s="5">
        <v>2020</v>
      </c>
      <c r="F4954" s="5">
        <v>2020</v>
      </c>
      <c r="G4954" s="14" t="s">
        <v>16</v>
      </c>
      <c r="H4954" s="18">
        <v>200</v>
      </c>
      <c r="I4954" s="18">
        <v>200</v>
      </c>
      <c r="J4954" s="77" t="s">
        <v>4064</v>
      </c>
      <c r="K4954" s="13"/>
      <c r="L4954" s="10">
        <v>20201118</v>
      </c>
      <c r="M4954" s="36" t="str">
        <f t="shared" si="77"/>
        <v>19750907</v>
      </c>
    </row>
    <row r="4955" s="1" customFormat="1" spans="1:13">
      <c r="A4955" s="2">
        <v>932</v>
      </c>
      <c r="B4955" s="29" t="s">
        <v>1040</v>
      </c>
      <c r="C4955" s="6" t="s">
        <v>2443</v>
      </c>
      <c r="D4955" s="6" t="s">
        <v>2444</v>
      </c>
      <c r="E4955" s="30">
        <v>2020</v>
      </c>
      <c r="F4955" s="30">
        <v>2020</v>
      </c>
      <c r="G4955" s="29" t="s">
        <v>16</v>
      </c>
      <c r="H4955" s="29">
        <v>200</v>
      </c>
      <c r="I4955" s="29">
        <v>200</v>
      </c>
      <c r="J4955" s="32"/>
      <c r="K4955" s="32"/>
      <c r="L4955" s="14" t="s">
        <v>330</v>
      </c>
      <c r="M4955" s="36" t="str">
        <f t="shared" si="77"/>
        <v>19750908</v>
      </c>
    </row>
    <row r="4956" s="1" customFormat="1" spans="1:13">
      <c r="A4956" s="2">
        <v>1157</v>
      </c>
      <c r="B4956" s="5" t="s">
        <v>2469</v>
      </c>
      <c r="C4956" s="9" t="s">
        <v>2898</v>
      </c>
      <c r="D4956" s="9" t="s">
        <v>2899</v>
      </c>
      <c r="E4956" s="5">
        <v>2020</v>
      </c>
      <c r="F4956" s="5">
        <v>2020</v>
      </c>
      <c r="G4956" s="9" t="s">
        <v>2480</v>
      </c>
      <c r="H4956" s="9">
        <v>200</v>
      </c>
      <c r="I4956" s="9">
        <v>200</v>
      </c>
      <c r="J4956" s="5"/>
      <c r="K4956" s="5"/>
      <c r="L4956" s="10">
        <v>20201118</v>
      </c>
      <c r="M4956" s="36" t="str">
        <f t="shared" si="77"/>
        <v>19750908</v>
      </c>
    </row>
    <row r="4957" s="1" customFormat="1" spans="1:13">
      <c r="A4957" s="2">
        <v>1158</v>
      </c>
      <c r="B4957" s="5" t="s">
        <v>2469</v>
      </c>
      <c r="C4957" s="9" t="s">
        <v>2900</v>
      </c>
      <c r="D4957" s="9" t="s">
        <v>2901</v>
      </c>
      <c r="E4957" s="5">
        <v>2020</v>
      </c>
      <c r="F4957" s="5">
        <v>2020</v>
      </c>
      <c r="G4957" s="9" t="s">
        <v>2480</v>
      </c>
      <c r="H4957" s="9">
        <v>200</v>
      </c>
      <c r="I4957" s="9">
        <v>200</v>
      </c>
      <c r="J4957" s="5"/>
      <c r="K4957" s="5"/>
      <c r="L4957" s="10">
        <v>20201118</v>
      </c>
      <c r="M4957" s="36" t="str">
        <f t="shared" si="77"/>
        <v>19750909</v>
      </c>
    </row>
    <row r="4958" s="1" customFormat="1" spans="1:13">
      <c r="A4958" s="2">
        <v>1972</v>
      </c>
      <c r="B4958" s="5" t="s">
        <v>4189</v>
      </c>
      <c r="C4958" s="16" t="s">
        <v>4502</v>
      </c>
      <c r="D4958" s="16" t="s">
        <v>4503</v>
      </c>
      <c r="E4958" s="5" t="s">
        <v>15</v>
      </c>
      <c r="F4958" s="5" t="s">
        <v>15</v>
      </c>
      <c r="G4958" s="5" t="s">
        <v>3359</v>
      </c>
      <c r="H4958" s="16">
        <v>200</v>
      </c>
      <c r="I4958" s="16">
        <v>200</v>
      </c>
      <c r="J4958" s="5"/>
      <c r="K4958" s="10"/>
      <c r="L4958" s="10">
        <v>20201118</v>
      </c>
      <c r="M4958" s="36" t="str">
        <f t="shared" si="77"/>
        <v>19750912</v>
      </c>
    </row>
    <row r="4959" s="1" customFormat="1" spans="1:13">
      <c r="A4959" s="2">
        <v>6496</v>
      </c>
      <c r="B4959" s="5" t="s">
        <v>12263</v>
      </c>
      <c r="C4959" s="5" t="s">
        <v>12995</v>
      </c>
      <c r="D4959" s="5" t="s">
        <v>12996</v>
      </c>
      <c r="E4959" s="5" t="s">
        <v>10250</v>
      </c>
      <c r="F4959" s="5">
        <v>2020</v>
      </c>
      <c r="G4959" s="5" t="s">
        <v>295</v>
      </c>
      <c r="H4959" s="5" t="s">
        <v>311</v>
      </c>
      <c r="I4959" s="5">
        <v>200</v>
      </c>
      <c r="J4959" s="5"/>
      <c r="K4959" s="5"/>
      <c r="L4959" s="10">
        <v>20201118</v>
      </c>
      <c r="M4959" s="36" t="str">
        <f t="shared" si="77"/>
        <v>19750913</v>
      </c>
    </row>
    <row r="4960" s="1" customFormat="1" spans="1:13">
      <c r="A4960" s="2">
        <v>5016</v>
      </c>
      <c r="B4960" s="6" t="s">
        <v>9954</v>
      </c>
      <c r="C4960" s="60" t="s">
        <v>10167</v>
      </c>
      <c r="D4960" s="60" t="s">
        <v>10168</v>
      </c>
      <c r="E4960" s="5" t="s">
        <v>15</v>
      </c>
      <c r="F4960" s="5" t="s">
        <v>15</v>
      </c>
      <c r="G4960" s="14" t="s">
        <v>16</v>
      </c>
      <c r="H4960" s="6">
        <v>200</v>
      </c>
      <c r="I4960" s="6">
        <v>200</v>
      </c>
      <c r="J4960" s="6"/>
      <c r="K4960" s="6"/>
      <c r="L4960" s="10">
        <v>20201118</v>
      </c>
      <c r="M4960" s="36" t="str">
        <f t="shared" si="77"/>
        <v>19750915</v>
      </c>
    </row>
    <row r="4961" s="1" customFormat="1" spans="1:13">
      <c r="A4961" s="2">
        <v>3353</v>
      </c>
      <c r="B4961" s="5" t="s">
        <v>3375</v>
      </c>
      <c r="C4961" s="6" t="s">
        <v>7128</v>
      </c>
      <c r="D4961" s="6" t="str">
        <f>"152326197509176882"</f>
        <v>152326197509176882</v>
      </c>
      <c r="E4961" s="5" t="s">
        <v>15</v>
      </c>
      <c r="F4961" s="5">
        <v>2020</v>
      </c>
      <c r="G4961" s="14" t="s">
        <v>16</v>
      </c>
      <c r="H4961" s="17">
        <v>200</v>
      </c>
      <c r="I4961" s="17">
        <v>200</v>
      </c>
      <c r="J4961" s="6"/>
      <c r="K4961" s="10"/>
      <c r="L4961" s="10">
        <v>20201118</v>
      </c>
      <c r="M4961" s="36" t="str">
        <f t="shared" si="77"/>
        <v>19750917</v>
      </c>
    </row>
    <row r="4962" s="1" customFormat="1" spans="1:13">
      <c r="A4962" s="2">
        <v>4780</v>
      </c>
      <c r="B4962" s="6" t="s">
        <v>9015</v>
      </c>
      <c r="C4962" s="6" t="s">
        <v>9711</v>
      </c>
      <c r="D4962" s="6" t="s">
        <v>9712</v>
      </c>
      <c r="E4962" s="6">
        <v>2020</v>
      </c>
      <c r="F4962" s="6">
        <v>2020</v>
      </c>
      <c r="G4962" s="6" t="s">
        <v>16</v>
      </c>
      <c r="H4962" s="6">
        <v>200</v>
      </c>
      <c r="I4962" s="6">
        <v>200</v>
      </c>
      <c r="J4962" s="6"/>
      <c r="K4962" s="6"/>
      <c r="L4962" s="10">
        <v>20201118</v>
      </c>
      <c r="M4962" s="36" t="str">
        <f t="shared" si="77"/>
        <v>19750918</v>
      </c>
    </row>
    <row r="4963" s="1" customFormat="1" spans="1:13">
      <c r="A4963" s="2">
        <v>5852</v>
      </c>
      <c r="B4963" s="30" t="s">
        <v>11090</v>
      </c>
      <c r="C4963" s="30" t="s">
        <v>11767</v>
      </c>
      <c r="D4963" s="30" t="s">
        <v>11768</v>
      </c>
      <c r="E4963" s="5" t="s">
        <v>15</v>
      </c>
      <c r="F4963" s="5" t="s">
        <v>10250</v>
      </c>
      <c r="G4963" s="6" t="s">
        <v>16</v>
      </c>
      <c r="H4963" s="32">
        <v>200</v>
      </c>
      <c r="I4963" s="32">
        <v>200</v>
      </c>
      <c r="J4963" s="6"/>
      <c r="K4963" s="48"/>
      <c r="L4963" s="10">
        <v>20201118</v>
      </c>
      <c r="M4963" s="36" t="str">
        <f t="shared" si="77"/>
        <v>19750918</v>
      </c>
    </row>
    <row r="4964" s="1" customFormat="1" spans="1:13">
      <c r="A4964" s="2">
        <v>6676</v>
      </c>
      <c r="B4964" s="5" t="s">
        <v>13027</v>
      </c>
      <c r="C4964" s="15" t="s">
        <v>13329</v>
      </c>
      <c r="D4964" s="15" t="s">
        <v>13330</v>
      </c>
      <c r="E4964" s="5">
        <v>2020</v>
      </c>
      <c r="F4964" s="5">
        <v>2020</v>
      </c>
      <c r="G4964" s="14" t="s">
        <v>16</v>
      </c>
      <c r="H4964" s="15">
        <v>200</v>
      </c>
      <c r="I4964" s="15">
        <v>200</v>
      </c>
      <c r="J4964" s="5"/>
      <c r="K4964" s="10"/>
      <c r="L4964" s="10">
        <v>20201118</v>
      </c>
      <c r="M4964" s="36" t="str">
        <f t="shared" si="77"/>
        <v>19750918</v>
      </c>
    </row>
    <row r="4965" s="1" customFormat="1" spans="1:13">
      <c r="A4965" s="2">
        <v>1159</v>
      </c>
      <c r="B4965" s="5" t="s">
        <v>2469</v>
      </c>
      <c r="C4965" s="9" t="s">
        <v>2902</v>
      </c>
      <c r="D4965" s="9" t="s">
        <v>2903</v>
      </c>
      <c r="E4965" s="5">
        <v>2020</v>
      </c>
      <c r="F4965" s="5">
        <v>2020</v>
      </c>
      <c r="G4965" s="9" t="s">
        <v>2480</v>
      </c>
      <c r="H4965" s="9">
        <v>200</v>
      </c>
      <c r="I4965" s="9">
        <v>200</v>
      </c>
      <c r="J4965" s="5"/>
      <c r="K4965" s="5"/>
      <c r="L4965" s="10">
        <v>20201118</v>
      </c>
      <c r="M4965" s="36" t="str">
        <f t="shared" si="77"/>
        <v>19750920</v>
      </c>
    </row>
    <row r="4966" s="1" customFormat="1" spans="1:13">
      <c r="A4966" s="2">
        <v>7936</v>
      </c>
      <c r="B4966" s="5" t="s">
        <v>15086</v>
      </c>
      <c r="C4966" s="6" t="s">
        <v>15209</v>
      </c>
      <c r="D4966" s="6" t="str">
        <f>"152326197509226878"</f>
        <v>152326197509226878</v>
      </c>
      <c r="E4966" s="5" t="s">
        <v>15</v>
      </c>
      <c r="F4966" s="5">
        <v>2020</v>
      </c>
      <c r="G4966" s="5" t="s">
        <v>16</v>
      </c>
      <c r="H4966" s="5">
        <v>200</v>
      </c>
      <c r="I4966" s="5">
        <v>200</v>
      </c>
      <c r="J4966" s="5"/>
      <c r="K4966" s="5"/>
      <c r="L4966" s="10">
        <v>20201118</v>
      </c>
      <c r="M4966" s="36" t="str">
        <f t="shared" si="77"/>
        <v>19750922</v>
      </c>
    </row>
    <row r="4967" s="1" customFormat="1" spans="1:13">
      <c r="A4967" s="2">
        <v>4328</v>
      </c>
      <c r="B4967" s="9" t="s">
        <v>8515</v>
      </c>
      <c r="C4967" s="9" t="s">
        <v>8846</v>
      </c>
      <c r="D4967" s="9" t="s">
        <v>8847</v>
      </c>
      <c r="E4967" s="5" t="s">
        <v>15</v>
      </c>
      <c r="F4967" s="5">
        <v>2020</v>
      </c>
      <c r="G4967" s="9" t="s">
        <v>2480</v>
      </c>
      <c r="H4967" s="9">
        <v>200</v>
      </c>
      <c r="I4967" s="9">
        <v>200</v>
      </c>
      <c r="J4967" s="9"/>
      <c r="K4967" s="9"/>
      <c r="L4967" s="10">
        <v>20201118</v>
      </c>
      <c r="M4967" s="36" t="str">
        <f t="shared" si="77"/>
        <v>19750923</v>
      </c>
    </row>
    <row r="4968" s="1" customFormat="1" spans="1:13">
      <c r="A4968" s="2">
        <v>4669</v>
      </c>
      <c r="B4968" s="6" t="s">
        <v>9015</v>
      </c>
      <c r="C4968" s="6" t="s">
        <v>9502</v>
      </c>
      <c r="D4968" s="6" t="s">
        <v>9503</v>
      </c>
      <c r="E4968" s="6">
        <v>2020</v>
      </c>
      <c r="F4968" s="6">
        <v>2020</v>
      </c>
      <c r="G4968" s="6" t="s">
        <v>16</v>
      </c>
      <c r="H4968" s="6">
        <v>200</v>
      </c>
      <c r="I4968" s="6">
        <v>200</v>
      </c>
      <c r="J4968" s="6"/>
      <c r="K4968" s="6"/>
      <c r="L4968" s="10">
        <v>20201118</v>
      </c>
      <c r="M4968" s="36" t="str">
        <f t="shared" si="77"/>
        <v>19750924</v>
      </c>
    </row>
    <row r="4969" s="1" customFormat="1" spans="1:13">
      <c r="A4969" s="2">
        <v>5144</v>
      </c>
      <c r="B4969" s="6" t="s">
        <v>10242</v>
      </c>
      <c r="C4969" s="9" t="s">
        <v>10414</v>
      </c>
      <c r="D4969" s="9" t="s">
        <v>10415</v>
      </c>
      <c r="E4969" s="5" t="s">
        <v>10250</v>
      </c>
      <c r="F4969" s="5">
        <v>2020</v>
      </c>
      <c r="G4969" s="6" t="s">
        <v>16</v>
      </c>
      <c r="H4969" s="6">
        <v>200</v>
      </c>
      <c r="I4969" s="6">
        <v>200</v>
      </c>
      <c r="J4969" s="6" t="s">
        <v>108</v>
      </c>
      <c r="K4969" s="5"/>
      <c r="L4969" s="10">
        <v>20201118</v>
      </c>
      <c r="M4969" s="36" t="str">
        <f t="shared" si="77"/>
        <v>19750924</v>
      </c>
    </row>
    <row r="4970" s="1" customFormat="1" spans="1:13">
      <c r="A4970" s="2">
        <v>2668</v>
      </c>
      <c r="B4970" s="32" t="s">
        <v>5602</v>
      </c>
      <c r="C4970" s="9" t="s">
        <v>5870</v>
      </c>
      <c r="D4970" s="9" t="s">
        <v>5871</v>
      </c>
      <c r="E4970" s="32">
        <v>2020</v>
      </c>
      <c r="F4970" s="32">
        <v>2020</v>
      </c>
      <c r="G4970" s="32" t="s">
        <v>16</v>
      </c>
      <c r="H4970" s="9">
        <v>200</v>
      </c>
      <c r="I4970" s="9">
        <v>200</v>
      </c>
      <c r="J4970" s="32"/>
      <c r="K4970" s="52"/>
      <c r="L4970" s="10">
        <v>20201118</v>
      </c>
      <c r="M4970" s="36" t="str">
        <f t="shared" si="77"/>
        <v>19750925</v>
      </c>
    </row>
    <row r="4971" s="1" customFormat="1" spans="1:13">
      <c r="A4971" s="2">
        <v>8129</v>
      </c>
      <c r="B4971" s="5" t="s">
        <v>15406</v>
      </c>
      <c r="C4971" s="6" t="s">
        <v>15451</v>
      </c>
      <c r="D4971" s="6" t="s">
        <v>15452</v>
      </c>
      <c r="E4971" s="5" t="s">
        <v>15</v>
      </c>
      <c r="F4971" s="5">
        <v>2020</v>
      </c>
      <c r="G4971" s="14" t="s">
        <v>16</v>
      </c>
      <c r="H4971" s="6">
        <v>200</v>
      </c>
      <c r="I4971" s="6">
        <v>200</v>
      </c>
      <c r="J4971" s="5"/>
      <c r="K4971" s="10"/>
      <c r="L4971" s="10">
        <v>20201118</v>
      </c>
      <c r="M4971" s="36" t="str">
        <f t="shared" si="77"/>
        <v>19750926</v>
      </c>
    </row>
    <row r="4972" s="1" customFormat="1" spans="1:13">
      <c r="A4972" s="2">
        <v>6677</v>
      </c>
      <c r="B4972" s="5" t="s">
        <v>13027</v>
      </c>
      <c r="C4972" s="15" t="s">
        <v>4691</v>
      </c>
      <c r="D4972" s="15" t="s">
        <v>13331</v>
      </c>
      <c r="E4972" s="5">
        <v>2020</v>
      </c>
      <c r="F4972" s="5">
        <v>2020</v>
      </c>
      <c r="G4972" s="14" t="s">
        <v>16</v>
      </c>
      <c r="H4972" s="15">
        <v>200</v>
      </c>
      <c r="I4972" s="15">
        <v>200</v>
      </c>
      <c r="J4972" s="5"/>
      <c r="K4972" s="10"/>
      <c r="L4972" s="10">
        <v>20201118</v>
      </c>
      <c r="M4972" s="36" t="str">
        <f t="shared" si="77"/>
        <v>19750927</v>
      </c>
    </row>
    <row r="4973" s="1" customFormat="1" spans="1:13">
      <c r="A4973" s="2">
        <v>1160</v>
      </c>
      <c r="B4973" s="5" t="s">
        <v>2469</v>
      </c>
      <c r="C4973" s="9" t="s">
        <v>2904</v>
      </c>
      <c r="D4973" s="9" t="s">
        <v>2905</v>
      </c>
      <c r="E4973" s="5">
        <v>2020</v>
      </c>
      <c r="F4973" s="5">
        <v>2020</v>
      </c>
      <c r="G4973" s="9" t="s">
        <v>2480</v>
      </c>
      <c r="H4973" s="9">
        <v>200</v>
      </c>
      <c r="I4973" s="9">
        <v>200</v>
      </c>
      <c r="J4973" s="5"/>
      <c r="K4973" s="5"/>
      <c r="L4973" s="10">
        <v>20201118</v>
      </c>
      <c r="M4973" s="36" t="str">
        <f t="shared" si="77"/>
        <v>19750930</v>
      </c>
    </row>
    <row r="4974" s="1" customFormat="1" spans="1:13">
      <c r="A4974" s="2">
        <v>2472</v>
      </c>
      <c r="B4974" s="5" t="s">
        <v>5328</v>
      </c>
      <c r="C4974" s="16" t="s">
        <v>4394</v>
      </c>
      <c r="D4974" s="16" t="s">
        <v>5482</v>
      </c>
      <c r="E4974" s="5" t="s">
        <v>15</v>
      </c>
      <c r="F4974" s="5" t="s">
        <v>15</v>
      </c>
      <c r="G4974" s="14" t="s">
        <v>16</v>
      </c>
      <c r="H4974" s="6">
        <v>200</v>
      </c>
      <c r="I4974" s="6">
        <v>200</v>
      </c>
      <c r="J4974" s="5"/>
      <c r="K4974" s="5"/>
      <c r="L4974" s="10">
        <v>20201118</v>
      </c>
      <c r="M4974" s="36" t="str">
        <f t="shared" si="77"/>
        <v>19750930</v>
      </c>
    </row>
    <row r="4975" s="1" customFormat="1" spans="1:13">
      <c r="A4975" s="2">
        <v>3355</v>
      </c>
      <c r="B4975" s="5" t="s">
        <v>3375</v>
      </c>
      <c r="C4975" s="6" t="s">
        <v>7130</v>
      </c>
      <c r="D4975" s="6" t="str">
        <f>"152326197510016894"</f>
        <v>152326197510016894</v>
      </c>
      <c r="E4975" s="5" t="s">
        <v>15</v>
      </c>
      <c r="F4975" s="5">
        <v>2020</v>
      </c>
      <c r="G4975" s="14" t="s">
        <v>16</v>
      </c>
      <c r="H4975" s="17">
        <v>500</v>
      </c>
      <c r="I4975" s="17">
        <v>500</v>
      </c>
      <c r="J4975" s="6"/>
      <c r="K4975" s="10"/>
      <c r="L4975" s="10">
        <v>20201118</v>
      </c>
      <c r="M4975" s="36" t="str">
        <f t="shared" si="77"/>
        <v>19751001</v>
      </c>
    </row>
    <row r="4976" s="1" customFormat="1" spans="1:13">
      <c r="A4976" s="2">
        <v>4757</v>
      </c>
      <c r="B4976" s="6" t="s">
        <v>9015</v>
      </c>
      <c r="C4976" s="6" t="s">
        <v>9668</v>
      </c>
      <c r="D4976" s="6" t="s">
        <v>9669</v>
      </c>
      <c r="E4976" s="6">
        <v>2020</v>
      </c>
      <c r="F4976" s="6">
        <v>2020</v>
      </c>
      <c r="G4976" s="6" t="s">
        <v>16</v>
      </c>
      <c r="H4976" s="6">
        <v>200</v>
      </c>
      <c r="I4976" s="6">
        <v>200</v>
      </c>
      <c r="J4976" s="6"/>
      <c r="K4976" s="6"/>
      <c r="L4976" s="10">
        <v>20201118</v>
      </c>
      <c r="M4976" s="36" t="str">
        <f t="shared" si="77"/>
        <v>19751001</v>
      </c>
    </row>
    <row r="4977" s="1" customFormat="1" spans="1:13">
      <c r="A4977" s="2">
        <v>555</v>
      </c>
      <c r="B4977" s="29" t="s">
        <v>1040</v>
      </c>
      <c r="C4977" s="29" t="s">
        <v>1387</v>
      </c>
      <c r="D4977" s="29" t="s">
        <v>1388</v>
      </c>
      <c r="E4977" s="30">
        <v>2020</v>
      </c>
      <c r="F4977" s="30">
        <v>2020</v>
      </c>
      <c r="G4977" s="29" t="s">
        <v>16</v>
      </c>
      <c r="H4977" s="29">
        <v>200</v>
      </c>
      <c r="I4977" s="29">
        <v>200</v>
      </c>
      <c r="J4977" s="29"/>
      <c r="K4977" s="47"/>
      <c r="L4977" s="14" t="s">
        <v>330</v>
      </c>
      <c r="M4977" s="36" t="str">
        <f t="shared" si="77"/>
        <v>19751002</v>
      </c>
    </row>
    <row r="4978" s="1" customFormat="1" spans="1:13">
      <c r="A4978" s="2">
        <v>6511</v>
      </c>
      <c r="B4978" s="13" t="s">
        <v>12263</v>
      </c>
      <c r="C4978" s="13" t="s">
        <v>13023</v>
      </c>
      <c r="D4978" s="314" t="s">
        <v>13024</v>
      </c>
      <c r="E4978" s="13">
        <v>2020</v>
      </c>
      <c r="F4978" s="13">
        <v>2020</v>
      </c>
      <c r="G4978" s="17" t="s">
        <v>3359</v>
      </c>
      <c r="H4978" s="13">
        <v>200</v>
      </c>
      <c r="I4978" s="13">
        <v>200</v>
      </c>
      <c r="J4978" s="5"/>
      <c r="K4978" s="5"/>
      <c r="L4978" s="10">
        <v>20201224</v>
      </c>
      <c r="M4978" s="36" t="str">
        <f t="shared" si="77"/>
        <v>19751002</v>
      </c>
    </row>
    <row r="4979" s="1" customFormat="1" ht="14.25" spans="1:13">
      <c r="A4979" s="2">
        <v>1756</v>
      </c>
      <c r="B4979" s="5" t="s">
        <v>3381</v>
      </c>
      <c r="C4979" s="77" t="s">
        <v>4073</v>
      </c>
      <c r="D4979" s="321" t="s">
        <v>4074</v>
      </c>
      <c r="E4979" s="5">
        <v>2020</v>
      </c>
      <c r="F4979" s="5">
        <v>2020</v>
      </c>
      <c r="G4979" s="14" t="s">
        <v>16</v>
      </c>
      <c r="H4979" s="18">
        <v>200</v>
      </c>
      <c r="I4979" s="18">
        <v>200</v>
      </c>
      <c r="J4979" s="77" t="s">
        <v>4064</v>
      </c>
      <c r="K4979" s="13"/>
      <c r="L4979" s="10">
        <v>20201118</v>
      </c>
      <c r="M4979" s="36" t="str">
        <f t="shared" si="77"/>
        <v>19751003</v>
      </c>
    </row>
    <row r="4980" s="1" customFormat="1" spans="1:13">
      <c r="A4980" s="2">
        <v>4673</v>
      </c>
      <c r="B4980" s="6" t="s">
        <v>9015</v>
      </c>
      <c r="C4980" s="6" t="s">
        <v>9509</v>
      </c>
      <c r="D4980" s="6" t="s">
        <v>9510</v>
      </c>
      <c r="E4980" s="6">
        <v>2020</v>
      </c>
      <c r="F4980" s="6">
        <v>2020</v>
      </c>
      <c r="G4980" s="6" t="s">
        <v>16</v>
      </c>
      <c r="H4980" s="6">
        <v>200</v>
      </c>
      <c r="I4980" s="6">
        <v>200</v>
      </c>
      <c r="J4980" s="6"/>
      <c r="K4980" s="6"/>
      <c r="L4980" s="10">
        <v>20201118</v>
      </c>
      <c r="M4980" s="36" t="str">
        <f t="shared" si="77"/>
        <v>19751003</v>
      </c>
    </row>
    <row r="4981" s="1" customFormat="1" spans="1:13">
      <c r="A4981" s="2">
        <v>5145</v>
      </c>
      <c r="B4981" s="6" t="s">
        <v>10242</v>
      </c>
      <c r="C4981" s="9" t="s">
        <v>10416</v>
      </c>
      <c r="D4981" s="9" t="s">
        <v>10417</v>
      </c>
      <c r="E4981" s="5" t="s">
        <v>10250</v>
      </c>
      <c r="F4981" s="5">
        <v>2020</v>
      </c>
      <c r="G4981" s="6" t="s">
        <v>16</v>
      </c>
      <c r="H4981" s="6">
        <v>200</v>
      </c>
      <c r="I4981" s="6">
        <v>200</v>
      </c>
      <c r="J4981" s="6"/>
      <c r="K4981" s="5"/>
      <c r="L4981" s="10">
        <v>20201118</v>
      </c>
      <c r="M4981" s="36" t="str">
        <f t="shared" si="77"/>
        <v>19751003</v>
      </c>
    </row>
    <row r="4982" s="1" customFormat="1" spans="1:13">
      <c r="A4982" s="2">
        <v>5768</v>
      </c>
      <c r="B4982" s="30" t="s">
        <v>11090</v>
      </c>
      <c r="C4982" s="30" t="s">
        <v>11612</v>
      </c>
      <c r="D4982" s="30" t="s">
        <v>11613</v>
      </c>
      <c r="E4982" s="5" t="s">
        <v>15</v>
      </c>
      <c r="F4982" s="5" t="s">
        <v>10250</v>
      </c>
      <c r="G4982" s="6" t="s">
        <v>16</v>
      </c>
      <c r="H4982" s="32">
        <v>200</v>
      </c>
      <c r="I4982" s="32">
        <v>200</v>
      </c>
      <c r="J4982" s="6"/>
      <c r="K4982" s="48"/>
      <c r="L4982" s="10">
        <v>20201118</v>
      </c>
      <c r="M4982" s="36" t="str">
        <f t="shared" si="77"/>
        <v>19751003</v>
      </c>
    </row>
    <row r="4983" s="1" customFormat="1" spans="1:13">
      <c r="A4983" s="2">
        <v>3070</v>
      </c>
      <c r="B4983" s="6" t="s">
        <v>6075</v>
      </c>
      <c r="C4983" s="9" t="s">
        <v>6664</v>
      </c>
      <c r="D4983" s="6" t="s">
        <v>6665</v>
      </c>
      <c r="E4983" s="5" t="s">
        <v>15</v>
      </c>
      <c r="F4983" s="5">
        <v>2020</v>
      </c>
      <c r="G4983" s="6" t="s">
        <v>16</v>
      </c>
      <c r="H4983" s="6" t="s">
        <v>311</v>
      </c>
      <c r="I4983" s="6">
        <v>200</v>
      </c>
      <c r="J4983" s="6"/>
      <c r="K4983" s="10"/>
      <c r="L4983" s="10">
        <v>20201118</v>
      </c>
      <c r="M4983" s="36" t="str">
        <f t="shared" si="77"/>
        <v>19751005</v>
      </c>
    </row>
    <row r="4984" s="1" customFormat="1" spans="1:13">
      <c r="A4984" s="2">
        <v>8177</v>
      </c>
      <c r="B4984" s="5" t="s">
        <v>15406</v>
      </c>
      <c r="C4984" s="6" t="s">
        <v>15542</v>
      </c>
      <c r="D4984" s="293" t="s">
        <v>15543</v>
      </c>
      <c r="E4984" s="5" t="s">
        <v>15</v>
      </c>
      <c r="F4984" s="5">
        <v>2020</v>
      </c>
      <c r="G4984" s="14" t="s">
        <v>16</v>
      </c>
      <c r="H4984" s="6">
        <v>200</v>
      </c>
      <c r="I4984" s="6">
        <v>200</v>
      </c>
      <c r="J4984" s="5"/>
      <c r="K4984" s="10"/>
      <c r="L4984" s="10">
        <v>20201118</v>
      </c>
      <c r="M4984" s="36" t="str">
        <f t="shared" si="77"/>
        <v>19751005</v>
      </c>
    </row>
    <row r="4985" s="1" customFormat="1" spans="1:13">
      <c r="A4985" s="2">
        <v>6293</v>
      </c>
      <c r="B4985" s="5" t="s">
        <v>12263</v>
      </c>
      <c r="C4985" s="5" t="s">
        <v>12605</v>
      </c>
      <c r="D4985" s="5" t="s">
        <v>12606</v>
      </c>
      <c r="E4985" s="5" t="s">
        <v>10250</v>
      </c>
      <c r="F4985" s="5">
        <v>2020</v>
      </c>
      <c r="G4985" s="17" t="s">
        <v>3359</v>
      </c>
      <c r="H4985" s="5">
        <v>3000</v>
      </c>
      <c r="I4985" s="5">
        <v>3000</v>
      </c>
      <c r="J4985" s="5"/>
      <c r="K4985" s="5"/>
      <c r="L4985" s="10">
        <v>20201118</v>
      </c>
      <c r="M4985" s="36" t="str">
        <f t="shared" si="77"/>
        <v>19751006</v>
      </c>
    </row>
    <row r="4986" s="1" customFormat="1" spans="1:13">
      <c r="A4986" s="2">
        <v>3932</v>
      </c>
      <c r="B4986" s="5" t="s">
        <v>7412</v>
      </c>
      <c r="C4986" s="5" t="s">
        <v>8088</v>
      </c>
      <c r="D4986" s="5" t="s">
        <v>8089</v>
      </c>
      <c r="E4986" s="6">
        <v>2020</v>
      </c>
      <c r="F4986" s="6">
        <v>2020</v>
      </c>
      <c r="G4986" s="5" t="s">
        <v>3359</v>
      </c>
      <c r="H4986" s="5">
        <v>200</v>
      </c>
      <c r="I4986" s="5">
        <v>200</v>
      </c>
      <c r="J4986" s="5"/>
      <c r="K4986" s="5"/>
      <c r="L4986" s="10">
        <v>20201118</v>
      </c>
      <c r="M4986" s="36" t="str">
        <f t="shared" si="77"/>
        <v>19751007</v>
      </c>
    </row>
    <row r="4987" s="1" customFormat="1" spans="1:13">
      <c r="A4987" s="2">
        <v>3933</v>
      </c>
      <c r="B4987" s="5" t="s">
        <v>7412</v>
      </c>
      <c r="C4987" s="5" t="s">
        <v>8090</v>
      </c>
      <c r="D4987" s="5" t="s">
        <v>8091</v>
      </c>
      <c r="E4987" s="6">
        <v>2020</v>
      </c>
      <c r="F4987" s="6">
        <v>2020</v>
      </c>
      <c r="G4987" s="5" t="s">
        <v>3359</v>
      </c>
      <c r="H4987" s="5">
        <v>200</v>
      </c>
      <c r="I4987" s="5">
        <v>200</v>
      </c>
      <c r="J4987" s="5"/>
      <c r="K4987" s="5"/>
      <c r="L4987" s="10">
        <v>20201118</v>
      </c>
      <c r="M4987" s="36" t="str">
        <f t="shared" si="77"/>
        <v>19751007</v>
      </c>
    </row>
    <row r="4988" s="1" customFormat="1" spans="1:13">
      <c r="A4988" s="2">
        <v>2298</v>
      </c>
      <c r="B4988" s="9" t="s">
        <v>4837</v>
      </c>
      <c r="C4988" s="9" t="s">
        <v>5137</v>
      </c>
      <c r="D4988" s="9" t="s">
        <v>5138</v>
      </c>
      <c r="E4988" s="6" t="s">
        <v>15</v>
      </c>
      <c r="F4988" s="6">
        <v>2020</v>
      </c>
      <c r="G4988" s="9" t="s">
        <v>2480</v>
      </c>
      <c r="H4988" s="9">
        <v>200</v>
      </c>
      <c r="I4988" s="9">
        <v>200</v>
      </c>
      <c r="J4988" s="6"/>
      <c r="K4988" s="10"/>
      <c r="L4988" s="10">
        <v>20201118</v>
      </c>
      <c r="M4988" s="36" t="str">
        <f t="shared" si="77"/>
        <v>19751009</v>
      </c>
    </row>
    <row r="4989" s="1" customFormat="1" spans="1:13">
      <c r="A4989" s="2">
        <v>3934</v>
      </c>
      <c r="B4989" s="5" t="s">
        <v>7412</v>
      </c>
      <c r="C4989" s="5" t="s">
        <v>8092</v>
      </c>
      <c r="D4989" s="5" t="s">
        <v>8093</v>
      </c>
      <c r="E4989" s="6">
        <v>2020</v>
      </c>
      <c r="F4989" s="6">
        <v>2020</v>
      </c>
      <c r="G4989" s="5" t="s">
        <v>3359</v>
      </c>
      <c r="H4989" s="5">
        <v>200</v>
      </c>
      <c r="I4989" s="5">
        <v>200</v>
      </c>
      <c r="J4989" s="5"/>
      <c r="K4989" s="5"/>
      <c r="L4989" s="10">
        <v>20201118</v>
      </c>
      <c r="M4989" s="36" t="str">
        <f t="shared" si="77"/>
        <v>19751010</v>
      </c>
    </row>
    <row r="4990" s="1" customFormat="1" spans="1:13">
      <c r="A4990" s="2">
        <v>183</v>
      </c>
      <c r="B4990" s="14" t="s">
        <v>327</v>
      </c>
      <c r="C4990" s="14" t="s">
        <v>437</v>
      </c>
      <c r="D4990" s="14" t="s">
        <v>438</v>
      </c>
      <c r="E4990" s="5">
        <v>2020</v>
      </c>
      <c r="F4990" s="5">
        <v>2020</v>
      </c>
      <c r="G4990" s="14" t="s">
        <v>16</v>
      </c>
      <c r="H4990" s="14">
        <v>200</v>
      </c>
      <c r="I4990" s="14">
        <v>200</v>
      </c>
      <c r="J4990" s="14"/>
      <c r="K4990" s="10"/>
      <c r="L4990" s="2" t="s">
        <v>330</v>
      </c>
      <c r="M4990" s="36" t="str">
        <f t="shared" si="77"/>
        <v>19751011</v>
      </c>
    </row>
    <row r="4991" s="1" customFormat="1" spans="1:13">
      <c r="A4991" s="2">
        <v>497</v>
      </c>
      <c r="B4991" s="29" t="s">
        <v>1040</v>
      </c>
      <c r="C4991" s="29" t="s">
        <v>1271</v>
      </c>
      <c r="D4991" s="29" t="s">
        <v>1272</v>
      </c>
      <c r="E4991" s="30">
        <v>2020</v>
      </c>
      <c r="F4991" s="30">
        <v>2020</v>
      </c>
      <c r="G4991" s="29" t="s">
        <v>16</v>
      </c>
      <c r="H4991" s="29">
        <v>200</v>
      </c>
      <c r="I4991" s="29">
        <v>200</v>
      </c>
      <c r="J4991" s="29"/>
      <c r="K4991" s="47"/>
      <c r="L4991" s="14" t="s">
        <v>330</v>
      </c>
      <c r="M4991" s="36" t="str">
        <f t="shared" si="77"/>
        <v>19751012</v>
      </c>
    </row>
    <row r="4992" s="1" customFormat="1" ht="14.25" spans="1:13">
      <c r="A4992" s="2">
        <v>7685</v>
      </c>
      <c r="B4992" s="5" t="s">
        <v>14875</v>
      </c>
      <c r="C4992" s="51" t="s">
        <v>14927</v>
      </c>
      <c r="D4992" s="24" t="str">
        <f>"152326197510137119"</f>
        <v>152326197510137119</v>
      </c>
      <c r="E4992" s="6" t="s">
        <v>15</v>
      </c>
      <c r="F4992" s="6">
        <v>2020</v>
      </c>
      <c r="G4992" s="24" t="s">
        <v>14877</v>
      </c>
      <c r="H4992" s="6">
        <v>200</v>
      </c>
      <c r="I4992" s="6">
        <v>200</v>
      </c>
      <c r="J4992" s="6"/>
      <c r="K4992" s="10"/>
      <c r="L4992" s="10">
        <v>20201118</v>
      </c>
      <c r="M4992" s="36" t="str">
        <f t="shared" si="77"/>
        <v>19751013</v>
      </c>
    </row>
    <row r="4993" s="1" customFormat="1" spans="1:13">
      <c r="A4993" s="2">
        <v>7933</v>
      </c>
      <c r="B4993" s="5" t="s">
        <v>15086</v>
      </c>
      <c r="C4993" s="6" t="s">
        <v>15206</v>
      </c>
      <c r="D4993" s="6" t="str">
        <f>"152326197510136888"</f>
        <v>152326197510136888</v>
      </c>
      <c r="E4993" s="5" t="s">
        <v>15</v>
      </c>
      <c r="F4993" s="5">
        <v>2020</v>
      </c>
      <c r="G4993" s="5" t="s">
        <v>16</v>
      </c>
      <c r="H4993" s="5">
        <v>200</v>
      </c>
      <c r="I4993" s="5">
        <v>200</v>
      </c>
      <c r="J4993" s="5"/>
      <c r="K4993" s="5"/>
      <c r="L4993" s="10">
        <v>20201118</v>
      </c>
      <c r="M4993" s="36" t="str">
        <f t="shared" si="77"/>
        <v>19751013</v>
      </c>
    </row>
    <row r="4994" s="1" customFormat="1" spans="1:13">
      <c r="A4994" s="2">
        <v>4908</v>
      </c>
      <c r="B4994" s="6" t="s">
        <v>9954</v>
      </c>
      <c r="C4994" s="60" t="s">
        <v>9957</v>
      </c>
      <c r="D4994" s="60" t="s">
        <v>9958</v>
      </c>
      <c r="E4994" s="5" t="s">
        <v>15</v>
      </c>
      <c r="F4994" s="5" t="s">
        <v>15</v>
      </c>
      <c r="G4994" s="14" t="s">
        <v>16</v>
      </c>
      <c r="H4994" s="6">
        <v>500</v>
      </c>
      <c r="I4994" s="6">
        <v>500</v>
      </c>
      <c r="J4994" s="6"/>
      <c r="K4994" s="6"/>
      <c r="L4994" s="10">
        <v>20201118</v>
      </c>
      <c r="M4994" s="36" t="str">
        <f t="shared" ref="M4994:M5057" si="78">MID(D4994,7,8)</f>
        <v>19751014</v>
      </c>
    </row>
    <row r="4995" s="1" customFormat="1" spans="1:13">
      <c r="A4995" s="2">
        <v>7938</v>
      </c>
      <c r="B4995" s="5" t="s">
        <v>15086</v>
      </c>
      <c r="C4995" s="6" t="s">
        <v>15211</v>
      </c>
      <c r="D4995" s="6" t="str">
        <f>"152326197510146963"</f>
        <v>152326197510146963</v>
      </c>
      <c r="E4995" s="5" t="s">
        <v>15</v>
      </c>
      <c r="F4995" s="5">
        <v>2020</v>
      </c>
      <c r="G4995" s="5" t="s">
        <v>16</v>
      </c>
      <c r="H4995" s="5">
        <v>200</v>
      </c>
      <c r="I4995" s="5">
        <v>200</v>
      </c>
      <c r="J4995" s="5"/>
      <c r="K4995" s="5"/>
      <c r="L4995" s="10">
        <v>20201118</v>
      </c>
      <c r="M4995" s="36" t="str">
        <f t="shared" si="78"/>
        <v>19751014</v>
      </c>
    </row>
    <row r="4996" s="1" customFormat="1" spans="1:13">
      <c r="A4996" s="2">
        <v>6678</v>
      </c>
      <c r="B4996" s="5" t="s">
        <v>13027</v>
      </c>
      <c r="C4996" s="15" t="s">
        <v>13332</v>
      </c>
      <c r="D4996" s="15" t="s">
        <v>13333</v>
      </c>
      <c r="E4996" s="5">
        <v>2020</v>
      </c>
      <c r="F4996" s="5">
        <v>2020</v>
      </c>
      <c r="G4996" s="14" t="s">
        <v>16</v>
      </c>
      <c r="H4996" s="15">
        <v>200</v>
      </c>
      <c r="I4996" s="15">
        <v>200</v>
      </c>
      <c r="J4996" s="5"/>
      <c r="K4996" s="10"/>
      <c r="L4996" s="10">
        <v>20201118</v>
      </c>
      <c r="M4996" s="36" t="str">
        <f t="shared" si="78"/>
        <v>19751015</v>
      </c>
    </row>
    <row r="4997" s="1" customFormat="1" ht="14.25" spans="1:13">
      <c r="A4997" s="2">
        <v>5363</v>
      </c>
      <c r="B4997" s="33" t="s">
        <v>10535</v>
      </c>
      <c r="C4997" s="34" t="s">
        <v>10837</v>
      </c>
      <c r="D4997" s="34" t="s">
        <v>10838</v>
      </c>
      <c r="E4997" s="35">
        <v>2020</v>
      </c>
      <c r="F4997" s="35">
        <v>2020</v>
      </c>
      <c r="G4997" s="35" t="s">
        <v>16</v>
      </c>
      <c r="H4997" s="34">
        <v>200</v>
      </c>
      <c r="I4997" s="34">
        <v>200</v>
      </c>
      <c r="J4997" s="49"/>
      <c r="K4997" s="10"/>
      <c r="L4997" s="10">
        <v>20201118</v>
      </c>
      <c r="M4997" s="36" t="str">
        <f t="shared" si="78"/>
        <v>19751017</v>
      </c>
    </row>
    <row r="4998" s="1" customFormat="1" ht="14.25" spans="1:13">
      <c r="A4998" s="2">
        <v>1761</v>
      </c>
      <c r="B4998" s="5" t="s">
        <v>3381</v>
      </c>
      <c r="C4998" s="77" t="s">
        <v>4083</v>
      </c>
      <c r="D4998" s="321" t="s">
        <v>4084</v>
      </c>
      <c r="E4998" s="5">
        <v>2020</v>
      </c>
      <c r="F4998" s="5">
        <v>2020</v>
      </c>
      <c r="G4998" s="14" t="s">
        <v>16</v>
      </c>
      <c r="H4998" s="18">
        <v>200</v>
      </c>
      <c r="I4998" s="18">
        <v>200</v>
      </c>
      <c r="J4998" s="77" t="s">
        <v>4064</v>
      </c>
      <c r="K4998" s="13"/>
      <c r="L4998" s="10">
        <v>20201118</v>
      </c>
      <c r="M4998" s="36" t="str">
        <f t="shared" si="78"/>
        <v>19751018</v>
      </c>
    </row>
    <row r="4999" s="1" customFormat="1" spans="1:13">
      <c r="A4999" s="2">
        <v>2669</v>
      </c>
      <c r="B4999" s="32" t="s">
        <v>5602</v>
      </c>
      <c r="C4999" s="9" t="s">
        <v>5872</v>
      </c>
      <c r="D4999" s="9" t="s">
        <v>5873</v>
      </c>
      <c r="E4999" s="32">
        <v>2020</v>
      </c>
      <c r="F4999" s="32">
        <v>2020</v>
      </c>
      <c r="G4999" s="32" t="s">
        <v>16</v>
      </c>
      <c r="H4999" s="9">
        <v>200</v>
      </c>
      <c r="I4999" s="9">
        <v>200</v>
      </c>
      <c r="J4999" s="32"/>
      <c r="K4999" s="52"/>
      <c r="L4999" s="10">
        <v>20201118</v>
      </c>
      <c r="M4999" s="36" t="str">
        <f t="shared" si="78"/>
        <v>19751018</v>
      </c>
    </row>
    <row r="5000" s="1" customFormat="1" ht="14.25" spans="1:13">
      <c r="A5000" s="2">
        <v>2854</v>
      </c>
      <c r="B5000" s="6" t="s">
        <v>6075</v>
      </c>
      <c r="C5000" s="25" t="s">
        <v>6236</v>
      </c>
      <c r="D5000" s="26" t="s">
        <v>6237</v>
      </c>
      <c r="E5000" s="5" t="s">
        <v>15</v>
      </c>
      <c r="F5000" s="5">
        <v>2020</v>
      </c>
      <c r="G5000" s="6" t="s">
        <v>16</v>
      </c>
      <c r="H5000" s="6">
        <v>200</v>
      </c>
      <c r="I5000" s="6">
        <v>200</v>
      </c>
      <c r="J5000" s="6" t="s">
        <v>6238</v>
      </c>
      <c r="K5000" s="10"/>
      <c r="L5000" s="10">
        <v>20201118</v>
      </c>
      <c r="M5000" s="36" t="str">
        <f t="shared" si="78"/>
        <v>19751018</v>
      </c>
    </row>
    <row r="5001" s="1" customFormat="1" spans="1:13">
      <c r="A5001" s="2">
        <v>3359</v>
      </c>
      <c r="B5001" s="5" t="s">
        <v>3375</v>
      </c>
      <c r="C5001" s="6" t="s">
        <v>7134</v>
      </c>
      <c r="D5001" s="6" t="str">
        <f>"152326197510196864"</f>
        <v>152326197510196864</v>
      </c>
      <c r="E5001" s="5" t="s">
        <v>15</v>
      </c>
      <c r="F5001" s="5">
        <v>2020</v>
      </c>
      <c r="G5001" s="14" t="s">
        <v>16</v>
      </c>
      <c r="H5001" s="17">
        <v>200</v>
      </c>
      <c r="I5001" s="17">
        <v>200</v>
      </c>
      <c r="J5001" s="6"/>
      <c r="K5001" s="10"/>
      <c r="L5001" s="10">
        <v>20201118</v>
      </c>
      <c r="M5001" s="36" t="str">
        <f t="shared" si="78"/>
        <v>19751019</v>
      </c>
    </row>
    <row r="5002" s="1" customFormat="1" spans="1:13">
      <c r="A5002" s="2">
        <v>6679</v>
      </c>
      <c r="B5002" s="5" t="s">
        <v>13027</v>
      </c>
      <c r="C5002" s="15" t="s">
        <v>13334</v>
      </c>
      <c r="D5002" s="15" t="s">
        <v>13335</v>
      </c>
      <c r="E5002" s="5">
        <v>2020</v>
      </c>
      <c r="F5002" s="5">
        <v>2020</v>
      </c>
      <c r="G5002" s="14" t="s">
        <v>16</v>
      </c>
      <c r="H5002" s="15">
        <v>200</v>
      </c>
      <c r="I5002" s="15">
        <v>200</v>
      </c>
      <c r="J5002" s="5"/>
      <c r="K5002" s="10"/>
      <c r="L5002" s="10">
        <v>20201118</v>
      </c>
      <c r="M5002" s="36" t="str">
        <f t="shared" si="78"/>
        <v>19751019</v>
      </c>
    </row>
    <row r="5003" s="1" customFormat="1" spans="1:13">
      <c r="A5003" s="2">
        <v>6881</v>
      </c>
      <c r="B5003" s="5" t="s">
        <v>13533</v>
      </c>
      <c r="C5003" s="32" t="s">
        <v>13630</v>
      </c>
      <c r="D5003" s="32" t="str">
        <f>"152326197510207121"</f>
        <v>152326197510207121</v>
      </c>
      <c r="E5003" s="5">
        <v>2020</v>
      </c>
      <c r="F5003" s="5">
        <v>2020</v>
      </c>
      <c r="G5003" s="9" t="s">
        <v>2480</v>
      </c>
      <c r="H5003" s="32">
        <v>200</v>
      </c>
      <c r="I5003" s="32">
        <v>200</v>
      </c>
      <c r="J5003" s="62"/>
      <c r="K5003" s="10"/>
      <c r="L5003" s="10">
        <v>20201118</v>
      </c>
      <c r="M5003" s="36" t="str">
        <f t="shared" si="78"/>
        <v>19751020</v>
      </c>
    </row>
    <row r="5004" s="1" customFormat="1" spans="1:13">
      <c r="A5004" s="2">
        <v>6680</v>
      </c>
      <c r="B5004" s="5" t="s">
        <v>13027</v>
      </c>
      <c r="C5004" s="15" t="s">
        <v>13336</v>
      </c>
      <c r="D5004" s="15" t="s">
        <v>13337</v>
      </c>
      <c r="E5004" s="5">
        <v>2020</v>
      </c>
      <c r="F5004" s="5">
        <v>2020</v>
      </c>
      <c r="G5004" s="14" t="s">
        <v>16</v>
      </c>
      <c r="H5004" s="15">
        <v>200</v>
      </c>
      <c r="I5004" s="15">
        <v>200</v>
      </c>
      <c r="J5004" s="5"/>
      <c r="K5004" s="10"/>
      <c r="L5004" s="10">
        <v>20201118</v>
      </c>
      <c r="M5004" s="36" t="str">
        <f t="shared" si="78"/>
        <v>19751021</v>
      </c>
    </row>
    <row r="5005" s="1" customFormat="1" spans="1:13">
      <c r="A5005" s="2">
        <v>7132</v>
      </c>
      <c r="B5005" s="5" t="s">
        <v>13908</v>
      </c>
      <c r="C5005" s="5" t="s">
        <v>13923</v>
      </c>
      <c r="D5005" s="5" t="s">
        <v>13924</v>
      </c>
      <c r="E5005" s="5" t="s">
        <v>15</v>
      </c>
      <c r="F5005" s="5" t="s">
        <v>15</v>
      </c>
      <c r="G5005" s="14" t="s">
        <v>16</v>
      </c>
      <c r="H5005" s="17">
        <v>200</v>
      </c>
      <c r="I5005" s="17">
        <v>200</v>
      </c>
      <c r="J5005" s="5"/>
      <c r="K5005" s="10"/>
      <c r="L5005" s="10">
        <v>20201118</v>
      </c>
      <c r="M5005" s="36" t="str">
        <f t="shared" si="78"/>
        <v>19751022</v>
      </c>
    </row>
    <row r="5006" s="1" customFormat="1" spans="1:13">
      <c r="A5006" s="2">
        <v>5554</v>
      </c>
      <c r="B5006" s="30" t="s">
        <v>11090</v>
      </c>
      <c r="C5006" s="30" t="s">
        <v>11203</v>
      </c>
      <c r="D5006" s="30" t="s">
        <v>11204</v>
      </c>
      <c r="E5006" s="5" t="s">
        <v>15</v>
      </c>
      <c r="F5006" s="5" t="s">
        <v>10250</v>
      </c>
      <c r="G5006" s="6" t="s">
        <v>16</v>
      </c>
      <c r="H5006" s="32">
        <v>200</v>
      </c>
      <c r="I5006" s="32">
        <v>200</v>
      </c>
      <c r="J5006" s="6"/>
      <c r="K5006" s="48"/>
      <c r="L5006" s="10">
        <v>20201118</v>
      </c>
      <c r="M5006" s="36" t="str">
        <f t="shared" si="78"/>
        <v>19751023</v>
      </c>
    </row>
    <row r="5007" s="1" customFormat="1" spans="1:13">
      <c r="A5007" s="2">
        <v>6462</v>
      </c>
      <c r="B5007" s="5" t="s">
        <v>12263</v>
      </c>
      <c r="C5007" s="5" t="s">
        <v>12927</v>
      </c>
      <c r="D5007" s="5" t="s">
        <v>12928</v>
      </c>
      <c r="E5007" s="5" t="s">
        <v>10250</v>
      </c>
      <c r="F5007" s="5">
        <v>2020</v>
      </c>
      <c r="G5007" s="17" t="s">
        <v>3359</v>
      </c>
      <c r="H5007" s="5">
        <v>200</v>
      </c>
      <c r="I5007" s="5">
        <v>200</v>
      </c>
      <c r="J5007" s="5"/>
      <c r="K5007" s="5"/>
      <c r="L5007" s="10">
        <v>20201118</v>
      </c>
      <c r="M5007" s="36" t="str">
        <f t="shared" si="78"/>
        <v>19751023</v>
      </c>
    </row>
    <row r="5008" s="1" customFormat="1" spans="1:13">
      <c r="A5008" s="2">
        <v>328</v>
      </c>
      <c r="B5008" s="14" t="s">
        <v>327</v>
      </c>
      <c r="C5008" s="17" t="s">
        <v>872</v>
      </c>
      <c r="D5008" s="306" t="s">
        <v>873</v>
      </c>
      <c r="E5008" s="5">
        <v>2020</v>
      </c>
      <c r="F5008" s="5">
        <v>2020</v>
      </c>
      <c r="G5008" s="14" t="s">
        <v>16</v>
      </c>
      <c r="H5008" s="17">
        <v>200</v>
      </c>
      <c r="I5008" s="17">
        <v>200</v>
      </c>
      <c r="J5008" s="17"/>
      <c r="K5008" s="10"/>
      <c r="L5008" s="14" t="s">
        <v>330</v>
      </c>
      <c r="M5008" s="36" t="str">
        <f t="shared" si="78"/>
        <v>19751024</v>
      </c>
    </row>
    <row r="5009" s="1" customFormat="1" spans="1:13">
      <c r="A5009" s="2">
        <v>4568</v>
      </c>
      <c r="B5009" s="6" t="s">
        <v>9015</v>
      </c>
      <c r="C5009" s="6" t="s">
        <v>9313</v>
      </c>
      <c r="D5009" s="6" t="s">
        <v>9314</v>
      </c>
      <c r="E5009" s="6">
        <v>2020</v>
      </c>
      <c r="F5009" s="6">
        <v>2020</v>
      </c>
      <c r="G5009" s="6" t="s">
        <v>16</v>
      </c>
      <c r="H5009" s="6">
        <v>200</v>
      </c>
      <c r="I5009" s="6">
        <v>200</v>
      </c>
      <c r="J5009" s="6"/>
      <c r="K5009" s="6"/>
      <c r="L5009" s="10">
        <v>20201118</v>
      </c>
      <c r="M5009" s="36" t="str">
        <f t="shared" si="78"/>
        <v>19751024</v>
      </c>
    </row>
    <row r="5010" s="1" customFormat="1" spans="1:13">
      <c r="A5010" s="2">
        <v>5146</v>
      </c>
      <c r="B5010" s="6" t="s">
        <v>10242</v>
      </c>
      <c r="C5010" s="9" t="s">
        <v>10418</v>
      </c>
      <c r="D5010" s="9" t="s">
        <v>10419</v>
      </c>
      <c r="E5010" s="5" t="s">
        <v>10250</v>
      </c>
      <c r="F5010" s="5">
        <v>2020</v>
      </c>
      <c r="G5010" s="6" t="s">
        <v>16</v>
      </c>
      <c r="H5010" s="6">
        <v>200</v>
      </c>
      <c r="I5010" s="6">
        <v>200</v>
      </c>
      <c r="J5010" s="6" t="s">
        <v>108</v>
      </c>
      <c r="K5010" s="5"/>
      <c r="L5010" s="10">
        <v>20201118</v>
      </c>
      <c r="M5010" s="36" t="str">
        <f t="shared" si="78"/>
        <v>19751024</v>
      </c>
    </row>
    <row r="5011" s="1" customFormat="1" spans="1:13">
      <c r="A5011" s="2">
        <v>3197</v>
      </c>
      <c r="B5011" s="3" t="s">
        <v>6671</v>
      </c>
      <c r="C5011" s="9" t="s">
        <v>6904</v>
      </c>
      <c r="D5011" s="9" t="s">
        <v>6905</v>
      </c>
      <c r="E5011" s="3" t="s">
        <v>15</v>
      </c>
      <c r="F5011" s="3" t="s">
        <v>15</v>
      </c>
      <c r="G5011" s="6" t="s">
        <v>3359</v>
      </c>
      <c r="H5011" s="9">
        <v>200</v>
      </c>
      <c r="I5011" s="9">
        <v>200</v>
      </c>
      <c r="J5011" s="6"/>
      <c r="K5011" s="5"/>
      <c r="L5011" s="10">
        <v>20201118</v>
      </c>
      <c r="M5011" s="36" t="str">
        <f t="shared" si="78"/>
        <v>19751025</v>
      </c>
    </row>
    <row r="5012" s="1" customFormat="1" spans="1:13">
      <c r="A5012" s="2">
        <v>5879</v>
      </c>
      <c r="B5012" s="30" t="s">
        <v>11090</v>
      </c>
      <c r="C5012" s="30" t="s">
        <v>5762</v>
      </c>
      <c r="D5012" s="30" t="s">
        <v>11815</v>
      </c>
      <c r="E5012" s="5" t="s">
        <v>15</v>
      </c>
      <c r="F5012" s="5" t="s">
        <v>10250</v>
      </c>
      <c r="G5012" s="6" t="s">
        <v>16</v>
      </c>
      <c r="H5012" s="32">
        <v>200</v>
      </c>
      <c r="I5012" s="32">
        <v>200</v>
      </c>
      <c r="J5012" s="6"/>
      <c r="K5012" s="48"/>
      <c r="L5012" s="10">
        <v>20201118</v>
      </c>
      <c r="M5012" s="36" t="str">
        <f t="shared" si="78"/>
        <v>19751025</v>
      </c>
    </row>
    <row r="5013" s="1" customFormat="1" spans="1:13">
      <c r="A5013" s="2">
        <v>7503</v>
      </c>
      <c r="B5013" s="5" t="s">
        <v>14402</v>
      </c>
      <c r="C5013" s="5" t="s">
        <v>14619</v>
      </c>
      <c r="D5013" s="5" t="s">
        <v>14620</v>
      </c>
      <c r="E5013" s="5">
        <v>2020</v>
      </c>
      <c r="F5013" s="5">
        <v>2020</v>
      </c>
      <c r="G5013" s="17" t="s">
        <v>16</v>
      </c>
      <c r="H5013" s="5">
        <v>200</v>
      </c>
      <c r="I5013" s="5">
        <v>200</v>
      </c>
      <c r="J5013" s="5"/>
      <c r="K5013" s="10"/>
      <c r="L5013" s="10">
        <v>20201118</v>
      </c>
      <c r="M5013" s="36" t="str">
        <f t="shared" si="78"/>
        <v>19751025</v>
      </c>
    </row>
    <row r="5014" s="1" customFormat="1" spans="1:13">
      <c r="A5014" s="2">
        <v>6880</v>
      </c>
      <c r="B5014" s="5" t="s">
        <v>13533</v>
      </c>
      <c r="C5014" s="32" t="s">
        <v>13629</v>
      </c>
      <c r="D5014" s="32" t="str">
        <f>"152326197510267116"</f>
        <v>152326197510267116</v>
      </c>
      <c r="E5014" s="5">
        <v>2020</v>
      </c>
      <c r="F5014" s="5">
        <v>2020</v>
      </c>
      <c r="G5014" s="9" t="s">
        <v>2480</v>
      </c>
      <c r="H5014" s="32">
        <v>1000</v>
      </c>
      <c r="I5014" s="32">
        <v>1000</v>
      </c>
      <c r="J5014" s="32"/>
      <c r="K5014" s="10"/>
      <c r="L5014" s="10">
        <v>20201118</v>
      </c>
      <c r="M5014" s="36" t="str">
        <f t="shared" si="78"/>
        <v>19751026</v>
      </c>
    </row>
    <row r="5015" s="1" customFormat="1" spans="1:13">
      <c r="A5015" s="2">
        <v>1161</v>
      </c>
      <c r="B5015" s="5" t="s">
        <v>2469</v>
      </c>
      <c r="C5015" s="9" t="s">
        <v>2906</v>
      </c>
      <c r="D5015" s="9" t="s">
        <v>2907</v>
      </c>
      <c r="E5015" s="5">
        <v>2020</v>
      </c>
      <c r="F5015" s="5">
        <v>2020</v>
      </c>
      <c r="G5015" s="9" t="s">
        <v>2480</v>
      </c>
      <c r="H5015" s="9">
        <v>200</v>
      </c>
      <c r="I5015" s="9">
        <v>200</v>
      </c>
      <c r="J5015" s="5"/>
      <c r="K5015" s="5"/>
      <c r="L5015" s="10">
        <v>20201118</v>
      </c>
      <c r="M5015" s="36" t="str">
        <f t="shared" si="78"/>
        <v>19751027</v>
      </c>
    </row>
    <row r="5016" s="1" customFormat="1" spans="1:13">
      <c r="A5016" s="2">
        <v>1683</v>
      </c>
      <c r="B5016" s="5" t="s">
        <v>3381</v>
      </c>
      <c r="C5016" s="9" t="s">
        <v>3928</v>
      </c>
      <c r="D5016" s="9" t="s">
        <v>3929</v>
      </c>
      <c r="E5016" s="5">
        <v>2020</v>
      </c>
      <c r="F5016" s="5">
        <v>2020</v>
      </c>
      <c r="G5016" s="14" t="s">
        <v>16</v>
      </c>
      <c r="H5016" s="6">
        <v>200</v>
      </c>
      <c r="I5016" s="6">
        <v>200</v>
      </c>
      <c r="J5016" s="5"/>
      <c r="K5016" s="13"/>
      <c r="L5016" s="10">
        <v>20201118</v>
      </c>
      <c r="M5016" s="36" t="str">
        <f t="shared" si="78"/>
        <v>19751028</v>
      </c>
    </row>
    <row r="5017" s="1" customFormat="1" spans="1:13">
      <c r="A5017" s="2">
        <v>6681</v>
      </c>
      <c r="B5017" s="5" t="s">
        <v>13027</v>
      </c>
      <c r="C5017" s="15" t="s">
        <v>13338</v>
      </c>
      <c r="D5017" s="15" t="s">
        <v>13339</v>
      </c>
      <c r="E5017" s="5">
        <v>2020</v>
      </c>
      <c r="F5017" s="5">
        <v>2020</v>
      </c>
      <c r="G5017" s="14" t="s">
        <v>16</v>
      </c>
      <c r="H5017" s="15">
        <v>200</v>
      </c>
      <c r="I5017" s="15">
        <v>200</v>
      </c>
      <c r="J5017" s="5"/>
      <c r="K5017" s="10"/>
      <c r="L5017" s="10">
        <v>20201118</v>
      </c>
      <c r="M5017" s="36" t="str">
        <f t="shared" si="78"/>
        <v>19751030</v>
      </c>
    </row>
    <row r="5018" s="1" customFormat="1" spans="1:13">
      <c r="A5018" s="2">
        <v>7939</v>
      </c>
      <c r="B5018" s="5" t="s">
        <v>15086</v>
      </c>
      <c r="C5018" s="6" t="s">
        <v>15212</v>
      </c>
      <c r="D5018" s="6" t="str">
        <f>"152326197511046884"</f>
        <v>152326197511046884</v>
      </c>
      <c r="E5018" s="5" t="s">
        <v>15</v>
      </c>
      <c r="F5018" s="5">
        <v>2020</v>
      </c>
      <c r="G5018" s="5" t="s">
        <v>16</v>
      </c>
      <c r="H5018" s="5">
        <v>200</v>
      </c>
      <c r="I5018" s="5">
        <v>200</v>
      </c>
      <c r="J5018" s="5"/>
      <c r="K5018" s="5"/>
      <c r="L5018" s="10">
        <v>20201118</v>
      </c>
      <c r="M5018" s="36" t="str">
        <f t="shared" si="78"/>
        <v>19751104</v>
      </c>
    </row>
    <row r="5019" s="1" customFormat="1" spans="1:13">
      <c r="A5019" s="2">
        <v>6682</v>
      </c>
      <c r="B5019" s="5" t="s">
        <v>13027</v>
      </c>
      <c r="C5019" s="15" t="s">
        <v>13340</v>
      </c>
      <c r="D5019" s="15" t="s">
        <v>13341</v>
      </c>
      <c r="E5019" s="5">
        <v>2020</v>
      </c>
      <c r="F5019" s="5">
        <v>2020</v>
      </c>
      <c r="G5019" s="14" t="s">
        <v>16</v>
      </c>
      <c r="H5019" s="15">
        <v>200</v>
      </c>
      <c r="I5019" s="15">
        <v>200</v>
      </c>
      <c r="J5019" s="5"/>
      <c r="K5019" s="10"/>
      <c r="L5019" s="10">
        <v>20201118</v>
      </c>
      <c r="M5019" s="36" t="str">
        <f t="shared" si="78"/>
        <v>19751105</v>
      </c>
    </row>
    <row r="5020" s="1" customFormat="1" spans="1:13">
      <c r="A5020" s="2">
        <v>1162</v>
      </c>
      <c r="B5020" s="5" t="s">
        <v>2469</v>
      </c>
      <c r="C5020" s="9" t="s">
        <v>2908</v>
      </c>
      <c r="D5020" s="9" t="s">
        <v>2909</v>
      </c>
      <c r="E5020" s="5">
        <v>2020</v>
      </c>
      <c r="F5020" s="5">
        <v>2020</v>
      </c>
      <c r="G5020" s="9" t="s">
        <v>2480</v>
      </c>
      <c r="H5020" s="9">
        <v>200</v>
      </c>
      <c r="I5020" s="9">
        <v>200</v>
      </c>
      <c r="J5020" s="5"/>
      <c r="K5020" s="5"/>
      <c r="L5020" s="10">
        <v>20201118</v>
      </c>
      <c r="M5020" s="36" t="str">
        <f t="shared" si="78"/>
        <v>19751106</v>
      </c>
    </row>
    <row r="5021" s="1" customFormat="1" spans="1:13">
      <c r="A5021" s="2">
        <v>4573</v>
      </c>
      <c r="B5021" s="6" t="s">
        <v>9015</v>
      </c>
      <c r="C5021" s="6" t="s">
        <v>9323</v>
      </c>
      <c r="D5021" s="6" t="s">
        <v>9324</v>
      </c>
      <c r="E5021" s="6">
        <v>2020</v>
      </c>
      <c r="F5021" s="6">
        <v>2020</v>
      </c>
      <c r="G5021" s="6" t="s">
        <v>16</v>
      </c>
      <c r="H5021" s="6">
        <v>200</v>
      </c>
      <c r="I5021" s="6">
        <v>200</v>
      </c>
      <c r="J5021" s="6"/>
      <c r="K5021" s="6"/>
      <c r="L5021" s="10">
        <v>20201118</v>
      </c>
      <c r="M5021" s="36" t="str">
        <f t="shared" si="78"/>
        <v>19751107</v>
      </c>
    </row>
    <row r="5022" s="1" customFormat="1" spans="1:13">
      <c r="A5022" s="2">
        <v>7104</v>
      </c>
      <c r="B5022" s="5" t="s">
        <v>13533</v>
      </c>
      <c r="C5022" s="6" t="s">
        <v>11087</v>
      </c>
      <c r="D5022" s="6" t="str">
        <f>"152326197511077146"</f>
        <v>152326197511077146</v>
      </c>
      <c r="E5022" s="5">
        <v>2020</v>
      </c>
      <c r="F5022" s="5">
        <v>2020</v>
      </c>
      <c r="G5022" s="9" t="s">
        <v>2480</v>
      </c>
      <c r="H5022" s="32">
        <v>200</v>
      </c>
      <c r="I5022" s="32">
        <v>200</v>
      </c>
      <c r="J5022" s="32"/>
      <c r="K5022" s="10"/>
      <c r="L5022" s="10">
        <v>20201118</v>
      </c>
      <c r="M5022" s="36" t="str">
        <f t="shared" si="78"/>
        <v>19751107</v>
      </c>
    </row>
    <row r="5023" s="1" customFormat="1" spans="1:13">
      <c r="A5023" s="2">
        <v>5931</v>
      </c>
      <c r="B5023" s="30" t="s">
        <v>11090</v>
      </c>
      <c r="C5023" s="6" t="s">
        <v>11911</v>
      </c>
      <c r="D5023" s="306" t="s">
        <v>11912</v>
      </c>
      <c r="E5023" s="5" t="s">
        <v>15</v>
      </c>
      <c r="F5023" s="5" t="s">
        <v>10250</v>
      </c>
      <c r="G5023" s="6" t="s">
        <v>16</v>
      </c>
      <c r="H5023" s="32">
        <v>500</v>
      </c>
      <c r="I5023" s="32">
        <v>500</v>
      </c>
      <c r="J5023" s="6"/>
      <c r="K5023" s="48"/>
      <c r="L5023" s="10">
        <v>20201118</v>
      </c>
      <c r="M5023" s="36" t="str">
        <f t="shared" si="78"/>
        <v>19751109</v>
      </c>
    </row>
    <row r="5024" s="1" customFormat="1" ht="14.25" spans="1:13">
      <c r="A5024" s="2">
        <v>6075</v>
      </c>
      <c r="B5024" s="30" t="s">
        <v>11090</v>
      </c>
      <c r="C5024" s="32" t="s">
        <v>12190</v>
      </c>
      <c r="D5024" s="12" t="s">
        <v>12191</v>
      </c>
      <c r="E5024" s="5" t="s">
        <v>15</v>
      </c>
      <c r="F5024" s="5" t="s">
        <v>10250</v>
      </c>
      <c r="G5024" s="6" t="s">
        <v>16</v>
      </c>
      <c r="H5024" s="32">
        <v>200</v>
      </c>
      <c r="I5024" s="32">
        <v>200</v>
      </c>
      <c r="J5024" s="5"/>
      <c r="K5024" s="48"/>
      <c r="L5024" s="10">
        <v>20201118</v>
      </c>
      <c r="M5024" s="36" t="str">
        <f t="shared" si="78"/>
        <v>19751111</v>
      </c>
    </row>
    <row r="5025" s="1" customFormat="1" spans="1:13">
      <c r="A5025" s="2">
        <v>6683</v>
      </c>
      <c r="B5025" s="5" t="s">
        <v>13027</v>
      </c>
      <c r="C5025" s="15" t="s">
        <v>13342</v>
      </c>
      <c r="D5025" s="15" t="s">
        <v>13343</v>
      </c>
      <c r="E5025" s="5">
        <v>2020</v>
      </c>
      <c r="F5025" s="5">
        <v>2020</v>
      </c>
      <c r="G5025" s="14" t="s">
        <v>16</v>
      </c>
      <c r="H5025" s="15">
        <v>200</v>
      </c>
      <c r="I5025" s="15">
        <v>200</v>
      </c>
      <c r="J5025" s="5"/>
      <c r="K5025" s="10"/>
      <c r="L5025" s="10">
        <v>20201118</v>
      </c>
      <c r="M5025" s="36" t="str">
        <f t="shared" si="78"/>
        <v>19751111</v>
      </c>
    </row>
    <row r="5026" s="1" customFormat="1" spans="1:13">
      <c r="A5026" s="2">
        <v>762</v>
      </c>
      <c r="B5026" s="29" t="s">
        <v>1040</v>
      </c>
      <c r="C5026" s="5" t="s">
        <v>1936</v>
      </c>
      <c r="D5026" s="317" t="s">
        <v>1937</v>
      </c>
      <c r="E5026" s="30">
        <v>2020</v>
      </c>
      <c r="F5026" s="30">
        <v>2020</v>
      </c>
      <c r="G5026" s="29" t="s">
        <v>16</v>
      </c>
      <c r="H5026" s="29">
        <v>200</v>
      </c>
      <c r="I5026" s="29">
        <v>200</v>
      </c>
      <c r="J5026" s="32"/>
      <c r="K5026" s="32"/>
      <c r="L5026" s="2" t="s">
        <v>330</v>
      </c>
      <c r="M5026" s="36" t="str">
        <f t="shared" si="78"/>
        <v>19751112</v>
      </c>
    </row>
    <row r="5027" s="1" customFormat="1" spans="1:13">
      <c r="A5027" s="2">
        <v>2670</v>
      </c>
      <c r="B5027" s="32" t="s">
        <v>5602</v>
      </c>
      <c r="C5027" s="9" t="s">
        <v>5874</v>
      </c>
      <c r="D5027" s="9" t="s">
        <v>5875</v>
      </c>
      <c r="E5027" s="32">
        <v>2020</v>
      </c>
      <c r="F5027" s="32">
        <v>2020</v>
      </c>
      <c r="G5027" s="32" t="s">
        <v>16</v>
      </c>
      <c r="H5027" s="9">
        <v>200</v>
      </c>
      <c r="I5027" s="9">
        <v>200</v>
      </c>
      <c r="J5027" s="32"/>
      <c r="K5027" s="52"/>
      <c r="L5027" s="10">
        <v>20201118</v>
      </c>
      <c r="M5027" s="36" t="str">
        <f t="shared" si="78"/>
        <v>19751112</v>
      </c>
    </row>
    <row r="5028" s="1" customFormat="1" spans="1:13">
      <c r="A5028" s="2">
        <v>2671</v>
      </c>
      <c r="B5028" s="32" t="s">
        <v>5602</v>
      </c>
      <c r="C5028" s="9" t="s">
        <v>2154</v>
      </c>
      <c r="D5028" s="9" t="s">
        <v>5876</v>
      </c>
      <c r="E5028" s="32">
        <v>2020</v>
      </c>
      <c r="F5028" s="32">
        <v>2020</v>
      </c>
      <c r="G5028" s="32" t="s">
        <v>16</v>
      </c>
      <c r="H5028" s="9">
        <v>200</v>
      </c>
      <c r="I5028" s="9">
        <v>200</v>
      </c>
      <c r="J5028" s="32"/>
      <c r="K5028" s="52"/>
      <c r="L5028" s="10">
        <v>20201118</v>
      </c>
      <c r="M5028" s="36" t="str">
        <f t="shared" si="78"/>
        <v>19751112</v>
      </c>
    </row>
    <row r="5029" s="1" customFormat="1" spans="1:13">
      <c r="A5029" s="2">
        <v>5759</v>
      </c>
      <c r="B5029" s="30" t="s">
        <v>11090</v>
      </c>
      <c r="C5029" s="30" t="s">
        <v>3206</v>
      </c>
      <c r="D5029" s="30" t="s">
        <v>11599</v>
      </c>
      <c r="E5029" s="5" t="s">
        <v>15</v>
      </c>
      <c r="F5029" s="5" t="s">
        <v>10250</v>
      </c>
      <c r="G5029" s="6" t="s">
        <v>16</v>
      </c>
      <c r="H5029" s="32">
        <v>200</v>
      </c>
      <c r="I5029" s="32">
        <v>200</v>
      </c>
      <c r="J5029" s="6"/>
      <c r="K5029" s="48"/>
      <c r="L5029" s="10">
        <v>20201118</v>
      </c>
      <c r="M5029" s="36" t="str">
        <f t="shared" si="78"/>
        <v>19751112</v>
      </c>
    </row>
    <row r="5030" s="1" customFormat="1" spans="1:13">
      <c r="A5030" s="2">
        <v>6874</v>
      </c>
      <c r="B5030" s="5" t="s">
        <v>13533</v>
      </c>
      <c r="C5030" s="32" t="s">
        <v>13625</v>
      </c>
      <c r="D5030" s="32" t="str">
        <f>"152326197511127115"</f>
        <v>152326197511127115</v>
      </c>
      <c r="E5030" s="5">
        <v>2020</v>
      </c>
      <c r="F5030" s="5">
        <v>2020</v>
      </c>
      <c r="G5030" s="9" t="s">
        <v>2480</v>
      </c>
      <c r="H5030" s="32">
        <v>200</v>
      </c>
      <c r="I5030" s="32">
        <v>200</v>
      </c>
      <c r="J5030" s="32"/>
      <c r="K5030" s="10"/>
      <c r="L5030" s="10">
        <v>20201118</v>
      </c>
      <c r="M5030" s="36" t="str">
        <f t="shared" si="78"/>
        <v>19751112</v>
      </c>
    </row>
    <row r="5031" s="1" customFormat="1" spans="1:13">
      <c r="A5031" s="2">
        <v>5147</v>
      </c>
      <c r="B5031" s="6" t="s">
        <v>10242</v>
      </c>
      <c r="C5031" s="9" t="s">
        <v>10420</v>
      </c>
      <c r="D5031" s="9" t="s">
        <v>10421</v>
      </c>
      <c r="E5031" s="5" t="s">
        <v>10250</v>
      </c>
      <c r="F5031" s="5">
        <v>2020</v>
      </c>
      <c r="G5031" s="6" t="s">
        <v>16</v>
      </c>
      <c r="H5031" s="6">
        <v>200</v>
      </c>
      <c r="I5031" s="6">
        <v>200</v>
      </c>
      <c r="J5031" s="6"/>
      <c r="K5031" s="5"/>
      <c r="L5031" s="10">
        <v>20201118</v>
      </c>
      <c r="M5031" s="36" t="str">
        <f t="shared" si="78"/>
        <v>19751114</v>
      </c>
    </row>
    <row r="5032" s="1" customFormat="1" spans="1:13">
      <c r="A5032" s="2">
        <v>5833</v>
      </c>
      <c r="B5032" s="30" t="s">
        <v>11090</v>
      </c>
      <c r="C5032" s="30" t="s">
        <v>11733</v>
      </c>
      <c r="D5032" s="30" t="s">
        <v>11734</v>
      </c>
      <c r="E5032" s="5" t="s">
        <v>15</v>
      </c>
      <c r="F5032" s="5" t="s">
        <v>10250</v>
      </c>
      <c r="G5032" s="6" t="s">
        <v>16</v>
      </c>
      <c r="H5032" s="32">
        <v>200</v>
      </c>
      <c r="I5032" s="32">
        <v>200</v>
      </c>
      <c r="J5032" s="6"/>
      <c r="K5032" s="48"/>
      <c r="L5032" s="10">
        <v>20201118</v>
      </c>
      <c r="M5032" s="36" t="str">
        <f t="shared" si="78"/>
        <v>19751114</v>
      </c>
    </row>
    <row r="5033" s="1" customFormat="1" spans="1:13">
      <c r="A5033" s="2">
        <v>2299</v>
      </c>
      <c r="B5033" s="9" t="s">
        <v>4837</v>
      </c>
      <c r="C5033" s="9" t="s">
        <v>5139</v>
      </c>
      <c r="D5033" s="9" t="s">
        <v>5140</v>
      </c>
      <c r="E5033" s="6" t="s">
        <v>15</v>
      </c>
      <c r="F5033" s="6">
        <v>2020</v>
      </c>
      <c r="G5033" s="9" t="s">
        <v>2480</v>
      </c>
      <c r="H5033" s="9">
        <v>200</v>
      </c>
      <c r="I5033" s="9">
        <v>200</v>
      </c>
      <c r="J5033" s="6"/>
      <c r="K5033" s="10"/>
      <c r="L5033" s="10">
        <v>20201118</v>
      </c>
      <c r="M5033" s="36" t="str">
        <f t="shared" si="78"/>
        <v>19751118</v>
      </c>
    </row>
    <row r="5034" s="1" customFormat="1" spans="1:13">
      <c r="A5034" s="2">
        <v>2473</v>
      </c>
      <c r="B5034" s="5" t="s">
        <v>5328</v>
      </c>
      <c r="C5034" s="16" t="s">
        <v>5483</v>
      </c>
      <c r="D5034" s="16" t="s">
        <v>5484</v>
      </c>
      <c r="E5034" s="5" t="s">
        <v>15</v>
      </c>
      <c r="F5034" s="5" t="s">
        <v>15</v>
      </c>
      <c r="G5034" s="14" t="s">
        <v>16</v>
      </c>
      <c r="H5034" s="6">
        <v>200</v>
      </c>
      <c r="I5034" s="6">
        <v>200</v>
      </c>
      <c r="J5034" s="5"/>
      <c r="K5034" s="5"/>
      <c r="L5034" s="10">
        <v>20201118</v>
      </c>
      <c r="M5034" s="36" t="str">
        <f t="shared" si="78"/>
        <v>19751119</v>
      </c>
    </row>
    <row r="5035" s="1" customFormat="1" spans="1:13">
      <c r="A5035" s="2">
        <v>1684</v>
      </c>
      <c r="B5035" s="5" t="s">
        <v>3381</v>
      </c>
      <c r="C5035" s="9" t="s">
        <v>3930</v>
      </c>
      <c r="D5035" s="9" t="s">
        <v>3931</v>
      </c>
      <c r="E5035" s="5">
        <v>2020</v>
      </c>
      <c r="F5035" s="5">
        <v>2020</v>
      </c>
      <c r="G5035" s="14" t="s">
        <v>16</v>
      </c>
      <c r="H5035" s="6">
        <v>200</v>
      </c>
      <c r="I5035" s="6">
        <v>200</v>
      </c>
      <c r="J5035" s="5"/>
      <c r="K5035" s="13"/>
      <c r="L5035" s="10">
        <v>20201118</v>
      </c>
      <c r="M5035" s="36" t="str">
        <f t="shared" si="78"/>
        <v>19751120</v>
      </c>
    </row>
    <row r="5036" s="1" customFormat="1" spans="1:13">
      <c r="A5036" s="2">
        <v>3935</v>
      </c>
      <c r="B5036" s="5" t="s">
        <v>7412</v>
      </c>
      <c r="C5036" s="5" t="s">
        <v>8094</v>
      </c>
      <c r="D5036" s="5" t="s">
        <v>8095</v>
      </c>
      <c r="E5036" s="6">
        <v>2020</v>
      </c>
      <c r="F5036" s="6">
        <v>2020</v>
      </c>
      <c r="G5036" s="5" t="s">
        <v>3359</v>
      </c>
      <c r="H5036" s="5">
        <v>200</v>
      </c>
      <c r="I5036" s="5">
        <v>200</v>
      </c>
      <c r="J5036" s="5"/>
      <c r="K5036" s="5"/>
      <c r="L5036" s="10">
        <v>20201118</v>
      </c>
      <c r="M5036" s="36" t="str">
        <f t="shared" si="78"/>
        <v>19751120</v>
      </c>
    </row>
    <row r="5037" s="1" customFormat="1" spans="1:13">
      <c r="A5037" s="2">
        <v>7238</v>
      </c>
      <c r="B5037" s="5" t="s">
        <v>13908</v>
      </c>
      <c r="C5037" s="5" t="s">
        <v>14120</v>
      </c>
      <c r="D5037" s="5" t="s">
        <v>14121</v>
      </c>
      <c r="E5037" s="5" t="s">
        <v>15</v>
      </c>
      <c r="F5037" s="5" t="s">
        <v>15</v>
      </c>
      <c r="G5037" s="14" t="s">
        <v>16</v>
      </c>
      <c r="H5037" s="17">
        <v>200</v>
      </c>
      <c r="I5037" s="17">
        <v>200</v>
      </c>
      <c r="J5037" s="5"/>
      <c r="K5037" s="10"/>
      <c r="L5037" s="10">
        <v>20201118</v>
      </c>
      <c r="M5037" s="36" t="str">
        <f t="shared" si="78"/>
        <v>19751120</v>
      </c>
    </row>
    <row r="5038" s="1" customFormat="1" ht="14.25" spans="1:13">
      <c r="A5038" s="2">
        <v>3936</v>
      </c>
      <c r="B5038" s="5" t="s">
        <v>7412</v>
      </c>
      <c r="C5038" s="5" t="s">
        <v>8096</v>
      </c>
      <c r="D5038" s="309" t="s">
        <v>8097</v>
      </c>
      <c r="E5038" s="6">
        <v>2020</v>
      </c>
      <c r="F5038" s="6">
        <v>2020</v>
      </c>
      <c r="G5038" s="5" t="s">
        <v>3359</v>
      </c>
      <c r="H5038" s="5">
        <v>200</v>
      </c>
      <c r="I5038" s="5">
        <v>200</v>
      </c>
      <c r="J5038" s="5" t="s">
        <v>7435</v>
      </c>
      <c r="K5038" s="48"/>
      <c r="L5038" s="10">
        <v>20201118</v>
      </c>
      <c r="M5038" s="36" t="str">
        <f t="shared" si="78"/>
        <v>19751122</v>
      </c>
    </row>
    <row r="5039" s="1" customFormat="1" spans="1:13">
      <c r="A5039" s="2">
        <v>1973</v>
      </c>
      <c r="B5039" s="5" t="s">
        <v>4189</v>
      </c>
      <c r="C5039" s="16" t="s">
        <v>4504</v>
      </c>
      <c r="D5039" s="16" t="s">
        <v>4505</v>
      </c>
      <c r="E5039" s="5" t="s">
        <v>15</v>
      </c>
      <c r="F5039" s="5" t="s">
        <v>15</v>
      </c>
      <c r="G5039" s="5" t="s">
        <v>3359</v>
      </c>
      <c r="H5039" s="16">
        <v>200</v>
      </c>
      <c r="I5039" s="16">
        <v>200</v>
      </c>
      <c r="J5039" s="5"/>
      <c r="K5039" s="10"/>
      <c r="L5039" s="10">
        <v>20201118</v>
      </c>
      <c r="M5039" s="36" t="str">
        <f t="shared" si="78"/>
        <v>19751123</v>
      </c>
    </row>
    <row r="5040" s="1" customFormat="1" spans="1:13">
      <c r="A5040" s="2">
        <v>1975</v>
      </c>
      <c r="B5040" s="5" t="s">
        <v>4189</v>
      </c>
      <c r="C5040" s="16" t="s">
        <v>4508</v>
      </c>
      <c r="D5040" s="16" t="s">
        <v>4509</v>
      </c>
      <c r="E5040" s="5" t="s">
        <v>15</v>
      </c>
      <c r="F5040" s="5" t="s">
        <v>15</v>
      </c>
      <c r="G5040" s="5" t="s">
        <v>3359</v>
      </c>
      <c r="H5040" s="16">
        <v>200</v>
      </c>
      <c r="I5040" s="16">
        <v>200</v>
      </c>
      <c r="J5040" s="5"/>
      <c r="K5040" s="10"/>
      <c r="L5040" s="10">
        <v>20201118</v>
      </c>
      <c r="M5040" s="36" t="str">
        <f t="shared" si="78"/>
        <v>19751123</v>
      </c>
    </row>
    <row r="5041" s="1" customFormat="1" spans="1:13">
      <c r="A5041" s="2">
        <v>4772</v>
      </c>
      <c r="B5041" s="6" t="s">
        <v>9015</v>
      </c>
      <c r="C5041" s="6" t="s">
        <v>9698</v>
      </c>
      <c r="D5041" s="6" t="s">
        <v>9699</v>
      </c>
      <c r="E5041" s="6">
        <v>2020</v>
      </c>
      <c r="F5041" s="6">
        <v>2020</v>
      </c>
      <c r="G5041" s="6" t="s">
        <v>16</v>
      </c>
      <c r="H5041" s="6">
        <v>200</v>
      </c>
      <c r="I5041" s="6">
        <v>200</v>
      </c>
      <c r="J5041" s="6"/>
      <c r="K5041" s="6"/>
      <c r="L5041" s="10">
        <v>20201118</v>
      </c>
      <c r="M5041" s="36" t="str">
        <f t="shared" si="78"/>
        <v>19751123</v>
      </c>
    </row>
    <row r="5042" s="1" customFormat="1" spans="1:13">
      <c r="A5042" s="2">
        <v>1976</v>
      </c>
      <c r="B5042" s="5" t="s">
        <v>4189</v>
      </c>
      <c r="C5042" s="16" t="s">
        <v>4510</v>
      </c>
      <c r="D5042" s="16" t="s">
        <v>4511</v>
      </c>
      <c r="E5042" s="5" t="s">
        <v>15</v>
      </c>
      <c r="F5042" s="5" t="s">
        <v>15</v>
      </c>
      <c r="G5042" s="5" t="s">
        <v>3359</v>
      </c>
      <c r="H5042" s="16">
        <v>200</v>
      </c>
      <c r="I5042" s="16">
        <v>200</v>
      </c>
      <c r="J5042" s="5"/>
      <c r="K5042" s="10"/>
      <c r="L5042" s="10">
        <v>20201118</v>
      </c>
      <c r="M5042" s="36" t="str">
        <f t="shared" si="78"/>
        <v>19751127</v>
      </c>
    </row>
    <row r="5043" s="1" customFormat="1" ht="14.25" spans="1:13">
      <c r="A5043" s="2">
        <v>2891</v>
      </c>
      <c r="B5043" s="6" t="s">
        <v>6075</v>
      </c>
      <c r="C5043" s="25" t="s">
        <v>5133</v>
      </c>
      <c r="D5043" s="26" t="s">
        <v>6311</v>
      </c>
      <c r="E5043" s="5" t="s">
        <v>15</v>
      </c>
      <c r="F5043" s="5">
        <v>2020</v>
      </c>
      <c r="G5043" s="6" t="s">
        <v>16</v>
      </c>
      <c r="H5043" s="6">
        <v>200</v>
      </c>
      <c r="I5043" s="6">
        <v>200</v>
      </c>
      <c r="J5043" s="6"/>
      <c r="K5043" s="10"/>
      <c r="L5043" s="10">
        <v>20201118</v>
      </c>
      <c r="M5043" s="36" t="str">
        <f t="shared" si="78"/>
        <v>19751127</v>
      </c>
    </row>
    <row r="5044" s="1" customFormat="1" spans="1:13">
      <c r="A5044" s="2">
        <v>7348</v>
      </c>
      <c r="B5044" s="5" t="s">
        <v>13908</v>
      </c>
      <c r="C5044" s="5" t="s">
        <v>14326</v>
      </c>
      <c r="D5044" s="5" t="s">
        <v>14327</v>
      </c>
      <c r="E5044" s="5" t="s">
        <v>15</v>
      </c>
      <c r="F5044" s="5" t="s">
        <v>15</v>
      </c>
      <c r="G5044" s="14" t="s">
        <v>16</v>
      </c>
      <c r="H5044" s="17">
        <v>200</v>
      </c>
      <c r="I5044" s="17">
        <v>200</v>
      </c>
      <c r="J5044" s="5"/>
      <c r="K5044" s="10"/>
      <c r="L5044" s="10">
        <v>20201118</v>
      </c>
      <c r="M5044" s="36" t="str">
        <f t="shared" si="78"/>
        <v>19751129</v>
      </c>
    </row>
    <row r="5045" s="1" customFormat="1" spans="1:13">
      <c r="A5045" s="2">
        <v>4678</v>
      </c>
      <c r="B5045" s="6" t="s">
        <v>9015</v>
      </c>
      <c r="C5045" s="6" t="s">
        <v>9519</v>
      </c>
      <c r="D5045" s="6" t="s">
        <v>9520</v>
      </c>
      <c r="E5045" s="6">
        <v>2020</v>
      </c>
      <c r="F5045" s="6">
        <v>2020</v>
      </c>
      <c r="G5045" s="6" t="s">
        <v>16</v>
      </c>
      <c r="H5045" s="6">
        <v>200</v>
      </c>
      <c r="I5045" s="6">
        <v>200</v>
      </c>
      <c r="J5045" s="6"/>
      <c r="K5045" s="6"/>
      <c r="L5045" s="10">
        <v>20201118</v>
      </c>
      <c r="M5045" s="36" t="str">
        <f t="shared" si="78"/>
        <v>19751203</v>
      </c>
    </row>
    <row r="5046" s="1" customFormat="1" spans="1:13">
      <c r="A5046" s="2">
        <v>6319</v>
      </c>
      <c r="B5046" s="5" t="s">
        <v>12263</v>
      </c>
      <c r="C5046" s="5" t="s">
        <v>12655</v>
      </c>
      <c r="D5046" s="5" t="s">
        <v>12656</v>
      </c>
      <c r="E5046" s="5" t="s">
        <v>10250</v>
      </c>
      <c r="F5046" s="5">
        <v>2020</v>
      </c>
      <c r="G5046" s="17" t="s">
        <v>3359</v>
      </c>
      <c r="H5046" s="5">
        <v>500</v>
      </c>
      <c r="I5046" s="5">
        <v>500</v>
      </c>
      <c r="J5046" s="5"/>
      <c r="K5046" s="5"/>
      <c r="L5046" s="10">
        <v>20201118</v>
      </c>
      <c r="M5046" s="36" t="str">
        <f t="shared" si="78"/>
        <v>19751204</v>
      </c>
    </row>
    <row r="5047" s="1" customFormat="1" spans="1:13">
      <c r="A5047" s="2">
        <v>1163</v>
      </c>
      <c r="B5047" s="5" t="s">
        <v>2469</v>
      </c>
      <c r="C5047" s="9" t="s">
        <v>2910</v>
      </c>
      <c r="D5047" s="9" t="s">
        <v>2911</v>
      </c>
      <c r="E5047" s="5">
        <v>2020</v>
      </c>
      <c r="F5047" s="5">
        <v>2020</v>
      </c>
      <c r="G5047" s="9" t="s">
        <v>2480</v>
      </c>
      <c r="H5047" s="9">
        <v>200</v>
      </c>
      <c r="I5047" s="9">
        <v>200</v>
      </c>
      <c r="J5047" s="5"/>
      <c r="K5047" s="5"/>
      <c r="L5047" s="10">
        <v>20201118</v>
      </c>
      <c r="M5047" s="36" t="str">
        <f t="shared" si="78"/>
        <v>19751206</v>
      </c>
    </row>
    <row r="5048" s="1" customFormat="1" spans="1:13">
      <c r="A5048" s="2">
        <v>1685</v>
      </c>
      <c r="B5048" s="5" t="s">
        <v>3381</v>
      </c>
      <c r="C5048" s="9" t="s">
        <v>3932</v>
      </c>
      <c r="D5048" s="9" t="s">
        <v>3933</v>
      </c>
      <c r="E5048" s="5">
        <v>2020</v>
      </c>
      <c r="F5048" s="5">
        <v>2020</v>
      </c>
      <c r="G5048" s="14" t="s">
        <v>16</v>
      </c>
      <c r="H5048" s="6">
        <v>200</v>
      </c>
      <c r="I5048" s="6">
        <v>200</v>
      </c>
      <c r="J5048" s="5"/>
      <c r="K5048" s="13"/>
      <c r="L5048" s="10">
        <v>20201118</v>
      </c>
      <c r="M5048" s="36" t="str">
        <f t="shared" si="78"/>
        <v>19751207</v>
      </c>
    </row>
    <row r="5049" s="1" customFormat="1" ht="14.25" spans="1:13">
      <c r="A5049" s="2">
        <v>7806</v>
      </c>
      <c r="B5049" s="5" t="s">
        <v>14875</v>
      </c>
      <c r="C5049" s="6" t="s">
        <v>15059</v>
      </c>
      <c r="D5049" s="6" t="str">
        <f>"152326197512077121"</f>
        <v>152326197512077121</v>
      </c>
      <c r="E5049" s="6" t="s">
        <v>15</v>
      </c>
      <c r="F5049" s="6">
        <v>2020</v>
      </c>
      <c r="G5049" s="24" t="s">
        <v>14877</v>
      </c>
      <c r="H5049" s="6">
        <v>200</v>
      </c>
      <c r="I5049" s="6">
        <v>200</v>
      </c>
      <c r="J5049" s="6"/>
      <c r="K5049" s="10"/>
      <c r="L5049" s="10">
        <v>20201118</v>
      </c>
      <c r="M5049" s="36" t="str">
        <f t="shared" si="78"/>
        <v>19751207</v>
      </c>
    </row>
    <row r="5050" s="1" customFormat="1" spans="1:13">
      <c r="A5050" s="2">
        <v>4823</v>
      </c>
      <c r="B5050" s="6" t="s">
        <v>9015</v>
      </c>
      <c r="C5050" s="6" t="s">
        <v>9794</v>
      </c>
      <c r="D5050" s="293" t="s">
        <v>9795</v>
      </c>
      <c r="E5050" s="6">
        <v>2020</v>
      </c>
      <c r="F5050" s="6">
        <v>2020</v>
      </c>
      <c r="G5050" s="6" t="s">
        <v>16</v>
      </c>
      <c r="H5050" s="6">
        <v>200</v>
      </c>
      <c r="I5050" s="6">
        <v>200</v>
      </c>
      <c r="J5050" s="6"/>
      <c r="K5050" s="6"/>
      <c r="L5050" s="10">
        <v>20201118</v>
      </c>
      <c r="M5050" s="36" t="str">
        <f t="shared" si="78"/>
        <v>19751208</v>
      </c>
    </row>
    <row r="5051" s="1" customFormat="1" ht="14.25" spans="1:13">
      <c r="A5051" s="2">
        <v>7682</v>
      </c>
      <c r="B5051" s="5" t="s">
        <v>14875</v>
      </c>
      <c r="C5051" s="51" t="s">
        <v>14925</v>
      </c>
      <c r="D5051" s="24" t="str">
        <f>"152326197512087135"</f>
        <v>152326197512087135</v>
      </c>
      <c r="E5051" s="6" t="s">
        <v>15</v>
      </c>
      <c r="F5051" s="6">
        <v>2020</v>
      </c>
      <c r="G5051" s="24" t="s">
        <v>14877</v>
      </c>
      <c r="H5051" s="6">
        <v>200</v>
      </c>
      <c r="I5051" s="6">
        <v>200</v>
      </c>
      <c r="J5051" s="6"/>
      <c r="K5051" s="10"/>
      <c r="L5051" s="10">
        <v>20201118</v>
      </c>
      <c r="M5051" s="36" t="str">
        <f t="shared" si="78"/>
        <v>19751208</v>
      </c>
    </row>
    <row r="5052" s="1" customFormat="1" spans="1:13">
      <c r="A5052" s="2">
        <v>4515</v>
      </c>
      <c r="B5052" s="6" t="s">
        <v>9015</v>
      </c>
      <c r="C5052" s="6" t="s">
        <v>9212</v>
      </c>
      <c r="D5052" s="6" t="s">
        <v>9213</v>
      </c>
      <c r="E5052" s="6">
        <v>2020</v>
      </c>
      <c r="F5052" s="6">
        <v>2020</v>
      </c>
      <c r="G5052" s="6" t="s">
        <v>16</v>
      </c>
      <c r="H5052" s="6">
        <v>200</v>
      </c>
      <c r="I5052" s="6">
        <v>200</v>
      </c>
      <c r="J5052" s="6"/>
      <c r="K5052" s="6"/>
      <c r="L5052" s="10">
        <v>20201118</v>
      </c>
      <c r="M5052" s="36" t="str">
        <f t="shared" si="78"/>
        <v>19751209</v>
      </c>
    </row>
    <row r="5053" s="1" customFormat="1" spans="1:13">
      <c r="A5053" s="2">
        <v>7499</v>
      </c>
      <c r="B5053" s="5" t="s">
        <v>14402</v>
      </c>
      <c r="C5053" s="5" t="s">
        <v>9289</v>
      </c>
      <c r="D5053" s="5" t="s">
        <v>14612</v>
      </c>
      <c r="E5053" s="5">
        <v>2020</v>
      </c>
      <c r="F5053" s="5">
        <v>2020</v>
      </c>
      <c r="G5053" s="17" t="s">
        <v>16</v>
      </c>
      <c r="H5053" s="5">
        <v>200</v>
      </c>
      <c r="I5053" s="5">
        <v>200</v>
      </c>
      <c r="J5053" s="5"/>
      <c r="K5053" s="10"/>
      <c r="L5053" s="10">
        <v>20201118</v>
      </c>
      <c r="M5053" s="36" t="str">
        <f t="shared" si="78"/>
        <v>19751210</v>
      </c>
    </row>
    <row r="5054" s="1" customFormat="1" spans="1:13">
      <c r="A5054" s="2">
        <v>92</v>
      </c>
      <c r="B5054" s="3" t="s">
        <v>12</v>
      </c>
      <c r="C5054" s="6" t="s">
        <v>200</v>
      </c>
      <c r="D5054" s="6" t="s">
        <v>201</v>
      </c>
      <c r="E5054" s="3" t="s">
        <v>15</v>
      </c>
      <c r="F5054" s="3" t="s">
        <v>15</v>
      </c>
      <c r="G5054" s="2" t="s">
        <v>16</v>
      </c>
      <c r="H5054" s="3">
        <v>500</v>
      </c>
      <c r="I5054" s="3">
        <v>500</v>
      </c>
      <c r="J5054" s="3"/>
      <c r="K5054" s="3"/>
      <c r="L5054" s="10">
        <v>20201118</v>
      </c>
      <c r="M5054" s="36" t="str">
        <f t="shared" si="78"/>
        <v>19751211</v>
      </c>
    </row>
    <row r="5055" s="1" customFormat="1" spans="1:13">
      <c r="A5055" s="2">
        <v>7237</v>
      </c>
      <c r="B5055" s="5" t="s">
        <v>13908</v>
      </c>
      <c r="C5055" s="5" t="s">
        <v>14118</v>
      </c>
      <c r="D5055" s="5" t="s">
        <v>14119</v>
      </c>
      <c r="E5055" s="5" t="s">
        <v>15</v>
      </c>
      <c r="F5055" s="5" t="s">
        <v>15</v>
      </c>
      <c r="G5055" s="14" t="s">
        <v>16</v>
      </c>
      <c r="H5055" s="17">
        <v>200</v>
      </c>
      <c r="I5055" s="17">
        <v>200</v>
      </c>
      <c r="J5055" s="5"/>
      <c r="K5055" s="10"/>
      <c r="L5055" s="10">
        <v>20201118</v>
      </c>
      <c r="M5055" s="36" t="str">
        <f t="shared" si="78"/>
        <v>19751211</v>
      </c>
    </row>
    <row r="5056" s="1" customFormat="1" spans="1:13">
      <c r="A5056" s="2">
        <v>4877</v>
      </c>
      <c r="B5056" s="6" t="s">
        <v>9015</v>
      </c>
      <c r="C5056" s="6" t="s">
        <v>9896</v>
      </c>
      <c r="D5056" s="293" t="s">
        <v>9897</v>
      </c>
      <c r="E5056" s="6">
        <v>2020</v>
      </c>
      <c r="F5056" s="6">
        <v>2020</v>
      </c>
      <c r="G5056" s="6" t="s">
        <v>16</v>
      </c>
      <c r="H5056" s="6">
        <v>200</v>
      </c>
      <c r="I5056" s="6">
        <v>200</v>
      </c>
      <c r="J5056" s="6"/>
      <c r="K5056" s="6"/>
      <c r="L5056" s="10">
        <v>20201118</v>
      </c>
      <c r="M5056" s="36" t="str">
        <f t="shared" si="78"/>
        <v>19751212</v>
      </c>
    </row>
    <row r="5057" s="1" customFormat="1" spans="1:13">
      <c r="A5057" s="2">
        <v>7937</v>
      </c>
      <c r="B5057" s="5" t="s">
        <v>15086</v>
      </c>
      <c r="C5057" s="6" t="s">
        <v>15210</v>
      </c>
      <c r="D5057" s="6" t="str">
        <f>"152326197512126886"</f>
        <v>152326197512126886</v>
      </c>
      <c r="E5057" s="5" t="s">
        <v>15</v>
      </c>
      <c r="F5057" s="5">
        <v>2020</v>
      </c>
      <c r="G5057" s="5" t="s">
        <v>16</v>
      </c>
      <c r="H5057" s="5">
        <v>200</v>
      </c>
      <c r="I5057" s="5">
        <v>200</v>
      </c>
      <c r="J5057" s="5"/>
      <c r="K5057" s="5"/>
      <c r="L5057" s="10">
        <v>20201118</v>
      </c>
      <c r="M5057" s="36" t="str">
        <f t="shared" si="78"/>
        <v>19751212</v>
      </c>
    </row>
    <row r="5058" s="1" customFormat="1" ht="14.25" spans="1:13">
      <c r="A5058" s="2">
        <v>3187</v>
      </c>
      <c r="B5058" s="3" t="s">
        <v>6671</v>
      </c>
      <c r="C5058" s="8" t="s">
        <v>6884</v>
      </c>
      <c r="D5058" s="8" t="s">
        <v>6885</v>
      </c>
      <c r="E5058" s="3" t="s">
        <v>15</v>
      </c>
      <c r="F5058" s="3" t="s">
        <v>15</v>
      </c>
      <c r="G5058" s="6" t="s">
        <v>3359</v>
      </c>
      <c r="H5058" s="9">
        <v>200</v>
      </c>
      <c r="I5058" s="9">
        <v>200</v>
      </c>
      <c r="J5058" s="6"/>
      <c r="K5058" s="5"/>
      <c r="L5058" s="10">
        <v>20201118</v>
      </c>
      <c r="M5058" s="36" t="str">
        <f t="shared" ref="M5058:M5121" si="79">MID(D5058,7,8)</f>
        <v>19751214</v>
      </c>
    </row>
    <row r="5059" s="1" customFormat="1" spans="1:13">
      <c r="A5059" s="2">
        <v>4329</v>
      </c>
      <c r="B5059" s="9" t="s">
        <v>8515</v>
      </c>
      <c r="C5059" s="9" t="s">
        <v>8848</v>
      </c>
      <c r="D5059" s="9" t="s">
        <v>8849</v>
      </c>
      <c r="E5059" s="5" t="s">
        <v>15</v>
      </c>
      <c r="F5059" s="5">
        <v>2020</v>
      </c>
      <c r="G5059" s="9" t="s">
        <v>2480</v>
      </c>
      <c r="H5059" s="9">
        <v>200</v>
      </c>
      <c r="I5059" s="9">
        <v>200</v>
      </c>
      <c r="J5059" s="9"/>
      <c r="K5059" s="9"/>
      <c r="L5059" s="10">
        <v>20201118</v>
      </c>
      <c r="M5059" s="36" t="str">
        <f t="shared" si="79"/>
        <v>19751214</v>
      </c>
    </row>
    <row r="5060" s="1" customFormat="1" spans="1:13">
      <c r="A5060" s="2">
        <v>673</v>
      </c>
      <c r="B5060" s="29" t="s">
        <v>1040</v>
      </c>
      <c r="C5060" s="47" t="s">
        <v>1671</v>
      </c>
      <c r="D5060" s="47" t="s">
        <v>1672</v>
      </c>
      <c r="E5060" s="30">
        <v>2020</v>
      </c>
      <c r="F5060" s="30">
        <v>2020</v>
      </c>
      <c r="G5060" s="29" t="s">
        <v>16</v>
      </c>
      <c r="H5060" s="29">
        <v>200</v>
      </c>
      <c r="I5060" s="29">
        <v>200</v>
      </c>
      <c r="J5060" s="29"/>
      <c r="K5060" s="54"/>
      <c r="L5060" s="14" t="s">
        <v>330</v>
      </c>
      <c r="M5060" s="36" t="str">
        <f t="shared" si="79"/>
        <v>19751216</v>
      </c>
    </row>
    <row r="5061" s="1" customFormat="1" spans="1:13">
      <c r="A5061" s="2">
        <v>7108</v>
      </c>
      <c r="B5061" s="5" t="s">
        <v>13533</v>
      </c>
      <c r="C5061" s="6" t="s">
        <v>13877</v>
      </c>
      <c r="D5061" s="6" t="s">
        <v>13878</v>
      </c>
      <c r="E5061" s="5">
        <v>2020</v>
      </c>
      <c r="F5061" s="5">
        <v>2020</v>
      </c>
      <c r="G5061" s="9" t="s">
        <v>2480</v>
      </c>
      <c r="H5061" s="32">
        <v>200</v>
      </c>
      <c r="I5061" s="32">
        <v>200</v>
      </c>
      <c r="J5061" s="32"/>
      <c r="K5061" s="10"/>
      <c r="L5061" s="10">
        <v>20201118</v>
      </c>
      <c r="M5061" s="36" t="str">
        <f t="shared" si="79"/>
        <v>19751216</v>
      </c>
    </row>
    <row r="5062" s="1" customFormat="1" ht="14.25" spans="1:13">
      <c r="A5062" s="2">
        <v>1686</v>
      </c>
      <c r="B5062" s="5" t="s">
        <v>3381</v>
      </c>
      <c r="C5062" s="9" t="s">
        <v>3934</v>
      </c>
      <c r="D5062" s="9" t="s">
        <v>3935</v>
      </c>
      <c r="E5062" s="5">
        <v>2020</v>
      </c>
      <c r="F5062" s="5">
        <v>2020</v>
      </c>
      <c r="G5062" s="14" t="s">
        <v>16</v>
      </c>
      <c r="H5062" s="6">
        <v>200</v>
      </c>
      <c r="I5062" s="6">
        <v>200</v>
      </c>
      <c r="J5062" s="24" t="s">
        <v>1242</v>
      </c>
      <c r="K5062" s="13"/>
      <c r="L5062" s="10">
        <v>20201118</v>
      </c>
      <c r="M5062" s="36" t="str">
        <f t="shared" si="79"/>
        <v>19751218</v>
      </c>
    </row>
    <row r="5063" s="1" customFormat="1" spans="1:13">
      <c r="A5063" s="2">
        <v>7502</v>
      </c>
      <c r="B5063" s="5" t="s">
        <v>14402</v>
      </c>
      <c r="C5063" s="5" t="s">
        <v>14617</v>
      </c>
      <c r="D5063" s="5" t="s">
        <v>14618</v>
      </c>
      <c r="E5063" s="5">
        <v>2020</v>
      </c>
      <c r="F5063" s="5">
        <v>2020</v>
      </c>
      <c r="G5063" s="17" t="s">
        <v>16</v>
      </c>
      <c r="H5063" s="5">
        <v>200</v>
      </c>
      <c r="I5063" s="5">
        <v>200</v>
      </c>
      <c r="J5063" s="5"/>
      <c r="K5063" s="10"/>
      <c r="L5063" s="10">
        <v>20201118</v>
      </c>
      <c r="M5063" s="36" t="str">
        <f t="shared" si="79"/>
        <v>19751219</v>
      </c>
    </row>
    <row r="5064" s="1" customFormat="1" spans="1:13">
      <c r="A5064" s="2">
        <v>3937</v>
      </c>
      <c r="B5064" s="5" t="s">
        <v>7412</v>
      </c>
      <c r="C5064" s="5" t="s">
        <v>8098</v>
      </c>
      <c r="D5064" s="5" t="s">
        <v>8099</v>
      </c>
      <c r="E5064" s="6">
        <v>2020</v>
      </c>
      <c r="F5064" s="6">
        <v>2020</v>
      </c>
      <c r="G5064" s="5" t="s">
        <v>3359</v>
      </c>
      <c r="H5064" s="5">
        <v>200</v>
      </c>
      <c r="I5064" s="5">
        <v>200</v>
      </c>
      <c r="J5064" s="5"/>
      <c r="K5064" s="5"/>
      <c r="L5064" s="10">
        <v>20201118</v>
      </c>
      <c r="M5064" s="36" t="str">
        <f t="shared" si="79"/>
        <v>19751220</v>
      </c>
    </row>
    <row r="5065" s="1" customFormat="1" spans="1:13">
      <c r="A5065" s="2">
        <v>3938</v>
      </c>
      <c r="B5065" s="5" t="s">
        <v>7412</v>
      </c>
      <c r="C5065" s="5" t="s">
        <v>8100</v>
      </c>
      <c r="D5065" s="5" t="s">
        <v>8101</v>
      </c>
      <c r="E5065" s="6">
        <v>2020</v>
      </c>
      <c r="F5065" s="6">
        <v>2020</v>
      </c>
      <c r="G5065" s="5" t="s">
        <v>3359</v>
      </c>
      <c r="H5065" s="5">
        <v>200</v>
      </c>
      <c r="I5065" s="5">
        <v>200</v>
      </c>
      <c r="J5065" s="5"/>
      <c r="K5065" s="5"/>
      <c r="L5065" s="10">
        <v>20201118</v>
      </c>
      <c r="M5065" s="36" t="str">
        <f t="shared" si="79"/>
        <v>19751220</v>
      </c>
    </row>
    <row r="5066" s="1" customFormat="1" spans="1:13">
      <c r="A5066" s="2">
        <v>7929</v>
      </c>
      <c r="B5066" s="5" t="s">
        <v>15086</v>
      </c>
      <c r="C5066" s="6" t="s">
        <v>1369</v>
      </c>
      <c r="D5066" s="6" t="str">
        <f>"152326197512216865"</f>
        <v>152326197512216865</v>
      </c>
      <c r="E5066" s="5" t="s">
        <v>15</v>
      </c>
      <c r="F5066" s="5">
        <v>2020</v>
      </c>
      <c r="G5066" s="5" t="s">
        <v>16</v>
      </c>
      <c r="H5066" s="5">
        <v>200</v>
      </c>
      <c r="I5066" s="5">
        <v>200</v>
      </c>
      <c r="J5066" s="5"/>
      <c r="K5066" s="5"/>
      <c r="L5066" s="10">
        <v>20201118</v>
      </c>
      <c r="M5066" s="36" t="str">
        <f t="shared" si="79"/>
        <v>19751221</v>
      </c>
    </row>
    <row r="5067" s="1" customFormat="1" spans="1:13">
      <c r="A5067" s="2">
        <v>662</v>
      </c>
      <c r="B5067" s="29" t="s">
        <v>1040</v>
      </c>
      <c r="C5067" s="47" t="s">
        <v>1639</v>
      </c>
      <c r="D5067" s="47" t="s">
        <v>1640</v>
      </c>
      <c r="E5067" s="30">
        <v>2020</v>
      </c>
      <c r="F5067" s="30">
        <v>2020</v>
      </c>
      <c r="G5067" s="29" t="s">
        <v>16</v>
      </c>
      <c r="H5067" s="29">
        <v>200</v>
      </c>
      <c r="I5067" s="29">
        <v>200</v>
      </c>
      <c r="J5067" s="29"/>
      <c r="K5067" s="47"/>
      <c r="L5067" s="2" t="s">
        <v>330</v>
      </c>
      <c r="M5067" s="36" t="str">
        <f t="shared" si="79"/>
        <v>19751225</v>
      </c>
    </row>
    <row r="5068" s="1" customFormat="1" spans="1:13">
      <c r="A5068" s="2">
        <v>3561</v>
      </c>
      <c r="B5068" s="5" t="s">
        <v>3375</v>
      </c>
      <c r="C5068" s="5" t="s">
        <v>7392</v>
      </c>
      <c r="D5068" s="296" t="s">
        <v>7393</v>
      </c>
      <c r="E5068" s="5" t="s">
        <v>15</v>
      </c>
      <c r="F5068" s="5">
        <v>2020</v>
      </c>
      <c r="G5068" s="14" t="s">
        <v>16</v>
      </c>
      <c r="H5068" s="5">
        <v>200</v>
      </c>
      <c r="I5068" s="5">
        <v>200</v>
      </c>
      <c r="J5068" s="5"/>
      <c r="K5068" s="10"/>
      <c r="L5068" s="10">
        <v>20201118</v>
      </c>
      <c r="M5068" s="36" t="str">
        <f t="shared" si="79"/>
        <v>19751226</v>
      </c>
    </row>
    <row r="5069" s="1" customFormat="1" spans="1:13">
      <c r="A5069" s="2">
        <v>5710</v>
      </c>
      <c r="B5069" s="30" t="s">
        <v>11090</v>
      </c>
      <c r="C5069" s="30" t="s">
        <v>11505</v>
      </c>
      <c r="D5069" s="30" t="s">
        <v>11506</v>
      </c>
      <c r="E5069" s="5" t="s">
        <v>15</v>
      </c>
      <c r="F5069" s="5" t="s">
        <v>10250</v>
      </c>
      <c r="G5069" s="6" t="s">
        <v>16</v>
      </c>
      <c r="H5069" s="32">
        <v>200</v>
      </c>
      <c r="I5069" s="32">
        <v>200</v>
      </c>
      <c r="J5069" s="6"/>
      <c r="K5069" s="48"/>
      <c r="L5069" s="10">
        <v>20201118</v>
      </c>
      <c r="M5069" s="36" t="str">
        <f t="shared" si="79"/>
        <v>19751226</v>
      </c>
    </row>
    <row r="5070" s="1" customFormat="1" spans="1:13">
      <c r="A5070" s="2">
        <v>3357</v>
      </c>
      <c r="B5070" s="5" t="s">
        <v>3375</v>
      </c>
      <c r="C5070" s="6" t="s">
        <v>7132</v>
      </c>
      <c r="D5070" s="6" t="str">
        <f>"152326197512276892"</f>
        <v>152326197512276892</v>
      </c>
      <c r="E5070" s="5" t="s">
        <v>15</v>
      </c>
      <c r="F5070" s="5">
        <v>2020</v>
      </c>
      <c r="G5070" s="14" t="s">
        <v>16</v>
      </c>
      <c r="H5070" s="17">
        <v>200</v>
      </c>
      <c r="I5070" s="17">
        <v>200</v>
      </c>
      <c r="J5070" s="6"/>
      <c r="K5070" s="10"/>
      <c r="L5070" s="10">
        <v>20201118</v>
      </c>
      <c r="M5070" s="36" t="str">
        <f t="shared" si="79"/>
        <v>19751227</v>
      </c>
    </row>
    <row r="5071" s="1" customFormat="1" spans="1:13">
      <c r="A5071" s="2">
        <v>3939</v>
      </c>
      <c r="B5071" s="5" t="s">
        <v>7412</v>
      </c>
      <c r="C5071" s="5" t="s">
        <v>8102</v>
      </c>
      <c r="D5071" s="5" t="s">
        <v>8103</v>
      </c>
      <c r="E5071" s="6">
        <v>2020</v>
      </c>
      <c r="F5071" s="6">
        <v>2020</v>
      </c>
      <c r="G5071" s="5" t="s">
        <v>3359</v>
      </c>
      <c r="H5071" s="5">
        <v>200</v>
      </c>
      <c r="I5071" s="5">
        <v>200</v>
      </c>
      <c r="J5071" s="5"/>
      <c r="K5071" s="5"/>
      <c r="L5071" s="10">
        <v>20201118</v>
      </c>
      <c r="M5071" s="36" t="str">
        <f t="shared" si="79"/>
        <v>19751228</v>
      </c>
    </row>
    <row r="5072" s="1" customFormat="1" spans="1:13">
      <c r="A5072" s="2">
        <v>199</v>
      </c>
      <c r="B5072" s="14" t="s">
        <v>327</v>
      </c>
      <c r="C5072" s="14" t="s">
        <v>485</v>
      </c>
      <c r="D5072" s="14" t="s">
        <v>486</v>
      </c>
      <c r="E5072" s="5">
        <v>2020</v>
      </c>
      <c r="F5072" s="5">
        <v>2020</v>
      </c>
      <c r="G5072" s="14" t="s">
        <v>16</v>
      </c>
      <c r="H5072" s="14">
        <v>200</v>
      </c>
      <c r="I5072" s="14">
        <v>200</v>
      </c>
      <c r="J5072" s="14"/>
      <c r="K5072" s="10"/>
      <c r="L5072" s="2" t="s">
        <v>330</v>
      </c>
      <c r="M5072" s="36" t="str">
        <f t="shared" si="79"/>
        <v>19760101</v>
      </c>
    </row>
    <row r="5073" s="1" customFormat="1" spans="1:13">
      <c r="A5073" s="2">
        <v>2474</v>
      </c>
      <c r="B5073" s="5" t="s">
        <v>5328</v>
      </c>
      <c r="C5073" s="16" t="s">
        <v>5485</v>
      </c>
      <c r="D5073" s="16" t="s">
        <v>5486</v>
      </c>
      <c r="E5073" s="5" t="s">
        <v>15</v>
      </c>
      <c r="F5073" s="5" t="s">
        <v>15</v>
      </c>
      <c r="G5073" s="14" t="s">
        <v>16</v>
      </c>
      <c r="H5073" s="6">
        <v>200</v>
      </c>
      <c r="I5073" s="6">
        <v>200</v>
      </c>
      <c r="J5073" s="5"/>
      <c r="K5073" s="5"/>
      <c r="L5073" s="10">
        <v>20201118</v>
      </c>
      <c r="M5073" s="36" t="str">
        <f t="shared" si="79"/>
        <v>19760101</v>
      </c>
    </row>
    <row r="5074" s="1" customFormat="1" spans="1:13">
      <c r="A5074" s="2">
        <v>1796</v>
      </c>
      <c r="B5074" s="5" t="s">
        <v>3381</v>
      </c>
      <c r="C5074" s="9" t="s">
        <v>4154</v>
      </c>
      <c r="D5074" s="9" t="s">
        <v>4155</v>
      </c>
      <c r="E5074" s="5">
        <v>2020</v>
      </c>
      <c r="F5074" s="5">
        <v>2020</v>
      </c>
      <c r="G5074" s="5" t="s">
        <v>189</v>
      </c>
      <c r="H5074" s="6">
        <v>1000</v>
      </c>
      <c r="I5074" s="6">
        <v>1000</v>
      </c>
      <c r="J5074" s="5"/>
      <c r="K5074" s="13"/>
      <c r="L5074" s="10">
        <v>20201118</v>
      </c>
      <c r="M5074" s="36" t="str">
        <f t="shared" si="79"/>
        <v>19760102</v>
      </c>
    </row>
    <row r="5075" s="1" customFormat="1" spans="1:13">
      <c r="A5075" s="2">
        <v>620</v>
      </c>
      <c r="B5075" s="29" t="s">
        <v>1040</v>
      </c>
      <c r="C5075" s="29" t="s">
        <v>1516</v>
      </c>
      <c r="D5075" s="29" t="s">
        <v>1517</v>
      </c>
      <c r="E5075" s="30">
        <v>2020</v>
      </c>
      <c r="F5075" s="30">
        <v>2020</v>
      </c>
      <c r="G5075" s="29" t="s">
        <v>16</v>
      </c>
      <c r="H5075" s="29">
        <v>200</v>
      </c>
      <c r="I5075" s="29">
        <v>200</v>
      </c>
      <c r="J5075" s="29"/>
      <c r="K5075" s="47"/>
      <c r="L5075" s="2" t="s">
        <v>330</v>
      </c>
      <c r="M5075" s="36" t="str">
        <f t="shared" si="79"/>
        <v>19760103</v>
      </c>
    </row>
    <row r="5076" s="1" customFormat="1" spans="1:13">
      <c r="A5076" s="2">
        <v>3340</v>
      </c>
      <c r="B5076" s="5" t="s">
        <v>3375</v>
      </c>
      <c r="C5076" s="6" t="s">
        <v>4975</v>
      </c>
      <c r="D5076" s="6" t="str">
        <f>"152326197601036874"</f>
        <v>152326197601036874</v>
      </c>
      <c r="E5076" s="5" t="s">
        <v>15</v>
      </c>
      <c r="F5076" s="5">
        <v>2020</v>
      </c>
      <c r="G5076" s="14" t="s">
        <v>16</v>
      </c>
      <c r="H5076" s="17">
        <v>200</v>
      </c>
      <c r="I5076" s="17">
        <v>200</v>
      </c>
      <c r="J5076" s="6"/>
      <c r="K5076" s="10"/>
      <c r="L5076" s="10">
        <v>20201118</v>
      </c>
      <c r="M5076" s="36" t="str">
        <f t="shared" si="79"/>
        <v>19760103</v>
      </c>
    </row>
    <row r="5077" s="1" customFormat="1" spans="1:13">
      <c r="A5077" s="2">
        <v>5610</v>
      </c>
      <c r="B5077" s="30" t="s">
        <v>11090</v>
      </c>
      <c r="C5077" s="30" t="s">
        <v>11311</v>
      </c>
      <c r="D5077" s="30" t="s">
        <v>11312</v>
      </c>
      <c r="E5077" s="5" t="s">
        <v>15</v>
      </c>
      <c r="F5077" s="5" t="s">
        <v>10250</v>
      </c>
      <c r="G5077" s="6" t="s">
        <v>16</v>
      </c>
      <c r="H5077" s="32">
        <v>200</v>
      </c>
      <c r="I5077" s="32">
        <v>200</v>
      </c>
      <c r="J5077" s="6"/>
      <c r="K5077" s="48"/>
      <c r="L5077" s="10">
        <v>20201118</v>
      </c>
      <c r="M5077" s="36" t="str">
        <f t="shared" si="79"/>
        <v>19760103</v>
      </c>
    </row>
    <row r="5078" s="1" customFormat="1" spans="1:13">
      <c r="A5078" s="2">
        <v>5670</v>
      </c>
      <c r="B5078" s="30" t="s">
        <v>11090</v>
      </c>
      <c r="C5078" s="30" t="s">
        <v>11425</v>
      </c>
      <c r="D5078" s="30" t="s">
        <v>11426</v>
      </c>
      <c r="E5078" s="5" t="s">
        <v>15</v>
      </c>
      <c r="F5078" s="5" t="s">
        <v>10250</v>
      </c>
      <c r="G5078" s="6" t="s">
        <v>16</v>
      </c>
      <c r="H5078" s="32">
        <v>200</v>
      </c>
      <c r="I5078" s="32">
        <v>200</v>
      </c>
      <c r="J5078" s="6"/>
      <c r="K5078" s="48"/>
      <c r="L5078" s="10">
        <v>20201118</v>
      </c>
      <c r="M5078" s="36" t="str">
        <f t="shared" si="79"/>
        <v>19760104</v>
      </c>
    </row>
    <row r="5079" s="1" customFormat="1" spans="1:13">
      <c r="A5079" s="2">
        <v>4551</v>
      </c>
      <c r="B5079" s="6" t="s">
        <v>9015</v>
      </c>
      <c r="C5079" s="6" t="s">
        <v>9281</v>
      </c>
      <c r="D5079" s="6" t="s">
        <v>9282</v>
      </c>
      <c r="E5079" s="6">
        <v>2020</v>
      </c>
      <c r="F5079" s="6">
        <v>2020</v>
      </c>
      <c r="G5079" s="6" t="s">
        <v>16</v>
      </c>
      <c r="H5079" s="6">
        <v>200</v>
      </c>
      <c r="I5079" s="6">
        <v>200</v>
      </c>
      <c r="J5079" s="6"/>
      <c r="K5079" s="6"/>
      <c r="L5079" s="10">
        <v>20201118</v>
      </c>
      <c r="M5079" s="36" t="str">
        <f t="shared" si="79"/>
        <v>19760105</v>
      </c>
    </row>
    <row r="5080" s="1" customFormat="1" spans="1:13">
      <c r="A5080" s="2">
        <v>5740</v>
      </c>
      <c r="B5080" s="30" t="s">
        <v>11090</v>
      </c>
      <c r="C5080" s="30" t="s">
        <v>11564</v>
      </c>
      <c r="D5080" s="30" t="s">
        <v>11565</v>
      </c>
      <c r="E5080" s="5" t="s">
        <v>15</v>
      </c>
      <c r="F5080" s="5" t="s">
        <v>10250</v>
      </c>
      <c r="G5080" s="6" t="s">
        <v>16</v>
      </c>
      <c r="H5080" s="32">
        <v>200</v>
      </c>
      <c r="I5080" s="32">
        <v>200</v>
      </c>
      <c r="J5080" s="6"/>
      <c r="K5080" s="48"/>
      <c r="L5080" s="10">
        <v>20201118</v>
      </c>
      <c r="M5080" s="36" t="str">
        <f t="shared" si="79"/>
        <v>19760105</v>
      </c>
    </row>
    <row r="5081" s="1" customFormat="1" spans="1:13">
      <c r="A5081" s="2">
        <v>188</v>
      </c>
      <c r="B5081" s="14" t="s">
        <v>327</v>
      </c>
      <c r="C5081" s="14" t="s">
        <v>452</v>
      </c>
      <c r="D5081" s="14" t="s">
        <v>453</v>
      </c>
      <c r="E5081" s="5">
        <v>2020</v>
      </c>
      <c r="F5081" s="5">
        <v>2020</v>
      </c>
      <c r="G5081" s="14" t="s">
        <v>16</v>
      </c>
      <c r="H5081" s="14">
        <v>200</v>
      </c>
      <c r="I5081" s="14">
        <v>200</v>
      </c>
      <c r="J5081" s="14"/>
      <c r="K5081" s="10"/>
      <c r="L5081" s="14" t="s">
        <v>330</v>
      </c>
      <c r="M5081" s="36" t="str">
        <f t="shared" si="79"/>
        <v>19760107</v>
      </c>
    </row>
    <row r="5082" s="1" customFormat="1" spans="1:13">
      <c r="A5082" s="2">
        <v>1164</v>
      </c>
      <c r="B5082" s="5" t="s">
        <v>2469</v>
      </c>
      <c r="C5082" s="9" t="s">
        <v>2912</v>
      </c>
      <c r="D5082" s="9" t="s">
        <v>2913</v>
      </c>
      <c r="E5082" s="5">
        <v>2020</v>
      </c>
      <c r="F5082" s="5">
        <v>2020</v>
      </c>
      <c r="G5082" s="9" t="s">
        <v>2480</v>
      </c>
      <c r="H5082" s="9">
        <v>200</v>
      </c>
      <c r="I5082" s="9">
        <v>200</v>
      </c>
      <c r="J5082" s="5"/>
      <c r="K5082" s="5"/>
      <c r="L5082" s="10">
        <v>20201118</v>
      </c>
      <c r="M5082" s="36" t="str">
        <f t="shared" si="79"/>
        <v>19760108</v>
      </c>
    </row>
    <row r="5083" s="1" customFormat="1" spans="1:13">
      <c r="A5083" s="2">
        <v>5825</v>
      </c>
      <c r="B5083" s="30" t="s">
        <v>11090</v>
      </c>
      <c r="C5083" s="30" t="s">
        <v>2918</v>
      </c>
      <c r="D5083" s="30" t="s">
        <v>11719</v>
      </c>
      <c r="E5083" s="5" t="s">
        <v>15</v>
      </c>
      <c r="F5083" s="5" t="s">
        <v>10250</v>
      </c>
      <c r="G5083" s="6" t="s">
        <v>16</v>
      </c>
      <c r="H5083" s="32">
        <v>200</v>
      </c>
      <c r="I5083" s="32">
        <v>200</v>
      </c>
      <c r="J5083" s="6"/>
      <c r="K5083" s="48"/>
      <c r="L5083" s="10">
        <v>20201118</v>
      </c>
      <c r="M5083" s="36" t="str">
        <f t="shared" si="79"/>
        <v>19760108</v>
      </c>
    </row>
    <row r="5084" s="1" customFormat="1" spans="1:13">
      <c r="A5084" s="2">
        <v>1165</v>
      </c>
      <c r="B5084" s="5" t="s">
        <v>2469</v>
      </c>
      <c r="C5084" s="9" t="s">
        <v>2914</v>
      </c>
      <c r="D5084" s="9" t="s">
        <v>2915</v>
      </c>
      <c r="E5084" s="5">
        <v>2020</v>
      </c>
      <c r="F5084" s="5">
        <v>2020</v>
      </c>
      <c r="G5084" s="9" t="s">
        <v>2480</v>
      </c>
      <c r="H5084" s="9">
        <v>200</v>
      </c>
      <c r="I5084" s="9">
        <v>200</v>
      </c>
      <c r="J5084" s="5"/>
      <c r="K5084" s="5"/>
      <c r="L5084" s="10">
        <v>20201118</v>
      </c>
      <c r="M5084" s="36" t="str">
        <f t="shared" si="79"/>
        <v>19760109</v>
      </c>
    </row>
    <row r="5085" s="1" customFormat="1" spans="1:13">
      <c r="A5085" s="2">
        <v>3940</v>
      </c>
      <c r="B5085" s="5" t="s">
        <v>7412</v>
      </c>
      <c r="C5085" s="5" t="s">
        <v>8104</v>
      </c>
      <c r="D5085" s="5" t="s">
        <v>8105</v>
      </c>
      <c r="E5085" s="6">
        <v>2020</v>
      </c>
      <c r="F5085" s="6">
        <v>2020</v>
      </c>
      <c r="G5085" s="5" t="s">
        <v>3359</v>
      </c>
      <c r="H5085" s="5">
        <v>500</v>
      </c>
      <c r="I5085" s="5">
        <v>500</v>
      </c>
      <c r="J5085" s="5"/>
      <c r="K5085" s="5"/>
      <c r="L5085" s="10">
        <v>20201118</v>
      </c>
      <c r="M5085" s="36" t="str">
        <f t="shared" si="79"/>
        <v>19760109</v>
      </c>
    </row>
    <row r="5086" s="1" customFormat="1" spans="1:13">
      <c r="A5086" s="2">
        <v>3941</v>
      </c>
      <c r="B5086" s="5" t="s">
        <v>7412</v>
      </c>
      <c r="C5086" s="5" t="s">
        <v>8106</v>
      </c>
      <c r="D5086" s="5" t="s">
        <v>8107</v>
      </c>
      <c r="E5086" s="6">
        <v>2020</v>
      </c>
      <c r="F5086" s="6">
        <v>2020</v>
      </c>
      <c r="G5086" s="5" t="s">
        <v>3359</v>
      </c>
      <c r="H5086" s="5">
        <v>200</v>
      </c>
      <c r="I5086" s="5">
        <v>200</v>
      </c>
      <c r="J5086" s="5"/>
      <c r="K5086" s="5"/>
      <c r="L5086" s="10">
        <v>20201118</v>
      </c>
      <c r="M5086" s="36" t="str">
        <f t="shared" si="79"/>
        <v>19760110</v>
      </c>
    </row>
    <row r="5087" s="1" customFormat="1" spans="1:13">
      <c r="A5087" s="2">
        <v>3350</v>
      </c>
      <c r="B5087" s="5" t="s">
        <v>3375</v>
      </c>
      <c r="C5087" s="6" t="s">
        <v>7125</v>
      </c>
      <c r="D5087" s="6" t="str">
        <f>"152326197601126896"</f>
        <v>152326197601126896</v>
      </c>
      <c r="E5087" s="5" t="s">
        <v>15</v>
      </c>
      <c r="F5087" s="5">
        <v>2020</v>
      </c>
      <c r="G5087" s="14" t="s">
        <v>16</v>
      </c>
      <c r="H5087" s="17">
        <v>200</v>
      </c>
      <c r="I5087" s="17">
        <v>200</v>
      </c>
      <c r="J5087" s="6"/>
      <c r="K5087" s="10"/>
      <c r="L5087" s="10">
        <v>20201118</v>
      </c>
      <c r="M5087" s="36" t="str">
        <f t="shared" si="79"/>
        <v>19760112</v>
      </c>
    </row>
    <row r="5088" s="1" customFormat="1" spans="1:13">
      <c r="A5088" s="2">
        <v>1977</v>
      </c>
      <c r="B5088" s="5" t="s">
        <v>4189</v>
      </c>
      <c r="C5088" s="16" t="s">
        <v>4512</v>
      </c>
      <c r="D5088" s="16" t="s">
        <v>4513</v>
      </c>
      <c r="E5088" s="5" t="s">
        <v>15</v>
      </c>
      <c r="F5088" s="5" t="s">
        <v>15</v>
      </c>
      <c r="G5088" s="5" t="s">
        <v>3359</v>
      </c>
      <c r="H5088" s="16">
        <v>1000</v>
      </c>
      <c r="I5088" s="16">
        <v>1000</v>
      </c>
      <c r="J5088" s="5"/>
      <c r="K5088" s="10"/>
      <c r="L5088" s="10">
        <v>20201118</v>
      </c>
      <c r="M5088" s="36" t="str">
        <f t="shared" si="79"/>
        <v>19760113</v>
      </c>
    </row>
    <row r="5089" s="1" customFormat="1" spans="1:13">
      <c r="A5089" s="2">
        <v>3942</v>
      </c>
      <c r="B5089" s="5" t="s">
        <v>7412</v>
      </c>
      <c r="C5089" s="5" t="s">
        <v>8108</v>
      </c>
      <c r="D5089" s="5" t="s">
        <v>8109</v>
      </c>
      <c r="E5089" s="6">
        <v>2020</v>
      </c>
      <c r="F5089" s="6">
        <v>2020</v>
      </c>
      <c r="G5089" s="5" t="s">
        <v>3359</v>
      </c>
      <c r="H5089" s="5">
        <v>200</v>
      </c>
      <c r="I5089" s="5">
        <v>200</v>
      </c>
      <c r="J5089" s="5"/>
      <c r="K5089" s="5"/>
      <c r="L5089" s="10">
        <v>20201118</v>
      </c>
      <c r="M5089" s="36" t="str">
        <f t="shared" si="79"/>
        <v>19760115</v>
      </c>
    </row>
    <row r="5090" s="1" customFormat="1" ht="14.25" spans="1:13">
      <c r="A5090" s="2">
        <v>5364</v>
      </c>
      <c r="B5090" s="33" t="s">
        <v>10535</v>
      </c>
      <c r="C5090" s="34" t="s">
        <v>8123</v>
      </c>
      <c r="D5090" s="34" t="s">
        <v>10839</v>
      </c>
      <c r="E5090" s="35">
        <v>2020</v>
      </c>
      <c r="F5090" s="35">
        <v>2020</v>
      </c>
      <c r="G5090" s="35" t="s">
        <v>16</v>
      </c>
      <c r="H5090" s="34">
        <v>200</v>
      </c>
      <c r="I5090" s="34">
        <v>200</v>
      </c>
      <c r="J5090" s="49"/>
      <c r="K5090" s="10"/>
      <c r="L5090" s="10">
        <v>20201118</v>
      </c>
      <c r="M5090" s="36" t="str">
        <f t="shared" si="79"/>
        <v>19760115</v>
      </c>
    </row>
    <row r="5091" s="1" customFormat="1" spans="1:13">
      <c r="A5091" s="2">
        <v>660</v>
      </c>
      <c r="B5091" s="29" t="s">
        <v>1040</v>
      </c>
      <c r="C5091" s="47" t="s">
        <v>1633</v>
      </c>
      <c r="D5091" s="47" t="s">
        <v>1634</v>
      </c>
      <c r="E5091" s="30">
        <v>2020</v>
      </c>
      <c r="F5091" s="30">
        <v>2020</v>
      </c>
      <c r="G5091" s="29" t="s">
        <v>16</v>
      </c>
      <c r="H5091" s="29">
        <v>200</v>
      </c>
      <c r="I5091" s="29">
        <v>200</v>
      </c>
      <c r="J5091" s="29"/>
      <c r="K5091" s="47"/>
      <c r="L5091" s="2" t="s">
        <v>330</v>
      </c>
      <c r="M5091" s="36" t="str">
        <f t="shared" si="79"/>
        <v>19760116</v>
      </c>
    </row>
    <row r="5092" s="1" customFormat="1" spans="1:13">
      <c r="A5092" s="2">
        <v>423</v>
      </c>
      <c r="B5092" s="29" t="s">
        <v>1040</v>
      </c>
      <c r="C5092" s="29" t="s">
        <v>1122</v>
      </c>
      <c r="D5092" s="29" t="s">
        <v>1123</v>
      </c>
      <c r="E5092" s="30">
        <v>2020</v>
      </c>
      <c r="F5092" s="30">
        <v>2020</v>
      </c>
      <c r="G5092" s="29" t="s">
        <v>16</v>
      </c>
      <c r="H5092" s="29">
        <v>200</v>
      </c>
      <c r="I5092" s="29">
        <v>200</v>
      </c>
      <c r="J5092" s="29"/>
      <c r="K5092" s="47"/>
      <c r="L5092" s="14" t="s">
        <v>330</v>
      </c>
      <c r="M5092" s="36" t="str">
        <f t="shared" si="79"/>
        <v>19760118</v>
      </c>
    </row>
    <row r="5093" s="1" customFormat="1" spans="1:13">
      <c r="A5093" s="2">
        <v>3248</v>
      </c>
      <c r="B5093" s="3" t="s">
        <v>6671</v>
      </c>
      <c r="C5093" s="9" t="s">
        <v>6999</v>
      </c>
      <c r="D5093" s="9" t="s">
        <v>7000</v>
      </c>
      <c r="E5093" s="3" t="s">
        <v>15</v>
      </c>
      <c r="F5093" s="3" t="s">
        <v>15</v>
      </c>
      <c r="G5093" s="6" t="s">
        <v>3359</v>
      </c>
      <c r="H5093" s="9">
        <v>200</v>
      </c>
      <c r="I5093" s="9">
        <v>200</v>
      </c>
      <c r="J5093" s="6"/>
      <c r="K5093" s="5"/>
      <c r="L5093" s="10">
        <v>20201118</v>
      </c>
      <c r="M5093" s="36" t="str">
        <f t="shared" si="79"/>
        <v>19760118</v>
      </c>
    </row>
    <row r="5094" s="1" customFormat="1" spans="1:13">
      <c r="A5094" s="2">
        <v>669</v>
      </c>
      <c r="B5094" s="29" t="s">
        <v>1040</v>
      </c>
      <c r="C5094" s="47" t="s">
        <v>1659</v>
      </c>
      <c r="D5094" s="47" t="s">
        <v>1660</v>
      </c>
      <c r="E5094" s="30">
        <v>2020</v>
      </c>
      <c r="F5094" s="30">
        <v>2020</v>
      </c>
      <c r="G5094" s="29" t="s">
        <v>16</v>
      </c>
      <c r="H5094" s="29">
        <v>200</v>
      </c>
      <c r="I5094" s="29">
        <v>200</v>
      </c>
      <c r="J5094" s="29"/>
      <c r="K5094" s="54"/>
      <c r="L5094" s="2" t="s">
        <v>330</v>
      </c>
      <c r="M5094" s="36" t="str">
        <f t="shared" si="79"/>
        <v>19760119</v>
      </c>
    </row>
    <row r="5095" s="1" customFormat="1" spans="1:13">
      <c r="A5095" s="2">
        <v>404</v>
      </c>
      <c r="B5095" s="29" t="s">
        <v>1040</v>
      </c>
      <c r="C5095" s="29" t="s">
        <v>1085</v>
      </c>
      <c r="D5095" s="29" t="s">
        <v>1086</v>
      </c>
      <c r="E5095" s="30">
        <v>2020</v>
      </c>
      <c r="F5095" s="30">
        <v>2020</v>
      </c>
      <c r="G5095" s="29" t="s">
        <v>16</v>
      </c>
      <c r="H5095" s="29">
        <v>200</v>
      </c>
      <c r="I5095" s="29">
        <v>200</v>
      </c>
      <c r="J5095" s="29" t="s">
        <v>1082</v>
      </c>
      <c r="K5095" s="47"/>
      <c r="L5095" s="2" t="s">
        <v>330</v>
      </c>
      <c r="M5095" s="36" t="str">
        <f t="shared" si="79"/>
        <v>19760120</v>
      </c>
    </row>
    <row r="5096" s="1" customFormat="1" spans="1:13">
      <c r="A5096" s="2">
        <v>571</v>
      </c>
      <c r="B5096" s="29" t="s">
        <v>1040</v>
      </c>
      <c r="C5096" s="29" t="s">
        <v>1418</v>
      </c>
      <c r="D5096" s="29" t="s">
        <v>1419</v>
      </c>
      <c r="E5096" s="30">
        <v>2020</v>
      </c>
      <c r="F5096" s="30">
        <v>2020</v>
      </c>
      <c r="G5096" s="29" t="s">
        <v>16</v>
      </c>
      <c r="H5096" s="29">
        <v>200</v>
      </c>
      <c r="I5096" s="29">
        <v>200</v>
      </c>
      <c r="J5096" s="29"/>
      <c r="K5096" s="47"/>
      <c r="L5096" s="14" t="s">
        <v>330</v>
      </c>
      <c r="M5096" s="36" t="str">
        <f t="shared" si="79"/>
        <v>19760121</v>
      </c>
    </row>
    <row r="5097" s="1" customFormat="1" ht="14.25" spans="1:13">
      <c r="A5097" s="2">
        <v>2929</v>
      </c>
      <c r="B5097" s="6" t="s">
        <v>6075</v>
      </c>
      <c r="C5097" s="25" t="s">
        <v>6385</v>
      </c>
      <c r="D5097" s="26" t="s">
        <v>6386</v>
      </c>
      <c r="E5097" s="5" t="s">
        <v>15</v>
      </c>
      <c r="F5097" s="5">
        <v>2020</v>
      </c>
      <c r="G5097" s="6" t="s">
        <v>16</v>
      </c>
      <c r="H5097" s="6">
        <v>200</v>
      </c>
      <c r="I5097" s="6">
        <v>200</v>
      </c>
      <c r="J5097" s="6" t="s">
        <v>6097</v>
      </c>
      <c r="K5097" s="10"/>
      <c r="L5097" s="10">
        <v>20201118</v>
      </c>
      <c r="M5097" s="36" t="str">
        <f t="shared" si="79"/>
        <v>19760122</v>
      </c>
    </row>
    <row r="5098" s="1" customFormat="1" spans="1:13">
      <c r="A5098" s="2">
        <v>4330</v>
      </c>
      <c r="B5098" s="9" t="s">
        <v>8515</v>
      </c>
      <c r="C5098" s="9" t="s">
        <v>8850</v>
      </c>
      <c r="D5098" s="9" t="s">
        <v>8851</v>
      </c>
      <c r="E5098" s="5" t="s">
        <v>15</v>
      </c>
      <c r="F5098" s="5">
        <v>2020</v>
      </c>
      <c r="G5098" s="9" t="s">
        <v>2480</v>
      </c>
      <c r="H5098" s="9">
        <v>200</v>
      </c>
      <c r="I5098" s="9">
        <v>200</v>
      </c>
      <c r="J5098" s="9"/>
      <c r="K5098" s="9"/>
      <c r="L5098" s="10">
        <v>20201118</v>
      </c>
      <c r="M5098" s="36" t="str">
        <f t="shared" si="79"/>
        <v>19760124</v>
      </c>
    </row>
    <row r="5099" s="1" customFormat="1" spans="1:13">
      <c r="A5099" s="2">
        <v>3943</v>
      </c>
      <c r="B5099" s="5" t="s">
        <v>7412</v>
      </c>
      <c r="C5099" s="5" t="s">
        <v>8110</v>
      </c>
      <c r="D5099" s="5" t="s">
        <v>8111</v>
      </c>
      <c r="E5099" s="6">
        <v>2020</v>
      </c>
      <c r="F5099" s="6">
        <v>2020</v>
      </c>
      <c r="G5099" s="5" t="s">
        <v>3359</v>
      </c>
      <c r="H5099" s="5">
        <v>200</v>
      </c>
      <c r="I5099" s="5">
        <v>200</v>
      </c>
      <c r="J5099" s="5"/>
      <c r="K5099" s="5"/>
      <c r="L5099" s="10">
        <v>20201118</v>
      </c>
      <c r="M5099" s="36" t="str">
        <f t="shared" si="79"/>
        <v>19760125</v>
      </c>
    </row>
    <row r="5100" s="1" customFormat="1" spans="1:13">
      <c r="A5100" s="2">
        <v>4437</v>
      </c>
      <c r="B5100" s="6" t="s">
        <v>9015</v>
      </c>
      <c r="C5100" s="6" t="s">
        <v>9061</v>
      </c>
      <c r="D5100" s="6" t="s">
        <v>9062</v>
      </c>
      <c r="E5100" s="6">
        <v>2020</v>
      </c>
      <c r="F5100" s="6">
        <v>2020</v>
      </c>
      <c r="G5100" s="6" t="s">
        <v>16</v>
      </c>
      <c r="H5100" s="6">
        <v>200</v>
      </c>
      <c r="I5100" s="6">
        <v>200</v>
      </c>
      <c r="J5100" s="6"/>
      <c r="K5100" s="6"/>
      <c r="L5100" s="10">
        <v>20201118</v>
      </c>
      <c r="M5100" s="36" t="str">
        <f t="shared" si="79"/>
        <v>19760125</v>
      </c>
    </row>
    <row r="5101" s="1" customFormat="1" spans="1:13">
      <c r="A5101" s="2">
        <v>5725</v>
      </c>
      <c r="B5101" s="30" t="s">
        <v>11090</v>
      </c>
      <c r="C5101" s="30" t="s">
        <v>11535</v>
      </c>
      <c r="D5101" s="30" t="s">
        <v>11536</v>
      </c>
      <c r="E5101" s="5" t="s">
        <v>15</v>
      </c>
      <c r="F5101" s="5" t="s">
        <v>10250</v>
      </c>
      <c r="G5101" s="6" t="s">
        <v>16</v>
      </c>
      <c r="H5101" s="32">
        <v>200</v>
      </c>
      <c r="I5101" s="32">
        <v>200</v>
      </c>
      <c r="J5101" s="6"/>
      <c r="K5101" s="48"/>
      <c r="L5101" s="10">
        <v>20201118</v>
      </c>
      <c r="M5101" s="36" t="str">
        <f t="shared" si="79"/>
        <v>19760126</v>
      </c>
    </row>
    <row r="5102" s="1" customFormat="1" spans="1:13">
      <c r="A5102" s="2">
        <v>1687</v>
      </c>
      <c r="B5102" s="5" t="s">
        <v>3381</v>
      </c>
      <c r="C5102" s="9" t="s">
        <v>3936</v>
      </c>
      <c r="D5102" s="9" t="s">
        <v>3937</v>
      </c>
      <c r="E5102" s="5">
        <v>2020</v>
      </c>
      <c r="F5102" s="5">
        <v>2020</v>
      </c>
      <c r="G5102" s="14" t="s">
        <v>16</v>
      </c>
      <c r="H5102" s="6">
        <v>200</v>
      </c>
      <c r="I5102" s="6">
        <v>200</v>
      </c>
      <c r="J5102" s="5"/>
      <c r="K5102" s="13"/>
      <c r="L5102" s="10">
        <v>20201118</v>
      </c>
      <c r="M5102" s="36" t="str">
        <f t="shared" si="79"/>
        <v>19760127</v>
      </c>
    </row>
    <row r="5103" s="1" customFormat="1" spans="1:13">
      <c r="A5103" s="2">
        <v>7382</v>
      </c>
      <c r="B5103" s="5" t="s">
        <v>13908</v>
      </c>
      <c r="C5103" s="5" t="s">
        <v>14387</v>
      </c>
      <c r="D5103" s="5" t="s">
        <v>14388</v>
      </c>
      <c r="E5103" s="5" t="s">
        <v>15</v>
      </c>
      <c r="F5103" s="5" t="s">
        <v>15</v>
      </c>
      <c r="G5103" s="14" t="s">
        <v>295</v>
      </c>
      <c r="H5103" s="17">
        <v>500</v>
      </c>
      <c r="I5103" s="17">
        <v>500</v>
      </c>
      <c r="J5103" s="5"/>
      <c r="K5103" s="10"/>
      <c r="L5103" s="10">
        <v>20201118</v>
      </c>
      <c r="M5103" s="36" t="str">
        <f t="shared" si="79"/>
        <v>19760127</v>
      </c>
    </row>
    <row r="5104" s="1" customFormat="1" spans="1:13">
      <c r="A5104" s="2">
        <v>6684</v>
      </c>
      <c r="B5104" s="5" t="s">
        <v>13027</v>
      </c>
      <c r="C5104" s="15" t="s">
        <v>13344</v>
      </c>
      <c r="D5104" s="15" t="s">
        <v>13345</v>
      </c>
      <c r="E5104" s="5">
        <v>2020</v>
      </c>
      <c r="F5104" s="5">
        <v>2020</v>
      </c>
      <c r="G5104" s="14" t="s">
        <v>16</v>
      </c>
      <c r="H5104" s="15">
        <v>200</v>
      </c>
      <c r="I5104" s="15">
        <v>200</v>
      </c>
      <c r="J5104" s="5"/>
      <c r="K5104" s="10"/>
      <c r="L5104" s="10">
        <v>20201118</v>
      </c>
      <c r="M5104" s="36" t="str">
        <f t="shared" si="79"/>
        <v>19760128</v>
      </c>
    </row>
    <row r="5105" s="1" customFormat="1" spans="1:13">
      <c r="A5105" s="2">
        <v>4825</v>
      </c>
      <c r="B5105" s="6" t="s">
        <v>9015</v>
      </c>
      <c r="C5105" s="6" t="s">
        <v>9798</v>
      </c>
      <c r="D5105" s="293" t="s">
        <v>9799</v>
      </c>
      <c r="E5105" s="6">
        <v>2020</v>
      </c>
      <c r="F5105" s="6">
        <v>2020</v>
      </c>
      <c r="G5105" s="6" t="s">
        <v>16</v>
      </c>
      <c r="H5105" s="6">
        <v>200</v>
      </c>
      <c r="I5105" s="6">
        <v>200</v>
      </c>
      <c r="J5105" s="6"/>
      <c r="K5105" s="6"/>
      <c r="L5105" s="10">
        <v>20201118</v>
      </c>
      <c r="M5105" s="36" t="str">
        <f t="shared" si="79"/>
        <v>19760201</v>
      </c>
    </row>
    <row r="5106" s="1" customFormat="1" spans="1:13">
      <c r="A5106" s="2">
        <v>2672</v>
      </c>
      <c r="B5106" s="32" t="s">
        <v>5602</v>
      </c>
      <c r="C5106" s="9" t="s">
        <v>5877</v>
      </c>
      <c r="D5106" s="9" t="s">
        <v>5878</v>
      </c>
      <c r="E5106" s="32">
        <v>2020</v>
      </c>
      <c r="F5106" s="32">
        <v>2020</v>
      </c>
      <c r="G5106" s="32" t="s">
        <v>16</v>
      </c>
      <c r="H5106" s="9">
        <v>200</v>
      </c>
      <c r="I5106" s="9">
        <v>200</v>
      </c>
      <c r="J5106" s="32"/>
      <c r="K5106" s="52"/>
      <c r="L5106" s="10">
        <v>20201118</v>
      </c>
      <c r="M5106" s="36" t="str">
        <f t="shared" si="79"/>
        <v>19760202</v>
      </c>
    </row>
    <row r="5107" s="1" customFormat="1" spans="1:13">
      <c r="A5107" s="2">
        <v>6870</v>
      </c>
      <c r="B5107" s="5" t="s">
        <v>13533</v>
      </c>
      <c r="C5107" s="32" t="s">
        <v>13166</v>
      </c>
      <c r="D5107" s="32" t="str">
        <f>"152326197602027128"</f>
        <v>152326197602027128</v>
      </c>
      <c r="E5107" s="5">
        <v>2020</v>
      </c>
      <c r="F5107" s="5">
        <v>2020</v>
      </c>
      <c r="G5107" s="9" t="s">
        <v>2480</v>
      </c>
      <c r="H5107" s="32">
        <v>200</v>
      </c>
      <c r="I5107" s="32">
        <v>200</v>
      </c>
      <c r="J5107" s="62"/>
      <c r="K5107" s="10"/>
      <c r="L5107" s="10">
        <v>20201118</v>
      </c>
      <c r="M5107" s="36" t="str">
        <f t="shared" si="79"/>
        <v>19760202</v>
      </c>
    </row>
    <row r="5108" s="1" customFormat="1" spans="1:13">
      <c r="A5108" s="2">
        <v>1791</v>
      </c>
      <c r="B5108" s="5" t="s">
        <v>3381</v>
      </c>
      <c r="C5108" s="9" t="s">
        <v>4144</v>
      </c>
      <c r="D5108" s="9" t="s">
        <v>4145</v>
      </c>
      <c r="E5108" s="5">
        <v>2020</v>
      </c>
      <c r="F5108" s="5">
        <v>2020</v>
      </c>
      <c r="G5108" s="5" t="s">
        <v>189</v>
      </c>
      <c r="H5108" s="6">
        <v>200</v>
      </c>
      <c r="I5108" s="6">
        <v>200</v>
      </c>
      <c r="J5108" s="5"/>
      <c r="K5108" s="13"/>
      <c r="L5108" s="10">
        <v>20201118</v>
      </c>
      <c r="M5108" s="36" t="str">
        <f t="shared" si="79"/>
        <v>19760203</v>
      </c>
    </row>
    <row r="5109" s="1" customFormat="1" spans="1:13">
      <c r="A5109" s="2">
        <v>1978</v>
      </c>
      <c r="B5109" s="5" t="s">
        <v>4189</v>
      </c>
      <c r="C5109" s="16" t="s">
        <v>4514</v>
      </c>
      <c r="D5109" s="16" t="s">
        <v>4515</v>
      </c>
      <c r="E5109" s="5" t="s">
        <v>15</v>
      </c>
      <c r="F5109" s="5" t="s">
        <v>15</v>
      </c>
      <c r="G5109" s="5" t="s">
        <v>3359</v>
      </c>
      <c r="H5109" s="16">
        <v>200</v>
      </c>
      <c r="I5109" s="16">
        <v>200</v>
      </c>
      <c r="J5109" s="5"/>
      <c r="K5109" s="10"/>
      <c r="L5109" s="10">
        <v>20201118</v>
      </c>
      <c r="M5109" s="36" t="str">
        <f t="shared" si="79"/>
        <v>19760205</v>
      </c>
    </row>
    <row r="5110" s="1" customFormat="1" spans="1:13">
      <c r="A5110" s="2">
        <v>4148</v>
      </c>
      <c r="B5110" s="5" t="s">
        <v>7412</v>
      </c>
      <c r="C5110" s="5" t="s">
        <v>8502</v>
      </c>
      <c r="D5110" s="296" t="s">
        <v>8503</v>
      </c>
      <c r="E5110" s="6">
        <v>2020</v>
      </c>
      <c r="F5110" s="6">
        <v>2020</v>
      </c>
      <c r="G5110" s="5" t="s">
        <v>189</v>
      </c>
      <c r="H5110" s="5">
        <v>200</v>
      </c>
      <c r="I5110" s="5">
        <v>200</v>
      </c>
      <c r="J5110" s="5"/>
      <c r="K5110" s="5"/>
      <c r="L5110" s="10">
        <v>20201118</v>
      </c>
      <c r="M5110" s="36" t="str">
        <f t="shared" si="79"/>
        <v>19760205</v>
      </c>
    </row>
    <row r="5111" s="1" customFormat="1" spans="1:13">
      <c r="A5111" s="2">
        <v>4624</v>
      </c>
      <c r="B5111" s="6" t="s">
        <v>9015</v>
      </c>
      <c r="C5111" s="6" t="s">
        <v>9416</v>
      </c>
      <c r="D5111" s="6" t="s">
        <v>9417</v>
      </c>
      <c r="E5111" s="6">
        <v>2020</v>
      </c>
      <c r="F5111" s="6">
        <v>2020</v>
      </c>
      <c r="G5111" s="6" t="s">
        <v>16</v>
      </c>
      <c r="H5111" s="6">
        <v>200</v>
      </c>
      <c r="I5111" s="6">
        <v>200</v>
      </c>
      <c r="J5111" s="6"/>
      <c r="K5111" s="6"/>
      <c r="L5111" s="10">
        <v>20201118</v>
      </c>
      <c r="M5111" s="36" t="str">
        <f t="shared" si="79"/>
        <v>19760205</v>
      </c>
    </row>
    <row r="5112" s="1" customFormat="1" spans="1:13">
      <c r="A5112" s="2">
        <v>5753</v>
      </c>
      <c r="B5112" s="30" t="s">
        <v>11090</v>
      </c>
      <c r="C5112" s="30" t="s">
        <v>11589</v>
      </c>
      <c r="D5112" s="30" t="s">
        <v>11590</v>
      </c>
      <c r="E5112" s="5" t="s">
        <v>15</v>
      </c>
      <c r="F5112" s="5" t="s">
        <v>10250</v>
      </c>
      <c r="G5112" s="6" t="s">
        <v>16</v>
      </c>
      <c r="H5112" s="32">
        <v>200</v>
      </c>
      <c r="I5112" s="32">
        <v>200</v>
      </c>
      <c r="J5112" s="6"/>
      <c r="K5112" s="48"/>
      <c r="L5112" s="10">
        <v>20201118</v>
      </c>
      <c r="M5112" s="36" t="str">
        <f t="shared" si="79"/>
        <v>19760206</v>
      </c>
    </row>
    <row r="5113" s="1" customFormat="1" spans="1:13">
      <c r="A5113" s="2">
        <v>1383</v>
      </c>
      <c r="B5113" s="5" t="s">
        <v>2469</v>
      </c>
      <c r="C5113" s="6" t="s">
        <v>3339</v>
      </c>
      <c r="D5113" s="6" t="str">
        <f>"152326197602086873"</f>
        <v>152326197602086873</v>
      </c>
      <c r="E5113" s="5">
        <v>2020</v>
      </c>
      <c r="F5113" s="5">
        <v>2020</v>
      </c>
      <c r="G5113" s="9" t="s">
        <v>2480</v>
      </c>
      <c r="H5113" s="9">
        <v>200</v>
      </c>
      <c r="I5113" s="9">
        <v>200</v>
      </c>
      <c r="J5113" s="5"/>
      <c r="K5113" s="10"/>
      <c r="L5113" s="10">
        <v>20201118</v>
      </c>
      <c r="M5113" s="36" t="str">
        <f t="shared" si="79"/>
        <v>19760208</v>
      </c>
    </row>
    <row r="5114" s="1" customFormat="1" spans="1:13">
      <c r="A5114" s="2">
        <v>4810</v>
      </c>
      <c r="B5114" s="6" t="s">
        <v>9015</v>
      </c>
      <c r="C5114" s="6" t="s">
        <v>9768</v>
      </c>
      <c r="D5114" s="6" t="s">
        <v>9769</v>
      </c>
      <c r="E5114" s="6">
        <v>2020</v>
      </c>
      <c r="F5114" s="6">
        <v>2020</v>
      </c>
      <c r="G5114" s="6" t="s">
        <v>16</v>
      </c>
      <c r="H5114" s="6">
        <v>200</v>
      </c>
      <c r="I5114" s="6">
        <v>200</v>
      </c>
      <c r="J5114" s="6"/>
      <c r="K5114" s="6"/>
      <c r="L5114" s="10">
        <v>20201118</v>
      </c>
      <c r="M5114" s="36" t="str">
        <f t="shared" si="79"/>
        <v>19760209</v>
      </c>
    </row>
    <row r="5115" s="1" customFormat="1" ht="14.25" spans="1:13">
      <c r="A5115" s="2">
        <v>5365</v>
      </c>
      <c r="B5115" s="33" t="s">
        <v>10535</v>
      </c>
      <c r="C5115" s="34" t="s">
        <v>10840</v>
      </c>
      <c r="D5115" s="34" t="s">
        <v>10841</v>
      </c>
      <c r="E5115" s="35">
        <v>2020</v>
      </c>
      <c r="F5115" s="35">
        <v>2020</v>
      </c>
      <c r="G5115" s="35" t="s">
        <v>16</v>
      </c>
      <c r="H5115" s="34">
        <v>200</v>
      </c>
      <c r="I5115" s="34">
        <v>200</v>
      </c>
      <c r="J5115" s="49"/>
      <c r="K5115" s="10"/>
      <c r="L5115" s="10">
        <v>20201118</v>
      </c>
      <c r="M5115" s="36" t="str">
        <f t="shared" si="79"/>
        <v>19760210</v>
      </c>
    </row>
    <row r="5116" s="1" customFormat="1" spans="1:13">
      <c r="A5116" s="2">
        <v>5861</v>
      </c>
      <c r="B5116" s="30" t="s">
        <v>11090</v>
      </c>
      <c r="C5116" s="30" t="s">
        <v>9635</v>
      </c>
      <c r="D5116" s="30" t="s">
        <v>11782</v>
      </c>
      <c r="E5116" s="5" t="s">
        <v>15</v>
      </c>
      <c r="F5116" s="5" t="s">
        <v>10250</v>
      </c>
      <c r="G5116" s="6" t="s">
        <v>16</v>
      </c>
      <c r="H5116" s="32">
        <v>200</v>
      </c>
      <c r="I5116" s="32">
        <v>200</v>
      </c>
      <c r="J5116" s="6"/>
      <c r="K5116" s="48"/>
      <c r="L5116" s="10">
        <v>20201118</v>
      </c>
      <c r="M5116" s="36" t="str">
        <f t="shared" si="79"/>
        <v>19760210</v>
      </c>
    </row>
    <row r="5117" s="1" customFormat="1" spans="1:13">
      <c r="A5117" s="2">
        <v>5918</v>
      </c>
      <c r="B5117" s="30" t="s">
        <v>11090</v>
      </c>
      <c r="C5117" s="30" t="s">
        <v>11885</v>
      </c>
      <c r="D5117" s="30" t="s">
        <v>11886</v>
      </c>
      <c r="E5117" s="5" t="s">
        <v>15</v>
      </c>
      <c r="F5117" s="5" t="s">
        <v>10250</v>
      </c>
      <c r="G5117" s="6" t="s">
        <v>16</v>
      </c>
      <c r="H5117" s="32">
        <v>200</v>
      </c>
      <c r="I5117" s="32">
        <v>200</v>
      </c>
      <c r="J5117" s="6"/>
      <c r="K5117" s="48"/>
      <c r="L5117" s="10">
        <v>20201118</v>
      </c>
      <c r="M5117" s="36" t="str">
        <f t="shared" si="79"/>
        <v>19760211</v>
      </c>
    </row>
    <row r="5118" s="1" customFormat="1" spans="1:13">
      <c r="A5118" s="2">
        <v>7496</v>
      </c>
      <c r="B5118" s="5" t="s">
        <v>14402</v>
      </c>
      <c r="C5118" s="5" t="s">
        <v>14606</v>
      </c>
      <c r="D5118" s="5" t="s">
        <v>14607</v>
      </c>
      <c r="E5118" s="5">
        <v>2020</v>
      </c>
      <c r="F5118" s="5">
        <v>2020</v>
      </c>
      <c r="G5118" s="17" t="s">
        <v>16</v>
      </c>
      <c r="H5118" s="5">
        <v>200</v>
      </c>
      <c r="I5118" s="5">
        <v>200</v>
      </c>
      <c r="J5118" s="5"/>
      <c r="K5118" s="10"/>
      <c r="L5118" s="10">
        <v>20201118</v>
      </c>
      <c r="M5118" s="36" t="str">
        <f t="shared" si="79"/>
        <v>19760214</v>
      </c>
    </row>
    <row r="5119" s="1" customFormat="1" spans="1:13">
      <c r="A5119" s="2">
        <v>577</v>
      </c>
      <c r="B5119" s="29" t="s">
        <v>1040</v>
      </c>
      <c r="C5119" s="29" t="s">
        <v>1430</v>
      </c>
      <c r="D5119" s="29" t="s">
        <v>1431</v>
      </c>
      <c r="E5119" s="30">
        <v>2020</v>
      </c>
      <c r="F5119" s="30">
        <v>2020</v>
      </c>
      <c r="G5119" s="29" t="s">
        <v>16</v>
      </c>
      <c r="H5119" s="29">
        <v>200</v>
      </c>
      <c r="I5119" s="29">
        <v>200</v>
      </c>
      <c r="J5119" s="29"/>
      <c r="K5119" s="47"/>
      <c r="L5119" s="14" t="s">
        <v>330</v>
      </c>
      <c r="M5119" s="36" t="str">
        <f t="shared" si="79"/>
        <v>19760215</v>
      </c>
    </row>
    <row r="5120" s="1" customFormat="1" spans="1:13">
      <c r="A5120" s="2">
        <v>2300</v>
      </c>
      <c r="B5120" s="9" t="s">
        <v>4837</v>
      </c>
      <c r="C5120" s="9" t="s">
        <v>5141</v>
      </c>
      <c r="D5120" s="9" t="s">
        <v>5142</v>
      </c>
      <c r="E5120" s="6" t="s">
        <v>15</v>
      </c>
      <c r="F5120" s="6">
        <v>2020</v>
      </c>
      <c r="G5120" s="9" t="s">
        <v>2480</v>
      </c>
      <c r="H5120" s="9">
        <v>200</v>
      </c>
      <c r="I5120" s="9">
        <v>200</v>
      </c>
      <c r="J5120" s="6"/>
      <c r="K5120" s="10"/>
      <c r="L5120" s="10">
        <v>20201118</v>
      </c>
      <c r="M5120" s="36" t="str">
        <f t="shared" si="79"/>
        <v>19760215</v>
      </c>
    </row>
    <row r="5121" s="1" customFormat="1" spans="1:13">
      <c r="A5121" s="2">
        <v>3345</v>
      </c>
      <c r="B5121" s="5" t="s">
        <v>3375</v>
      </c>
      <c r="C5121" s="6" t="s">
        <v>7118</v>
      </c>
      <c r="D5121" s="6" t="s">
        <v>7119</v>
      </c>
      <c r="E5121" s="5" t="s">
        <v>15</v>
      </c>
      <c r="F5121" s="5">
        <v>2020</v>
      </c>
      <c r="G5121" s="14" t="s">
        <v>16</v>
      </c>
      <c r="H5121" s="17">
        <v>200</v>
      </c>
      <c r="I5121" s="17">
        <v>200</v>
      </c>
      <c r="J5121" s="6" t="s">
        <v>4064</v>
      </c>
      <c r="K5121" s="10"/>
      <c r="L5121" s="10">
        <v>20201118</v>
      </c>
      <c r="M5121" s="36" t="str">
        <f t="shared" si="79"/>
        <v>19760215</v>
      </c>
    </row>
    <row r="5122" s="1" customFormat="1" ht="14.25" spans="1:13">
      <c r="A5122" s="2">
        <v>5366</v>
      </c>
      <c r="B5122" s="33" t="s">
        <v>10535</v>
      </c>
      <c r="C5122" s="34" t="s">
        <v>10842</v>
      </c>
      <c r="D5122" s="34" t="s">
        <v>10843</v>
      </c>
      <c r="E5122" s="35">
        <v>2020</v>
      </c>
      <c r="F5122" s="35">
        <v>2020</v>
      </c>
      <c r="G5122" s="35" t="s">
        <v>16</v>
      </c>
      <c r="H5122" s="34">
        <v>200</v>
      </c>
      <c r="I5122" s="34">
        <v>200</v>
      </c>
      <c r="J5122" s="49"/>
      <c r="K5122" s="10"/>
      <c r="L5122" s="10">
        <v>20201118</v>
      </c>
      <c r="M5122" s="36" t="str">
        <f t="shared" ref="M5122:M5185" si="80">MID(D5122,7,8)</f>
        <v>19760216</v>
      </c>
    </row>
    <row r="5123" s="1" customFormat="1" ht="14.25" spans="1:13">
      <c r="A5123" s="2">
        <v>6067</v>
      </c>
      <c r="B5123" s="30" t="s">
        <v>11090</v>
      </c>
      <c r="C5123" s="32" t="s">
        <v>12176</v>
      </c>
      <c r="D5123" s="12" t="s">
        <v>12177</v>
      </c>
      <c r="E5123" s="5" t="s">
        <v>15</v>
      </c>
      <c r="F5123" s="5" t="s">
        <v>10250</v>
      </c>
      <c r="G5123" s="6" t="s">
        <v>16</v>
      </c>
      <c r="H5123" s="32">
        <v>200</v>
      </c>
      <c r="I5123" s="32">
        <v>200</v>
      </c>
      <c r="J5123" s="5"/>
      <c r="K5123" s="48"/>
      <c r="L5123" s="10">
        <v>20201118</v>
      </c>
      <c r="M5123" s="36" t="str">
        <f t="shared" si="80"/>
        <v>19760218</v>
      </c>
    </row>
    <row r="5124" s="1" customFormat="1" spans="1:13">
      <c r="A5124" s="2">
        <v>2301</v>
      </c>
      <c r="B5124" s="9" t="s">
        <v>4837</v>
      </c>
      <c r="C5124" s="9" t="s">
        <v>5143</v>
      </c>
      <c r="D5124" s="9" t="s">
        <v>5144</v>
      </c>
      <c r="E5124" s="6" t="s">
        <v>15</v>
      </c>
      <c r="F5124" s="6">
        <v>2020</v>
      </c>
      <c r="G5124" s="9" t="s">
        <v>2480</v>
      </c>
      <c r="H5124" s="9">
        <v>200</v>
      </c>
      <c r="I5124" s="9">
        <v>200</v>
      </c>
      <c r="J5124" s="6"/>
      <c r="K5124" s="10"/>
      <c r="L5124" s="10">
        <v>20201118</v>
      </c>
      <c r="M5124" s="36" t="str">
        <f t="shared" si="80"/>
        <v>19760219</v>
      </c>
    </row>
    <row r="5125" s="1" customFormat="1" ht="14.25" spans="1:13">
      <c r="A5125" s="2">
        <v>3044</v>
      </c>
      <c r="B5125" s="6" t="s">
        <v>6075</v>
      </c>
      <c r="C5125" s="25" t="s">
        <v>6611</v>
      </c>
      <c r="D5125" s="26" t="s">
        <v>6612</v>
      </c>
      <c r="E5125" s="5" t="s">
        <v>15</v>
      </c>
      <c r="F5125" s="5">
        <v>2020</v>
      </c>
      <c r="G5125" s="6" t="s">
        <v>16</v>
      </c>
      <c r="H5125" s="6">
        <v>500</v>
      </c>
      <c r="I5125" s="6">
        <v>500</v>
      </c>
      <c r="J5125" s="6"/>
      <c r="K5125" s="10"/>
      <c r="L5125" s="10">
        <v>20201118</v>
      </c>
      <c r="M5125" s="36" t="str">
        <f t="shared" si="80"/>
        <v>19760221</v>
      </c>
    </row>
    <row r="5126" s="1" customFormat="1" spans="1:13">
      <c r="A5126" s="2">
        <v>2475</v>
      </c>
      <c r="B5126" s="5" t="s">
        <v>5328</v>
      </c>
      <c r="C5126" s="16" t="s">
        <v>5487</v>
      </c>
      <c r="D5126" s="16" t="s">
        <v>5488</v>
      </c>
      <c r="E5126" s="5" t="s">
        <v>15</v>
      </c>
      <c r="F5126" s="5" t="s">
        <v>15</v>
      </c>
      <c r="G5126" s="14" t="s">
        <v>16</v>
      </c>
      <c r="H5126" s="6">
        <v>200</v>
      </c>
      <c r="I5126" s="6">
        <v>200</v>
      </c>
      <c r="J5126" s="5"/>
      <c r="K5126" s="5"/>
      <c r="L5126" s="10">
        <v>20201118</v>
      </c>
      <c r="M5126" s="36" t="str">
        <f t="shared" si="80"/>
        <v>19760222</v>
      </c>
    </row>
    <row r="5127" s="1" customFormat="1" spans="1:13">
      <c r="A5127" s="2">
        <v>4699</v>
      </c>
      <c r="B5127" s="6" t="s">
        <v>9015</v>
      </c>
      <c r="C5127" s="6" t="s">
        <v>9558</v>
      </c>
      <c r="D5127" s="6" t="s">
        <v>9559</v>
      </c>
      <c r="E5127" s="6">
        <v>2020</v>
      </c>
      <c r="F5127" s="6">
        <v>2020</v>
      </c>
      <c r="G5127" s="6" t="s">
        <v>16</v>
      </c>
      <c r="H5127" s="6">
        <v>200</v>
      </c>
      <c r="I5127" s="6">
        <v>200</v>
      </c>
      <c r="J5127" s="6"/>
      <c r="K5127" s="6"/>
      <c r="L5127" s="10">
        <v>20201118</v>
      </c>
      <c r="M5127" s="36" t="str">
        <f t="shared" si="80"/>
        <v>19760222</v>
      </c>
    </row>
    <row r="5128" s="1" customFormat="1" spans="1:13">
      <c r="A5128" s="2">
        <v>7923</v>
      </c>
      <c r="B5128" s="5" t="s">
        <v>15086</v>
      </c>
      <c r="C5128" s="6" t="s">
        <v>15199</v>
      </c>
      <c r="D5128" s="6" t="str">
        <f>"152326197602226864"</f>
        <v>152326197602226864</v>
      </c>
      <c r="E5128" s="5" t="s">
        <v>15</v>
      </c>
      <c r="F5128" s="5">
        <v>2020</v>
      </c>
      <c r="G5128" s="5" t="s">
        <v>16</v>
      </c>
      <c r="H5128" s="5">
        <v>200</v>
      </c>
      <c r="I5128" s="5">
        <v>200</v>
      </c>
      <c r="J5128" s="5"/>
      <c r="K5128" s="5"/>
      <c r="L5128" s="10">
        <v>20201118</v>
      </c>
      <c r="M5128" s="36" t="str">
        <f t="shared" si="80"/>
        <v>19760222</v>
      </c>
    </row>
    <row r="5129" s="1" customFormat="1" spans="1:13">
      <c r="A5129" s="2">
        <v>6217</v>
      </c>
      <c r="B5129" s="5" t="s">
        <v>12263</v>
      </c>
      <c r="C5129" s="5" t="s">
        <v>12460</v>
      </c>
      <c r="D5129" s="5" t="s">
        <v>12461</v>
      </c>
      <c r="E5129" s="5" t="s">
        <v>10250</v>
      </c>
      <c r="F5129" s="5">
        <v>2020</v>
      </c>
      <c r="G5129" s="17" t="s">
        <v>3359</v>
      </c>
      <c r="H5129" s="5">
        <v>200</v>
      </c>
      <c r="I5129" s="5">
        <v>200</v>
      </c>
      <c r="J5129" s="5"/>
      <c r="K5129" s="5"/>
      <c r="L5129" s="10">
        <v>20201118</v>
      </c>
      <c r="M5129" s="36" t="str">
        <f t="shared" si="80"/>
        <v>19760223</v>
      </c>
    </row>
    <row r="5130" s="1" customFormat="1" spans="1:13">
      <c r="A5130" s="2">
        <v>6871</v>
      </c>
      <c r="B5130" s="5" t="s">
        <v>13533</v>
      </c>
      <c r="C5130" s="32" t="s">
        <v>13622</v>
      </c>
      <c r="D5130" s="32" t="str">
        <f>"152326197602247112"</f>
        <v>152326197602247112</v>
      </c>
      <c r="E5130" s="5">
        <v>2020</v>
      </c>
      <c r="F5130" s="5">
        <v>2020</v>
      </c>
      <c r="G5130" s="9" t="s">
        <v>2480</v>
      </c>
      <c r="H5130" s="32">
        <v>200</v>
      </c>
      <c r="I5130" s="32">
        <v>200</v>
      </c>
      <c r="J5130" s="62"/>
      <c r="K5130" s="10"/>
      <c r="L5130" s="10">
        <v>20201118</v>
      </c>
      <c r="M5130" s="36" t="str">
        <f t="shared" si="80"/>
        <v>19760224</v>
      </c>
    </row>
    <row r="5131" s="1" customFormat="1" spans="1:13">
      <c r="A5131" s="2">
        <v>3944</v>
      </c>
      <c r="B5131" s="5" t="s">
        <v>7412</v>
      </c>
      <c r="C5131" s="5" t="s">
        <v>8112</v>
      </c>
      <c r="D5131" s="5" t="s">
        <v>8113</v>
      </c>
      <c r="E5131" s="6">
        <v>2020</v>
      </c>
      <c r="F5131" s="6">
        <v>2020</v>
      </c>
      <c r="G5131" s="5" t="s">
        <v>3359</v>
      </c>
      <c r="H5131" s="5">
        <v>200</v>
      </c>
      <c r="I5131" s="5">
        <v>200</v>
      </c>
      <c r="J5131" s="5"/>
      <c r="K5131" s="5"/>
      <c r="L5131" s="10">
        <v>20201118</v>
      </c>
      <c r="M5131" s="36" t="str">
        <f t="shared" si="80"/>
        <v>19760225</v>
      </c>
    </row>
    <row r="5132" s="1" customFormat="1" spans="1:13">
      <c r="A5132" s="2">
        <v>3945</v>
      </c>
      <c r="B5132" s="5" t="s">
        <v>7412</v>
      </c>
      <c r="C5132" s="5" t="s">
        <v>8114</v>
      </c>
      <c r="D5132" s="5" t="s">
        <v>8115</v>
      </c>
      <c r="E5132" s="6">
        <v>2020</v>
      </c>
      <c r="F5132" s="6">
        <v>2020</v>
      </c>
      <c r="G5132" s="5" t="s">
        <v>3359</v>
      </c>
      <c r="H5132" s="5">
        <v>200</v>
      </c>
      <c r="I5132" s="5">
        <v>200</v>
      </c>
      <c r="J5132" s="5"/>
      <c r="K5132" s="5"/>
      <c r="L5132" s="10">
        <v>20201118</v>
      </c>
      <c r="M5132" s="36" t="str">
        <f t="shared" si="80"/>
        <v>19760226</v>
      </c>
    </row>
    <row r="5133" s="1" customFormat="1" spans="1:13">
      <c r="A5133" s="2">
        <v>2476</v>
      </c>
      <c r="B5133" s="5" t="s">
        <v>5328</v>
      </c>
      <c r="C5133" s="16" t="s">
        <v>1049</v>
      </c>
      <c r="D5133" s="16" t="s">
        <v>5489</v>
      </c>
      <c r="E5133" s="5" t="s">
        <v>15</v>
      </c>
      <c r="F5133" s="5" t="s">
        <v>15</v>
      </c>
      <c r="G5133" s="14" t="s">
        <v>16</v>
      </c>
      <c r="H5133" s="6">
        <v>200</v>
      </c>
      <c r="I5133" s="6">
        <v>200</v>
      </c>
      <c r="J5133" s="5"/>
      <c r="K5133" s="5"/>
      <c r="L5133" s="10">
        <v>20201118</v>
      </c>
      <c r="M5133" s="36" t="str">
        <f t="shared" si="80"/>
        <v>19760227</v>
      </c>
    </row>
    <row r="5134" s="1" customFormat="1" spans="1:13">
      <c r="A5134" s="2">
        <v>2477</v>
      </c>
      <c r="B5134" s="5" t="s">
        <v>5328</v>
      </c>
      <c r="C5134" s="16" t="s">
        <v>5490</v>
      </c>
      <c r="D5134" s="16" t="s">
        <v>5491</v>
      </c>
      <c r="E5134" s="5" t="s">
        <v>15</v>
      </c>
      <c r="F5134" s="5" t="s">
        <v>15</v>
      </c>
      <c r="G5134" s="14" t="s">
        <v>16</v>
      </c>
      <c r="H5134" s="6">
        <v>300</v>
      </c>
      <c r="I5134" s="6">
        <v>300</v>
      </c>
      <c r="J5134" s="5"/>
      <c r="K5134" s="5"/>
      <c r="L5134" s="10">
        <v>20201118</v>
      </c>
      <c r="M5134" s="36" t="str">
        <f t="shared" si="80"/>
        <v>19760227</v>
      </c>
    </row>
    <row r="5135" s="1" customFormat="1" spans="1:13">
      <c r="A5135" s="2">
        <v>2478</v>
      </c>
      <c r="B5135" s="5" t="s">
        <v>5328</v>
      </c>
      <c r="C5135" s="16" t="s">
        <v>5492</v>
      </c>
      <c r="D5135" s="16" t="s">
        <v>5493</v>
      </c>
      <c r="E5135" s="5" t="s">
        <v>15</v>
      </c>
      <c r="F5135" s="5" t="s">
        <v>15</v>
      </c>
      <c r="G5135" s="14" t="s">
        <v>16</v>
      </c>
      <c r="H5135" s="6">
        <v>200</v>
      </c>
      <c r="I5135" s="6">
        <v>200</v>
      </c>
      <c r="J5135" s="5"/>
      <c r="K5135" s="5"/>
      <c r="L5135" s="10">
        <v>20201118</v>
      </c>
      <c r="M5135" s="36" t="str">
        <f t="shared" si="80"/>
        <v>19760227</v>
      </c>
    </row>
    <row r="5136" s="1" customFormat="1" spans="1:13">
      <c r="A5136" s="2">
        <v>2768</v>
      </c>
      <c r="B5136" s="32" t="s">
        <v>5602</v>
      </c>
      <c r="C5136" s="32" t="s">
        <v>6063</v>
      </c>
      <c r="D5136" s="304" t="s">
        <v>6064</v>
      </c>
      <c r="E5136" s="32">
        <v>2020</v>
      </c>
      <c r="F5136" s="32">
        <v>2020</v>
      </c>
      <c r="G5136" s="32" t="s">
        <v>189</v>
      </c>
      <c r="H5136" s="32">
        <v>200</v>
      </c>
      <c r="I5136" s="32">
        <v>200</v>
      </c>
      <c r="J5136" s="32"/>
      <c r="K5136" s="52"/>
      <c r="L5136" s="10">
        <v>20201118</v>
      </c>
      <c r="M5136" s="36" t="str">
        <f t="shared" si="80"/>
        <v>19760228</v>
      </c>
    </row>
    <row r="5137" s="1" customFormat="1" spans="1:13">
      <c r="A5137" s="2">
        <v>7078</v>
      </c>
      <c r="B5137" s="5" t="s">
        <v>13533</v>
      </c>
      <c r="C5137" s="32" t="s">
        <v>13827</v>
      </c>
      <c r="D5137" s="32" t="s">
        <v>13828</v>
      </c>
      <c r="E5137" s="5">
        <v>2020</v>
      </c>
      <c r="F5137" s="5">
        <v>2020</v>
      </c>
      <c r="G5137" s="9" t="s">
        <v>2480</v>
      </c>
      <c r="H5137" s="32">
        <v>200</v>
      </c>
      <c r="I5137" s="32">
        <v>200</v>
      </c>
      <c r="J5137" s="62"/>
      <c r="K5137" s="10"/>
      <c r="L5137" s="10">
        <v>20201118</v>
      </c>
      <c r="M5137" s="36" t="str">
        <f t="shared" si="80"/>
        <v>19760301</v>
      </c>
    </row>
    <row r="5138" s="1" customFormat="1" spans="1:13">
      <c r="A5138" s="2">
        <v>3339</v>
      </c>
      <c r="B5138" s="5" t="s">
        <v>3375</v>
      </c>
      <c r="C5138" s="6" t="s">
        <v>7113</v>
      </c>
      <c r="D5138" s="6" t="str">
        <f>"152326197603026880"</f>
        <v>152326197603026880</v>
      </c>
      <c r="E5138" s="5" t="s">
        <v>15</v>
      </c>
      <c r="F5138" s="5">
        <v>2020</v>
      </c>
      <c r="G5138" s="14" t="s">
        <v>16</v>
      </c>
      <c r="H5138" s="17">
        <v>300</v>
      </c>
      <c r="I5138" s="17">
        <v>300</v>
      </c>
      <c r="J5138" s="6"/>
      <c r="K5138" s="10"/>
      <c r="L5138" s="10">
        <v>20201118</v>
      </c>
      <c r="M5138" s="36" t="str">
        <f t="shared" si="80"/>
        <v>19760302</v>
      </c>
    </row>
    <row r="5139" s="1" customFormat="1" spans="1:13">
      <c r="A5139" s="2">
        <v>2479</v>
      </c>
      <c r="B5139" s="5" t="s">
        <v>5328</v>
      </c>
      <c r="C5139" s="16" t="s">
        <v>5494</v>
      </c>
      <c r="D5139" s="16" t="s">
        <v>5495</v>
      </c>
      <c r="E5139" s="5" t="s">
        <v>15</v>
      </c>
      <c r="F5139" s="5" t="s">
        <v>15</v>
      </c>
      <c r="G5139" s="14" t="s">
        <v>16</v>
      </c>
      <c r="H5139" s="6">
        <v>200</v>
      </c>
      <c r="I5139" s="6">
        <v>200</v>
      </c>
      <c r="J5139" s="5"/>
      <c r="K5139" s="5"/>
      <c r="L5139" s="10">
        <v>20201118</v>
      </c>
      <c r="M5139" s="36" t="str">
        <f t="shared" si="80"/>
        <v>19760304</v>
      </c>
    </row>
    <row r="5140" s="1" customFormat="1" spans="1:13">
      <c r="A5140" s="2">
        <v>238</v>
      </c>
      <c r="B5140" s="14" t="s">
        <v>327</v>
      </c>
      <c r="C5140" s="14" t="s">
        <v>600</v>
      </c>
      <c r="D5140" s="14" t="s">
        <v>601</v>
      </c>
      <c r="E5140" s="5">
        <v>2020</v>
      </c>
      <c r="F5140" s="5">
        <v>2020</v>
      </c>
      <c r="G5140" s="14" t="s">
        <v>16</v>
      </c>
      <c r="H5140" s="14">
        <v>200</v>
      </c>
      <c r="I5140" s="14">
        <v>200</v>
      </c>
      <c r="J5140" s="14"/>
      <c r="K5140" s="10"/>
      <c r="L5140" s="14" t="s">
        <v>330</v>
      </c>
      <c r="M5140" s="36" t="str">
        <f t="shared" si="80"/>
        <v>19760305</v>
      </c>
    </row>
    <row r="5141" s="1" customFormat="1" spans="1:13">
      <c r="A5141" s="2">
        <v>5057</v>
      </c>
      <c r="B5141" s="6" t="s">
        <v>10242</v>
      </c>
      <c r="C5141" s="9" t="s">
        <v>10251</v>
      </c>
      <c r="D5141" s="9" t="s">
        <v>10252</v>
      </c>
      <c r="E5141" s="5" t="s">
        <v>10250</v>
      </c>
      <c r="F5141" s="5">
        <v>2020</v>
      </c>
      <c r="G5141" s="6" t="s">
        <v>16</v>
      </c>
      <c r="H5141" s="6">
        <v>200</v>
      </c>
      <c r="I5141" s="6">
        <v>200</v>
      </c>
      <c r="J5141" s="6"/>
      <c r="K5141" s="5"/>
      <c r="L5141" s="10">
        <v>20201118</v>
      </c>
      <c r="M5141" s="36" t="str">
        <f t="shared" si="80"/>
        <v>19760305</v>
      </c>
    </row>
    <row r="5142" s="1" customFormat="1" spans="1:13">
      <c r="A5142" s="2">
        <v>5148</v>
      </c>
      <c r="B5142" s="6" t="s">
        <v>10242</v>
      </c>
      <c r="C5142" s="9" t="s">
        <v>10422</v>
      </c>
      <c r="D5142" s="9" t="s">
        <v>10423</v>
      </c>
      <c r="E5142" s="5" t="s">
        <v>10250</v>
      </c>
      <c r="F5142" s="5">
        <v>2020</v>
      </c>
      <c r="G5142" s="6" t="s">
        <v>16</v>
      </c>
      <c r="H5142" s="6">
        <v>200</v>
      </c>
      <c r="I5142" s="6">
        <v>200</v>
      </c>
      <c r="J5142" s="6"/>
      <c r="K5142" s="5"/>
      <c r="L5142" s="10">
        <v>20201118</v>
      </c>
      <c r="M5142" s="36" t="str">
        <f t="shared" si="80"/>
        <v>19760305</v>
      </c>
    </row>
    <row r="5143" s="1" customFormat="1" spans="1:13">
      <c r="A5143" s="2">
        <v>657</v>
      </c>
      <c r="B5143" s="29" t="s">
        <v>1040</v>
      </c>
      <c r="C5143" s="47" t="s">
        <v>1624</v>
      </c>
      <c r="D5143" s="47" t="s">
        <v>1625</v>
      </c>
      <c r="E5143" s="30">
        <v>2020</v>
      </c>
      <c r="F5143" s="30">
        <v>2020</v>
      </c>
      <c r="G5143" s="29" t="s">
        <v>16</v>
      </c>
      <c r="H5143" s="29">
        <v>200</v>
      </c>
      <c r="I5143" s="29">
        <v>200</v>
      </c>
      <c r="J5143" s="29"/>
      <c r="K5143" s="47"/>
      <c r="L5143" s="2" t="s">
        <v>330</v>
      </c>
      <c r="M5143" s="36" t="str">
        <f t="shared" si="80"/>
        <v>19760311</v>
      </c>
    </row>
    <row r="5144" s="1" customFormat="1" spans="1:13">
      <c r="A5144" s="2">
        <v>7201</v>
      </c>
      <c r="B5144" s="5" t="s">
        <v>13908</v>
      </c>
      <c r="C5144" s="5" t="s">
        <v>14051</v>
      </c>
      <c r="D5144" s="5" t="s">
        <v>14052</v>
      </c>
      <c r="E5144" s="5" t="s">
        <v>15</v>
      </c>
      <c r="F5144" s="5" t="s">
        <v>15</v>
      </c>
      <c r="G5144" s="14" t="s">
        <v>16</v>
      </c>
      <c r="H5144" s="17">
        <v>200</v>
      </c>
      <c r="I5144" s="17">
        <v>200</v>
      </c>
      <c r="J5144" s="5"/>
      <c r="K5144" s="10"/>
      <c r="L5144" s="10">
        <v>20201118</v>
      </c>
      <c r="M5144" s="36" t="str">
        <f t="shared" si="80"/>
        <v>19760314</v>
      </c>
    </row>
    <row r="5145" s="1" customFormat="1" spans="1:13">
      <c r="A5145" s="2">
        <v>88</v>
      </c>
      <c r="B5145" s="3" t="s">
        <v>12</v>
      </c>
      <c r="C5145" s="6" t="s">
        <v>192</v>
      </c>
      <c r="D5145" s="6" t="s">
        <v>193</v>
      </c>
      <c r="E5145" s="3" t="s">
        <v>15</v>
      </c>
      <c r="F5145" s="3" t="s">
        <v>15</v>
      </c>
      <c r="G5145" s="2" t="s">
        <v>16</v>
      </c>
      <c r="H5145" s="3">
        <v>500</v>
      </c>
      <c r="I5145" s="3">
        <v>500</v>
      </c>
      <c r="J5145" s="3"/>
      <c r="K5145" s="3"/>
      <c r="L5145" s="10">
        <v>20201118</v>
      </c>
      <c r="M5145" s="36" t="str">
        <f t="shared" si="80"/>
        <v>19760315</v>
      </c>
    </row>
    <row r="5146" s="1" customFormat="1" spans="1:13">
      <c r="A5146" s="2">
        <v>182</v>
      </c>
      <c r="B5146" s="14" t="s">
        <v>327</v>
      </c>
      <c r="C5146" s="14" t="s">
        <v>434</v>
      </c>
      <c r="D5146" s="14" t="s">
        <v>435</v>
      </c>
      <c r="E5146" s="5">
        <v>2020</v>
      </c>
      <c r="F5146" s="5">
        <v>2020</v>
      </c>
      <c r="G5146" s="14" t="s">
        <v>16</v>
      </c>
      <c r="H5146" s="14">
        <v>200</v>
      </c>
      <c r="I5146" s="14">
        <v>200</v>
      </c>
      <c r="J5146" s="14"/>
      <c r="K5146" s="10"/>
      <c r="L5146" s="14" t="s">
        <v>330</v>
      </c>
      <c r="M5146" s="36" t="str">
        <f t="shared" si="80"/>
        <v>19760316</v>
      </c>
    </row>
    <row r="5147" s="1" customFormat="1" spans="1:13">
      <c r="A5147" s="2">
        <v>5533</v>
      </c>
      <c r="B5147" s="30" t="s">
        <v>11090</v>
      </c>
      <c r="C5147" s="30" t="s">
        <v>11163</v>
      </c>
      <c r="D5147" s="30" t="s">
        <v>11164</v>
      </c>
      <c r="E5147" s="5" t="s">
        <v>15</v>
      </c>
      <c r="F5147" s="5" t="s">
        <v>10250</v>
      </c>
      <c r="G5147" s="6" t="s">
        <v>16</v>
      </c>
      <c r="H5147" s="32">
        <v>500</v>
      </c>
      <c r="I5147" s="32">
        <v>500</v>
      </c>
      <c r="J5147" s="6"/>
      <c r="K5147" s="48"/>
      <c r="L5147" s="10">
        <v>20201118</v>
      </c>
      <c r="M5147" s="36" t="str">
        <f t="shared" si="80"/>
        <v>19760317</v>
      </c>
    </row>
    <row r="5148" s="1" customFormat="1" spans="1:13">
      <c r="A5148" s="2">
        <v>2673</v>
      </c>
      <c r="B5148" s="32" t="s">
        <v>5602</v>
      </c>
      <c r="C5148" s="9" t="s">
        <v>5879</v>
      </c>
      <c r="D5148" s="9" t="s">
        <v>5880</v>
      </c>
      <c r="E5148" s="32">
        <v>2020</v>
      </c>
      <c r="F5148" s="32">
        <v>2020</v>
      </c>
      <c r="G5148" s="32" t="s">
        <v>16</v>
      </c>
      <c r="H5148" s="9">
        <v>200</v>
      </c>
      <c r="I5148" s="9">
        <v>200</v>
      </c>
      <c r="J5148" s="32"/>
      <c r="K5148" s="52"/>
      <c r="L5148" s="10">
        <v>20201118</v>
      </c>
      <c r="M5148" s="36" t="str">
        <f t="shared" si="80"/>
        <v>19760319</v>
      </c>
    </row>
    <row r="5149" s="1" customFormat="1" spans="1:13">
      <c r="A5149" s="2">
        <v>3946</v>
      </c>
      <c r="B5149" s="5" t="s">
        <v>7412</v>
      </c>
      <c r="C5149" s="5" t="s">
        <v>2056</v>
      </c>
      <c r="D5149" s="5" t="s">
        <v>8116</v>
      </c>
      <c r="E5149" s="6">
        <v>2020</v>
      </c>
      <c r="F5149" s="6">
        <v>2020</v>
      </c>
      <c r="G5149" s="5" t="s">
        <v>3359</v>
      </c>
      <c r="H5149" s="5">
        <v>200</v>
      </c>
      <c r="I5149" s="5">
        <v>200</v>
      </c>
      <c r="J5149" s="5"/>
      <c r="K5149" s="5"/>
      <c r="L5149" s="10">
        <v>20201118</v>
      </c>
      <c r="M5149" s="36" t="str">
        <f t="shared" si="80"/>
        <v>19760319</v>
      </c>
    </row>
    <row r="5150" s="1" customFormat="1" spans="1:13">
      <c r="A5150" s="2">
        <v>8206</v>
      </c>
      <c r="B5150" s="5" t="s">
        <v>15406</v>
      </c>
      <c r="C5150" s="6" t="s">
        <v>2011</v>
      </c>
      <c r="D5150" s="6" t="s">
        <v>15596</v>
      </c>
      <c r="E5150" s="5" t="s">
        <v>15</v>
      </c>
      <c r="F5150" s="5">
        <v>2020</v>
      </c>
      <c r="G5150" s="14" t="s">
        <v>16</v>
      </c>
      <c r="H5150" s="6">
        <v>3000</v>
      </c>
      <c r="I5150" s="6">
        <v>3000</v>
      </c>
      <c r="J5150" s="5"/>
      <c r="K5150" s="10"/>
      <c r="L5150" s="10">
        <v>20201118</v>
      </c>
      <c r="M5150" s="36" t="str">
        <f t="shared" si="80"/>
        <v>19760322</v>
      </c>
    </row>
    <row r="5151" s="1" customFormat="1" spans="1:13">
      <c r="A5151" s="2">
        <v>5755</v>
      </c>
      <c r="B5151" s="30" t="s">
        <v>11090</v>
      </c>
      <c r="C5151" s="30" t="s">
        <v>6539</v>
      </c>
      <c r="D5151" s="30" t="s">
        <v>11593</v>
      </c>
      <c r="E5151" s="5" t="s">
        <v>15</v>
      </c>
      <c r="F5151" s="5" t="s">
        <v>10250</v>
      </c>
      <c r="G5151" s="6" t="s">
        <v>16</v>
      </c>
      <c r="H5151" s="32">
        <v>500</v>
      </c>
      <c r="I5151" s="32">
        <v>500</v>
      </c>
      <c r="J5151" s="6"/>
      <c r="K5151" s="48"/>
      <c r="L5151" s="10">
        <v>20201118</v>
      </c>
      <c r="M5151" s="36" t="str">
        <f t="shared" si="80"/>
        <v>19760326</v>
      </c>
    </row>
    <row r="5152" s="1" customFormat="1" spans="1:13">
      <c r="A5152" s="2">
        <v>3947</v>
      </c>
      <c r="B5152" s="5" t="s">
        <v>7412</v>
      </c>
      <c r="C5152" s="5" t="s">
        <v>8117</v>
      </c>
      <c r="D5152" s="5" t="s">
        <v>8118</v>
      </c>
      <c r="E5152" s="6">
        <v>2020</v>
      </c>
      <c r="F5152" s="6">
        <v>2020</v>
      </c>
      <c r="G5152" s="5" t="s">
        <v>3359</v>
      </c>
      <c r="H5152" s="5">
        <v>200</v>
      </c>
      <c r="I5152" s="5">
        <v>200</v>
      </c>
      <c r="J5152" s="5"/>
      <c r="K5152" s="5"/>
      <c r="L5152" s="10">
        <v>20201118</v>
      </c>
      <c r="M5152" s="36" t="str">
        <f t="shared" si="80"/>
        <v>19760404</v>
      </c>
    </row>
    <row r="5153" s="1" customFormat="1" spans="1:13">
      <c r="A5153" s="2">
        <v>4670</v>
      </c>
      <c r="B5153" s="6" t="s">
        <v>9015</v>
      </c>
      <c r="C5153" s="6" t="s">
        <v>9504</v>
      </c>
      <c r="D5153" s="6" t="s">
        <v>9505</v>
      </c>
      <c r="E5153" s="6">
        <v>2020</v>
      </c>
      <c r="F5153" s="6">
        <v>2020</v>
      </c>
      <c r="G5153" s="6" t="s">
        <v>16</v>
      </c>
      <c r="H5153" s="6">
        <v>200</v>
      </c>
      <c r="I5153" s="6">
        <v>200</v>
      </c>
      <c r="J5153" s="6"/>
      <c r="K5153" s="6"/>
      <c r="L5153" s="10">
        <v>20201118</v>
      </c>
      <c r="M5153" s="36" t="str">
        <f t="shared" si="80"/>
        <v>19760404</v>
      </c>
    </row>
    <row r="5154" s="1" customFormat="1" spans="1:13">
      <c r="A5154" s="2">
        <v>4405</v>
      </c>
      <c r="B5154" s="9" t="s">
        <v>8515</v>
      </c>
      <c r="C5154" s="6" t="s">
        <v>8997</v>
      </c>
      <c r="D5154" s="293" t="s">
        <v>8998</v>
      </c>
      <c r="E5154" s="5" t="s">
        <v>15</v>
      </c>
      <c r="F5154" s="5">
        <v>2020</v>
      </c>
      <c r="G5154" s="6" t="s">
        <v>295</v>
      </c>
      <c r="H5154" s="9">
        <v>200</v>
      </c>
      <c r="I5154" s="9">
        <v>200</v>
      </c>
      <c r="J5154" s="6"/>
      <c r="K5154" s="6"/>
      <c r="L5154" s="10">
        <v>20201118</v>
      </c>
      <c r="M5154" s="36" t="str">
        <f t="shared" si="80"/>
        <v>19760405</v>
      </c>
    </row>
    <row r="5155" s="1" customFormat="1" ht="14.25" spans="1:13">
      <c r="A5155" s="2">
        <v>5367</v>
      </c>
      <c r="B5155" s="33" t="s">
        <v>10535</v>
      </c>
      <c r="C5155" s="34" t="s">
        <v>10844</v>
      </c>
      <c r="D5155" s="34" t="s">
        <v>10845</v>
      </c>
      <c r="E5155" s="35">
        <v>2020</v>
      </c>
      <c r="F5155" s="35">
        <v>2020</v>
      </c>
      <c r="G5155" s="35" t="s">
        <v>16</v>
      </c>
      <c r="H5155" s="34">
        <v>200</v>
      </c>
      <c r="I5155" s="34">
        <v>200</v>
      </c>
      <c r="J5155" s="49"/>
      <c r="K5155" s="10"/>
      <c r="L5155" s="10">
        <v>20201118</v>
      </c>
      <c r="M5155" s="36" t="str">
        <f t="shared" si="80"/>
        <v>19760406</v>
      </c>
    </row>
    <row r="5156" s="1" customFormat="1" ht="14.25" spans="1:13">
      <c r="A5156" s="2">
        <v>5368</v>
      </c>
      <c r="B5156" s="33" t="s">
        <v>10535</v>
      </c>
      <c r="C5156" s="34" t="s">
        <v>10846</v>
      </c>
      <c r="D5156" s="34" t="s">
        <v>10847</v>
      </c>
      <c r="E5156" s="35">
        <v>2020</v>
      </c>
      <c r="F5156" s="35">
        <v>2020</v>
      </c>
      <c r="G5156" s="35" t="s">
        <v>16</v>
      </c>
      <c r="H5156" s="34">
        <v>200</v>
      </c>
      <c r="I5156" s="34">
        <v>200</v>
      </c>
      <c r="J5156" s="49"/>
      <c r="K5156" s="10"/>
      <c r="L5156" s="10">
        <v>20201118</v>
      </c>
      <c r="M5156" s="36" t="str">
        <f t="shared" si="80"/>
        <v>19760407</v>
      </c>
    </row>
    <row r="5157" s="1" customFormat="1" ht="14.25" spans="1:13">
      <c r="A5157" s="2">
        <v>3045</v>
      </c>
      <c r="B5157" s="6" t="s">
        <v>6075</v>
      </c>
      <c r="C5157" s="25" t="s">
        <v>6613</v>
      </c>
      <c r="D5157" s="26" t="s">
        <v>6614</v>
      </c>
      <c r="E5157" s="5" t="s">
        <v>15</v>
      </c>
      <c r="F5157" s="5">
        <v>2020</v>
      </c>
      <c r="G5157" s="6" t="s">
        <v>16</v>
      </c>
      <c r="H5157" s="6">
        <v>500</v>
      </c>
      <c r="I5157" s="6">
        <v>500</v>
      </c>
      <c r="J5157" s="6"/>
      <c r="K5157" s="10"/>
      <c r="L5157" s="10">
        <v>20201118</v>
      </c>
      <c r="M5157" s="36" t="str">
        <f t="shared" si="80"/>
        <v>19760409</v>
      </c>
    </row>
    <row r="5158" s="1" customFormat="1" spans="1:13">
      <c r="A5158" s="2">
        <v>7498</v>
      </c>
      <c r="B5158" s="5" t="s">
        <v>14402</v>
      </c>
      <c r="C5158" s="5" t="s">
        <v>14610</v>
      </c>
      <c r="D5158" s="5" t="s">
        <v>14611</v>
      </c>
      <c r="E5158" s="5">
        <v>2020</v>
      </c>
      <c r="F5158" s="5">
        <v>2020</v>
      </c>
      <c r="G5158" s="17" t="s">
        <v>16</v>
      </c>
      <c r="H5158" s="5">
        <v>200</v>
      </c>
      <c r="I5158" s="5">
        <v>200</v>
      </c>
      <c r="J5158" s="5"/>
      <c r="K5158" s="10"/>
      <c r="L5158" s="10">
        <v>20201118</v>
      </c>
      <c r="M5158" s="36" t="str">
        <f t="shared" si="80"/>
        <v>19760409</v>
      </c>
    </row>
    <row r="5159" s="1" customFormat="1" spans="1:13">
      <c r="A5159" s="2">
        <v>2113</v>
      </c>
      <c r="B5159" s="5" t="s">
        <v>4189</v>
      </c>
      <c r="C5159" s="9" t="s">
        <v>4776</v>
      </c>
      <c r="D5159" s="9" t="s">
        <v>4777</v>
      </c>
      <c r="E5159" s="5" t="s">
        <v>15</v>
      </c>
      <c r="F5159" s="5" t="s">
        <v>15</v>
      </c>
      <c r="G5159" s="5" t="s">
        <v>3359</v>
      </c>
      <c r="H5159" s="16">
        <v>200</v>
      </c>
      <c r="I5159" s="16">
        <v>200</v>
      </c>
      <c r="J5159" s="5"/>
      <c r="K5159" s="10"/>
      <c r="L5159" s="10">
        <v>20201118</v>
      </c>
      <c r="M5159" s="36" t="str">
        <f t="shared" si="80"/>
        <v>19760413</v>
      </c>
    </row>
    <row r="5160" s="1" customFormat="1" spans="1:13">
      <c r="A5160" s="2">
        <v>6685</v>
      </c>
      <c r="B5160" s="5" t="s">
        <v>13027</v>
      </c>
      <c r="C5160" s="15" t="s">
        <v>13346</v>
      </c>
      <c r="D5160" s="15" t="s">
        <v>13347</v>
      </c>
      <c r="E5160" s="5">
        <v>2020</v>
      </c>
      <c r="F5160" s="5">
        <v>2020</v>
      </c>
      <c r="G5160" s="14" t="s">
        <v>16</v>
      </c>
      <c r="H5160" s="15">
        <v>200</v>
      </c>
      <c r="I5160" s="15">
        <v>200</v>
      </c>
      <c r="J5160" s="5"/>
      <c r="K5160" s="10"/>
      <c r="L5160" s="10">
        <v>20201118</v>
      </c>
      <c r="M5160" s="36" t="str">
        <f t="shared" si="80"/>
        <v>19760415</v>
      </c>
    </row>
    <row r="5161" s="1" customFormat="1" spans="1:13">
      <c r="A5161" s="2">
        <v>5809</v>
      </c>
      <c r="B5161" s="30" t="s">
        <v>11090</v>
      </c>
      <c r="C5161" s="30" t="s">
        <v>11687</v>
      </c>
      <c r="D5161" s="30" t="s">
        <v>11688</v>
      </c>
      <c r="E5161" s="5" t="s">
        <v>15</v>
      </c>
      <c r="F5161" s="5" t="s">
        <v>10250</v>
      </c>
      <c r="G5161" s="6" t="s">
        <v>16</v>
      </c>
      <c r="H5161" s="32">
        <v>200</v>
      </c>
      <c r="I5161" s="32">
        <v>200</v>
      </c>
      <c r="J5161" s="6"/>
      <c r="K5161" s="48"/>
      <c r="L5161" s="10">
        <v>20201118</v>
      </c>
      <c r="M5161" s="36" t="str">
        <f t="shared" si="80"/>
        <v>19760418</v>
      </c>
    </row>
    <row r="5162" s="1" customFormat="1" spans="1:13">
      <c r="A5162" s="2">
        <v>5149</v>
      </c>
      <c r="B5162" s="6" t="s">
        <v>10242</v>
      </c>
      <c r="C5162" s="9" t="s">
        <v>10424</v>
      </c>
      <c r="D5162" s="9" t="s">
        <v>10425</v>
      </c>
      <c r="E5162" s="5" t="s">
        <v>10250</v>
      </c>
      <c r="F5162" s="5">
        <v>2020</v>
      </c>
      <c r="G5162" s="6" t="s">
        <v>16</v>
      </c>
      <c r="H5162" s="6">
        <v>200</v>
      </c>
      <c r="I5162" s="6">
        <v>200</v>
      </c>
      <c r="J5162" s="6"/>
      <c r="K5162" s="5"/>
      <c r="L5162" s="10">
        <v>20201118</v>
      </c>
      <c r="M5162" s="36" t="str">
        <f t="shared" si="80"/>
        <v>19760419</v>
      </c>
    </row>
    <row r="5163" s="1" customFormat="1" spans="1:13">
      <c r="A5163" s="2">
        <v>4397</v>
      </c>
      <c r="B5163" s="9" t="s">
        <v>8515</v>
      </c>
      <c r="C5163" s="6" t="s">
        <v>3040</v>
      </c>
      <c r="D5163" s="293" t="s">
        <v>8982</v>
      </c>
      <c r="E5163" s="5" t="s">
        <v>15</v>
      </c>
      <c r="F5163" s="5">
        <v>2020</v>
      </c>
      <c r="G5163" s="6" t="s">
        <v>295</v>
      </c>
      <c r="H5163" s="9">
        <v>200</v>
      </c>
      <c r="I5163" s="9">
        <v>200</v>
      </c>
      <c r="J5163" s="6"/>
      <c r="K5163" s="6"/>
      <c r="L5163" s="10">
        <v>20201118</v>
      </c>
      <c r="M5163" s="36" t="str">
        <f t="shared" si="80"/>
        <v>19760420</v>
      </c>
    </row>
    <row r="5164" s="1" customFormat="1" spans="1:13">
      <c r="A5164" s="2">
        <v>1166</v>
      </c>
      <c r="B5164" s="5" t="s">
        <v>2469</v>
      </c>
      <c r="C5164" s="9" t="s">
        <v>2916</v>
      </c>
      <c r="D5164" s="9" t="s">
        <v>2917</v>
      </c>
      <c r="E5164" s="5">
        <v>2020</v>
      </c>
      <c r="F5164" s="5">
        <v>2020</v>
      </c>
      <c r="G5164" s="9" t="s">
        <v>2480</v>
      </c>
      <c r="H5164" s="9">
        <v>200</v>
      </c>
      <c r="I5164" s="9">
        <v>200</v>
      </c>
      <c r="J5164" s="5"/>
      <c r="K5164" s="5"/>
      <c r="L5164" s="10">
        <v>20201118</v>
      </c>
      <c r="M5164" s="36" t="str">
        <f t="shared" si="80"/>
        <v>19760421</v>
      </c>
    </row>
    <row r="5165" s="1" customFormat="1" spans="1:13">
      <c r="A5165" s="2">
        <v>4991</v>
      </c>
      <c r="B5165" s="6" t="s">
        <v>9954</v>
      </c>
      <c r="C5165" s="60" t="s">
        <v>10120</v>
      </c>
      <c r="D5165" s="60" t="s">
        <v>10121</v>
      </c>
      <c r="E5165" s="5" t="s">
        <v>15</v>
      </c>
      <c r="F5165" s="5" t="s">
        <v>15</v>
      </c>
      <c r="G5165" s="14" t="s">
        <v>16</v>
      </c>
      <c r="H5165" s="6">
        <v>200</v>
      </c>
      <c r="I5165" s="6">
        <v>200</v>
      </c>
      <c r="J5165" s="6"/>
      <c r="K5165" s="6"/>
      <c r="L5165" s="10">
        <v>20201118</v>
      </c>
      <c r="M5165" s="36" t="str">
        <f t="shared" si="80"/>
        <v>19760422</v>
      </c>
    </row>
    <row r="5166" s="1" customFormat="1" spans="1:13">
      <c r="A5166" s="2">
        <v>6159</v>
      </c>
      <c r="B5166" s="5" t="s">
        <v>12263</v>
      </c>
      <c r="C5166" s="5" t="s">
        <v>12350</v>
      </c>
      <c r="D5166" s="5" t="s">
        <v>12351</v>
      </c>
      <c r="E5166" s="5" t="s">
        <v>10250</v>
      </c>
      <c r="F5166" s="5">
        <v>2020</v>
      </c>
      <c r="G5166" s="17" t="s">
        <v>3359</v>
      </c>
      <c r="H5166" s="5">
        <v>200</v>
      </c>
      <c r="I5166" s="5">
        <v>200</v>
      </c>
      <c r="J5166" s="5"/>
      <c r="K5166" s="5"/>
      <c r="L5166" s="10">
        <v>20201118</v>
      </c>
      <c r="M5166" s="36" t="str">
        <f t="shared" si="80"/>
        <v>19760425</v>
      </c>
    </row>
    <row r="5167" s="1" customFormat="1" ht="14.25" spans="1:13">
      <c r="A5167" s="2">
        <v>2998</v>
      </c>
      <c r="B5167" s="6" t="s">
        <v>6075</v>
      </c>
      <c r="C5167" s="25" t="s">
        <v>6521</v>
      </c>
      <c r="D5167" s="26" t="s">
        <v>6522</v>
      </c>
      <c r="E5167" s="5" t="s">
        <v>15</v>
      </c>
      <c r="F5167" s="5">
        <v>2020</v>
      </c>
      <c r="G5167" s="6" t="s">
        <v>16</v>
      </c>
      <c r="H5167" s="6">
        <v>200</v>
      </c>
      <c r="I5167" s="6">
        <v>200</v>
      </c>
      <c r="J5167" s="6"/>
      <c r="K5167" s="10"/>
      <c r="L5167" s="10">
        <v>20201118</v>
      </c>
      <c r="M5167" s="36" t="str">
        <f t="shared" si="80"/>
        <v>19760429</v>
      </c>
    </row>
    <row r="5168" s="1" customFormat="1" spans="1:13">
      <c r="A5168" s="2">
        <v>6518</v>
      </c>
      <c r="B5168" s="5" t="s">
        <v>13027</v>
      </c>
      <c r="C5168" s="15" t="s">
        <v>11803</v>
      </c>
      <c r="D5168" s="15" t="s">
        <v>13036</v>
      </c>
      <c r="E5168" s="5">
        <v>2020</v>
      </c>
      <c r="F5168" s="5">
        <v>2020</v>
      </c>
      <c r="G5168" s="14" t="s">
        <v>16</v>
      </c>
      <c r="H5168" s="15">
        <v>200</v>
      </c>
      <c r="I5168" s="15">
        <v>200</v>
      </c>
      <c r="J5168" s="5"/>
      <c r="K5168" s="10"/>
      <c r="L5168" s="10">
        <v>20201118</v>
      </c>
      <c r="M5168" s="36" t="str">
        <f t="shared" si="80"/>
        <v>19760429</v>
      </c>
    </row>
    <row r="5169" s="1" customFormat="1" spans="1:13">
      <c r="A5169" s="2">
        <v>6686</v>
      </c>
      <c r="B5169" s="5" t="s">
        <v>13027</v>
      </c>
      <c r="C5169" s="15" t="s">
        <v>13348</v>
      </c>
      <c r="D5169" s="15" t="s">
        <v>13349</v>
      </c>
      <c r="E5169" s="5">
        <v>2020</v>
      </c>
      <c r="F5169" s="5">
        <v>2020</v>
      </c>
      <c r="G5169" s="14" t="s">
        <v>16</v>
      </c>
      <c r="H5169" s="15">
        <v>200</v>
      </c>
      <c r="I5169" s="15">
        <v>200</v>
      </c>
      <c r="J5169" s="5"/>
      <c r="K5169" s="10"/>
      <c r="L5169" s="10">
        <v>20201118</v>
      </c>
      <c r="M5169" s="36" t="str">
        <f t="shared" si="80"/>
        <v>19760429</v>
      </c>
    </row>
    <row r="5170" s="1" customFormat="1" spans="1:13">
      <c r="A5170" s="2">
        <v>4550</v>
      </c>
      <c r="B5170" s="6" t="s">
        <v>9015</v>
      </c>
      <c r="C5170" s="6" t="s">
        <v>9279</v>
      </c>
      <c r="D5170" s="6" t="s">
        <v>9280</v>
      </c>
      <c r="E5170" s="6">
        <v>2020</v>
      </c>
      <c r="F5170" s="6">
        <v>2020</v>
      </c>
      <c r="G5170" s="6" t="s">
        <v>16</v>
      </c>
      <c r="H5170" s="6">
        <v>200</v>
      </c>
      <c r="I5170" s="6">
        <v>200</v>
      </c>
      <c r="J5170" s="6"/>
      <c r="K5170" s="6"/>
      <c r="L5170" s="10">
        <v>20201118</v>
      </c>
      <c r="M5170" s="36" t="str">
        <f t="shared" si="80"/>
        <v>19760501</v>
      </c>
    </row>
    <row r="5171" s="1" customFormat="1" spans="1:13">
      <c r="A5171" s="2">
        <v>2674</v>
      </c>
      <c r="B5171" s="32" t="s">
        <v>5602</v>
      </c>
      <c r="C5171" s="9" t="s">
        <v>5881</v>
      </c>
      <c r="D5171" s="9" t="s">
        <v>5882</v>
      </c>
      <c r="E5171" s="32">
        <v>2020</v>
      </c>
      <c r="F5171" s="32">
        <v>2020</v>
      </c>
      <c r="G5171" s="32" t="s">
        <v>16</v>
      </c>
      <c r="H5171" s="9">
        <v>200</v>
      </c>
      <c r="I5171" s="9">
        <v>200</v>
      </c>
      <c r="J5171" s="32"/>
      <c r="K5171" s="52"/>
      <c r="L5171" s="10">
        <v>20201118</v>
      </c>
      <c r="M5171" s="36" t="str">
        <f t="shared" si="80"/>
        <v>19760502</v>
      </c>
    </row>
    <row r="5172" s="1" customFormat="1" spans="1:13">
      <c r="A5172" s="2">
        <v>6160</v>
      </c>
      <c r="B5172" s="5" t="s">
        <v>12263</v>
      </c>
      <c r="C5172" s="5" t="s">
        <v>12352</v>
      </c>
      <c r="D5172" s="5" t="s">
        <v>12353</v>
      </c>
      <c r="E5172" s="5" t="s">
        <v>10250</v>
      </c>
      <c r="F5172" s="5">
        <v>2020</v>
      </c>
      <c r="G5172" s="17" t="s">
        <v>3359</v>
      </c>
      <c r="H5172" s="5">
        <v>200</v>
      </c>
      <c r="I5172" s="5">
        <v>200</v>
      </c>
      <c r="J5172" s="5"/>
      <c r="K5172" s="5"/>
      <c r="L5172" s="10">
        <v>20201118</v>
      </c>
      <c r="M5172" s="36" t="str">
        <f t="shared" si="80"/>
        <v>19760502</v>
      </c>
    </row>
    <row r="5173" s="1" customFormat="1" ht="14.25" spans="1:13">
      <c r="A5173" s="2">
        <v>6078</v>
      </c>
      <c r="B5173" s="30" t="s">
        <v>11090</v>
      </c>
      <c r="C5173" s="6" t="s">
        <v>12195</v>
      </c>
      <c r="D5173" s="12" t="s">
        <v>12196</v>
      </c>
      <c r="E5173" s="5" t="s">
        <v>15</v>
      </c>
      <c r="F5173" s="5" t="s">
        <v>10250</v>
      </c>
      <c r="G5173" s="6" t="s">
        <v>16</v>
      </c>
      <c r="H5173" s="32">
        <v>200</v>
      </c>
      <c r="I5173" s="32">
        <v>200</v>
      </c>
      <c r="J5173" s="5"/>
      <c r="K5173" s="48"/>
      <c r="L5173" s="10">
        <v>20201118</v>
      </c>
      <c r="M5173" s="36" t="str">
        <f t="shared" si="80"/>
        <v>19760504</v>
      </c>
    </row>
    <row r="5174" s="1" customFormat="1" spans="1:13">
      <c r="A5174" s="2">
        <v>97</v>
      </c>
      <c r="B5174" s="3" t="s">
        <v>12</v>
      </c>
      <c r="C5174" s="6" t="s">
        <v>210</v>
      </c>
      <c r="D5174" s="6" t="s">
        <v>211</v>
      </c>
      <c r="E5174" s="3" t="s">
        <v>15</v>
      </c>
      <c r="F5174" s="3" t="s">
        <v>15</v>
      </c>
      <c r="G5174" s="2" t="s">
        <v>16</v>
      </c>
      <c r="H5174" s="3">
        <v>500</v>
      </c>
      <c r="I5174" s="3">
        <v>500</v>
      </c>
      <c r="J5174" s="3"/>
      <c r="K5174" s="3"/>
      <c r="L5174" s="10">
        <v>20201118</v>
      </c>
      <c r="M5174" s="36" t="str">
        <f t="shared" si="80"/>
        <v>19760508</v>
      </c>
    </row>
    <row r="5175" s="1" customFormat="1" spans="1:13">
      <c r="A5175" s="2">
        <v>6122</v>
      </c>
      <c r="B5175" s="5" t="s">
        <v>12263</v>
      </c>
      <c r="C5175" s="5" t="s">
        <v>12280</v>
      </c>
      <c r="D5175" s="5" t="s">
        <v>12281</v>
      </c>
      <c r="E5175" s="5" t="s">
        <v>10250</v>
      </c>
      <c r="F5175" s="5">
        <v>2020</v>
      </c>
      <c r="G5175" s="17" t="s">
        <v>3359</v>
      </c>
      <c r="H5175" s="5">
        <v>200</v>
      </c>
      <c r="I5175" s="5">
        <v>200</v>
      </c>
      <c r="J5175" s="5"/>
      <c r="K5175" s="5"/>
      <c r="L5175" s="10">
        <v>20201118</v>
      </c>
      <c r="M5175" s="36" t="str">
        <f t="shared" si="80"/>
        <v>19760508</v>
      </c>
    </row>
    <row r="5176" s="1" customFormat="1" spans="1:13">
      <c r="A5176" s="2">
        <v>3948</v>
      </c>
      <c r="B5176" s="5" t="s">
        <v>7412</v>
      </c>
      <c r="C5176" s="5" t="s">
        <v>8119</v>
      </c>
      <c r="D5176" s="5" t="s">
        <v>8120</v>
      </c>
      <c r="E5176" s="6">
        <v>2020</v>
      </c>
      <c r="F5176" s="6">
        <v>2020</v>
      </c>
      <c r="G5176" s="5" t="s">
        <v>3359</v>
      </c>
      <c r="H5176" s="5">
        <v>200</v>
      </c>
      <c r="I5176" s="5">
        <v>200</v>
      </c>
      <c r="J5176" s="5"/>
      <c r="K5176" s="5"/>
      <c r="L5176" s="10">
        <v>20201118</v>
      </c>
      <c r="M5176" s="36" t="str">
        <f t="shared" si="80"/>
        <v>19760509</v>
      </c>
    </row>
    <row r="5177" s="1" customFormat="1" spans="1:13">
      <c r="A5177" s="2">
        <v>2302</v>
      </c>
      <c r="B5177" s="9" t="s">
        <v>4837</v>
      </c>
      <c r="C5177" s="9" t="s">
        <v>5145</v>
      </c>
      <c r="D5177" s="9" t="s">
        <v>5146</v>
      </c>
      <c r="E5177" s="6" t="s">
        <v>15</v>
      </c>
      <c r="F5177" s="6">
        <v>2020</v>
      </c>
      <c r="G5177" s="9" t="s">
        <v>2480</v>
      </c>
      <c r="H5177" s="9">
        <v>200</v>
      </c>
      <c r="I5177" s="9">
        <v>200</v>
      </c>
      <c r="J5177" s="6"/>
      <c r="K5177" s="10"/>
      <c r="L5177" s="10">
        <v>20201118</v>
      </c>
      <c r="M5177" s="36" t="str">
        <f t="shared" si="80"/>
        <v>19760511</v>
      </c>
    </row>
    <row r="5178" s="1" customFormat="1" ht="14.25" spans="1:13">
      <c r="A5178" s="2">
        <v>7679</v>
      </c>
      <c r="B5178" s="5" t="s">
        <v>14875</v>
      </c>
      <c r="C5178" s="51" t="s">
        <v>14922</v>
      </c>
      <c r="D5178" s="24" t="str">
        <f>"152326197605117110"</f>
        <v>152326197605117110</v>
      </c>
      <c r="E5178" s="6" t="s">
        <v>15</v>
      </c>
      <c r="F5178" s="6">
        <v>2020</v>
      </c>
      <c r="G5178" s="24" t="s">
        <v>14877</v>
      </c>
      <c r="H5178" s="6">
        <v>200</v>
      </c>
      <c r="I5178" s="6">
        <v>200</v>
      </c>
      <c r="J5178" s="6"/>
      <c r="K5178" s="10"/>
      <c r="L5178" s="10">
        <v>20201118</v>
      </c>
      <c r="M5178" s="36" t="str">
        <f t="shared" si="80"/>
        <v>19760511</v>
      </c>
    </row>
    <row r="5179" s="1" customFormat="1" spans="1:13">
      <c r="A5179" s="2">
        <v>6872</v>
      </c>
      <c r="B5179" s="5" t="s">
        <v>13533</v>
      </c>
      <c r="C5179" s="32" t="s">
        <v>13623</v>
      </c>
      <c r="D5179" s="32" t="str">
        <f>"152326197605127124"</f>
        <v>152326197605127124</v>
      </c>
      <c r="E5179" s="5">
        <v>2020</v>
      </c>
      <c r="F5179" s="5">
        <v>2020</v>
      </c>
      <c r="G5179" s="9" t="s">
        <v>2480</v>
      </c>
      <c r="H5179" s="32">
        <v>200</v>
      </c>
      <c r="I5179" s="32">
        <v>200</v>
      </c>
      <c r="J5179" s="32"/>
      <c r="K5179" s="10"/>
      <c r="L5179" s="10">
        <v>20201118</v>
      </c>
      <c r="M5179" s="36" t="str">
        <f t="shared" si="80"/>
        <v>19760512</v>
      </c>
    </row>
    <row r="5180" s="1" customFormat="1" spans="1:13">
      <c r="A5180" s="2">
        <v>4557</v>
      </c>
      <c r="B5180" s="6" t="s">
        <v>9015</v>
      </c>
      <c r="C5180" s="6" t="s">
        <v>9293</v>
      </c>
      <c r="D5180" s="6" t="s">
        <v>9294</v>
      </c>
      <c r="E5180" s="6">
        <v>2020</v>
      </c>
      <c r="F5180" s="6">
        <v>2020</v>
      </c>
      <c r="G5180" s="6" t="s">
        <v>16</v>
      </c>
      <c r="H5180" s="6">
        <v>200</v>
      </c>
      <c r="I5180" s="6">
        <v>200</v>
      </c>
      <c r="J5180" s="6"/>
      <c r="K5180" s="6"/>
      <c r="L5180" s="10">
        <v>20201118</v>
      </c>
      <c r="M5180" s="36" t="str">
        <f t="shared" si="80"/>
        <v>19760515</v>
      </c>
    </row>
    <row r="5181" s="1" customFormat="1" spans="1:13">
      <c r="A5181" s="2">
        <v>4331</v>
      </c>
      <c r="B5181" s="9" t="s">
        <v>8515</v>
      </c>
      <c r="C5181" s="9" t="s">
        <v>8852</v>
      </c>
      <c r="D5181" s="9" t="s">
        <v>8853</v>
      </c>
      <c r="E5181" s="5" t="s">
        <v>15</v>
      </c>
      <c r="F5181" s="5">
        <v>2020</v>
      </c>
      <c r="G5181" s="9" t="s">
        <v>2480</v>
      </c>
      <c r="H5181" s="9">
        <v>200</v>
      </c>
      <c r="I5181" s="9">
        <v>200</v>
      </c>
      <c r="J5181" s="9"/>
      <c r="K5181" s="9"/>
      <c r="L5181" s="10">
        <v>20201118</v>
      </c>
      <c r="M5181" s="36" t="str">
        <f t="shared" si="80"/>
        <v>19760517</v>
      </c>
    </row>
    <row r="5182" s="1" customFormat="1" ht="14.25" spans="1:13">
      <c r="A5182" s="2">
        <v>6108</v>
      </c>
      <c r="B5182" s="30" t="s">
        <v>11090</v>
      </c>
      <c r="C5182" s="32" t="s">
        <v>12252</v>
      </c>
      <c r="D5182" s="12" t="s">
        <v>12253</v>
      </c>
      <c r="E5182" s="5" t="s">
        <v>1047</v>
      </c>
      <c r="F5182" s="5" t="s">
        <v>10250</v>
      </c>
      <c r="G5182" s="32" t="s">
        <v>289</v>
      </c>
      <c r="H5182" s="32">
        <v>200</v>
      </c>
      <c r="I5182" s="32">
        <v>400</v>
      </c>
      <c r="J5182" s="5"/>
      <c r="K5182" s="48"/>
      <c r="L5182" s="10">
        <v>20201118</v>
      </c>
      <c r="M5182" s="36" t="str">
        <f t="shared" si="80"/>
        <v>19760520</v>
      </c>
    </row>
    <row r="5183" s="1" customFormat="1" ht="14.25" spans="1:13">
      <c r="A5183" s="2">
        <v>7678</v>
      </c>
      <c r="B5183" s="5" t="s">
        <v>14875</v>
      </c>
      <c r="C5183" s="51" t="s">
        <v>14921</v>
      </c>
      <c r="D5183" s="24" t="str">
        <f>"152326197605237120"</f>
        <v>152326197605237120</v>
      </c>
      <c r="E5183" s="6" t="s">
        <v>15</v>
      </c>
      <c r="F5183" s="6">
        <v>2020</v>
      </c>
      <c r="G5183" s="24" t="s">
        <v>14877</v>
      </c>
      <c r="H5183" s="6">
        <v>200</v>
      </c>
      <c r="I5183" s="6">
        <v>200</v>
      </c>
      <c r="J5183" s="6"/>
      <c r="K5183" s="10"/>
      <c r="L5183" s="10">
        <v>20201118</v>
      </c>
      <c r="M5183" s="36" t="str">
        <f t="shared" si="80"/>
        <v>19760523</v>
      </c>
    </row>
    <row r="5184" s="1" customFormat="1" spans="1:13">
      <c r="A5184" s="2">
        <v>4444</v>
      </c>
      <c r="B5184" s="6" t="s">
        <v>9015</v>
      </c>
      <c r="C5184" s="6" t="s">
        <v>9075</v>
      </c>
      <c r="D5184" s="6" t="s">
        <v>9076</v>
      </c>
      <c r="E5184" s="6">
        <v>2020</v>
      </c>
      <c r="F5184" s="6">
        <v>2020</v>
      </c>
      <c r="G5184" s="6" t="s">
        <v>16</v>
      </c>
      <c r="H5184" s="6">
        <v>200</v>
      </c>
      <c r="I5184" s="6">
        <v>200</v>
      </c>
      <c r="J5184" s="6"/>
      <c r="K5184" s="6"/>
      <c r="L5184" s="10">
        <v>20201118</v>
      </c>
      <c r="M5184" s="36" t="str">
        <f t="shared" si="80"/>
        <v>19760525</v>
      </c>
    </row>
    <row r="5185" s="1" customFormat="1" ht="14.25" spans="1:13">
      <c r="A5185" s="2">
        <v>5369</v>
      </c>
      <c r="B5185" s="33" t="s">
        <v>10535</v>
      </c>
      <c r="C5185" s="34" t="s">
        <v>10848</v>
      </c>
      <c r="D5185" s="34" t="s">
        <v>10849</v>
      </c>
      <c r="E5185" s="35">
        <v>2020</v>
      </c>
      <c r="F5185" s="35">
        <v>2020</v>
      </c>
      <c r="G5185" s="35" t="s">
        <v>16</v>
      </c>
      <c r="H5185" s="34">
        <v>200</v>
      </c>
      <c r="I5185" s="34">
        <v>200</v>
      </c>
      <c r="J5185" s="49"/>
      <c r="K5185" s="10"/>
      <c r="L5185" s="10">
        <v>20201118</v>
      </c>
      <c r="M5185" s="36" t="str">
        <f t="shared" si="80"/>
        <v>19760528</v>
      </c>
    </row>
    <row r="5186" s="1" customFormat="1" ht="14.25" spans="1:13">
      <c r="A5186" s="2">
        <v>7677</v>
      </c>
      <c r="B5186" s="5" t="s">
        <v>14875</v>
      </c>
      <c r="C5186" s="51" t="s">
        <v>14919</v>
      </c>
      <c r="D5186" s="24" t="s">
        <v>14920</v>
      </c>
      <c r="E5186" s="6" t="s">
        <v>15</v>
      </c>
      <c r="F5186" s="6">
        <v>2020</v>
      </c>
      <c r="G5186" s="24" t="s">
        <v>14877</v>
      </c>
      <c r="H5186" s="6">
        <v>200</v>
      </c>
      <c r="I5186" s="6">
        <v>200</v>
      </c>
      <c r="J5186" s="6"/>
      <c r="K5186" s="10"/>
      <c r="L5186" s="10">
        <v>20201118</v>
      </c>
      <c r="M5186" s="36" t="str">
        <f t="shared" ref="M5186:M5249" si="81">MID(D5186,7,8)</f>
        <v>19760529</v>
      </c>
    </row>
    <row r="5187" s="1" customFormat="1" ht="14.25" spans="1:13">
      <c r="A5187" s="2">
        <v>1688</v>
      </c>
      <c r="B5187" s="5" t="s">
        <v>3381</v>
      </c>
      <c r="C5187" s="9" t="s">
        <v>3938</v>
      </c>
      <c r="D5187" s="9" t="s">
        <v>3939</v>
      </c>
      <c r="E5187" s="5">
        <v>2020</v>
      </c>
      <c r="F5187" s="5">
        <v>2020</v>
      </c>
      <c r="G5187" s="14" t="s">
        <v>16</v>
      </c>
      <c r="H5187" s="6">
        <v>200</v>
      </c>
      <c r="I5187" s="6">
        <v>200</v>
      </c>
      <c r="J5187" s="24"/>
      <c r="K5187" s="13"/>
      <c r="L5187" s="10">
        <v>20201118</v>
      </c>
      <c r="M5187" s="36" t="str">
        <f t="shared" si="81"/>
        <v>19760601</v>
      </c>
    </row>
    <row r="5188" s="1" customFormat="1" ht="14.25" spans="1:13">
      <c r="A5188" s="2">
        <v>5049</v>
      </c>
      <c r="B5188" s="13" t="s">
        <v>9954</v>
      </c>
      <c r="C5188" s="13" t="s">
        <v>10231</v>
      </c>
      <c r="D5188" s="307" t="s">
        <v>10232</v>
      </c>
      <c r="E5188" s="13">
        <v>2020</v>
      </c>
      <c r="F5188" s="13">
        <v>2020</v>
      </c>
      <c r="G5188" s="14" t="s">
        <v>16</v>
      </c>
      <c r="H5188" s="13">
        <v>200</v>
      </c>
      <c r="I5188" s="13">
        <v>200</v>
      </c>
      <c r="J5188" s="10"/>
      <c r="K5188" s="10"/>
      <c r="L5188" s="10">
        <v>20201224</v>
      </c>
      <c r="M5188" s="36" t="str">
        <f t="shared" si="81"/>
        <v>19760601</v>
      </c>
    </row>
    <row r="5189" s="1" customFormat="1" ht="14.25" spans="1:13">
      <c r="A5189" s="2">
        <v>5370</v>
      </c>
      <c r="B5189" s="33" t="s">
        <v>10535</v>
      </c>
      <c r="C5189" s="34" t="s">
        <v>10850</v>
      </c>
      <c r="D5189" s="34" t="s">
        <v>10851</v>
      </c>
      <c r="E5189" s="35">
        <v>2020</v>
      </c>
      <c r="F5189" s="35">
        <v>2020</v>
      </c>
      <c r="G5189" s="35" t="s">
        <v>16</v>
      </c>
      <c r="H5189" s="34">
        <v>200</v>
      </c>
      <c r="I5189" s="34">
        <v>200</v>
      </c>
      <c r="J5189" s="49"/>
      <c r="K5189" s="10"/>
      <c r="L5189" s="10">
        <v>20201118</v>
      </c>
      <c r="M5189" s="36" t="str">
        <f t="shared" si="81"/>
        <v>19760601</v>
      </c>
    </row>
    <row r="5190" s="1" customFormat="1" spans="1:13">
      <c r="A5190" s="2">
        <v>8115</v>
      </c>
      <c r="B5190" s="5" t="s">
        <v>15406</v>
      </c>
      <c r="C5190" s="6" t="s">
        <v>15424</v>
      </c>
      <c r="D5190" s="6" t="s">
        <v>15425</v>
      </c>
      <c r="E5190" s="5" t="s">
        <v>15</v>
      </c>
      <c r="F5190" s="5">
        <v>2020</v>
      </c>
      <c r="G5190" s="14" t="s">
        <v>16</v>
      </c>
      <c r="H5190" s="6">
        <v>200</v>
      </c>
      <c r="I5190" s="6">
        <v>200</v>
      </c>
      <c r="J5190" s="5"/>
      <c r="K5190" s="10"/>
      <c r="L5190" s="10">
        <v>20201118</v>
      </c>
      <c r="M5190" s="36" t="str">
        <f t="shared" si="81"/>
        <v>19760603</v>
      </c>
    </row>
    <row r="5191" s="1" customFormat="1" spans="1:13">
      <c r="A5191" s="2">
        <v>3343</v>
      </c>
      <c r="B5191" s="5" t="s">
        <v>3375</v>
      </c>
      <c r="C5191" s="6" t="s">
        <v>1365</v>
      </c>
      <c r="D5191" s="6" t="str">
        <f>"152326197606046879"</f>
        <v>152326197606046879</v>
      </c>
      <c r="E5191" s="5" t="s">
        <v>15</v>
      </c>
      <c r="F5191" s="5">
        <v>2020</v>
      </c>
      <c r="G5191" s="14" t="s">
        <v>16</v>
      </c>
      <c r="H5191" s="17">
        <v>200</v>
      </c>
      <c r="I5191" s="17">
        <v>200</v>
      </c>
      <c r="J5191" s="6"/>
      <c r="K5191" s="10"/>
      <c r="L5191" s="10">
        <v>20201118</v>
      </c>
      <c r="M5191" s="36" t="str">
        <f t="shared" si="81"/>
        <v>19760604</v>
      </c>
    </row>
    <row r="5192" s="1" customFormat="1" spans="1:13">
      <c r="A5192" s="2">
        <v>7349</v>
      </c>
      <c r="B5192" s="5" t="s">
        <v>13908</v>
      </c>
      <c r="C5192" s="5" t="s">
        <v>14328</v>
      </c>
      <c r="D5192" s="5" t="s">
        <v>14329</v>
      </c>
      <c r="E5192" s="5" t="s">
        <v>15</v>
      </c>
      <c r="F5192" s="5" t="s">
        <v>15</v>
      </c>
      <c r="G5192" s="14" t="s">
        <v>16</v>
      </c>
      <c r="H5192" s="17">
        <v>200</v>
      </c>
      <c r="I5192" s="17">
        <v>200</v>
      </c>
      <c r="J5192" s="5"/>
      <c r="K5192" s="10"/>
      <c r="L5192" s="10">
        <v>20201118</v>
      </c>
      <c r="M5192" s="36" t="str">
        <f t="shared" si="81"/>
        <v>19760605</v>
      </c>
    </row>
    <row r="5193" s="1" customFormat="1" spans="1:13">
      <c r="A5193" s="2">
        <v>7924</v>
      </c>
      <c r="B5193" s="5" t="s">
        <v>15086</v>
      </c>
      <c r="C5193" s="6" t="s">
        <v>15200</v>
      </c>
      <c r="D5193" s="6" t="str">
        <f>"152326197606056874"</f>
        <v>152326197606056874</v>
      </c>
      <c r="E5193" s="5" t="s">
        <v>15</v>
      </c>
      <c r="F5193" s="5">
        <v>2020</v>
      </c>
      <c r="G5193" s="5" t="s">
        <v>16</v>
      </c>
      <c r="H5193" s="5">
        <v>200</v>
      </c>
      <c r="I5193" s="5">
        <v>200</v>
      </c>
      <c r="J5193" s="5"/>
      <c r="K5193" s="5"/>
      <c r="L5193" s="10">
        <v>20201118</v>
      </c>
      <c r="M5193" s="36" t="str">
        <f t="shared" si="81"/>
        <v>19760605</v>
      </c>
    </row>
    <row r="5194" s="1" customFormat="1" ht="14.25" spans="1:13">
      <c r="A5194" s="2">
        <v>5371</v>
      </c>
      <c r="B5194" s="33" t="s">
        <v>10535</v>
      </c>
      <c r="C5194" s="34" t="s">
        <v>10852</v>
      </c>
      <c r="D5194" s="34" t="s">
        <v>10853</v>
      </c>
      <c r="E5194" s="35">
        <v>2020</v>
      </c>
      <c r="F5194" s="35">
        <v>2020</v>
      </c>
      <c r="G5194" s="35" t="s">
        <v>16</v>
      </c>
      <c r="H5194" s="34">
        <v>200</v>
      </c>
      <c r="I5194" s="34">
        <v>200</v>
      </c>
      <c r="J5194" s="49"/>
      <c r="K5194" s="10"/>
      <c r="L5194" s="10">
        <v>20201118</v>
      </c>
      <c r="M5194" s="36" t="str">
        <f t="shared" si="81"/>
        <v>19760610</v>
      </c>
    </row>
    <row r="5195" s="1" customFormat="1" spans="1:13">
      <c r="A5195" s="2">
        <v>6866</v>
      </c>
      <c r="B5195" s="5" t="s">
        <v>13533</v>
      </c>
      <c r="C5195" s="32" t="s">
        <v>13617</v>
      </c>
      <c r="D5195" s="32" t="str">
        <f>"152326197606117112"</f>
        <v>152326197606117112</v>
      </c>
      <c r="E5195" s="5">
        <v>2020</v>
      </c>
      <c r="F5195" s="5">
        <v>2020</v>
      </c>
      <c r="G5195" s="9" t="s">
        <v>2480</v>
      </c>
      <c r="H5195" s="32">
        <v>200</v>
      </c>
      <c r="I5195" s="32">
        <v>200</v>
      </c>
      <c r="J5195" s="32"/>
      <c r="K5195" s="10"/>
      <c r="L5195" s="10">
        <v>20201118</v>
      </c>
      <c r="M5195" s="36" t="str">
        <f t="shared" si="81"/>
        <v>19760611</v>
      </c>
    </row>
    <row r="5196" s="1" customFormat="1" ht="14.25" spans="1:13">
      <c r="A5196" s="2">
        <v>7681</v>
      </c>
      <c r="B5196" s="5" t="s">
        <v>14875</v>
      </c>
      <c r="C5196" s="51" t="s">
        <v>14924</v>
      </c>
      <c r="D5196" s="24" t="str">
        <f>"152326197606117120"</f>
        <v>152326197606117120</v>
      </c>
      <c r="E5196" s="6" t="s">
        <v>15</v>
      </c>
      <c r="F5196" s="6">
        <v>2020</v>
      </c>
      <c r="G5196" s="24" t="s">
        <v>14877</v>
      </c>
      <c r="H5196" s="6">
        <v>200</v>
      </c>
      <c r="I5196" s="6">
        <v>200</v>
      </c>
      <c r="J5196" s="6"/>
      <c r="K5196" s="10"/>
      <c r="L5196" s="10">
        <v>20201118</v>
      </c>
      <c r="M5196" s="36" t="str">
        <f t="shared" si="81"/>
        <v>19760611</v>
      </c>
    </row>
    <row r="5197" s="1" customFormat="1" spans="1:13">
      <c r="A5197" s="2">
        <v>2303</v>
      </c>
      <c r="B5197" s="9" t="s">
        <v>4837</v>
      </c>
      <c r="C5197" s="9" t="s">
        <v>5147</v>
      </c>
      <c r="D5197" s="9" t="s">
        <v>5148</v>
      </c>
      <c r="E5197" s="6" t="s">
        <v>15</v>
      </c>
      <c r="F5197" s="6">
        <v>2020</v>
      </c>
      <c r="G5197" s="9" t="s">
        <v>2480</v>
      </c>
      <c r="H5197" s="9">
        <v>200</v>
      </c>
      <c r="I5197" s="9">
        <v>200</v>
      </c>
      <c r="J5197" s="6"/>
      <c r="K5197" s="10"/>
      <c r="L5197" s="10">
        <v>20201118</v>
      </c>
      <c r="M5197" s="36" t="str">
        <f t="shared" si="81"/>
        <v>19760612</v>
      </c>
    </row>
    <row r="5198" s="1" customFormat="1" spans="1:13">
      <c r="A5198" s="2">
        <v>3346</v>
      </c>
      <c r="B5198" s="5" t="s">
        <v>3375</v>
      </c>
      <c r="C5198" s="6" t="s">
        <v>7120</v>
      </c>
      <c r="D5198" s="6" t="str">
        <f>"152326197606126879"</f>
        <v>152326197606126879</v>
      </c>
      <c r="E5198" s="5" t="s">
        <v>15</v>
      </c>
      <c r="F5198" s="5">
        <v>2020</v>
      </c>
      <c r="G5198" s="14" t="s">
        <v>16</v>
      </c>
      <c r="H5198" s="17">
        <v>200</v>
      </c>
      <c r="I5198" s="17">
        <v>200</v>
      </c>
      <c r="J5198" s="6"/>
      <c r="K5198" s="10"/>
      <c r="L5198" s="10">
        <v>20201118</v>
      </c>
      <c r="M5198" s="36" t="str">
        <f t="shared" si="81"/>
        <v>19760612</v>
      </c>
    </row>
    <row r="5199" s="1" customFormat="1" spans="1:13">
      <c r="A5199" s="2">
        <v>4983</v>
      </c>
      <c r="B5199" s="6" t="s">
        <v>9954</v>
      </c>
      <c r="C5199" s="3" t="s">
        <v>10105</v>
      </c>
      <c r="D5199" s="3" t="s">
        <v>10106</v>
      </c>
      <c r="E5199" s="5" t="s">
        <v>15</v>
      </c>
      <c r="F5199" s="5" t="s">
        <v>15</v>
      </c>
      <c r="G5199" s="14" t="s">
        <v>16</v>
      </c>
      <c r="H5199" s="6">
        <v>200</v>
      </c>
      <c r="I5199" s="6">
        <v>200</v>
      </c>
      <c r="J5199" s="6"/>
      <c r="K5199" s="6"/>
      <c r="L5199" s="10">
        <v>20201118</v>
      </c>
      <c r="M5199" s="36" t="str">
        <f t="shared" si="81"/>
        <v>19760614</v>
      </c>
    </row>
    <row r="5200" s="1" customFormat="1" spans="1:13">
      <c r="A5200" s="2">
        <v>1980</v>
      </c>
      <c r="B5200" s="5" t="s">
        <v>4189</v>
      </c>
      <c r="C5200" s="16" t="s">
        <v>4518</v>
      </c>
      <c r="D5200" s="16" t="s">
        <v>4519</v>
      </c>
      <c r="E5200" s="5" t="s">
        <v>15</v>
      </c>
      <c r="F5200" s="5" t="s">
        <v>15</v>
      </c>
      <c r="G5200" s="5" t="s">
        <v>3359</v>
      </c>
      <c r="H5200" s="16">
        <v>500</v>
      </c>
      <c r="I5200" s="16">
        <v>500</v>
      </c>
      <c r="J5200" s="5"/>
      <c r="K5200" s="10"/>
      <c r="L5200" s="10">
        <v>20201118</v>
      </c>
      <c r="M5200" s="36" t="str">
        <f t="shared" si="81"/>
        <v>19760617</v>
      </c>
    </row>
    <row r="5201" s="1" customFormat="1" spans="1:13">
      <c r="A5201" s="2">
        <v>3949</v>
      </c>
      <c r="B5201" s="5" t="s">
        <v>7412</v>
      </c>
      <c r="C5201" s="5" t="s">
        <v>8121</v>
      </c>
      <c r="D5201" s="5" t="s">
        <v>8122</v>
      </c>
      <c r="E5201" s="6">
        <v>2020</v>
      </c>
      <c r="F5201" s="6">
        <v>2020</v>
      </c>
      <c r="G5201" s="5" t="s">
        <v>3359</v>
      </c>
      <c r="H5201" s="5">
        <v>200</v>
      </c>
      <c r="I5201" s="5">
        <v>200</v>
      </c>
      <c r="J5201" s="5"/>
      <c r="K5201" s="5"/>
      <c r="L5201" s="10">
        <v>20201118</v>
      </c>
      <c r="M5201" s="36" t="str">
        <f t="shared" si="81"/>
        <v>19760618</v>
      </c>
    </row>
    <row r="5202" s="1" customFormat="1" spans="1:13">
      <c r="A5202" s="2">
        <v>6345</v>
      </c>
      <c r="B5202" s="5" t="s">
        <v>12263</v>
      </c>
      <c r="C5202" s="5" t="s">
        <v>12706</v>
      </c>
      <c r="D5202" s="5" t="s">
        <v>12707</v>
      </c>
      <c r="E5202" s="5" t="s">
        <v>10250</v>
      </c>
      <c r="F5202" s="5">
        <v>2020</v>
      </c>
      <c r="G5202" s="17" t="s">
        <v>3359</v>
      </c>
      <c r="H5202" s="5" t="s">
        <v>2295</v>
      </c>
      <c r="I5202" s="5">
        <v>500</v>
      </c>
      <c r="J5202" s="5"/>
      <c r="K5202" s="5"/>
      <c r="L5202" s="10">
        <v>20201118</v>
      </c>
      <c r="M5202" s="36" t="str">
        <f t="shared" si="81"/>
        <v>19760701</v>
      </c>
    </row>
    <row r="5203" s="1" customFormat="1" spans="1:13">
      <c r="A5203" s="2">
        <v>4698</v>
      </c>
      <c r="B5203" s="6" t="s">
        <v>9015</v>
      </c>
      <c r="C5203" s="6" t="s">
        <v>9556</v>
      </c>
      <c r="D5203" s="6" t="s">
        <v>9557</v>
      </c>
      <c r="E5203" s="6">
        <v>2020</v>
      </c>
      <c r="F5203" s="6">
        <v>2020</v>
      </c>
      <c r="G5203" s="6" t="s">
        <v>16</v>
      </c>
      <c r="H5203" s="6">
        <v>200</v>
      </c>
      <c r="I5203" s="6">
        <v>200</v>
      </c>
      <c r="J5203" s="6"/>
      <c r="K5203" s="6"/>
      <c r="L5203" s="10">
        <v>20201118</v>
      </c>
      <c r="M5203" s="36" t="str">
        <f t="shared" si="81"/>
        <v>19760707</v>
      </c>
    </row>
    <row r="5204" s="1" customFormat="1" spans="1:13">
      <c r="A5204" s="2">
        <v>654</v>
      </c>
      <c r="B5204" s="29" t="s">
        <v>1040</v>
      </c>
      <c r="C5204" s="47" t="s">
        <v>1615</v>
      </c>
      <c r="D5204" s="47" t="s">
        <v>1616</v>
      </c>
      <c r="E5204" s="30">
        <v>2020</v>
      </c>
      <c r="F5204" s="30">
        <v>2020</v>
      </c>
      <c r="G5204" s="29" t="s">
        <v>16</v>
      </c>
      <c r="H5204" s="29">
        <v>200</v>
      </c>
      <c r="I5204" s="29">
        <v>200</v>
      </c>
      <c r="J5204" s="29"/>
      <c r="K5204" s="47"/>
      <c r="L5204" s="14" t="s">
        <v>330</v>
      </c>
      <c r="M5204" s="36" t="str">
        <f t="shared" si="81"/>
        <v>19760708</v>
      </c>
    </row>
    <row r="5205" s="1" customFormat="1" spans="1:13">
      <c r="A5205" s="2">
        <v>4763</v>
      </c>
      <c r="B5205" s="6" t="s">
        <v>9015</v>
      </c>
      <c r="C5205" s="6" t="s">
        <v>9680</v>
      </c>
      <c r="D5205" s="6" t="s">
        <v>9681</v>
      </c>
      <c r="E5205" s="6">
        <v>2020</v>
      </c>
      <c r="F5205" s="6">
        <v>2020</v>
      </c>
      <c r="G5205" s="6" t="s">
        <v>16</v>
      </c>
      <c r="H5205" s="6">
        <v>200</v>
      </c>
      <c r="I5205" s="6">
        <v>200</v>
      </c>
      <c r="J5205" s="6"/>
      <c r="K5205" s="6"/>
      <c r="L5205" s="10">
        <v>20201118</v>
      </c>
      <c r="M5205" s="36" t="str">
        <f t="shared" si="81"/>
        <v>19760708</v>
      </c>
    </row>
    <row r="5206" s="1" customFormat="1" spans="1:13">
      <c r="A5206" s="2">
        <v>3950</v>
      </c>
      <c r="B5206" s="5" t="s">
        <v>7412</v>
      </c>
      <c r="C5206" s="5" t="s">
        <v>8123</v>
      </c>
      <c r="D5206" s="5" t="s">
        <v>8124</v>
      </c>
      <c r="E5206" s="6">
        <v>2020</v>
      </c>
      <c r="F5206" s="6">
        <v>2020</v>
      </c>
      <c r="G5206" s="5" t="s">
        <v>3359</v>
      </c>
      <c r="H5206" s="5">
        <v>300</v>
      </c>
      <c r="I5206" s="5">
        <v>300</v>
      </c>
      <c r="J5206" s="5"/>
      <c r="K5206" s="5"/>
      <c r="L5206" s="10">
        <v>20201118</v>
      </c>
      <c r="M5206" s="36" t="str">
        <f t="shared" si="81"/>
        <v>19760710</v>
      </c>
    </row>
    <row r="5207" s="1" customFormat="1" spans="1:13">
      <c r="A5207" s="2">
        <v>4543</v>
      </c>
      <c r="B5207" s="6" t="s">
        <v>9015</v>
      </c>
      <c r="C5207" s="6" t="s">
        <v>9266</v>
      </c>
      <c r="D5207" s="6" t="s">
        <v>9267</v>
      </c>
      <c r="E5207" s="6">
        <v>2020</v>
      </c>
      <c r="F5207" s="6">
        <v>2020</v>
      </c>
      <c r="G5207" s="6" t="s">
        <v>16</v>
      </c>
      <c r="H5207" s="6">
        <v>200</v>
      </c>
      <c r="I5207" s="6">
        <v>200</v>
      </c>
      <c r="J5207" s="6"/>
      <c r="K5207" s="6"/>
      <c r="L5207" s="10">
        <v>20201118</v>
      </c>
      <c r="M5207" s="36" t="str">
        <f t="shared" si="81"/>
        <v>19760710</v>
      </c>
    </row>
    <row r="5208" s="1" customFormat="1" spans="1:13">
      <c r="A5208" s="2">
        <v>6863</v>
      </c>
      <c r="B5208" s="5" t="s">
        <v>13533</v>
      </c>
      <c r="C5208" s="32" t="s">
        <v>13614</v>
      </c>
      <c r="D5208" s="32" t="str">
        <f>"152326197607107151"</f>
        <v>152326197607107151</v>
      </c>
      <c r="E5208" s="5">
        <v>2020</v>
      </c>
      <c r="F5208" s="5">
        <v>2020</v>
      </c>
      <c r="G5208" s="9" t="s">
        <v>2480</v>
      </c>
      <c r="H5208" s="32">
        <v>200</v>
      </c>
      <c r="I5208" s="32">
        <v>200</v>
      </c>
      <c r="J5208" s="32"/>
      <c r="K5208" s="10"/>
      <c r="L5208" s="10">
        <v>20201118</v>
      </c>
      <c r="M5208" s="36" t="str">
        <f t="shared" si="81"/>
        <v>19760710</v>
      </c>
    </row>
    <row r="5209" s="1" customFormat="1" spans="1:13">
      <c r="A5209" s="2">
        <v>6687</v>
      </c>
      <c r="B5209" s="5" t="s">
        <v>13027</v>
      </c>
      <c r="C5209" s="15" t="s">
        <v>11760</v>
      </c>
      <c r="D5209" s="15" t="s">
        <v>13350</v>
      </c>
      <c r="E5209" s="5">
        <v>2020</v>
      </c>
      <c r="F5209" s="5">
        <v>2020</v>
      </c>
      <c r="G5209" s="14" t="s">
        <v>16</v>
      </c>
      <c r="H5209" s="15">
        <v>500</v>
      </c>
      <c r="I5209" s="15">
        <v>500</v>
      </c>
      <c r="J5209" s="5"/>
      <c r="K5209" s="10"/>
      <c r="L5209" s="10">
        <v>20201118</v>
      </c>
      <c r="M5209" s="36" t="str">
        <f t="shared" si="81"/>
        <v>19760712</v>
      </c>
    </row>
    <row r="5210" s="1" customFormat="1" spans="1:13">
      <c r="A5210" s="2">
        <v>7497</v>
      </c>
      <c r="B5210" s="5" t="s">
        <v>14402</v>
      </c>
      <c r="C5210" s="5" t="s">
        <v>14608</v>
      </c>
      <c r="D5210" s="5" t="s">
        <v>14609</v>
      </c>
      <c r="E5210" s="5">
        <v>2020</v>
      </c>
      <c r="F5210" s="5">
        <v>2020</v>
      </c>
      <c r="G5210" s="17" t="s">
        <v>16</v>
      </c>
      <c r="H5210" s="5">
        <v>200</v>
      </c>
      <c r="I5210" s="5">
        <v>200</v>
      </c>
      <c r="J5210" s="5"/>
      <c r="K5210" s="10"/>
      <c r="L5210" s="10">
        <v>20201118</v>
      </c>
      <c r="M5210" s="36" t="str">
        <f t="shared" si="81"/>
        <v>19760714</v>
      </c>
    </row>
    <row r="5211" s="1" customFormat="1" spans="1:13">
      <c r="A5211" s="2">
        <v>1167</v>
      </c>
      <c r="B5211" s="5" t="s">
        <v>2469</v>
      </c>
      <c r="C5211" s="9" t="s">
        <v>2918</v>
      </c>
      <c r="D5211" s="9" t="s">
        <v>2919</v>
      </c>
      <c r="E5211" s="5">
        <v>2020</v>
      </c>
      <c r="F5211" s="5">
        <v>2020</v>
      </c>
      <c r="G5211" s="9" t="s">
        <v>2480</v>
      </c>
      <c r="H5211" s="9">
        <v>200</v>
      </c>
      <c r="I5211" s="9">
        <v>200</v>
      </c>
      <c r="J5211" s="5"/>
      <c r="K5211" s="5"/>
      <c r="L5211" s="10">
        <v>20201118</v>
      </c>
      <c r="M5211" s="36" t="str">
        <f t="shared" si="81"/>
        <v>19760715</v>
      </c>
    </row>
    <row r="5212" s="1" customFormat="1" spans="1:13">
      <c r="A5212" s="2">
        <v>3951</v>
      </c>
      <c r="B5212" s="5" t="s">
        <v>7412</v>
      </c>
      <c r="C5212" s="5" t="s">
        <v>8125</v>
      </c>
      <c r="D5212" s="5" t="s">
        <v>8126</v>
      </c>
      <c r="E5212" s="6">
        <v>2020</v>
      </c>
      <c r="F5212" s="6">
        <v>2020</v>
      </c>
      <c r="G5212" s="5" t="s">
        <v>3359</v>
      </c>
      <c r="H5212" s="5">
        <v>200</v>
      </c>
      <c r="I5212" s="5">
        <v>200</v>
      </c>
      <c r="J5212" s="5"/>
      <c r="K5212" s="5"/>
      <c r="L5212" s="10">
        <v>20201118</v>
      </c>
      <c r="M5212" s="36" t="str">
        <f t="shared" si="81"/>
        <v>19760716</v>
      </c>
    </row>
    <row r="5213" s="1" customFormat="1" spans="1:13">
      <c r="A5213" s="2">
        <v>43</v>
      </c>
      <c r="B5213" s="31" t="s">
        <v>12</v>
      </c>
      <c r="C5213" s="17" t="s">
        <v>100</v>
      </c>
      <c r="D5213" s="17" t="s">
        <v>101</v>
      </c>
      <c r="E5213" s="3" t="s">
        <v>15</v>
      </c>
      <c r="F5213" s="3" t="s">
        <v>15</v>
      </c>
      <c r="G5213" s="2" t="s">
        <v>16</v>
      </c>
      <c r="H5213" s="17">
        <v>300</v>
      </c>
      <c r="I5213" s="17">
        <v>300</v>
      </c>
      <c r="J5213" s="31"/>
      <c r="K5213" s="17"/>
      <c r="L5213" s="10">
        <v>20201118</v>
      </c>
      <c r="M5213" s="36" t="str">
        <f t="shared" si="81"/>
        <v>19760717</v>
      </c>
    </row>
    <row r="5214" s="1" customFormat="1" spans="1:13">
      <c r="A5214" s="2">
        <v>1168</v>
      </c>
      <c r="B5214" s="5" t="s">
        <v>2469</v>
      </c>
      <c r="C5214" s="9" t="s">
        <v>2920</v>
      </c>
      <c r="D5214" s="9" t="s">
        <v>2921</v>
      </c>
      <c r="E5214" s="5">
        <v>2020</v>
      </c>
      <c r="F5214" s="5">
        <v>2020</v>
      </c>
      <c r="G5214" s="9" t="s">
        <v>2480</v>
      </c>
      <c r="H5214" s="9">
        <v>200</v>
      </c>
      <c r="I5214" s="9">
        <v>200</v>
      </c>
      <c r="J5214" s="5"/>
      <c r="K5214" s="5"/>
      <c r="L5214" s="10">
        <v>20201118</v>
      </c>
      <c r="M5214" s="36" t="str">
        <f t="shared" si="81"/>
        <v>19760717</v>
      </c>
    </row>
    <row r="5215" s="1" customFormat="1" spans="1:13">
      <c r="A5215" s="2">
        <v>2480</v>
      </c>
      <c r="B5215" s="5" t="s">
        <v>5328</v>
      </c>
      <c r="C5215" s="16" t="s">
        <v>5496</v>
      </c>
      <c r="D5215" s="16" t="s">
        <v>5497</v>
      </c>
      <c r="E5215" s="5" t="s">
        <v>15</v>
      </c>
      <c r="F5215" s="5" t="s">
        <v>15</v>
      </c>
      <c r="G5215" s="14" t="s">
        <v>16</v>
      </c>
      <c r="H5215" s="6">
        <v>200</v>
      </c>
      <c r="I5215" s="6">
        <v>200</v>
      </c>
      <c r="J5215" s="5"/>
      <c r="K5215" s="5"/>
      <c r="L5215" s="10">
        <v>20201118</v>
      </c>
      <c r="M5215" s="36" t="str">
        <f t="shared" si="81"/>
        <v>19760717</v>
      </c>
    </row>
    <row r="5216" s="1" customFormat="1" spans="1:13">
      <c r="A5216" s="2">
        <v>1169</v>
      </c>
      <c r="B5216" s="5" t="s">
        <v>2469</v>
      </c>
      <c r="C5216" s="9" t="s">
        <v>2922</v>
      </c>
      <c r="D5216" s="9" t="s">
        <v>2923</v>
      </c>
      <c r="E5216" s="5">
        <v>2020</v>
      </c>
      <c r="F5216" s="5">
        <v>2020</v>
      </c>
      <c r="G5216" s="9" t="s">
        <v>2480</v>
      </c>
      <c r="H5216" s="9">
        <v>200</v>
      </c>
      <c r="I5216" s="9">
        <v>200</v>
      </c>
      <c r="J5216" s="5"/>
      <c r="K5216" s="5"/>
      <c r="L5216" s="10">
        <v>20201118</v>
      </c>
      <c r="M5216" s="36" t="str">
        <f t="shared" si="81"/>
        <v>19760719</v>
      </c>
    </row>
    <row r="5217" s="1" customFormat="1" spans="1:13">
      <c r="A5217" s="2">
        <v>6688</v>
      </c>
      <c r="B5217" s="5" t="s">
        <v>13027</v>
      </c>
      <c r="C5217" s="15" t="s">
        <v>13351</v>
      </c>
      <c r="D5217" s="15" t="s">
        <v>13352</v>
      </c>
      <c r="E5217" s="5">
        <v>2020</v>
      </c>
      <c r="F5217" s="5">
        <v>2020</v>
      </c>
      <c r="G5217" s="14" t="s">
        <v>16</v>
      </c>
      <c r="H5217" s="15">
        <v>200</v>
      </c>
      <c r="I5217" s="15">
        <v>200</v>
      </c>
      <c r="J5217" s="5"/>
      <c r="K5217" s="10"/>
      <c r="L5217" s="10">
        <v>20201118</v>
      </c>
      <c r="M5217" s="36" t="str">
        <f t="shared" si="81"/>
        <v>19760801</v>
      </c>
    </row>
    <row r="5218" s="1" customFormat="1" spans="1:13">
      <c r="A5218" s="2">
        <v>6689</v>
      </c>
      <c r="B5218" s="5" t="s">
        <v>13027</v>
      </c>
      <c r="C5218" s="15" t="s">
        <v>13353</v>
      </c>
      <c r="D5218" s="15" t="s">
        <v>13354</v>
      </c>
      <c r="E5218" s="5">
        <v>2020</v>
      </c>
      <c r="F5218" s="5">
        <v>2020</v>
      </c>
      <c r="G5218" s="14" t="s">
        <v>16</v>
      </c>
      <c r="H5218" s="15">
        <v>200</v>
      </c>
      <c r="I5218" s="15">
        <v>200</v>
      </c>
      <c r="J5218" s="5"/>
      <c r="K5218" s="10"/>
      <c r="L5218" s="10">
        <v>20201118</v>
      </c>
      <c r="M5218" s="36" t="str">
        <f t="shared" si="81"/>
        <v>19760802</v>
      </c>
    </row>
    <row r="5219" s="1" customFormat="1" spans="1:13">
      <c r="A5219" s="2">
        <v>6372</v>
      </c>
      <c r="B5219" s="5" t="s">
        <v>12263</v>
      </c>
      <c r="C5219" s="5" t="s">
        <v>12757</v>
      </c>
      <c r="D5219" s="5" t="s">
        <v>12758</v>
      </c>
      <c r="E5219" s="5" t="s">
        <v>10250</v>
      </c>
      <c r="F5219" s="5">
        <v>2020</v>
      </c>
      <c r="G5219" s="17" t="s">
        <v>3359</v>
      </c>
      <c r="H5219" s="5" t="s">
        <v>311</v>
      </c>
      <c r="I5219" s="5">
        <v>200</v>
      </c>
      <c r="J5219" s="5"/>
      <c r="K5219" s="5"/>
      <c r="L5219" s="10">
        <v>20201118</v>
      </c>
      <c r="M5219" s="36" t="str">
        <f t="shared" si="81"/>
        <v>19760805</v>
      </c>
    </row>
    <row r="5220" s="1" customFormat="1" spans="1:13">
      <c r="A5220" s="2">
        <v>1994</v>
      </c>
      <c r="B5220" s="5" t="s">
        <v>4189</v>
      </c>
      <c r="C5220" s="16" t="s">
        <v>4545</v>
      </c>
      <c r="D5220" s="16" t="s">
        <v>4546</v>
      </c>
      <c r="E5220" s="5" t="s">
        <v>15</v>
      </c>
      <c r="F5220" s="5" t="s">
        <v>15</v>
      </c>
      <c r="G5220" s="5" t="s">
        <v>3359</v>
      </c>
      <c r="H5220" s="16">
        <v>200</v>
      </c>
      <c r="I5220" s="16">
        <v>200</v>
      </c>
      <c r="J5220" s="5"/>
      <c r="K5220" s="10"/>
      <c r="L5220" s="10">
        <v>20201118</v>
      </c>
      <c r="M5220" s="36" t="str">
        <f t="shared" si="81"/>
        <v>19760806</v>
      </c>
    </row>
    <row r="5221" s="1" customFormat="1" spans="1:13">
      <c r="A5221" s="2">
        <v>4332</v>
      </c>
      <c r="B5221" s="9" t="s">
        <v>8515</v>
      </c>
      <c r="C5221" s="9" t="s">
        <v>8854</v>
      </c>
      <c r="D5221" s="9" t="s">
        <v>8855</v>
      </c>
      <c r="E5221" s="5" t="s">
        <v>15</v>
      </c>
      <c r="F5221" s="5">
        <v>2020</v>
      </c>
      <c r="G5221" s="9" t="s">
        <v>2480</v>
      </c>
      <c r="H5221" s="9">
        <v>200</v>
      </c>
      <c r="I5221" s="9">
        <v>200</v>
      </c>
      <c r="J5221" s="9"/>
      <c r="K5221" s="9"/>
      <c r="L5221" s="10">
        <v>20201118</v>
      </c>
      <c r="M5221" s="36" t="str">
        <f t="shared" si="81"/>
        <v>19760806</v>
      </c>
    </row>
    <row r="5222" s="1" customFormat="1" ht="14.25" spans="1:13">
      <c r="A5222" s="2">
        <v>6079</v>
      </c>
      <c r="B5222" s="30" t="s">
        <v>11090</v>
      </c>
      <c r="C5222" s="6" t="s">
        <v>12197</v>
      </c>
      <c r="D5222" s="12" t="s">
        <v>12198</v>
      </c>
      <c r="E5222" s="5" t="s">
        <v>15</v>
      </c>
      <c r="F5222" s="5" t="s">
        <v>10250</v>
      </c>
      <c r="G5222" s="6" t="s">
        <v>16</v>
      </c>
      <c r="H5222" s="32">
        <v>200</v>
      </c>
      <c r="I5222" s="32">
        <v>200</v>
      </c>
      <c r="J5222" s="5"/>
      <c r="K5222" s="48"/>
      <c r="L5222" s="10">
        <v>20201118</v>
      </c>
      <c r="M5222" s="36" t="str">
        <f t="shared" si="81"/>
        <v>19760806</v>
      </c>
    </row>
    <row r="5223" s="1" customFormat="1" spans="1:13">
      <c r="A5223" s="2">
        <v>1170</v>
      </c>
      <c r="B5223" s="5" t="s">
        <v>2469</v>
      </c>
      <c r="C5223" s="9" t="s">
        <v>2924</v>
      </c>
      <c r="D5223" s="9" t="s">
        <v>2925</v>
      </c>
      <c r="E5223" s="5">
        <v>2020</v>
      </c>
      <c r="F5223" s="5">
        <v>2020</v>
      </c>
      <c r="G5223" s="9" t="s">
        <v>2480</v>
      </c>
      <c r="H5223" s="9">
        <v>200</v>
      </c>
      <c r="I5223" s="9">
        <v>200</v>
      </c>
      <c r="J5223" s="5"/>
      <c r="K5223" s="5"/>
      <c r="L5223" s="10">
        <v>20201118</v>
      </c>
      <c r="M5223" s="36" t="str">
        <f t="shared" si="81"/>
        <v>19760807</v>
      </c>
    </row>
    <row r="5224" s="1" customFormat="1" spans="1:13">
      <c r="A5224" s="2">
        <v>3148</v>
      </c>
      <c r="B5224" s="3" t="s">
        <v>6671</v>
      </c>
      <c r="C5224" s="9" t="s">
        <v>6815</v>
      </c>
      <c r="D5224" s="9" t="s">
        <v>6816</v>
      </c>
      <c r="E5224" s="3" t="s">
        <v>15</v>
      </c>
      <c r="F5224" s="3" t="s">
        <v>15</v>
      </c>
      <c r="G5224" s="6" t="s">
        <v>3359</v>
      </c>
      <c r="H5224" s="9">
        <v>200</v>
      </c>
      <c r="I5224" s="9">
        <v>200</v>
      </c>
      <c r="J5224" s="6"/>
      <c r="K5224" s="5"/>
      <c r="L5224" s="10">
        <v>20201118</v>
      </c>
      <c r="M5224" s="36" t="str">
        <f t="shared" si="81"/>
        <v>19760807</v>
      </c>
    </row>
    <row r="5225" s="1" customFormat="1" spans="1:13">
      <c r="A5225" s="2">
        <v>3342</v>
      </c>
      <c r="B5225" s="5" t="s">
        <v>3375</v>
      </c>
      <c r="C5225" s="6" t="s">
        <v>7115</v>
      </c>
      <c r="D5225" s="6" t="s">
        <v>7116</v>
      </c>
      <c r="E5225" s="5" t="s">
        <v>15</v>
      </c>
      <c r="F5225" s="5">
        <v>2020</v>
      </c>
      <c r="G5225" s="14" t="s">
        <v>16</v>
      </c>
      <c r="H5225" s="17">
        <v>200</v>
      </c>
      <c r="I5225" s="17">
        <v>200</v>
      </c>
      <c r="J5225" s="6"/>
      <c r="K5225" s="10"/>
      <c r="L5225" s="10">
        <v>20201118</v>
      </c>
      <c r="M5225" s="36" t="str">
        <f t="shared" si="81"/>
        <v>19760808</v>
      </c>
    </row>
    <row r="5226" s="1" customFormat="1" spans="1:13">
      <c r="A5226" s="2">
        <v>6690</v>
      </c>
      <c r="B5226" s="5" t="s">
        <v>13027</v>
      </c>
      <c r="C5226" s="15" t="s">
        <v>13355</v>
      </c>
      <c r="D5226" s="15" t="s">
        <v>13356</v>
      </c>
      <c r="E5226" s="5">
        <v>2020</v>
      </c>
      <c r="F5226" s="5">
        <v>2020</v>
      </c>
      <c r="G5226" s="14" t="s">
        <v>16</v>
      </c>
      <c r="H5226" s="15">
        <v>200</v>
      </c>
      <c r="I5226" s="15">
        <v>200</v>
      </c>
      <c r="J5226" s="5"/>
      <c r="K5226" s="10"/>
      <c r="L5226" s="10">
        <v>20201118</v>
      </c>
      <c r="M5226" s="36" t="str">
        <f t="shared" si="81"/>
        <v>19760808</v>
      </c>
    </row>
    <row r="5227" s="1" customFormat="1" spans="1:13">
      <c r="A5227" s="2">
        <v>579</v>
      </c>
      <c r="B5227" s="29" t="s">
        <v>1040</v>
      </c>
      <c r="C5227" s="29" t="s">
        <v>1434</v>
      </c>
      <c r="D5227" s="29" t="s">
        <v>1435</v>
      </c>
      <c r="E5227" s="30">
        <v>2020</v>
      </c>
      <c r="F5227" s="30">
        <v>2020</v>
      </c>
      <c r="G5227" s="29" t="s">
        <v>16</v>
      </c>
      <c r="H5227" s="29">
        <v>200</v>
      </c>
      <c r="I5227" s="29">
        <v>200</v>
      </c>
      <c r="J5227" s="29"/>
      <c r="K5227" s="47"/>
      <c r="L5227" s="14" t="s">
        <v>330</v>
      </c>
      <c r="M5227" s="36" t="str">
        <f t="shared" si="81"/>
        <v>19760809</v>
      </c>
    </row>
    <row r="5228" s="1" customFormat="1" spans="1:13">
      <c r="A5228" s="2">
        <v>3349</v>
      </c>
      <c r="B5228" s="5" t="s">
        <v>3375</v>
      </c>
      <c r="C5228" s="6" t="s">
        <v>7124</v>
      </c>
      <c r="D5228" s="6" t="str">
        <f>"152326197608096917"</f>
        <v>152326197608096917</v>
      </c>
      <c r="E5228" s="5" t="s">
        <v>15</v>
      </c>
      <c r="F5228" s="5">
        <v>2020</v>
      </c>
      <c r="G5228" s="14" t="s">
        <v>16</v>
      </c>
      <c r="H5228" s="17">
        <v>200</v>
      </c>
      <c r="I5228" s="17">
        <v>200</v>
      </c>
      <c r="J5228" s="6"/>
      <c r="K5228" s="10"/>
      <c r="L5228" s="10">
        <v>20201118</v>
      </c>
      <c r="M5228" s="36" t="str">
        <f t="shared" si="81"/>
        <v>19760809</v>
      </c>
    </row>
    <row r="5229" s="1" customFormat="1" spans="1:13">
      <c r="A5229" s="2">
        <v>6121</v>
      </c>
      <c r="B5229" s="5" t="s">
        <v>12263</v>
      </c>
      <c r="C5229" s="5" t="s">
        <v>12278</v>
      </c>
      <c r="D5229" s="5" t="s">
        <v>12279</v>
      </c>
      <c r="E5229" s="5" t="s">
        <v>10250</v>
      </c>
      <c r="F5229" s="5">
        <v>2020</v>
      </c>
      <c r="G5229" s="17" t="s">
        <v>3359</v>
      </c>
      <c r="H5229" s="5">
        <v>200</v>
      </c>
      <c r="I5229" s="5">
        <v>200</v>
      </c>
      <c r="J5229" s="5"/>
      <c r="K5229" s="5"/>
      <c r="L5229" s="10">
        <v>20201118</v>
      </c>
      <c r="M5229" s="36" t="str">
        <f t="shared" si="81"/>
        <v>19760812</v>
      </c>
    </row>
    <row r="5230" s="1" customFormat="1" ht="14.25" spans="1:13">
      <c r="A5230" s="2">
        <v>2920</v>
      </c>
      <c r="B5230" s="6" t="s">
        <v>6075</v>
      </c>
      <c r="C5230" s="25" t="s">
        <v>6367</v>
      </c>
      <c r="D5230" s="26" t="s">
        <v>6368</v>
      </c>
      <c r="E5230" s="5" t="s">
        <v>15</v>
      </c>
      <c r="F5230" s="5">
        <v>2020</v>
      </c>
      <c r="G5230" s="6" t="s">
        <v>16</v>
      </c>
      <c r="H5230" s="6">
        <v>200</v>
      </c>
      <c r="I5230" s="6">
        <v>200</v>
      </c>
      <c r="J5230" s="6" t="s">
        <v>6097</v>
      </c>
      <c r="K5230" s="10"/>
      <c r="L5230" s="10">
        <v>20201118</v>
      </c>
      <c r="M5230" s="36" t="str">
        <f t="shared" si="81"/>
        <v>19760815</v>
      </c>
    </row>
    <row r="5231" s="1" customFormat="1" spans="1:13">
      <c r="A5231" s="2">
        <v>5000</v>
      </c>
      <c r="B5231" s="6" t="s">
        <v>9954</v>
      </c>
      <c r="C5231" s="60" t="s">
        <v>10138</v>
      </c>
      <c r="D5231" s="60" t="s">
        <v>10139</v>
      </c>
      <c r="E5231" s="5" t="s">
        <v>15</v>
      </c>
      <c r="F5231" s="5" t="s">
        <v>15</v>
      </c>
      <c r="G5231" s="14" t="s">
        <v>16</v>
      </c>
      <c r="H5231" s="6">
        <v>200</v>
      </c>
      <c r="I5231" s="6">
        <v>200</v>
      </c>
      <c r="J5231" s="6"/>
      <c r="K5231" s="6"/>
      <c r="L5231" s="10">
        <v>20201118</v>
      </c>
      <c r="M5231" s="36" t="str">
        <f t="shared" si="81"/>
        <v>19760815</v>
      </c>
    </row>
    <row r="5232" s="1" customFormat="1" spans="1:13">
      <c r="A5232" s="2">
        <v>2304</v>
      </c>
      <c r="B5232" s="9" t="s">
        <v>4837</v>
      </c>
      <c r="C5232" s="9" t="s">
        <v>1158</v>
      </c>
      <c r="D5232" s="9" t="s">
        <v>5149</v>
      </c>
      <c r="E5232" s="6" t="s">
        <v>15</v>
      </c>
      <c r="F5232" s="6">
        <v>2020</v>
      </c>
      <c r="G5232" s="9" t="s">
        <v>2480</v>
      </c>
      <c r="H5232" s="9">
        <v>200</v>
      </c>
      <c r="I5232" s="9">
        <v>200</v>
      </c>
      <c r="J5232" s="6"/>
      <c r="K5232" s="10"/>
      <c r="L5232" s="10">
        <v>20201118</v>
      </c>
      <c r="M5232" s="36" t="str">
        <f t="shared" si="81"/>
        <v>19760816</v>
      </c>
    </row>
    <row r="5233" s="1" customFormat="1" spans="1:13">
      <c r="A5233" s="2">
        <v>3344</v>
      </c>
      <c r="B5233" s="5" t="s">
        <v>3375</v>
      </c>
      <c r="C5233" s="6" t="s">
        <v>7117</v>
      </c>
      <c r="D5233" s="6" t="str">
        <f>"152326197608176909"</f>
        <v>152326197608176909</v>
      </c>
      <c r="E5233" s="5" t="s">
        <v>15</v>
      </c>
      <c r="F5233" s="5">
        <v>2020</v>
      </c>
      <c r="G5233" s="14" t="s">
        <v>16</v>
      </c>
      <c r="H5233" s="17">
        <v>200</v>
      </c>
      <c r="I5233" s="17">
        <v>200</v>
      </c>
      <c r="J5233" s="6"/>
      <c r="K5233" s="10"/>
      <c r="L5233" s="10">
        <v>20201118</v>
      </c>
      <c r="M5233" s="36" t="str">
        <f t="shared" si="81"/>
        <v>19760817</v>
      </c>
    </row>
    <row r="5234" s="1" customFormat="1" spans="1:13">
      <c r="A5234" s="2">
        <v>7922</v>
      </c>
      <c r="B5234" s="5" t="s">
        <v>15086</v>
      </c>
      <c r="C5234" s="6" t="s">
        <v>15198</v>
      </c>
      <c r="D5234" s="6" t="str">
        <f>"152326197608176888"</f>
        <v>152326197608176888</v>
      </c>
      <c r="E5234" s="5" t="s">
        <v>15</v>
      </c>
      <c r="F5234" s="5">
        <v>2020</v>
      </c>
      <c r="G5234" s="5" t="s">
        <v>16</v>
      </c>
      <c r="H5234" s="5">
        <v>200</v>
      </c>
      <c r="I5234" s="5">
        <v>200</v>
      </c>
      <c r="J5234" s="5"/>
      <c r="K5234" s="5"/>
      <c r="L5234" s="10">
        <v>20201118</v>
      </c>
      <c r="M5234" s="36" t="str">
        <f t="shared" si="81"/>
        <v>19760817</v>
      </c>
    </row>
    <row r="5235" s="1" customFormat="1" spans="1:13">
      <c r="A5235" s="2">
        <v>1689</v>
      </c>
      <c r="B5235" s="5" t="s">
        <v>3381</v>
      </c>
      <c r="C5235" s="9" t="s">
        <v>3940</v>
      </c>
      <c r="D5235" s="9" t="s">
        <v>3941</v>
      </c>
      <c r="E5235" s="5">
        <v>2020</v>
      </c>
      <c r="F5235" s="5">
        <v>2020</v>
      </c>
      <c r="G5235" s="14" t="s">
        <v>16</v>
      </c>
      <c r="H5235" s="6">
        <v>200</v>
      </c>
      <c r="I5235" s="6">
        <v>200</v>
      </c>
      <c r="J5235" s="5"/>
      <c r="K5235" s="13"/>
      <c r="L5235" s="10">
        <v>20201118</v>
      </c>
      <c r="M5235" s="36" t="str">
        <f t="shared" si="81"/>
        <v>19760820</v>
      </c>
    </row>
    <row r="5236" s="1" customFormat="1" spans="1:13">
      <c r="A5236" s="2">
        <v>2305</v>
      </c>
      <c r="B5236" s="9" t="s">
        <v>4837</v>
      </c>
      <c r="C5236" s="9" t="s">
        <v>5150</v>
      </c>
      <c r="D5236" s="9" t="s">
        <v>5151</v>
      </c>
      <c r="E5236" s="6" t="s">
        <v>15</v>
      </c>
      <c r="F5236" s="6">
        <v>2020</v>
      </c>
      <c r="G5236" s="9" t="s">
        <v>2480</v>
      </c>
      <c r="H5236" s="9">
        <v>200</v>
      </c>
      <c r="I5236" s="9">
        <v>200</v>
      </c>
      <c r="J5236" s="6"/>
      <c r="K5236" s="10"/>
      <c r="L5236" s="10">
        <v>20201118</v>
      </c>
      <c r="M5236" s="36" t="str">
        <f t="shared" si="81"/>
        <v>19760820</v>
      </c>
    </row>
    <row r="5237" s="1" customFormat="1" spans="1:13">
      <c r="A5237" s="2">
        <v>3247</v>
      </c>
      <c r="B5237" s="3" t="s">
        <v>6671</v>
      </c>
      <c r="C5237" s="9" t="s">
        <v>6997</v>
      </c>
      <c r="D5237" s="9" t="s">
        <v>6998</v>
      </c>
      <c r="E5237" s="3" t="s">
        <v>15</v>
      </c>
      <c r="F5237" s="3" t="s">
        <v>15</v>
      </c>
      <c r="G5237" s="6" t="s">
        <v>3359</v>
      </c>
      <c r="H5237" s="9">
        <v>200</v>
      </c>
      <c r="I5237" s="9">
        <v>200</v>
      </c>
      <c r="J5237" s="6"/>
      <c r="K5237" s="5"/>
      <c r="L5237" s="10">
        <v>20201118</v>
      </c>
      <c r="M5237" s="36" t="str">
        <f t="shared" si="81"/>
        <v>19760820</v>
      </c>
    </row>
    <row r="5238" s="1" customFormat="1" spans="1:13">
      <c r="A5238" s="2">
        <v>1690</v>
      </c>
      <c r="B5238" s="5" t="s">
        <v>3381</v>
      </c>
      <c r="C5238" s="9" t="s">
        <v>3942</v>
      </c>
      <c r="D5238" s="9" t="s">
        <v>3943</v>
      </c>
      <c r="E5238" s="5">
        <v>2020</v>
      </c>
      <c r="F5238" s="5">
        <v>2020</v>
      </c>
      <c r="G5238" s="14" t="s">
        <v>16</v>
      </c>
      <c r="H5238" s="6">
        <v>200</v>
      </c>
      <c r="I5238" s="6">
        <v>200</v>
      </c>
      <c r="J5238" s="5"/>
      <c r="K5238" s="13"/>
      <c r="L5238" s="10">
        <v>20201118</v>
      </c>
      <c r="M5238" s="36" t="str">
        <f t="shared" si="81"/>
        <v>19760821</v>
      </c>
    </row>
    <row r="5239" s="1" customFormat="1" ht="14.25" spans="1:13">
      <c r="A5239" s="2">
        <v>2976</v>
      </c>
      <c r="B5239" s="6" t="s">
        <v>6075</v>
      </c>
      <c r="C5239" s="25" t="s">
        <v>6477</v>
      </c>
      <c r="D5239" s="26" t="s">
        <v>6478</v>
      </c>
      <c r="E5239" s="5" t="s">
        <v>15</v>
      </c>
      <c r="F5239" s="5">
        <v>2020</v>
      </c>
      <c r="G5239" s="6" t="s">
        <v>16</v>
      </c>
      <c r="H5239" s="6">
        <v>200</v>
      </c>
      <c r="I5239" s="6">
        <v>200</v>
      </c>
      <c r="J5239" s="6"/>
      <c r="K5239" s="10"/>
      <c r="L5239" s="10">
        <v>20201118</v>
      </c>
      <c r="M5239" s="36" t="str">
        <f t="shared" si="81"/>
        <v>19760821</v>
      </c>
    </row>
    <row r="5240" s="1" customFormat="1" spans="1:13">
      <c r="A5240" s="2">
        <v>5547</v>
      </c>
      <c r="B5240" s="30" t="s">
        <v>11090</v>
      </c>
      <c r="C5240" s="30" t="s">
        <v>11190</v>
      </c>
      <c r="D5240" s="30" t="s">
        <v>11191</v>
      </c>
      <c r="E5240" s="5" t="s">
        <v>15</v>
      </c>
      <c r="F5240" s="5" t="s">
        <v>10250</v>
      </c>
      <c r="G5240" s="6" t="s">
        <v>16</v>
      </c>
      <c r="H5240" s="32">
        <v>200</v>
      </c>
      <c r="I5240" s="32">
        <v>200</v>
      </c>
      <c r="J5240" s="6"/>
      <c r="K5240" s="48"/>
      <c r="L5240" s="10">
        <v>20201118</v>
      </c>
      <c r="M5240" s="36" t="str">
        <f t="shared" si="81"/>
        <v>19760821</v>
      </c>
    </row>
    <row r="5241" s="1" customFormat="1" spans="1:13">
      <c r="A5241" s="2">
        <v>1171</v>
      </c>
      <c r="B5241" s="5" t="s">
        <v>2469</v>
      </c>
      <c r="C5241" s="9" t="s">
        <v>2926</v>
      </c>
      <c r="D5241" s="9" t="s">
        <v>2927</v>
      </c>
      <c r="E5241" s="5">
        <v>2020</v>
      </c>
      <c r="F5241" s="5">
        <v>2020</v>
      </c>
      <c r="G5241" s="9" t="s">
        <v>2480</v>
      </c>
      <c r="H5241" s="9">
        <v>200</v>
      </c>
      <c r="I5241" s="9">
        <v>200</v>
      </c>
      <c r="J5241" s="5"/>
      <c r="K5241" s="5"/>
      <c r="L5241" s="10">
        <v>20201118</v>
      </c>
      <c r="M5241" s="36" t="str">
        <f t="shared" si="81"/>
        <v>19760822</v>
      </c>
    </row>
    <row r="5242" s="1" customFormat="1" spans="1:13">
      <c r="A5242" s="2">
        <v>3952</v>
      </c>
      <c r="B5242" s="5" t="s">
        <v>7412</v>
      </c>
      <c r="C5242" s="5" t="s">
        <v>7588</v>
      </c>
      <c r="D5242" s="5" t="s">
        <v>8127</v>
      </c>
      <c r="E5242" s="6">
        <v>2020</v>
      </c>
      <c r="F5242" s="6">
        <v>2020</v>
      </c>
      <c r="G5242" s="5" t="s">
        <v>3359</v>
      </c>
      <c r="H5242" s="5">
        <v>200</v>
      </c>
      <c r="I5242" s="5">
        <v>200</v>
      </c>
      <c r="J5242" s="5"/>
      <c r="K5242" s="5"/>
      <c r="L5242" s="10">
        <v>20201118</v>
      </c>
      <c r="M5242" s="36" t="str">
        <f t="shared" si="81"/>
        <v>19760822</v>
      </c>
    </row>
    <row r="5243" s="1" customFormat="1" spans="1:13">
      <c r="A5243" s="2">
        <v>186</v>
      </c>
      <c r="B5243" s="14" t="s">
        <v>327</v>
      </c>
      <c r="C5243" s="14" t="s">
        <v>446</v>
      </c>
      <c r="D5243" s="14" t="s">
        <v>447</v>
      </c>
      <c r="E5243" s="5">
        <v>2020</v>
      </c>
      <c r="F5243" s="5">
        <v>2020</v>
      </c>
      <c r="G5243" s="14" t="s">
        <v>16</v>
      </c>
      <c r="H5243" s="14">
        <v>200</v>
      </c>
      <c r="I5243" s="14">
        <v>200</v>
      </c>
      <c r="J5243" s="14"/>
      <c r="K5243" s="10"/>
      <c r="L5243" s="14" t="s">
        <v>330</v>
      </c>
      <c r="M5243" s="36" t="str">
        <f t="shared" si="81"/>
        <v>19760823</v>
      </c>
    </row>
    <row r="5244" s="1" customFormat="1" spans="1:13">
      <c r="A5244" s="2">
        <v>4741</v>
      </c>
      <c r="B5244" s="6" t="s">
        <v>9015</v>
      </c>
      <c r="C5244" s="6" t="s">
        <v>9639</v>
      </c>
      <c r="D5244" s="6" t="s">
        <v>9640</v>
      </c>
      <c r="E5244" s="6">
        <v>2020</v>
      </c>
      <c r="F5244" s="6">
        <v>2020</v>
      </c>
      <c r="G5244" s="6" t="s">
        <v>16</v>
      </c>
      <c r="H5244" s="6">
        <v>200</v>
      </c>
      <c r="I5244" s="6">
        <v>200</v>
      </c>
      <c r="J5244" s="6"/>
      <c r="K5244" s="6"/>
      <c r="L5244" s="10">
        <v>20201118</v>
      </c>
      <c r="M5244" s="36" t="str">
        <f t="shared" si="81"/>
        <v>19760824</v>
      </c>
    </row>
    <row r="5245" s="1" customFormat="1" spans="1:13">
      <c r="A5245" s="2">
        <v>6867</v>
      </c>
      <c r="B5245" s="5" t="s">
        <v>13533</v>
      </c>
      <c r="C5245" s="32" t="s">
        <v>13618</v>
      </c>
      <c r="D5245" s="32" t="str">
        <f>"152326197608247121"</f>
        <v>152326197608247121</v>
      </c>
      <c r="E5245" s="5">
        <v>2020</v>
      </c>
      <c r="F5245" s="5">
        <v>2020</v>
      </c>
      <c r="G5245" s="9" t="s">
        <v>2480</v>
      </c>
      <c r="H5245" s="32">
        <v>200</v>
      </c>
      <c r="I5245" s="32">
        <v>200</v>
      </c>
      <c r="J5245" s="62"/>
      <c r="K5245" s="10"/>
      <c r="L5245" s="10">
        <v>20201118</v>
      </c>
      <c r="M5245" s="36" t="str">
        <f t="shared" si="81"/>
        <v>19760824</v>
      </c>
    </row>
    <row r="5246" s="1" customFormat="1" spans="1:13">
      <c r="A5246" s="2">
        <v>2306</v>
      </c>
      <c r="B5246" s="9" t="s">
        <v>4837</v>
      </c>
      <c r="C5246" s="9" t="s">
        <v>5152</v>
      </c>
      <c r="D5246" s="9" t="s">
        <v>5153</v>
      </c>
      <c r="E5246" s="6" t="s">
        <v>15</v>
      </c>
      <c r="F5246" s="6">
        <v>2020</v>
      </c>
      <c r="G5246" s="9" t="s">
        <v>2480</v>
      </c>
      <c r="H5246" s="9">
        <v>500</v>
      </c>
      <c r="I5246" s="9">
        <v>500</v>
      </c>
      <c r="J5246" s="6"/>
      <c r="K5246" s="10"/>
      <c r="L5246" s="10">
        <v>20201118</v>
      </c>
      <c r="M5246" s="36" t="str">
        <f t="shared" si="81"/>
        <v>19760825</v>
      </c>
    </row>
    <row r="5247" s="1" customFormat="1" spans="1:13">
      <c r="A5247" s="2">
        <v>2675</v>
      </c>
      <c r="B5247" s="32" t="s">
        <v>5602</v>
      </c>
      <c r="C5247" s="9" t="s">
        <v>5883</v>
      </c>
      <c r="D5247" s="9" t="s">
        <v>5884</v>
      </c>
      <c r="E5247" s="32">
        <v>2020</v>
      </c>
      <c r="F5247" s="32">
        <v>2020</v>
      </c>
      <c r="G5247" s="32" t="s">
        <v>16</v>
      </c>
      <c r="H5247" s="9">
        <v>200</v>
      </c>
      <c r="I5247" s="9">
        <v>200</v>
      </c>
      <c r="J5247" s="32"/>
      <c r="K5247" s="52"/>
      <c r="L5247" s="10">
        <v>20201118</v>
      </c>
      <c r="M5247" s="36" t="str">
        <f t="shared" si="81"/>
        <v>19760825</v>
      </c>
    </row>
    <row r="5248" s="1" customFormat="1" ht="14.25" spans="1:13">
      <c r="A5248" s="2">
        <v>5372</v>
      </c>
      <c r="B5248" s="33" t="s">
        <v>10535</v>
      </c>
      <c r="C5248" s="34" t="s">
        <v>2341</v>
      </c>
      <c r="D5248" s="34" t="s">
        <v>10854</v>
      </c>
      <c r="E5248" s="35">
        <v>2020</v>
      </c>
      <c r="F5248" s="35">
        <v>2020</v>
      </c>
      <c r="G5248" s="35" t="s">
        <v>16</v>
      </c>
      <c r="H5248" s="34">
        <v>200</v>
      </c>
      <c r="I5248" s="34">
        <v>200</v>
      </c>
      <c r="J5248" s="49"/>
      <c r="K5248" s="10"/>
      <c r="L5248" s="10">
        <v>20201118</v>
      </c>
      <c r="M5248" s="36" t="str">
        <f t="shared" si="81"/>
        <v>19760825</v>
      </c>
    </row>
    <row r="5249" s="1" customFormat="1" spans="1:13">
      <c r="A5249" s="2">
        <v>6691</v>
      </c>
      <c r="B5249" s="5" t="s">
        <v>13027</v>
      </c>
      <c r="C5249" s="15" t="s">
        <v>13357</v>
      </c>
      <c r="D5249" s="15" t="s">
        <v>13358</v>
      </c>
      <c r="E5249" s="5">
        <v>2020</v>
      </c>
      <c r="F5249" s="5">
        <v>2020</v>
      </c>
      <c r="G5249" s="14" t="s">
        <v>16</v>
      </c>
      <c r="H5249" s="15">
        <v>200</v>
      </c>
      <c r="I5249" s="15">
        <v>200</v>
      </c>
      <c r="J5249" s="5"/>
      <c r="K5249" s="10"/>
      <c r="L5249" s="10">
        <v>20201118</v>
      </c>
      <c r="M5249" s="36" t="str">
        <f t="shared" si="81"/>
        <v>19760825</v>
      </c>
    </row>
    <row r="5250" s="1" customFormat="1" spans="1:13">
      <c r="A5250" s="2">
        <v>1982</v>
      </c>
      <c r="B5250" s="5" t="s">
        <v>4189</v>
      </c>
      <c r="C5250" s="16" t="s">
        <v>4522</v>
      </c>
      <c r="D5250" s="16" t="s">
        <v>4523</v>
      </c>
      <c r="E5250" s="5" t="s">
        <v>15</v>
      </c>
      <c r="F5250" s="5" t="s">
        <v>15</v>
      </c>
      <c r="G5250" s="5" t="s">
        <v>3359</v>
      </c>
      <c r="H5250" s="16">
        <v>500</v>
      </c>
      <c r="I5250" s="16">
        <v>500</v>
      </c>
      <c r="J5250" s="5"/>
      <c r="K5250" s="10"/>
      <c r="L5250" s="10">
        <v>20201118</v>
      </c>
      <c r="M5250" s="36" t="str">
        <f t="shared" ref="M5250:M5313" si="82">MID(D5250,7,8)</f>
        <v>19760826</v>
      </c>
    </row>
    <row r="5251" s="1" customFormat="1" spans="1:13">
      <c r="A5251" s="2">
        <v>8205</v>
      </c>
      <c r="B5251" s="5" t="s">
        <v>15406</v>
      </c>
      <c r="C5251" s="6" t="s">
        <v>15594</v>
      </c>
      <c r="D5251" s="6" t="s">
        <v>15595</v>
      </c>
      <c r="E5251" s="5" t="s">
        <v>15</v>
      </c>
      <c r="F5251" s="5">
        <v>2020</v>
      </c>
      <c r="G5251" s="14" t="s">
        <v>16</v>
      </c>
      <c r="H5251" s="6">
        <v>3000</v>
      </c>
      <c r="I5251" s="6">
        <v>3000</v>
      </c>
      <c r="J5251" s="5"/>
      <c r="K5251" s="10"/>
      <c r="L5251" s="10">
        <v>20201118</v>
      </c>
      <c r="M5251" s="36" t="str">
        <f t="shared" si="82"/>
        <v>19760829</v>
      </c>
    </row>
    <row r="5252" s="1" customFormat="1" spans="1:13">
      <c r="A5252" s="2">
        <v>6130</v>
      </c>
      <c r="B5252" s="5" t="s">
        <v>12263</v>
      </c>
      <c r="C5252" s="5" t="s">
        <v>12296</v>
      </c>
      <c r="D5252" s="5" t="s">
        <v>12297</v>
      </c>
      <c r="E5252" s="5" t="s">
        <v>10250</v>
      </c>
      <c r="F5252" s="5">
        <v>2020</v>
      </c>
      <c r="G5252" s="17" t="s">
        <v>3359</v>
      </c>
      <c r="H5252" s="5">
        <v>200</v>
      </c>
      <c r="I5252" s="5">
        <v>200</v>
      </c>
      <c r="J5252" s="5"/>
      <c r="K5252" s="5"/>
      <c r="L5252" s="10">
        <v>20201118</v>
      </c>
      <c r="M5252" s="36" t="str">
        <f t="shared" si="82"/>
        <v>19760901</v>
      </c>
    </row>
    <row r="5253" s="1" customFormat="1" ht="14.25" spans="1:13">
      <c r="A5253" s="2">
        <v>7680</v>
      </c>
      <c r="B5253" s="5" t="s">
        <v>14875</v>
      </c>
      <c r="C5253" s="51" t="s">
        <v>14923</v>
      </c>
      <c r="D5253" s="24" t="str">
        <f>"152326197609017133"</f>
        <v>152326197609017133</v>
      </c>
      <c r="E5253" s="6" t="s">
        <v>15</v>
      </c>
      <c r="F5253" s="6">
        <v>2020</v>
      </c>
      <c r="G5253" s="24" t="s">
        <v>14877</v>
      </c>
      <c r="H5253" s="6">
        <v>200</v>
      </c>
      <c r="I5253" s="6">
        <v>200</v>
      </c>
      <c r="J5253" s="6"/>
      <c r="K5253" s="10"/>
      <c r="L5253" s="10">
        <v>20201118</v>
      </c>
      <c r="M5253" s="36" t="str">
        <f t="shared" si="82"/>
        <v>19760901</v>
      </c>
    </row>
    <row r="5254" s="1" customFormat="1" spans="1:13">
      <c r="A5254" s="2">
        <v>7079</v>
      </c>
      <c r="B5254" s="5" t="s">
        <v>13533</v>
      </c>
      <c r="C5254" s="32" t="s">
        <v>13829</v>
      </c>
      <c r="D5254" s="32" t="s">
        <v>13830</v>
      </c>
      <c r="E5254" s="5">
        <v>2020</v>
      </c>
      <c r="F5254" s="5">
        <v>2020</v>
      </c>
      <c r="G5254" s="9" t="s">
        <v>2480</v>
      </c>
      <c r="H5254" s="32">
        <v>200</v>
      </c>
      <c r="I5254" s="32">
        <v>200</v>
      </c>
      <c r="J5254" s="62"/>
      <c r="K5254" s="10"/>
      <c r="L5254" s="10">
        <v>20201118</v>
      </c>
      <c r="M5254" s="36" t="str">
        <f t="shared" si="82"/>
        <v>19760903</v>
      </c>
    </row>
    <row r="5255" s="1" customFormat="1" spans="1:13">
      <c r="A5255" s="2">
        <v>4843</v>
      </c>
      <c r="B5255" s="6" t="s">
        <v>9015</v>
      </c>
      <c r="C5255" s="6" t="s">
        <v>9830</v>
      </c>
      <c r="D5255" s="293" t="s">
        <v>9831</v>
      </c>
      <c r="E5255" s="6">
        <v>2020</v>
      </c>
      <c r="F5255" s="6">
        <v>2020</v>
      </c>
      <c r="G5255" s="6" t="s">
        <v>16</v>
      </c>
      <c r="H5255" s="6">
        <v>200</v>
      </c>
      <c r="I5255" s="6">
        <v>200</v>
      </c>
      <c r="J5255" s="6"/>
      <c r="K5255" s="6"/>
      <c r="L5255" s="10">
        <v>20201118</v>
      </c>
      <c r="M5255" s="36" t="str">
        <f t="shared" si="82"/>
        <v>19760906</v>
      </c>
    </row>
    <row r="5256" s="1" customFormat="1" spans="1:13">
      <c r="A5256" s="2">
        <v>3196</v>
      </c>
      <c r="B5256" s="3" t="s">
        <v>6671</v>
      </c>
      <c r="C5256" s="9" t="s">
        <v>6902</v>
      </c>
      <c r="D5256" s="9" t="s">
        <v>6903</v>
      </c>
      <c r="E5256" s="3" t="s">
        <v>15</v>
      </c>
      <c r="F5256" s="3" t="s">
        <v>15</v>
      </c>
      <c r="G5256" s="6" t="s">
        <v>3359</v>
      </c>
      <c r="H5256" s="9">
        <v>200</v>
      </c>
      <c r="I5256" s="9">
        <v>200</v>
      </c>
      <c r="J5256" s="6"/>
      <c r="K5256" s="5"/>
      <c r="L5256" s="10">
        <v>20201118</v>
      </c>
      <c r="M5256" s="36" t="str">
        <f t="shared" si="82"/>
        <v>19760908</v>
      </c>
    </row>
    <row r="5257" s="1" customFormat="1" spans="1:13">
      <c r="A5257" s="2">
        <v>3341</v>
      </c>
      <c r="B5257" s="5" t="s">
        <v>3375</v>
      </c>
      <c r="C5257" s="6" t="s">
        <v>7114</v>
      </c>
      <c r="D5257" s="6" t="str">
        <f>"152326197609086892"</f>
        <v>152326197609086892</v>
      </c>
      <c r="E5257" s="5" t="s">
        <v>15</v>
      </c>
      <c r="F5257" s="5">
        <v>2020</v>
      </c>
      <c r="G5257" s="14" t="s">
        <v>16</v>
      </c>
      <c r="H5257" s="17">
        <v>200</v>
      </c>
      <c r="I5257" s="17">
        <v>200</v>
      </c>
      <c r="J5257" s="6"/>
      <c r="K5257" s="10"/>
      <c r="L5257" s="10">
        <v>20201118</v>
      </c>
      <c r="M5257" s="36" t="str">
        <f t="shared" si="82"/>
        <v>19760908</v>
      </c>
    </row>
    <row r="5258" s="1" customFormat="1" spans="1:13">
      <c r="A5258" s="2">
        <v>4704</v>
      </c>
      <c r="B5258" s="6" t="s">
        <v>9015</v>
      </c>
      <c r="C5258" s="6" t="s">
        <v>9568</v>
      </c>
      <c r="D5258" s="6" t="s">
        <v>9569</v>
      </c>
      <c r="E5258" s="6">
        <v>2020</v>
      </c>
      <c r="F5258" s="6">
        <v>2020</v>
      </c>
      <c r="G5258" s="6" t="s">
        <v>16</v>
      </c>
      <c r="H5258" s="6">
        <v>200</v>
      </c>
      <c r="I5258" s="6">
        <v>200</v>
      </c>
      <c r="J5258" s="6"/>
      <c r="K5258" s="6"/>
      <c r="L5258" s="10">
        <v>20201118</v>
      </c>
      <c r="M5258" s="36" t="str">
        <f t="shared" si="82"/>
        <v>19760908</v>
      </c>
    </row>
    <row r="5259" s="1" customFormat="1" spans="1:13">
      <c r="A5259" s="2">
        <v>5764</v>
      </c>
      <c r="B5259" s="30" t="s">
        <v>11090</v>
      </c>
      <c r="C5259" s="30" t="s">
        <v>11604</v>
      </c>
      <c r="D5259" s="30" t="s">
        <v>11605</v>
      </c>
      <c r="E5259" s="5" t="s">
        <v>15</v>
      </c>
      <c r="F5259" s="5" t="s">
        <v>10250</v>
      </c>
      <c r="G5259" s="6" t="s">
        <v>16</v>
      </c>
      <c r="H5259" s="32">
        <v>200</v>
      </c>
      <c r="I5259" s="32">
        <v>200</v>
      </c>
      <c r="J5259" s="6"/>
      <c r="K5259" s="48"/>
      <c r="L5259" s="10">
        <v>20201118</v>
      </c>
      <c r="M5259" s="36" t="str">
        <f t="shared" si="82"/>
        <v>19760908</v>
      </c>
    </row>
    <row r="5260" s="1" customFormat="1" spans="1:13">
      <c r="A5260" s="2">
        <v>6692</v>
      </c>
      <c r="B5260" s="5" t="s">
        <v>13027</v>
      </c>
      <c r="C5260" s="15" t="s">
        <v>13359</v>
      </c>
      <c r="D5260" s="15" t="s">
        <v>13360</v>
      </c>
      <c r="E5260" s="5">
        <v>2020</v>
      </c>
      <c r="F5260" s="5">
        <v>2020</v>
      </c>
      <c r="G5260" s="14" t="s">
        <v>16</v>
      </c>
      <c r="H5260" s="15">
        <v>200</v>
      </c>
      <c r="I5260" s="15">
        <v>200</v>
      </c>
      <c r="J5260" s="5"/>
      <c r="K5260" s="10"/>
      <c r="L5260" s="10">
        <v>20201118</v>
      </c>
      <c r="M5260" s="36" t="str">
        <f t="shared" si="82"/>
        <v>19760908</v>
      </c>
    </row>
    <row r="5261" s="1" customFormat="1" spans="1:13">
      <c r="A5261" s="2">
        <v>2126</v>
      </c>
      <c r="B5261" s="5" t="s">
        <v>4189</v>
      </c>
      <c r="C5261" s="9" t="s">
        <v>4802</v>
      </c>
      <c r="D5261" s="9" t="s">
        <v>4803</v>
      </c>
      <c r="E5261" s="5" t="s">
        <v>15</v>
      </c>
      <c r="F5261" s="5" t="s">
        <v>15</v>
      </c>
      <c r="G5261" s="5" t="s">
        <v>3359</v>
      </c>
      <c r="H5261" s="16">
        <v>200</v>
      </c>
      <c r="I5261" s="16">
        <v>200</v>
      </c>
      <c r="J5261" s="5"/>
      <c r="K5261" s="10"/>
      <c r="L5261" s="10">
        <v>20201118</v>
      </c>
      <c r="M5261" s="36" t="str">
        <f t="shared" si="82"/>
        <v>19760909</v>
      </c>
    </row>
    <row r="5262" s="1" customFormat="1" ht="14.25" spans="1:13">
      <c r="A5262" s="2">
        <v>6015</v>
      </c>
      <c r="B5262" s="30" t="s">
        <v>11090</v>
      </c>
      <c r="C5262" s="32" t="s">
        <v>12073</v>
      </c>
      <c r="D5262" s="12" t="s">
        <v>12074</v>
      </c>
      <c r="E5262" s="5" t="s">
        <v>15</v>
      </c>
      <c r="F5262" s="5" t="s">
        <v>10250</v>
      </c>
      <c r="G5262" s="6" t="s">
        <v>16</v>
      </c>
      <c r="H5262" s="32">
        <v>200</v>
      </c>
      <c r="I5262" s="32">
        <v>200</v>
      </c>
      <c r="J5262" s="5"/>
      <c r="K5262" s="48"/>
      <c r="L5262" s="10">
        <v>20201118</v>
      </c>
      <c r="M5262" s="36" t="str">
        <f t="shared" si="82"/>
        <v>19760909</v>
      </c>
    </row>
    <row r="5263" s="1" customFormat="1" spans="1:13">
      <c r="A5263" s="2">
        <v>7249</v>
      </c>
      <c r="B5263" s="5" t="s">
        <v>13908</v>
      </c>
      <c r="C5263" s="5" t="s">
        <v>14141</v>
      </c>
      <c r="D5263" s="5" t="s">
        <v>14142</v>
      </c>
      <c r="E5263" s="5" t="s">
        <v>15</v>
      </c>
      <c r="F5263" s="5" t="s">
        <v>15</v>
      </c>
      <c r="G5263" s="14" t="s">
        <v>16</v>
      </c>
      <c r="H5263" s="17">
        <v>200</v>
      </c>
      <c r="I5263" s="17">
        <v>200</v>
      </c>
      <c r="J5263" s="5"/>
      <c r="K5263" s="10"/>
      <c r="L5263" s="10">
        <v>20201118</v>
      </c>
      <c r="M5263" s="36" t="str">
        <f t="shared" si="82"/>
        <v>19760910</v>
      </c>
    </row>
    <row r="5264" s="1" customFormat="1" spans="1:13">
      <c r="A5264" s="2">
        <v>7920</v>
      </c>
      <c r="B5264" s="5" t="s">
        <v>15086</v>
      </c>
      <c r="C5264" s="6" t="s">
        <v>15197</v>
      </c>
      <c r="D5264" s="6" t="str">
        <f>"152326197609106873"</f>
        <v>152326197609106873</v>
      </c>
      <c r="E5264" s="5" t="s">
        <v>15</v>
      </c>
      <c r="F5264" s="5">
        <v>2020</v>
      </c>
      <c r="G5264" s="5" t="s">
        <v>16</v>
      </c>
      <c r="H5264" s="5">
        <v>200</v>
      </c>
      <c r="I5264" s="5">
        <v>200</v>
      </c>
      <c r="J5264" s="5"/>
      <c r="K5264" s="5"/>
      <c r="L5264" s="10">
        <v>20201118</v>
      </c>
      <c r="M5264" s="36" t="str">
        <f t="shared" si="82"/>
        <v>19760910</v>
      </c>
    </row>
    <row r="5265" s="1" customFormat="1" spans="1:13">
      <c r="A5265" s="2">
        <v>4545</v>
      </c>
      <c r="B5265" s="6" t="s">
        <v>9015</v>
      </c>
      <c r="C5265" s="6" t="s">
        <v>9270</v>
      </c>
      <c r="D5265" s="6" t="s">
        <v>9271</v>
      </c>
      <c r="E5265" s="6">
        <v>2020</v>
      </c>
      <c r="F5265" s="6">
        <v>2020</v>
      </c>
      <c r="G5265" s="6" t="s">
        <v>16</v>
      </c>
      <c r="H5265" s="6">
        <v>200</v>
      </c>
      <c r="I5265" s="6">
        <v>200</v>
      </c>
      <c r="J5265" s="6"/>
      <c r="K5265" s="6"/>
      <c r="L5265" s="10">
        <v>20201118</v>
      </c>
      <c r="M5265" s="36" t="str">
        <f t="shared" si="82"/>
        <v>19760911</v>
      </c>
    </row>
    <row r="5266" s="1" customFormat="1" spans="1:13">
      <c r="A5266" s="2">
        <v>5829</v>
      </c>
      <c r="B5266" s="30" t="s">
        <v>11090</v>
      </c>
      <c r="C5266" s="30" t="s">
        <v>11725</v>
      </c>
      <c r="D5266" s="30" t="s">
        <v>11726</v>
      </c>
      <c r="E5266" s="5" t="s">
        <v>15</v>
      </c>
      <c r="F5266" s="5" t="s">
        <v>10250</v>
      </c>
      <c r="G5266" s="6" t="s">
        <v>16</v>
      </c>
      <c r="H5266" s="32">
        <v>200</v>
      </c>
      <c r="I5266" s="32">
        <v>200</v>
      </c>
      <c r="J5266" s="6" t="s">
        <v>6097</v>
      </c>
      <c r="K5266" s="48"/>
      <c r="L5266" s="10">
        <v>20201118</v>
      </c>
      <c r="M5266" s="36" t="str">
        <f t="shared" si="82"/>
        <v>19760911</v>
      </c>
    </row>
    <row r="5267" s="1" customFormat="1" spans="1:13">
      <c r="A5267" s="2">
        <v>5591</v>
      </c>
      <c r="B5267" s="30" t="s">
        <v>11090</v>
      </c>
      <c r="C5267" s="30" t="s">
        <v>11275</v>
      </c>
      <c r="D5267" s="30" t="s">
        <v>11276</v>
      </c>
      <c r="E5267" s="5" t="s">
        <v>15</v>
      </c>
      <c r="F5267" s="5" t="s">
        <v>10250</v>
      </c>
      <c r="G5267" s="6" t="s">
        <v>16</v>
      </c>
      <c r="H5267" s="32">
        <v>200</v>
      </c>
      <c r="I5267" s="32">
        <v>200</v>
      </c>
      <c r="J5267" s="6" t="s">
        <v>6097</v>
      </c>
      <c r="K5267" s="48"/>
      <c r="L5267" s="10">
        <v>20201118</v>
      </c>
      <c r="M5267" s="36" t="str">
        <f t="shared" si="82"/>
        <v>19760912</v>
      </c>
    </row>
    <row r="5268" s="1" customFormat="1" spans="1:13">
      <c r="A5268" s="2">
        <v>5618</v>
      </c>
      <c r="B5268" s="30" t="s">
        <v>11090</v>
      </c>
      <c r="C5268" s="30" t="s">
        <v>11326</v>
      </c>
      <c r="D5268" s="30" t="s">
        <v>11327</v>
      </c>
      <c r="E5268" s="5" t="s">
        <v>15</v>
      </c>
      <c r="F5268" s="5" t="s">
        <v>10250</v>
      </c>
      <c r="G5268" s="6" t="s">
        <v>16</v>
      </c>
      <c r="H5268" s="32">
        <v>200</v>
      </c>
      <c r="I5268" s="32">
        <v>200</v>
      </c>
      <c r="J5268" s="6"/>
      <c r="K5268" s="48"/>
      <c r="L5268" s="10">
        <v>20201118</v>
      </c>
      <c r="M5268" s="36" t="str">
        <f t="shared" si="82"/>
        <v>19760912</v>
      </c>
    </row>
    <row r="5269" s="1" customFormat="1" spans="1:13">
      <c r="A5269" s="2">
        <v>5854</v>
      </c>
      <c r="B5269" s="30" t="s">
        <v>11090</v>
      </c>
      <c r="C5269" s="30" t="s">
        <v>11771</v>
      </c>
      <c r="D5269" s="30" t="s">
        <v>11772</v>
      </c>
      <c r="E5269" s="5" t="s">
        <v>15</v>
      </c>
      <c r="F5269" s="5" t="s">
        <v>10250</v>
      </c>
      <c r="G5269" s="6" t="s">
        <v>16</v>
      </c>
      <c r="H5269" s="32">
        <v>200</v>
      </c>
      <c r="I5269" s="32">
        <v>200</v>
      </c>
      <c r="J5269" s="6"/>
      <c r="K5269" s="48"/>
      <c r="L5269" s="10">
        <v>20201118</v>
      </c>
      <c r="M5269" s="36" t="str">
        <f t="shared" si="82"/>
        <v>19760913</v>
      </c>
    </row>
    <row r="5270" s="1" customFormat="1" spans="1:13">
      <c r="A5270" s="2">
        <v>1691</v>
      </c>
      <c r="B5270" s="5" t="s">
        <v>3381</v>
      </c>
      <c r="C5270" s="9" t="s">
        <v>3944</v>
      </c>
      <c r="D5270" s="9" t="s">
        <v>3945</v>
      </c>
      <c r="E5270" s="5">
        <v>2020</v>
      </c>
      <c r="F5270" s="5">
        <v>2020</v>
      </c>
      <c r="G5270" s="14" t="s">
        <v>16</v>
      </c>
      <c r="H5270" s="6">
        <v>200</v>
      </c>
      <c r="I5270" s="6">
        <v>200</v>
      </c>
      <c r="J5270" s="5"/>
      <c r="K5270" s="13"/>
      <c r="L5270" s="10">
        <v>20201118</v>
      </c>
      <c r="M5270" s="36" t="str">
        <f t="shared" si="82"/>
        <v>19760915</v>
      </c>
    </row>
    <row r="5271" s="1" customFormat="1" ht="14.25" spans="1:13">
      <c r="A5271" s="2">
        <v>3180</v>
      </c>
      <c r="B5271" s="3" t="s">
        <v>6671</v>
      </c>
      <c r="C5271" s="8" t="s">
        <v>6872</v>
      </c>
      <c r="D5271" s="8" t="s">
        <v>6873</v>
      </c>
      <c r="E5271" s="3" t="s">
        <v>15</v>
      </c>
      <c r="F5271" s="3" t="s">
        <v>15</v>
      </c>
      <c r="G5271" s="6" t="s">
        <v>3359</v>
      </c>
      <c r="H5271" s="9">
        <v>200</v>
      </c>
      <c r="I5271" s="9">
        <v>200</v>
      </c>
      <c r="J5271" s="6"/>
      <c r="K5271" s="5"/>
      <c r="L5271" s="10">
        <v>20201118</v>
      </c>
      <c r="M5271" s="36" t="str">
        <f t="shared" si="82"/>
        <v>19760915</v>
      </c>
    </row>
    <row r="5272" s="1" customFormat="1" spans="1:13">
      <c r="A5272" s="2">
        <v>3347</v>
      </c>
      <c r="B5272" s="5" t="s">
        <v>3375</v>
      </c>
      <c r="C5272" s="6" t="s">
        <v>7121</v>
      </c>
      <c r="D5272" s="6" t="str">
        <f>"152326197609166892"</f>
        <v>152326197609166892</v>
      </c>
      <c r="E5272" s="5" t="s">
        <v>15</v>
      </c>
      <c r="F5272" s="5">
        <v>2020</v>
      </c>
      <c r="G5272" s="14" t="s">
        <v>16</v>
      </c>
      <c r="H5272" s="17">
        <v>200</v>
      </c>
      <c r="I5272" s="17">
        <v>200</v>
      </c>
      <c r="J5272" s="6"/>
      <c r="K5272" s="10"/>
      <c r="L5272" s="10">
        <v>20201118</v>
      </c>
      <c r="M5272" s="36" t="str">
        <f t="shared" si="82"/>
        <v>19760916</v>
      </c>
    </row>
    <row r="5273" s="1" customFormat="1" spans="1:13">
      <c r="A5273" s="2">
        <v>7289</v>
      </c>
      <c r="B5273" s="5" t="s">
        <v>13908</v>
      </c>
      <c r="C5273" s="5" t="s">
        <v>14217</v>
      </c>
      <c r="D5273" s="5" t="s">
        <v>14218</v>
      </c>
      <c r="E5273" s="5" t="s">
        <v>15</v>
      </c>
      <c r="F5273" s="5" t="s">
        <v>15</v>
      </c>
      <c r="G5273" s="14" t="s">
        <v>16</v>
      </c>
      <c r="H5273" s="17">
        <v>200</v>
      </c>
      <c r="I5273" s="17">
        <v>200</v>
      </c>
      <c r="J5273" s="5"/>
      <c r="K5273" s="10"/>
      <c r="L5273" s="10">
        <v>20201118</v>
      </c>
      <c r="M5273" s="36" t="str">
        <f t="shared" si="82"/>
        <v>19760917</v>
      </c>
    </row>
    <row r="5274" s="1" customFormat="1" spans="1:13">
      <c r="A5274" s="2">
        <v>2676</v>
      </c>
      <c r="B5274" s="32" t="s">
        <v>5602</v>
      </c>
      <c r="C5274" s="9" t="s">
        <v>5885</v>
      </c>
      <c r="D5274" s="9" t="s">
        <v>5886</v>
      </c>
      <c r="E5274" s="32">
        <v>2020</v>
      </c>
      <c r="F5274" s="32">
        <v>2020</v>
      </c>
      <c r="G5274" s="32" t="s">
        <v>16</v>
      </c>
      <c r="H5274" s="9">
        <v>200</v>
      </c>
      <c r="I5274" s="9">
        <v>200</v>
      </c>
      <c r="J5274" s="32"/>
      <c r="K5274" s="52"/>
      <c r="L5274" s="10">
        <v>20201118</v>
      </c>
      <c r="M5274" s="36" t="str">
        <f t="shared" si="82"/>
        <v>19760918</v>
      </c>
    </row>
    <row r="5275" s="1" customFormat="1" spans="1:13">
      <c r="A5275" s="2">
        <v>3953</v>
      </c>
      <c r="B5275" s="5" t="s">
        <v>7412</v>
      </c>
      <c r="C5275" s="5" t="s">
        <v>8128</v>
      </c>
      <c r="D5275" s="5" t="s">
        <v>8129</v>
      </c>
      <c r="E5275" s="6">
        <v>2020</v>
      </c>
      <c r="F5275" s="6">
        <v>2020</v>
      </c>
      <c r="G5275" s="5" t="s">
        <v>3359</v>
      </c>
      <c r="H5275" s="5">
        <v>200</v>
      </c>
      <c r="I5275" s="5">
        <v>200</v>
      </c>
      <c r="J5275" s="5"/>
      <c r="K5275" s="5"/>
      <c r="L5275" s="10">
        <v>20201118</v>
      </c>
      <c r="M5275" s="36" t="str">
        <f t="shared" si="82"/>
        <v>19760920</v>
      </c>
    </row>
    <row r="5276" s="1" customFormat="1" spans="1:13">
      <c r="A5276" s="2">
        <v>7129</v>
      </c>
      <c r="B5276" s="5" t="s">
        <v>13908</v>
      </c>
      <c r="C5276" s="5" t="s">
        <v>13918</v>
      </c>
      <c r="D5276" s="5" t="s">
        <v>13919</v>
      </c>
      <c r="E5276" s="5" t="s">
        <v>15</v>
      </c>
      <c r="F5276" s="5" t="s">
        <v>15</v>
      </c>
      <c r="G5276" s="14" t="s">
        <v>16</v>
      </c>
      <c r="H5276" s="17">
        <v>200</v>
      </c>
      <c r="I5276" s="17">
        <v>200</v>
      </c>
      <c r="J5276" s="5"/>
      <c r="K5276" s="10"/>
      <c r="L5276" s="10">
        <v>20201118</v>
      </c>
      <c r="M5276" s="36" t="str">
        <f t="shared" si="82"/>
        <v>19760920</v>
      </c>
    </row>
    <row r="5277" s="1" customFormat="1" spans="1:13">
      <c r="A5277" s="2">
        <v>1397</v>
      </c>
      <c r="B5277" s="5" t="s">
        <v>2469</v>
      </c>
      <c r="C5277" s="9" t="s">
        <v>3355</v>
      </c>
      <c r="D5277" s="287" t="s">
        <v>3356</v>
      </c>
      <c r="E5277" s="5">
        <v>2020</v>
      </c>
      <c r="F5277" s="5">
        <v>2020</v>
      </c>
      <c r="G5277" s="9" t="s">
        <v>295</v>
      </c>
      <c r="H5277" s="9">
        <v>200</v>
      </c>
      <c r="I5277" s="9">
        <v>200</v>
      </c>
      <c r="J5277" s="5"/>
      <c r="K5277" s="5"/>
      <c r="L5277" s="10">
        <v>20201118</v>
      </c>
      <c r="M5277" s="36" t="str">
        <f t="shared" si="82"/>
        <v>19760921</v>
      </c>
    </row>
    <row r="5278" s="1" customFormat="1" spans="1:13">
      <c r="A5278" s="2">
        <v>628</v>
      </c>
      <c r="B5278" s="29" t="s">
        <v>1040</v>
      </c>
      <c r="C5278" s="29" t="s">
        <v>94</v>
      </c>
      <c r="D5278" s="29" t="s">
        <v>1538</v>
      </c>
      <c r="E5278" s="30">
        <v>2020</v>
      </c>
      <c r="F5278" s="30">
        <v>2020</v>
      </c>
      <c r="G5278" s="29" t="s">
        <v>16</v>
      </c>
      <c r="H5278" s="29">
        <v>200</v>
      </c>
      <c r="I5278" s="29">
        <v>200</v>
      </c>
      <c r="J5278" s="29"/>
      <c r="K5278" s="47"/>
      <c r="L5278" s="14" t="s">
        <v>330</v>
      </c>
      <c r="M5278" s="36" t="str">
        <f t="shared" si="82"/>
        <v>19760922</v>
      </c>
    </row>
    <row r="5279" s="1" customFormat="1" spans="1:13">
      <c r="A5279" s="2">
        <v>4333</v>
      </c>
      <c r="B5279" s="9" t="s">
        <v>8515</v>
      </c>
      <c r="C5279" s="9" t="s">
        <v>8856</v>
      </c>
      <c r="D5279" s="9" t="s">
        <v>8857</v>
      </c>
      <c r="E5279" s="5" t="s">
        <v>15</v>
      </c>
      <c r="F5279" s="5">
        <v>2020</v>
      </c>
      <c r="G5279" s="9" t="s">
        <v>2480</v>
      </c>
      <c r="H5279" s="9">
        <v>200</v>
      </c>
      <c r="I5279" s="9">
        <v>200</v>
      </c>
      <c r="J5279" s="9"/>
      <c r="K5279" s="9"/>
      <c r="L5279" s="10">
        <v>20201118</v>
      </c>
      <c r="M5279" s="36" t="str">
        <f t="shared" si="82"/>
        <v>19760922</v>
      </c>
    </row>
    <row r="5280" s="1" customFormat="1" spans="1:13">
      <c r="A5280" s="2">
        <v>4783</v>
      </c>
      <c r="B5280" s="6" t="s">
        <v>9015</v>
      </c>
      <c r="C5280" s="6" t="s">
        <v>9717</v>
      </c>
      <c r="D5280" s="6" t="s">
        <v>9718</v>
      </c>
      <c r="E5280" s="6">
        <v>2020</v>
      </c>
      <c r="F5280" s="6">
        <v>2020</v>
      </c>
      <c r="G5280" s="6" t="s">
        <v>16</v>
      </c>
      <c r="H5280" s="6">
        <v>200</v>
      </c>
      <c r="I5280" s="6">
        <v>200</v>
      </c>
      <c r="J5280" s="6"/>
      <c r="K5280" s="6"/>
      <c r="L5280" s="10">
        <v>20201118</v>
      </c>
      <c r="M5280" s="36" t="str">
        <f t="shared" si="82"/>
        <v>19760922</v>
      </c>
    </row>
    <row r="5281" s="1" customFormat="1" spans="1:13">
      <c r="A5281" s="2">
        <v>179</v>
      </c>
      <c r="B5281" s="14" t="s">
        <v>327</v>
      </c>
      <c r="C5281" s="14" t="s">
        <v>425</v>
      </c>
      <c r="D5281" s="14" t="s">
        <v>426</v>
      </c>
      <c r="E5281" s="5">
        <v>2020</v>
      </c>
      <c r="F5281" s="5">
        <v>2020</v>
      </c>
      <c r="G5281" s="14" t="s">
        <v>16</v>
      </c>
      <c r="H5281" s="14">
        <v>200</v>
      </c>
      <c r="I5281" s="14">
        <v>200</v>
      </c>
      <c r="J5281" s="14"/>
      <c r="K5281" s="10"/>
      <c r="L5281" s="2" t="s">
        <v>330</v>
      </c>
      <c r="M5281" s="36" t="str">
        <f t="shared" si="82"/>
        <v>19760924</v>
      </c>
    </row>
    <row r="5282" s="1" customFormat="1" spans="1:13">
      <c r="A5282" s="2">
        <v>274</v>
      </c>
      <c r="B5282" s="14" t="s">
        <v>327</v>
      </c>
      <c r="C5282" s="17" t="s">
        <v>708</v>
      </c>
      <c r="D5282" s="306" t="s">
        <v>709</v>
      </c>
      <c r="E5282" s="5">
        <v>2020</v>
      </c>
      <c r="F5282" s="5">
        <v>2020</v>
      </c>
      <c r="G5282" s="14" t="s">
        <v>16</v>
      </c>
      <c r="H5282" s="17">
        <v>200</v>
      </c>
      <c r="I5282" s="17">
        <v>200</v>
      </c>
      <c r="J5282" s="17"/>
      <c r="K5282" s="10"/>
      <c r="L5282" s="14" t="s">
        <v>330</v>
      </c>
      <c r="M5282" s="36" t="str">
        <f t="shared" si="82"/>
        <v>19760924</v>
      </c>
    </row>
    <row r="5283" s="1" customFormat="1" spans="1:13">
      <c r="A5283" s="2">
        <v>3348</v>
      </c>
      <c r="B5283" s="5" t="s">
        <v>3375</v>
      </c>
      <c r="C5283" s="6" t="s">
        <v>7122</v>
      </c>
      <c r="D5283" s="6" t="s">
        <v>7123</v>
      </c>
      <c r="E5283" s="5" t="s">
        <v>15</v>
      </c>
      <c r="F5283" s="5">
        <v>2020</v>
      </c>
      <c r="G5283" s="14" t="s">
        <v>16</v>
      </c>
      <c r="H5283" s="17">
        <v>200</v>
      </c>
      <c r="I5283" s="17">
        <v>200</v>
      </c>
      <c r="J5283" s="6"/>
      <c r="K5283" s="10"/>
      <c r="L5283" s="10">
        <v>20201118</v>
      </c>
      <c r="M5283" s="36" t="str">
        <f t="shared" si="82"/>
        <v>19760924</v>
      </c>
    </row>
    <row r="5284" s="1" customFormat="1" spans="1:13">
      <c r="A5284" s="2">
        <v>3954</v>
      </c>
      <c r="B5284" s="5" t="s">
        <v>7412</v>
      </c>
      <c r="C5284" s="5" t="s">
        <v>8130</v>
      </c>
      <c r="D5284" s="5" t="s">
        <v>8131</v>
      </c>
      <c r="E5284" s="6">
        <v>2020</v>
      </c>
      <c r="F5284" s="6">
        <v>2020</v>
      </c>
      <c r="G5284" s="5" t="s">
        <v>3359</v>
      </c>
      <c r="H5284" s="5">
        <v>200</v>
      </c>
      <c r="I5284" s="5">
        <v>200</v>
      </c>
      <c r="J5284" s="5"/>
      <c r="K5284" s="5"/>
      <c r="L5284" s="10">
        <v>20201118</v>
      </c>
      <c r="M5284" s="36" t="str">
        <f t="shared" si="82"/>
        <v>19760924</v>
      </c>
    </row>
    <row r="5285" s="1" customFormat="1" spans="1:13">
      <c r="A5285" s="2">
        <v>4334</v>
      </c>
      <c r="B5285" s="9" t="s">
        <v>8515</v>
      </c>
      <c r="C5285" s="9" t="s">
        <v>8858</v>
      </c>
      <c r="D5285" s="9" t="s">
        <v>8859</v>
      </c>
      <c r="E5285" s="5" t="s">
        <v>15</v>
      </c>
      <c r="F5285" s="5">
        <v>2020</v>
      </c>
      <c r="G5285" s="9" t="s">
        <v>2480</v>
      </c>
      <c r="H5285" s="9">
        <v>200</v>
      </c>
      <c r="I5285" s="9">
        <v>200</v>
      </c>
      <c r="J5285" s="9"/>
      <c r="K5285" s="9"/>
      <c r="L5285" s="10">
        <v>20201118</v>
      </c>
      <c r="M5285" s="36" t="str">
        <f t="shared" si="82"/>
        <v>19760924</v>
      </c>
    </row>
    <row r="5286" s="1" customFormat="1" spans="1:13">
      <c r="A5286" s="2">
        <v>3955</v>
      </c>
      <c r="B5286" s="5" t="s">
        <v>7412</v>
      </c>
      <c r="C5286" s="5" t="s">
        <v>8132</v>
      </c>
      <c r="D5286" s="5" t="s">
        <v>8133</v>
      </c>
      <c r="E5286" s="6">
        <v>2020</v>
      </c>
      <c r="F5286" s="6">
        <v>2020</v>
      </c>
      <c r="G5286" s="5" t="s">
        <v>3359</v>
      </c>
      <c r="H5286" s="5">
        <v>200</v>
      </c>
      <c r="I5286" s="5">
        <v>200</v>
      </c>
      <c r="J5286" s="5"/>
      <c r="K5286" s="5"/>
      <c r="L5286" s="10">
        <v>20201118</v>
      </c>
      <c r="M5286" s="36" t="str">
        <f t="shared" si="82"/>
        <v>19760925</v>
      </c>
    </row>
    <row r="5287" s="1" customFormat="1" spans="1:13">
      <c r="A5287" s="2">
        <v>2481</v>
      </c>
      <c r="B5287" s="5" t="s">
        <v>5328</v>
      </c>
      <c r="C5287" s="16" t="s">
        <v>5498</v>
      </c>
      <c r="D5287" s="16" t="s">
        <v>5499</v>
      </c>
      <c r="E5287" s="5" t="s">
        <v>15</v>
      </c>
      <c r="F5287" s="5" t="s">
        <v>15</v>
      </c>
      <c r="G5287" s="14" t="s">
        <v>16</v>
      </c>
      <c r="H5287" s="6">
        <v>200</v>
      </c>
      <c r="I5287" s="6">
        <v>200</v>
      </c>
      <c r="J5287" s="5"/>
      <c r="K5287" s="5"/>
      <c r="L5287" s="10">
        <v>20201118</v>
      </c>
      <c r="M5287" s="36" t="str">
        <f t="shared" si="82"/>
        <v>19760926</v>
      </c>
    </row>
    <row r="5288" s="1" customFormat="1" spans="1:13">
      <c r="A5288" s="2">
        <v>1692</v>
      </c>
      <c r="B5288" s="5" t="s">
        <v>3381</v>
      </c>
      <c r="C5288" s="9" t="s">
        <v>3946</v>
      </c>
      <c r="D5288" s="9" t="s">
        <v>3947</v>
      </c>
      <c r="E5288" s="5">
        <v>2020</v>
      </c>
      <c r="F5288" s="5">
        <v>2020</v>
      </c>
      <c r="G5288" s="14" t="s">
        <v>16</v>
      </c>
      <c r="H5288" s="6">
        <v>200</v>
      </c>
      <c r="I5288" s="6">
        <v>200</v>
      </c>
      <c r="J5288" s="5"/>
      <c r="K5288" s="13"/>
      <c r="L5288" s="10">
        <v>20201118</v>
      </c>
      <c r="M5288" s="36" t="str">
        <f t="shared" si="82"/>
        <v>19760928</v>
      </c>
    </row>
    <row r="5289" s="1" customFormat="1" spans="1:13">
      <c r="A5289" s="2">
        <v>2677</v>
      </c>
      <c r="B5289" s="32" t="s">
        <v>5602</v>
      </c>
      <c r="C5289" s="9" t="s">
        <v>5887</v>
      </c>
      <c r="D5289" s="9" t="s">
        <v>5888</v>
      </c>
      <c r="E5289" s="32">
        <v>2020</v>
      </c>
      <c r="F5289" s="32">
        <v>2020</v>
      </c>
      <c r="G5289" s="32" t="s">
        <v>16</v>
      </c>
      <c r="H5289" s="9">
        <v>200</v>
      </c>
      <c r="I5289" s="9">
        <v>200</v>
      </c>
      <c r="J5289" s="32"/>
      <c r="K5289" s="52"/>
      <c r="L5289" s="10">
        <v>20201118</v>
      </c>
      <c r="M5289" s="36" t="str">
        <f t="shared" si="82"/>
        <v>19761003</v>
      </c>
    </row>
    <row r="5290" s="1" customFormat="1" spans="1:13">
      <c r="A5290" s="2">
        <v>3351</v>
      </c>
      <c r="B5290" s="5" t="s">
        <v>3375</v>
      </c>
      <c r="C5290" s="6" t="s">
        <v>7126</v>
      </c>
      <c r="D5290" s="6" t="str">
        <f>"152326197610046919"</f>
        <v>152326197610046919</v>
      </c>
      <c r="E5290" s="5" t="s">
        <v>15</v>
      </c>
      <c r="F5290" s="5">
        <v>2020</v>
      </c>
      <c r="G5290" s="14" t="s">
        <v>16</v>
      </c>
      <c r="H5290" s="17">
        <v>200</v>
      </c>
      <c r="I5290" s="17">
        <v>200</v>
      </c>
      <c r="J5290" s="6"/>
      <c r="K5290" s="10"/>
      <c r="L5290" s="10">
        <v>20201118</v>
      </c>
      <c r="M5290" s="36" t="str">
        <f t="shared" si="82"/>
        <v>19761004</v>
      </c>
    </row>
    <row r="5291" s="1" customFormat="1" spans="1:13">
      <c r="A5291" s="2">
        <v>8213</v>
      </c>
      <c r="B5291" s="5" t="s">
        <v>15406</v>
      </c>
      <c r="C5291" s="6" t="s">
        <v>15609</v>
      </c>
      <c r="D5291" s="6" t="s">
        <v>15610</v>
      </c>
      <c r="E5291" s="5" t="s">
        <v>15</v>
      </c>
      <c r="F5291" s="5">
        <v>2020</v>
      </c>
      <c r="G5291" s="14" t="s">
        <v>16</v>
      </c>
      <c r="H5291" s="6">
        <v>200</v>
      </c>
      <c r="I5291" s="6">
        <v>200</v>
      </c>
      <c r="J5291" s="5"/>
      <c r="K5291" s="10"/>
      <c r="L5291" s="10">
        <v>20201118</v>
      </c>
      <c r="M5291" s="36" t="str">
        <f t="shared" si="82"/>
        <v>19761005</v>
      </c>
    </row>
    <row r="5292" s="1" customFormat="1" spans="1:13">
      <c r="A5292" s="2">
        <v>5027</v>
      </c>
      <c r="B5292" s="6" t="s">
        <v>9954</v>
      </c>
      <c r="C5292" s="60" t="s">
        <v>10187</v>
      </c>
      <c r="D5292" s="60" t="s">
        <v>10188</v>
      </c>
      <c r="E5292" s="5" t="s">
        <v>15</v>
      </c>
      <c r="F5292" s="5" t="s">
        <v>15</v>
      </c>
      <c r="G5292" s="14" t="s">
        <v>16</v>
      </c>
      <c r="H5292" s="6">
        <v>200</v>
      </c>
      <c r="I5292" s="6">
        <v>200</v>
      </c>
      <c r="J5292" s="6"/>
      <c r="K5292" s="6"/>
      <c r="L5292" s="10">
        <v>20201118</v>
      </c>
      <c r="M5292" s="36" t="str">
        <f t="shared" si="82"/>
        <v>19761007</v>
      </c>
    </row>
    <row r="5293" s="1" customFormat="1" spans="1:13">
      <c r="A5293" s="2">
        <v>5511</v>
      </c>
      <c r="B5293" s="30" t="s">
        <v>11090</v>
      </c>
      <c r="C5293" s="30" t="s">
        <v>11117</v>
      </c>
      <c r="D5293" s="30" t="s">
        <v>11118</v>
      </c>
      <c r="E5293" s="5" t="s">
        <v>15</v>
      </c>
      <c r="F5293" s="5" t="s">
        <v>10250</v>
      </c>
      <c r="G5293" s="6" t="s">
        <v>16</v>
      </c>
      <c r="H5293" s="32">
        <v>200</v>
      </c>
      <c r="I5293" s="32">
        <v>200</v>
      </c>
      <c r="J5293" s="6"/>
      <c r="K5293" s="48"/>
      <c r="L5293" s="10">
        <v>20201118</v>
      </c>
      <c r="M5293" s="36" t="str">
        <f t="shared" si="82"/>
        <v>19761007</v>
      </c>
    </row>
    <row r="5294" s="1" customFormat="1" spans="1:13">
      <c r="A5294" s="2">
        <v>7245</v>
      </c>
      <c r="B5294" s="5" t="s">
        <v>13908</v>
      </c>
      <c r="C5294" s="5" t="s">
        <v>14133</v>
      </c>
      <c r="D5294" s="5" t="s">
        <v>14134</v>
      </c>
      <c r="E5294" s="5" t="s">
        <v>15</v>
      </c>
      <c r="F5294" s="5" t="s">
        <v>15</v>
      </c>
      <c r="G5294" s="14" t="s">
        <v>16</v>
      </c>
      <c r="H5294" s="17">
        <v>200</v>
      </c>
      <c r="I5294" s="17">
        <v>200</v>
      </c>
      <c r="J5294" s="5"/>
      <c r="K5294" s="10"/>
      <c r="L5294" s="10">
        <v>20201118</v>
      </c>
      <c r="M5294" s="36" t="str">
        <f t="shared" si="82"/>
        <v>19761008</v>
      </c>
    </row>
    <row r="5295" s="1" customFormat="1" spans="1:13">
      <c r="A5295" s="2">
        <v>1172</v>
      </c>
      <c r="B5295" s="5" t="s">
        <v>2469</v>
      </c>
      <c r="C5295" s="9" t="s">
        <v>2928</v>
      </c>
      <c r="D5295" s="9" t="s">
        <v>2929</v>
      </c>
      <c r="E5295" s="5">
        <v>2020</v>
      </c>
      <c r="F5295" s="5">
        <v>2020</v>
      </c>
      <c r="G5295" s="9" t="s">
        <v>2480</v>
      </c>
      <c r="H5295" s="9">
        <v>200</v>
      </c>
      <c r="I5295" s="9">
        <v>200</v>
      </c>
      <c r="J5295" s="5"/>
      <c r="K5295" s="5"/>
      <c r="L5295" s="10">
        <v>20201118</v>
      </c>
      <c r="M5295" s="36" t="str">
        <f t="shared" si="82"/>
        <v>19761009</v>
      </c>
    </row>
    <row r="5296" s="1" customFormat="1" spans="1:13">
      <c r="A5296" s="2">
        <v>1789</v>
      </c>
      <c r="B5296" s="5" t="s">
        <v>3381</v>
      </c>
      <c r="C5296" s="9" t="s">
        <v>4140</v>
      </c>
      <c r="D5296" s="9" t="s">
        <v>4141</v>
      </c>
      <c r="E5296" s="5">
        <v>2020</v>
      </c>
      <c r="F5296" s="5">
        <v>2020</v>
      </c>
      <c r="G5296" s="5" t="s">
        <v>189</v>
      </c>
      <c r="H5296" s="6">
        <v>200</v>
      </c>
      <c r="I5296" s="6">
        <v>200</v>
      </c>
      <c r="J5296" s="5"/>
      <c r="K5296" s="13"/>
      <c r="L5296" s="10">
        <v>20201118</v>
      </c>
      <c r="M5296" s="36" t="str">
        <f t="shared" si="82"/>
        <v>19761010</v>
      </c>
    </row>
    <row r="5297" s="1" customFormat="1" ht="14.25" spans="1:13">
      <c r="A5297" s="2">
        <v>3186</v>
      </c>
      <c r="B5297" s="3" t="s">
        <v>6671</v>
      </c>
      <c r="C5297" s="8" t="s">
        <v>1066</v>
      </c>
      <c r="D5297" s="8" t="s">
        <v>6883</v>
      </c>
      <c r="E5297" s="3" t="s">
        <v>15</v>
      </c>
      <c r="F5297" s="3" t="s">
        <v>15</v>
      </c>
      <c r="G5297" s="6" t="s">
        <v>3359</v>
      </c>
      <c r="H5297" s="9">
        <v>200</v>
      </c>
      <c r="I5297" s="9">
        <v>200</v>
      </c>
      <c r="J5297" s="6"/>
      <c r="K5297" s="5"/>
      <c r="L5297" s="10">
        <v>20201118</v>
      </c>
      <c r="M5297" s="36" t="str">
        <f t="shared" si="82"/>
        <v>19761010</v>
      </c>
    </row>
    <row r="5298" s="1" customFormat="1" spans="1:13">
      <c r="A5298" s="2">
        <v>3956</v>
      </c>
      <c r="B5298" s="5" t="s">
        <v>7412</v>
      </c>
      <c r="C5298" s="5" t="s">
        <v>8134</v>
      </c>
      <c r="D5298" s="5" t="s">
        <v>8135</v>
      </c>
      <c r="E5298" s="6">
        <v>2020</v>
      </c>
      <c r="F5298" s="6">
        <v>2020</v>
      </c>
      <c r="G5298" s="5" t="s">
        <v>3359</v>
      </c>
      <c r="H5298" s="5">
        <v>200</v>
      </c>
      <c r="I5298" s="5">
        <v>200</v>
      </c>
      <c r="J5298" s="5"/>
      <c r="K5298" s="5"/>
      <c r="L5298" s="10">
        <v>20201118</v>
      </c>
      <c r="M5298" s="36" t="str">
        <f t="shared" si="82"/>
        <v>19761010</v>
      </c>
    </row>
    <row r="5299" s="1" customFormat="1" spans="1:13">
      <c r="A5299" s="2">
        <v>5739</v>
      </c>
      <c r="B5299" s="30" t="s">
        <v>11090</v>
      </c>
      <c r="C5299" s="30" t="s">
        <v>11562</v>
      </c>
      <c r="D5299" s="30" t="s">
        <v>11563</v>
      </c>
      <c r="E5299" s="5" t="s">
        <v>15</v>
      </c>
      <c r="F5299" s="5" t="s">
        <v>10250</v>
      </c>
      <c r="G5299" s="6" t="s">
        <v>16</v>
      </c>
      <c r="H5299" s="32">
        <v>200</v>
      </c>
      <c r="I5299" s="32">
        <v>200</v>
      </c>
      <c r="J5299" s="6"/>
      <c r="K5299" s="48"/>
      <c r="L5299" s="10">
        <v>20201118</v>
      </c>
      <c r="M5299" s="36" t="str">
        <f t="shared" si="82"/>
        <v>19761010</v>
      </c>
    </row>
    <row r="5300" s="1" customFormat="1" ht="14.25" spans="1:13">
      <c r="A5300" s="2">
        <v>6059</v>
      </c>
      <c r="B5300" s="30" t="s">
        <v>11090</v>
      </c>
      <c r="C5300" s="32" t="s">
        <v>12161</v>
      </c>
      <c r="D5300" s="12" t="s">
        <v>12162</v>
      </c>
      <c r="E5300" s="5" t="s">
        <v>15</v>
      </c>
      <c r="F5300" s="5" t="s">
        <v>10250</v>
      </c>
      <c r="G5300" s="6" t="s">
        <v>16</v>
      </c>
      <c r="H5300" s="32">
        <v>200</v>
      </c>
      <c r="I5300" s="32">
        <v>200</v>
      </c>
      <c r="J5300" s="5"/>
      <c r="K5300" s="48"/>
      <c r="L5300" s="10">
        <v>20201118</v>
      </c>
      <c r="M5300" s="36" t="str">
        <f t="shared" si="82"/>
        <v>19761010</v>
      </c>
    </row>
    <row r="5301" s="1" customFormat="1" spans="1:13">
      <c r="A5301" s="2">
        <v>725</v>
      </c>
      <c r="B5301" s="29" t="s">
        <v>1040</v>
      </c>
      <c r="C5301" s="5" t="s">
        <v>1825</v>
      </c>
      <c r="D5301" s="317" t="s">
        <v>1826</v>
      </c>
      <c r="E5301" s="30">
        <v>2020</v>
      </c>
      <c r="F5301" s="30">
        <v>2020</v>
      </c>
      <c r="G5301" s="29" t="s">
        <v>16</v>
      </c>
      <c r="H5301" s="29">
        <v>200</v>
      </c>
      <c r="I5301" s="29">
        <v>200</v>
      </c>
      <c r="J5301" s="29"/>
      <c r="K5301" s="54"/>
      <c r="L5301" s="2" t="s">
        <v>330</v>
      </c>
      <c r="M5301" s="36" t="str">
        <f t="shared" si="82"/>
        <v>19761011</v>
      </c>
    </row>
    <row r="5302" s="1" customFormat="1" ht="14.25" spans="1:13">
      <c r="A5302" s="2">
        <v>5373</v>
      </c>
      <c r="B5302" s="33" t="s">
        <v>10535</v>
      </c>
      <c r="C5302" s="34" t="s">
        <v>10855</v>
      </c>
      <c r="D5302" s="34" t="s">
        <v>10856</v>
      </c>
      <c r="E5302" s="35">
        <v>2020</v>
      </c>
      <c r="F5302" s="35">
        <v>2020</v>
      </c>
      <c r="G5302" s="35" t="s">
        <v>16</v>
      </c>
      <c r="H5302" s="34">
        <v>200</v>
      </c>
      <c r="I5302" s="34">
        <v>200</v>
      </c>
      <c r="J5302" s="49"/>
      <c r="K5302" s="10"/>
      <c r="L5302" s="10">
        <v>20201118</v>
      </c>
      <c r="M5302" s="36" t="str">
        <f t="shared" si="82"/>
        <v>19761012</v>
      </c>
    </row>
    <row r="5303" s="1" customFormat="1" spans="1:13">
      <c r="A5303" s="2">
        <v>3957</v>
      </c>
      <c r="B5303" s="5" t="s">
        <v>7412</v>
      </c>
      <c r="C5303" s="5" t="s">
        <v>8136</v>
      </c>
      <c r="D5303" s="5" t="s">
        <v>8137</v>
      </c>
      <c r="E5303" s="6">
        <v>2020</v>
      </c>
      <c r="F5303" s="6">
        <v>2020</v>
      </c>
      <c r="G5303" s="5" t="s">
        <v>3359</v>
      </c>
      <c r="H5303" s="5">
        <v>200</v>
      </c>
      <c r="I5303" s="5">
        <v>200</v>
      </c>
      <c r="J5303" s="5"/>
      <c r="K5303" s="5"/>
      <c r="L5303" s="10">
        <v>20201118</v>
      </c>
      <c r="M5303" s="36" t="str">
        <f t="shared" si="82"/>
        <v>19761015</v>
      </c>
    </row>
    <row r="5304" s="1" customFormat="1" spans="1:13">
      <c r="A5304" s="2">
        <v>5523</v>
      </c>
      <c r="B5304" s="30" t="s">
        <v>11090</v>
      </c>
      <c r="C5304" s="30" t="s">
        <v>11142</v>
      </c>
      <c r="D5304" s="30" t="s">
        <v>11143</v>
      </c>
      <c r="E5304" s="5" t="s">
        <v>15</v>
      </c>
      <c r="F5304" s="5" t="s">
        <v>10250</v>
      </c>
      <c r="G5304" s="6" t="s">
        <v>16</v>
      </c>
      <c r="H5304" s="32">
        <v>500</v>
      </c>
      <c r="I5304" s="32">
        <v>500</v>
      </c>
      <c r="J5304" s="6"/>
      <c r="K5304" s="48"/>
      <c r="L5304" s="10">
        <v>20201118</v>
      </c>
      <c r="M5304" s="36" t="str">
        <f t="shared" si="82"/>
        <v>19761015</v>
      </c>
    </row>
    <row r="5305" s="1" customFormat="1" spans="1:13">
      <c r="A5305" s="2">
        <v>7919</v>
      </c>
      <c r="B5305" s="5" t="s">
        <v>15086</v>
      </c>
      <c r="C5305" s="6" t="s">
        <v>15196</v>
      </c>
      <c r="D5305" s="6" t="str">
        <f>"152326197610176879"</f>
        <v>152326197610176879</v>
      </c>
      <c r="E5305" s="5" t="s">
        <v>15</v>
      </c>
      <c r="F5305" s="5">
        <v>2020</v>
      </c>
      <c r="G5305" s="5" t="s">
        <v>16</v>
      </c>
      <c r="H5305" s="5">
        <v>200</v>
      </c>
      <c r="I5305" s="5">
        <v>200</v>
      </c>
      <c r="J5305" s="5"/>
      <c r="K5305" s="5"/>
      <c r="L5305" s="10">
        <v>20201118</v>
      </c>
      <c r="M5305" s="36" t="str">
        <f t="shared" si="82"/>
        <v>19761017</v>
      </c>
    </row>
    <row r="5306" s="1" customFormat="1" ht="14.25" spans="1:13">
      <c r="A5306" s="2">
        <v>6056</v>
      </c>
      <c r="B5306" s="30" t="s">
        <v>11090</v>
      </c>
      <c r="C5306" s="32" t="s">
        <v>12155</v>
      </c>
      <c r="D5306" s="12" t="s">
        <v>12156</v>
      </c>
      <c r="E5306" s="5" t="s">
        <v>15</v>
      </c>
      <c r="F5306" s="5" t="s">
        <v>10250</v>
      </c>
      <c r="G5306" s="6" t="s">
        <v>16</v>
      </c>
      <c r="H5306" s="32">
        <v>200</v>
      </c>
      <c r="I5306" s="32">
        <v>200</v>
      </c>
      <c r="J5306" s="5"/>
      <c r="K5306" s="48"/>
      <c r="L5306" s="10">
        <v>20201118</v>
      </c>
      <c r="M5306" s="36" t="str">
        <f t="shared" si="82"/>
        <v>19761022</v>
      </c>
    </row>
    <row r="5307" s="1" customFormat="1" spans="1:13">
      <c r="A5307" s="2">
        <v>5609</v>
      </c>
      <c r="B5307" s="30" t="s">
        <v>11090</v>
      </c>
      <c r="C5307" s="30" t="s">
        <v>11309</v>
      </c>
      <c r="D5307" s="30" t="s">
        <v>11310</v>
      </c>
      <c r="E5307" s="5" t="s">
        <v>15</v>
      </c>
      <c r="F5307" s="5" t="s">
        <v>10250</v>
      </c>
      <c r="G5307" s="6" t="s">
        <v>16</v>
      </c>
      <c r="H5307" s="32">
        <v>200</v>
      </c>
      <c r="I5307" s="32">
        <v>200</v>
      </c>
      <c r="J5307" s="6"/>
      <c r="K5307" s="48"/>
      <c r="L5307" s="10">
        <v>20201118</v>
      </c>
      <c r="M5307" s="36" t="str">
        <f t="shared" si="82"/>
        <v>19761024</v>
      </c>
    </row>
    <row r="5308" s="1" customFormat="1" spans="1:13">
      <c r="A5308" s="2">
        <v>1173</v>
      </c>
      <c r="B5308" s="5" t="s">
        <v>2469</v>
      </c>
      <c r="C5308" s="9" t="s">
        <v>2930</v>
      </c>
      <c r="D5308" s="9" t="s">
        <v>2931</v>
      </c>
      <c r="E5308" s="5">
        <v>2020</v>
      </c>
      <c r="F5308" s="5">
        <v>2020</v>
      </c>
      <c r="G5308" s="9" t="s">
        <v>2480</v>
      </c>
      <c r="H5308" s="9">
        <v>200</v>
      </c>
      <c r="I5308" s="9">
        <v>200</v>
      </c>
      <c r="J5308" s="5"/>
      <c r="K5308" s="5"/>
      <c r="L5308" s="10">
        <v>20201118</v>
      </c>
      <c r="M5308" s="36" t="str">
        <f t="shared" si="82"/>
        <v>19761025</v>
      </c>
    </row>
    <row r="5309" s="1" customFormat="1" spans="1:13">
      <c r="A5309" s="2">
        <v>1979</v>
      </c>
      <c r="B5309" s="5" t="s">
        <v>4189</v>
      </c>
      <c r="C5309" s="16" t="s">
        <v>4516</v>
      </c>
      <c r="D5309" s="16" t="s">
        <v>4517</v>
      </c>
      <c r="E5309" s="5" t="s">
        <v>15</v>
      </c>
      <c r="F5309" s="5" t="s">
        <v>15</v>
      </c>
      <c r="G5309" s="5" t="s">
        <v>3359</v>
      </c>
      <c r="H5309" s="16">
        <v>200</v>
      </c>
      <c r="I5309" s="16">
        <v>200</v>
      </c>
      <c r="J5309" s="5"/>
      <c r="K5309" s="10"/>
      <c r="L5309" s="10">
        <v>20201118</v>
      </c>
      <c r="M5309" s="36" t="str">
        <f t="shared" si="82"/>
        <v>19761025</v>
      </c>
    </row>
    <row r="5310" s="1" customFormat="1" spans="1:13">
      <c r="A5310" s="2">
        <v>6868</v>
      </c>
      <c r="B5310" s="5" t="s">
        <v>13533</v>
      </c>
      <c r="C5310" s="32" t="s">
        <v>13619</v>
      </c>
      <c r="D5310" s="32" t="str">
        <f>"152326197610257134"</f>
        <v>152326197610257134</v>
      </c>
      <c r="E5310" s="5">
        <v>2020</v>
      </c>
      <c r="F5310" s="5">
        <v>2020</v>
      </c>
      <c r="G5310" s="9" t="s">
        <v>2480</v>
      </c>
      <c r="H5310" s="32">
        <v>200</v>
      </c>
      <c r="I5310" s="32">
        <v>200</v>
      </c>
      <c r="J5310" s="62"/>
      <c r="K5310" s="10"/>
      <c r="L5310" s="10">
        <v>20201118</v>
      </c>
      <c r="M5310" s="36" t="str">
        <f t="shared" si="82"/>
        <v>19761025</v>
      </c>
    </row>
    <row r="5311" s="1" customFormat="1" spans="1:13">
      <c r="A5311" s="2">
        <v>3958</v>
      </c>
      <c r="B5311" s="5" t="s">
        <v>7412</v>
      </c>
      <c r="C5311" s="5" t="s">
        <v>8138</v>
      </c>
      <c r="D5311" s="5" t="s">
        <v>8139</v>
      </c>
      <c r="E5311" s="6">
        <v>2020</v>
      </c>
      <c r="F5311" s="6">
        <v>2020</v>
      </c>
      <c r="G5311" s="5" t="s">
        <v>3359</v>
      </c>
      <c r="H5311" s="5">
        <v>200</v>
      </c>
      <c r="I5311" s="5">
        <v>200</v>
      </c>
      <c r="J5311" s="5"/>
      <c r="K5311" s="5"/>
      <c r="L5311" s="10">
        <v>20201118</v>
      </c>
      <c r="M5311" s="36" t="str">
        <f t="shared" si="82"/>
        <v>19761029</v>
      </c>
    </row>
    <row r="5312" s="1" customFormat="1" spans="1:13">
      <c r="A5312" s="2">
        <v>4820</v>
      </c>
      <c r="B5312" s="6" t="s">
        <v>9015</v>
      </c>
      <c r="C5312" s="6" t="s">
        <v>9788</v>
      </c>
      <c r="D5312" s="293" t="s">
        <v>9789</v>
      </c>
      <c r="E5312" s="6">
        <v>2020</v>
      </c>
      <c r="F5312" s="6">
        <v>2020</v>
      </c>
      <c r="G5312" s="6" t="s">
        <v>16</v>
      </c>
      <c r="H5312" s="6">
        <v>200</v>
      </c>
      <c r="I5312" s="6">
        <v>200</v>
      </c>
      <c r="J5312" s="6"/>
      <c r="K5312" s="6"/>
      <c r="L5312" s="10">
        <v>20201118</v>
      </c>
      <c r="M5312" s="36" t="str">
        <f t="shared" si="82"/>
        <v>19761029</v>
      </c>
    </row>
    <row r="5313" s="1" customFormat="1" spans="1:13">
      <c r="A5313" s="2">
        <v>37</v>
      </c>
      <c r="B5313" s="2" t="s">
        <v>12</v>
      </c>
      <c r="C5313" s="17" t="s">
        <v>88</v>
      </c>
      <c r="D5313" s="17" t="s">
        <v>89</v>
      </c>
      <c r="E5313" s="3" t="s">
        <v>15</v>
      </c>
      <c r="F5313" s="3" t="s">
        <v>15</v>
      </c>
      <c r="G5313" s="2" t="s">
        <v>16</v>
      </c>
      <c r="H5313" s="17">
        <v>500</v>
      </c>
      <c r="I5313" s="17">
        <v>500</v>
      </c>
      <c r="J5313" s="31"/>
      <c r="K5313" s="17"/>
      <c r="L5313" s="10">
        <v>20201118</v>
      </c>
      <c r="M5313" s="36" t="str">
        <f t="shared" si="82"/>
        <v>19761101</v>
      </c>
    </row>
    <row r="5314" s="1" customFormat="1" ht="14.25" spans="1:13">
      <c r="A5314" s="2">
        <v>2930</v>
      </c>
      <c r="B5314" s="6" t="s">
        <v>6075</v>
      </c>
      <c r="C5314" s="25" t="s">
        <v>6387</v>
      </c>
      <c r="D5314" s="26" t="s">
        <v>6388</v>
      </c>
      <c r="E5314" s="5" t="s">
        <v>15</v>
      </c>
      <c r="F5314" s="5">
        <v>2020</v>
      </c>
      <c r="G5314" s="6" t="s">
        <v>16</v>
      </c>
      <c r="H5314" s="6">
        <v>200</v>
      </c>
      <c r="I5314" s="6">
        <v>200</v>
      </c>
      <c r="J5314" s="6" t="s">
        <v>6097</v>
      </c>
      <c r="K5314" s="10"/>
      <c r="L5314" s="10">
        <v>20201118</v>
      </c>
      <c r="M5314" s="36" t="str">
        <f t="shared" ref="M5314:M5377" si="83">MID(D5314,7,8)</f>
        <v>19761102</v>
      </c>
    </row>
    <row r="5315" s="1" customFormat="1" spans="1:13">
      <c r="A5315" s="2">
        <v>1693</v>
      </c>
      <c r="B5315" s="5" t="s">
        <v>3381</v>
      </c>
      <c r="C5315" s="9" t="s">
        <v>3948</v>
      </c>
      <c r="D5315" s="9" t="s">
        <v>3949</v>
      </c>
      <c r="E5315" s="5">
        <v>2020</v>
      </c>
      <c r="F5315" s="5">
        <v>2020</v>
      </c>
      <c r="G5315" s="14" t="s">
        <v>16</v>
      </c>
      <c r="H5315" s="6">
        <v>200</v>
      </c>
      <c r="I5315" s="6">
        <v>200</v>
      </c>
      <c r="J5315" s="5"/>
      <c r="K5315" s="13"/>
      <c r="L5315" s="10">
        <v>20201118</v>
      </c>
      <c r="M5315" s="36" t="str">
        <f t="shared" si="83"/>
        <v>19761103</v>
      </c>
    </row>
    <row r="5316" s="1" customFormat="1" spans="1:13">
      <c r="A5316" s="2">
        <v>1174</v>
      </c>
      <c r="B5316" s="5" t="s">
        <v>2469</v>
      </c>
      <c r="C5316" s="9" t="s">
        <v>2932</v>
      </c>
      <c r="D5316" s="9" t="s">
        <v>2933</v>
      </c>
      <c r="E5316" s="5">
        <v>2020</v>
      </c>
      <c r="F5316" s="5">
        <v>2020</v>
      </c>
      <c r="G5316" s="9" t="s">
        <v>2480</v>
      </c>
      <c r="H5316" s="9">
        <v>200</v>
      </c>
      <c r="I5316" s="9">
        <v>200</v>
      </c>
      <c r="J5316" s="5"/>
      <c r="K5316" s="5"/>
      <c r="L5316" s="10">
        <v>20201118</v>
      </c>
      <c r="M5316" s="36" t="str">
        <f t="shared" si="83"/>
        <v>19761104</v>
      </c>
    </row>
    <row r="5317" s="1" customFormat="1" spans="1:13">
      <c r="A5317" s="2">
        <v>5150</v>
      </c>
      <c r="B5317" s="6" t="s">
        <v>10242</v>
      </c>
      <c r="C5317" s="9" t="s">
        <v>10426</v>
      </c>
      <c r="D5317" s="9" t="s">
        <v>10427</v>
      </c>
      <c r="E5317" s="5" t="s">
        <v>10250</v>
      </c>
      <c r="F5317" s="5">
        <v>2020</v>
      </c>
      <c r="G5317" s="6" t="s">
        <v>16</v>
      </c>
      <c r="H5317" s="6">
        <v>200</v>
      </c>
      <c r="I5317" s="6">
        <v>200</v>
      </c>
      <c r="J5317" s="6"/>
      <c r="K5317" s="5"/>
      <c r="L5317" s="10">
        <v>20201118</v>
      </c>
      <c r="M5317" s="36" t="str">
        <f t="shared" si="83"/>
        <v>19761105</v>
      </c>
    </row>
    <row r="5318" s="1" customFormat="1" spans="1:13">
      <c r="A5318" s="2">
        <v>4150</v>
      </c>
      <c r="B5318" s="5" t="s">
        <v>7412</v>
      </c>
      <c r="C5318" s="5" t="s">
        <v>8506</v>
      </c>
      <c r="D5318" s="296" t="s">
        <v>8507</v>
      </c>
      <c r="E5318" s="6">
        <v>2020</v>
      </c>
      <c r="F5318" s="6">
        <v>2020</v>
      </c>
      <c r="G5318" s="5" t="s">
        <v>189</v>
      </c>
      <c r="H5318" s="5">
        <v>200</v>
      </c>
      <c r="I5318" s="5">
        <v>200</v>
      </c>
      <c r="J5318" s="5"/>
      <c r="K5318" s="5"/>
      <c r="L5318" s="10">
        <v>20201118</v>
      </c>
      <c r="M5318" s="36" t="str">
        <f t="shared" si="83"/>
        <v>19761106</v>
      </c>
    </row>
    <row r="5319" s="1" customFormat="1" ht="14.25" spans="1:13">
      <c r="A5319" s="2">
        <v>5374</v>
      </c>
      <c r="B5319" s="33" t="s">
        <v>10535</v>
      </c>
      <c r="C5319" s="34" t="s">
        <v>10857</v>
      </c>
      <c r="D5319" s="34" t="s">
        <v>10858</v>
      </c>
      <c r="E5319" s="35">
        <v>2020</v>
      </c>
      <c r="F5319" s="35">
        <v>2020</v>
      </c>
      <c r="G5319" s="35" t="s">
        <v>16</v>
      </c>
      <c r="H5319" s="34">
        <v>200</v>
      </c>
      <c r="I5319" s="34">
        <v>200</v>
      </c>
      <c r="J5319" s="49"/>
      <c r="K5319" s="10"/>
      <c r="L5319" s="10">
        <v>20201118</v>
      </c>
      <c r="M5319" s="36" t="str">
        <f t="shared" si="83"/>
        <v>19761107</v>
      </c>
    </row>
    <row r="5320" s="1" customFormat="1" spans="1:13">
      <c r="A5320" s="2">
        <v>5196</v>
      </c>
      <c r="B5320" s="6" t="s">
        <v>10242</v>
      </c>
      <c r="C5320" s="9" t="s">
        <v>10513</v>
      </c>
      <c r="D5320" s="6" t="s">
        <v>10514</v>
      </c>
      <c r="E5320" s="5" t="s">
        <v>10250</v>
      </c>
      <c r="F5320" s="5">
        <v>2020</v>
      </c>
      <c r="G5320" s="6" t="s">
        <v>16</v>
      </c>
      <c r="H5320" s="6">
        <v>200</v>
      </c>
      <c r="I5320" s="6">
        <v>200</v>
      </c>
      <c r="J5320" s="6"/>
      <c r="K5320" s="6"/>
      <c r="L5320" s="10">
        <v>20201118</v>
      </c>
      <c r="M5320" s="36" t="str">
        <f t="shared" si="83"/>
        <v>19761109</v>
      </c>
    </row>
    <row r="5321" s="1" customFormat="1" spans="1:13">
      <c r="A5321" s="2">
        <v>3959</v>
      </c>
      <c r="B5321" s="5" t="s">
        <v>7412</v>
      </c>
      <c r="C5321" s="5" t="s">
        <v>8140</v>
      </c>
      <c r="D5321" s="5" t="s">
        <v>8141</v>
      </c>
      <c r="E5321" s="6">
        <v>2020</v>
      </c>
      <c r="F5321" s="6">
        <v>2020</v>
      </c>
      <c r="G5321" s="5" t="s">
        <v>3359</v>
      </c>
      <c r="H5321" s="5">
        <v>200</v>
      </c>
      <c r="I5321" s="5">
        <v>200</v>
      </c>
      <c r="J5321" s="5"/>
      <c r="K5321" s="5"/>
      <c r="L5321" s="10">
        <v>20201118</v>
      </c>
      <c r="M5321" s="36" t="str">
        <f t="shared" si="83"/>
        <v>19761111</v>
      </c>
    </row>
    <row r="5322" s="1" customFormat="1" spans="1:13">
      <c r="A5322" s="2">
        <v>4335</v>
      </c>
      <c r="B5322" s="9" t="s">
        <v>8515</v>
      </c>
      <c r="C5322" s="9" t="s">
        <v>8860</v>
      </c>
      <c r="D5322" s="9" t="s">
        <v>8861</v>
      </c>
      <c r="E5322" s="5" t="s">
        <v>15</v>
      </c>
      <c r="F5322" s="5">
        <v>2020</v>
      </c>
      <c r="G5322" s="9" t="s">
        <v>2480</v>
      </c>
      <c r="H5322" s="9">
        <v>200</v>
      </c>
      <c r="I5322" s="9">
        <v>200</v>
      </c>
      <c r="J5322" s="9"/>
      <c r="K5322" s="9"/>
      <c r="L5322" s="10">
        <v>20201118</v>
      </c>
      <c r="M5322" s="36" t="str">
        <f t="shared" si="83"/>
        <v>19761112</v>
      </c>
    </row>
    <row r="5323" s="1" customFormat="1" spans="1:13">
      <c r="A5323" s="2">
        <v>3960</v>
      </c>
      <c r="B5323" s="5" t="s">
        <v>7412</v>
      </c>
      <c r="C5323" s="5" t="s">
        <v>8142</v>
      </c>
      <c r="D5323" s="5" t="s">
        <v>8143</v>
      </c>
      <c r="E5323" s="6">
        <v>2020</v>
      </c>
      <c r="F5323" s="6">
        <v>2020</v>
      </c>
      <c r="G5323" s="5" t="s">
        <v>3359</v>
      </c>
      <c r="H5323" s="5">
        <v>200</v>
      </c>
      <c r="I5323" s="5">
        <v>200</v>
      </c>
      <c r="J5323" s="5"/>
      <c r="K5323" s="5"/>
      <c r="L5323" s="10">
        <v>20201118</v>
      </c>
      <c r="M5323" s="36" t="str">
        <f t="shared" si="83"/>
        <v>19761113</v>
      </c>
    </row>
    <row r="5324" s="1" customFormat="1" spans="1:13">
      <c r="A5324" s="2">
        <v>8214</v>
      </c>
      <c r="B5324" s="5" t="s">
        <v>15406</v>
      </c>
      <c r="C5324" s="6" t="s">
        <v>15611</v>
      </c>
      <c r="D5324" s="293" t="s">
        <v>15612</v>
      </c>
      <c r="E5324" s="5" t="s">
        <v>15</v>
      </c>
      <c r="F5324" s="5">
        <v>2020</v>
      </c>
      <c r="G5324" s="14" t="s">
        <v>189</v>
      </c>
      <c r="H5324" s="6">
        <v>200</v>
      </c>
      <c r="I5324" s="6">
        <v>200</v>
      </c>
      <c r="J5324" s="5"/>
      <c r="K5324" s="10"/>
      <c r="L5324" s="10">
        <v>20201118</v>
      </c>
      <c r="M5324" s="36" t="str">
        <f t="shared" si="83"/>
        <v>19761113</v>
      </c>
    </row>
    <row r="5325" s="1" customFormat="1" spans="1:13">
      <c r="A5325" s="2">
        <v>1175</v>
      </c>
      <c r="B5325" s="5" t="s">
        <v>2469</v>
      </c>
      <c r="C5325" s="9" t="s">
        <v>2934</v>
      </c>
      <c r="D5325" s="9" t="s">
        <v>2935</v>
      </c>
      <c r="E5325" s="5">
        <v>2020</v>
      </c>
      <c r="F5325" s="5">
        <v>2020</v>
      </c>
      <c r="G5325" s="9" t="s">
        <v>2480</v>
      </c>
      <c r="H5325" s="9">
        <v>200</v>
      </c>
      <c r="I5325" s="9">
        <v>200</v>
      </c>
      <c r="J5325" s="5"/>
      <c r="K5325" s="5"/>
      <c r="L5325" s="10">
        <v>20201118</v>
      </c>
      <c r="M5325" s="36" t="str">
        <f t="shared" si="83"/>
        <v>19761114</v>
      </c>
    </row>
    <row r="5326" s="1" customFormat="1" ht="14.25" spans="1:13">
      <c r="A5326" s="2">
        <v>2918</v>
      </c>
      <c r="B5326" s="6" t="s">
        <v>6075</v>
      </c>
      <c r="C5326" s="25" t="s">
        <v>6364</v>
      </c>
      <c r="D5326" s="26" t="s">
        <v>6365</v>
      </c>
      <c r="E5326" s="5" t="s">
        <v>15</v>
      </c>
      <c r="F5326" s="5">
        <v>2020</v>
      </c>
      <c r="G5326" s="6" t="s">
        <v>16</v>
      </c>
      <c r="H5326" s="6">
        <v>200</v>
      </c>
      <c r="I5326" s="6">
        <v>200</v>
      </c>
      <c r="J5326" s="6"/>
      <c r="K5326" s="10"/>
      <c r="L5326" s="10">
        <v>20201118</v>
      </c>
      <c r="M5326" s="36" t="str">
        <f t="shared" si="83"/>
        <v>19761115</v>
      </c>
    </row>
    <row r="5327" s="1" customFormat="1" spans="1:13">
      <c r="A5327" s="2">
        <v>4784</v>
      </c>
      <c r="B5327" s="6" t="s">
        <v>9015</v>
      </c>
      <c r="C5327" s="6" t="s">
        <v>9719</v>
      </c>
      <c r="D5327" s="6" t="s">
        <v>9720</v>
      </c>
      <c r="E5327" s="6">
        <v>2020</v>
      </c>
      <c r="F5327" s="6">
        <v>2020</v>
      </c>
      <c r="G5327" s="6" t="s">
        <v>16</v>
      </c>
      <c r="H5327" s="6">
        <v>200</v>
      </c>
      <c r="I5327" s="6">
        <v>200</v>
      </c>
      <c r="J5327" s="6"/>
      <c r="K5327" s="6"/>
      <c r="L5327" s="10">
        <v>20201118</v>
      </c>
      <c r="M5327" s="36" t="str">
        <f t="shared" si="83"/>
        <v>19761115</v>
      </c>
    </row>
    <row r="5328" s="1" customFormat="1" spans="1:13">
      <c r="A5328" s="2">
        <v>7350</v>
      </c>
      <c r="B5328" s="5" t="s">
        <v>13908</v>
      </c>
      <c r="C5328" s="5" t="s">
        <v>14330</v>
      </c>
      <c r="D5328" s="5" t="s">
        <v>14331</v>
      </c>
      <c r="E5328" s="5" t="s">
        <v>15</v>
      </c>
      <c r="F5328" s="5" t="s">
        <v>15</v>
      </c>
      <c r="G5328" s="14" t="s">
        <v>16</v>
      </c>
      <c r="H5328" s="17">
        <v>200</v>
      </c>
      <c r="I5328" s="17">
        <v>200</v>
      </c>
      <c r="J5328" s="5"/>
      <c r="K5328" s="10"/>
      <c r="L5328" s="10">
        <v>20201118</v>
      </c>
      <c r="M5328" s="36" t="str">
        <f t="shared" si="83"/>
        <v>19761115</v>
      </c>
    </row>
    <row r="5329" s="1" customFormat="1" ht="14.25" spans="1:13">
      <c r="A5329" s="2">
        <v>6109</v>
      </c>
      <c r="B5329" s="30" t="s">
        <v>11090</v>
      </c>
      <c r="C5329" s="32" t="s">
        <v>11809</v>
      </c>
      <c r="D5329" s="12" t="s">
        <v>12254</v>
      </c>
      <c r="E5329" s="5" t="s">
        <v>1047</v>
      </c>
      <c r="F5329" s="5" t="s">
        <v>10250</v>
      </c>
      <c r="G5329" s="32" t="s">
        <v>289</v>
      </c>
      <c r="H5329" s="32" t="s">
        <v>311</v>
      </c>
      <c r="I5329" s="32">
        <v>400</v>
      </c>
      <c r="J5329" s="5"/>
      <c r="K5329" s="48"/>
      <c r="L5329" s="10">
        <v>20201118</v>
      </c>
      <c r="M5329" s="36" t="str">
        <f t="shared" si="83"/>
        <v>19761120</v>
      </c>
    </row>
    <row r="5330" s="1" customFormat="1" spans="1:13">
      <c r="A5330" s="2">
        <v>626</v>
      </c>
      <c r="B5330" s="29" t="s">
        <v>1040</v>
      </c>
      <c r="C5330" s="29" t="s">
        <v>1532</v>
      </c>
      <c r="D5330" s="29" t="s">
        <v>1533</v>
      </c>
      <c r="E5330" s="30">
        <v>2020</v>
      </c>
      <c r="F5330" s="30">
        <v>2020</v>
      </c>
      <c r="G5330" s="29" t="s">
        <v>16</v>
      </c>
      <c r="H5330" s="29">
        <v>200</v>
      </c>
      <c r="I5330" s="29">
        <v>200</v>
      </c>
      <c r="J5330" s="29"/>
      <c r="K5330" s="47"/>
      <c r="L5330" s="14" t="s">
        <v>330</v>
      </c>
      <c r="M5330" s="36" t="str">
        <f t="shared" si="83"/>
        <v>19761122</v>
      </c>
    </row>
    <row r="5331" s="1" customFormat="1" spans="1:13">
      <c r="A5331" s="2">
        <v>2678</v>
      </c>
      <c r="B5331" s="32" t="s">
        <v>5602</v>
      </c>
      <c r="C5331" s="9" t="s">
        <v>5889</v>
      </c>
      <c r="D5331" s="9" t="s">
        <v>5890</v>
      </c>
      <c r="E5331" s="32">
        <v>2020</v>
      </c>
      <c r="F5331" s="32">
        <v>2020</v>
      </c>
      <c r="G5331" s="32" t="s">
        <v>16</v>
      </c>
      <c r="H5331" s="9">
        <v>200</v>
      </c>
      <c r="I5331" s="9">
        <v>200</v>
      </c>
      <c r="J5331" s="32"/>
      <c r="K5331" s="52"/>
      <c r="L5331" s="10">
        <v>20201118</v>
      </c>
      <c r="M5331" s="36" t="str">
        <f t="shared" si="83"/>
        <v>19761123</v>
      </c>
    </row>
    <row r="5332" s="1" customFormat="1" ht="14.25" spans="1:13">
      <c r="A5332" s="2">
        <v>5375</v>
      </c>
      <c r="B5332" s="33" t="s">
        <v>10535</v>
      </c>
      <c r="C5332" s="34" t="s">
        <v>10859</v>
      </c>
      <c r="D5332" s="34" t="s">
        <v>10860</v>
      </c>
      <c r="E5332" s="35">
        <v>2020</v>
      </c>
      <c r="F5332" s="35">
        <v>2020</v>
      </c>
      <c r="G5332" s="35" t="s">
        <v>16</v>
      </c>
      <c r="H5332" s="34">
        <v>200</v>
      </c>
      <c r="I5332" s="34">
        <v>200</v>
      </c>
      <c r="J5332" s="49"/>
      <c r="K5332" s="10"/>
      <c r="L5332" s="10">
        <v>20201118</v>
      </c>
      <c r="M5332" s="36" t="str">
        <f t="shared" si="83"/>
        <v>19761124</v>
      </c>
    </row>
    <row r="5333" s="1" customFormat="1" spans="1:13">
      <c r="A5333" s="2">
        <v>1176</v>
      </c>
      <c r="B5333" s="5" t="s">
        <v>2469</v>
      </c>
      <c r="C5333" s="9" t="s">
        <v>2936</v>
      </c>
      <c r="D5333" s="9" t="s">
        <v>2937</v>
      </c>
      <c r="E5333" s="5">
        <v>2020</v>
      </c>
      <c r="F5333" s="5">
        <v>2020</v>
      </c>
      <c r="G5333" s="9" t="s">
        <v>2480</v>
      </c>
      <c r="H5333" s="9">
        <v>200</v>
      </c>
      <c r="I5333" s="9">
        <v>200</v>
      </c>
      <c r="J5333" s="5"/>
      <c r="K5333" s="5"/>
      <c r="L5333" s="10">
        <v>20201118</v>
      </c>
      <c r="M5333" s="36" t="str">
        <f t="shared" si="83"/>
        <v>19761128</v>
      </c>
    </row>
    <row r="5334" s="1" customFormat="1" ht="14.25" spans="1:13">
      <c r="A5334" s="2">
        <v>5376</v>
      </c>
      <c r="B5334" s="33" t="s">
        <v>10535</v>
      </c>
      <c r="C5334" s="34" t="s">
        <v>10861</v>
      </c>
      <c r="D5334" s="34" t="s">
        <v>10862</v>
      </c>
      <c r="E5334" s="35">
        <v>2020</v>
      </c>
      <c r="F5334" s="35">
        <v>2020</v>
      </c>
      <c r="G5334" s="35" t="s">
        <v>16</v>
      </c>
      <c r="H5334" s="34">
        <v>200</v>
      </c>
      <c r="I5334" s="34">
        <v>200</v>
      </c>
      <c r="J5334" s="49"/>
      <c r="K5334" s="10"/>
      <c r="L5334" s="10">
        <v>20201118</v>
      </c>
      <c r="M5334" s="36" t="str">
        <f t="shared" si="83"/>
        <v>19761128</v>
      </c>
    </row>
    <row r="5335" s="1" customFormat="1" spans="1:13">
      <c r="A5335" s="2">
        <v>5696</v>
      </c>
      <c r="B5335" s="30" t="s">
        <v>11090</v>
      </c>
      <c r="C5335" s="30" t="s">
        <v>11477</v>
      </c>
      <c r="D5335" s="30" t="s">
        <v>11478</v>
      </c>
      <c r="E5335" s="5" t="s">
        <v>15</v>
      </c>
      <c r="F5335" s="5" t="s">
        <v>10250</v>
      </c>
      <c r="G5335" s="6" t="s">
        <v>16</v>
      </c>
      <c r="H5335" s="32">
        <v>200</v>
      </c>
      <c r="I5335" s="32">
        <v>200</v>
      </c>
      <c r="J5335" s="6"/>
      <c r="K5335" s="48"/>
      <c r="L5335" s="10">
        <v>20201118</v>
      </c>
      <c r="M5335" s="36" t="str">
        <f t="shared" si="83"/>
        <v>19761130</v>
      </c>
    </row>
    <row r="5336" s="1" customFormat="1" spans="1:13">
      <c r="A5336" s="2">
        <v>3961</v>
      </c>
      <c r="B5336" s="5" t="s">
        <v>7412</v>
      </c>
      <c r="C5336" s="5" t="s">
        <v>8144</v>
      </c>
      <c r="D5336" s="5" t="s">
        <v>8145</v>
      </c>
      <c r="E5336" s="6">
        <v>2020</v>
      </c>
      <c r="F5336" s="6">
        <v>2020</v>
      </c>
      <c r="G5336" s="5" t="s">
        <v>3359</v>
      </c>
      <c r="H5336" s="5">
        <v>200</v>
      </c>
      <c r="I5336" s="5">
        <v>200</v>
      </c>
      <c r="J5336" s="5"/>
      <c r="K5336" s="5"/>
      <c r="L5336" s="10">
        <v>20201118</v>
      </c>
      <c r="M5336" s="36" t="str">
        <f t="shared" si="83"/>
        <v>19761201</v>
      </c>
    </row>
    <row r="5337" s="1" customFormat="1" spans="1:13">
      <c r="A5337" s="2">
        <v>1177</v>
      </c>
      <c r="B5337" s="5" t="s">
        <v>2469</v>
      </c>
      <c r="C5337" s="9" t="s">
        <v>2938</v>
      </c>
      <c r="D5337" s="9" t="s">
        <v>2939</v>
      </c>
      <c r="E5337" s="5">
        <v>2020</v>
      </c>
      <c r="F5337" s="5">
        <v>2020</v>
      </c>
      <c r="G5337" s="9" t="s">
        <v>2480</v>
      </c>
      <c r="H5337" s="9">
        <v>200</v>
      </c>
      <c r="I5337" s="9">
        <v>200</v>
      </c>
      <c r="J5337" s="5"/>
      <c r="K5337" s="5"/>
      <c r="L5337" s="10">
        <v>20201118</v>
      </c>
      <c r="M5337" s="36" t="str">
        <f t="shared" si="83"/>
        <v>19761204</v>
      </c>
    </row>
    <row r="5338" s="1" customFormat="1" spans="1:13">
      <c r="A5338" s="2">
        <v>6693</v>
      </c>
      <c r="B5338" s="5" t="s">
        <v>13027</v>
      </c>
      <c r="C5338" s="15" t="s">
        <v>13361</v>
      </c>
      <c r="D5338" s="15" t="s">
        <v>13362</v>
      </c>
      <c r="E5338" s="5">
        <v>2020</v>
      </c>
      <c r="F5338" s="5">
        <v>2020</v>
      </c>
      <c r="G5338" s="14" t="s">
        <v>16</v>
      </c>
      <c r="H5338" s="15">
        <v>200</v>
      </c>
      <c r="I5338" s="15">
        <v>200</v>
      </c>
      <c r="J5338" s="5"/>
      <c r="K5338" s="10"/>
      <c r="L5338" s="10">
        <v>20201118</v>
      </c>
      <c r="M5338" s="36" t="str">
        <f t="shared" si="83"/>
        <v>19761204</v>
      </c>
    </row>
    <row r="5339" s="1" customFormat="1" spans="1:13">
      <c r="A5339" s="2">
        <v>6864</v>
      </c>
      <c r="B5339" s="5" t="s">
        <v>13533</v>
      </c>
      <c r="C5339" s="32" t="s">
        <v>4394</v>
      </c>
      <c r="D5339" s="32" t="str">
        <f>"152326197612047149"</f>
        <v>152326197612047149</v>
      </c>
      <c r="E5339" s="5">
        <v>2020</v>
      </c>
      <c r="F5339" s="5">
        <v>2020</v>
      </c>
      <c r="G5339" s="9" t="s">
        <v>2480</v>
      </c>
      <c r="H5339" s="32">
        <v>200</v>
      </c>
      <c r="I5339" s="32">
        <v>200</v>
      </c>
      <c r="J5339" s="32"/>
      <c r="K5339" s="10"/>
      <c r="L5339" s="10">
        <v>20201118</v>
      </c>
      <c r="M5339" s="36" t="str">
        <f t="shared" si="83"/>
        <v>19761204</v>
      </c>
    </row>
    <row r="5340" s="1" customFormat="1" spans="1:13">
      <c r="A5340" s="2">
        <v>5899</v>
      </c>
      <c r="B5340" s="30" t="s">
        <v>11090</v>
      </c>
      <c r="C5340" s="30" t="s">
        <v>11850</v>
      </c>
      <c r="D5340" s="30" t="s">
        <v>11851</v>
      </c>
      <c r="E5340" s="5" t="s">
        <v>15</v>
      </c>
      <c r="F5340" s="5" t="s">
        <v>10250</v>
      </c>
      <c r="G5340" s="6" t="s">
        <v>16</v>
      </c>
      <c r="H5340" s="32">
        <v>200</v>
      </c>
      <c r="I5340" s="32">
        <v>200</v>
      </c>
      <c r="J5340" s="6" t="s">
        <v>6097</v>
      </c>
      <c r="K5340" s="48"/>
      <c r="L5340" s="10">
        <v>20201118</v>
      </c>
      <c r="M5340" s="36" t="str">
        <f t="shared" si="83"/>
        <v>19761206</v>
      </c>
    </row>
    <row r="5341" s="1" customFormat="1" spans="1:13">
      <c r="A5341" s="2">
        <v>1694</v>
      </c>
      <c r="B5341" s="5" t="s">
        <v>3381</v>
      </c>
      <c r="C5341" s="9" t="s">
        <v>3950</v>
      </c>
      <c r="D5341" s="9" t="s">
        <v>3951</v>
      </c>
      <c r="E5341" s="5">
        <v>2020</v>
      </c>
      <c r="F5341" s="5">
        <v>2020</v>
      </c>
      <c r="G5341" s="14" t="s">
        <v>16</v>
      </c>
      <c r="H5341" s="6">
        <v>200</v>
      </c>
      <c r="I5341" s="6">
        <v>200</v>
      </c>
      <c r="J5341" s="5"/>
      <c r="K5341" s="13"/>
      <c r="L5341" s="10">
        <v>20201118</v>
      </c>
      <c r="M5341" s="36" t="str">
        <f t="shared" si="83"/>
        <v>19761207</v>
      </c>
    </row>
    <row r="5342" s="1" customFormat="1" spans="1:13">
      <c r="A5342" s="2">
        <v>1695</v>
      </c>
      <c r="B5342" s="5" t="s">
        <v>3381</v>
      </c>
      <c r="C5342" s="9" t="s">
        <v>3952</v>
      </c>
      <c r="D5342" s="9" t="s">
        <v>3953</v>
      </c>
      <c r="E5342" s="5">
        <v>2020</v>
      </c>
      <c r="F5342" s="5">
        <v>2020</v>
      </c>
      <c r="G5342" s="14" t="s">
        <v>16</v>
      </c>
      <c r="H5342" s="6">
        <v>200</v>
      </c>
      <c r="I5342" s="6">
        <v>200</v>
      </c>
      <c r="J5342" s="5"/>
      <c r="K5342" s="13"/>
      <c r="L5342" s="10">
        <v>20201118</v>
      </c>
      <c r="M5342" s="36" t="str">
        <f t="shared" si="83"/>
        <v>19761207</v>
      </c>
    </row>
    <row r="5343" s="1" customFormat="1" spans="1:13">
      <c r="A5343" s="2">
        <v>7494</v>
      </c>
      <c r="B5343" s="5" t="s">
        <v>14402</v>
      </c>
      <c r="C5343" s="5" t="s">
        <v>14602</v>
      </c>
      <c r="D5343" s="5" t="s">
        <v>14603</v>
      </c>
      <c r="E5343" s="5">
        <v>2020</v>
      </c>
      <c r="F5343" s="5">
        <v>2020</v>
      </c>
      <c r="G5343" s="17" t="s">
        <v>16</v>
      </c>
      <c r="H5343" s="5">
        <v>200</v>
      </c>
      <c r="I5343" s="5">
        <v>200</v>
      </c>
      <c r="J5343" s="5"/>
      <c r="K5343" s="10"/>
      <c r="L5343" s="10">
        <v>20201118</v>
      </c>
      <c r="M5343" s="36" t="str">
        <f t="shared" si="83"/>
        <v>19761207</v>
      </c>
    </row>
    <row r="5344" s="1" customFormat="1" spans="1:13">
      <c r="A5344" s="2">
        <v>7495</v>
      </c>
      <c r="B5344" s="5" t="s">
        <v>14402</v>
      </c>
      <c r="C5344" s="5" t="s">
        <v>14604</v>
      </c>
      <c r="D5344" s="5" t="s">
        <v>14605</v>
      </c>
      <c r="E5344" s="5">
        <v>2020</v>
      </c>
      <c r="F5344" s="5">
        <v>2020</v>
      </c>
      <c r="G5344" s="17" t="s">
        <v>16</v>
      </c>
      <c r="H5344" s="5">
        <v>200</v>
      </c>
      <c r="I5344" s="5">
        <v>200</v>
      </c>
      <c r="J5344" s="5"/>
      <c r="K5344" s="10"/>
      <c r="L5344" s="10">
        <v>20201118</v>
      </c>
      <c r="M5344" s="36" t="str">
        <f t="shared" si="83"/>
        <v>19761207</v>
      </c>
    </row>
    <row r="5345" s="1" customFormat="1" spans="1:13">
      <c r="A5345" s="2">
        <v>495</v>
      </c>
      <c r="B5345" s="29" t="s">
        <v>1040</v>
      </c>
      <c r="C5345" s="29" t="s">
        <v>1267</v>
      </c>
      <c r="D5345" s="29" t="s">
        <v>1268</v>
      </c>
      <c r="E5345" s="30">
        <v>2020</v>
      </c>
      <c r="F5345" s="30">
        <v>2020</v>
      </c>
      <c r="G5345" s="29" t="s">
        <v>16</v>
      </c>
      <c r="H5345" s="29">
        <v>200</v>
      </c>
      <c r="I5345" s="29">
        <v>200</v>
      </c>
      <c r="J5345" s="29"/>
      <c r="K5345" s="47"/>
      <c r="L5345" s="14" t="s">
        <v>330</v>
      </c>
      <c r="M5345" s="36" t="str">
        <f t="shared" si="83"/>
        <v>19761208</v>
      </c>
    </row>
    <row r="5346" s="1" customFormat="1" spans="1:13">
      <c r="A5346" s="2">
        <v>172</v>
      </c>
      <c r="B5346" s="14" t="s">
        <v>327</v>
      </c>
      <c r="C5346" s="14" t="s">
        <v>404</v>
      </c>
      <c r="D5346" s="14" t="s">
        <v>405</v>
      </c>
      <c r="E5346" s="5">
        <v>2020</v>
      </c>
      <c r="F5346" s="5">
        <v>2020</v>
      </c>
      <c r="G5346" s="14" t="s">
        <v>16</v>
      </c>
      <c r="H5346" s="14">
        <v>200</v>
      </c>
      <c r="I5346" s="14">
        <v>200</v>
      </c>
      <c r="J5346" s="14"/>
      <c r="K5346" s="10"/>
      <c r="L5346" s="14" t="s">
        <v>330</v>
      </c>
      <c r="M5346" s="36" t="str">
        <f t="shared" si="83"/>
        <v>19761209</v>
      </c>
    </row>
    <row r="5347" s="1" customFormat="1" spans="1:13">
      <c r="A5347" s="2">
        <v>2307</v>
      </c>
      <c r="B5347" s="9" t="s">
        <v>4837</v>
      </c>
      <c r="C5347" s="9" t="s">
        <v>5154</v>
      </c>
      <c r="D5347" s="9" t="s">
        <v>5155</v>
      </c>
      <c r="E5347" s="6" t="s">
        <v>15</v>
      </c>
      <c r="F5347" s="6">
        <v>2020</v>
      </c>
      <c r="G5347" s="9" t="s">
        <v>2480</v>
      </c>
      <c r="H5347" s="9">
        <v>200</v>
      </c>
      <c r="I5347" s="9">
        <v>200</v>
      </c>
      <c r="J5347" s="6"/>
      <c r="K5347" s="10"/>
      <c r="L5347" s="10">
        <v>20201118</v>
      </c>
      <c r="M5347" s="36" t="str">
        <f t="shared" si="83"/>
        <v>19761209</v>
      </c>
    </row>
    <row r="5348" s="1" customFormat="1" spans="1:13">
      <c r="A5348" s="2">
        <v>3962</v>
      </c>
      <c r="B5348" s="5" t="s">
        <v>7412</v>
      </c>
      <c r="C5348" s="5" t="s">
        <v>8146</v>
      </c>
      <c r="D5348" s="5" t="s">
        <v>8147</v>
      </c>
      <c r="E5348" s="6">
        <v>2020</v>
      </c>
      <c r="F5348" s="6">
        <v>2020</v>
      </c>
      <c r="G5348" s="5" t="s">
        <v>3359</v>
      </c>
      <c r="H5348" s="5">
        <v>200</v>
      </c>
      <c r="I5348" s="5">
        <v>200</v>
      </c>
      <c r="J5348" s="5"/>
      <c r="K5348" s="5"/>
      <c r="L5348" s="10">
        <v>20201118</v>
      </c>
      <c r="M5348" s="36" t="str">
        <f t="shared" si="83"/>
        <v>19761209</v>
      </c>
    </row>
    <row r="5349" s="1" customFormat="1" spans="1:13">
      <c r="A5349" s="2">
        <v>7385</v>
      </c>
      <c r="B5349" s="5" t="s">
        <v>13908</v>
      </c>
      <c r="C5349" s="5" t="s">
        <v>14393</v>
      </c>
      <c r="D5349" s="5" t="s">
        <v>14394</v>
      </c>
      <c r="E5349" s="5" t="s">
        <v>15</v>
      </c>
      <c r="F5349" s="5" t="s">
        <v>15</v>
      </c>
      <c r="G5349" s="14" t="s">
        <v>295</v>
      </c>
      <c r="H5349" s="17">
        <v>200</v>
      </c>
      <c r="I5349" s="17">
        <v>200</v>
      </c>
      <c r="J5349" s="5"/>
      <c r="K5349" s="10"/>
      <c r="L5349" s="10">
        <v>20201118</v>
      </c>
      <c r="M5349" s="36" t="str">
        <f t="shared" si="83"/>
        <v>19761210</v>
      </c>
    </row>
    <row r="5350" s="1" customFormat="1" spans="1:13">
      <c r="A5350" s="2">
        <v>52</v>
      </c>
      <c r="B5350" s="31" t="s">
        <v>12</v>
      </c>
      <c r="C5350" s="17" t="s">
        <v>119</v>
      </c>
      <c r="D5350" s="17" t="s">
        <v>120</v>
      </c>
      <c r="E5350" s="3" t="s">
        <v>15</v>
      </c>
      <c r="F5350" s="3" t="s">
        <v>15</v>
      </c>
      <c r="G5350" s="2" t="s">
        <v>16</v>
      </c>
      <c r="H5350" s="17">
        <v>200</v>
      </c>
      <c r="I5350" s="17">
        <v>200</v>
      </c>
      <c r="J5350" s="17"/>
      <c r="K5350" s="17"/>
      <c r="L5350" s="10">
        <v>20201118</v>
      </c>
      <c r="M5350" s="36" t="str">
        <f t="shared" si="83"/>
        <v>19761213</v>
      </c>
    </row>
    <row r="5351" s="1" customFormat="1" spans="1:13">
      <c r="A5351" s="2">
        <v>1957</v>
      </c>
      <c r="B5351" s="5" t="s">
        <v>4189</v>
      </c>
      <c r="C5351" s="16" t="s">
        <v>4473</v>
      </c>
      <c r="D5351" s="16" t="s">
        <v>4474</v>
      </c>
      <c r="E5351" s="5" t="s">
        <v>15</v>
      </c>
      <c r="F5351" s="5" t="s">
        <v>15</v>
      </c>
      <c r="G5351" s="5" t="s">
        <v>3359</v>
      </c>
      <c r="H5351" s="16">
        <v>200</v>
      </c>
      <c r="I5351" s="16">
        <v>200</v>
      </c>
      <c r="J5351" s="5"/>
      <c r="K5351" s="10"/>
      <c r="L5351" s="10">
        <v>20201118</v>
      </c>
      <c r="M5351" s="36" t="str">
        <f t="shared" si="83"/>
        <v>19761214</v>
      </c>
    </row>
    <row r="5352" s="1" customFormat="1" spans="1:13">
      <c r="A5352" s="2">
        <v>1983</v>
      </c>
      <c r="B5352" s="5" t="s">
        <v>4189</v>
      </c>
      <c r="C5352" s="16" t="s">
        <v>4524</v>
      </c>
      <c r="D5352" s="16" t="s">
        <v>4525</v>
      </c>
      <c r="E5352" s="5" t="s">
        <v>15</v>
      </c>
      <c r="F5352" s="5" t="s">
        <v>15</v>
      </c>
      <c r="G5352" s="5" t="s">
        <v>3359</v>
      </c>
      <c r="H5352" s="16">
        <v>200</v>
      </c>
      <c r="I5352" s="16">
        <v>200</v>
      </c>
      <c r="J5352" s="5"/>
      <c r="K5352" s="10"/>
      <c r="L5352" s="10">
        <v>20201118</v>
      </c>
      <c r="M5352" s="36" t="str">
        <f t="shared" si="83"/>
        <v>19761216</v>
      </c>
    </row>
    <row r="5353" s="1" customFormat="1" spans="1:13">
      <c r="A5353" s="2">
        <v>7921</v>
      </c>
      <c r="B5353" s="5" t="s">
        <v>15086</v>
      </c>
      <c r="C5353" s="6" t="s">
        <v>2708</v>
      </c>
      <c r="D5353" s="6" t="str">
        <f>"152326197612176880"</f>
        <v>152326197612176880</v>
      </c>
      <c r="E5353" s="5" t="s">
        <v>15</v>
      </c>
      <c r="F5353" s="5">
        <v>2020</v>
      </c>
      <c r="G5353" s="5" t="s">
        <v>16</v>
      </c>
      <c r="H5353" s="5">
        <v>200</v>
      </c>
      <c r="I5353" s="5">
        <v>200</v>
      </c>
      <c r="J5353" s="5"/>
      <c r="K5353" s="5"/>
      <c r="L5353" s="10">
        <v>20201118</v>
      </c>
      <c r="M5353" s="36" t="str">
        <f t="shared" si="83"/>
        <v>19761217</v>
      </c>
    </row>
    <row r="5354" s="1" customFormat="1" spans="1:13">
      <c r="A5354" s="2">
        <v>7368</v>
      </c>
      <c r="B5354" s="5" t="s">
        <v>13908</v>
      </c>
      <c r="C5354" s="5" t="s">
        <v>14362</v>
      </c>
      <c r="D5354" s="5" t="s">
        <v>14363</v>
      </c>
      <c r="E5354" s="5" t="s">
        <v>15</v>
      </c>
      <c r="F5354" s="5" t="s">
        <v>15</v>
      </c>
      <c r="G5354" s="14" t="s">
        <v>16</v>
      </c>
      <c r="H5354" s="17">
        <v>200</v>
      </c>
      <c r="I5354" s="17">
        <v>200</v>
      </c>
      <c r="J5354" s="5"/>
      <c r="K5354" s="10"/>
      <c r="L5354" s="10">
        <v>20201118</v>
      </c>
      <c r="M5354" s="36" t="str">
        <f t="shared" si="83"/>
        <v>19761218</v>
      </c>
    </row>
    <row r="5355" s="1" customFormat="1" spans="1:13">
      <c r="A5355" s="2">
        <v>2482</v>
      </c>
      <c r="B5355" s="5" t="s">
        <v>5328</v>
      </c>
      <c r="C5355" s="16" t="s">
        <v>5500</v>
      </c>
      <c r="D5355" s="16" t="s">
        <v>5501</v>
      </c>
      <c r="E5355" s="5" t="s">
        <v>15</v>
      </c>
      <c r="F5355" s="5" t="s">
        <v>15</v>
      </c>
      <c r="G5355" s="14" t="s">
        <v>16</v>
      </c>
      <c r="H5355" s="6">
        <v>200</v>
      </c>
      <c r="I5355" s="6">
        <v>200</v>
      </c>
      <c r="J5355" s="5"/>
      <c r="K5355" s="5"/>
      <c r="L5355" s="10">
        <v>20201118</v>
      </c>
      <c r="M5355" s="36" t="str">
        <f t="shared" si="83"/>
        <v>19761221</v>
      </c>
    </row>
    <row r="5356" s="1" customFormat="1" ht="14.25" spans="1:13">
      <c r="A5356" s="2">
        <v>5377</v>
      </c>
      <c r="B5356" s="33" t="s">
        <v>10535</v>
      </c>
      <c r="C5356" s="34" t="s">
        <v>10863</v>
      </c>
      <c r="D5356" s="34" t="s">
        <v>10864</v>
      </c>
      <c r="E5356" s="35">
        <v>2020</v>
      </c>
      <c r="F5356" s="35">
        <v>2020</v>
      </c>
      <c r="G5356" s="35" t="s">
        <v>16</v>
      </c>
      <c r="H5356" s="34">
        <v>200</v>
      </c>
      <c r="I5356" s="34">
        <v>200</v>
      </c>
      <c r="J5356" s="49"/>
      <c r="K5356" s="10"/>
      <c r="L5356" s="10">
        <v>20201118</v>
      </c>
      <c r="M5356" s="36" t="str">
        <f t="shared" si="83"/>
        <v>19761222</v>
      </c>
    </row>
    <row r="5357" s="1" customFormat="1" spans="1:13">
      <c r="A5357" s="2">
        <v>14</v>
      </c>
      <c r="B5357" s="2" t="s">
        <v>12</v>
      </c>
      <c r="C5357" s="2" t="s">
        <v>42</v>
      </c>
      <c r="D5357" s="2" t="s">
        <v>43</v>
      </c>
      <c r="E5357" s="3" t="s">
        <v>15</v>
      </c>
      <c r="F5357" s="3" t="s">
        <v>15</v>
      </c>
      <c r="G5357" s="2" t="s">
        <v>16</v>
      </c>
      <c r="H5357" s="2">
        <v>200</v>
      </c>
      <c r="I5357" s="2">
        <v>200</v>
      </c>
      <c r="J5357" s="2"/>
      <c r="K5357" s="2"/>
      <c r="L5357" s="10">
        <v>20201118</v>
      </c>
      <c r="M5357" s="36" t="str">
        <f t="shared" si="83"/>
        <v>19761223</v>
      </c>
    </row>
    <row r="5358" s="1" customFormat="1" spans="1:13">
      <c r="A5358" s="2">
        <v>1178</v>
      </c>
      <c r="B5358" s="5" t="s">
        <v>2469</v>
      </c>
      <c r="C5358" s="9" t="s">
        <v>2940</v>
      </c>
      <c r="D5358" s="9" t="s">
        <v>2941</v>
      </c>
      <c r="E5358" s="5">
        <v>2020</v>
      </c>
      <c r="F5358" s="5">
        <v>2020</v>
      </c>
      <c r="G5358" s="9" t="s">
        <v>2480</v>
      </c>
      <c r="H5358" s="9">
        <v>200</v>
      </c>
      <c r="I5358" s="9">
        <v>200</v>
      </c>
      <c r="J5358" s="5"/>
      <c r="K5358" s="5"/>
      <c r="L5358" s="10">
        <v>20201118</v>
      </c>
      <c r="M5358" s="36" t="str">
        <f t="shared" si="83"/>
        <v>19761224</v>
      </c>
    </row>
    <row r="5359" s="1" customFormat="1" spans="1:13">
      <c r="A5359" s="2">
        <v>280</v>
      </c>
      <c r="B5359" s="14" t="s">
        <v>327</v>
      </c>
      <c r="C5359" s="17" t="s">
        <v>726</v>
      </c>
      <c r="D5359" s="306" t="s">
        <v>727</v>
      </c>
      <c r="E5359" s="5">
        <v>2020</v>
      </c>
      <c r="F5359" s="5">
        <v>2020</v>
      </c>
      <c r="G5359" s="14" t="s">
        <v>16</v>
      </c>
      <c r="H5359" s="17">
        <v>200</v>
      </c>
      <c r="I5359" s="17">
        <v>200</v>
      </c>
      <c r="J5359" s="17"/>
      <c r="K5359" s="10"/>
      <c r="L5359" s="14" t="s">
        <v>330</v>
      </c>
      <c r="M5359" s="36" t="str">
        <f t="shared" si="83"/>
        <v>19761225</v>
      </c>
    </row>
    <row r="5360" s="1" customFormat="1" spans="1:13">
      <c r="A5360" s="2">
        <v>755</v>
      </c>
      <c r="B5360" s="29" t="s">
        <v>1040</v>
      </c>
      <c r="C5360" s="5" t="s">
        <v>1915</v>
      </c>
      <c r="D5360" s="317" t="s">
        <v>1916</v>
      </c>
      <c r="E5360" s="30">
        <v>2020</v>
      </c>
      <c r="F5360" s="30">
        <v>2020</v>
      </c>
      <c r="G5360" s="29" t="s">
        <v>16</v>
      </c>
      <c r="H5360" s="29">
        <v>200</v>
      </c>
      <c r="I5360" s="29">
        <v>200</v>
      </c>
      <c r="J5360" s="32" t="s">
        <v>1082</v>
      </c>
      <c r="K5360" s="32"/>
      <c r="L5360" s="2" t="s">
        <v>330</v>
      </c>
      <c r="M5360" s="36" t="str">
        <f t="shared" si="83"/>
        <v>19761225</v>
      </c>
    </row>
    <row r="5361" s="1" customFormat="1" spans="1:13">
      <c r="A5361" s="2">
        <v>3963</v>
      </c>
      <c r="B5361" s="5" t="s">
        <v>7412</v>
      </c>
      <c r="C5361" s="5" t="s">
        <v>8148</v>
      </c>
      <c r="D5361" s="5" t="s">
        <v>8149</v>
      </c>
      <c r="E5361" s="6">
        <v>2020</v>
      </c>
      <c r="F5361" s="6">
        <v>2020</v>
      </c>
      <c r="G5361" s="5" t="s">
        <v>3359</v>
      </c>
      <c r="H5361" s="5">
        <v>200</v>
      </c>
      <c r="I5361" s="5">
        <v>200</v>
      </c>
      <c r="J5361" s="5"/>
      <c r="K5361" s="5"/>
      <c r="L5361" s="10">
        <v>20201118</v>
      </c>
      <c r="M5361" s="36" t="str">
        <f t="shared" si="83"/>
        <v>19761226</v>
      </c>
    </row>
    <row r="5362" s="1" customFormat="1" spans="1:13">
      <c r="A5362" s="2">
        <v>91</v>
      </c>
      <c r="B5362" s="3" t="s">
        <v>12</v>
      </c>
      <c r="C5362" s="6" t="s">
        <v>198</v>
      </c>
      <c r="D5362" s="6" t="s">
        <v>199</v>
      </c>
      <c r="E5362" s="3" t="s">
        <v>15</v>
      </c>
      <c r="F5362" s="3" t="s">
        <v>15</v>
      </c>
      <c r="G5362" s="2" t="s">
        <v>16</v>
      </c>
      <c r="H5362" s="3">
        <v>200</v>
      </c>
      <c r="I5362" s="3">
        <v>200</v>
      </c>
      <c r="J5362" s="3"/>
      <c r="K5362" s="3"/>
      <c r="L5362" s="10">
        <v>20201118</v>
      </c>
      <c r="M5362" s="36" t="str">
        <f t="shared" si="83"/>
        <v>19761228</v>
      </c>
    </row>
    <row r="5363" s="1" customFormat="1" spans="1:13">
      <c r="A5363" s="2">
        <v>6694</v>
      </c>
      <c r="B5363" s="5" t="s">
        <v>13027</v>
      </c>
      <c r="C5363" s="15" t="s">
        <v>13363</v>
      </c>
      <c r="D5363" s="15" t="s">
        <v>13364</v>
      </c>
      <c r="E5363" s="5">
        <v>2020</v>
      </c>
      <c r="F5363" s="5">
        <v>2020</v>
      </c>
      <c r="G5363" s="14" t="s">
        <v>16</v>
      </c>
      <c r="H5363" s="15">
        <v>200</v>
      </c>
      <c r="I5363" s="15">
        <v>200</v>
      </c>
      <c r="J5363" s="5"/>
      <c r="K5363" s="10"/>
      <c r="L5363" s="10">
        <v>20201118</v>
      </c>
      <c r="M5363" s="36" t="str">
        <f t="shared" si="83"/>
        <v>19761228</v>
      </c>
    </row>
    <row r="5364" s="1" customFormat="1" spans="1:13">
      <c r="A5364" s="2">
        <v>2112</v>
      </c>
      <c r="B5364" s="5" t="s">
        <v>4189</v>
      </c>
      <c r="C5364" s="9" t="s">
        <v>4774</v>
      </c>
      <c r="D5364" s="9" t="s">
        <v>4775</v>
      </c>
      <c r="E5364" s="5" t="s">
        <v>15</v>
      </c>
      <c r="F5364" s="5" t="s">
        <v>15</v>
      </c>
      <c r="G5364" s="5" t="s">
        <v>3359</v>
      </c>
      <c r="H5364" s="16">
        <v>200</v>
      </c>
      <c r="I5364" s="16">
        <v>200</v>
      </c>
      <c r="J5364" s="5"/>
      <c r="K5364" s="10"/>
      <c r="L5364" s="10">
        <v>20201118</v>
      </c>
      <c r="M5364" s="36" t="str">
        <f t="shared" si="83"/>
        <v>19761229</v>
      </c>
    </row>
    <row r="5365" s="1" customFormat="1" ht="14.25" spans="1:13">
      <c r="A5365" s="2">
        <v>7676</v>
      </c>
      <c r="B5365" s="5" t="s">
        <v>14875</v>
      </c>
      <c r="C5365" s="51" t="s">
        <v>14918</v>
      </c>
      <c r="D5365" s="24" t="str">
        <f>"152326197612297121"</f>
        <v>152326197612297121</v>
      </c>
      <c r="E5365" s="6" t="s">
        <v>15</v>
      </c>
      <c r="F5365" s="6">
        <v>2020</v>
      </c>
      <c r="G5365" s="24" t="s">
        <v>14877</v>
      </c>
      <c r="H5365" s="6">
        <v>200</v>
      </c>
      <c r="I5365" s="6">
        <v>200</v>
      </c>
      <c r="J5365" s="6"/>
      <c r="K5365" s="10"/>
      <c r="L5365" s="10">
        <v>20201118</v>
      </c>
      <c r="M5365" s="36" t="str">
        <f t="shared" si="83"/>
        <v>19761229</v>
      </c>
    </row>
    <row r="5366" s="1" customFormat="1" spans="1:13">
      <c r="A5366" s="2">
        <v>2679</v>
      </c>
      <c r="B5366" s="32" t="s">
        <v>5602</v>
      </c>
      <c r="C5366" s="9" t="s">
        <v>5891</v>
      </c>
      <c r="D5366" s="9" t="s">
        <v>5892</v>
      </c>
      <c r="E5366" s="32">
        <v>2020</v>
      </c>
      <c r="F5366" s="32">
        <v>2020</v>
      </c>
      <c r="G5366" s="32" t="s">
        <v>16</v>
      </c>
      <c r="H5366" s="9">
        <v>200</v>
      </c>
      <c r="I5366" s="9">
        <v>200</v>
      </c>
      <c r="J5366" s="32"/>
      <c r="K5366" s="52"/>
      <c r="L5366" s="10">
        <v>20201118</v>
      </c>
      <c r="M5366" s="36" t="str">
        <f t="shared" si="83"/>
        <v>19761230</v>
      </c>
    </row>
    <row r="5367" s="1" customFormat="1" spans="1:13">
      <c r="A5367" s="2">
        <v>4860</v>
      </c>
      <c r="B5367" s="6" t="s">
        <v>9015</v>
      </c>
      <c r="C5367" s="6" t="s">
        <v>9863</v>
      </c>
      <c r="D5367" s="293" t="s">
        <v>9864</v>
      </c>
      <c r="E5367" s="6">
        <v>2020</v>
      </c>
      <c r="F5367" s="6">
        <v>2020</v>
      </c>
      <c r="G5367" s="6" t="s">
        <v>16</v>
      </c>
      <c r="H5367" s="6">
        <v>200</v>
      </c>
      <c r="I5367" s="6">
        <v>200</v>
      </c>
      <c r="J5367" s="6"/>
      <c r="K5367" s="6"/>
      <c r="L5367" s="10">
        <v>20201118</v>
      </c>
      <c r="M5367" s="36" t="str">
        <f t="shared" si="83"/>
        <v>19770101</v>
      </c>
    </row>
    <row r="5368" s="1" customFormat="1" spans="1:13">
      <c r="A5368" s="2">
        <v>5559</v>
      </c>
      <c r="B5368" s="30" t="s">
        <v>11090</v>
      </c>
      <c r="C5368" s="30" t="s">
        <v>11213</v>
      </c>
      <c r="D5368" s="30" t="s">
        <v>11214</v>
      </c>
      <c r="E5368" s="5" t="s">
        <v>15</v>
      </c>
      <c r="F5368" s="5" t="s">
        <v>10250</v>
      </c>
      <c r="G5368" s="6" t="s">
        <v>16</v>
      </c>
      <c r="H5368" s="32">
        <v>200</v>
      </c>
      <c r="I5368" s="32">
        <v>200</v>
      </c>
      <c r="J5368" s="6"/>
      <c r="K5368" s="48"/>
      <c r="L5368" s="10">
        <v>20201118</v>
      </c>
      <c r="M5368" s="36" t="str">
        <f t="shared" si="83"/>
        <v>19770101</v>
      </c>
    </row>
    <row r="5369" s="1" customFormat="1" spans="1:13">
      <c r="A5369" s="2">
        <v>1179</v>
      </c>
      <c r="B5369" s="5" t="s">
        <v>2469</v>
      </c>
      <c r="C5369" s="9" t="s">
        <v>2942</v>
      </c>
      <c r="D5369" s="9" t="s">
        <v>2943</v>
      </c>
      <c r="E5369" s="5">
        <v>2020</v>
      </c>
      <c r="F5369" s="5">
        <v>2020</v>
      </c>
      <c r="G5369" s="9" t="s">
        <v>2480</v>
      </c>
      <c r="H5369" s="9">
        <v>200</v>
      </c>
      <c r="I5369" s="9">
        <v>200</v>
      </c>
      <c r="J5369" s="5"/>
      <c r="K5369" s="5"/>
      <c r="L5369" s="10">
        <v>20201118</v>
      </c>
      <c r="M5369" s="36" t="str">
        <f t="shared" si="83"/>
        <v>19770102</v>
      </c>
    </row>
    <row r="5370" s="1" customFormat="1" spans="1:13">
      <c r="A5370" s="2">
        <v>2680</v>
      </c>
      <c r="B5370" s="32" t="s">
        <v>5602</v>
      </c>
      <c r="C5370" s="9" t="s">
        <v>5893</v>
      </c>
      <c r="D5370" s="9" t="s">
        <v>5894</v>
      </c>
      <c r="E5370" s="32">
        <v>2020</v>
      </c>
      <c r="F5370" s="32">
        <v>2020</v>
      </c>
      <c r="G5370" s="32" t="s">
        <v>16</v>
      </c>
      <c r="H5370" s="9">
        <v>200</v>
      </c>
      <c r="I5370" s="9">
        <v>200</v>
      </c>
      <c r="J5370" s="32"/>
      <c r="K5370" s="52"/>
      <c r="L5370" s="10">
        <v>20201118</v>
      </c>
      <c r="M5370" s="36" t="str">
        <f t="shared" si="83"/>
        <v>19770102</v>
      </c>
    </row>
    <row r="5371" s="1" customFormat="1" spans="1:13">
      <c r="A5371" s="2">
        <v>6282</v>
      </c>
      <c r="B5371" s="5" t="s">
        <v>12263</v>
      </c>
      <c r="C5371" s="5" t="s">
        <v>12585</v>
      </c>
      <c r="D5371" s="5" t="s">
        <v>12586</v>
      </c>
      <c r="E5371" s="5" t="s">
        <v>10250</v>
      </c>
      <c r="F5371" s="5">
        <v>2020</v>
      </c>
      <c r="G5371" s="17" t="s">
        <v>3359</v>
      </c>
      <c r="H5371" s="5">
        <v>300</v>
      </c>
      <c r="I5371" s="5">
        <v>300</v>
      </c>
      <c r="J5371" s="5" t="s">
        <v>5331</v>
      </c>
      <c r="K5371" s="5"/>
      <c r="L5371" s="10">
        <v>20201118</v>
      </c>
      <c r="M5371" s="36" t="str">
        <f t="shared" si="83"/>
        <v>19770103</v>
      </c>
    </row>
    <row r="5372" s="1" customFormat="1" spans="1:13">
      <c r="A5372" s="2">
        <v>1180</v>
      </c>
      <c r="B5372" s="5" t="s">
        <v>2469</v>
      </c>
      <c r="C5372" s="9" t="s">
        <v>2944</v>
      </c>
      <c r="D5372" s="9" t="s">
        <v>2945</v>
      </c>
      <c r="E5372" s="5">
        <v>2020</v>
      </c>
      <c r="F5372" s="5">
        <v>2020</v>
      </c>
      <c r="G5372" s="9" t="s">
        <v>2480</v>
      </c>
      <c r="H5372" s="9">
        <v>200</v>
      </c>
      <c r="I5372" s="9">
        <v>200</v>
      </c>
      <c r="J5372" s="5"/>
      <c r="K5372" s="5"/>
      <c r="L5372" s="10">
        <v>20201118</v>
      </c>
      <c r="M5372" s="36" t="str">
        <f t="shared" si="83"/>
        <v>19770104</v>
      </c>
    </row>
    <row r="5373" s="1" customFormat="1" ht="14.25" spans="1:13">
      <c r="A5373" s="2">
        <v>5378</v>
      </c>
      <c r="B5373" s="33" t="s">
        <v>10535</v>
      </c>
      <c r="C5373" s="34" t="s">
        <v>10865</v>
      </c>
      <c r="D5373" s="34" t="s">
        <v>10866</v>
      </c>
      <c r="E5373" s="35">
        <v>2020</v>
      </c>
      <c r="F5373" s="35">
        <v>2020</v>
      </c>
      <c r="G5373" s="35" t="s">
        <v>16</v>
      </c>
      <c r="H5373" s="34">
        <v>3000</v>
      </c>
      <c r="I5373" s="34">
        <v>3000</v>
      </c>
      <c r="J5373" s="49"/>
      <c r="K5373" s="10"/>
      <c r="L5373" s="10">
        <v>20201118</v>
      </c>
      <c r="M5373" s="36" t="str">
        <f t="shared" si="83"/>
        <v>19770104</v>
      </c>
    </row>
    <row r="5374" s="1" customFormat="1" spans="1:13">
      <c r="A5374" s="2">
        <v>4787</v>
      </c>
      <c r="B5374" s="6" t="s">
        <v>9015</v>
      </c>
      <c r="C5374" s="6" t="s">
        <v>9725</v>
      </c>
      <c r="D5374" s="6" t="s">
        <v>9726</v>
      </c>
      <c r="E5374" s="6">
        <v>2020</v>
      </c>
      <c r="F5374" s="6">
        <v>2020</v>
      </c>
      <c r="G5374" s="6" t="s">
        <v>16</v>
      </c>
      <c r="H5374" s="6">
        <v>200</v>
      </c>
      <c r="I5374" s="6">
        <v>200</v>
      </c>
      <c r="J5374" s="6"/>
      <c r="K5374" s="6"/>
      <c r="L5374" s="10">
        <v>20201118</v>
      </c>
      <c r="M5374" s="36" t="str">
        <f t="shared" si="83"/>
        <v>19770105</v>
      </c>
    </row>
    <row r="5375" s="1" customFormat="1" spans="1:13">
      <c r="A5375" s="2">
        <v>6860</v>
      </c>
      <c r="B5375" s="5" t="s">
        <v>13533</v>
      </c>
      <c r="C5375" s="32" t="s">
        <v>13611</v>
      </c>
      <c r="D5375" s="32" t="str">
        <f>"152326197701057111"</f>
        <v>152326197701057111</v>
      </c>
      <c r="E5375" s="5">
        <v>2020</v>
      </c>
      <c r="F5375" s="5">
        <v>2020</v>
      </c>
      <c r="G5375" s="9" t="s">
        <v>2480</v>
      </c>
      <c r="H5375" s="32">
        <v>200</v>
      </c>
      <c r="I5375" s="32">
        <v>200</v>
      </c>
      <c r="J5375" s="32"/>
      <c r="K5375" s="10"/>
      <c r="L5375" s="10">
        <v>20201118</v>
      </c>
      <c r="M5375" s="36" t="str">
        <f t="shared" si="83"/>
        <v>19770105</v>
      </c>
    </row>
    <row r="5376" s="1" customFormat="1" ht="14.25" spans="1:13">
      <c r="A5376" s="2">
        <v>5379</v>
      </c>
      <c r="B5376" s="33" t="s">
        <v>10535</v>
      </c>
      <c r="C5376" s="34" t="s">
        <v>8086</v>
      </c>
      <c r="D5376" s="34" t="s">
        <v>10867</v>
      </c>
      <c r="E5376" s="35">
        <v>2020</v>
      </c>
      <c r="F5376" s="35">
        <v>2020</v>
      </c>
      <c r="G5376" s="35" t="s">
        <v>16</v>
      </c>
      <c r="H5376" s="34">
        <v>200</v>
      </c>
      <c r="I5376" s="34">
        <v>200</v>
      </c>
      <c r="J5376" s="49"/>
      <c r="K5376" s="10"/>
      <c r="L5376" s="10">
        <v>20201118</v>
      </c>
      <c r="M5376" s="36" t="str">
        <f t="shared" si="83"/>
        <v>19770106</v>
      </c>
    </row>
    <row r="5377" s="1" customFormat="1" spans="1:13">
      <c r="A5377" s="2">
        <v>6695</v>
      </c>
      <c r="B5377" s="5" t="s">
        <v>13027</v>
      </c>
      <c r="C5377" s="15" t="s">
        <v>13365</v>
      </c>
      <c r="D5377" s="15" t="s">
        <v>13366</v>
      </c>
      <c r="E5377" s="5">
        <v>2020</v>
      </c>
      <c r="F5377" s="5">
        <v>2020</v>
      </c>
      <c r="G5377" s="14" t="s">
        <v>16</v>
      </c>
      <c r="H5377" s="15">
        <v>200</v>
      </c>
      <c r="I5377" s="15">
        <v>200</v>
      </c>
      <c r="J5377" s="5"/>
      <c r="K5377" s="10"/>
      <c r="L5377" s="10">
        <v>20201118</v>
      </c>
      <c r="M5377" s="36" t="str">
        <f t="shared" si="83"/>
        <v>19770106</v>
      </c>
    </row>
    <row r="5378" s="1" customFormat="1" spans="1:13">
      <c r="A5378" s="2">
        <v>5043</v>
      </c>
      <c r="B5378" s="6" t="s">
        <v>9954</v>
      </c>
      <c r="C5378" s="60" t="s">
        <v>10219</v>
      </c>
      <c r="D5378" s="60" t="s">
        <v>10220</v>
      </c>
      <c r="E5378" s="5" t="s">
        <v>15</v>
      </c>
      <c r="F5378" s="5" t="s">
        <v>15</v>
      </c>
      <c r="G5378" s="14" t="s">
        <v>16</v>
      </c>
      <c r="H5378" s="6">
        <v>200</v>
      </c>
      <c r="I5378" s="6">
        <v>200</v>
      </c>
      <c r="J5378" s="6"/>
      <c r="K5378" s="6"/>
      <c r="L5378" s="10">
        <v>20201118</v>
      </c>
      <c r="M5378" s="36" t="str">
        <f t="shared" ref="M5378:M5441" si="84">MID(D5378,7,8)</f>
        <v>19770108</v>
      </c>
    </row>
    <row r="5379" s="1" customFormat="1" spans="1:13">
      <c r="A5379" s="2">
        <v>5058</v>
      </c>
      <c r="B5379" s="6" t="s">
        <v>10242</v>
      </c>
      <c r="C5379" s="9" t="s">
        <v>10253</v>
      </c>
      <c r="D5379" s="9" t="s">
        <v>10254</v>
      </c>
      <c r="E5379" s="5" t="s">
        <v>10250</v>
      </c>
      <c r="F5379" s="5">
        <v>2020</v>
      </c>
      <c r="G5379" s="6" t="s">
        <v>16</v>
      </c>
      <c r="H5379" s="6">
        <v>200</v>
      </c>
      <c r="I5379" s="6">
        <v>200</v>
      </c>
      <c r="J5379" s="6"/>
      <c r="K5379" s="5"/>
      <c r="L5379" s="10">
        <v>20201118</v>
      </c>
      <c r="M5379" s="36" t="str">
        <f t="shared" si="84"/>
        <v>19770108</v>
      </c>
    </row>
    <row r="5380" s="1" customFormat="1" spans="1:13">
      <c r="A5380" s="2">
        <v>7339</v>
      </c>
      <c r="B5380" s="5" t="s">
        <v>13908</v>
      </c>
      <c r="C5380" s="5" t="s">
        <v>14310</v>
      </c>
      <c r="D5380" s="5" t="s">
        <v>14311</v>
      </c>
      <c r="E5380" s="5" t="s">
        <v>15</v>
      </c>
      <c r="F5380" s="5" t="s">
        <v>15</v>
      </c>
      <c r="G5380" s="14" t="s">
        <v>16</v>
      </c>
      <c r="H5380" s="17">
        <v>200</v>
      </c>
      <c r="I5380" s="17">
        <v>200</v>
      </c>
      <c r="J5380" s="5"/>
      <c r="K5380" s="10"/>
      <c r="L5380" s="10">
        <v>20201118</v>
      </c>
      <c r="M5380" s="36" t="str">
        <f t="shared" si="84"/>
        <v>19770108</v>
      </c>
    </row>
    <row r="5381" s="1" customFormat="1" spans="1:13">
      <c r="A5381" s="2">
        <v>3964</v>
      </c>
      <c r="B5381" s="5" t="s">
        <v>7412</v>
      </c>
      <c r="C5381" s="5" t="s">
        <v>8150</v>
      </c>
      <c r="D5381" s="5" t="s">
        <v>8151</v>
      </c>
      <c r="E5381" s="6">
        <v>2020</v>
      </c>
      <c r="F5381" s="6">
        <v>2020</v>
      </c>
      <c r="G5381" s="5" t="s">
        <v>3359</v>
      </c>
      <c r="H5381" s="5">
        <v>200</v>
      </c>
      <c r="I5381" s="5">
        <v>200</v>
      </c>
      <c r="J5381" s="5"/>
      <c r="K5381" s="5"/>
      <c r="L5381" s="10">
        <v>20201118</v>
      </c>
      <c r="M5381" s="36" t="str">
        <f t="shared" si="84"/>
        <v>19770109</v>
      </c>
    </row>
    <row r="5382" s="1" customFormat="1" spans="1:13">
      <c r="A5382" s="2">
        <v>5059</v>
      </c>
      <c r="B5382" s="6" t="s">
        <v>10242</v>
      </c>
      <c r="C5382" s="9" t="s">
        <v>10255</v>
      </c>
      <c r="D5382" s="9" t="s">
        <v>10256</v>
      </c>
      <c r="E5382" s="5" t="s">
        <v>10250</v>
      </c>
      <c r="F5382" s="5">
        <v>2020</v>
      </c>
      <c r="G5382" s="6" t="s">
        <v>16</v>
      </c>
      <c r="H5382" s="6">
        <v>200</v>
      </c>
      <c r="I5382" s="6">
        <v>200</v>
      </c>
      <c r="J5382" s="6"/>
      <c r="K5382" s="5"/>
      <c r="L5382" s="10">
        <v>20201118</v>
      </c>
      <c r="M5382" s="36" t="str">
        <f t="shared" si="84"/>
        <v>19770109</v>
      </c>
    </row>
    <row r="5383" s="1" customFormat="1" spans="1:13">
      <c r="A5383" s="2">
        <v>7488</v>
      </c>
      <c r="B5383" s="5" t="s">
        <v>14402</v>
      </c>
      <c r="C5383" s="5" t="s">
        <v>14590</v>
      </c>
      <c r="D5383" s="5" t="s">
        <v>14591</v>
      </c>
      <c r="E5383" s="5">
        <v>2020</v>
      </c>
      <c r="F5383" s="5">
        <v>2020</v>
      </c>
      <c r="G5383" s="17" t="s">
        <v>16</v>
      </c>
      <c r="H5383" s="5">
        <v>500</v>
      </c>
      <c r="I5383" s="5">
        <v>500</v>
      </c>
      <c r="J5383" s="5"/>
      <c r="K5383" s="10"/>
      <c r="L5383" s="10">
        <v>20201118</v>
      </c>
      <c r="M5383" s="36" t="str">
        <f t="shared" si="84"/>
        <v>19770109</v>
      </c>
    </row>
    <row r="5384" s="1" customFormat="1" ht="14.25" spans="1:13">
      <c r="A5384" s="2">
        <v>2999</v>
      </c>
      <c r="B5384" s="6" t="s">
        <v>6075</v>
      </c>
      <c r="C5384" s="25" t="s">
        <v>6523</v>
      </c>
      <c r="D5384" s="26" t="s">
        <v>6524</v>
      </c>
      <c r="E5384" s="5" t="s">
        <v>15</v>
      </c>
      <c r="F5384" s="5">
        <v>2020</v>
      </c>
      <c r="G5384" s="6" t="s">
        <v>16</v>
      </c>
      <c r="H5384" s="6">
        <v>200</v>
      </c>
      <c r="I5384" s="6">
        <v>200</v>
      </c>
      <c r="J5384" s="6"/>
      <c r="K5384" s="10"/>
      <c r="L5384" s="10">
        <v>20201118</v>
      </c>
      <c r="M5384" s="36" t="str">
        <f t="shared" si="84"/>
        <v>19770111</v>
      </c>
    </row>
    <row r="5385" s="1" customFormat="1" spans="1:13">
      <c r="A5385" s="2">
        <v>6857</v>
      </c>
      <c r="B5385" s="5" t="s">
        <v>13533</v>
      </c>
      <c r="C5385" s="32" t="s">
        <v>13608</v>
      </c>
      <c r="D5385" s="32" t="str">
        <f>"152326197701124089"</f>
        <v>152326197701124089</v>
      </c>
      <c r="E5385" s="5">
        <v>2020</v>
      </c>
      <c r="F5385" s="5">
        <v>2020</v>
      </c>
      <c r="G5385" s="9" t="s">
        <v>2480</v>
      </c>
      <c r="H5385" s="32">
        <v>200</v>
      </c>
      <c r="I5385" s="32">
        <v>200</v>
      </c>
      <c r="J5385" s="32"/>
      <c r="K5385" s="10"/>
      <c r="L5385" s="10">
        <v>20201118</v>
      </c>
      <c r="M5385" s="36" t="str">
        <f t="shared" si="84"/>
        <v>19770112</v>
      </c>
    </row>
    <row r="5386" s="1" customFormat="1" ht="14.25" spans="1:13">
      <c r="A5386" s="2">
        <v>3055</v>
      </c>
      <c r="B5386" s="6" t="s">
        <v>6075</v>
      </c>
      <c r="C5386" s="25" t="s">
        <v>1526</v>
      </c>
      <c r="D5386" s="26" t="s">
        <v>6633</v>
      </c>
      <c r="E5386" s="5" t="s">
        <v>15</v>
      </c>
      <c r="F5386" s="5">
        <v>2020</v>
      </c>
      <c r="G5386" s="6" t="s">
        <v>16</v>
      </c>
      <c r="H5386" s="6">
        <v>200</v>
      </c>
      <c r="I5386" s="6">
        <v>200</v>
      </c>
      <c r="J5386" s="6"/>
      <c r="K5386" s="10"/>
      <c r="L5386" s="10">
        <v>20201118</v>
      </c>
      <c r="M5386" s="36" t="str">
        <f t="shared" si="84"/>
        <v>19770116</v>
      </c>
    </row>
    <row r="5387" s="1" customFormat="1" spans="1:13">
      <c r="A5387" s="2">
        <v>4600</v>
      </c>
      <c r="B5387" s="6" t="s">
        <v>9015</v>
      </c>
      <c r="C5387" s="6" t="s">
        <v>9372</v>
      </c>
      <c r="D5387" s="6" t="s">
        <v>9373</v>
      </c>
      <c r="E5387" s="6">
        <v>2020</v>
      </c>
      <c r="F5387" s="6">
        <v>2020</v>
      </c>
      <c r="G5387" s="6" t="s">
        <v>16</v>
      </c>
      <c r="H5387" s="6">
        <v>200</v>
      </c>
      <c r="I5387" s="6">
        <v>200</v>
      </c>
      <c r="J5387" s="6"/>
      <c r="K5387" s="6"/>
      <c r="L5387" s="10">
        <v>20201118</v>
      </c>
      <c r="M5387" s="36" t="str">
        <f t="shared" si="84"/>
        <v>19770116</v>
      </c>
    </row>
    <row r="5388" s="1" customFormat="1" spans="1:13">
      <c r="A5388" s="2">
        <v>7624</v>
      </c>
      <c r="B5388" s="5" t="s">
        <v>14402</v>
      </c>
      <c r="C5388" s="5" t="s">
        <v>14845</v>
      </c>
      <c r="D5388" s="5" t="s">
        <v>14846</v>
      </c>
      <c r="E5388" s="5">
        <v>2020</v>
      </c>
      <c r="F5388" s="5">
        <v>2020</v>
      </c>
      <c r="G5388" s="17" t="s">
        <v>16</v>
      </c>
      <c r="H5388" s="5">
        <v>500</v>
      </c>
      <c r="I5388" s="5">
        <v>500</v>
      </c>
      <c r="J5388" s="5"/>
      <c r="K5388" s="10"/>
      <c r="L5388" s="10">
        <v>20201118</v>
      </c>
      <c r="M5388" s="36" t="str">
        <f t="shared" si="84"/>
        <v>19770116</v>
      </c>
    </row>
    <row r="5389" s="1" customFormat="1" spans="1:13">
      <c r="A5389" s="2">
        <v>3334</v>
      </c>
      <c r="B5389" s="5" t="s">
        <v>3375</v>
      </c>
      <c r="C5389" s="6" t="s">
        <v>7109</v>
      </c>
      <c r="D5389" s="6" t="str">
        <f>"152326197701176874"</f>
        <v>152326197701176874</v>
      </c>
      <c r="E5389" s="5" t="s">
        <v>15</v>
      </c>
      <c r="F5389" s="5">
        <v>2020</v>
      </c>
      <c r="G5389" s="14" t="s">
        <v>16</v>
      </c>
      <c r="H5389" s="17">
        <v>200</v>
      </c>
      <c r="I5389" s="17">
        <v>200</v>
      </c>
      <c r="J5389" s="6"/>
      <c r="K5389" s="10"/>
      <c r="L5389" s="10">
        <v>20201118</v>
      </c>
      <c r="M5389" s="36" t="str">
        <f t="shared" si="84"/>
        <v>19770117</v>
      </c>
    </row>
    <row r="5390" s="1" customFormat="1" spans="1:13">
      <c r="A5390" s="2">
        <v>3965</v>
      </c>
      <c r="B5390" s="5" t="s">
        <v>7412</v>
      </c>
      <c r="C5390" s="5" t="s">
        <v>8152</v>
      </c>
      <c r="D5390" s="5" t="s">
        <v>8153</v>
      </c>
      <c r="E5390" s="6">
        <v>2020</v>
      </c>
      <c r="F5390" s="6">
        <v>2020</v>
      </c>
      <c r="G5390" s="5" t="s">
        <v>3359</v>
      </c>
      <c r="H5390" s="5">
        <v>200</v>
      </c>
      <c r="I5390" s="5">
        <v>200</v>
      </c>
      <c r="J5390" s="5"/>
      <c r="K5390" s="5"/>
      <c r="L5390" s="10">
        <v>20201118</v>
      </c>
      <c r="M5390" s="36" t="str">
        <f t="shared" si="84"/>
        <v>19770117</v>
      </c>
    </row>
    <row r="5391" s="1" customFormat="1" ht="14.25" spans="1:13">
      <c r="A5391" s="2">
        <v>5380</v>
      </c>
      <c r="B5391" s="33" t="s">
        <v>10535</v>
      </c>
      <c r="C5391" s="34" t="s">
        <v>10868</v>
      </c>
      <c r="D5391" s="34" t="s">
        <v>10869</v>
      </c>
      <c r="E5391" s="35">
        <v>2020</v>
      </c>
      <c r="F5391" s="35">
        <v>2020</v>
      </c>
      <c r="G5391" s="35" t="s">
        <v>16</v>
      </c>
      <c r="H5391" s="34">
        <v>500</v>
      </c>
      <c r="I5391" s="34">
        <v>500</v>
      </c>
      <c r="J5391" s="49"/>
      <c r="K5391" s="10"/>
      <c r="L5391" s="10">
        <v>20201118</v>
      </c>
      <c r="M5391" s="36" t="str">
        <f t="shared" si="84"/>
        <v>19770117</v>
      </c>
    </row>
    <row r="5392" s="1" customFormat="1" spans="1:13">
      <c r="A5392" s="2">
        <v>7493</v>
      </c>
      <c r="B5392" s="62" t="s">
        <v>14402</v>
      </c>
      <c r="C5392" s="62" t="s">
        <v>14600</v>
      </c>
      <c r="D5392" s="62" t="s">
        <v>14601</v>
      </c>
      <c r="E5392" s="62">
        <v>2020</v>
      </c>
      <c r="F5392" s="62">
        <v>2020</v>
      </c>
      <c r="G5392" s="3" t="s">
        <v>16</v>
      </c>
      <c r="H5392" s="62">
        <v>200</v>
      </c>
      <c r="I5392" s="62">
        <v>200</v>
      </c>
      <c r="J5392" s="62"/>
      <c r="K5392" s="10"/>
      <c r="L5392" s="10">
        <v>20201118</v>
      </c>
      <c r="M5392" s="36" t="str">
        <f t="shared" si="84"/>
        <v>19770119</v>
      </c>
    </row>
    <row r="5393" s="1" customFormat="1" ht="14.25" spans="1:13">
      <c r="A5393" s="2">
        <v>3048</v>
      </c>
      <c r="B5393" s="6" t="s">
        <v>6075</v>
      </c>
      <c r="C5393" s="25" t="s">
        <v>6619</v>
      </c>
      <c r="D5393" s="26" t="s">
        <v>6620</v>
      </c>
      <c r="E5393" s="5" t="s">
        <v>15</v>
      </c>
      <c r="F5393" s="5">
        <v>2020</v>
      </c>
      <c r="G5393" s="6" t="s">
        <v>16</v>
      </c>
      <c r="H5393" s="6">
        <v>500</v>
      </c>
      <c r="I5393" s="6">
        <v>500</v>
      </c>
      <c r="J5393" s="6"/>
      <c r="K5393" s="10"/>
      <c r="L5393" s="10">
        <v>20201118</v>
      </c>
      <c r="M5393" s="36" t="str">
        <f t="shared" si="84"/>
        <v>19770120</v>
      </c>
    </row>
    <row r="5394" s="1" customFormat="1" spans="1:13">
      <c r="A5394" s="2">
        <v>3966</v>
      </c>
      <c r="B5394" s="5" t="s">
        <v>7412</v>
      </c>
      <c r="C5394" s="5" t="s">
        <v>8154</v>
      </c>
      <c r="D5394" s="5" t="s">
        <v>8155</v>
      </c>
      <c r="E5394" s="6">
        <v>2020</v>
      </c>
      <c r="F5394" s="6">
        <v>2020</v>
      </c>
      <c r="G5394" s="5" t="s">
        <v>3359</v>
      </c>
      <c r="H5394" s="5">
        <v>200</v>
      </c>
      <c r="I5394" s="5">
        <v>200</v>
      </c>
      <c r="J5394" s="5"/>
      <c r="K5394" s="5"/>
      <c r="L5394" s="10">
        <v>20201118</v>
      </c>
      <c r="M5394" s="36" t="str">
        <f t="shared" si="84"/>
        <v>19770120</v>
      </c>
    </row>
    <row r="5395" s="1" customFormat="1" spans="1:13">
      <c r="A5395" s="2">
        <v>6696</v>
      </c>
      <c r="B5395" s="5" t="s">
        <v>13027</v>
      </c>
      <c r="C5395" s="15" t="s">
        <v>13367</v>
      </c>
      <c r="D5395" s="15" t="s">
        <v>13368</v>
      </c>
      <c r="E5395" s="5">
        <v>2020</v>
      </c>
      <c r="F5395" s="5">
        <v>2020</v>
      </c>
      <c r="G5395" s="14" t="s">
        <v>16</v>
      </c>
      <c r="H5395" s="15">
        <v>200</v>
      </c>
      <c r="I5395" s="15">
        <v>200</v>
      </c>
      <c r="J5395" s="5"/>
      <c r="K5395" s="10"/>
      <c r="L5395" s="10">
        <v>20201118</v>
      </c>
      <c r="M5395" s="36" t="str">
        <f t="shared" si="84"/>
        <v>19770120</v>
      </c>
    </row>
    <row r="5396" s="1" customFormat="1" spans="1:13">
      <c r="A5396" s="2">
        <v>6781</v>
      </c>
      <c r="B5396" s="5" t="s">
        <v>13027</v>
      </c>
      <c r="C5396" s="15" t="s">
        <v>13522</v>
      </c>
      <c r="D5396" s="16" t="s">
        <v>13523</v>
      </c>
      <c r="E5396" s="5">
        <v>2020</v>
      </c>
      <c r="F5396" s="5">
        <v>2020</v>
      </c>
      <c r="G5396" s="14" t="s">
        <v>295</v>
      </c>
      <c r="H5396" s="15">
        <v>200</v>
      </c>
      <c r="I5396" s="15">
        <v>200</v>
      </c>
      <c r="J5396" s="5"/>
      <c r="K5396" s="10"/>
      <c r="L5396" s="10">
        <v>20201118</v>
      </c>
      <c r="M5396" s="36" t="str">
        <f t="shared" si="84"/>
        <v>19770123</v>
      </c>
    </row>
    <row r="5397" s="1" customFormat="1" spans="1:13">
      <c r="A5397" s="2">
        <v>3335</v>
      </c>
      <c r="B5397" s="5" t="s">
        <v>3375</v>
      </c>
      <c r="C5397" s="6" t="s">
        <v>1158</v>
      </c>
      <c r="D5397" s="6" t="str">
        <f>"152326197701246879"</f>
        <v>152326197701246879</v>
      </c>
      <c r="E5397" s="5" t="s">
        <v>15</v>
      </c>
      <c r="F5397" s="5">
        <v>2020</v>
      </c>
      <c r="G5397" s="14" t="s">
        <v>16</v>
      </c>
      <c r="H5397" s="17">
        <v>200</v>
      </c>
      <c r="I5397" s="17">
        <v>200</v>
      </c>
      <c r="J5397" s="6"/>
      <c r="K5397" s="10"/>
      <c r="L5397" s="10">
        <v>20201118</v>
      </c>
      <c r="M5397" s="36" t="str">
        <f t="shared" si="84"/>
        <v>19770124</v>
      </c>
    </row>
    <row r="5398" s="1" customFormat="1" spans="1:13">
      <c r="A5398" s="2">
        <v>6697</v>
      </c>
      <c r="B5398" s="5" t="s">
        <v>13027</v>
      </c>
      <c r="C5398" s="15" t="s">
        <v>4697</v>
      </c>
      <c r="D5398" s="15" t="s">
        <v>13369</v>
      </c>
      <c r="E5398" s="5">
        <v>2020</v>
      </c>
      <c r="F5398" s="5">
        <v>2020</v>
      </c>
      <c r="G5398" s="14" t="s">
        <v>16</v>
      </c>
      <c r="H5398" s="15">
        <v>200</v>
      </c>
      <c r="I5398" s="15">
        <v>200</v>
      </c>
      <c r="J5398" s="5"/>
      <c r="K5398" s="10"/>
      <c r="L5398" s="10">
        <v>20201118</v>
      </c>
      <c r="M5398" s="36" t="str">
        <f t="shared" si="84"/>
        <v>19770124</v>
      </c>
    </row>
    <row r="5399" s="1" customFormat="1" spans="1:13">
      <c r="A5399" s="2">
        <v>7380</v>
      </c>
      <c r="B5399" s="5" t="s">
        <v>13908</v>
      </c>
      <c r="C5399" s="5" t="s">
        <v>7475</v>
      </c>
      <c r="D5399" s="5" t="s">
        <v>14385</v>
      </c>
      <c r="E5399" s="5" t="s">
        <v>15</v>
      </c>
      <c r="F5399" s="5" t="s">
        <v>15</v>
      </c>
      <c r="G5399" s="14" t="s">
        <v>295</v>
      </c>
      <c r="H5399" s="17">
        <v>200</v>
      </c>
      <c r="I5399" s="17">
        <v>200</v>
      </c>
      <c r="J5399" s="5"/>
      <c r="K5399" s="10"/>
      <c r="L5399" s="10">
        <v>20201118</v>
      </c>
      <c r="M5399" s="36" t="str">
        <f t="shared" si="84"/>
        <v>19770124</v>
      </c>
    </row>
    <row r="5400" s="1" customFormat="1" spans="1:13">
      <c r="A5400" s="2">
        <v>5828</v>
      </c>
      <c r="B5400" s="30" t="s">
        <v>11090</v>
      </c>
      <c r="C5400" s="30" t="s">
        <v>11723</v>
      </c>
      <c r="D5400" s="30" t="s">
        <v>11724</v>
      </c>
      <c r="E5400" s="5" t="s">
        <v>15</v>
      </c>
      <c r="F5400" s="5" t="s">
        <v>10250</v>
      </c>
      <c r="G5400" s="6" t="s">
        <v>16</v>
      </c>
      <c r="H5400" s="32">
        <v>200</v>
      </c>
      <c r="I5400" s="32">
        <v>200</v>
      </c>
      <c r="J5400" s="6"/>
      <c r="K5400" s="48"/>
      <c r="L5400" s="10">
        <v>20201118</v>
      </c>
      <c r="M5400" s="36" t="str">
        <f t="shared" si="84"/>
        <v>19770126</v>
      </c>
    </row>
    <row r="5401" s="1" customFormat="1" spans="1:13">
      <c r="A5401" s="2">
        <v>731</v>
      </c>
      <c r="B5401" s="29" t="s">
        <v>1040</v>
      </c>
      <c r="C5401" s="5" t="s">
        <v>1843</v>
      </c>
      <c r="D5401" s="317" t="s">
        <v>1844</v>
      </c>
      <c r="E5401" s="30">
        <v>2020</v>
      </c>
      <c r="F5401" s="30">
        <v>2020</v>
      </c>
      <c r="G5401" s="29" t="s">
        <v>16</v>
      </c>
      <c r="H5401" s="29">
        <v>200</v>
      </c>
      <c r="I5401" s="29">
        <v>200</v>
      </c>
      <c r="J5401" s="29"/>
      <c r="K5401" s="54"/>
      <c r="L5401" s="14" t="s">
        <v>330</v>
      </c>
      <c r="M5401" s="36" t="str">
        <f t="shared" si="84"/>
        <v>19770129</v>
      </c>
    </row>
    <row r="5402" s="1" customFormat="1" ht="14.25" spans="1:13">
      <c r="A5402" s="2">
        <v>1696</v>
      </c>
      <c r="B5402" s="5" t="s">
        <v>3381</v>
      </c>
      <c r="C5402" s="9" t="s">
        <v>3954</v>
      </c>
      <c r="D5402" s="9" t="s">
        <v>3955</v>
      </c>
      <c r="E5402" s="5">
        <v>2020</v>
      </c>
      <c r="F5402" s="5">
        <v>2020</v>
      </c>
      <c r="G5402" s="14" t="s">
        <v>16</v>
      </c>
      <c r="H5402" s="6">
        <v>200</v>
      </c>
      <c r="I5402" s="6">
        <v>200</v>
      </c>
      <c r="J5402" s="24"/>
      <c r="K5402" s="13"/>
      <c r="L5402" s="10">
        <v>20201118</v>
      </c>
      <c r="M5402" s="36" t="str">
        <f t="shared" si="84"/>
        <v>19770201</v>
      </c>
    </row>
    <row r="5403" s="1" customFormat="1" spans="1:13">
      <c r="A5403" s="2">
        <v>6861</v>
      </c>
      <c r="B5403" s="5" t="s">
        <v>13533</v>
      </c>
      <c r="C5403" s="32" t="s">
        <v>13612</v>
      </c>
      <c r="D5403" s="32" t="str">
        <f>"152324197702016028"</f>
        <v>152324197702016028</v>
      </c>
      <c r="E5403" s="5">
        <v>2020</v>
      </c>
      <c r="F5403" s="5">
        <v>2020</v>
      </c>
      <c r="G5403" s="9" t="s">
        <v>2480</v>
      </c>
      <c r="H5403" s="32">
        <v>200</v>
      </c>
      <c r="I5403" s="32">
        <v>200</v>
      </c>
      <c r="J5403" s="62"/>
      <c r="K5403" s="10"/>
      <c r="L5403" s="10">
        <v>20201118</v>
      </c>
      <c r="M5403" s="36" t="str">
        <f t="shared" si="84"/>
        <v>19770201</v>
      </c>
    </row>
    <row r="5404" s="1" customFormat="1" spans="1:13">
      <c r="A5404" s="2">
        <v>275</v>
      </c>
      <c r="B5404" s="14" t="s">
        <v>327</v>
      </c>
      <c r="C5404" s="17" t="s">
        <v>711</v>
      </c>
      <c r="D5404" s="17" t="s">
        <v>712</v>
      </c>
      <c r="E5404" s="5">
        <v>2020</v>
      </c>
      <c r="F5404" s="5">
        <v>2020</v>
      </c>
      <c r="G5404" s="14" t="s">
        <v>16</v>
      </c>
      <c r="H5404" s="17">
        <v>200</v>
      </c>
      <c r="I5404" s="17">
        <v>200</v>
      </c>
      <c r="J5404" s="17"/>
      <c r="K5404" s="10"/>
      <c r="L5404" s="2" t="s">
        <v>330</v>
      </c>
      <c r="M5404" s="36" t="str">
        <f t="shared" si="84"/>
        <v>19770206</v>
      </c>
    </row>
    <row r="5405" s="1" customFormat="1" spans="1:13">
      <c r="A5405" s="2">
        <v>2483</v>
      </c>
      <c r="B5405" s="5" t="s">
        <v>5328</v>
      </c>
      <c r="C5405" s="16" t="s">
        <v>5502</v>
      </c>
      <c r="D5405" s="16" t="s">
        <v>5503</v>
      </c>
      <c r="E5405" s="5" t="s">
        <v>15</v>
      </c>
      <c r="F5405" s="5" t="s">
        <v>15</v>
      </c>
      <c r="G5405" s="14" t="s">
        <v>16</v>
      </c>
      <c r="H5405" s="6">
        <v>200</v>
      </c>
      <c r="I5405" s="6">
        <v>200</v>
      </c>
      <c r="J5405" s="5"/>
      <c r="K5405" s="5"/>
      <c r="L5405" s="10">
        <v>20201118</v>
      </c>
      <c r="M5405" s="36" t="str">
        <f t="shared" si="84"/>
        <v>19770207</v>
      </c>
    </row>
    <row r="5406" s="1" customFormat="1" spans="1:13">
      <c r="A5406" s="2">
        <v>3967</v>
      </c>
      <c r="B5406" s="5" t="s">
        <v>7412</v>
      </c>
      <c r="C5406" s="5" t="s">
        <v>8156</v>
      </c>
      <c r="D5406" s="5" t="s">
        <v>8157</v>
      </c>
      <c r="E5406" s="6">
        <v>2020</v>
      </c>
      <c r="F5406" s="6">
        <v>2020</v>
      </c>
      <c r="G5406" s="5" t="s">
        <v>3359</v>
      </c>
      <c r="H5406" s="5">
        <v>200</v>
      </c>
      <c r="I5406" s="5">
        <v>200</v>
      </c>
      <c r="J5406" s="5"/>
      <c r="K5406" s="5"/>
      <c r="L5406" s="10">
        <v>20201118</v>
      </c>
      <c r="M5406" s="36" t="str">
        <f t="shared" si="84"/>
        <v>19770207</v>
      </c>
    </row>
    <row r="5407" s="1" customFormat="1" spans="1:13">
      <c r="A5407" s="2">
        <v>1181</v>
      </c>
      <c r="B5407" s="5" t="s">
        <v>2469</v>
      </c>
      <c r="C5407" s="9" t="s">
        <v>2946</v>
      </c>
      <c r="D5407" s="9" t="s">
        <v>2947</v>
      </c>
      <c r="E5407" s="5">
        <v>2020</v>
      </c>
      <c r="F5407" s="5">
        <v>2020</v>
      </c>
      <c r="G5407" s="9" t="s">
        <v>2480</v>
      </c>
      <c r="H5407" s="9">
        <v>200</v>
      </c>
      <c r="I5407" s="9">
        <v>200</v>
      </c>
      <c r="J5407" s="5"/>
      <c r="K5407" s="5"/>
      <c r="L5407" s="10">
        <v>20201118</v>
      </c>
      <c r="M5407" s="36" t="str">
        <f t="shared" si="84"/>
        <v>19770209</v>
      </c>
    </row>
    <row r="5408" s="1" customFormat="1" spans="1:13">
      <c r="A5408" s="2">
        <v>4826</v>
      </c>
      <c r="B5408" s="6" t="s">
        <v>9015</v>
      </c>
      <c r="C5408" s="6" t="s">
        <v>9800</v>
      </c>
      <c r="D5408" s="6" t="s">
        <v>9801</v>
      </c>
      <c r="E5408" s="6">
        <v>2020</v>
      </c>
      <c r="F5408" s="6">
        <v>2020</v>
      </c>
      <c r="G5408" s="6" t="s">
        <v>16</v>
      </c>
      <c r="H5408" s="6">
        <v>200</v>
      </c>
      <c r="I5408" s="6">
        <v>200</v>
      </c>
      <c r="J5408" s="6"/>
      <c r="K5408" s="6"/>
      <c r="L5408" s="10">
        <v>20201118</v>
      </c>
      <c r="M5408" s="36" t="str">
        <f t="shared" si="84"/>
        <v>19770209</v>
      </c>
    </row>
    <row r="5409" s="1" customFormat="1" spans="1:13">
      <c r="A5409" s="2">
        <v>7222</v>
      </c>
      <c r="B5409" s="5" t="s">
        <v>13908</v>
      </c>
      <c r="C5409" s="5" t="s">
        <v>14090</v>
      </c>
      <c r="D5409" s="5" t="s">
        <v>14091</v>
      </c>
      <c r="E5409" s="5" t="s">
        <v>15</v>
      </c>
      <c r="F5409" s="5" t="s">
        <v>15</v>
      </c>
      <c r="G5409" s="14" t="s">
        <v>16</v>
      </c>
      <c r="H5409" s="17">
        <v>200</v>
      </c>
      <c r="I5409" s="17">
        <v>200</v>
      </c>
      <c r="J5409" s="5"/>
      <c r="K5409" s="10"/>
      <c r="L5409" s="10">
        <v>20201118</v>
      </c>
      <c r="M5409" s="36" t="str">
        <f t="shared" si="84"/>
        <v>19770210</v>
      </c>
    </row>
    <row r="5410" s="1" customFormat="1" spans="1:13">
      <c r="A5410" s="2">
        <v>787</v>
      </c>
      <c r="B5410" s="29" t="s">
        <v>1040</v>
      </c>
      <c r="C5410" s="5" t="s">
        <v>2011</v>
      </c>
      <c r="D5410" s="317" t="s">
        <v>2012</v>
      </c>
      <c r="E5410" s="30">
        <v>2020</v>
      </c>
      <c r="F5410" s="30">
        <v>2020</v>
      </c>
      <c r="G5410" s="29" t="s">
        <v>16</v>
      </c>
      <c r="H5410" s="29">
        <v>200</v>
      </c>
      <c r="I5410" s="29">
        <v>200</v>
      </c>
      <c r="J5410" s="32"/>
      <c r="K5410" s="32"/>
      <c r="L5410" s="14" t="s">
        <v>330</v>
      </c>
      <c r="M5410" s="36" t="str">
        <f t="shared" si="84"/>
        <v>19770211</v>
      </c>
    </row>
    <row r="5411" s="1" customFormat="1" spans="1:13">
      <c r="A5411" s="2">
        <v>1984</v>
      </c>
      <c r="B5411" s="5" t="s">
        <v>4189</v>
      </c>
      <c r="C5411" s="16" t="s">
        <v>4526</v>
      </c>
      <c r="D5411" s="16" t="s">
        <v>4527</v>
      </c>
      <c r="E5411" s="5" t="s">
        <v>15</v>
      </c>
      <c r="F5411" s="5" t="s">
        <v>15</v>
      </c>
      <c r="G5411" s="5" t="s">
        <v>3359</v>
      </c>
      <c r="H5411" s="16">
        <v>200</v>
      </c>
      <c r="I5411" s="16">
        <v>200</v>
      </c>
      <c r="J5411" s="5"/>
      <c r="K5411" s="10"/>
      <c r="L5411" s="10">
        <v>20201118</v>
      </c>
      <c r="M5411" s="36" t="str">
        <f t="shared" si="84"/>
        <v>19770214</v>
      </c>
    </row>
    <row r="5412" s="1" customFormat="1" spans="1:13">
      <c r="A5412" s="2">
        <v>2308</v>
      </c>
      <c r="B5412" s="9" t="s">
        <v>4837</v>
      </c>
      <c r="C5412" s="9" t="s">
        <v>5156</v>
      </c>
      <c r="D5412" s="9" t="s">
        <v>5157</v>
      </c>
      <c r="E5412" s="6" t="s">
        <v>15</v>
      </c>
      <c r="F5412" s="6">
        <v>2020</v>
      </c>
      <c r="G5412" s="9" t="s">
        <v>2480</v>
      </c>
      <c r="H5412" s="9">
        <v>200</v>
      </c>
      <c r="I5412" s="9">
        <v>200</v>
      </c>
      <c r="J5412" s="6"/>
      <c r="K5412" s="10"/>
      <c r="L5412" s="10">
        <v>20201118</v>
      </c>
      <c r="M5412" s="36" t="str">
        <f t="shared" si="84"/>
        <v>19770214</v>
      </c>
    </row>
    <row r="5413" s="1" customFormat="1" spans="1:13">
      <c r="A5413" s="2">
        <v>426</v>
      </c>
      <c r="B5413" s="29" t="s">
        <v>1040</v>
      </c>
      <c r="C5413" s="29" t="s">
        <v>1128</v>
      </c>
      <c r="D5413" s="29" t="s">
        <v>1129</v>
      </c>
      <c r="E5413" s="30">
        <v>2020</v>
      </c>
      <c r="F5413" s="30">
        <v>2020</v>
      </c>
      <c r="G5413" s="29" t="s">
        <v>16</v>
      </c>
      <c r="H5413" s="29">
        <v>200</v>
      </c>
      <c r="I5413" s="29">
        <v>200</v>
      </c>
      <c r="J5413" s="29"/>
      <c r="K5413" s="47"/>
      <c r="L5413" s="2" t="s">
        <v>330</v>
      </c>
      <c r="M5413" s="36" t="str">
        <f t="shared" si="84"/>
        <v>19770218</v>
      </c>
    </row>
    <row r="5414" s="1" customFormat="1" spans="1:13">
      <c r="A5414" s="2">
        <v>6698</v>
      </c>
      <c r="B5414" s="5" t="s">
        <v>13027</v>
      </c>
      <c r="C5414" s="15" t="s">
        <v>13370</v>
      </c>
      <c r="D5414" s="15" t="s">
        <v>13371</v>
      </c>
      <c r="E5414" s="5">
        <v>2020</v>
      </c>
      <c r="F5414" s="5">
        <v>2020</v>
      </c>
      <c r="G5414" s="14" t="s">
        <v>16</v>
      </c>
      <c r="H5414" s="15">
        <v>200</v>
      </c>
      <c r="I5414" s="15">
        <v>200</v>
      </c>
      <c r="J5414" s="5"/>
      <c r="K5414" s="10"/>
      <c r="L5414" s="10">
        <v>20201118</v>
      </c>
      <c r="M5414" s="36" t="str">
        <f t="shared" si="84"/>
        <v>19770221</v>
      </c>
    </row>
    <row r="5415" s="1" customFormat="1" spans="1:13">
      <c r="A5415" s="2">
        <v>6699</v>
      </c>
      <c r="B5415" s="5" t="s">
        <v>13027</v>
      </c>
      <c r="C5415" s="15" t="s">
        <v>13372</v>
      </c>
      <c r="D5415" s="15" t="s">
        <v>13373</v>
      </c>
      <c r="E5415" s="5">
        <v>2020</v>
      </c>
      <c r="F5415" s="5">
        <v>2020</v>
      </c>
      <c r="G5415" s="14" t="s">
        <v>16</v>
      </c>
      <c r="H5415" s="15">
        <v>200</v>
      </c>
      <c r="I5415" s="15">
        <v>200</v>
      </c>
      <c r="J5415" s="5"/>
      <c r="K5415" s="10"/>
      <c r="L5415" s="10">
        <v>20201118</v>
      </c>
      <c r="M5415" s="36" t="str">
        <f t="shared" si="84"/>
        <v>19770222</v>
      </c>
    </row>
    <row r="5416" s="1" customFormat="1" spans="1:13">
      <c r="A5416" s="2">
        <v>3968</v>
      </c>
      <c r="B5416" s="5" t="s">
        <v>7412</v>
      </c>
      <c r="C5416" s="5" t="s">
        <v>8158</v>
      </c>
      <c r="D5416" s="5" t="s">
        <v>8159</v>
      </c>
      <c r="E5416" s="6">
        <v>2020</v>
      </c>
      <c r="F5416" s="6">
        <v>2020</v>
      </c>
      <c r="G5416" s="5" t="s">
        <v>3359</v>
      </c>
      <c r="H5416" s="5">
        <v>200</v>
      </c>
      <c r="I5416" s="5">
        <v>200</v>
      </c>
      <c r="J5416" s="5"/>
      <c r="K5416" s="5"/>
      <c r="L5416" s="10">
        <v>20201118</v>
      </c>
      <c r="M5416" s="36" t="str">
        <f t="shared" si="84"/>
        <v>19770224</v>
      </c>
    </row>
    <row r="5417" s="1" customFormat="1" spans="1:13">
      <c r="A5417" s="2">
        <v>7492</v>
      </c>
      <c r="B5417" s="62" t="s">
        <v>14402</v>
      </c>
      <c r="C5417" s="62" t="s">
        <v>14598</v>
      </c>
      <c r="D5417" s="62" t="s">
        <v>14599</v>
      </c>
      <c r="E5417" s="62">
        <v>2020</v>
      </c>
      <c r="F5417" s="62">
        <v>2020</v>
      </c>
      <c r="G5417" s="3" t="s">
        <v>16</v>
      </c>
      <c r="H5417" s="62">
        <v>200</v>
      </c>
      <c r="I5417" s="62">
        <v>200</v>
      </c>
      <c r="J5417" s="62"/>
      <c r="K5417" s="10"/>
      <c r="L5417" s="10">
        <v>20201118</v>
      </c>
      <c r="M5417" s="36" t="str">
        <f t="shared" si="84"/>
        <v>19770225</v>
      </c>
    </row>
    <row r="5418" s="1" customFormat="1" spans="1:13">
      <c r="A5418" s="2">
        <v>436</v>
      </c>
      <c r="B5418" s="29" t="s">
        <v>1040</v>
      </c>
      <c r="C5418" s="29" t="s">
        <v>1148</v>
      </c>
      <c r="D5418" s="29" t="s">
        <v>1149</v>
      </c>
      <c r="E5418" s="30">
        <v>2020</v>
      </c>
      <c r="F5418" s="30">
        <v>2020</v>
      </c>
      <c r="G5418" s="29" t="s">
        <v>16</v>
      </c>
      <c r="H5418" s="29">
        <v>200</v>
      </c>
      <c r="I5418" s="29">
        <v>200</v>
      </c>
      <c r="J5418" s="29"/>
      <c r="K5418" s="47"/>
      <c r="L5418" s="2" t="s">
        <v>330</v>
      </c>
      <c r="M5418" s="36" t="str">
        <f t="shared" si="84"/>
        <v>19770226</v>
      </c>
    </row>
    <row r="5419" s="1" customFormat="1" spans="1:13">
      <c r="A5419" s="2">
        <v>4662</v>
      </c>
      <c r="B5419" s="6" t="s">
        <v>9015</v>
      </c>
      <c r="C5419" s="6" t="s">
        <v>9488</v>
      </c>
      <c r="D5419" s="6" t="s">
        <v>9489</v>
      </c>
      <c r="E5419" s="6">
        <v>2020</v>
      </c>
      <c r="F5419" s="6">
        <v>2020</v>
      </c>
      <c r="G5419" s="6" t="s">
        <v>16</v>
      </c>
      <c r="H5419" s="6">
        <v>200</v>
      </c>
      <c r="I5419" s="6">
        <v>200</v>
      </c>
      <c r="J5419" s="6"/>
      <c r="K5419" s="6"/>
      <c r="L5419" s="10">
        <v>20201118</v>
      </c>
      <c r="M5419" s="36" t="str">
        <f t="shared" si="84"/>
        <v>19770228</v>
      </c>
    </row>
    <row r="5420" s="1" customFormat="1" ht="14.25" spans="1:13">
      <c r="A5420" s="2">
        <v>5381</v>
      </c>
      <c r="B5420" s="33" t="s">
        <v>10535</v>
      </c>
      <c r="C5420" s="34" t="s">
        <v>10870</v>
      </c>
      <c r="D5420" s="34" t="s">
        <v>10871</v>
      </c>
      <c r="E5420" s="35">
        <v>2020</v>
      </c>
      <c r="F5420" s="35">
        <v>2020</v>
      </c>
      <c r="G5420" s="35" t="s">
        <v>16</v>
      </c>
      <c r="H5420" s="34">
        <v>200</v>
      </c>
      <c r="I5420" s="34">
        <v>200</v>
      </c>
      <c r="J5420" s="49"/>
      <c r="K5420" s="10"/>
      <c r="L5420" s="10">
        <v>20201118</v>
      </c>
      <c r="M5420" s="36" t="str">
        <f t="shared" si="84"/>
        <v>19770228</v>
      </c>
    </row>
    <row r="5421" s="1" customFormat="1" spans="1:13">
      <c r="A5421" s="2">
        <v>581</v>
      </c>
      <c r="B5421" s="29" t="s">
        <v>1040</v>
      </c>
      <c r="C5421" s="29" t="s">
        <v>1438</v>
      </c>
      <c r="D5421" s="29" t="s">
        <v>1439</v>
      </c>
      <c r="E5421" s="30">
        <v>2020</v>
      </c>
      <c r="F5421" s="30">
        <v>2020</v>
      </c>
      <c r="G5421" s="29" t="s">
        <v>16</v>
      </c>
      <c r="H5421" s="29">
        <v>200</v>
      </c>
      <c r="I5421" s="29">
        <v>200</v>
      </c>
      <c r="J5421" s="29"/>
      <c r="K5421" s="47"/>
      <c r="L5421" s="14" t="s">
        <v>330</v>
      </c>
      <c r="M5421" s="36" t="str">
        <f t="shared" si="84"/>
        <v>19770301</v>
      </c>
    </row>
    <row r="5422" s="1" customFormat="1" spans="1:13">
      <c r="A5422" s="2">
        <v>3969</v>
      </c>
      <c r="B5422" s="5" t="s">
        <v>7412</v>
      </c>
      <c r="C5422" s="5" t="s">
        <v>797</v>
      </c>
      <c r="D5422" s="5" t="s">
        <v>8160</v>
      </c>
      <c r="E5422" s="6">
        <v>2020</v>
      </c>
      <c r="F5422" s="6">
        <v>2020</v>
      </c>
      <c r="G5422" s="5" t="s">
        <v>3359</v>
      </c>
      <c r="H5422" s="5">
        <v>200</v>
      </c>
      <c r="I5422" s="5">
        <v>200</v>
      </c>
      <c r="J5422" s="5"/>
      <c r="K5422" s="5"/>
      <c r="L5422" s="10">
        <v>20201118</v>
      </c>
      <c r="M5422" s="36" t="str">
        <f t="shared" si="84"/>
        <v>19770303</v>
      </c>
    </row>
    <row r="5423" s="1" customFormat="1" spans="1:13">
      <c r="A5423" s="2">
        <v>4838</v>
      </c>
      <c r="B5423" s="6" t="s">
        <v>9015</v>
      </c>
      <c r="C5423" s="6" t="s">
        <v>9821</v>
      </c>
      <c r="D5423" s="293" t="s">
        <v>9822</v>
      </c>
      <c r="E5423" s="6">
        <v>2020</v>
      </c>
      <c r="F5423" s="6">
        <v>2020</v>
      </c>
      <c r="G5423" s="6" t="s">
        <v>16</v>
      </c>
      <c r="H5423" s="6">
        <v>200</v>
      </c>
      <c r="I5423" s="6">
        <v>200</v>
      </c>
      <c r="J5423" s="6"/>
      <c r="K5423" s="6"/>
      <c r="L5423" s="10">
        <v>20201118</v>
      </c>
      <c r="M5423" s="36" t="str">
        <f t="shared" si="84"/>
        <v>19770304</v>
      </c>
    </row>
    <row r="5424" s="1" customFormat="1" spans="1:13">
      <c r="A5424" s="2">
        <v>1182</v>
      </c>
      <c r="B5424" s="5" t="s">
        <v>2469</v>
      </c>
      <c r="C5424" s="9" t="s">
        <v>2948</v>
      </c>
      <c r="D5424" s="9" t="s">
        <v>2949</v>
      </c>
      <c r="E5424" s="5">
        <v>2020</v>
      </c>
      <c r="F5424" s="5">
        <v>2020</v>
      </c>
      <c r="G5424" s="9" t="s">
        <v>2480</v>
      </c>
      <c r="H5424" s="9">
        <v>200</v>
      </c>
      <c r="I5424" s="9">
        <v>200</v>
      </c>
      <c r="J5424" s="5"/>
      <c r="K5424" s="5"/>
      <c r="L5424" s="10">
        <v>20201118</v>
      </c>
      <c r="M5424" s="36" t="str">
        <f t="shared" si="84"/>
        <v>19770305</v>
      </c>
    </row>
    <row r="5425" s="1" customFormat="1" spans="1:13">
      <c r="A5425" s="2">
        <v>334</v>
      </c>
      <c r="B5425" s="14" t="s">
        <v>327</v>
      </c>
      <c r="C5425" s="17" t="s">
        <v>890</v>
      </c>
      <c r="D5425" s="306" t="s">
        <v>891</v>
      </c>
      <c r="E5425" s="5">
        <v>2020</v>
      </c>
      <c r="F5425" s="5">
        <v>2020</v>
      </c>
      <c r="G5425" s="14" t="s">
        <v>16</v>
      </c>
      <c r="H5425" s="17">
        <v>200</v>
      </c>
      <c r="I5425" s="17">
        <v>200</v>
      </c>
      <c r="J5425" s="17"/>
      <c r="K5425" s="10"/>
      <c r="L5425" s="14" t="s">
        <v>330</v>
      </c>
      <c r="M5425" s="36" t="str">
        <f t="shared" si="84"/>
        <v>19770306</v>
      </c>
    </row>
    <row r="5426" s="1" customFormat="1" spans="1:13">
      <c r="A5426" s="2">
        <v>6452</v>
      </c>
      <c r="B5426" s="5" t="s">
        <v>12263</v>
      </c>
      <c r="C5426" s="5" t="s">
        <v>12908</v>
      </c>
      <c r="D5426" s="5" t="s">
        <v>12909</v>
      </c>
      <c r="E5426" s="5" t="s">
        <v>10250</v>
      </c>
      <c r="F5426" s="5">
        <v>2020</v>
      </c>
      <c r="G5426" s="17" t="s">
        <v>3359</v>
      </c>
      <c r="H5426" s="5">
        <v>200</v>
      </c>
      <c r="I5426" s="5">
        <v>200</v>
      </c>
      <c r="J5426" s="5" t="s">
        <v>5331</v>
      </c>
      <c r="K5426" s="5"/>
      <c r="L5426" s="10">
        <v>20201118</v>
      </c>
      <c r="M5426" s="36" t="str">
        <f t="shared" si="84"/>
        <v>19770306</v>
      </c>
    </row>
    <row r="5427" s="1" customFormat="1" ht="14.25" spans="1:13">
      <c r="A5427" s="2">
        <v>5382</v>
      </c>
      <c r="B5427" s="33" t="s">
        <v>10535</v>
      </c>
      <c r="C5427" s="34" t="s">
        <v>3884</v>
      </c>
      <c r="D5427" s="34" t="s">
        <v>10872</v>
      </c>
      <c r="E5427" s="35">
        <v>2020</v>
      </c>
      <c r="F5427" s="35">
        <v>2020</v>
      </c>
      <c r="G5427" s="35" t="s">
        <v>16</v>
      </c>
      <c r="H5427" s="34">
        <v>200</v>
      </c>
      <c r="I5427" s="34">
        <v>200</v>
      </c>
      <c r="J5427" s="49"/>
      <c r="K5427" s="10"/>
      <c r="L5427" s="10">
        <v>20201118</v>
      </c>
      <c r="M5427" s="36" t="str">
        <f t="shared" si="84"/>
        <v>19770307</v>
      </c>
    </row>
    <row r="5428" s="1" customFormat="1" spans="1:13">
      <c r="A5428" s="2">
        <v>256</v>
      </c>
      <c r="B5428" s="14" t="s">
        <v>327</v>
      </c>
      <c r="C5428" s="17" t="s">
        <v>654</v>
      </c>
      <c r="D5428" s="17" t="s">
        <v>655</v>
      </c>
      <c r="E5428" s="5">
        <v>2020</v>
      </c>
      <c r="F5428" s="5">
        <v>2020</v>
      </c>
      <c r="G5428" s="14" t="s">
        <v>16</v>
      </c>
      <c r="H5428" s="17">
        <v>200</v>
      </c>
      <c r="I5428" s="17">
        <v>200</v>
      </c>
      <c r="J5428" s="17"/>
      <c r="K5428" s="10"/>
      <c r="L5428" s="14" t="s">
        <v>330</v>
      </c>
      <c r="M5428" s="36" t="str">
        <f t="shared" si="84"/>
        <v>19770310</v>
      </c>
    </row>
    <row r="5429" s="1" customFormat="1" spans="1:13">
      <c r="A5429" s="2">
        <v>7489</v>
      </c>
      <c r="B5429" s="5" t="s">
        <v>14402</v>
      </c>
      <c r="C5429" s="5" t="s">
        <v>14592</v>
      </c>
      <c r="D5429" s="5" t="s">
        <v>14593</v>
      </c>
      <c r="E5429" s="5">
        <v>2020</v>
      </c>
      <c r="F5429" s="5">
        <v>2020</v>
      </c>
      <c r="G5429" s="17" t="s">
        <v>16</v>
      </c>
      <c r="H5429" s="5">
        <v>200</v>
      </c>
      <c r="I5429" s="5">
        <v>200</v>
      </c>
      <c r="J5429" s="5"/>
      <c r="K5429" s="10"/>
      <c r="L5429" s="10">
        <v>20201118</v>
      </c>
      <c r="M5429" s="36" t="str">
        <f t="shared" si="84"/>
        <v>19770310</v>
      </c>
    </row>
    <row r="5430" s="1" customFormat="1" spans="1:13">
      <c r="A5430" s="2">
        <v>1697</v>
      </c>
      <c r="B5430" s="5" t="s">
        <v>3381</v>
      </c>
      <c r="C5430" s="9" t="s">
        <v>3956</v>
      </c>
      <c r="D5430" s="9" t="s">
        <v>3957</v>
      </c>
      <c r="E5430" s="5">
        <v>2020</v>
      </c>
      <c r="F5430" s="5">
        <v>2020</v>
      </c>
      <c r="G5430" s="14" t="s">
        <v>16</v>
      </c>
      <c r="H5430" s="6">
        <v>200</v>
      </c>
      <c r="I5430" s="6">
        <v>200</v>
      </c>
      <c r="J5430" s="5"/>
      <c r="K5430" s="13"/>
      <c r="L5430" s="10">
        <v>20201118</v>
      </c>
      <c r="M5430" s="36" t="str">
        <f t="shared" si="84"/>
        <v>19770312</v>
      </c>
    </row>
    <row r="5431" s="1" customFormat="1" spans="1:13">
      <c r="A5431" s="2">
        <v>2129</v>
      </c>
      <c r="B5431" s="5" t="s">
        <v>4189</v>
      </c>
      <c r="C5431" s="9" t="s">
        <v>4808</v>
      </c>
      <c r="D5431" s="9" t="s">
        <v>4809</v>
      </c>
      <c r="E5431" s="5" t="s">
        <v>15</v>
      </c>
      <c r="F5431" s="5" t="s">
        <v>15</v>
      </c>
      <c r="G5431" s="5" t="s">
        <v>3359</v>
      </c>
      <c r="H5431" s="16">
        <v>200</v>
      </c>
      <c r="I5431" s="16">
        <v>200</v>
      </c>
      <c r="J5431" s="5"/>
      <c r="K5431" s="10"/>
      <c r="L5431" s="10">
        <v>20201118</v>
      </c>
      <c r="M5431" s="36" t="str">
        <f t="shared" si="84"/>
        <v>19770316</v>
      </c>
    </row>
    <row r="5432" s="1" customFormat="1" spans="1:13">
      <c r="A5432" s="2">
        <v>596</v>
      </c>
      <c r="B5432" s="29" t="s">
        <v>1040</v>
      </c>
      <c r="C5432" s="29" t="s">
        <v>1468</v>
      </c>
      <c r="D5432" s="29" t="s">
        <v>1469</v>
      </c>
      <c r="E5432" s="30">
        <v>2020</v>
      </c>
      <c r="F5432" s="30">
        <v>2020</v>
      </c>
      <c r="G5432" s="29" t="s">
        <v>16</v>
      </c>
      <c r="H5432" s="29">
        <v>200</v>
      </c>
      <c r="I5432" s="29">
        <v>200</v>
      </c>
      <c r="J5432" s="29"/>
      <c r="K5432" s="47"/>
      <c r="L5432" s="2" t="s">
        <v>330</v>
      </c>
      <c r="M5432" s="36" t="str">
        <f t="shared" si="84"/>
        <v>19770317</v>
      </c>
    </row>
    <row r="5433" s="1" customFormat="1" spans="1:13">
      <c r="A5433" s="2">
        <v>1698</v>
      </c>
      <c r="B5433" s="5" t="s">
        <v>3381</v>
      </c>
      <c r="C5433" s="9" t="s">
        <v>1692</v>
      </c>
      <c r="D5433" s="9" t="s">
        <v>3958</v>
      </c>
      <c r="E5433" s="5">
        <v>2020</v>
      </c>
      <c r="F5433" s="5">
        <v>2020</v>
      </c>
      <c r="G5433" s="14" t="s">
        <v>16</v>
      </c>
      <c r="H5433" s="6">
        <v>500</v>
      </c>
      <c r="I5433" s="6">
        <v>500</v>
      </c>
      <c r="J5433" s="5"/>
      <c r="K5433" s="13"/>
      <c r="L5433" s="10">
        <v>20201118</v>
      </c>
      <c r="M5433" s="36" t="str">
        <f t="shared" si="84"/>
        <v>19770317</v>
      </c>
    </row>
    <row r="5434" s="1" customFormat="1" spans="1:13">
      <c r="A5434" s="2">
        <v>3106</v>
      </c>
      <c r="B5434" s="3" t="s">
        <v>6671</v>
      </c>
      <c r="C5434" s="9" t="s">
        <v>2200</v>
      </c>
      <c r="D5434" s="9" t="s">
        <v>6735</v>
      </c>
      <c r="E5434" s="3" t="s">
        <v>15</v>
      </c>
      <c r="F5434" s="3" t="s">
        <v>15</v>
      </c>
      <c r="G5434" s="6" t="s">
        <v>3359</v>
      </c>
      <c r="H5434" s="9">
        <v>200</v>
      </c>
      <c r="I5434" s="9">
        <v>200</v>
      </c>
      <c r="J5434" s="6"/>
      <c r="K5434" s="5"/>
      <c r="L5434" s="10">
        <v>20201118</v>
      </c>
      <c r="M5434" s="36" t="str">
        <f t="shared" si="84"/>
        <v>19770317</v>
      </c>
    </row>
    <row r="5435" s="1" customFormat="1" spans="1:13">
      <c r="A5435" s="2">
        <v>4768</v>
      </c>
      <c r="B5435" s="6" t="s">
        <v>9015</v>
      </c>
      <c r="C5435" s="6" t="s">
        <v>9690</v>
      </c>
      <c r="D5435" s="6" t="s">
        <v>9691</v>
      </c>
      <c r="E5435" s="6">
        <v>2020</v>
      </c>
      <c r="F5435" s="6">
        <v>2020</v>
      </c>
      <c r="G5435" s="6" t="s">
        <v>16</v>
      </c>
      <c r="H5435" s="6">
        <v>200</v>
      </c>
      <c r="I5435" s="6">
        <v>200</v>
      </c>
      <c r="J5435" s="6"/>
      <c r="K5435" s="6"/>
      <c r="L5435" s="10">
        <v>20201118</v>
      </c>
      <c r="M5435" s="36" t="str">
        <f t="shared" si="84"/>
        <v>19770319</v>
      </c>
    </row>
    <row r="5436" s="1" customFormat="1" spans="1:13">
      <c r="A5436" s="2">
        <v>6447</v>
      </c>
      <c r="B5436" s="5" t="s">
        <v>12263</v>
      </c>
      <c r="C5436" s="5" t="s">
        <v>12899</v>
      </c>
      <c r="D5436" s="5" t="s">
        <v>12900</v>
      </c>
      <c r="E5436" s="5" t="s">
        <v>10250</v>
      </c>
      <c r="F5436" s="5">
        <v>2020</v>
      </c>
      <c r="G5436" s="17" t="s">
        <v>3359</v>
      </c>
      <c r="H5436" s="5">
        <v>200</v>
      </c>
      <c r="I5436" s="5">
        <v>200</v>
      </c>
      <c r="J5436" s="5"/>
      <c r="K5436" s="5"/>
      <c r="L5436" s="10">
        <v>20201118</v>
      </c>
      <c r="M5436" s="36" t="str">
        <f t="shared" si="84"/>
        <v>19770320</v>
      </c>
    </row>
    <row r="5437" s="1" customFormat="1" spans="1:13">
      <c r="A5437" s="2">
        <v>7191</v>
      </c>
      <c r="B5437" s="5" t="s">
        <v>13908</v>
      </c>
      <c r="C5437" s="5" t="s">
        <v>14033</v>
      </c>
      <c r="D5437" s="5" t="s">
        <v>14034</v>
      </c>
      <c r="E5437" s="5" t="s">
        <v>15</v>
      </c>
      <c r="F5437" s="5" t="s">
        <v>15</v>
      </c>
      <c r="G5437" s="14" t="s">
        <v>16</v>
      </c>
      <c r="H5437" s="17">
        <v>200</v>
      </c>
      <c r="I5437" s="17">
        <v>200</v>
      </c>
      <c r="J5437" s="5"/>
      <c r="K5437" s="10"/>
      <c r="L5437" s="10">
        <v>20201118</v>
      </c>
      <c r="M5437" s="36" t="str">
        <f t="shared" si="84"/>
        <v>19770322</v>
      </c>
    </row>
    <row r="5438" s="1" customFormat="1" spans="1:13">
      <c r="A5438" s="2">
        <v>5708</v>
      </c>
      <c r="B5438" s="30" t="s">
        <v>11090</v>
      </c>
      <c r="C5438" s="30" t="s">
        <v>11501</v>
      </c>
      <c r="D5438" s="30" t="s">
        <v>11502</v>
      </c>
      <c r="E5438" s="5" t="s">
        <v>15</v>
      </c>
      <c r="F5438" s="5" t="s">
        <v>10250</v>
      </c>
      <c r="G5438" s="6" t="s">
        <v>16</v>
      </c>
      <c r="H5438" s="32">
        <v>200</v>
      </c>
      <c r="I5438" s="32">
        <v>200</v>
      </c>
      <c r="J5438" s="6"/>
      <c r="K5438" s="48"/>
      <c r="L5438" s="10">
        <v>20201118</v>
      </c>
      <c r="M5438" s="36" t="str">
        <f t="shared" si="84"/>
        <v>19770327</v>
      </c>
    </row>
    <row r="5439" s="1" customFormat="1" spans="1:13">
      <c r="A5439" s="2">
        <v>6131</v>
      </c>
      <c r="B5439" s="5" t="s">
        <v>12263</v>
      </c>
      <c r="C5439" s="5" t="s">
        <v>12298</v>
      </c>
      <c r="D5439" s="5" t="s">
        <v>12299</v>
      </c>
      <c r="E5439" s="5" t="s">
        <v>10250</v>
      </c>
      <c r="F5439" s="5">
        <v>2020</v>
      </c>
      <c r="G5439" s="17" t="s">
        <v>3359</v>
      </c>
      <c r="H5439" s="5">
        <v>200</v>
      </c>
      <c r="I5439" s="5">
        <v>200</v>
      </c>
      <c r="J5439" s="5"/>
      <c r="K5439" s="5"/>
      <c r="L5439" s="10">
        <v>20201118</v>
      </c>
      <c r="M5439" s="36" t="str">
        <f t="shared" si="84"/>
        <v>19770327</v>
      </c>
    </row>
    <row r="5440" s="1" customFormat="1" spans="1:13">
      <c r="A5440" s="2">
        <v>2108</v>
      </c>
      <c r="B5440" s="5" t="s">
        <v>4189</v>
      </c>
      <c r="C5440" s="9" t="s">
        <v>4767</v>
      </c>
      <c r="D5440" s="9" t="s">
        <v>4768</v>
      </c>
      <c r="E5440" s="5" t="s">
        <v>15</v>
      </c>
      <c r="F5440" s="5" t="s">
        <v>15</v>
      </c>
      <c r="G5440" s="5" t="s">
        <v>3359</v>
      </c>
      <c r="H5440" s="16">
        <v>200</v>
      </c>
      <c r="I5440" s="16">
        <v>200</v>
      </c>
      <c r="J5440" s="5"/>
      <c r="K5440" s="10"/>
      <c r="L5440" s="10">
        <v>20201118</v>
      </c>
      <c r="M5440" s="36" t="str">
        <f t="shared" si="84"/>
        <v>19770402</v>
      </c>
    </row>
    <row r="5441" s="1" customFormat="1" spans="1:13">
      <c r="A5441" s="2">
        <v>1986</v>
      </c>
      <c r="B5441" s="5" t="s">
        <v>4189</v>
      </c>
      <c r="C5441" s="16" t="s">
        <v>4530</v>
      </c>
      <c r="D5441" s="16" t="s">
        <v>4531</v>
      </c>
      <c r="E5441" s="5" t="s">
        <v>15</v>
      </c>
      <c r="F5441" s="5" t="s">
        <v>15</v>
      </c>
      <c r="G5441" s="5" t="s">
        <v>3359</v>
      </c>
      <c r="H5441" s="16">
        <v>200</v>
      </c>
      <c r="I5441" s="16">
        <v>200</v>
      </c>
      <c r="J5441" s="5"/>
      <c r="K5441" s="10"/>
      <c r="L5441" s="10">
        <v>20201118</v>
      </c>
      <c r="M5441" s="36" t="str">
        <f t="shared" si="84"/>
        <v>19770403</v>
      </c>
    </row>
    <row r="5442" s="1" customFormat="1" spans="1:13">
      <c r="A5442" s="2">
        <v>4621</v>
      </c>
      <c r="B5442" s="6" t="s">
        <v>9015</v>
      </c>
      <c r="C5442" s="6" t="s">
        <v>7347</v>
      </c>
      <c r="D5442" s="6" t="s">
        <v>9411</v>
      </c>
      <c r="E5442" s="6">
        <v>2020</v>
      </c>
      <c r="F5442" s="6">
        <v>2020</v>
      </c>
      <c r="G5442" s="6" t="s">
        <v>16</v>
      </c>
      <c r="H5442" s="6">
        <v>200</v>
      </c>
      <c r="I5442" s="6">
        <v>200</v>
      </c>
      <c r="J5442" s="6"/>
      <c r="K5442" s="6"/>
      <c r="L5442" s="10">
        <v>20201118</v>
      </c>
      <c r="M5442" s="36" t="str">
        <f t="shared" ref="M5442:M5505" si="85">MID(D5442,7,8)</f>
        <v>19770404</v>
      </c>
    </row>
    <row r="5443" s="1" customFormat="1" spans="1:13">
      <c r="A5443" s="2">
        <v>8127</v>
      </c>
      <c r="B5443" s="5" t="s">
        <v>15406</v>
      </c>
      <c r="C5443" s="6" t="s">
        <v>15447</v>
      </c>
      <c r="D5443" s="6" t="s">
        <v>15448</v>
      </c>
      <c r="E5443" s="5" t="s">
        <v>15</v>
      </c>
      <c r="F5443" s="5">
        <v>2020</v>
      </c>
      <c r="G5443" s="14" t="s">
        <v>16</v>
      </c>
      <c r="H5443" s="6" t="s">
        <v>311</v>
      </c>
      <c r="I5443" s="6">
        <v>200</v>
      </c>
      <c r="J5443" s="5"/>
      <c r="K5443" s="10"/>
      <c r="L5443" s="10">
        <v>20201118</v>
      </c>
      <c r="M5443" s="36" t="str">
        <f t="shared" si="85"/>
        <v>19770404</v>
      </c>
    </row>
    <row r="5444" s="1" customFormat="1" spans="1:13">
      <c r="A5444" s="2">
        <v>8116</v>
      </c>
      <c r="B5444" s="5" t="s">
        <v>15406</v>
      </c>
      <c r="C5444" s="6" t="s">
        <v>15426</v>
      </c>
      <c r="D5444" s="6" t="s">
        <v>15427</v>
      </c>
      <c r="E5444" s="5" t="s">
        <v>15</v>
      </c>
      <c r="F5444" s="5">
        <v>2020</v>
      </c>
      <c r="G5444" s="14" t="s">
        <v>16</v>
      </c>
      <c r="H5444" s="6" t="s">
        <v>1998</v>
      </c>
      <c r="I5444" s="6">
        <v>400</v>
      </c>
      <c r="J5444" s="5"/>
      <c r="K5444" s="10"/>
      <c r="L5444" s="10">
        <v>20201118</v>
      </c>
      <c r="M5444" s="36" t="str">
        <f t="shared" si="85"/>
        <v>19770405</v>
      </c>
    </row>
    <row r="5445" s="1" customFormat="1" spans="1:13">
      <c r="A5445" s="2">
        <v>84</v>
      </c>
      <c r="B5445" s="3" t="s">
        <v>12</v>
      </c>
      <c r="C5445" s="6" t="s">
        <v>183</v>
      </c>
      <c r="D5445" s="6" t="s">
        <v>184</v>
      </c>
      <c r="E5445" s="3" t="s">
        <v>15</v>
      </c>
      <c r="F5445" s="3" t="s">
        <v>15</v>
      </c>
      <c r="G5445" s="2" t="s">
        <v>16</v>
      </c>
      <c r="H5445" s="3">
        <v>500</v>
      </c>
      <c r="I5445" s="3">
        <v>500</v>
      </c>
      <c r="J5445" s="3"/>
      <c r="K5445" s="3"/>
      <c r="L5445" s="10">
        <v>20201118</v>
      </c>
      <c r="M5445" s="36" t="str">
        <f t="shared" si="85"/>
        <v>19770407</v>
      </c>
    </row>
    <row r="5446" s="1" customFormat="1" ht="14.25" spans="1:13">
      <c r="A5446" s="2">
        <v>1753</v>
      </c>
      <c r="B5446" s="5" t="s">
        <v>3381</v>
      </c>
      <c r="C5446" s="77" t="s">
        <v>4067</v>
      </c>
      <c r="D5446" s="321" t="s">
        <v>4068</v>
      </c>
      <c r="E5446" s="5">
        <v>2020</v>
      </c>
      <c r="F5446" s="5">
        <v>2020</v>
      </c>
      <c r="G5446" s="14" t="s">
        <v>16</v>
      </c>
      <c r="H5446" s="18">
        <v>200</v>
      </c>
      <c r="I5446" s="18">
        <v>200</v>
      </c>
      <c r="J5446" s="77" t="s">
        <v>4064</v>
      </c>
      <c r="K5446" s="13"/>
      <c r="L5446" s="10">
        <v>20201118</v>
      </c>
      <c r="M5446" s="36" t="str">
        <f t="shared" si="85"/>
        <v>19770407</v>
      </c>
    </row>
    <row r="5447" s="1" customFormat="1" spans="1:13">
      <c r="A5447" s="2">
        <v>4336</v>
      </c>
      <c r="B5447" s="9" t="s">
        <v>8515</v>
      </c>
      <c r="C5447" s="9" t="s">
        <v>8862</v>
      </c>
      <c r="D5447" s="9" t="s">
        <v>8863</v>
      </c>
      <c r="E5447" s="5" t="s">
        <v>15</v>
      </c>
      <c r="F5447" s="5">
        <v>2020</v>
      </c>
      <c r="G5447" s="9" t="s">
        <v>2480</v>
      </c>
      <c r="H5447" s="9">
        <v>200</v>
      </c>
      <c r="I5447" s="9">
        <v>200</v>
      </c>
      <c r="J5447" s="9" t="s">
        <v>8864</v>
      </c>
      <c r="K5447" s="9"/>
      <c r="L5447" s="10">
        <v>20201118</v>
      </c>
      <c r="M5447" s="36" t="str">
        <f t="shared" si="85"/>
        <v>19770409</v>
      </c>
    </row>
    <row r="5448" s="1" customFormat="1" spans="1:13">
      <c r="A5448" s="2">
        <v>3970</v>
      </c>
      <c r="B5448" s="5" t="s">
        <v>7412</v>
      </c>
      <c r="C5448" s="5" t="s">
        <v>8161</v>
      </c>
      <c r="D5448" s="5" t="s">
        <v>8162</v>
      </c>
      <c r="E5448" s="6">
        <v>2020</v>
      </c>
      <c r="F5448" s="6">
        <v>2020</v>
      </c>
      <c r="G5448" s="5" t="s">
        <v>3359</v>
      </c>
      <c r="H5448" s="5">
        <v>200</v>
      </c>
      <c r="I5448" s="5">
        <v>200</v>
      </c>
      <c r="J5448" s="5"/>
      <c r="K5448" s="5"/>
      <c r="L5448" s="10">
        <v>20201118</v>
      </c>
      <c r="M5448" s="36" t="str">
        <f t="shared" si="85"/>
        <v>19770410</v>
      </c>
    </row>
    <row r="5449" s="1" customFormat="1" spans="1:13">
      <c r="A5449" s="2">
        <v>6700</v>
      </c>
      <c r="B5449" s="5" t="s">
        <v>13027</v>
      </c>
      <c r="C5449" s="15" t="s">
        <v>13374</v>
      </c>
      <c r="D5449" s="15" t="s">
        <v>13375</v>
      </c>
      <c r="E5449" s="5">
        <v>2020</v>
      </c>
      <c r="F5449" s="5">
        <v>2020</v>
      </c>
      <c r="G5449" s="14" t="s">
        <v>16</v>
      </c>
      <c r="H5449" s="15">
        <v>200</v>
      </c>
      <c r="I5449" s="15">
        <v>200</v>
      </c>
      <c r="J5449" s="5"/>
      <c r="K5449" s="10"/>
      <c r="L5449" s="10">
        <v>20201118</v>
      </c>
      <c r="M5449" s="36" t="str">
        <f t="shared" si="85"/>
        <v>19770411</v>
      </c>
    </row>
    <row r="5450" s="1" customFormat="1" spans="1:13">
      <c r="A5450" s="2">
        <v>6862</v>
      </c>
      <c r="B5450" s="5" t="s">
        <v>13533</v>
      </c>
      <c r="C5450" s="32" t="s">
        <v>13613</v>
      </c>
      <c r="D5450" s="32" t="str">
        <f>"152326197704127138"</f>
        <v>152326197704127138</v>
      </c>
      <c r="E5450" s="5">
        <v>2020</v>
      </c>
      <c r="F5450" s="5">
        <v>2020</v>
      </c>
      <c r="G5450" s="9" t="s">
        <v>2480</v>
      </c>
      <c r="H5450" s="32">
        <v>200</v>
      </c>
      <c r="I5450" s="32">
        <v>200</v>
      </c>
      <c r="J5450" s="62"/>
      <c r="K5450" s="10"/>
      <c r="L5450" s="10">
        <v>20201118</v>
      </c>
      <c r="M5450" s="36" t="str">
        <f t="shared" si="85"/>
        <v>19770412</v>
      </c>
    </row>
    <row r="5451" s="1" customFormat="1" spans="1:13">
      <c r="A5451" s="2">
        <v>5619</v>
      </c>
      <c r="B5451" s="30" t="s">
        <v>11090</v>
      </c>
      <c r="C5451" s="30" t="s">
        <v>11328</v>
      </c>
      <c r="D5451" s="30" t="s">
        <v>11329</v>
      </c>
      <c r="E5451" s="5" t="s">
        <v>15</v>
      </c>
      <c r="F5451" s="5" t="s">
        <v>10250</v>
      </c>
      <c r="G5451" s="6" t="s">
        <v>16</v>
      </c>
      <c r="H5451" s="32">
        <v>200</v>
      </c>
      <c r="I5451" s="32">
        <v>200</v>
      </c>
      <c r="J5451" s="6"/>
      <c r="K5451" s="48"/>
      <c r="L5451" s="10">
        <v>20201118</v>
      </c>
      <c r="M5451" s="36" t="str">
        <f t="shared" si="85"/>
        <v>19770413</v>
      </c>
    </row>
    <row r="5452" s="1" customFormat="1" spans="1:13">
      <c r="A5452" s="2">
        <v>8092</v>
      </c>
      <c r="B5452" s="5" t="s">
        <v>15086</v>
      </c>
      <c r="C5452" s="6" t="s">
        <v>15378</v>
      </c>
      <c r="D5452" s="293" t="s">
        <v>15379</v>
      </c>
      <c r="E5452" s="5" t="s">
        <v>15</v>
      </c>
      <c r="F5452" s="5">
        <v>2020</v>
      </c>
      <c r="G5452" s="5" t="s">
        <v>189</v>
      </c>
      <c r="H5452" s="6">
        <v>200</v>
      </c>
      <c r="I5452" s="5">
        <v>200</v>
      </c>
      <c r="J5452" s="5"/>
      <c r="K5452" s="5"/>
      <c r="L5452" s="10">
        <v>20201118</v>
      </c>
      <c r="M5452" s="36" t="str">
        <f t="shared" si="85"/>
        <v>19770418</v>
      </c>
    </row>
    <row r="5453" s="1" customFormat="1" spans="1:13">
      <c r="A5453" s="2">
        <v>2681</v>
      </c>
      <c r="B5453" s="32" t="s">
        <v>5602</v>
      </c>
      <c r="C5453" s="9" t="s">
        <v>5895</v>
      </c>
      <c r="D5453" s="9" t="s">
        <v>5896</v>
      </c>
      <c r="E5453" s="32">
        <v>2020</v>
      </c>
      <c r="F5453" s="32">
        <v>2020</v>
      </c>
      <c r="G5453" s="32" t="s">
        <v>16</v>
      </c>
      <c r="H5453" s="9">
        <v>200</v>
      </c>
      <c r="I5453" s="9">
        <v>200</v>
      </c>
      <c r="J5453" s="32"/>
      <c r="K5453" s="52"/>
      <c r="L5453" s="10">
        <v>20201118</v>
      </c>
      <c r="M5453" s="36" t="str">
        <f t="shared" si="85"/>
        <v>19770421</v>
      </c>
    </row>
    <row r="5454" s="1" customFormat="1" spans="1:13">
      <c r="A5454" s="2">
        <v>3971</v>
      </c>
      <c r="B5454" s="5" t="s">
        <v>7412</v>
      </c>
      <c r="C5454" s="5" t="s">
        <v>8163</v>
      </c>
      <c r="D5454" s="5" t="s">
        <v>8164</v>
      </c>
      <c r="E5454" s="6">
        <v>2020</v>
      </c>
      <c r="F5454" s="6">
        <v>2020</v>
      </c>
      <c r="G5454" s="5" t="s">
        <v>3359</v>
      </c>
      <c r="H5454" s="5">
        <v>200</v>
      </c>
      <c r="I5454" s="5">
        <v>200</v>
      </c>
      <c r="J5454" s="5"/>
      <c r="K5454" s="5"/>
      <c r="L5454" s="10">
        <v>20201118</v>
      </c>
      <c r="M5454" s="36" t="str">
        <f t="shared" si="85"/>
        <v>19770421</v>
      </c>
    </row>
    <row r="5455" s="1" customFormat="1" spans="1:13">
      <c r="A5455" s="2">
        <v>7336</v>
      </c>
      <c r="B5455" s="5" t="s">
        <v>13908</v>
      </c>
      <c r="C5455" s="5" t="s">
        <v>5672</v>
      </c>
      <c r="D5455" s="5" t="s">
        <v>14305</v>
      </c>
      <c r="E5455" s="5" t="s">
        <v>15</v>
      </c>
      <c r="F5455" s="5" t="s">
        <v>15</v>
      </c>
      <c r="G5455" s="14" t="s">
        <v>16</v>
      </c>
      <c r="H5455" s="17">
        <v>200</v>
      </c>
      <c r="I5455" s="17">
        <v>200</v>
      </c>
      <c r="J5455" s="5"/>
      <c r="K5455" s="10"/>
      <c r="L5455" s="10">
        <v>20201118</v>
      </c>
      <c r="M5455" s="36" t="str">
        <f t="shared" si="85"/>
        <v>19770421</v>
      </c>
    </row>
    <row r="5456" s="1" customFormat="1" spans="1:13">
      <c r="A5456" s="2">
        <v>3228</v>
      </c>
      <c r="B5456" s="3" t="s">
        <v>6671</v>
      </c>
      <c r="C5456" s="9" t="s">
        <v>6961</v>
      </c>
      <c r="D5456" s="9" t="s">
        <v>6962</v>
      </c>
      <c r="E5456" s="3" t="s">
        <v>15</v>
      </c>
      <c r="F5456" s="3" t="s">
        <v>15</v>
      </c>
      <c r="G5456" s="6" t="s">
        <v>3359</v>
      </c>
      <c r="H5456" s="9">
        <v>200</v>
      </c>
      <c r="I5456" s="9">
        <v>200</v>
      </c>
      <c r="J5456" s="6"/>
      <c r="K5456" s="5"/>
      <c r="L5456" s="10">
        <v>20201118</v>
      </c>
      <c r="M5456" s="36" t="str">
        <f t="shared" si="85"/>
        <v>19770422</v>
      </c>
    </row>
    <row r="5457" s="1" customFormat="1" spans="1:13">
      <c r="A5457" s="2">
        <v>6701</v>
      </c>
      <c r="B5457" s="5" t="s">
        <v>13027</v>
      </c>
      <c r="C5457" s="15" t="s">
        <v>5770</v>
      </c>
      <c r="D5457" s="15" t="s">
        <v>13376</v>
      </c>
      <c r="E5457" s="5">
        <v>2020</v>
      </c>
      <c r="F5457" s="5">
        <v>2020</v>
      </c>
      <c r="G5457" s="14" t="s">
        <v>16</v>
      </c>
      <c r="H5457" s="15">
        <v>200</v>
      </c>
      <c r="I5457" s="15">
        <v>200</v>
      </c>
      <c r="J5457" s="5"/>
      <c r="K5457" s="10"/>
      <c r="L5457" s="10">
        <v>20201118</v>
      </c>
      <c r="M5457" s="36" t="str">
        <f t="shared" si="85"/>
        <v>19770422</v>
      </c>
    </row>
    <row r="5458" s="1" customFormat="1" spans="1:13">
      <c r="A5458" s="2">
        <v>8126</v>
      </c>
      <c r="B5458" s="5" t="s">
        <v>15406</v>
      </c>
      <c r="C5458" s="6" t="s">
        <v>15445</v>
      </c>
      <c r="D5458" s="6" t="s">
        <v>15446</v>
      </c>
      <c r="E5458" s="5" t="s">
        <v>15</v>
      </c>
      <c r="F5458" s="5">
        <v>2020</v>
      </c>
      <c r="G5458" s="14" t="s">
        <v>16</v>
      </c>
      <c r="H5458" s="6" t="s">
        <v>311</v>
      </c>
      <c r="I5458" s="6">
        <v>200</v>
      </c>
      <c r="J5458" s="5"/>
      <c r="K5458" s="10"/>
      <c r="L5458" s="10">
        <v>20201118</v>
      </c>
      <c r="M5458" s="36" t="str">
        <f t="shared" si="85"/>
        <v>19770422</v>
      </c>
    </row>
    <row r="5459" s="1" customFormat="1" spans="1:13">
      <c r="A5459" s="2">
        <v>4923</v>
      </c>
      <c r="B5459" s="6" t="s">
        <v>9954</v>
      </c>
      <c r="C5459" s="60" t="s">
        <v>9987</v>
      </c>
      <c r="D5459" s="60" t="s">
        <v>9988</v>
      </c>
      <c r="E5459" s="5" t="s">
        <v>15</v>
      </c>
      <c r="F5459" s="5" t="s">
        <v>15</v>
      </c>
      <c r="G5459" s="14" t="s">
        <v>16</v>
      </c>
      <c r="H5459" s="6">
        <v>200</v>
      </c>
      <c r="I5459" s="6">
        <v>200</v>
      </c>
      <c r="J5459" s="6"/>
      <c r="K5459" s="6"/>
      <c r="L5459" s="10">
        <v>20201118</v>
      </c>
      <c r="M5459" s="36" t="str">
        <f t="shared" si="85"/>
        <v>19770423</v>
      </c>
    </row>
    <row r="5460" s="1" customFormat="1" spans="1:13">
      <c r="A5460" s="2">
        <v>6276</v>
      </c>
      <c r="B5460" s="5" t="s">
        <v>12263</v>
      </c>
      <c r="C5460" s="5" t="s">
        <v>12574</v>
      </c>
      <c r="D5460" s="5" t="s">
        <v>12575</v>
      </c>
      <c r="E5460" s="5" t="s">
        <v>10250</v>
      </c>
      <c r="F5460" s="5">
        <v>2020</v>
      </c>
      <c r="G5460" s="17" t="s">
        <v>3359</v>
      </c>
      <c r="H5460" s="5">
        <v>500</v>
      </c>
      <c r="I5460" s="5">
        <v>500</v>
      </c>
      <c r="J5460" s="5"/>
      <c r="K5460" s="5"/>
      <c r="L5460" s="10">
        <v>20201118</v>
      </c>
      <c r="M5460" s="36" t="str">
        <f t="shared" si="85"/>
        <v>19770423</v>
      </c>
    </row>
    <row r="5461" s="1" customFormat="1" spans="1:13">
      <c r="A5461" s="2">
        <v>4817</v>
      </c>
      <c r="B5461" s="6" t="s">
        <v>9015</v>
      </c>
      <c r="C5461" s="6" t="s">
        <v>9782</v>
      </c>
      <c r="D5461" s="6" t="s">
        <v>9783</v>
      </c>
      <c r="E5461" s="6">
        <v>2020</v>
      </c>
      <c r="F5461" s="6">
        <v>2020</v>
      </c>
      <c r="G5461" s="6" t="s">
        <v>16</v>
      </c>
      <c r="H5461" s="6">
        <v>200</v>
      </c>
      <c r="I5461" s="6">
        <v>200</v>
      </c>
      <c r="J5461" s="6"/>
      <c r="K5461" s="6"/>
      <c r="L5461" s="10">
        <v>20201118</v>
      </c>
      <c r="M5461" s="36" t="str">
        <f t="shared" si="85"/>
        <v>19770427</v>
      </c>
    </row>
    <row r="5462" s="1" customFormat="1" spans="1:13">
      <c r="A5462" s="2">
        <v>2682</v>
      </c>
      <c r="B5462" s="32" t="s">
        <v>5602</v>
      </c>
      <c r="C5462" s="9" t="s">
        <v>5897</v>
      </c>
      <c r="D5462" s="9" t="s">
        <v>5898</v>
      </c>
      <c r="E5462" s="32">
        <v>2020</v>
      </c>
      <c r="F5462" s="32">
        <v>2020</v>
      </c>
      <c r="G5462" s="32" t="s">
        <v>16</v>
      </c>
      <c r="H5462" s="9">
        <v>200</v>
      </c>
      <c r="I5462" s="9">
        <v>200</v>
      </c>
      <c r="J5462" s="32" t="s">
        <v>5625</v>
      </c>
      <c r="K5462" s="52"/>
      <c r="L5462" s="10">
        <v>20201118</v>
      </c>
      <c r="M5462" s="36" t="str">
        <f t="shared" si="85"/>
        <v>19770429</v>
      </c>
    </row>
    <row r="5463" s="1" customFormat="1" spans="1:13">
      <c r="A5463" s="2">
        <v>1183</v>
      </c>
      <c r="B5463" s="5" t="s">
        <v>2469</v>
      </c>
      <c r="C5463" s="9" t="s">
        <v>2950</v>
      </c>
      <c r="D5463" s="9" t="s">
        <v>2951</v>
      </c>
      <c r="E5463" s="5">
        <v>2020</v>
      </c>
      <c r="F5463" s="5">
        <v>2020</v>
      </c>
      <c r="G5463" s="9" t="s">
        <v>2480</v>
      </c>
      <c r="H5463" s="9">
        <v>200</v>
      </c>
      <c r="I5463" s="9">
        <v>200</v>
      </c>
      <c r="J5463" s="5"/>
      <c r="K5463" s="5"/>
      <c r="L5463" s="10">
        <v>20201118</v>
      </c>
      <c r="M5463" s="36" t="str">
        <f t="shared" si="85"/>
        <v>19770430</v>
      </c>
    </row>
    <row r="5464" s="1" customFormat="1" spans="1:13">
      <c r="A5464" s="2">
        <v>653</v>
      </c>
      <c r="B5464" s="29" t="s">
        <v>1040</v>
      </c>
      <c r="C5464" s="47" t="s">
        <v>1612</v>
      </c>
      <c r="D5464" s="47" t="s">
        <v>1613</v>
      </c>
      <c r="E5464" s="30">
        <v>2020</v>
      </c>
      <c r="F5464" s="30">
        <v>2020</v>
      </c>
      <c r="G5464" s="29" t="s">
        <v>16</v>
      </c>
      <c r="H5464" s="29">
        <v>200</v>
      </c>
      <c r="I5464" s="29">
        <v>200</v>
      </c>
      <c r="J5464" s="29"/>
      <c r="K5464" s="47"/>
      <c r="L5464" s="2" t="s">
        <v>330</v>
      </c>
      <c r="M5464" s="36" t="str">
        <f t="shared" si="85"/>
        <v>19770501</v>
      </c>
    </row>
    <row r="5465" s="1" customFormat="1" spans="1:13">
      <c r="A5465" s="2">
        <v>6702</v>
      </c>
      <c r="B5465" s="5" t="s">
        <v>13027</v>
      </c>
      <c r="C5465" s="15" t="s">
        <v>13377</v>
      </c>
      <c r="D5465" s="15" t="s">
        <v>13378</v>
      </c>
      <c r="E5465" s="5">
        <v>2020</v>
      </c>
      <c r="F5465" s="5">
        <v>2020</v>
      </c>
      <c r="G5465" s="14" t="s">
        <v>16</v>
      </c>
      <c r="H5465" s="15">
        <v>200</v>
      </c>
      <c r="I5465" s="15">
        <v>200</v>
      </c>
      <c r="J5465" s="5"/>
      <c r="K5465" s="10"/>
      <c r="L5465" s="10">
        <v>20201118</v>
      </c>
      <c r="M5465" s="36" t="str">
        <f t="shared" si="85"/>
        <v>19770501</v>
      </c>
    </row>
    <row r="5466" s="1" customFormat="1" spans="1:13">
      <c r="A5466" s="2">
        <v>6283</v>
      </c>
      <c r="B5466" s="5" t="s">
        <v>12263</v>
      </c>
      <c r="C5466" s="5" t="s">
        <v>12587</v>
      </c>
      <c r="D5466" s="5" t="s">
        <v>12588</v>
      </c>
      <c r="E5466" s="5" t="s">
        <v>10250</v>
      </c>
      <c r="F5466" s="5">
        <v>2020</v>
      </c>
      <c r="G5466" s="17" t="s">
        <v>3359</v>
      </c>
      <c r="H5466" s="5">
        <v>500</v>
      </c>
      <c r="I5466" s="5">
        <v>500</v>
      </c>
      <c r="J5466" s="5"/>
      <c r="K5466" s="5"/>
      <c r="L5466" s="10">
        <v>20201118</v>
      </c>
      <c r="M5466" s="36" t="str">
        <f t="shared" si="85"/>
        <v>19770502</v>
      </c>
    </row>
    <row r="5467" s="1" customFormat="1" spans="1:13">
      <c r="A5467" s="2">
        <v>2484</v>
      </c>
      <c r="B5467" s="5" t="s">
        <v>5328</v>
      </c>
      <c r="C5467" s="16" t="s">
        <v>5504</v>
      </c>
      <c r="D5467" s="16" t="s">
        <v>5505</v>
      </c>
      <c r="E5467" s="5" t="s">
        <v>15</v>
      </c>
      <c r="F5467" s="5" t="s">
        <v>15</v>
      </c>
      <c r="G5467" s="14" t="s">
        <v>16</v>
      </c>
      <c r="H5467" s="6">
        <v>200</v>
      </c>
      <c r="I5467" s="6">
        <v>200</v>
      </c>
      <c r="J5467" s="5"/>
      <c r="K5467" s="5"/>
      <c r="L5467" s="10">
        <v>20201118</v>
      </c>
      <c r="M5467" s="36" t="str">
        <f t="shared" si="85"/>
        <v>19770508</v>
      </c>
    </row>
    <row r="5468" s="1" customFormat="1" spans="1:13">
      <c r="A5468" s="2">
        <v>5151</v>
      </c>
      <c r="B5468" s="6" t="s">
        <v>10242</v>
      </c>
      <c r="C5468" s="9" t="s">
        <v>10428</v>
      </c>
      <c r="D5468" s="9" t="s">
        <v>10429</v>
      </c>
      <c r="E5468" s="5" t="s">
        <v>10250</v>
      </c>
      <c r="F5468" s="5">
        <v>2020</v>
      </c>
      <c r="G5468" s="6" t="s">
        <v>16</v>
      </c>
      <c r="H5468" s="6">
        <v>200</v>
      </c>
      <c r="I5468" s="6">
        <v>200</v>
      </c>
      <c r="J5468" s="6"/>
      <c r="K5468" s="5"/>
      <c r="L5468" s="10">
        <v>20201118</v>
      </c>
      <c r="M5468" s="36" t="str">
        <f t="shared" si="85"/>
        <v>19770510</v>
      </c>
    </row>
    <row r="5469" s="1" customFormat="1" spans="1:13">
      <c r="A5469" s="2">
        <v>5943</v>
      </c>
      <c r="B5469" s="30" t="s">
        <v>11090</v>
      </c>
      <c r="C5469" s="6" t="s">
        <v>11933</v>
      </c>
      <c r="D5469" s="306" t="s">
        <v>11934</v>
      </c>
      <c r="E5469" s="5" t="s">
        <v>15</v>
      </c>
      <c r="F5469" s="5" t="s">
        <v>10250</v>
      </c>
      <c r="G5469" s="6" t="s">
        <v>16</v>
      </c>
      <c r="H5469" s="32">
        <v>200</v>
      </c>
      <c r="I5469" s="32">
        <v>200</v>
      </c>
      <c r="J5469" s="6"/>
      <c r="K5469" s="48"/>
      <c r="L5469" s="10">
        <v>20201118</v>
      </c>
      <c r="M5469" s="36" t="str">
        <f t="shared" si="85"/>
        <v>19770512</v>
      </c>
    </row>
    <row r="5470" s="1" customFormat="1" spans="1:13">
      <c r="A5470" s="2">
        <v>1184</v>
      </c>
      <c r="B5470" s="5" t="s">
        <v>2469</v>
      </c>
      <c r="C5470" s="9" t="s">
        <v>2952</v>
      </c>
      <c r="D5470" s="9" t="s">
        <v>2953</v>
      </c>
      <c r="E5470" s="5">
        <v>2020</v>
      </c>
      <c r="F5470" s="5">
        <v>2020</v>
      </c>
      <c r="G5470" s="9" t="s">
        <v>2480</v>
      </c>
      <c r="H5470" s="9">
        <v>200</v>
      </c>
      <c r="I5470" s="9">
        <v>200</v>
      </c>
      <c r="J5470" s="5"/>
      <c r="K5470" s="5"/>
      <c r="L5470" s="10">
        <v>20201118</v>
      </c>
      <c r="M5470" s="36" t="str">
        <f t="shared" si="85"/>
        <v>19770516</v>
      </c>
    </row>
    <row r="5471" s="1" customFormat="1" spans="1:13">
      <c r="A5471" s="2">
        <v>3206</v>
      </c>
      <c r="B5471" s="3" t="s">
        <v>6671</v>
      </c>
      <c r="C5471" s="9" t="s">
        <v>187</v>
      </c>
      <c r="D5471" s="9" t="s">
        <v>6921</v>
      </c>
      <c r="E5471" s="3" t="s">
        <v>15</v>
      </c>
      <c r="F5471" s="3" t="s">
        <v>15</v>
      </c>
      <c r="G5471" s="6" t="s">
        <v>3359</v>
      </c>
      <c r="H5471" s="9">
        <v>200</v>
      </c>
      <c r="I5471" s="9">
        <v>200</v>
      </c>
      <c r="J5471" s="6"/>
      <c r="K5471" s="5"/>
      <c r="L5471" s="10">
        <v>20201118</v>
      </c>
      <c r="M5471" s="36" t="str">
        <f t="shared" si="85"/>
        <v>19770518</v>
      </c>
    </row>
    <row r="5472" s="1" customFormat="1" spans="1:13">
      <c r="A5472" s="2">
        <v>6703</v>
      </c>
      <c r="B5472" s="5" t="s">
        <v>13027</v>
      </c>
      <c r="C5472" s="15" t="s">
        <v>9027</v>
      </c>
      <c r="D5472" s="15" t="s">
        <v>13379</v>
      </c>
      <c r="E5472" s="5">
        <v>2020</v>
      </c>
      <c r="F5472" s="5">
        <v>2020</v>
      </c>
      <c r="G5472" s="14" t="s">
        <v>16</v>
      </c>
      <c r="H5472" s="15">
        <v>200</v>
      </c>
      <c r="I5472" s="15">
        <v>200</v>
      </c>
      <c r="J5472" s="5"/>
      <c r="K5472" s="10"/>
      <c r="L5472" s="10">
        <v>20201118</v>
      </c>
      <c r="M5472" s="36" t="str">
        <f t="shared" si="85"/>
        <v>19770519</v>
      </c>
    </row>
    <row r="5473" s="1" customFormat="1" ht="14.25" spans="1:13">
      <c r="A5473" s="2">
        <v>5383</v>
      </c>
      <c r="B5473" s="33" t="s">
        <v>10535</v>
      </c>
      <c r="C5473" s="34" t="s">
        <v>10873</v>
      </c>
      <c r="D5473" s="34" t="s">
        <v>10874</v>
      </c>
      <c r="E5473" s="35">
        <v>2020</v>
      </c>
      <c r="F5473" s="35">
        <v>2020</v>
      </c>
      <c r="G5473" s="35" t="s">
        <v>16</v>
      </c>
      <c r="H5473" s="34">
        <v>200</v>
      </c>
      <c r="I5473" s="34">
        <v>200</v>
      </c>
      <c r="J5473" s="49"/>
      <c r="K5473" s="10"/>
      <c r="L5473" s="10">
        <v>20201118</v>
      </c>
      <c r="M5473" s="36" t="str">
        <f t="shared" si="85"/>
        <v>19770520</v>
      </c>
    </row>
    <row r="5474" s="1" customFormat="1" spans="1:13">
      <c r="A5474" s="2">
        <v>7244</v>
      </c>
      <c r="B5474" s="5" t="s">
        <v>13908</v>
      </c>
      <c r="C5474" s="5" t="s">
        <v>14131</v>
      </c>
      <c r="D5474" s="5" t="s">
        <v>14132</v>
      </c>
      <c r="E5474" s="5" t="s">
        <v>15</v>
      </c>
      <c r="F5474" s="5" t="s">
        <v>15</v>
      </c>
      <c r="G5474" s="14" t="s">
        <v>16</v>
      </c>
      <c r="H5474" s="17">
        <v>200</v>
      </c>
      <c r="I5474" s="17">
        <v>200</v>
      </c>
      <c r="J5474" s="5"/>
      <c r="K5474" s="10"/>
      <c r="L5474" s="10">
        <v>20201118</v>
      </c>
      <c r="M5474" s="36" t="str">
        <f t="shared" si="85"/>
        <v>19770522</v>
      </c>
    </row>
    <row r="5475" s="1" customFormat="1" spans="1:13">
      <c r="A5475" s="2">
        <v>6100</v>
      </c>
      <c r="B5475" s="30" t="s">
        <v>11090</v>
      </c>
      <c r="C5475" s="32" t="s">
        <v>8284</v>
      </c>
      <c r="D5475" s="315" t="s">
        <v>12237</v>
      </c>
      <c r="E5475" s="5" t="s">
        <v>15</v>
      </c>
      <c r="F5475" s="5" t="s">
        <v>10250</v>
      </c>
      <c r="G5475" s="6" t="s">
        <v>16</v>
      </c>
      <c r="H5475" s="32">
        <v>200</v>
      </c>
      <c r="I5475" s="32">
        <v>200</v>
      </c>
      <c r="J5475" s="5"/>
      <c r="K5475" s="48"/>
      <c r="L5475" s="10">
        <v>20201118</v>
      </c>
      <c r="M5475" s="36" t="str">
        <f t="shared" si="85"/>
        <v>19770526</v>
      </c>
    </row>
    <row r="5476" s="1" customFormat="1" spans="1:13">
      <c r="A5476" s="2">
        <v>3972</v>
      </c>
      <c r="B5476" s="5" t="s">
        <v>7412</v>
      </c>
      <c r="C5476" s="5" t="s">
        <v>8165</v>
      </c>
      <c r="D5476" s="5" t="s">
        <v>8166</v>
      </c>
      <c r="E5476" s="6">
        <v>2020</v>
      </c>
      <c r="F5476" s="6">
        <v>2020</v>
      </c>
      <c r="G5476" s="5" t="s">
        <v>3359</v>
      </c>
      <c r="H5476" s="5">
        <v>200</v>
      </c>
      <c r="I5476" s="5">
        <v>200</v>
      </c>
      <c r="J5476" s="5"/>
      <c r="K5476" s="5"/>
      <c r="L5476" s="10">
        <v>20201118</v>
      </c>
      <c r="M5476" s="36" t="str">
        <f t="shared" si="85"/>
        <v>19770528</v>
      </c>
    </row>
    <row r="5477" s="1" customFormat="1" spans="1:13">
      <c r="A5477" s="2">
        <v>96</v>
      </c>
      <c r="B5477" s="3" t="s">
        <v>12</v>
      </c>
      <c r="C5477" s="6" t="s">
        <v>208</v>
      </c>
      <c r="D5477" s="6" t="s">
        <v>209</v>
      </c>
      <c r="E5477" s="3" t="s">
        <v>15</v>
      </c>
      <c r="F5477" s="3" t="s">
        <v>15</v>
      </c>
      <c r="G5477" s="2" t="s">
        <v>16</v>
      </c>
      <c r="H5477" s="3">
        <v>200</v>
      </c>
      <c r="I5477" s="3">
        <v>200</v>
      </c>
      <c r="J5477" s="3"/>
      <c r="K5477" s="3"/>
      <c r="L5477" s="10">
        <v>20201118</v>
      </c>
      <c r="M5477" s="36" t="str">
        <f t="shared" si="85"/>
        <v>19770602</v>
      </c>
    </row>
    <row r="5478" s="1" customFormat="1" spans="1:13">
      <c r="A5478" s="2">
        <v>1942</v>
      </c>
      <c r="B5478" s="5" t="s">
        <v>4189</v>
      </c>
      <c r="C5478" s="16" t="s">
        <v>4443</v>
      </c>
      <c r="D5478" s="16" t="s">
        <v>4444</v>
      </c>
      <c r="E5478" s="5" t="s">
        <v>15</v>
      </c>
      <c r="F5478" s="5" t="s">
        <v>15</v>
      </c>
      <c r="G5478" s="5" t="s">
        <v>3359</v>
      </c>
      <c r="H5478" s="16">
        <v>500</v>
      </c>
      <c r="I5478" s="16">
        <v>500</v>
      </c>
      <c r="J5478" s="5"/>
      <c r="K5478" s="10"/>
      <c r="L5478" s="10">
        <v>20201118</v>
      </c>
      <c r="M5478" s="36" t="str">
        <f t="shared" si="85"/>
        <v>19770604</v>
      </c>
    </row>
    <row r="5479" s="1" customFormat="1" spans="1:13">
      <c r="A5479" s="2">
        <v>921</v>
      </c>
      <c r="B5479" s="29" t="s">
        <v>1040</v>
      </c>
      <c r="C5479" s="6" t="s">
        <v>2410</v>
      </c>
      <c r="D5479" s="6" t="s">
        <v>2411</v>
      </c>
      <c r="E5479" s="30">
        <v>2020</v>
      </c>
      <c r="F5479" s="30">
        <v>2020</v>
      </c>
      <c r="G5479" s="29" t="s">
        <v>16</v>
      </c>
      <c r="H5479" s="29">
        <v>200</v>
      </c>
      <c r="I5479" s="29">
        <v>200</v>
      </c>
      <c r="J5479" s="32" t="s">
        <v>1242</v>
      </c>
      <c r="K5479" s="32"/>
      <c r="L5479" s="2" t="s">
        <v>330</v>
      </c>
      <c r="M5479" s="36" t="str">
        <f t="shared" si="85"/>
        <v>19770606</v>
      </c>
    </row>
    <row r="5480" s="1" customFormat="1" spans="1:13">
      <c r="A5480" s="2">
        <v>1185</v>
      </c>
      <c r="B5480" s="5" t="s">
        <v>2469</v>
      </c>
      <c r="C5480" s="9" t="s">
        <v>2954</v>
      </c>
      <c r="D5480" s="9" t="s">
        <v>2955</v>
      </c>
      <c r="E5480" s="5">
        <v>2020</v>
      </c>
      <c r="F5480" s="5">
        <v>2020</v>
      </c>
      <c r="G5480" s="9" t="s">
        <v>2480</v>
      </c>
      <c r="H5480" s="9">
        <v>200</v>
      </c>
      <c r="I5480" s="9">
        <v>200</v>
      </c>
      <c r="J5480" s="5"/>
      <c r="K5480" s="5"/>
      <c r="L5480" s="10">
        <v>20201118</v>
      </c>
      <c r="M5480" s="36" t="str">
        <f t="shared" si="85"/>
        <v>19770607</v>
      </c>
    </row>
    <row r="5481" s="1" customFormat="1" spans="1:13">
      <c r="A5481" s="2">
        <v>1186</v>
      </c>
      <c r="B5481" s="5" t="s">
        <v>2469</v>
      </c>
      <c r="C5481" s="9" t="s">
        <v>2956</v>
      </c>
      <c r="D5481" s="9" t="s">
        <v>2957</v>
      </c>
      <c r="E5481" s="5">
        <v>2020</v>
      </c>
      <c r="F5481" s="5">
        <v>2020</v>
      </c>
      <c r="G5481" s="9" t="s">
        <v>2480</v>
      </c>
      <c r="H5481" s="9">
        <v>200</v>
      </c>
      <c r="I5481" s="9">
        <v>200</v>
      </c>
      <c r="J5481" s="5"/>
      <c r="K5481" s="5"/>
      <c r="L5481" s="10">
        <v>20201118</v>
      </c>
      <c r="M5481" s="36" t="str">
        <f t="shared" si="85"/>
        <v>19770609</v>
      </c>
    </row>
    <row r="5482" s="1" customFormat="1" spans="1:13">
      <c r="A5482" s="2">
        <v>1699</v>
      </c>
      <c r="B5482" s="5" t="s">
        <v>3381</v>
      </c>
      <c r="C5482" s="9" t="s">
        <v>3959</v>
      </c>
      <c r="D5482" s="9" t="s">
        <v>3960</v>
      </c>
      <c r="E5482" s="5">
        <v>2020</v>
      </c>
      <c r="F5482" s="5">
        <v>2020</v>
      </c>
      <c r="G5482" s="14" t="s">
        <v>16</v>
      </c>
      <c r="H5482" s="6">
        <v>200</v>
      </c>
      <c r="I5482" s="6">
        <v>200</v>
      </c>
      <c r="J5482" s="5"/>
      <c r="K5482" s="13"/>
      <c r="L5482" s="10">
        <v>20201118</v>
      </c>
      <c r="M5482" s="36" t="str">
        <f t="shared" si="85"/>
        <v>19770610</v>
      </c>
    </row>
    <row r="5483" s="1" customFormat="1" spans="1:13">
      <c r="A5483" s="2">
        <v>2309</v>
      </c>
      <c r="B5483" s="9" t="s">
        <v>4837</v>
      </c>
      <c r="C5483" s="9" t="s">
        <v>5158</v>
      </c>
      <c r="D5483" s="9" t="s">
        <v>5159</v>
      </c>
      <c r="E5483" s="6" t="s">
        <v>15</v>
      </c>
      <c r="F5483" s="6">
        <v>2020</v>
      </c>
      <c r="G5483" s="9" t="s">
        <v>2480</v>
      </c>
      <c r="H5483" s="9">
        <v>200</v>
      </c>
      <c r="I5483" s="9">
        <v>200</v>
      </c>
      <c r="J5483" s="6"/>
      <c r="K5483" s="10"/>
      <c r="L5483" s="10">
        <v>20201118</v>
      </c>
      <c r="M5483" s="36" t="str">
        <f t="shared" si="85"/>
        <v>19770612</v>
      </c>
    </row>
    <row r="5484" s="1" customFormat="1" spans="1:13">
      <c r="A5484" s="2">
        <v>4337</v>
      </c>
      <c r="B5484" s="9" t="s">
        <v>8515</v>
      </c>
      <c r="C5484" s="9" t="s">
        <v>8865</v>
      </c>
      <c r="D5484" s="9" t="s">
        <v>8866</v>
      </c>
      <c r="E5484" s="5" t="s">
        <v>15</v>
      </c>
      <c r="F5484" s="5">
        <v>2020</v>
      </c>
      <c r="G5484" s="9" t="s">
        <v>2480</v>
      </c>
      <c r="H5484" s="9">
        <v>1000</v>
      </c>
      <c r="I5484" s="9">
        <v>1000</v>
      </c>
      <c r="J5484" s="9"/>
      <c r="K5484" s="9"/>
      <c r="L5484" s="10">
        <v>20201118</v>
      </c>
      <c r="M5484" s="36" t="str">
        <f t="shared" si="85"/>
        <v>19770613</v>
      </c>
    </row>
    <row r="5485" s="1" customFormat="1" spans="1:13">
      <c r="A5485" s="2">
        <v>1988</v>
      </c>
      <c r="B5485" s="5" t="s">
        <v>4189</v>
      </c>
      <c r="C5485" s="16" t="s">
        <v>3718</v>
      </c>
      <c r="D5485" s="16" t="s">
        <v>4534</v>
      </c>
      <c r="E5485" s="5" t="s">
        <v>15</v>
      </c>
      <c r="F5485" s="5" t="s">
        <v>15</v>
      </c>
      <c r="G5485" s="5" t="s">
        <v>3359</v>
      </c>
      <c r="H5485" s="16">
        <v>500</v>
      </c>
      <c r="I5485" s="16">
        <v>500</v>
      </c>
      <c r="J5485" s="5"/>
      <c r="K5485" s="10"/>
      <c r="L5485" s="10">
        <v>20201118</v>
      </c>
      <c r="M5485" s="36" t="str">
        <f t="shared" si="85"/>
        <v>19770615</v>
      </c>
    </row>
    <row r="5486" s="1" customFormat="1" spans="1:13">
      <c r="A5486" s="2">
        <v>2899</v>
      </c>
      <c r="B5486" s="6" t="s">
        <v>6075</v>
      </c>
      <c r="C5486" s="6" t="s">
        <v>6325</v>
      </c>
      <c r="D5486" s="6" t="s">
        <v>6326</v>
      </c>
      <c r="E5486" s="5" t="s">
        <v>15</v>
      </c>
      <c r="F5486" s="5">
        <v>2020</v>
      </c>
      <c r="G5486" s="6" t="s">
        <v>16</v>
      </c>
      <c r="H5486" s="6">
        <v>200</v>
      </c>
      <c r="I5486" s="6">
        <v>200</v>
      </c>
      <c r="J5486" s="6" t="s">
        <v>6097</v>
      </c>
      <c r="K5486" s="10"/>
      <c r="L5486" s="10">
        <v>20201118</v>
      </c>
      <c r="M5486" s="36" t="str">
        <f t="shared" si="85"/>
        <v>19770616</v>
      </c>
    </row>
    <row r="5487" s="1" customFormat="1" spans="1:13">
      <c r="A5487" s="2">
        <v>1700</v>
      </c>
      <c r="B5487" s="5" t="s">
        <v>3381</v>
      </c>
      <c r="C5487" s="9" t="s">
        <v>3961</v>
      </c>
      <c r="D5487" s="9" t="s">
        <v>3962</v>
      </c>
      <c r="E5487" s="5">
        <v>2020</v>
      </c>
      <c r="F5487" s="5">
        <v>2020</v>
      </c>
      <c r="G5487" s="14" t="s">
        <v>16</v>
      </c>
      <c r="H5487" s="6">
        <v>200</v>
      </c>
      <c r="I5487" s="6">
        <v>200</v>
      </c>
      <c r="J5487" s="5"/>
      <c r="K5487" s="13"/>
      <c r="L5487" s="10">
        <v>20201118</v>
      </c>
      <c r="M5487" s="36" t="str">
        <f t="shared" si="85"/>
        <v>19770617</v>
      </c>
    </row>
    <row r="5488" s="1" customFormat="1" spans="1:13">
      <c r="A5488" s="2">
        <v>6855</v>
      </c>
      <c r="B5488" s="5" t="s">
        <v>13533</v>
      </c>
      <c r="C5488" s="32" t="s">
        <v>13606</v>
      </c>
      <c r="D5488" s="32" t="str">
        <f>"152326197706197121"</f>
        <v>152326197706197121</v>
      </c>
      <c r="E5488" s="5">
        <v>2020</v>
      </c>
      <c r="F5488" s="5">
        <v>2020</v>
      </c>
      <c r="G5488" s="9" t="s">
        <v>2480</v>
      </c>
      <c r="H5488" s="32">
        <v>200</v>
      </c>
      <c r="I5488" s="32">
        <v>200</v>
      </c>
      <c r="J5488" s="62"/>
      <c r="K5488" s="10"/>
      <c r="L5488" s="10">
        <v>20201118</v>
      </c>
      <c r="M5488" s="36" t="str">
        <f t="shared" si="85"/>
        <v>19770619</v>
      </c>
    </row>
    <row r="5489" s="1" customFormat="1" spans="1:13">
      <c r="A5489" s="2">
        <v>2310</v>
      </c>
      <c r="B5489" s="9" t="s">
        <v>4837</v>
      </c>
      <c r="C5489" s="9" t="s">
        <v>5160</v>
      </c>
      <c r="D5489" s="9" t="s">
        <v>5161</v>
      </c>
      <c r="E5489" s="6" t="s">
        <v>15</v>
      </c>
      <c r="F5489" s="6">
        <v>2020</v>
      </c>
      <c r="G5489" s="9" t="s">
        <v>2480</v>
      </c>
      <c r="H5489" s="9">
        <v>200</v>
      </c>
      <c r="I5489" s="9">
        <v>200</v>
      </c>
      <c r="J5489" s="6"/>
      <c r="K5489" s="10"/>
      <c r="L5489" s="10">
        <v>20201118</v>
      </c>
      <c r="M5489" s="36" t="str">
        <f t="shared" si="85"/>
        <v>19770620</v>
      </c>
    </row>
    <row r="5490" s="1" customFormat="1" spans="1:13">
      <c r="A5490" s="2">
        <v>4753</v>
      </c>
      <c r="B5490" s="6" t="s">
        <v>9015</v>
      </c>
      <c r="C5490" s="6" t="s">
        <v>9661</v>
      </c>
      <c r="D5490" s="6" t="s">
        <v>9662</v>
      </c>
      <c r="E5490" s="6">
        <v>2020</v>
      </c>
      <c r="F5490" s="6">
        <v>2020</v>
      </c>
      <c r="G5490" s="6" t="s">
        <v>16</v>
      </c>
      <c r="H5490" s="6">
        <v>200</v>
      </c>
      <c r="I5490" s="6">
        <v>200</v>
      </c>
      <c r="J5490" s="6"/>
      <c r="K5490" s="6"/>
      <c r="L5490" s="10">
        <v>20201118</v>
      </c>
      <c r="M5490" s="36" t="str">
        <f t="shared" si="85"/>
        <v>19770624</v>
      </c>
    </row>
    <row r="5491" s="1" customFormat="1" spans="1:13">
      <c r="A5491" s="2">
        <v>1187</v>
      </c>
      <c r="B5491" s="5" t="s">
        <v>2469</v>
      </c>
      <c r="C5491" s="9" t="s">
        <v>2958</v>
      </c>
      <c r="D5491" s="9" t="s">
        <v>2959</v>
      </c>
      <c r="E5491" s="5">
        <v>2020</v>
      </c>
      <c r="F5491" s="5">
        <v>2020</v>
      </c>
      <c r="G5491" s="9" t="s">
        <v>2480</v>
      </c>
      <c r="H5491" s="9">
        <v>200</v>
      </c>
      <c r="I5491" s="9">
        <v>200</v>
      </c>
      <c r="J5491" s="5"/>
      <c r="K5491" s="5"/>
      <c r="L5491" s="10">
        <v>20201118</v>
      </c>
      <c r="M5491" s="36" t="str">
        <f t="shared" si="85"/>
        <v>19770625</v>
      </c>
    </row>
    <row r="5492" s="1" customFormat="1" spans="1:13">
      <c r="A5492" s="2">
        <v>3973</v>
      </c>
      <c r="B5492" s="5" t="s">
        <v>7412</v>
      </c>
      <c r="C5492" s="5" t="s">
        <v>8167</v>
      </c>
      <c r="D5492" s="5" t="s">
        <v>8168</v>
      </c>
      <c r="E5492" s="6">
        <v>2020</v>
      </c>
      <c r="F5492" s="6">
        <v>2020</v>
      </c>
      <c r="G5492" s="5" t="s">
        <v>3359</v>
      </c>
      <c r="H5492" s="5">
        <v>200</v>
      </c>
      <c r="I5492" s="5">
        <v>200</v>
      </c>
      <c r="J5492" s="5"/>
      <c r="K5492" s="5"/>
      <c r="L5492" s="10">
        <v>20201118</v>
      </c>
      <c r="M5492" s="36" t="str">
        <f t="shared" si="85"/>
        <v>19770627</v>
      </c>
    </row>
    <row r="5493" s="1" customFormat="1" spans="1:13">
      <c r="A5493" s="2">
        <v>3333</v>
      </c>
      <c r="B5493" s="5" t="s">
        <v>3375</v>
      </c>
      <c r="C5493" s="6" t="s">
        <v>7107</v>
      </c>
      <c r="D5493" s="6" t="s">
        <v>7108</v>
      </c>
      <c r="E5493" s="5" t="s">
        <v>15</v>
      </c>
      <c r="F5493" s="5">
        <v>2020</v>
      </c>
      <c r="G5493" s="14" t="s">
        <v>16</v>
      </c>
      <c r="H5493" s="17">
        <v>200</v>
      </c>
      <c r="I5493" s="17">
        <v>200</v>
      </c>
      <c r="J5493" s="6"/>
      <c r="K5493" s="10"/>
      <c r="L5493" s="10">
        <v>20201118</v>
      </c>
      <c r="M5493" s="36" t="str">
        <f t="shared" si="85"/>
        <v>19770628</v>
      </c>
    </row>
    <row r="5494" s="1" customFormat="1" spans="1:13">
      <c r="A5494" s="2">
        <v>6500</v>
      </c>
      <c r="B5494" s="5" t="s">
        <v>12263</v>
      </c>
      <c r="C5494" s="5" t="s">
        <v>13002</v>
      </c>
      <c r="D5494" s="5" t="s">
        <v>13003</v>
      </c>
      <c r="E5494" s="5" t="s">
        <v>15</v>
      </c>
      <c r="F5494" s="5">
        <v>2020</v>
      </c>
      <c r="G5494" s="5" t="s">
        <v>295</v>
      </c>
      <c r="H5494" s="5">
        <v>500</v>
      </c>
      <c r="I5494" s="5">
        <v>500</v>
      </c>
      <c r="J5494" s="5"/>
      <c r="K5494" s="5"/>
      <c r="L5494" s="10">
        <v>20201118</v>
      </c>
      <c r="M5494" s="36" t="str">
        <f t="shared" si="85"/>
        <v>19770701</v>
      </c>
    </row>
    <row r="5495" s="1" customFormat="1" ht="14.25" spans="1:13">
      <c r="A5495" s="2">
        <v>5974</v>
      </c>
      <c r="B5495" s="30" t="s">
        <v>11090</v>
      </c>
      <c r="C5495" s="32" t="s">
        <v>11995</v>
      </c>
      <c r="D5495" s="12" t="s">
        <v>11996</v>
      </c>
      <c r="E5495" s="5" t="s">
        <v>15</v>
      </c>
      <c r="F5495" s="5" t="s">
        <v>10250</v>
      </c>
      <c r="G5495" s="6" t="s">
        <v>16</v>
      </c>
      <c r="H5495" s="32">
        <v>200</v>
      </c>
      <c r="I5495" s="32">
        <v>200</v>
      </c>
      <c r="J5495" s="6"/>
      <c r="K5495" s="48"/>
      <c r="L5495" s="10">
        <v>20201118</v>
      </c>
      <c r="M5495" s="36" t="str">
        <f t="shared" si="85"/>
        <v>19770702</v>
      </c>
    </row>
    <row r="5496" s="1" customFormat="1" ht="14.25" spans="1:13">
      <c r="A5496" s="2">
        <v>5384</v>
      </c>
      <c r="B5496" s="33" t="s">
        <v>10535</v>
      </c>
      <c r="C5496" s="34" t="s">
        <v>10875</v>
      </c>
      <c r="D5496" s="34" t="s">
        <v>10876</v>
      </c>
      <c r="E5496" s="35">
        <v>2020</v>
      </c>
      <c r="F5496" s="35">
        <v>2020</v>
      </c>
      <c r="G5496" s="35" t="s">
        <v>16</v>
      </c>
      <c r="H5496" s="34">
        <v>200</v>
      </c>
      <c r="I5496" s="34">
        <v>200</v>
      </c>
      <c r="J5496" s="49"/>
      <c r="K5496" s="10"/>
      <c r="L5496" s="10">
        <v>20201118</v>
      </c>
      <c r="M5496" s="36" t="str">
        <f t="shared" si="85"/>
        <v>19770704</v>
      </c>
    </row>
    <row r="5497" s="1" customFormat="1" spans="1:13">
      <c r="A5497" s="2">
        <v>1701</v>
      </c>
      <c r="B5497" s="5" t="s">
        <v>3381</v>
      </c>
      <c r="C5497" s="9" t="s">
        <v>3963</v>
      </c>
      <c r="D5497" s="9" t="s">
        <v>3964</v>
      </c>
      <c r="E5497" s="5">
        <v>2020</v>
      </c>
      <c r="F5497" s="5">
        <v>2020</v>
      </c>
      <c r="G5497" s="14" t="s">
        <v>16</v>
      </c>
      <c r="H5497" s="6">
        <v>3000</v>
      </c>
      <c r="I5497" s="6">
        <v>3000</v>
      </c>
      <c r="J5497" s="5"/>
      <c r="K5497" s="13"/>
      <c r="L5497" s="10">
        <v>20201118</v>
      </c>
      <c r="M5497" s="36" t="str">
        <f t="shared" si="85"/>
        <v>19770706</v>
      </c>
    </row>
    <row r="5498" s="1" customFormat="1" spans="1:13">
      <c r="A5498" s="2">
        <v>1188</v>
      </c>
      <c r="B5498" s="5" t="s">
        <v>2469</v>
      </c>
      <c r="C5498" s="9" t="s">
        <v>2960</v>
      </c>
      <c r="D5498" s="9" t="s">
        <v>2961</v>
      </c>
      <c r="E5498" s="5">
        <v>2020</v>
      </c>
      <c r="F5498" s="5">
        <v>2020</v>
      </c>
      <c r="G5498" s="9" t="s">
        <v>2480</v>
      </c>
      <c r="H5498" s="9">
        <v>200</v>
      </c>
      <c r="I5498" s="9">
        <v>200</v>
      </c>
      <c r="J5498" s="5"/>
      <c r="K5498" s="5"/>
      <c r="L5498" s="10">
        <v>20201118</v>
      </c>
      <c r="M5498" s="36" t="str">
        <f t="shared" si="85"/>
        <v>19770707</v>
      </c>
    </row>
    <row r="5499" s="1" customFormat="1" spans="1:13">
      <c r="A5499" s="2">
        <v>6704</v>
      </c>
      <c r="B5499" s="5" t="s">
        <v>13027</v>
      </c>
      <c r="C5499" s="15" t="s">
        <v>13380</v>
      </c>
      <c r="D5499" s="15" t="s">
        <v>13381</v>
      </c>
      <c r="E5499" s="5">
        <v>2020</v>
      </c>
      <c r="F5499" s="5">
        <v>2020</v>
      </c>
      <c r="G5499" s="14" t="s">
        <v>16</v>
      </c>
      <c r="H5499" s="15">
        <v>200</v>
      </c>
      <c r="I5499" s="15">
        <v>200</v>
      </c>
      <c r="J5499" s="5"/>
      <c r="K5499" s="10"/>
      <c r="L5499" s="10">
        <v>20201118</v>
      </c>
      <c r="M5499" s="36" t="str">
        <f t="shared" si="85"/>
        <v>19770707</v>
      </c>
    </row>
    <row r="5500" s="1" customFormat="1" spans="1:13">
      <c r="A5500" s="2">
        <v>7917</v>
      </c>
      <c r="B5500" s="5" t="s">
        <v>15086</v>
      </c>
      <c r="C5500" s="6" t="s">
        <v>15194</v>
      </c>
      <c r="D5500" s="6" t="str">
        <f>"152326197707106885"</f>
        <v>152326197707106885</v>
      </c>
      <c r="E5500" s="5" t="s">
        <v>15</v>
      </c>
      <c r="F5500" s="5">
        <v>2020</v>
      </c>
      <c r="G5500" s="5" t="s">
        <v>16</v>
      </c>
      <c r="H5500" s="5">
        <v>500</v>
      </c>
      <c r="I5500" s="5">
        <v>500</v>
      </c>
      <c r="J5500" s="5"/>
      <c r="K5500" s="5"/>
      <c r="L5500" s="10">
        <v>20201118</v>
      </c>
      <c r="M5500" s="36" t="str">
        <f t="shared" si="85"/>
        <v>19770710</v>
      </c>
    </row>
    <row r="5501" s="1" customFormat="1" spans="1:13">
      <c r="A5501" s="2">
        <v>6705</v>
      </c>
      <c r="B5501" s="5" t="s">
        <v>13027</v>
      </c>
      <c r="C5501" s="15" t="s">
        <v>13382</v>
      </c>
      <c r="D5501" s="15" t="s">
        <v>13383</v>
      </c>
      <c r="E5501" s="5">
        <v>2020</v>
      </c>
      <c r="F5501" s="5">
        <v>2020</v>
      </c>
      <c r="G5501" s="14" t="s">
        <v>16</v>
      </c>
      <c r="H5501" s="15">
        <v>200</v>
      </c>
      <c r="I5501" s="15">
        <v>200</v>
      </c>
      <c r="J5501" s="5" t="s">
        <v>1242</v>
      </c>
      <c r="K5501" s="10"/>
      <c r="L5501" s="10">
        <v>20201118</v>
      </c>
      <c r="M5501" s="36" t="str">
        <f t="shared" si="85"/>
        <v>19770711</v>
      </c>
    </row>
    <row r="5502" s="1" customFormat="1" spans="1:13">
      <c r="A5502" s="2">
        <v>141</v>
      </c>
      <c r="B5502" s="3" t="s">
        <v>12</v>
      </c>
      <c r="C5502" s="3" t="s">
        <v>302</v>
      </c>
      <c r="D5502" s="3" t="s">
        <v>303</v>
      </c>
      <c r="E5502" s="3" t="s">
        <v>15</v>
      </c>
      <c r="F5502" s="3" t="s">
        <v>15</v>
      </c>
      <c r="G5502" s="3" t="s">
        <v>295</v>
      </c>
      <c r="H5502" s="3">
        <v>500</v>
      </c>
      <c r="I5502" s="3">
        <v>500</v>
      </c>
      <c r="J5502" s="3"/>
      <c r="K5502" s="3"/>
      <c r="L5502" s="10">
        <v>20201118</v>
      </c>
      <c r="M5502" s="36" t="str">
        <f t="shared" si="85"/>
        <v>19770712</v>
      </c>
    </row>
    <row r="5503" s="1" customFormat="1" spans="1:13">
      <c r="A5503" s="2">
        <v>6499</v>
      </c>
      <c r="B5503" s="5" t="s">
        <v>12263</v>
      </c>
      <c r="C5503" s="5" t="s">
        <v>13000</v>
      </c>
      <c r="D5503" s="5" t="s">
        <v>13001</v>
      </c>
      <c r="E5503" s="5" t="s">
        <v>15</v>
      </c>
      <c r="F5503" s="5">
        <v>2020</v>
      </c>
      <c r="G5503" s="5" t="s">
        <v>295</v>
      </c>
      <c r="H5503" s="5">
        <v>500</v>
      </c>
      <c r="I5503" s="5">
        <v>500</v>
      </c>
      <c r="J5503" s="5"/>
      <c r="K5503" s="5"/>
      <c r="L5503" s="10">
        <v>20201118</v>
      </c>
      <c r="M5503" s="36" t="str">
        <f t="shared" si="85"/>
        <v>19770714</v>
      </c>
    </row>
    <row r="5504" s="1" customFormat="1" spans="1:13">
      <c r="A5504" s="2">
        <v>4149</v>
      </c>
      <c r="B5504" s="5" t="s">
        <v>7412</v>
      </c>
      <c r="C5504" s="5" t="s">
        <v>8504</v>
      </c>
      <c r="D5504" s="296" t="s">
        <v>8505</v>
      </c>
      <c r="E5504" s="6">
        <v>2020</v>
      </c>
      <c r="F5504" s="6">
        <v>2020</v>
      </c>
      <c r="G5504" s="5" t="s">
        <v>189</v>
      </c>
      <c r="H5504" s="5">
        <v>200</v>
      </c>
      <c r="I5504" s="5">
        <v>200</v>
      </c>
      <c r="J5504" s="5"/>
      <c r="K5504" s="5"/>
      <c r="L5504" s="10">
        <v>20201118</v>
      </c>
      <c r="M5504" s="36" t="str">
        <f t="shared" si="85"/>
        <v>19770715</v>
      </c>
    </row>
    <row r="5505" s="1" customFormat="1" ht="14.25" spans="1:13">
      <c r="A5505" s="2">
        <v>5385</v>
      </c>
      <c r="B5505" s="33" t="s">
        <v>10535</v>
      </c>
      <c r="C5505" s="34" t="s">
        <v>10877</v>
      </c>
      <c r="D5505" s="34" t="s">
        <v>10878</v>
      </c>
      <c r="E5505" s="35">
        <v>2020</v>
      </c>
      <c r="F5505" s="35">
        <v>2020</v>
      </c>
      <c r="G5505" s="35" t="s">
        <v>16</v>
      </c>
      <c r="H5505" s="34">
        <v>200</v>
      </c>
      <c r="I5505" s="34">
        <v>200</v>
      </c>
      <c r="J5505" s="49"/>
      <c r="K5505" s="10"/>
      <c r="L5505" s="10">
        <v>20201118</v>
      </c>
      <c r="M5505" s="36" t="str">
        <f t="shared" si="85"/>
        <v>19770715</v>
      </c>
    </row>
    <row r="5506" s="1" customFormat="1" spans="1:13">
      <c r="A5506" s="2">
        <v>3216</v>
      </c>
      <c r="B5506" s="3" t="s">
        <v>6671</v>
      </c>
      <c r="C5506" s="9" t="s">
        <v>6939</v>
      </c>
      <c r="D5506" s="9" t="s">
        <v>6940</v>
      </c>
      <c r="E5506" s="3" t="s">
        <v>15</v>
      </c>
      <c r="F5506" s="3" t="s">
        <v>15</v>
      </c>
      <c r="G5506" s="6" t="s">
        <v>3359</v>
      </c>
      <c r="H5506" s="9">
        <v>200</v>
      </c>
      <c r="I5506" s="9">
        <v>200</v>
      </c>
      <c r="J5506" s="6" t="s">
        <v>6753</v>
      </c>
      <c r="K5506" s="5"/>
      <c r="L5506" s="10">
        <v>20201118</v>
      </c>
      <c r="M5506" s="36" t="str">
        <f t="shared" ref="M5506:M5569" si="86">MID(D5506,7,8)</f>
        <v>19770716</v>
      </c>
    </row>
    <row r="5507" s="1" customFormat="1" spans="1:13">
      <c r="A5507" s="2">
        <v>6521</v>
      </c>
      <c r="B5507" s="5" t="s">
        <v>13027</v>
      </c>
      <c r="C5507" s="15" t="s">
        <v>1518</v>
      </c>
      <c r="D5507" s="15" t="s">
        <v>13040</v>
      </c>
      <c r="E5507" s="5">
        <v>2020</v>
      </c>
      <c r="F5507" s="5">
        <v>2020</v>
      </c>
      <c r="G5507" s="14" t="s">
        <v>16</v>
      </c>
      <c r="H5507" s="15">
        <v>200</v>
      </c>
      <c r="I5507" s="15">
        <v>200</v>
      </c>
      <c r="J5507" s="5" t="s">
        <v>1242</v>
      </c>
      <c r="K5507" s="10"/>
      <c r="L5507" s="10">
        <v>20201118</v>
      </c>
      <c r="M5507" s="36" t="str">
        <f t="shared" si="86"/>
        <v>19770716</v>
      </c>
    </row>
    <row r="5508" s="1" customFormat="1" ht="14.25" spans="1:13">
      <c r="A5508" s="2">
        <v>5386</v>
      </c>
      <c r="B5508" s="33" t="s">
        <v>10535</v>
      </c>
      <c r="C5508" s="34" t="s">
        <v>10879</v>
      </c>
      <c r="D5508" s="34" t="s">
        <v>10880</v>
      </c>
      <c r="E5508" s="35">
        <v>2020</v>
      </c>
      <c r="F5508" s="35">
        <v>2020</v>
      </c>
      <c r="G5508" s="35" t="s">
        <v>16</v>
      </c>
      <c r="H5508" s="34">
        <v>200</v>
      </c>
      <c r="I5508" s="34">
        <v>200</v>
      </c>
      <c r="J5508" s="49"/>
      <c r="K5508" s="10"/>
      <c r="L5508" s="10">
        <v>20201118</v>
      </c>
      <c r="M5508" s="36" t="str">
        <f t="shared" si="86"/>
        <v>19770722</v>
      </c>
    </row>
    <row r="5509" s="1" customFormat="1" spans="1:13">
      <c r="A5509" s="2">
        <v>1189</v>
      </c>
      <c r="B5509" s="5" t="s">
        <v>2469</v>
      </c>
      <c r="C5509" s="9" t="s">
        <v>2962</v>
      </c>
      <c r="D5509" s="9" t="s">
        <v>2963</v>
      </c>
      <c r="E5509" s="5">
        <v>2020</v>
      </c>
      <c r="F5509" s="5">
        <v>2020</v>
      </c>
      <c r="G5509" s="9" t="s">
        <v>2480</v>
      </c>
      <c r="H5509" s="9">
        <v>200</v>
      </c>
      <c r="I5509" s="9">
        <v>200</v>
      </c>
      <c r="J5509" s="5"/>
      <c r="K5509" s="5"/>
      <c r="L5509" s="10">
        <v>20201118</v>
      </c>
      <c r="M5509" s="36" t="str">
        <f t="shared" si="86"/>
        <v>19770723</v>
      </c>
    </row>
    <row r="5510" s="1" customFormat="1" spans="1:13">
      <c r="A5510" s="2">
        <v>329</v>
      </c>
      <c r="B5510" s="14" t="s">
        <v>327</v>
      </c>
      <c r="C5510" s="17" t="s">
        <v>875</v>
      </c>
      <c r="D5510" s="306" t="s">
        <v>876</v>
      </c>
      <c r="E5510" s="5">
        <v>2020</v>
      </c>
      <c r="F5510" s="5">
        <v>2020</v>
      </c>
      <c r="G5510" s="14" t="s">
        <v>16</v>
      </c>
      <c r="H5510" s="17">
        <v>200</v>
      </c>
      <c r="I5510" s="17">
        <v>200</v>
      </c>
      <c r="J5510" s="17"/>
      <c r="K5510" s="10"/>
      <c r="L5510" s="2" t="s">
        <v>330</v>
      </c>
      <c r="M5510" s="36" t="str">
        <f t="shared" si="86"/>
        <v>19770724</v>
      </c>
    </row>
    <row r="5511" s="1" customFormat="1" spans="1:13">
      <c r="A5511" s="2">
        <v>3338</v>
      </c>
      <c r="B5511" s="5" t="s">
        <v>3375</v>
      </c>
      <c r="C5511" s="6" t="s">
        <v>7112</v>
      </c>
      <c r="D5511" s="6" t="str">
        <f>"152326197707246861"</f>
        <v>152326197707246861</v>
      </c>
      <c r="E5511" s="5" t="s">
        <v>15</v>
      </c>
      <c r="F5511" s="5">
        <v>2020</v>
      </c>
      <c r="G5511" s="14" t="s">
        <v>16</v>
      </c>
      <c r="H5511" s="17">
        <v>500</v>
      </c>
      <c r="I5511" s="17">
        <v>500</v>
      </c>
      <c r="J5511" s="6"/>
      <c r="K5511" s="10"/>
      <c r="L5511" s="10">
        <v>20201118</v>
      </c>
      <c r="M5511" s="36" t="str">
        <f t="shared" si="86"/>
        <v>19770724</v>
      </c>
    </row>
    <row r="5512" s="1" customFormat="1" ht="14.25" spans="1:13">
      <c r="A5512" s="2">
        <v>7674</v>
      </c>
      <c r="B5512" s="5" t="s">
        <v>14875</v>
      </c>
      <c r="C5512" s="51" t="s">
        <v>14916</v>
      </c>
      <c r="D5512" s="24" t="str">
        <f>"152326197707264306"</f>
        <v>152326197707264306</v>
      </c>
      <c r="E5512" s="6" t="s">
        <v>15</v>
      </c>
      <c r="F5512" s="6">
        <v>2020</v>
      </c>
      <c r="G5512" s="24" t="s">
        <v>14877</v>
      </c>
      <c r="H5512" s="6">
        <v>200</v>
      </c>
      <c r="I5512" s="6">
        <v>200</v>
      </c>
      <c r="J5512" s="6"/>
      <c r="K5512" s="10"/>
      <c r="L5512" s="10">
        <v>20201118</v>
      </c>
      <c r="M5512" s="36" t="str">
        <f t="shared" si="86"/>
        <v>19770726</v>
      </c>
    </row>
    <row r="5513" s="1" customFormat="1" spans="1:13">
      <c r="A5513" s="2">
        <v>938</v>
      </c>
      <c r="B5513" s="29" t="s">
        <v>1040</v>
      </c>
      <c r="C5513" s="6" t="s">
        <v>2462</v>
      </c>
      <c r="D5513" s="6" t="s">
        <v>2463</v>
      </c>
      <c r="E5513" s="30" t="s">
        <v>15</v>
      </c>
      <c r="F5513" s="30">
        <v>2020</v>
      </c>
      <c r="G5513" s="29" t="s">
        <v>2464</v>
      </c>
      <c r="H5513" s="29">
        <v>200</v>
      </c>
      <c r="I5513" s="29">
        <v>200</v>
      </c>
      <c r="J5513" s="32"/>
      <c r="K5513" s="32"/>
      <c r="L5513" s="2" t="s">
        <v>330</v>
      </c>
      <c r="M5513" s="36" t="str">
        <f t="shared" si="86"/>
        <v>19770727</v>
      </c>
    </row>
    <row r="5514" s="1" customFormat="1" ht="14.25" spans="1:13">
      <c r="A5514" s="2">
        <v>7805</v>
      </c>
      <c r="B5514" s="5" t="s">
        <v>14875</v>
      </c>
      <c r="C5514" s="6" t="s">
        <v>15058</v>
      </c>
      <c r="D5514" s="6" t="str">
        <f>"152326197707287110"</f>
        <v>152326197707287110</v>
      </c>
      <c r="E5514" s="6" t="s">
        <v>15</v>
      </c>
      <c r="F5514" s="6">
        <v>2020</v>
      </c>
      <c r="G5514" s="24" t="s">
        <v>14877</v>
      </c>
      <c r="H5514" s="6">
        <v>200</v>
      </c>
      <c r="I5514" s="6">
        <v>200</v>
      </c>
      <c r="J5514" s="6"/>
      <c r="K5514" s="10"/>
      <c r="L5514" s="10">
        <v>20201118</v>
      </c>
      <c r="M5514" s="36" t="str">
        <f t="shared" si="86"/>
        <v>19770728</v>
      </c>
    </row>
    <row r="5515" s="1" customFormat="1" spans="1:13">
      <c r="A5515" s="2">
        <v>437</v>
      </c>
      <c r="B5515" s="29" t="s">
        <v>1040</v>
      </c>
      <c r="C5515" s="29" t="s">
        <v>1150</v>
      </c>
      <c r="D5515" s="29" t="s">
        <v>1151</v>
      </c>
      <c r="E5515" s="30">
        <v>2020</v>
      </c>
      <c r="F5515" s="30">
        <v>2020</v>
      </c>
      <c r="G5515" s="29" t="s">
        <v>16</v>
      </c>
      <c r="H5515" s="29">
        <v>200</v>
      </c>
      <c r="I5515" s="29">
        <v>200</v>
      </c>
      <c r="J5515" s="29"/>
      <c r="K5515" s="47"/>
      <c r="L5515" s="14" t="s">
        <v>330</v>
      </c>
      <c r="M5515" s="36" t="str">
        <f t="shared" si="86"/>
        <v>19770730</v>
      </c>
    </row>
    <row r="5516" s="1" customFormat="1" spans="1:13">
      <c r="A5516" s="2">
        <v>6856</v>
      </c>
      <c r="B5516" s="5" t="s">
        <v>13533</v>
      </c>
      <c r="C5516" s="32" t="s">
        <v>13607</v>
      </c>
      <c r="D5516" s="32" t="str">
        <f>"152326197707307126"</f>
        <v>152326197707307126</v>
      </c>
      <c r="E5516" s="5">
        <v>2020</v>
      </c>
      <c r="F5516" s="5">
        <v>2020</v>
      </c>
      <c r="G5516" s="9" t="s">
        <v>2480</v>
      </c>
      <c r="H5516" s="32">
        <v>200</v>
      </c>
      <c r="I5516" s="32">
        <v>200</v>
      </c>
      <c r="J5516" s="32"/>
      <c r="K5516" s="10"/>
      <c r="L5516" s="10">
        <v>20201118</v>
      </c>
      <c r="M5516" s="36" t="str">
        <f t="shared" si="86"/>
        <v>19770730</v>
      </c>
    </row>
    <row r="5517" s="1" customFormat="1" spans="1:13">
      <c r="A5517" s="2">
        <v>6166</v>
      </c>
      <c r="B5517" s="5" t="s">
        <v>12263</v>
      </c>
      <c r="C5517" s="5" t="s">
        <v>12363</v>
      </c>
      <c r="D5517" s="5" t="s">
        <v>12364</v>
      </c>
      <c r="E5517" s="5" t="s">
        <v>10250</v>
      </c>
      <c r="F5517" s="5">
        <v>2020</v>
      </c>
      <c r="G5517" s="17" t="s">
        <v>3359</v>
      </c>
      <c r="H5517" s="5">
        <v>200</v>
      </c>
      <c r="I5517" s="5">
        <v>200</v>
      </c>
      <c r="J5517" s="5"/>
      <c r="K5517" s="5"/>
      <c r="L5517" s="10">
        <v>20201118</v>
      </c>
      <c r="M5517" s="36" t="str">
        <f t="shared" si="86"/>
        <v>19770801</v>
      </c>
    </row>
    <row r="5518" s="1" customFormat="1" spans="1:13">
      <c r="A5518" s="2">
        <v>3110</v>
      </c>
      <c r="B5518" s="3" t="s">
        <v>6671</v>
      </c>
      <c r="C5518" s="9" t="s">
        <v>6741</v>
      </c>
      <c r="D5518" s="287" t="s">
        <v>6742</v>
      </c>
      <c r="E5518" s="3" t="s">
        <v>15</v>
      </c>
      <c r="F5518" s="3" t="s">
        <v>15</v>
      </c>
      <c r="G5518" s="6" t="s">
        <v>3359</v>
      </c>
      <c r="H5518" s="9">
        <v>1000</v>
      </c>
      <c r="I5518" s="9">
        <v>1000</v>
      </c>
      <c r="J5518" s="6"/>
      <c r="K5518" s="5"/>
      <c r="L5518" s="10">
        <v>20201118</v>
      </c>
      <c r="M5518" s="36" t="str">
        <f t="shared" si="86"/>
        <v>19770803</v>
      </c>
    </row>
    <row r="5519" s="1" customFormat="1" spans="1:13">
      <c r="A5519" s="2">
        <v>6231</v>
      </c>
      <c r="B5519" s="5" t="s">
        <v>12263</v>
      </c>
      <c r="C5519" s="5" t="s">
        <v>12487</v>
      </c>
      <c r="D5519" s="5" t="s">
        <v>12488</v>
      </c>
      <c r="E5519" s="5" t="s">
        <v>10250</v>
      </c>
      <c r="F5519" s="5">
        <v>2020</v>
      </c>
      <c r="G5519" s="17" t="s">
        <v>3359</v>
      </c>
      <c r="H5519" s="5">
        <v>200</v>
      </c>
      <c r="I5519" s="5">
        <v>200</v>
      </c>
      <c r="J5519" s="5"/>
      <c r="K5519" s="5"/>
      <c r="L5519" s="10">
        <v>20201118</v>
      </c>
      <c r="M5519" s="36" t="str">
        <f t="shared" si="86"/>
        <v>19770803</v>
      </c>
    </row>
    <row r="5520" s="1" customFormat="1" spans="1:13">
      <c r="A5520" s="2">
        <v>6706</v>
      </c>
      <c r="B5520" s="5" t="s">
        <v>13027</v>
      </c>
      <c r="C5520" s="15" t="s">
        <v>13384</v>
      </c>
      <c r="D5520" s="15" t="s">
        <v>13385</v>
      </c>
      <c r="E5520" s="5">
        <v>2020</v>
      </c>
      <c r="F5520" s="5">
        <v>2020</v>
      </c>
      <c r="G5520" s="14" t="s">
        <v>16</v>
      </c>
      <c r="H5520" s="15">
        <v>200</v>
      </c>
      <c r="I5520" s="15">
        <v>200</v>
      </c>
      <c r="J5520" s="5"/>
      <c r="K5520" s="10"/>
      <c r="L5520" s="10">
        <v>20201118</v>
      </c>
      <c r="M5520" s="36" t="str">
        <f t="shared" si="86"/>
        <v>19770805</v>
      </c>
    </row>
    <row r="5521" s="1" customFormat="1" spans="1:13">
      <c r="A5521" s="2">
        <v>4338</v>
      </c>
      <c r="B5521" s="9" t="s">
        <v>8515</v>
      </c>
      <c r="C5521" s="9" t="s">
        <v>8867</v>
      </c>
      <c r="D5521" s="9" t="s">
        <v>8868</v>
      </c>
      <c r="E5521" s="5" t="s">
        <v>15</v>
      </c>
      <c r="F5521" s="5">
        <v>2020</v>
      </c>
      <c r="G5521" s="9" t="s">
        <v>2480</v>
      </c>
      <c r="H5521" s="9">
        <v>200</v>
      </c>
      <c r="I5521" s="9">
        <v>200</v>
      </c>
      <c r="J5521" s="9"/>
      <c r="K5521" s="9"/>
      <c r="L5521" s="10">
        <v>20201118</v>
      </c>
      <c r="M5521" s="36" t="str">
        <f t="shared" si="86"/>
        <v>19770810</v>
      </c>
    </row>
    <row r="5522" s="1" customFormat="1" spans="1:13">
      <c r="A5522" s="2">
        <v>484</v>
      </c>
      <c r="B5522" s="29" t="s">
        <v>1040</v>
      </c>
      <c r="C5522" s="29" t="s">
        <v>1245</v>
      </c>
      <c r="D5522" s="29" t="s">
        <v>1246</v>
      </c>
      <c r="E5522" s="30">
        <v>2020</v>
      </c>
      <c r="F5522" s="30">
        <v>2020</v>
      </c>
      <c r="G5522" s="29" t="s">
        <v>16</v>
      </c>
      <c r="H5522" s="29">
        <v>1000</v>
      </c>
      <c r="I5522" s="29">
        <v>1000</v>
      </c>
      <c r="J5522" s="29" t="s">
        <v>1242</v>
      </c>
      <c r="K5522" s="47"/>
      <c r="L5522" s="2" t="s">
        <v>330</v>
      </c>
      <c r="M5522" s="36" t="str">
        <f t="shared" si="86"/>
        <v>19770811</v>
      </c>
    </row>
    <row r="5523" s="1" customFormat="1" spans="1:13">
      <c r="A5523" s="2">
        <v>5607</v>
      </c>
      <c r="B5523" s="30" t="s">
        <v>11090</v>
      </c>
      <c r="C5523" s="30" t="s">
        <v>11305</v>
      </c>
      <c r="D5523" s="30" t="s">
        <v>11306</v>
      </c>
      <c r="E5523" s="5" t="s">
        <v>15</v>
      </c>
      <c r="F5523" s="5" t="s">
        <v>10250</v>
      </c>
      <c r="G5523" s="6" t="s">
        <v>16</v>
      </c>
      <c r="H5523" s="32">
        <v>200</v>
      </c>
      <c r="I5523" s="32">
        <v>200</v>
      </c>
      <c r="J5523" s="6"/>
      <c r="K5523" s="48"/>
      <c r="L5523" s="10">
        <v>20201118</v>
      </c>
      <c r="M5523" s="36" t="str">
        <f t="shared" si="86"/>
        <v>19770812</v>
      </c>
    </row>
    <row r="5524" s="1" customFormat="1" spans="1:13">
      <c r="A5524" s="2">
        <v>6707</v>
      </c>
      <c r="B5524" s="5" t="s">
        <v>13027</v>
      </c>
      <c r="C5524" s="15" t="s">
        <v>13386</v>
      </c>
      <c r="D5524" s="15" t="s">
        <v>13387</v>
      </c>
      <c r="E5524" s="5">
        <v>2020</v>
      </c>
      <c r="F5524" s="5">
        <v>2020</v>
      </c>
      <c r="G5524" s="14" t="s">
        <v>16</v>
      </c>
      <c r="H5524" s="15">
        <v>200</v>
      </c>
      <c r="I5524" s="15">
        <v>200</v>
      </c>
      <c r="J5524" s="5"/>
      <c r="K5524" s="10"/>
      <c r="L5524" s="10">
        <v>20201118</v>
      </c>
      <c r="M5524" s="36" t="str">
        <f t="shared" si="86"/>
        <v>19770812</v>
      </c>
    </row>
    <row r="5525" s="1" customFormat="1" ht="14.25" spans="1:13">
      <c r="A5525" s="2">
        <v>5387</v>
      </c>
      <c r="B5525" s="33" t="s">
        <v>10535</v>
      </c>
      <c r="C5525" s="34" t="s">
        <v>10881</v>
      </c>
      <c r="D5525" s="34" t="s">
        <v>10882</v>
      </c>
      <c r="E5525" s="35">
        <v>2020</v>
      </c>
      <c r="F5525" s="35">
        <v>2020</v>
      </c>
      <c r="G5525" s="35" t="s">
        <v>16</v>
      </c>
      <c r="H5525" s="34">
        <v>200</v>
      </c>
      <c r="I5525" s="34">
        <v>200</v>
      </c>
      <c r="J5525" s="49"/>
      <c r="K5525" s="10"/>
      <c r="L5525" s="10">
        <v>20201118</v>
      </c>
      <c r="M5525" s="36" t="str">
        <f t="shared" si="86"/>
        <v>19770815</v>
      </c>
    </row>
    <row r="5526" s="1" customFormat="1" spans="1:13">
      <c r="A5526" s="2">
        <v>4980</v>
      </c>
      <c r="B5526" s="6" t="s">
        <v>9954</v>
      </c>
      <c r="C5526" s="60" t="s">
        <v>10099</v>
      </c>
      <c r="D5526" s="60" t="s">
        <v>10100</v>
      </c>
      <c r="E5526" s="5" t="s">
        <v>15</v>
      </c>
      <c r="F5526" s="5" t="s">
        <v>15</v>
      </c>
      <c r="G5526" s="14" t="s">
        <v>16</v>
      </c>
      <c r="H5526" s="6">
        <v>200</v>
      </c>
      <c r="I5526" s="6">
        <v>200</v>
      </c>
      <c r="J5526" s="6"/>
      <c r="K5526" s="6"/>
      <c r="L5526" s="10">
        <v>20201118</v>
      </c>
      <c r="M5526" s="36" t="str">
        <f t="shared" si="86"/>
        <v>19770816</v>
      </c>
    </row>
    <row r="5527" s="1" customFormat="1" spans="1:13">
      <c r="A5527" s="2">
        <v>5862</v>
      </c>
      <c r="B5527" s="30" t="s">
        <v>11090</v>
      </c>
      <c r="C5527" s="30" t="s">
        <v>5129</v>
      </c>
      <c r="D5527" s="30" t="s">
        <v>11783</v>
      </c>
      <c r="E5527" s="5" t="s">
        <v>15</v>
      </c>
      <c r="F5527" s="5" t="s">
        <v>10250</v>
      </c>
      <c r="G5527" s="6" t="s">
        <v>16</v>
      </c>
      <c r="H5527" s="32">
        <v>200</v>
      </c>
      <c r="I5527" s="32">
        <v>200</v>
      </c>
      <c r="J5527" s="6"/>
      <c r="K5527" s="48"/>
      <c r="L5527" s="10">
        <v>20201118</v>
      </c>
      <c r="M5527" s="36" t="str">
        <f t="shared" si="86"/>
        <v>19770819</v>
      </c>
    </row>
    <row r="5528" s="1" customFormat="1" spans="1:13">
      <c r="A5528" s="2">
        <v>3332</v>
      </c>
      <c r="B5528" s="5" t="s">
        <v>3375</v>
      </c>
      <c r="C5528" s="6" t="s">
        <v>582</v>
      </c>
      <c r="D5528" s="6" t="str">
        <f>"152326197708227128"</f>
        <v>152326197708227128</v>
      </c>
      <c r="E5528" s="5" t="s">
        <v>15</v>
      </c>
      <c r="F5528" s="5">
        <v>2020</v>
      </c>
      <c r="G5528" s="14" t="s">
        <v>16</v>
      </c>
      <c r="H5528" s="17">
        <v>200</v>
      </c>
      <c r="I5528" s="17">
        <v>200</v>
      </c>
      <c r="J5528" s="6"/>
      <c r="K5528" s="10"/>
      <c r="L5528" s="10">
        <v>20201118</v>
      </c>
      <c r="M5528" s="36" t="str">
        <f t="shared" si="86"/>
        <v>19770822</v>
      </c>
    </row>
    <row r="5529" s="1" customFormat="1" spans="1:13">
      <c r="A5529" s="2">
        <v>1985</v>
      </c>
      <c r="B5529" s="5" t="s">
        <v>4189</v>
      </c>
      <c r="C5529" s="16" t="s">
        <v>4528</v>
      </c>
      <c r="D5529" s="16" t="s">
        <v>4529</v>
      </c>
      <c r="E5529" s="5" t="s">
        <v>15</v>
      </c>
      <c r="F5529" s="5" t="s">
        <v>15</v>
      </c>
      <c r="G5529" s="5" t="s">
        <v>3359</v>
      </c>
      <c r="H5529" s="16">
        <v>200</v>
      </c>
      <c r="I5529" s="16">
        <v>200</v>
      </c>
      <c r="J5529" s="5"/>
      <c r="K5529" s="10"/>
      <c r="L5529" s="10">
        <v>20201118</v>
      </c>
      <c r="M5529" s="36" t="str">
        <f t="shared" si="86"/>
        <v>19770827</v>
      </c>
    </row>
    <row r="5530" s="1" customFormat="1" spans="1:13">
      <c r="A5530" s="2">
        <v>1190</v>
      </c>
      <c r="B5530" s="5" t="s">
        <v>2469</v>
      </c>
      <c r="C5530" s="9" t="s">
        <v>2964</v>
      </c>
      <c r="D5530" s="9" t="s">
        <v>2965</v>
      </c>
      <c r="E5530" s="5">
        <v>2020</v>
      </c>
      <c r="F5530" s="5">
        <v>2020</v>
      </c>
      <c r="G5530" s="9" t="s">
        <v>2480</v>
      </c>
      <c r="H5530" s="9">
        <v>200</v>
      </c>
      <c r="I5530" s="9">
        <v>200</v>
      </c>
      <c r="J5530" s="5"/>
      <c r="K5530" s="5"/>
      <c r="L5530" s="10">
        <v>20201118</v>
      </c>
      <c r="M5530" s="36" t="str">
        <f t="shared" si="86"/>
        <v>19770829</v>
      </c>
    </row>
    <row r="5531" s="1" customFormat="1" spans="1:13">
      <c r="A5531" s="2">
        <v>855</v>
      </c>
      <c r="B5531" s="29" t="s">
        <v>1040</v>
      </c>
      <c r="C5531" s="6" t="s">
        <v>2212</v>
      </c>
      <c r="D5531" s="6" t="s">
        <v>2213</v>
      </c>
      <c r="E5531" s="30">
        <v>2020</v>
      </c>
      <c r="F5531" s="30">
        <v>2020</v>
      </c>
      <c r="G5531" s="29" t="s">
        <v>16</v>
      </c>
      <c r="H5531" s="29">
        <v>200</v>
      </c>
      <c r="I5531" s="29">
        <v>200</v>
      </c>
      <c r="J5531" s="32"/>
      <c r="K5531" s="32"/>
      <c r="L5531" s="14" t="s">
        <v>330</v>
      </c>
      <c r="M5531" s="36" t="str">
        <f t="shared" si="86"/>
        <v>19770902</v>
      </c>
    </row>
    <row r="5532" s="1" customFormat="1" spans="1:13">
      <c r="A5532" s="2">
        <v>3563</v>
      </c>
      <c r="B5532" s="5" t="s">
        <v>3375</v>
      </c>
      <c r="C5532" s="5" t="s">
        <v>7395</v>
      </c>
      <c r="D5532" s="296" t="s">
        <v>7396</v>
      </c>
      <c r="E5532" s="5" t="s">
        <v>15</v>
      </c>
      <c r="F5532" s="5">
        <v>2020</v>
      </c>
      <c r="G5532" s="14" t="s">
        <v>16</v>
      </c>
      <c r="H5532" s="5">
        <v>200</v>
      </c>
      <c r="I5532" s="5">
        <v>200</v>
      </c>
      <c r="J5532" s="5"/>
      <c r="K5532" s="10"/>
      <c r="L5532" s="10">
        <v>20201118</v>
      </c>
      <c r="M5532" s="36" t="str">
        <f t="shared" si="86"/>
        <v>19770908</v>
      </c>
    </row>
    <row r="5533" s="1" customFormat="1" spans="1:13">
      <c r="A5533" s="2">
        <v>530</v>
      </c>
      <c r="B5533" s="29" t="s">
        <v>1040</v>
      </c>
      <c r="C5533" s="29" t="s">
        <v>1337</v>
      </c>
      <c r="D5533" s="29" t="s">
        <v>1338</v>
      </c>
      <c r="E5533" s="30">
        <v>2020</v>
      </c>
      <c r="F5533" s="30">
        <v>2020</v>
      </c>
      <c r="G5533" s="29" t="s">
        <v>16</v>
      </c>
      <c r="H5533" s="29">
        <v>200</v>
      </c>
      <c r="I5533" s="29">
        <v>200</v>
      </c>
      <c r="J5533" s="29"/>
      <c r="K5533" s="47"/>
      <c r="L5533" s="2" t="s">
        <v>330</v>
      </c>
      <c r="M5533" s="36" t="str">
        <f t="shared" si="86"/>
        <v>19770909</v>
      </c>
    </row>
    <row r="5534" s="1" customFormat="1" ht="14.25" spans="1:13">
      <c r="A5534" s="2">
        <v>5388</v>
      </c>
      <c r="B5534" s="33" t="s">
        <v>10535</v>
      </c>
      <c r="C5534" s="34" t="s">
        <v>10883</v>
      </c>
      <c r="D5534" s="34" t="s">
        <v>10884</v>
      </c>
      <c r="E5534" s="35">
        <v>2020</v>
      </c>
      <c r="F5534" s="35">
        <v>2020</v>
      </c>
      <c r="G5534" s="35" t="s">
        <v>16</v>
      </c>
      <c r="H5534" s="34">
        <v>200</v>
      </c>
      <c r="I5534" s="34">
        <v>200</v>
      </c>
      <c r="J5534" s="49"/>
      <c r="K5534" s="10"/>
      <c r="L5534" s="10">
        <v>20201118</v>
      </c>
      <c r="M5534" s="36" t="str">
        <f t="shared" si="86"/>
        <v>19770909</v>
      </c>
    </row>
    <row r="5535" s="1" customFormat="1" ht="14.25" spans="1:13">
      <c r="A5535" s="2">
        <v>5492</v>
      </c>
      <c r="B5535" s="33" t="s">
        <v>10535</v>
      </c>
      <c r="C5535" s="55" t="s">
        <v>11077</v>
      </c>
      <c r="D5535" s="55" t="s">
        <v>11078</v>
      </c>
      <c r="E5535" s="35">
        <v>2020</v>
      </c>
      <c r="F5535" s="35">
        <v>2020</v>
      </c>
      <c r="G5535" s="35" t="s">
        <v>16</v>
      </c>
      <c r="H5535" s="55">
        <v>200</v>
      </c>
      <c r="I5535" s="55">
        <v>200</v>
      </c>
      <c r="J5535" s="49"/>
      <c r="K5535" s="10"/>
      <c r="L5535" s="10">
        <v>20201118</v>
      </c>
      <c r="M5535" s="36" t="str">
        <f t="shared" si="86"/>
        <v>19770909</v>
      </c>
    </row>
    <row r="5536" s="1" customFormat="1" spans="1:13">
      <c r="A5536" s="2">
        <v>8144</v>
      </c>
      <c r="B5536" s="5" t="s">
        <v>15406</v>
      </c>
      <c r="C5536" s="6" t="s">
        <v>15481</v>
      </c>
      <c r="D5536" s="6" t="s">
        <v>15482</v>
      </c>
      <c r="E5536" s="5" t="s">
        <v>15</v>
      </c>
      <c r="F5536" s="5">
        <v>2020</v>
      </c>
      <c r="G5536" s="14" t="s">
        <v>16</v>
      </c>
      <c r="H5536" s="6" t="s">
        <v>2295</v>
      </c>
      <c r="I5536" s="6">
        <v>500</v>
      </c>
      <c r="J5536" s="5"/>
      <c r="K5536" s="10"/>
      <c r="L5536" s="10">
        <v>20201118</v>
      </c>
      <c r="M5536" s="36" t="str">
        <f t="shared" si="86"/>
        <v>19770909</v>
      </c>
    </row>
    <row r="5537" s="1" customFormat="1" spans="1:13">
      <c r="A5537" s="2">
        <v>7176</v>
      </c>
      <c r="B5537" s="5" t="s">
        <v>13908</v>
      </c>
      <c r="C5537" s="5" t="s">
        <v>14005</v>
      </c>
      <c r="D5537" s="5" t="s">
        <v>14006</v>
      </c>
      <c r="E5537" s="5" t="s">
        <v>15</v>
      </c>
      <c r="F5537" s="5" t="s">
        <v>15</v>
      </c>
      <c r="G5537" s="14" t="s">
        <v>16</v>
      </c>
      <c r="H5537" s="17">
        <v>500</v>
      </c>
      <c r="I5537" s="17">
        <v>500</v>
      </c>
      <c r="J5537" s="5"/>
      <c r="K5537" s="10"/>
      <c r="L5537" s="10">
        <v>20201118</v>
      </c>
      <c r="M5537" s="36" t="str">
        <f t="shared" si="86"/>
        <v>19770911</v>
      </c>
    </row>
    <row r="5538" s="1" customFormat="1" spans="1:13">
      <c r="A5538" s="2">
        <v>1191</v>
      </c>
      <c r="B5538" s="5" t="s">
        <v>2469</v>
      </c>
      <c r="C5538" s="9" t="s">
        <v>2966</v>
      </c>
      <c r="D5538" s="9" t="s">
        <v>2967</v>
      </c>
      <c r="E5538" s="5">
        <v>2020</v>
      </c>
      <c r="F5538" s="5">
        <v>2020</v>
      </c>
      <c r="G5538" s="9" t="s">
        <v>2480</v>
      </c>
      <c r="H5538" s="9">
        <v>200</v>
      </c>
      <c r="I5538" s="9">
        <v>200</v>
      </c>
      <c r="J5538" s="5"/>
      <c r="K5538" s="5"/>
      <c r="L5538" s="10">
        <v>20201118</v>
      </c>
      <c r="M5538" s="36" t="str">
        <f t="shared" si="86"/>
        <v>19770913</v>
      </c>
    </row>
    <row r="5539" s="1" customFormat="1" spans="1:13">
      <c r="A5539" s="2">
        <v>1987</v>
      </c>
      <c r="B5539" s="5" t="s">
        <v>4189</v>
      </c>
      <c r="C5539" s="16" t="s">
        <v>4532</v>
      </c>
      <c r="D5539" s="16" t="s">
        <v>4533</v>
      </c>
      <c r="E5539" s="5" t="s">
        <v>15</v>
      </c>
      <c r="F5539" s="5" t="s">
        <v>15</v>
      </c>
      <c r="G5539" s="5" t="s">
        <v>3359</v>
      </c>
      <c r="H5539" s="16">
        <v>200</v>
      </c>
      <c r="I5539" s="16">
        <v>200</v>
      </c>
      <c r="J5539" s="5"/>
      <c r="K5539" s="10"/>
      <c r="L5539" s="10">
        <v>20201118</v>
      </c>
      <c r="M5539" s="36" t="str">
        <f t="shared" si="86"/>
        <v>19770913</v>
      </c>
    </row>
    <row r="5540" s="1" customFormat="1" spans="1:13">
      <c r="A5540" s="2">
        <v>3974</v>
      </c>
      <c r="B5540" s="5" t="s">
        <v>7412</v>
      </c>
      <c r="C5540" s="5" t="s">
        <v>8169</v>
      </c>
      <c r="D5540" s="5" t="s">
        <v>8170</v>
      </c>
      <c r="E5540" s="6">
        <v>2020</v>
      </c>
      <c r="F5540" s="6">
        <v>2020</v>
      </c>
      <c r="G5540" s="5" t="s">
        <v>3359</v>
      </c>
      <c r="H5540" s="5">
        <v>200</v>
      </c>
      <c r="I5540" s="5">
        <v>200</v>
      </c>
      <c r="J5540" s="5"/>
      <c r="K5540" s="5"/>
      <c r="L5540" s="10">
        <v>20201118</v>
      </c>
      <c r="M5540" s="36" t="str">
        <f t="shared" si="86"/>
        <v>19770913</v>
      </c>
    </row>
    <row r="5541" s="1" customFormat="1" ht="14.25" spans="1:13">
      <c r="A5541" s="2">
        <v>3049</v>
      </c>
      <c r="B5541" s="6" t="s">
        <v>6075</v>
      </c>
      <c r="C5541" s="25" t="s">
        <v>6621</v>
      </c>
      <c r="D5541" s="26" t="s">
        <v>6622</v>
      </c>
      <c r="E5541" s="5" t="s">
        <v>15</v>
      </c>
      <c r="F5541" s="5">
        <v>2020</v>
      </c>
      <c r="G5541" s="6" t="s">
        <v>16</v>
      </c>
      <c r="H5541" s="6">
        <v>500</v>
      </c>
      <c r="I5541" s="6">
        <v>500</v>
      </c>
      <c r="J5541" s="6"/>
      <c r="K5541" s="10"/>
      <c r="L5541" s="10">
        <v>20201118</v>
      </c>
      <c r="M5541" s="36" t="str">
        <f t="shared" si="86"/>
        <v>19770914</v>
      </c>
    </row>
    <row r="5542" s="1" customFormat="1" spans="1:13">
      <c r="A5542" s="2">
        <v>5520</v>
      </c>
      <c r="B5542" s="30" t="s">
        <v>11090</v>
      </c>
      <c r="C5542" s="30" t="s">
        <v>11136</v>
      </c>
      <c r="D5542" s="30" t="s">
        <v>11137</v>
      </c>
      <c r="E5542" s="5" t="s">
        <v>15</v>
      </c>
      <c r="F5542" s="5" t="s">
        <v>10250</v>
      </c>
      <c r="G5542" s="6" t="s">
        <v>16</v>
      </c>
      <c r="H5542" s="32">
        <v>500</v>
      </c>
      <c r="I5542" s="32">
        <v>500</v>
      </c>
      <c r="J5542" s="6"/>
      <c r="K5542" s="48"/>
      <c r="L5542" s="10">
        <v>20201118</v>
      </c>
      <c r="M5542" s="36" t="str">
        <f t="shared" si="86"/>
        <v>19770915</v>
      </c>
    </row>
    <row r="5543" s="1" customFormat="1" spans="1:13">
      <c r="A5543" s="2">
        <v>501</v>
      </c>
      <c r="B5543" s="29" t="s">
        <v>1040</v>
      </c>
      <c r="C5543" s="29" t="s">
        <v>1279</v>
      </c>
      <c r="D5543" s="29" t="s">
        <v>1280</v>
      </c>
      <c r="E5543" s="30">
        <v>2020</v>
      </c>
      <c r="F5543" s="30">
        <v>2020</v>
      </c>
      <c r="G5543" s="29" t="s">
        <v>16</v>
      </c>
      <c r="H5543" s="29">
        <v>200</v>
      </c>
      <c r="I5543" s="29">
        <v>200</v>
      </c>
      <c r="J5543" s="29"/>
      <c r="K5543" s="47"/>
      <c r="L5543" s="14" t="s">
        <v>330</v>
      </c>
      <c r="M5543" s="36" t="str">
        <f t="shared" si="86"/>
        <v>19770918</v>
      </c>
    </row>
    <row r="5544" s="1" customFormat="1" spans="1:13">
      <c r="A5544" s="2">
        <v>3337</v>
      </c>
      <c r="B5544" s="5" t="s">
        <v>3375</v>
      </c>
      <c r="C5544" s="6" t="s">
        <v>6623</v>
      </c>
      <c r="D5544" s="6" t="str">
        <f>"152326197709197127"</f>
        <v>152326197709197127</v>
      </c>
      <c r="E5544" s="5" t="s">
        <v>15</v>
      </c>
      <c r="F5544" s="5">
        <v>2020</v>
      </c>
      <c r="G5544" s="14" t="s">
        <v>16</v>
      </c>
      <c r="H5544" s="17">
        <v>200</v>
      </c>
      <c r="I5544" s="17">
        <v>200</v>
      </c>
      <c r="J5544" s="6"/>
      <c r="K5544" s="10"/>
      <c r="L5544" s="10">
        <v>20201118</v>
      </c>
      <c r="M5544" s="36" t="str">
        <f t="shared" si="86"/>
        <v>19770919</v>
      </c>
    </row>
    <row r="5545" s="1" customFormat="1" spans="1:13">
      <c r="A5545" s="2">
        <v>5005</v>
      </c>
      <c r="B5545" s="6" t="s">
        <v>9954</v>
      </c>
      <c r="C5545" s="32" t="s">
        <v>8653</v>
      </c>
      <c r="D5545" s="305" t="s">
        <v>10147</v>
      </c>
      <c r="E5545" s="5" t="s">
        <v>15</v>
      </c>
      <c r="F5545" s="5" t="s">
        <v>15</v>
      </c>
      <c r="G5545" s="14" t="s">
        <v>16</v>
      </c>
      <c r="H5545" s="6">
        <v>500</v>
      </c>
      <c r="I5545" s="6">
        <v>500</v>
      </c>
      <c r="J5545" s="6"/>
      <c r="K5545" s="6"/>
      <c r="L5545" s="10">
        <v>20201118</v>
      </c>
      <c r="M5545" s="36" t="str">
        <f t="shared" si="86"/>
        <v>19770921</v>
      </c>
    </row>
    <row r="5546" s="1" customFormat="1" spans="1:13">
      <c r="A5546" s="2">
        <v>1702</v>
      </c>
      <c r="B5546" s="5" t="s">
        <v>3381</v>
      </c>
      <c r="C5546" s="9" t="s">
        <v>3965</v>
      </c>
      <c r="D5546" s="9" t="s">
        <v>3966</v>
      </c>
      <c r="E5546" s="5">
        <v>2020</v>
      </c>
      <c r="F5546" s="5">
        <v>2020</v>
      </c>
      <c r="G5546" s="14" t="s">
        <v>16</v>
      </c>
      <c r="H5546" s="6">
        <v>200</v>
      </c>
      <c r="I5546" s="6">
        <v>200</v>
      </c>
      <c r="J5546" s="5"/>
      <c r="K5546" s="13"/>
      <c r="L5546" s="10">
        <v>20201118</v>
      </c>
      <c r="M5546" s="36" t="str">
        <f t="shared" si="86"/>
        <v>19770922</v>
      </c>
    </row>
    <row r="5547" s="1" customFormat="1" spans="1:13">
      <c r="A5547" s="2">
        <v>7114</v>
      </c>
      <c r="B5547" s="5" t="s">
        <v>13533</v>
      </c>
      <c r="C5547" s="5" t="s">
        <v>10005</v>
      </c>
      <c r="D5547" s="5" t="s">
        <v>13889</v>
      </c>
      <c r="E5547" s="5">
        <v>2020</v>
      </c>
      <c r="F5547" s="5">
        <v>2020</v>
      </c>
      <c r="G5547" s="9" t="s">
        <v>2480</v>
      </c>
      <c r="H5547" s="32">
        <v>200</v>
      </c>
      <c r="I5547" s="32">
        <v>200</v>
      </c>
      <c r="J5547" s="32"/>
      <c r="K5547" s="10"/>
      <c r="L5547" s="10">
        <v>20201118</v>
      </c>
      <c r="M5547" s="36" t="str">
        <f t="shared" si="86"/>
        <v>19770925</v>
      </c>
    </row>
    <row r="5548" s="1" customFormat="1" spans="1:13">
      <c r="A5548" s="2">
        <v>1788</v>
      </c>
      <c r="B5548" s="5" t="s">
        <v>3381</v>
      </c>
      <c r="C5548" s="9" t="s">
        <v>4138</v>
      </c>
      <c r="D5548" s="9" t="s">
        <v>4139</v>
      </c>
      <c r="E5548" s="5">
        <v>2020</v>
      </c>
      <c r="F5548" s="5">
        <v>2020</v>
      </c>
      <c r="G5548" s="5" t="s">
        <v>189</v>
      </c>
      <c r="H5548" s="6">
        <v>200</v>
      </c>
      <c r="I5548" s="6">
        <v>200</v>
      </c>
      <c r="J5548" s="5"/>
      <c r="K5548" s="13"/>
      <c r="L5548" s="10">
        <v>20201118</v>
      </c>
      <c r="M5548" s="36" t="str">
        <f t="shared" si="86"/>
        <v>19770927</v>
      </c>
    </row>
    <row r="5549" s="1" customFormat="1" spans="1:13">
      <c r="A5549" s="2">
        <v>4722</v>
      </c>
      <c r="B5549" s="6" t="s">
        <v>9015</v>
      </c>
      <c r="C5549" s="6" t="s">
        <v>9601</v>
      </c>
      <c r="D5549" s="6" t="s">
        <v>9602</v>
      </c>
      <c r="E5549" s="6">
        <v>2020</v>
      </c>
      <c r="F5549" s="6">
        <v>2020</v>
      </c>
      <c r="G5549" s="6" t="s">
        <v>16</v>
      </c>
      <c r="H5549" s="6">
        <v>200</v>
      </c>
      <c r="I5549" s="6">
        <v>200</v>
      </c>
      <c r="J5549" s="6"/>
      <c r="K5549" s="6"/>
      <c r="L5549" s="10">
        <v>20201118</v>
      </c>
      <c r="M5549" s="36" t="str">
        <f t="shared" si="86"/>
        <v>19770927</v>
      </c>
    </row>
    <row r="5550" s="1" customFormat="1" ht="14.25" spans="1:13">
      <c r="A5550" s="2">
        <v>7675</v>
      </c>
      <c r="B5550" s="5" t="s">
        <v>14875</v>
      </c>
      <c r="C5550" s="51" t="s">
        <v>14917</v>
      </c>
      <c r="D5550" s="24" t="str">
        <f>"152326197709297128"</f>
        <v>152326197709297128</v>
      </c>
      <c r="E5550" s="6" t="s">
        <v>15</v>
      </c>
      <c r="F5550" s="6">
        <v>2020</v>
      </c>
      <c r="G5550" s="24" t="s">
        <v>14877</v>
      </c>
      <c r="H5550" s="6">
        <v>200</v>
      </c>
      <c r="I5550" s="6">
        <v>200</v>
      </c>
      <c r="J5550" s="6"/>
      <c r="K5550" s="10"/>
      <c r="L5550" s="10">
        <v>20201118</v>
      </c>
      <c r="M5550" s="36" t="str">
        <f t="shared" si="86"/>
        <v>19770929</v>
      </c>
    </row>
    <row r="5551" s="1" customFormat="1" spans="1:13">
      <c r="A5551" s="2">
        <v>6708</v>
      </c>
      <c r="B5551" s="5" t="s">
        <v>13027</v>
      </c>
      <c r="C5551" s="15" t="s">
        <v>13388</v>
      </c>
      <c r="D5551" s="15" t="s">
        <v>13389</v>
      </c>
      <c r="E5551" s="5">
        <v>2020</v>
      </c>
      <c r="F5551" s="5">
        <v>2020</v>
      </c>
      <c r="G5551" s="14" t="s">
        <v>16</v>
      </c>
      <c r="H5551" s="15">
        <v>200</v>
      </c>
      <c r="I5551" s="15">
        <v>200</v>
      </c>
      <c r="J5551" s="5"/>
      <c r="K5551" s="10"/>
      <c r="L5551" s="10">
        <v>20201118</v>
      </c>
      <c r="M5551" s="36" t="str">
        <f t="shared" si="86"/>
        <v>19771001</v>
      </c>
    </row>
    <row r="5552" s="1" customFormat="1" spans="1:13">
      <c r="A5552" s="2">
        <v>723</v>
      </c>
      <c r="B5552" s="29" t="s">
        <v>1040</v>
      </c>
      <c r="C5552" s="5" t="s">
        <v>1820</v>
      </c>
      <c r="D5552" s="317" t="s">
        <v>1821</v>
      </c>
      <c r="E5552" s="30">
        <v>2020</v>
      </c>
      <c r="F5552" s="30">
        <v>2020</v>
      </c>
      <c r="G5552" s="29" t="s">
        <v>16</v>
      </c>
      <c r="H5552" s="29">
        <v>200</v>
      </c>
      <c r="I5552" s="29">
        <v>200</v>
      </c>
      <c r="J5552" s="29"/>
      <c r="K5552" s="54"/>
      <c r="L5552" s="2" t="s">
        <v>330</v>
      </c>
      <c r="M5552" s="36" t="str">
        <f t="shared" si="86"/>
        <v>19771002</v>
      </c>
    </row>
    <row r="5553" s="1" customFormat="1" spans="1:13">
      <c r="A5553" s="2">
        <v>1192</v>
      </c>
      <c r="B5553" s="5" t="s">
        <v>2469</v>
      </c>
      <c r="C5553" s="9" t="s">
        <v>2968</v>
      </c>
      <c r="D5553" s="9" t="s">
        <v>2969</v>
      </c>
      <c r="E5553" s="5">
        <v>2020</v>
      </c>
      <c r="F5553" s="5">
        <v>2020</v>
      </c>
      <c r="G5553" s="9" t="s">
        <v>2480</v>
      </c>
      <c r="H5553" s="9">
        <v>200</v>
      </c>
      <c r="I5553" s="9">
        <v>200</v>
      </c>
      <c r="J5553" s="5"/>
      <c r="K5553" s="5"/>
      <c r="L5553" s="10">
        <v>20201118</v>
      </c>
      <c r="M5553" s="36" t="str">
        <f t="shared" si="86"/>
        <v>19771002</v>
      </c>
    </row>
    <row r="5554" s="1" customFormat="1" spans="1:13">
      <c r="A5554" s="2">
        <v>1703</v>
      </c>
      <c r="B5554" s="5" t="s">
        <v>3381</v>
      </c>
      <c r="C5554" s="9" t="s">
        <v>3967</v>
      </c>
      <c r="D5554" s="9" t="s">
        <v>3968</v>
      </c>
      <c r="E5554" s="5">
        <v>2020</v>
      </c>
      <c r="F5554" s="5">
        <v>2020</v>
      </c>
      <c r="G5554" s="14" t="s">
        <v>16</v>
      </c>
      <c r="H5554" s="6">
        <v>200</v>
      </c>
      <c r="I5554" s="6">
        <v>200</v>
      </c>
      <c r="J5554" s="5"/>
      <c r="K5554" s="13"/>
      <c r="L5554" s="10">
        <v>20201118</v>
      </c>
      <c r="M5554" s="36" t="str">
        <f t="shared" si="86"/>
        <v>19771002</v>
      </c>
    </row>
    <row r="5555" s="1" customFormat="1" spans="1:13">
      <c r="A5555" s="2">
        <v>6498</v>
      </c>
      <c r="B5555" s="5" t="s">
        <v>12263</v>
      </c>
      <c r="C5555" s="5" t="s">
        <v>7098</v>
      </c>
      <c r="D5555" s="5" t="s">
        <v>12999</v>
      </c>
      <c r="E5555" s="5" t="s">
        <v>15</v>
      </c>
      <c r="F5555" s="5">
        <v>2020</v>
      </c>
      <c r="G5555" s="5" t="s">
        <v>295</v>
      </c>
      <c r="H5555" s="5">
        <v>200</v>
      </c>
      <c r="I5555" s="5">
        <v>200</v>
      </c>
      <c r="J5555" s="5"/>
      <c r="K5555" s="5"/>
      <c r="L5555" s="10">
        <v>20201118</v>
      </c>
      <c r="M5555" s="36" t="str">
        <f t="shared" si="86"/>
        <v>19771005</v>
      </c>
    </row>
    <row r="5556" s="1" customFormat="1" spans="1:13">
      <c r="A5556" s="2">
        <v>1989</v>
      </c>
      <c r="B5556" s="5" t="s">
        <v>4189</v>
      </c>
      <c r="C5556" s="16" t="s">
        <v>4535</v>
      </c>
      <c r="D5556" s="16" t="s">
        <v>4536</v>
      </c>
      <c r="E5556" s="5" t="s">
        <v>15</v>
      </c>
      <c r="F5556" s="5" t="s">
        <v>15</v>
      </c>
      <c r="G5556" s="5" t="s">
        <v>3359</v>
      </c>
      <c r="H5556" s="16">
        <v>200</v>
      </c>
      <c r="I5556" s="16">
        <v>200</v>
      </c>
      <c r="J5556" s="5"/>
      <c r="K5556" s="10"/>
      <c r="L5556" s="10">
        <v>20201118</v>
      </c>
      <c r="M5556" s="36" t="str">
        <f t="shared" si="86"/>
        <v>19771007</v>
      </c>
    </row>
    <row r="5557" s="1" customFormat="1" ht="14.25" spans="1:13">
      <c r="A5557" s="2">
        <v>5389</v>
      </c>
      <c r="B5557" s="33" t="s">
        <v>10535</v>
      </c>
      <c r="C5557" s="34" t="s">
        <v>10885</v>
      </c>
      <c r="D5557" s="64" t="s">
        <v>10886</v>
      </c>
      <c r="E5557" s="35">
        <v>2020</v>
      </c>
      <c r="F5557" s="35">
        <v>2020</v>
      </c>
      <c r="G5557" s="35" t="s">
        <v>16</v>
      </c>
      <c r="H5557" s="34">
        <v>200</v>
      </c>
      <c r="I5557" s="34">
        <v>200</v>
      </c>
      <c r="J5557" s="49"/>
      <c r="K5557" s="10"/>
      <c r="L5557" s="10">
        <v>20201118</v>
      </c>
      <c r="M5557" s="36" t="str">
        <f t="shared" si="86"/>
        <v>19771007</v>
      </c>
    </row>
    <row r="5558" s="1" customFormat="1" spans="1:13">
      <c r="A5558" s="2">
        <v>1193</v>
      </c>
      <c r="B5558" s="5" t="s">
        <v>2469</v>
      </c>
      <c r="C5558" s="9" t="s">
        <v>2970</v>
      </c>
      <c r="D5558" s="9" t="s">
        <v>2971</v>
      </c>
      <c r="E5558" s="5">
        <v>2020</v>
      </c>
      <c r="F5558" s="5">
        <v>2020</v>
      </c>
      <c r="G5558" s="9" t="s">
        <v>2480</v>
      </c>
      <c r="H5558" s="9">
        <v>200</v>
      </c>
      <c r="I5558" s="9">
        <v>200</v>
      </c>
      <c r="J5558" s="5"/>
      <c r="K5558" s="5"/>
      <c r="L5558" s="10">
        <v>20201118</v>
      </c>
      <c r="M5558" s="36" t="str">
        <f t="shared" si="86"/>
        <v>19771009</v>
      </c>
    </row>
    <row r="5559" s="1" customFormat="1" spans="1:13">
      <c r="A5559" s="2">
        <v>1704</v>
      </c>
      <c r="B5559" s="5" t="s">
        <v>3381</v>
      </c>
      <c r="C5559" s="9" t="s">
        <v>3969</v>
      </c>
      <c r="D5559" s="9" t="s">
        <v>3970</v>
      </c>
      <c r="E5559" s="5">
        <v>2020</v>
      </c>
      <c r="F5559" s="5">
        <v>2020</v>
      </c>
      <c r="G5559" s="14" t="s">
        <v>16</v>
      </c>
      <c r="H5559" s="6">
        <v>200</v>
      </c>
      <c r="I5559" s="6">
        <v>200</v>
      </c>
      <c r="J5559" s="5"/>
      <c r="K5559" s="13"/>
      <c r="L5559" s="10">
        <v>20201118</v>
      </c>
      <c r="M5559" s="36" t="str">
        <f t="shared" si="86"/>
        <v>19771010</v>
      </c>
    </row>
    <row r="5560" s="1" customFormat="1" spans="1:13">
      <c r="A5560" s="2">
        <v>2683</v>
      </c>
      <c r="B5560" s="32" t="s">
        <v>5602</v>
      </c>
      <c r="C5560" s="9" t="s">
        <v>5899</v>
      </c>
      <c r="D5560" s="9" t="s">
        <v>5900</v>
      </c>
      <c r="E5560" s="32">
        <v>2020</v>
      </c>
      <c r="F5560" s="32">
        <v>2020</v>
      </c>
      <c r="G5560" s="32" t="s">
        <v>16</v>
      </c>
      <c r="H5560" s="9">
        <v>200</v>
      </c>
      <c r="I5560" s="9">
        <v>200</v>
      </c>
      <c r="J5560" s="32"/>
      <c r="K5560" s="52"/>
      <c r="L5560" s="10">
        <v>20201118</v>
      </c>
      <c r="M5560" s="36" t="str">
        <f t="shared" si="86"/>
        <v>19771011</v>
      </c>
    </row>
    <row r="5561" s="1" customFormat="1" spans="1:13">
      <c r="A5561" s="2">
        <v>4910</v>
      </c>
      <c r="B5561" s="6" t="s">
        <v>9954</v>
      </c>
      <c r="C5561" s="60" t="s">
        <v>9961</v>
      </c>
      <c r="D5561" s="60" t="s">
        <v>9962</v>
      </c>
      <c r="E5561" s="5" t="s">
        <v>15</v>
      </c>
      <c r="F5561" s="5" t="s">
        <v>15</v>
      </c>
      <c r="G5561" s="14" t="s">
        <v>16</v>
      </c>
      <c r="H5561" s="6">
        <v>200</v>
      </c>
      <c r="I5561" s="6">
        <v>200</v>
      </c>
      <c r="J5561" s="6"/>
      <c r="K5561" s="6"/>
      <c r="L5561" s="10">
        <v>20201118</v>
      </c>
      <c r="M5561" s="36" t="str">
        <f t="shared" si="86"/>
        <v>19771013</v>
      </c>
    </row>
    <row r="5562" s="1" customFormat="1" spans="1:13">
      <c r="A5562" s="2">
        <v>5784</v>
      </c>
      <c r="B5562" s="30" t="s">
        <v>11090</v>
      </c>
      <c r="C5562" s="30" t="s">
        <v>11640</v>
      </c>
      <c r="D5562" s="30" t="s">
        <v>11641</v>
      </c>
      <c r="E5562" s="5" t="s">
        <v>15</v>
      </c>
      <c r="F5562" s="5" t="s">
        <v>10250</v>
      </c>
      <c r="G5562" s="6" t="s">
        <v>16</v>
      </c>
      <c r="H5562" s="32">
        <v>200</v>
      </c>
      <c r="I5562" s="32">
        <v>200</v>
      </c>
      <c r="J5562" s="6"/>
      <c r="K5562" s="48"/>
      <c r="L5562" s="10">
        <v>20201118</v>
      </c>
      <c r="M5562" s="36" t="str">
        <f t="shared" si="86"/>
        <v>19771013</v>
      </c>
    </row>
    <row r="5563" s="1" customFormat="1" spans="1:13">
      <c r="A5563" s="2">
        <v>6709</v>
      </c>
      <c r="B5563" s="5" t="s">
        <v>13027</v>
      </c>
      <c r="C5563" s="15" t="s">
        <v>13390</v>
      </c>
      <c r="D5563" s="15" t="s">
        <v>13391</v>
      </c>
      <c r="E5563" s="5">
        <v>2020</v>
      </c>
      <c r="F5563" s="5">
        <v>2020</v>
      </c>
      <c r="G5563" s="14" t="s">
        <v>16</v>
      </c>
      <c r="H5563" s="15">
        <v>500</v>
      </c>
      <c r="I5563" s="15">
        <v>500</v>
      </c>
      <c r="J5563" s="5"/>
      <c r="K5563" s="10"/>
      <c r="L5563" s="10">
        <v>20201118</v>
      </c>
      <c r="M5563" s="36" t="str">
        <f t="shared" si="86"/>
        <v>19771013</v>
      </c>
    </row>
    <row r="5564" s="1" customFormat="1" ht="14.25" spans="1:13">
      <c r="A5564" s="2">
        <v>3014</v>
      </c>
      <c r="B5564" s="6" t="s">
        <v>6075</v>
      </c>
      <c r="C5564" s="25" t="s">
        <v>6552</v>
      </c>
      <c r="D5564" s="26" t="s">
        <v>6553</v>
      </c>
      <c r="E5564" s="5" t="s">
        <v>15</v>
      </c>
      <c r="F5564" s="5">
        <v>2020</v>
      </c>
      <c r="G5564" s="6" t="s">
        <v>16</v>
      </c>
      <c r="H5564" s="6">
        <v>200</v>
      </c>
      <c r="I5564" s="6">
        <v>200</v>
      </c>
      <c r="J5564" s="6" t="s">
        <v>6097</v>
      </c>
      <c r="K5564" s="10"/>
      <c r="L5564" s="10">
        <v>20201118</v>
      </c>
      <c r="M5564" s="36" t="str">
        <f t="shared" si="86"/>
        <v>19771015</v>
      </c>
    </row>
    <row r="5565" s="1" customFormat="1" spans="1:13">
      <c r="A5565" s="2">
        <v>7491</v>
      </c>
      <c r="B5565" s="5" t="s">
        <v>14402</v>
      </c>
      <c r="C5565" s="5" t="s">
        <v>14596</v>
      </c>
      <c r="D5565" s="5" t="s">
        <v>14597</v>
      </c>
      <c r="E5565" s="5">
        <v>2020</v>
      </c>
      <c r="F5565" s="5">
        <v>2020</v>
      </c>
      <c r="G5565" s="17" t="s">
        <v>16</v>
      </c>
      <c r="H5565" s="5">
        <v>500</v>
      </c>
      <c r="I5565" s="5">
        <v>500</v>
      </c>
      <c r="J5565" s="5"/>
      <c r="K5565" s="10"/>
      <c r="L5565" s="10">
        <v>20201118</v>
      </c>
      <c r="M5565" s="36" t="str">
        <f t="shared" si="86"/>
        <v>19771015</v>
      </c>
    </row>
    <row r="5566" s="1" customFormat="1" spans="1:13">
      <c r="A5566" s="2">
        <v>1705</v>
      </c>
      <c r="B5566" s="5" t="s">
        <v>3381</v>
      </c>
      <c r="C5566" s="9" t="s">
        <v>3971</v>
      </c>
      <c r="D5566" s="9" t="s">
        <v>3972</v>
      </c>
      <c r="E5566" s="5">
        <v>2020</v>
      </c>
      <c r="F5566" s="5">
        <v>2020</v>
      </c>
      <c r="G5566" s="14" t="s">
        <v>16</v>
      </c>
      <c r="H5566" s="6">
        <v>200</v>
      </c>
      <c r="I5566" s="6">
        <v>200</v>
      </c>
      <c r="J5566" s="5"/>
      <c r="K5566" s="13"/>
      <c r="L5566" s="10">
        <v>20201118</v>
      </c>
      <c r="M5566" s="36" t="str">
        <f t="shared" si="86"/>
        <v>19771016</v>
      </c>
    </row>
    <row r="5567" s="1" customFormat="1" spans="1:13">
      <c r="A5567" s="2">
        <v>4738</v>
      </c>
      <c r="B5567" s="6" t="s">
        <v>9015</v>
      </c>
      <c r="C5567" s="6" t="s">
        <v>9633</v>
      </c>
      <c r="D5567" s="6" t="s">
        <v>9634</v>
      </c>
      <c r="E5567" s="6">
        <v>2020</v>
      </c>
      <c r="F5567" s="6">
        <v>2020</v>
      </c>
      <c r="G5567" s="6" t="s">
        <v>16</v>
      </c>
      <c r="H5567" s="6">
        <v>200</v>
      </c>
      <c r="I5567" s="6">
        <v>200</v>
      </c>
      <c r="J5567" s="6"/>
      <c r="K5567" s="6"/>
      <c r="L5567" s="10">
        <v>20201118</v>
      </c>
      <c r="M5567" s="36" t="str">
        <f t="shared" si="86"/>
        <v>19771016</v>
      </c>
    </row>
    <row r="5568" s="1" customFormat="1" spans="1:13">
      <c r="A5568" s="2">
        <v>7916</v>
      </c>
      <c r="B5568" s="5" t="s">
        <v>15086</v>
      </c>
      <c r="C5568" s="6" t="s">
        <v>15193</v>
      </c>
      <c r="D5568" s="6" t="str">
        <f>"152326197710166862"</f>
        <v>152326197710166862</v>
      </c>
      <c r="E5568" s="5" t="s">
        <v>15</v>
      </c>
      <c r="F5568" s="5">
        <v>2020</v>
      </c>
      <c r="G5568" s="5" t="s">
        <v>16</v>
      </c>
      <c r="H5568" s="5">
        <v>200</v>
      </c>
      <c r="I5568" s="5">
        <v>200</v>
      </c>
      <c r="J5568" s="5"/>
      <c r="K5568" s="5"/>
      <c r="L5568" s="10">
        <v>20201118</v>
      </c>
      <c r="M5568" s="36" t="str">
        <f t="shared" si="86"/>
        <v>19771016</v>
      </c>
    </row>
    <row r="5569" s="1" customFormat="1" spans="1:13">
      <c r="A5569" s="2">
        <v>3975</v>
      </c>
      <c r="B5569" s="5" t="s">
        <v>7412</v>
      </c>
      <c r="C5569" s="5" t="s">
        <v>8171</v>
      </c>
      <c r="D5569" s="5" t="s">
        <v>8172</v>
      </c>
      <c r="E5569" s="6">
        <v>2020</v>
      </c>
      <c r="F5569" s="6">
        <v>2020</v>
      </c>
      <c r="G5569" s="5" t="s">
        <v>3359</v>
      </c>
      <c r="H5569" s="5">
        <v>300</v>
      </c>
      <c r="I5569" s="5">
        <v>300</v>
      </c>
      <c r="J5569" s="5"/>
      <c r="K5569" s="5"/>
      <c r="L5569" s="10">
        <v>20201118</v>
      </c>
      <c r="M5569" s="36" t="str">
        <f t="shared" si="86"/>
        <v>19771017</v>
      </c>
    </row>
    <row r="5570" s="1" customFormat="1" spans="1:13">
      <c r="A5570" s="2">
        <v>7490</v>
      </c>
      <c r="B5570" s="5" t="s">
        <v>14402</v>
      </c>
      <c r="C5570" s="5" t="s">
        <v>14594</v>
      </c>
      <c r="D5570" s="5" t="s">
        <v>14595</v>
      </c>
      <c r="E5570" s="5">
        <v>2020</v>
      </c>
      <c r="F5570" s="5">
        <v>2020</v>
      </c>
      <c r="G5570" s="17" t="s">
        <v>16</v>
      </c>
      <c r="H5570" s="5">
        <v>200</v>
      </c>
      <c r="I5570" s="5">
        <v>200</v>
      </c>
      <c r="J5570" s="5"/>
      <c r="K5570" s="10"/>
      <c r="L5570" s="10">
        <v>20201118</v>
      </c>
      <c r="M5570" s="36" t="str">
        <f t="shared" ref="M5570:M5633" si="87">MID(D5570,7,8)</f>
        <v>19771018</v>
      </c>
    </row>
    <row r="5571" s="1" customFormat="1" spans="1:13">
      <c r="A5571" s="2">
        <v>5044</v>
      </c>
      <c r="B5571" s="6" t="s">
        <v>9954</v>
      </c>
      <c r="C5571" s="60" t="s">
        <v>10221</v>
      </c>
      <c r="D5571" s="60" t="s">
        <v>10222</v>
      </c>
      <c r="E5571" s="5" t="s">
        <v>15</v>
      </c>
      <c r="F5571" s="5" t="s">
        <v>15</v>
      </c>
      <c r="G5571" s="14" t="s">
        <v>16</v>
      </c>
      <c r="H5571" s="6">
        <v>200</v>
      </c>
      <c r="I5571" s="6">
        <v>200</v>
      </c>
      <c r="J5571" s="6"/>
      <c r="K5571" s="6"/>
      <c r="L5571" s="10">
        <v>20201118</v>
      </c>
      <c r="M5571" s="36" t="str">
        <f t="shared" si="87"/>
        <v>19771020</v>
      </c>
    </row>
    <row r="5572" s="1" customFormat="1" spans="1:13">
      <c r="A5572" s="2">
        <v>3976</v>
      </c>
      <c r="B5572" s="5" t="s">
        <v>7412</v>
      </c>
      <c r="C5572" s="5" t="s">
        <v>8173</v>
      </c>
      <c r="D5572" s="5" t="s">
        <v>8174</v>
      </c>
      <c r="E5572" s="6">
        <v>2020</v>
      </c>
      <c r="F5572" s="6">
        <v>2020</v>
      </c>
      <c r="G5572" s="5" t="s">
        <v>3359</v>
      </c>
      <c r="H5572" s="5">
        <v>200</v>
      </c>
      <c r="I5572" s="5">
        <v>200</v>
      </c>
      <c r="J5572" s="5"/>
      <c r="K5572" s="5"/>
      <c r="L5572" s="10">
        <v>20201118</v>
      </c>
      <c r="M5572" s="36" t="str">
        <f t="shared" si="87"/>
        <v>19771022</v>
      </c>
    </row>
    <row r="5573" s="1" customFormat="1" spans="1:13">
      <c r="A5573" s="2">
        <v>6858</v>
      </c>
      <c r="B5573" s="5" t="s">
        <v>13533</v>
      </c>
      <c r="C5573" s="32" t="s">
        <v>13609</v>
      </c>
      <c r="D5573" s="32" t="str">
        <f>"152326197710227143"</f>
        <v>152326197710227143</v>
      </c>
      <c r="E5573" s="5">
        <v>2020</v>
      </c>
      <c r="F5573" s="5">
        <v>2020</v>
      </c>
      <c r="G5573" s="9" t="s">
        <v>2480</v>
      </c>
      <c r="H5573" s="32">
        <v>200</v>
      </c>
      <c r="I5573" s="32">
        <v>200</v>
      </c>
      <c r="J5573" s="32"/>
      <c r="K5573" s="10"/>
      <c r="L5573" s="10">
        <v>20201118</v>
      </c>
      <c r="M5573" s="36" t="str">
        <f t="shared" si="87"/>
        <v>19771022</v>
      </c>
    </row>
    <row r="5574" s="1" customFormat="1" spans="1:13">
      <c r="A5574" s="2">
        <v>625</v>
      </c>
      <c r="B5574" s="29" t="s">
        <v>1040</v>
      </c>
      <c r="C5574" s="29" t="s">
        <v>1529</v>
      </c>
      <c r="D5574" s="29" t="s">
        <v>1530</v>
      </c>
      <c r="E5574" s="30">
        <v>2020</v>
      </c>
      <c r="F5574" s="30">
        <v>2020</v>
      </c>
      <c r="G5574" s="29" t="s">
        <v>16</v>
      </c>
      <c r="H5574" s="29">
        <v>200</v>
      </c>
      <c r="I5574" s="29">
        <v>200</v>
      </c>
      <c r="J5574" s="29"/>
      <c r="K5574" s="47"/>
      <c r="L5574" s="2" t="s">
        <v>330</v>
      </c>
      <c r="M5574" s="36" t="str">
        <f t="shared" si="87"/>
        <v>19771023</v>
      </c>
    </row>
    <row r="5575" s="1" customFormat="1" spans="1:13">
      <c r="A5575" s="2">
        <v>7918</v>
      </c>
      <c r="B5575" s="5" t="s">
        <v>15086</v>
      </c>
      <c r="C5575" s="6" t="s">
        <v>15195</v>
      </c>
      <c r="D5575" s="6" t="str">
        <f>"152326197710236867"</f>
        <v>152326197710236867</v>
      </c>
      <c r="E5575" s="5" t="s">
        <v>15</v>
      </c>
      <c r="F5575" s="5">
        <v>2020</v>
      </c>
      <c r="G5575" s="5" t="s">
        <v>16</v>
      </c>
      <c r="H5575" s="5">
        <v>300</v>
      </c>
      <c r="I5575" s="5">
        <v>300</v>
      </c>
      <c r="J5575" s="5"/>
      <c r="K5575" s="5"/>
      <c r="L5575" s="10">
        <v>20201118</v>
      </c>
      <c r="M5575" s="36" t="str">
        <f t="shared" si="87"/>
        <v>19771023</v>
      </c>
    </row>
    <row r="5576" s="1" customFormat="1" spans="1:13">
      <c r="A5576" s="2">
        <v>6859</v>
      </c>
      <c r="B5576" s="5" t="s">
        <v>13533</v>
      </c>
      <c r="C5576" s="32" t="s">
        <v>13610</v>
      </c>
      <c r="D5576" s="32" t="str">
        <f>"152326197710257115"</f>
        <v>152326197710257115</v>
      </c>
      <c r="E5576" s="5">
        <v>2020</v>
      </c>
      <c r="F5576" s="5">
        <v>2020</v>
      </c>
      <c r="G5576" s="9" t="s">
        <v>2480</v>
      </c>
      <c r="H5576" s="32">
        <v>200</v>
      </c>
      <c r="I5576" s="32">
        <v>200</v>
      </c>
      <c r="J5576" s="62"/>
      <c r="K5576" s="10"/>
      <c r="L5576" s="10">
        <v>20201118</v>
      </c>
      <c r="M5576" s="36" t="str">
        <f t="shared" si="87"/>
        <v>19771025</v>
      </c>
    </row>
    <row r="5577" s="1" customFormat="1" spans="1:13">
      <c r="A5577" s="2">
        <v>1991</v>
      </c>
      <c r="B5577" s="5" t="s">
        <v>4189</v>
      </c>
      <c r="C5577" s="16" t="s">
        <v>4539</v>
      </c>
      <c r="D5577" s="16" t="s">
        <v>4540</v>
      </c>
      <c r="E5577" s="5" t="s">
        <v>15</v>
      </c>
      <c r="F5577" s="5" t="s">
        <v>15</v>
      </c>
      <c r="G5577" s="5" t="s">
        <v>3359</v>
      </c>
      <c r="H5577" s="16">
        <v>200</v>
      </c>
      <c r="I5577" s="16">
        <v>200</v>
      </c>
      <c r="J5577" s="5"/>
      <c r="K5577" s="10"/>
      <c r="L5577" s="10">
        <v>20201118</v>
      </c>
      <c r="M5577" s="36" t="str">
        <f t="shared" si="87"/>
        <v>19771026</v>
      </c>
    </row>
    <row r="5578" s="1" customFormat="1" spans="1:13">
      <c r="A5578" s="2">
        <v>5546</v>
      </c>
      <c r="B5578" s="30" t="s">
        <v>11090</v>
      </c>
      <c r="C5578" s="30" t="s">
        <v>11188</v>
      </c>
      <c r="D5578" s="30" t="s">
        <v>11189</v>
      </c>
      <c r="E5578" s="5" t="s">
        <v>15</v>
      </c>
      <c r="F5578" s="5" t="s">
        <v>10250</v>
      </c>
      <c r="G5578" s="6" t="s">
        <v>16</v>
      </c>
      <c r="H5578" s="32">
        <v>200</v>
      </c>
      <c r="I5578" s="32">
        <v>200</v>
      </c>
      <c r="J5578" s="6"/>
      <c r="K5578" s="48"/>
      <c r="L5578" s="10">
        <v>20201118</v>
      </c>
      <c r="M5578" s="36" t="str">
        <f t="shared" si="87"/>
        <v>19771026</v>
      </c>
    </row>
    <row r="5579" s="1" customFormat="1" spans="1:13">
      <c r="A5579" s="2">
        <v>4440</v>
      </c>
      <c r="B5579" s="6" t="s">
        <v>9015</v>
      </c>
      <c r="C5579" s="6" t="s">
        <v>9067</v>
      </c>
      <c r="D5579" s="6" t="s">
        <v>9068</v>
      </c>
      <c r="E5579" s="6">
        <v>2020</v>
      </c>
      <c r="F5579" s="6">
        <v>2020</v>
      </c>
      <c r="G5579" s="6" t="s">
        <v>16</v>
      </c>
      <c r="H5579" s="6">
        <v>200</v>
      </c>
      <c r="I5579" s="6">
        <v>200</v>
      </c>
      <c r="J5579" s="6"/>
      <c r="K5579" s="6"/>
      <c r="L5579" s="10">
        <v>20201118</v>
      </c>
      <c r="M5579" s="36" t="str">
        <f t="shared" si="87"/>
        <v>19771028</v>
      </c>
    </row>
    <row r="5580" s="1" customFormat="1" spans="1:13">
      <c r="A5580" s="2">
        <v>903</v>
      </c>
      <c r="B5580" s="29" t="s">
        <v>1040</v>
      </c>
      <c r="C5580" s="6" t="s">
        <v>2356</v>
      </c>
      <c r="D5580" s="6" t="s">
        <v>2357</v>
      </c>
      <c r="E5580" s="30">
        <v>2020</v>
      </c>
      <c r="F5580" s="30">
        <v>2020</v>
      </c>
      <c r="G5580" s="29" t="s">
        <v>16</v>
      </c>
      <c r="H5580" s="29">
        <v>200</v>
      </c>
      <c r="I5580" s="29">
        <v>200</v>
      </c>
      <c r="J5580" s="32"/>
      <c r="K5580" s="32"/>
      <c r="L5580" s="2" t="s">
        <v>330</v>
      </c>
      <c r="M5580" s="36" t="str">
        <f t="shared" si="87"/>
        <v>19771102</v>
      </c>
    </row>
    <row r="5581" s="1" customFormat="1" spans="1:13">
      <c r="A5581" s="2">
        <v>1194</v>
      </c>
      <c r="B5581" s="5" t="s">
        <v>2469</v>
      </c>
      <c r="C5581" s="9" t="s">
        <v>2972</v>
      </c>
      <c r="D5581" s="9" t="s">
        <v>2973</v>
      </c>
      <c r="E5581" s="5">
        <v>2020</v>
      </c>
      <c r="F5581" s="5">
        <v>2020</v>
      </c>
      <c r="G5581" s="9" t="s">
        <v>2480</v>
      </c>
      <c r="H5581" s="9">
        <v>200</v>
      </c>
      <c r="I5581" s="9">
        <v>200</v>
      </c>
      <c r="J5581" s="5"/>
      <c r="K5581" s="5"/>
      <c r="L5581" s="10">
        <v>20201118</v>
      </c>
      <c r="M5581" s="36" t="str">
        <f t="shared" si="87"/>
        <v>19771106</v>
      </c>
    </row>
    <row r="5582" s="1" customFormat="1" spans="1:13">
      <c r="A5582" s="2">
        <v>4620</v>
      </c>
      <c r="B5582" s="6" t="s">
        <v>9015</v>
      </c>
      <c r="C5582" s="6" t="s">
        <v>9409</v>
      </c>
      <c r="D5582" s="6" t="s">
        <v>9410</v>
      </c>
      <c r="E5582" s="6">
        <v>2020</v>
      </c>
      <c r="F5582" s="6">
        <v>2020</v>
      </c>
      <c r="G5582" s="6" t="s">
        <v>16</v>
      </c>
      <c r="H5582" s="6">
        <v>200</v>
      </c>
      <c r="I5582" s="6">
        <v>200</v>
      </c>
      <c r="J5582" s="6"/>
      <c r="K5582" s="6"/>
      <c r="L5582" s="10">
        <v>20201118</v>
      </c>
      <c r="M5582" s="36" t="str">
        <f t="shared" si="87"/>
        <v>19771106</v>
      </c>
    </row>
    <row r="5583" s="1" customFormat="1" spans="1:13">
      <c r="A5583" s="2">
        <v>4740</v>
      </c>
      <c r="B5583" s="6" t="s">
        <v>9015</v>
      </c>
      <c r="C5583" s="6" t="s">
        <v>9637</v>
      </c>
      <c r="D5583" s="6" t="s">
        <v>9638</v>
      </c>
      <c r="E5583" s="6">
        <v>2020</v>
      </c>
      <c r="F5583" s="6">
        <v>2020</v>
      </c>
      <c r="G5583" s="6" t="s">
        <v>16</v>
      </c>
      <c r="H5583" s="6">
        <v>200</v>
      </c>
      <c r="I5583" s="6">
        <v>200</v>
      </c>
      <c r="J5583" s="6"/>
      <c r="K5583" s="6"/>
      <c r="L5583" s="10">
        <v>20201118</v>
      </c>
      <c r="M5583" s="36" t="str">
        <f t="shared" si="87"/>
        <v>19771106</v>
      </c>
    </row>
    <row r="5584" s="1" customFormat="1" spans="1:13">
      <c r="A5584" s="2">
        <v>3977</v>
      </c>
      <c r="B5584" s="5" t="s">
        <v>7412</v>
      </c>
      <c r="C5584" s="5" t="s">
        <v>8175</v>
      </c>
      <c r="D5584" s="5" t="s">
        <v>8176</v>
      </c>
      <c r="E5584" s="6">
        <v>2020</v>
      </c>
      <c r="F5584" s="6">
        <v>2020</v>
      </c>
      <c r="G5584" s="5" t="s">
        <v>3359</v>
      </c>
      <c r="H5584" s="5">
        <v>200</v>
      </c>
      <c r="I5584" s="5">
        <v>200</v>
      </c>
      <c r="J5584" s="5"/>
      <c r="K5584" s="5"/>
      <c r="L5584" s="10">
        <v>20201118</v>
      </c>
      <c r="M5584" s="36" t="str">
        <f t="shared" si="87"/>
        <v>19771109</v>
      </c>
    </row>
    <row r="5585" s="1" customFormat="1" spans="1:13">
      <c r="A5585" s="2">
        <v>1195</v>
      </c>
      <c r="B5585" s="5" t="s">
        <v>2469</v>
      </c>
      <c r="C5585" s="9" t="s">
        <v>2974</v>
      </c>
      <c r="D5585" s="9" t="s">
        <v>2975</v>
      </c>
      <c r="E5585" s="5">
        <v>2020</v>
      </c>
      <c r="F5585" s="5">
        <v>2020</v>
      </c>
      <c r="G5585" s="9" t="s">
        <v>2480</v>
      </c>
      <c r="H5585" s="9">
        <v>200</v>
      </c>
      <c r="I5585" s="9">
        <v>200</v>
      </c>
      <c r="J5585" s="5"/>
      <c r="K5585" s="5"/>
      <c r="L5585" s="10">
        <v>20201118</v>
      </c>
      <c r="M5585" s="36" t="str">
        <f t="shared" si="87"/>
        <v>19771113</v>
      </c>
    </row>
    <row r="5586" s="1" customFormat="1" spans="1:13">
      <c r="A5586" s="2">
        <v>1706</v>
      </c>
      <c r="B5586" s="5" t="s">
        <v>3381</v>
      </c>
      <c r="C5586" s="9" t="s">
        <v>3973</v>
      </c>
      <c r="D5586" s="9" t="s">
        <v>3974</v>
      </c>
      <c r="E5586" s="5">
        <v>2020</v>
      </c>
      <c r="F5586" s="5">
        <v>2020</v>
      </c>
      <c r="G5586" s="14" t="s">
        <v>16</v>
      </c>
      <c r="H5586" s="6">
        <v>200</v>
      </c>
      <c r="I5586" s="6">
        <v>200</v>
      </c>
      <c r="J5586" s="5"/>
      <c r="K5586" s="13"/>
      <c r="L5586" s="10">
        <v>20201118</v>
      </c>
      <c r="M5586" s="36" t="str">
        <f t="shared" si="87"/>
        <v>19771113</v>
      </c>
    </row>
    <row r="5587" s="1" customFormat="1" spans="1:13">
      <c r="A5587" s="2">
        <v>4853</v>
      </c>
      <c r="B5587" s="6" t="s">
        <v>9015</v>
      </c>
      <c r="C5587" s="6" t="s">
        <v>9849</v>
      </c>
      <c r="D5587" s="293" t="s">
        <v>9850</v>
      </c>
      <c r="E5587" s="6">
        <v>2020</v>
      </c>
      <c r="F5587" s="6">
        <v>2020</v>
      </c>
      <c r="G5587" s="6" t="s">
        <v>16</v>
      </c>
      <c r="H5587" s="6">
        <v>200</v>
      </c>
      <c r="I5587" s="6">
        <v>200</v>
      </c>
      <c r="J5587" s="6"/>
      <c r="K5587" s="6"/>
      <c r="L5587" s="10">
        <v>20201118</v>
      </c>
      <c r="M5587" s="36" t="str">
        <f t="shared" si="87"/>
        <v>19771114</v>
      </c>
    </row>
    <row r="5588" s="1" customFormat="1" spans="1:13">
      <c r="A5588" s="2">
        <v>457</v>
      </c>
      <c r="B5588" s="29" t="s">
        <v>1040</v>
      </c>
      <c r="C5588" s="29" t="s">
        <v>1190</v>
      </c>
      <c r="D5588" s="29" t="s">
        <v>1191</v>
      </c>
      <c r="E5588" s="30">
        <v>2020</v>
      </c>
      <c r="F5588" s="30">
        <v>2020</v>
      </c>
      <c r="G5588" s="29" t="s">
        <v>16</v>
      </c>
      <c r="H5588" s="29">
        <v>200</v>
      </c>
      <c r="I5588" s="29">
        <v>200</v>
      </c>
      <c r="J5588" s="29"/>
      <c r="K5588" s="47"/>
      <c r="L5588" s="14" t="s">
        <v>330</v>
      </c>
      <c r="M5588" s="36" t="str">
        <f t="shared" si="87"/>
        <v>19771115</v>
      </c>
    </row>
    <row r="5589" s="1" customFormat="1" spans="1:13">
      <c r="A5589" s="2">
        <v>3978</v>
      </c>
      <c r="B5589" s="5" t="s">
        <v>7412</v>
      </c>
      <c r="C5589" s="5" t="s">
        <v>8177</v>
      </c>
      <c r="D5589" s="5" t="s">
        <v>8178</v>
      </c>
      <c r="E5589" s="6">
        <v>2020</v>
      </c>
      <c r="F5589" s="6">
        <v>2020</v>
      </c>
      <c r="G5589" s="5" t="s">
        <v>3359</v>
      </c>
      <c r="H5589" s="5">
        <v>200</v>
      </c>
      <c r="I5589" s="5">
        <v>200</v>
      </c>
      <c r="J5589" s="5"/>
      <c r="K5589" s="5"/>
      <c r="L5589" s="10">
        <v>20201118</v>
      </c>
      <c r="M5589" s="36" t="str">
        <f t="shared" si="87"/>
        <v>19771115</v>
      </c>
    </row>
    <row r="5590" s="1" customFormat="1" spans="1:13">
      <c r="A5590" s="2">
        <v>2311</v>
      </c>
      <c r="B5590" s="9" t="s">
        <v>4837</v>
      </c>
      <c r="C5590" s="9" t="s">
        <v>5162</v>
      </c>
      <c r="D5590" s="9" t="s">
        <v>5163</v>
      </c>
      <c r="E5590" s="6" t="s">
        <v>15</v>
      </c>
      <c r="F5590" s="6">
        <v>2020</v>
      </c>
      <c r="G5590" s="9" t="s">
        <v>2480</v>
      </c>
      <c r="H5590" s="9">
        <v>500</v>
      </c>
      <c r="I5590" s="9">
        <v>500</v>
      </c>
      <c r="J5590" s="6"/>
      <c r="K5590" s="10"/>
      <c r="L5590" s="10">
        <v>20201118</v>
      </c>
      <c r="M5590" s="36" t="str">
        <f t="shared" si="87"/>
        <v>19771117</v>
      </c>
    </row>
    <row r="5591" s="1" customFormat="1" spans="1:13">
      <c r="A5591" s="2">
        <v>1196</v>
      </c>
      <c r="B5591" s="5" t="s">
        <v>2469</v>
      </c>
      <c r="C5591" s="9" t="s">
        <v>2976</v>
      </c>
      <c r="D5591" s="9" t="s">
        <v>2977</v>
      </c>
      <c r="E5591" s="5">
        <v>2020</v>
      </c>
      <c r="F5591" s="5">
        <v>2020</v>
      </c>
      <c r="G5591" s="9" t="s">
        <v>2480</v>
      </c>
      <c r="H5591" s="9">
        <v>200</v>
      </c>
      <c r="I5591" s="9">
        <v>200</v>
      </c>
      <c r="J5591" s="5"/>
      <c r="K5591" s="5"/>
      <c r="L5591" s="10">
        <v>20201118</v>
      </c>
      <c r="M5591" s="36" t="str">
        <f t="shared" si="87"/>
        <v>19771118</v>
      </c>
    </row>
    <row r="5592" s="1" customFormat="1" spans="1:13">
      <c r="A5592" s="2">
        <v>2684</v>
      </c>
      <c r="B5592" s="32" t="s">
        <v>5602</v>
      </c>
      <c r="C5592" s="9" t="s">
        <v>5901</v>
      </c>
      <c r="D5592" s="9" t="s">
        <v>5902</v>
      </c>
      <c r="E5592" s="32">
        <v>2020</v>
      </c>
      <c r="F5592" s="32">
        <v>2020</v>
      </c>
      <c r="G5592" s="32" t="s">
        <v>16</v>
      </c>
      <c r="H5592" s="9">
        <v>200</v>
      </c>
      <c r="I5592" s="9">
        <v>200</v>
      </c>
      <c r="J5592" s="32"/>
      <c r="K5592" s="52"/>
      <c r="L5592" s="10">
        <v>20201118</v>
      </c>
      <c r="M5592" s="36" t="str">
        <f t="shared" si="87"/>
        <v>19771118</v>
      </c>
    </row>
    <row r="5593" s="1" customFormat="1" spans="1:13">
      <c r="A5593" s="2">
        <v>2485</v>
      </c>
      <c r="B5593" s="5" t="s">
        <v>5328</v>
      </c>
      <c r="C5593" s="16" t="s">
        <v>5506</v>
      </c>
      <c r="D5593" s="16" t="s">
        <v>5507</v>
      </c>
      <c r="E5593" s="5" t="s">
        <v>15</v>
      </c>
      <c r="F5593" s="5" t="s">
        <v>15</v>
      </c>
      <c r="G5593" s="14" t="s">
        <v>16</v>
      </c>
      <c r="H5593" s="6">
        <v>200</v>
      </c>
      <c r="I5593" s="6">
        <v>200</v>
      </c>
      <c r="J5593" s="5"/>
      <c r="K5593" s="5"/>
      <c r="L5593" s="10">
        <v>20201118</v>
      </c>
      <c r="M5593" s="36" t="str">
        <f t="shared" si="87"/>
        <v>19771122</v>
      </c>
    </row>
    <row r="5594" s="1" customFormat="1" spans="1:13">
      <c r="A5594" s="2">
        <v>4824</v>
      </c>
      <c r="B5594" s="6" t="s">
        <v>9015</v>
      </c>
      <c r="C5594" s="6" t="s">
        <v>9796</v>
      </c>
      <c r="D5594" s="293" t="s">
        <v>9797</v>
      </c>
      <c r="E5594" s="6">
        <v>2020</v>
      </c>
      <c r="F5594" s="6">
        <v>2020</v>
      </c>
      <c r="G5594" s="6" t="s">
        <v>16</v>
      </c>
      <c r="H5594" s="6">
        <v>200</v>
      </c>
      <c r="I5594" s="6">
        <v>200</v>
      </c>
      <c r="J5594" s="6"/>
      <c r="K5594" s="6"/>
      <c r="L5594" s="10">
        <v>20201118</v>
      </c>
      <c r="M5594" s="36" t="str">
        <f t="shared" si="87"/>
        <v>19771123</v>
      </c>
    </row>
    <row r="5595" s="1" customFormat="1" spans="1:13">
      <c r="A5595" s="2">
        <v>4967</v>
      </c>
      <c r="B5595" s="6" t="s">
        <v>9954</v>
      </c>
      <c r="C5595" s="60" t="s">
        <v>10074</v>
      </c>
      <c r="D5595" s="60" t="s">
        <v>10075</v>
      </c>
      <c r="E5595" s="5" t="s">
        <v>15</v>
      </c>
      <c r="F5595" s="5" t="s">
        <v>15</v>
      </c>
      <c r="G5595" s="14" t="s">
        <v>16</v>
      </c>
      <c r="H5595" s="6">
        <v>1000</v>
      </c>
      <c r="I5595" s="6">
        <v>1000</v>
      </c>
      <c r="J5595" s="6"/>
      <c r="K5595" s="6"/>
      <c r="L5595" s="10">
        <v>20201118</v>
      </c>
      <c r="M5595" s="36" t="str">
        <f t="shared" si="87"/>
        <v>19771126</v>
      </c>
    </row>
    <row r="5596" s="1" customFormat="1" spans="1:13">
      <c r="A5596" s="2">
        <v>1993</v>
      </c>
      <c r="B5596" s="5" t="s">
        <v>4189</v>
      </c>
      <c r="C5596" s="16" t="s">
        <v>4543</v>
      </c>
      <c r="D5596" s="16" t="s">
        <v>4544</v>
      </c>
      <c r="E5596" s="5" t="s">
        <v>15</v>
      </c>
      <c r="F5596" s="5" t="s">
        <v>15</v>
      </c>
      <c r="G5596" s="5" t="s">
        <v>3359</v>
      </c>
      <c r="H5596" s="16">
        <v>200</v>
      </c>
      <c r="I5596" s="16">
        <v>200</v>
      </c>
      <c r="J5596" s="5"/>
      <c r="K5596" s="10"/>
      <c r="L5596" s="10">
        <v>20201118</v>
      </c>
      <c r="M5596" s="36" t="str">
        <f t="shared" si="87"/>
        <v>19771201</v>
      </c>
    </row>
    <row r="5597" s="1" customFormat="1" spans="1:13">
      <c r="A5597" s="2">
        <v>2117</v>
      </c>
      <c r="B5597" s="5" t="s">
        <v>4189</v>
      </c>
      <c r="C5597" s="9" t="s">
        <v>4784</v>
      </c>
      <c r="D5597" s="9" t="s">
        <v>4785</v>
      </c>
      <c r="E5597" s="5" t="s">
        <v>15</v>
      </c>
      <c r="F5597" s="5" t="s">
        <v>15</v>
      </c>
      <c r="G5597" s="5" t="s">
        <v>3359</v>
      </c>
      <c r="H5597" s="16">
        <v>200</v>
      </c>
      <c r="I5597" s="16">
        <v>200</v>
      </c>
      <c r="J5597" s="5"/>
      <c r="K5597" s="10"/>
      <c r="L5597" s="10">
        <v>20201118</v>
      </c>
      <c r="M5597" s="36" t="str">
        <f t="shared" si="87"/>
        <v>19771201</v>
      </c>
    </row>
    <row r="5598" s="1" customFormat="1" ht="14.25" spans="1:13">
      <c r="A5598" s="2">
        <v>5390</v>
      </c>
      <c r="B5598" s="33" t="s">
        <v>10535</v>
      </c>
      <c r="C5598" s="34" t="s">
        <v>10887</v>
      </c>
      <c r="D5598" s="34" t="s">
        <v>10888</v>
      </c>
      <c r="E5598" s="35">
        <v>2020</v>
      </c>
      <c r="F5598" s="35">
        <v>2020</v>
      </c>
      <c r="G5598" s="35" t="s">
        <v>16</v>
      </c>
      <c r="H5598" s="34">
        <v>500</v>
      </c>
      <c r="I5598" s="34">
        <v>500</v>
      </c>
      <c r="J5598" s="49"/>
      <c r="K5598" s="10"/>
      <c r="L5598" s="10">
        <v>20201118</v>
      </c>
      <c r="M5598" s="36" t="str">
        <f t="shared" si="87"/>
        <v>19771205</v>
      </c>
    </row>
    <row r="5599" s="1" customFormat="1" spans="1:13">
      <c r="A5599" s="2">
        <v>2486</v>
      </c>
      <c r="B5599" s="5" t="s">
        <v>5328</v>
      </c>
      <c r="C5599" s="16" t="s">
        <v>5508</v>
      </c>
      <c r="D5599" s="16" t="s">
        <v>5509</v>
      </c>
      <c r="E5599" s="5" t="s">
        <v>15</v>
      </c>
      <c r="F5599" s="5" t="s">
        <v>15</v>
      </c>
      <c r="G5599" s="14" t="s">
        <v>16</v>
      </c>
      <c r="H5599" s="6">
        <v>200</v>
      </c>
      <c r="I5599" s="6">
        <v>200</v>
      </c>
      <c r="J5599" s="5"/>
      <c r="K5599" s="5"/>
      <c r="L5599" s="10">
        <v>20201118</v>
      </c>
      <c r="M5599" s="36" t="str">
        <f t="shared" si="87"/>
        <v>19771209</v>
      </c>
    </row>
    <row r="5600" s="1" customFormat="1" spans="1:13">
      <c r="A5600" s="2">
        <v>6232</v>
      </c>
      <c r="B5600" s="5" t="s">
        <v>12263</v>
      </c>
      <c r="C5600" s="5" t="s">
        <v>9065</v>
      </c>
      <c r="D5600" s="5" t="s">
        <v>12489</v>
      </c>
      <c r="E5600" s="5" t="s">
        <v>10250</v>
      </c>
      <c r="F5600" s="5">
        <v>2020</v>
      </c>
      <c r="G5600" s="17" t="s">
        <v>3359</v>
      </c>
      <c r="H5600" s="5">
        <v>200</v>
      </c>
      <c r="I5600" s="5">
        <v>200</v>
      </c>
      <c r="J5600" s="5"/>
      <c r="K5600" s="5"/>
      <c r="L5600" s="10">
        <v>20201118</v>
      </c>
      <c r="M5600" s="36" t="str">
        <f t="shared" si="87"/>
        <v>19771210</v>
      </c>
    </row>
    <row r="5601" s="1" customFormat="1" spans="1:13">
      <c r="A5601" s="2">
        <v>5035</v>
      </c>
      <c r="B5601" s="6" t="s">
        <v>9954</v>
      </c>
      <c r="C5601" s="53" t="s">
        <v>10203</v>
      </c>
      <c r="D5601" s="53" t="s">
        <v>10204</v>
      </c>
      <c r="E5601" s="5" t="s">
        <v>15</v>
      </c>
      <c r="F5601" s="5" t="s">
        <v>15</v>
      </c>
      <c r="G5601" s="14" t="s">
        <v>16</v>
      </c>
      <c r="H5601" s="6">
        <v>500</v>
      </c>
      <c r="I5601" s="6">
        <v>500</v>
      </c>
      <c r="J5601" s="6"/>
      <c r="K5601" s="6"/>
      <c r="L5601" s="10">
        <v>20201118</v>
      </c>
      <c r="M5601" s="36" t="str">
        <f t="shared" si="87"/>
        <v>19771211</v>
      </c>
    </row>
    <row r="5602" s="1" customFormat="1" spans="1:13">
      <c r="A5602" s="2">
        <v>2487</v>
      </c>
      <c r="B5602" s="5" t="s">
        <v>5328</v>
      </c>
      <c r="C5602" s="16" t="s">
        <v>3134</v>
      </c>
      <c r="D5602" s="16" t="s">
        <v>5510</v>
      </c>
      <c r="E5602" s="5" t="s">
        <v>15</v>
      </c>
      <c r="F5602" s="5" t="s">
        <v>15</v>
      </c>
      <c r="G5602" s="14" t="s">
        <v>16</v>
      </c>
      <c r="H5602" s="6">
        <v>200</v>
      </c>
      <c r="I5602" s="6">
        <v>200</v>
      </c>
      <c r="J5602" s="5" t="s">
        <v>108</v>
      </c>
      <c r="K5602" s="5"/>
      <c r="L5602" s="10">
        <v>20201118</v>
      </c>
      <c r="M5602" s="36" t="str">
        <f t="shared" si="87"/>
        <v>19771212</v>
      </c>
    </row>
    <row r="5603" s="1" customFormat="1" spans="1:13">
      <c r="A5603" s="2">
        <v>5849</v>
      </c>
      <c r="B5603" s="30" t="s">
        <v>11090</v>
      </c>
      <c r="C5603" s="30" t="s">
        <v>11762</v>
      </c>
      <c r="D5603" s="30" t="s">
        <v>11763</v>
      </c>
      <c r="E5603" s="5" t="s">
        <v>15</v>
      </c>
      <c r="F5603" s="5" t="s">
        <v>10250</v>
      </c>
      <c r="G5603" s="6" t="s">
        <v>16</v>
      </c>
      <c r="H5603" s="32">
        <v>500</v>
      </c>
      <c r="I5603" s="32">
        <v>500</v>
      </c>
      <c r="J5603" s="6"/>
      <c r="K5603" s="48"/>
      <c r="L5603" s="10">
        <v>20201118</v>
      </c>
      <c r="M5603" s="36" t="str">
        <f t="shared" si="87"/>
        <v>19771212</v>
      </c>
    </row>
    <row r="5604" s="1" customFormat="1" spans="1:13">
      <c r="A5604" s="2">
        <v>1197</v>
      </c>
      <c r="B5604" s="5" t="s">
        <v>2469</v>
      </c>
      <c r="C5604" s="9" t="s">
        <v>1639</v>
      </c>
      <c r="D5604" s="9" t="s">
        <v>2978</v>
      </c>
      <c r="E5604" s="5">
        <v>2020</v>
      </c>
      <c r="F5604" s="5">
        <v>2020</v>
      </c>
      <c r="G5604" s="9" t="s">
        <v>2480</v>
      </c>
      <c r="H5604" s="9">
        <v>200</v>
      </c>
      <c r="I5604" s="9">
        <v>200</v>
      </c>
      <c r="J5604" s="5"/>
      <c r="K5604" s="5"/>
      <c r="L5604" s="10">
        <v>20201118</v>
      </c>
      <c r="M5604" s="36" t="str">
        <f t="shared" si="87"/>
        <v>19771223</v>
      </c>
    </row>
    <row r="5605" s="1" customFormat="1" spans="1:13">
      <c r="A5605" s="2">
        <v>5015</v>
      </c>
      <c r="B5605" s="6" t="s">
        <v>9954</v>
      </c>
      <c r="C5605" s="60" t="s">
        <v>10165</v>
      </c>
      <c r="D5605" s="60" t="s">
        <v>10166</v>
      </c>
      <c r="E5605" s="5" t="s">
        <v>15</v>
      </c>
      <c r="F5605" s="5" t="s">
        <v>15</v>
      </c>
      <c r="G5605" s="14" t="s">
        <v>16</v>
      </c>
      <c r="H5605" s="6">
        <v>200</v>
      </c>
      <c r="I5605" s="6">
        <v>200</v>
      </c>
      <c r="J5605" s="6"/>
      <c r="K5605" s="6"/>
      <c r="L5605" s="10">
        <v>20201118</v>
      </c>
      <c r="M5605" s="36" t="str">
        <f t="shared" si="87"/>
        <v>19771223</v>
      </c>
    </row>
    <row r="5606" s="1" customFormat="1" spans="1:13">
      <c r="A5606" s="2">
        <v>1198</v>
      </c>
      <c r="B5606" s="5" t="s">
        <v>2469</v>
      </c>
      <c r="C5606" s="9" t="s">
        <v>2979</v>
      </c>
      <c r="D5606" s="9" t="s">
        <v>2980</v>
      </c>
      <c r="E5606" s="5">
        <v>2020</v>
      </c>
      <c r="F5606" s="5">
        <v>2020</v>
      </c>
      <c r="G5606" s="9" t="s">
        <v>2480</v>
      </c>
      <c r="H5606" s="9">
        <v>200</v>
      </c>
      <c r="I5606" s="9">
        <v>200</v>
      </c>
      <c r="J5606" s="5"/>
      <c r="K5606" s="5"/>
      <c r="L5606" s="10">
        <v>20201118</v>
      </c>
      <c r="M5606" s="36" t="str">
        <f t="shared" si="87"/>
        <v>19771224</v>
      </c>
    </row>
    <row r="5607" s="1" customFormat="1" spans="1:13">
      <c r="A5607" s="2">
        <v>3336</v>
      </c>
      <c r="B5607" s="5" t="s">
        <v>3375</v>
      </c>
      <c r="C5607" s="6" t="s">
        <v>7110</v>
      </c>
      <c r="D5607" s="6" t="s">
        <v>7111</v>
      </c>
      <c r="E5607" s="5" t="s">
        <v>15</v>
      </c>
      <c r="F5607" s="5">
        <v>2020</v>
      </c>
      <c r="G5607" s="14" t="s">
        <v>16</v>
      </c>
      <c r="H5607" s="17">
        <v>200</v>
      </c>
      <c r="I5607" s="17">
        <v>200</v>
      </c>
      <c r="J5607" s="6"/>
      <c r="K5607" s="10"/>
      <c r="L5607" s="10">
        <v>20201118</v>
      </c>
      <c r="M5607" s="36" t="str">
        <f t="shared" si="87"/>
        <v>19771225</v>
      </c>
    </row>
    <row r="5608" s="1" customFormat="1" spans="1:13">
      <c r="A5608" s="2">
        <v>3979</v>
      </c>
      <c r="B5608" s="5" t="s">
        <v>7412</v>
      </c>
      <c r="C5608" s="5" t="s">
        <v>8179</v>
      </c>
      <c r="D5608" s="5" t="s">
        <v>8180</v>
      </c>
      <c r="E5608" s="6">
        <v>2020</v>
      </c>
      <c r="F5608" s="6">
        <v>2020</v>
      </c>
      <c r="G5608" s="5" t="s">
        <v>3359</v>
      </c>
      <c r="H5608" s="5">
        <v>200</v>
      </c>
      <c r="I5608" s="5">
        <v>200</v>
      </c>
      <c r="J5608" s="5"/>
      <c r="K5608" s="5"/>
      <c r="L5608" s="10">
        <v>20201118</v>
      </c>
      <c r="M5608" s="36" t="str">
        <f t="shared" si="87"/>
        <v>19771225</v>
      </c>
    </row>
    <row r="5609" s="1" customFormat="1" spans="1:13">
      <c r="A5609" s="2">
        <v>3980</v>
      </c>
      <c r="B5609" s="5" t="s">
        <v>7412</v>
      </c>
      <c r="C5609" s="5" t="s">
        <v>8181</v>
      </c>
      <c r="D5609" s="5" t="s">
        <v>8182</v>
      </c>
      <c r="E5609" s="6">
        <v>2020</v>
      </c>
      <c r="F5609" s="6">
        <v>2020</v>
      </c>
      <c r="G5609" s="5" t="s">
        <v>3359</v>
      </c>
      <c r="H5609" s="5">
        <v>200</v>
      </c>
      <c r="I5609" s="5">
        <v>200</v>
      </c>
      <c r="J5609" s="5"/>
      <c r="K5609" s="5"/>
      <c r="L5609" s="10">
        <v>20201118</v>
      </c>
      <c r="M5609" s="36" t="str">
        <f t="shared" si="87"/>
        <v>19771228</v>
      </c>
    </row>
    <row r="5610" s="1" customFormat="1" spans="1:13">
      <c r="A5610" s="2">
        <v>3530</v>
      </c>
      <c r="B5610" s="5" t="s">
        <v>3375</v>
      </c>
      <c r="C5610" s="5" t="s">
        <v>7331</v>
      </c>
      <c r="D5610" s="296" t="s">
        <v>7332</v>
      </c>
      <c r="E5610" s="5" t="s">
        <v>15</v>
      </c>
      <c r="F5610" s="5">
        <v>2020</v>
      </c>
      <c r="G5610" s="14" t="s">
        <v>16</v>
      </c>
      <c r="H5610" s="5">
        <v>200</v>
      </c>
      <c r="I5610" s="5">
        <v>200</v>
      </c>
      <c r="J5610" s="5"/>
      <c r="K5610" s="10"/>
      <c r="L5610" s="10">
        <v>20201118</v>
      </c>
      <c r="M5610" s="36" t="str">
        <f t="shared" si="87"/>
        <v>19771229</v>
      </c>
    </row>
    <row r="5611" s="1" customFormat="1" spans="1:13">
      <c r="A5611" s="2">
        <v>1707</v>
      </c>
      <c r="B5611" s="5" t="s">
        <v>3381</v>
      </c>
      <c r="C5611" s="9" t="s">
        <v>3975</v>
      </c>
      <c r="D5611" s="9" t="s">
        <v>3976</v>
      </c>
      <c r="E5611" s="5">
        <v>2020</v>
      </c>
      <c r="F5611" s="5">
        <v>2020</v>
      </c>
      <c r="G5611" s="14" t="s">
        <v>16</v>
      </c>
      <c r="H5611" s="6">
        <v>3000</v>
      </c>
      <c r="I5611" s="6">
        <v>3000</v>
      </c>
      <c r="J5611" s="5"/>
      <c r="K5611" s="13"/>
      <c r="L5611" s="10">
        <v>20201118</v>
      </c>
      <c r="M5611" s="36" t="str">
        <f t="shared" si="87"/>
        <v>19780101</v>
      </c>
    </row>
    <row r="5612" s="1" customFormat="1" spans="1:13">
      <c r="A5612" s="2">
        <v>6710</v>
      </c>
      <c r="B5612" s="5" t="s">
        <v>13027</v>
      </c>
      <c r="C5612" s="15" t="s">
        <v>13392</v>
      </c>
      <c r="D5612" s="15" t="s">
        <v>13393</v>
      </c>
      <c r="E5612" s="5">
        <v>2020</v>
      </c>
      <c r="F5612" s="5">
        <v>2020</v>
      </c>
      <c r="G5612" s="14" t="s">
        <v>16</v>
      </c>
      <c r="H5612" s="15">
        <v>200</v>
      </c>
      <c r="I5612" s="15">
        <v>200</v>
      </c>
      <c r="J5612" s="5"/>
      <c r="K5612" s="10"/>
      <c r="L5612" s="10">
        <v>20201118</v>
      </c>
      <c r="M5612" s="36" t="str">
        <f t="shared" si="87"/>
        <v>19780101</v>
      </c>
    </row>
    <row r="5613" s="1" customFormat="1" ht="14.25" spans="1:13">
      <c r="A5613" s="2">
        <v>1799</v>
      </c>
      <c r="B5613" s="5" t="s">
        <v>3381</v>
      </c>
      <c r="C5613" s="9" t="s">
        <v>4160</v>
      </c>
      <c r="D5613" s="9" t="s">
        <v>4161</v>
      </c>
      <c r="E5613" s="5">
        <v>2020</v>
      </c>
      <c r="F5613" s="5">
        <v>2020</v>
      </c>
      <c r="G5613" s="5" t="s">
        <v>189</v>
      </c>
      <c r="H5613" s="6">
        <v>200</v>
      </c>
      <c r="I5613" s="6">
        <v>200</v>
      </c>
      <c r="J5613" s="24" t="s">
        <v>4162</v>
      </c>
      <c r="K5613" s="13"/>
      <c r="L5613" s="10">
        <v>20201118</v>
      </c>
      <c r="M5613" s="36" t="str">
        <f t="shared" si="87"/>
        <v>19780103</v>
      </c>
    </row>
    <row r="5614" s="1" customFormat="1" spans="1:13">
      <c r="A5614" s="2">
        <v>4646</v>
      </c>
      <c r="B5614" s="6" t="s">
        <v>9015</v>
      </c>
      <c r="C5614" s="6" t="s">
        <v>9456</v>
      </c>
      <c r="D5614" s="6" t="s">
        <v>9457</v>
      </c>
      <c r="E5614" s="6">
        <v>2020</v>
      </c>
      <c r="F5614" s="6">
        <v>2020</v>
      </c>
      <c r="G5614" s="6" t="s">
        <v>16</v>
      </c>
      <c r="H5614" s="6">
        <v>200</v>
      </c>
      <c r="I5614" s="6">
        <v>200</v>
      </c>
      <c r="J5614" s="6"/>
      <c r="K5614" s="6"/>
      <c r="L5614" s="10">
        <v>20201118</v>
      </c>
      <c r="M5614" s="36" t="str">
        <f t="shared" si="87"/>
        <v>19780104</v>
      </c>
    </row>
    <row r="5615" s="1" customFormat="1" spans="1:13">
      <c r="A5615" s="2">
        <v>6849</v>
      </c>
      <c r="B5615" s="5" t="s">
        <v>13533</v>
      </c>
      <c r="C5615" s="32" t="s">
        <v>13600</v>
      </c>
      <c r="D5615" s="32" t="str">
        <f>"152326197801047148"</f>
        <v>152326197801047148</v>
      </c>
      <c r="E5615" s="5">
        <v>2020</v>
      </c>
      <c r="F5615" s="5">
        <v>2020</v>
      </c>
      <c r="G5615" s="9" t="s">
        <v>2480</v>
      </c>
      <c r="H5615" s="32">
        <v>200</v>
      </c>
      <c r="I5615" s="32">
        <v>200</v>
      </c>
      <c r="J5615" s="62"/>
      <c r="K5615" s="10"/>
      <c r="L5615" s="10">
        <v>20201118</v>
      </c>
      <c r="M5615" s="36" t="str">
        <f t="shared" si="87"/>
        <v>19780104</v>
      </c>
    </row>
    <row r="5616" s="1" customFormat="1" ht="14.25" spans="1:13">
      <c r="A5616" s="2">
        <v>6035</v>
      </c>
      <c r="B5616" s="30" t="s">
        <v>11090</v>
      </c>
      <c r="C5616" s="32" t="s">
        <v>12113</v>
      </c>
      <c r="D5616" s="12" t="s">
        <v>12114</v>
      </c>
      <c r="E5616" s="5" t="s">
        <v>15</v>
      </c>
      <c r="F5616" s="5" t="s">
        <v>10250</v>
      </c>
      <c r="G5616" s="6" t="s">
        <v>16</v>
      </c>
      <c r="H5616" s="32">
        <v>200</v>
      </c>
      <c r="I5616" s="32">
        <v>200</v>
      </c>
      <c r="J5616" s="6" t="s">
        <v>6345</v>
      </c>
      <c r="K5616" s="48"/>
      <c r="L5616" s="10">
        <v>20201118</v>
      </c>
      <c r="M5616" s="36" t="str">
        <f t="shared" si="87"/>
        <v>19780105</v>
      </c>
    </row>
    <row r="5617" s="1" customFormat="1" spans="1:13">
      <c r="A5617" s="2">
        <v>8093</v>
      </c>
      <c r="B5617" s="5" t="s">
        <v>15086</v>
      </c>
      <c r="C5617" s="6" t="s">
        <v>4618</v>
      </c>
      <c r="D5617" s="293" t="s">
        <v>15380</v>
      </c>
      <c r="E5617" s="5" t="s">
        <v>15</v>
      </c>
      <c r="F5617" s="5">
        <v>2020</v>
      </c>
      <c r="G5617" s="5" t="s">
        <v>189</v>
      </c>
      <c r="H5617" s="6">
        <v>200</v>
      </c>
      <c r="I5617" s="5">
        <v>200</v>
      </c>
      <c r="J5617" s="5"/>
      <c r="K5617" s="5"/>
      <c r="L5617" s="10">
        <v>20201118</v>
      </c>
      <c r="M5617" s="36" t="str">
        <f t="shared" si="87"/>
        <v>19780105</v>
      </c>
    </row>
    <row r="5618" s="1" customFormat="1" spans="1:13">
      <c r="A5618" s="2">
        <v>2312</v>
      </c>
      <c r="B5618" s="9" t="s">
        <v>4837</v>
      </c>
      <c r="C5618" s="9" t="s">
        <v>5164</v>
      </c>
      <c r="D5618" s="9" t="s">
        <v>5165</v>
      </c>
      <c r="E5618" s="6" t="s">
        <v>15</v>
      </c>
      <c r="F5618" s="6">
        <v>2020</v>
      </c>
      <c r="G5618" s="9" t="s">
        <v>2480</v>
      </c>
      <c r="H5618" s="9">
        <v>200</v>
      </c>
      <c r="I5618" s="9">
        <v>200</v>
      </c>
      <c r="J5618" s="6"/>
      <c r="K5618" s="10"/>
      <c r="L5618" s="10">
        <v>20201118</v>
      </c>
      <c r="M5618" s="36" t="str">
        <f t="shared" si="87"/>
        <v>19780106</v>
      </c>
    </row>
    <row r="5619" s="1" customFormat="1" spans="1:13">
      <c r="A5619" s="2">
        <v>6848</v>
      </c>
      <c r="B5619" s="5" t="s">
        <v>13533</v>
      </c>
      <c r="C5619" s="32" t="s">
        <v>13599</v>
      </c>
      <c r="D5619" s="32" t="str">
        <f>"152326197801087123"</f>
        <v>152326197801087123</v>
      </c>
      <c r="E5619" s="5">
        <v>2020</v>
      </c>
      <c r="F5619" s="5">
        <v>2020</v>
      </c>
      <c r="G5619" s="9" t="s">
        <v>2480</v>
      </c>
      <c r="H5619" s="32">
        <v>200</v>
      </c>
      <c r="I5619" s="32">
        <v>200</v>
      </c>
      <c r="J5619" s="62"/>
      <c r="K5619" s="10"/>
      <c r="L5619" s="10">
        <v>20201118</v>
      </c>
      <c r="M5619" s="36" t="str">
        <f t="shared" si="87"/>
        <v>19780108</v>
      </c>
    </row>
    <row r="5620" s="1" customFormat="1" spans="1:13">
      <c r="A5620" s="2">
        <v>4661</v>
      </c>
      <c r="B5620" s="6" t="s">
        <v>9015</v>
      </c>
      <c r="C5620" s="6" t="s">
        <v>9486</v>
      </c>
      <c r="D5620" s="6" t="s">
        <v>9487</v>
      </c>
      <c r="E5620" s="6">
        <v>2020</v>
      </c>
      <c r="F5620" s="6">
        <v>2020</v>
      </c>
      <c r="G5620" s="6" t="s">
        <v>16</v>
      </c>
      <c r="H5620" s="6">
        <v>200</v>
      </c>
      <c r="I5620" s="6">
        <v>200</v>
      </c>
      <c r="J5620" s="6"/>
      <c r="K5620" s="6"/>
      <c r="L5620" s="10">
        <v>20201118</v>
      </c>
      <c r="M5620" s="36" t="str">
        <f t="shared" si="87"/>
        <v>19780109</v>
      </c>
    </row>
    <row r="5621" s="1" customFormat="1" spans="1:13">
      <c r="A5621" s="2">
        <v>7072</v>
      </c>
      <c r="B5621" s="5" t="s">
        <v>13533</v>
      </c>
      <c r="C5621" s="32" t="s">
        <v>13815</v>
      </c>
      <c r="D5621" s="32" t="s">
        <v>13816</v>
      </c>
      <c r="E5621" s="5">
        <v>2020</v>
      </c>
      <c r="F5621" s="5">
        <v>2020</v>
      </c>
      <c r="G5621" s="9" t="s">
        <v>2480</v>
      </c>
      <c r="H5621" s="32">
        <v>200</v>
      </c>
      <c r="I5621" s="32">
        <v>200</v>
      </c>
      <c r="J5621" s="62"/>
      <c r="K5621" s="10"/>
      <c r="L5621" s="10">
        <v>20201118</v>
      </c>
      <c r="M5621" s="36" t="str">
        <f t="shared" si="87"/>
        <v>19780110</v>
      </c>
    </row>
    <row r="5622" s="1" customFormat="1" spans="1:13">
      <c r="A5622" s="2">
        <v>500</v>
      </c>
      <c r="B5622" s="29" t="s">
        <v>1040</v>
      </c>
      <c r="C5622" s="29" t="s">
        <v>1277</v>
      </c>
      <c r="D5622" s="29" t="s">
        <v>1278</v>
      </c>
      <c r="E5622" s="30">
        <v>2020</v>
      </c>
      <c r="F5622" s="30">
        <v>2020</v>
      </c>
      <c r="G5622" s="29" t="s">
        <v>16</v>
      </c>
      <c r="H5622" s="29">
        <v>200</v>
      </c>
      <c r="I5622" s="29">
        <v>200</v>
      </c>
      <c r="J5622" s="29"/>
      <c r="K5622" s="47"/>
      <c r="L5622" s="2" t="s">
        <v>330</v>
      </c>
      <c r="M5622" s="36" t="str">
        <f t="shared" si="87"/>
        <v>19780111</v>
      </c>
    </row>
    <row r="5623" s="1" customFormat="1" spans="1:13">
      <c r="A5623" s="2">
        <v>6852</v>
      </c>
      <c r="B5623" s="5" t="s">
        <v>13533</v>
      </c>
      <c r="C5623" s="32" t="s">
        <v>13602</v>
      </c>
      <c r="D5623" s="32" t="str">
        <f>"152326197801147122"</f>
        <v>152326197801147122</v>
      </c>
      <c r="E5623" s="5">
        <v>2020</v>
      </c>
      <c r="F5623" s="5">
        <v>2020</v>
      </c>
      <c r="G5623" s="9" t="s">
        <v>2480</v>
      </c>
      <c r="H5623" s="32">
        <v>200</v>
      </c>
      <c r="I5623" s="32">
        <v>200</v>
      </c>
      <c r="J5623" s="62"/>
      <c r="K5623" s="10"/>
      <c r="L5623" s="10">
        <v>20201118</v>
      </c>
      <c r="M5623" s="36" t="str">
        <f t="shared" si="87"/>
        <v>19780114</v>
      </c>
    </row>
    <row r="5624" s="1" customFormat="1" spans="1:13">
      <c r="A5624" s="2">
        <v>450</v>
      </c>
      <c r="B5624" s="29" t="s">
        <v>1040</v>
      </c>
      <c r="C5624" s="29" t="s">
        <v>1176</v>
      </c>
      <c r="D5624" s="29" t="s">
        <v>1177</v>
      </c>
      <c r="E5624" s="30">
        <v>2020</v>
      </c>
      <c r="F5624" s="30">
        <v>2020</v>
      </c>
      <c r="G5624" s="29" t="s">
        <v>16</v>
      </c>
      <c r="H5624" s="29">
        <v>200</v>
      </c>
      <c r="I5624" s="29">
        <v>200</v>
      </c>
      <c r="J5624" s="29"/>
      <c r="K5624" s="47"/>
      <c r="L5624" s="2" t="s">
        <v>330</v>
      </c>
      <c r="M5624" s="36" t="str">
        <f t="shared" si="87"/>
        <v>19780115</v>
      </c>
    </row>
    <row r="5625" s="1" customFormat="1" ht="14.25" spans="1:13">
      <c r="A5625" s="2">
        <v>5391</v>
      </c>
      <c r="B5625" s="33" t="s">
        <v>10535</v>
      </c>
      <c r="C5625" s="34" t="s">
        <v>10889</v>
      </c>
      <c r="D5625" s="34" t="s">
        <v>10890</v>
      </c>
      <c r="E5625" s="35">
        <v>2020</v>
      </c>
      <c r="F5625" s="35">
        <v>2020</v>
      </c>
      <c r="G5625" s="35" t="s">
        <v>16</v>
      </c>
      <c r="H5625" s="34">
        <v>200</v>
      </c>
      <c r="I5625" s="34">
        <v>200</v>
      </c>
      <c r="J5625" s="49"/>
      <c r="K5625" s="10"/>
      <c r="L5625" s="10">
        <v>20201118</v>
      </c>
      <c r="M5625" s="36" t="str">
        <f t="shared" si="87"/>
        <v>19780120</v>
      </c>
    </row>
    <row r="5626" s="1" customFormat="1" spans="1:13">
      <c r="A5626" s="2">
        <v>4339</v>
      </c>
      <c r="B5626" s="9" t="s">
        <v>8515</v>
      </c>
      <c r="C5626" s="9" t="s">
        <v>8869</v>
      </c>
      <c r="D5626" s="9" t="s">
        <v>8870</v>
      </c>
      <c r="E5626" s="5" t="s">
        <v>15</v>
      </c>
      <c r="F5626" s="5">
        <v>2020</v>
      </c>
      <c r="G5626" s="9" t="s">
        <v>2480</v>
      </c>
      <c r="H5626" s="9">
        <v>200</v>
      </c>
      <c r="I5626" s="9">
        <v>200</v>
      </c>
      <c r="J5626" s="9"/>
      <c r="K5626" s="9"/>
      <c r="L5626" s="10">
        <v>20201118</v>
      </c>
      <c r="M5626" s="36" t="str">
        <f t="shared" si="87"/>
        <v>19780122</v>
      </c>
    </row>
    <row r="5627" s="1" customFormat="1" ht="14.25" spans="1:13">
      <c r="A5627" s="2">
        <v>3525</v>
      </c>
      <c r="B5627" s="5" t="s">
        <v>3375</v>
      </c>
      <c r="C5627" s="5" t="s">
        <v>7321</v>
      </c>
      <c r="D5627" s="12" t="s">
        <v>7322</v>
      </c>
      <c r="E5627" s="5" t="s">
        <v>15</v>
      </c>
      <c r="F5627" s="5">
        <v>2020</v>
      </c>
      <c r="G5627" s="14" t="s">
        <v>16</v>
      </c>
      <c r="H5627" s="5">
        <v>500</v>
      </c>
      <c r="I5627" s="5">
        <v>500</v>
      </c>
      <c r="J5627" s="5"/>
      <c r="K5627" s="10"/>
      <c r="L5627" s="10">
        <v>20201118</v>
      </c>
      <c r="M5627" s="36" t="str">
        <f t="shared" si="87"/>
        <v>19780124</v>
      </c>
    </row>
    <row r="5628" s="1" customFormat="1" ht="14.25" spans="1:13">
      <c r="A5628" s="2">
        <v>7804</v>
      </c>
      <c r="B5628" s="5" t="s">
        <v>14875</v>
      </c>
      <c r="C5628" s="70" t="s">
        <v>15056</v>
      </c>
      <c r="D5628" s="71" t="s">
        <v>15057</v>
      </c>
      <c r="E5628" s="6" t="s">
        <v>15</v>
      </c>
      <c r="F5628" s="6">
        <v>2020</v>
      </c>
      <c r="G5628" s="24" t="s">
        <v>14877</v>
      </c>
      <c r="H5628" s="6">
        <v>200</v>
      </c>
      <c r="I5628" s="6">
        <v>200</v>
      </c>
      <c r="J5628" s="6"/>
      <c r="K5628" s="10"/>
      <c r="L5628" s="10">
        <v>20201118</v>
      </c>
      <c r="M5628" s="36" t="str">
        <f t="shared" si="87"/>
        <v>19780124</v>
      </c>
    </row>
    <row r="5629" s="1" customFormat="1" spans="1:13">
      <c r="A5629" s="2">
        <v>6442</v>
      </c>
      <c r="B5629" s="5" t="s">
        <v>12263</v>
      </c>
      <c r="C5629" s="5" t="s">
        <v>12889</v>
      </c>
      <c r="D5629" s="5" t="s">
        <v>12890</v>
      </c>
      <c r="E5629" s="5" t="s">
        <v>10250</v>
      </c>
      <c r="F5629" s="5">
        <v>2020</v>
      </c>
      <c r="G5629" s="17" t="s">
        <v>3359</v>
      </c>
      <c r="H5629" s="5">
        <v>200</v>
      </c>
      <c r="I5629" s="5">
        <v>200</v>
      </c>
      <c r="J5629" s="5"/>
      <c r="K5629" s="5"/>
      <c r="L5629" s="10">
        <v>20201118</v>
      </c>
      <c r="M5629" s="36" t="str">
        <f t="shared" si="87"/>
        <v>19780126</v>
      </c>
    </row>
    <row r="5630" s="1" customFormat="1" spans="1:13">
      <c r="A5630" s="2">
        <v>6711</v>
      </c>
      <c r="B5630" s="5" t="s">
        <v>13027</v>
      </c>
      <c r="C5630" s="15" t="s">
        <v>13394</v>
      </c>
      <c r="D5630" s="15" t="s">
        <v>13395</v>
      </c>
      <c r="E5630" s="5">
        <v>2020</v>
      </c>
      <c r="F5630" s="5">
        <v>2020</v>
      </c>
      <c r="G5630" s="14" t="s">
        <v>16</v>
      </c>
      <c r="H5630" s="15">
        <v>200</v>
      </c>
      <c r="I5630" s="15">
        <v>200</v>
      </c>
      <c r="J5630" s="5"/>
      <c r="K5630" s="10"/>
      <c r="L5630" s="10">
        <v>20201118</v>
      </c>
      <c r="M5630" s="36" t="str">
        <f t="shared" si="87"/>
        <v>19780126</v>
      </c>
    </row>
    <row r="5631" s="1" customFormat="1" spans="1:13">
      <c r="A5631" s="2">
        <v>1199</v>
      </c>
      <c r="B5631" s="5" t="s">
        <v>2469</v>
      </c>
      <c r="C5631" s="9" t="s">
        <v>2981</v>
      </c>
      <c r="D5631" s="9" t="s">
        <v>2982</v>
      </c>
      <c r="E5631" s="5">
        <v>2020</v>
      </c>
      <c r="F5631" s="5">
        <v>2020</v>
      </c>
      <c r="G5631" s="9" t="s">
        <v>2480</v>
      </c>
      <c r="H5631" s="9">
        <v>200</v>
      </c>
      <c r="I5631" s="9">
        <v>200</v>
      </c>
      <c r="J5631" s="5"/>
      <c r="K5631" s="5"/>
      <c r="L5631" s="10">
        <v>20201118</v>
      </c>
      <c r="M5631" s="36" t="str">
        <f t="shared" si="87"/>
        <v>19780127</v>
      </c>
    </row>
    <row r="5632" s="1" customFormat="1" spans="1:13">
      <c r="A5632" s="2">
        <v>3981</v>
      </c>
      <c r="B5632" s="5" t="s">
        <v>7412</v>
      </c>
      <c r="C5632" s="5" t="s">
        <v>8183</v>
      </c>
      <c r="D5632" s="5" t="s">
        <v>8184</v>
      </c>
      <c r="E5632" s="6">
        <v>2020</v>
      </c>
      <c r="F5632" s="6">
        <v>2020</v>
      </c>
      <c r="G5632" s="5" t="s">
        <v>3359</v>
      </c>
      <c r="H5632" s="5">
        <v>200</v>
      </c>
      <c r="I5632" s="5">
        <v>200</v>
      </c>
      <c r="J5632" s="5"/>
      <c r="K5632" s="5"/>
      <c r="L5632" s="10">
        <v>20201118</v>
      </c>
      <c r="M5632" s="36" t="str">
        <f t="shared" si="87"/>
        <v>19780201</v>
      </c>
    </row>
    <row r="5633" s="1" customFormat="1" spans="1:13">
      <c r="A5633" s="2">
        <v>51</v>
      </c>
      <c r="B5633" s="2" t="s">
        <v>12</v>
      </c>
      <c r="C5633" s="17" t="s">
        <v>117</v>
      </c>
      <c r="D5633" s="17" t="s">
        <v>118</v>
      </c>
      <c r="E5633" s="3" t="s">
        <v>15</v>
      </c>
      <c r="F5633" s="3" t="s">
        <v>15</v>
      </c>
      <c r="G5633" s="2" t="s">
        <v>16</v>
      </c>
      <c r="H5633" s="17">
        <v>200</v>
      </c>
      <c r="I5633" s="17">
        <v>200</v>
      </c>
      <c r="J5633" s="17"/>
      <c r="K5633" s="17"/>
      <c r="L5633" s="10">
        <v>20201118</v>
      </c>
      <c r="M5633" s="36" t="str">
        <f t="shared" si="87"/>
        <v>19780202</v>
      </c>
    </row>
    <row r="5634" s="1" customFormat="1" spans="1:13">
      <c r="A5634" s="2">
        <v>90</v>
      </c>
      <c r="B5634" s="3" t="s">
        <v>12</v>
      </c>
      <c r="C5634" s="6" t="s">
        <v>196</v>
      </c>
      <c r="D5634" s="6" t="s">
        <v>197</v>
      </c>
      <c r="E5634" s="3" t="s">
        <v>15</v>
      </c>
      <c r="F5634" s="3" t="s">
        <v>15</v>
      </c>
      <c r="G5634" s="2" t="s">
        <v>16</v>
      </c>
      <c r="H5634" s="3">
        <v>200</v>
      </c>
      <c r="I5634" s="3">
        <v>200</v>
      </c>
      <c r="J5634" s="3"/>
      <c r="K5634" s="3"/>
      <c r="L5634" s="10">
        <v>20201118</v>
      </c>
      <c r="M5634" s="36" t="str">
        <f t="shared" ref="M5634:M5697" si="88">MID(D5634,7,8)</f>
        <v>19780203</v>
      </c>
    </row>
    <row r="5635" s="1" customFormat="1" spans="1:13">
      <c r="A5635" s="2">
        <v>4647</v>
      </c>
      <c r="B5635" s="6" t="s">
        <v>9015</v>
      </c>
      <c r="C5635" s="6" t="s">
        <v>9458</v>
      </c>
      <c r="D5635" s="6" t="s">
        <v>9459</v>
      </c>
      <c r="E5635" s="6">
        <v>2020</v>
      </c>
      <c r="F5635" s="6">
        <v>2020</v>
      </c>
      <c r="G5635" s="6" t="s">
        <v>16</v>
      </c>
      <c r="H5635" s="6">
        <v>200</v>
      </c>
      <c r="I5635" s="6">
        <v>200</v>
      </c>
      <c r="J5635" s="6"/>
      <c r="K5635" s="6"/>
      <c r="L5635" s="10">
        <v>20201118</v>
      </c>
      <c r="M5635" s="36" t="str">
        <f t="shared" si="88"/>
        <v>19780203</v>
      </c>
    </row>
    <row r="5636" s="1" customFormat="1" ht="14.25" spans="1:13">
      <c r="A5636" s="2">
        <v>5392</v>
      </c>
      <c r="B5636" s="33" t="s">
        <v>10535</v>
      </c>
      <c r="C5636" s="34" t="s">
        <v>10891</v>
      </c>
      <c r="D5636" s="34" t="s">
        <v>10892</v>
      </c>
      <c r="E5636" s="35">
        <v>2020</v>
      </c>
      <c r="F5636" s="35">
        <v>2020</v>
      </c>
      <c r="G5636" s="35" t="s">
        <v>16</v>
      </c>
      <c r="H5636" s="34">
        <v>200</v>
      </c>
      <c r="I5636" s="34">
        <v>200</v>
      </c>
      <c r="J5636" s="49"/>
      <c r="K5636" s="10"/>
      <c r="L5636" s="10">
        <v>20201118</v>
      </c>
      <c r="M5636" s="36" t="str">
        <f t="shared" si="88"/>
        <v>19780203</v>
      </c>
    </row>
    <row r="5637" s="1" customFormat="1" spans="1:13">
      <c r="A5637" s="2">
        <v>6845</v>
      </c>
      <c r="B5637" s="5" t="s">
        <v>13533</v>
      </c>
      <c r="C5637" s="32" t="s">
        <v>13596</v>
      </c>
      <c r="D5637" s="32" t="s">
        <v>13597</v>
      </c>
      <c r="E5637" s="5">
        <v>2020</v>
      </c>
      <c r="F5637" s="5">
        <v>2020</v>
      </c>
      <c r="G5637" s="9" t="s">
        <v>2480</v>
      </c>
      <c r="H5637" s="32">
        <v>500</v>
      </c>
      <c r="I5637" s="32">
        <v>500</v>
      </c>
      <c r="J5637" s="32"/>
      <c r="K5637" s="10"/>
      <c r="L5637" s="10">
        <v>20201118</v>
      </c>
      <c r="M5637" s="36" t="str">
        <f t="shared" si="88"/>
        <v>19780203</v>
      </c>
    </row>
    <row r="5638" s="1" customFormat="1" spans="1:13">
      <c r="A5638" s="2">
        <v>5731</v>
      </c>
      <c r="B5638" s="30" t="s">
        <v>11090</v>
      </c>
      <c r="C5638" s="30" t="s">
        <v>6485</v>
      </c>
      <c r="D5638" s="30" t="s">
        <v>11547</v>
      </c>
      <c r="E5638" s="5" t="s">
        <v>15</v>
      </c>
      <c r="F5638" s="5" t="s">
        <v>10250</v>
      </c>
      <c r="G5638" s="6" t="s">
        <v>16</v>
      </c>
      <c r="H5638" s="32">
        <v>200</v>
      </c>
      <c r="I5638" s="32">
        <v>200</v>
      </c>
      <c r="J5638" s="6"/>
      <c r="K5638" s="48"/>
      <c r="L5638" s="10">
        <v>20201118</v>
      </c>
      <c r="M5638" s="36" t="str">
        <f t="shared" si="88"/>
        <v>19780204</v>
      </c>
    </row>
    <row r="5639" s="1" customFormat="1" spans="1:13">
      <c r="A5639" s="2">
        <v>288</v>
      </c>
      <c r="B5639" s="14" t="s">
        <v>327</v>
      </c>
      <c r="C5639" s="17" t="s">
        <v>751</v>
      </c>
      <c r="D5639" s="306" t="s">
        <v>752</v>
      </c>
      <c r="E5639" s="5">
        <v>2020</v>
      </c>
      <c r="F5639" s="5">
        <v>2020</v>
      </c>
      <c r="G5639" s="14" t="s">
        <v>16</v>
      </c>
      <c r="H5639" s="17">
        <v>200</v>
      </c>
      <c r="I5639" s="17">
        <v>200</v>
      </c>
      <c r="J5639" s="17" t="s">
        <v>749</v>
      </c>
      <c r="K5639" s="10"/>
      <c r="L5639" s="14" t="s">
        <v>330</v>
      </c>
      <c r="M5639" s="36" t="str">
        <f t="shared" si="88"/>
        <v>19780205</v>
      </c>
    </row>
    <row r="5640" s="1" customFormat="1" spans="1:13">
      <c r="A5640" s="2">
        <v>6844</v>
      </c>
      <c r="B5640" s="5" t="s">
        <v>13533</v>
      </c>
      <c r="C5640" s="32" t="s">
        <v>13595</v>
      </c>
      <c r="D5640" s="32" t="str">
        <f>"152326197802057110"</f>
        <v>152326197802057110</v>
      </c>
      <c r="E5640" s="5">
        <v>2020</v>
      </c>
      <c r="F5640" s="5">
        <v>2020</v>
      </c>
      <c r="G5640" s="9" t="s">
        <v>2480</v>
      </c>
      <c r="H5640" s="32">
        <v>200</v>
      </c>
      <c r="I5640" s="32">
        <v>200</v>
      </c>
      <c r="J5640" s="62"/>
      <c r="K5640" s="10"/>
      <c r="L5640" s="10">
        <v>20201118</v>
      </c>
      <c r="M5640" s="36" t="str">
        <f t="shared" si="88"/>
        <v>19780205</v>
      </c>
    </row>
    <row r="5641" s="1" customFormat="1" spans="1:13">
      <c r="A5641" s="2">
        <v>4680</v>
      </c>
      <c r="B5641" s="6" t="s">
        <v>9015</v>
      </c>
      <c r="C5641" s="6" t="s">
        <v>9523</v>
      </c>
      <c r="D5641" s="6" t="s">
        <v>9524</v>
      </c>
      <c r="E5641" s="6">
        <v>2020</v>
      </c>
      <c r="F5641" s="6">
        <v>2020</v>
      </c>
      <c r="G5641" s="6" t="s">
        <v>16</v>
      </c>
      <c r="H5641" s="6">
        <v>200</v>
      </c>
      <c r="I5641" s="6">
        <v>200</v>
      </c>
      <c r="J5641" s="6"/>
      <c r="K5641" s="6"/>
      <c r="L5641" s="10">
        <v>20201118</v>
      </c>
      <c r="M5641" s="36" t="str">
        <f t="shared" si="88"/>
        <v>19780208</v>
      </c>
    </row>
    <row r="5642" s="1" customFormat="1" ht="14.25" spans="1:13">
      <c r="A5642" s="2">
        <v>5393</v>
      </c>
      <c r="B5642" s="33" t="s">
        <v>10535</v>
      </c>
      <c r="C5642" s="34" t="s">
        <v>10893</v>
      </c>
      <c r="D5642" s="34" t="s">
        <v>10894</v>
      </c>
      <c r="E5642" s="35">
        <v>2020</v>
      </c>
      <c r="F5642" s="35">
        <v>2020</v>
      </c>
      <c r="G5642" s="35" t="s">
        <v>16</v>
      </c>
      <c r="H5642" s="34">
        <v>200</v>
      </c>
      <c r="I5642" s="34">
        <v>200</v>
      </c>
      <c r="J5642" s="49"/>
      <c r="K5642" s="10"/>
      <c r="L5642" s="10">
        <v>20201118</v>
      </c>
      <c r="M5642" s="36" t="str">
        <f t="shared" si="88"/>
        <v>19780208</v>
      </c>
    </row>
    <row r="5643" s="1" customFormat="1" spans="1:13">
      <c r="A5643" s="2">
        <v>3089</v>
      </c>
      <c r="B5643" s="3" t="s">
        <v>6671</v>
      </c>
      <c r="C5643" s="9" t="s">
        <v>1446</v>
      </c>
      <c r="D5643" s="9" t="s">
        <v>6703</v>
      </c>
      <c r="E5643" s="3" t="s">
        <v>15</v>
      </c>
      <c r="F5643" s="3" t="s">
        <v>15</v>
      </c>
      <c r="G5643" s="6" t="s">
        <v>3359</v>
      </c>
      <c r="H5643" s="9">
        <v>200</v>
      </c>
      <c r="I5643" s="9">
        <v>200</v>
      </c>
      <c r="J5643" s="6" t="s">
        <v>108</v>
      </c>
      <c r="K5643" s="5"/>
      <c r="L5643" s="10">
        <v>20201118</v>
      </c>
      <c r="M5643" s="36" t="str">
        <f t="shared" si="88"/>
        <v>19780210</v>
      </c>
    </row>
    <row r="5644" s="1" customFormat="1" spans="1:13">
      <c r="A5644" s="2">
        <v>189</v>
      </c>
      <c r="B5644" s="14" t="s">
        <v>327</v>
      </c>
      <c r="C5644" s="14" t="s">
        <v>455</v>
      </c>
      <c r="D5644" s="14" t="s">
        <v>456</v>
      </c>
      <c r="E5644" s="5">
        <v>2020</v>
      </c>
      <c r="F5644" s="5">
        <v>2020</v>
      </c>
      <c r="G5644" s="14" t="s">
        <v>16</v>
      </c>
      <c r="H5644" s="14">
        <v>200</v>
      </c>
      <c r="I5644" s="14">
        <v>200</v>
      </c>
      <c r="J5644" s="14"/>
      <c r="K5644" s="10"/>
      <c r="L5644" s="2" t="s">
        <v>330</v>
      </c>
      <c r="M5644" s="36" t="str">
        <f t="shared" si="88"/>
        <v>19780211</v>
      </c>
    </row>
    <row r="5645" s="1" customFormat="1" spans="1:13">
      <c r="A5645" s="2">
        <v>7915</v>
      </c>
      <c r="B5645" s="5" t="s">
        <v>15086</v>
      </c>
      <c r="C5645" s="6" t="s">
        <v>1255</v>
      </c>
      <c r="D5645" s="6" t="str">
        <f>"152326197802116897"</f>
        <v>152326197802116897</v>
      </c>
      <c r="E5645" s="5" t="s">
        <v>15</v>
      </c>
      <c r="F5645" s="5">
        <v>2020</v>
      </c>
      <c r="G5645" s="5" t="s">
        <v>16</v>
      </c>
      <c r="H5645" s="5">
        <v>200</v>
      </c>
      <c r="I5645" s="5">
        <v>200</v>
      </c>
      <c r="J5645" s="5"/>
      <c r="K5645" s="5"/>
      <c r="L5645" s="10">
        <v>20201118</v>
      </c>
      <c r="M5645" s="36" t="str">
        <f t="shared" si="88"/>
        <v>19780211</v>
      </c>
    </row>
    <row r="5646" s="1" customFormat="1" spans="1:13">
      <c r="A5646" s="2">
        <v>8146</v>
      </c>
      <c r="B5646" s="5" t="s">
        <v>15406</v>
      </c>
      <c r="C5646" s="6" t="s">
        <v>15485</v>
      </c>
      <c r="D5646" s="6" t="s">
        <v>15486</v>
      </c>
      <c r="E5646" s="5" t="s">
        <v>15</v>
      </c>
      <c r="F5646" s="5">
        <v>2020</v>
      </c>
      <c r="G5646" s="14" t="s">
        <v>16</v>
      </c>
      <c r="H5646" s="6">
        <v>500</v>
      </c>
      <c r="I5646" s="6">
        <v>500</v>
      </c>
      <c r="J5646" s="5"/>
      <c r="K5646" s="10"/>
      <c r="L5646" s="10">
        <v>20201118</v>
      </c>
      <c r="M5646" s="36" t="str">
        <f t="shared" si="88"/>
        <v>19780213</v>
      </c>
    </row>
    <row r="5647" s="1" customFormat="1" spans="1:13">
      <c r="A5647" s="2">
        <v>5938</v>
      </c>
      <c r="B5647" s="30" t="s">
        <v>11090</v>
      </c>
      <c r="C5647" s="6" t="s">
        <v>11924</v>
      </c>
      <c r="D5647" s="6" t="s">
        <v>11925</v>
      </c>
      <c r="E5647" s="5" t="s">
        <v>15</v>
      </c>
      <c r="F5647" s="5" t="s">
        <v>10250</v>
      </c>
      <c r="G5647" s="6" t="s">
        <v>16</v>
      </c>
      <c r="H5647" s="32">
        <v>200</v>
      </c>
      <c r="I5647" s="32">
        <v>200</v>
      </c>
      <c r="J5647" s="6"/>
      <c r="K5647" s="48"/>
      <c r="L5647" s="10">
        <v>20201118</v>
      </c>
      <c r="M5647" s="36" t="str">
        <f t="shared" si="88"/>
        <v>19780215</v>
      </c>
    </row>
    <row r="5648" s="1" customFormat="1" spans="1:13">
      <c r="A5648" s="2">
        <v>2313</v>
      </c>
      <c r="B5648" s="9" t="s">
        <v>4837</v>
      </c>
      <c r="C5648" s="9" t="s">
        <v>5166</v>
      </c>
      <c r="D5648" s="9" t="s">
        <v>5167</v>
      </c>
      <c r="E5648" s="6" t="s">
        <v>15</v>
      </c>
      <c r="F5648" s="6">
        <v>2020</v>
      </c>
      <c r="G5648" s="9" t="s">
        <v>2480</v>
      </c>
      <c r="H5648" s="9">
        <v>500</v>
      </c>
      <c r="I5648" s="9">
        <v>500</v>
      </c>
      <c r="J5648" s="6"/>
      <c r="K5648" s="10"/>
      <c r="L5648" s="10">
        <v>20201118</v>
      </c>
      <c r="M5648" s="36" t="str">
        <f t="shared" si="88"/>
        <v>19780217</v>
      </c>
    </row>
    <row r="5649" s="1" customFormat="1" spans="1:13">
      <c r="A5649" s="2">
        <v>5864</v>
      </c>
      <c r="B5649" s="30" t="s">
        <v>11090</v>
      </c>
      <c r="C5649" s="30" t="s">
        <v>11786</v>
      </c>
      <c r="D5649" s="30" t="s">
        <v>11787</v>
      </c>
      <c r="E5649" s="5" t="s">
        <v>15</v>
      </c>
      <c r="F5649" s="5" t="s">
        <v>10250</v>
      </c>
      <c r="G5649" s="6" t="s">
        <v>16</v>
      </c>
      <c r="H5649" s="32">
        <v>200</v>
      </c>
      <c r="I5649" s="32">
        <v>200</v>
      </c>
      <c r="J5649" s="6"/>
      <c r="K5649" s="48"/>
      <c r="L5649" s="10">
        <v>20201118</v>
      </c>
      <c r="M5649" s="36" t="str">
        <f t="shared" si="88"/>
        <v>19780219</v>
      </c>
    </row>
    <row r="5650" s="1" customFormat="1" spans="1:13">
      <c r="A5650" s="2">
        <v>5686</v>
      </c>
      <c r="B5650" s="30" t="s">
        <v>11090</v>
      </c>
      <c r="C5650" s="30" t="s">
        <v>11457</v>
      </c>
      <c r="D5650" s="30" t="s">
        <v>11458</v>
      </c>
      <c r="E5650" s="5" t="s">
        <v>15</v>
      </c>
      <c r="F5650" s="5" t="s">
        <v>10250</v>
      </c>
      <c r="G5650" s="6" t="s">
        <v>16</v>
      </c>
      <c r="H5650" s="32">
        <v>500</v>
      </c>
      <c r="I5650" s="32">
        <v>500</v>
      </c>
      <c r="J5650" s="6"/>
      <c r="K5650" s="48"/>
      <c r="L5650" s="10">
        <v>20201118</v>
      </c>
      <c r="M5650" s="36" t="str">
        <f t="shared" si="88"/>
        <v>19780220</v>
      </c>
    </row>
    <row r="5651" s="1" customFormat="1" spans="1:13">
      <c r="A5651" s="2">
        <v>1708</v>
      </c>
      <c r="B5651" s="5" t="s">
        <v>3381</v>
      </c>
      <c r="C5651" s="9" t="s">
        <v>3977</v>
      </c>
      <c r="D5651" s="9" t="s">
        <v>3978</v>
      </c>
      <c r="E5651" s="5">
        <v>2020</v>
      </c>
      <c r="F5651" s="5">
        <v>2020</v>
      </c>
      <c r="G5651" s="14" t="s">
        <v>16</v>
      </c>
      <c r="H5651" s="6">
        <v>500</v>
      </c>
      <c r="I5651" s="6">
        <v>500</v>
      </c>
      <c r="J5651" s="5"/>
      <c r="K5651" s="13"/>
      <c r="L5651" s="10">
        <v>20201118</v>
      </c>
      <c r="M5651" s="36" t="str">
        <f t="shared" si="88"/>
        <v>19780226</v>
      </c>
    </row>
    <row r="5652" s="1" customFormat="1" spans="1:13">
      <c r="A5652" s="2">
        <v>4963</v>
      </c>
      <c r="B5652" s="6" t="s">
        <v>9954</v>
      </c>
      <c r="C5652" s="60" t="s">
        <v>10066</v>
      </c>
      <c r="D5652" s="60" t="s">
        <v>10067</v>
      </c>
      <c r="E5652" s="5" t="s">
        <v>15</v>
      </c>
      <c r="F5652" s="5" t="s">
        <v>15</v>
      </c>
      <c r="G5652" s="14" t="s">
        <v>16</v>
      </c>
      <c r="H5652" s="6">
        <v>1000</v>
      </c>
      <c r="I5652" s="6">
        <v>1000</v>
      </c>
      <c r="J5652" s="6"/>
      <c r="K5652" s="6"/>
      <c r="L5652" s="10">
        <v>20201118</v>
      </c>
      <c r="M5652" s="36" t="str">
        <f t="shared" si="88"/>
        <v>19780228</v>
      </c>
    </row>
    <row r="5653" s="1" customFormat="1" spans="1:13">
      <c r="A5653" s="2">
        <v>2685</v>
      </c>
      <c r="B5653" s="32" t="s">
        <v>5602</v>
      </c>
      <c r="C5653" s="9" t="s">
        <v>5903</v>
      </c>
      <c r="D5653" s="9" t="s">
        <v>5904</v>
      </c>
      <c r="E5653" s="32">
        <v>2020</v>
      </c>
      <c r="F5653" s="32">
        <v>2020</v>
      </c>
      <c r="G5653" s="32" t="s">
        <v>16</v>
      </c>
      <c r="H5653" s="9">
        <v>200</v>
      </c>
      <c r="I5653" s="9">
        <v>200</v>
      </c>
      <c r="J5653" s="32"/>
      <c r="K5653" s="52"/>
      <c r="L5653" s="10">
        <v>20201118</v>
      </c>
      <c r="M5653" s="36" t="str">
        <f t="shared" si="88"/>
        <v>19780302</v>
      </c>
    </row>
    <row r="5654" s="1" customFormat="1" spans="1:13">
      <c r="A5654" s="2">
        <v>4340</v>
      </c>
      <c r="B5654" s="9" t="s">
        <v>8515</v>
      </c>
      <c r="C5654" s="9" t="s">
        <v>8871</v>
      </c>
      <c r="D5654" s="9" t="s">
        <v>8872</v>
      </c>
      <c r="E5654" s="5" t="s">
        <v>15</v>
      </c>
      <c r="F5654" s="5">
        <v>2020</v>
      </c>
      <c r="G5654" s="9" t="s">
        <v>2480</v>
      </c>
      <c r="H5654" s="9">
        <v>200</v>
      </c>
      <c r="I5654" s="9">
        <v>200</v>
      </c>
      <c r="J5654" s="9"/>
      <c r="K5654" s="9"/>
      <c r="L5654" s="10">
        <v>20201118</v>
      </c>
      <c r="M5654" s="36" t="str">
        <f t="shared" si="88"/>
        <v>19780303</v>
      </c>
    </row>
    <row r="5655" s="1" customFormat="1" spans="1:13">
      <c r="A5655" s="2">
        <v>5634</v>
      </c>
      <c r="B5655" s="30" t="s">
        <v>11090</v>
      </c>
      <c r="C5655" s="30" t="s">
        <v>11356</v>
      </c>
      <c r="D5655" s="30" t="s">
        <v>11357</v>
      </c>
      <c r="E5655" s="5" t="s">
        <v>15</v>
      </c>
      <c r="F5655" s="5" t="s">
        <v>10250</v>
      </c>
      <c r="G5655" s="6" t="s">
        <v>16</v>
      </c>
      <c r="H5655" s="32">
        <v>200</v>
      </c>
      <c r="I5655" s="32">
        <v>200</v>
      </c>
      <c r="J5655" s="6"/>
      <c r="K5655" s="48"/>
      <c r="L5655" s="10">
        <v>20201118</v>
      </c>
      <c r="M5655" s="36" t="str">
        <f t="shared" si="88"/>
        <v>19780305</v>
      </c>
    </row>
    <row r="5656" s="1" customFormat="1" spans="1:13">
      <c r="A5656" s="2">
        <v>557</v>
      </c>
      <c r="B5656" s="29" t="s">
        <v>1040</v>
      </c>
      <c r="C5656" s="29" t="s">
        <v>1391</v>
      </c>
      <c r="D5656" s="29" t="s">
        <v>1392</v>
      </c>
      <c r="E5656" s="30">
        <v>2020</v>
      </c>
      <c r="F5656" s="30">
        <v>2020</v>
      </c>
      <c r="G5656" s="29" t="s">
        <v>16</v>
      </c>
      <c r="H5656" s="29">
        <v>200</v>
      </c>
      <c r="I5656" s="29">
        <v>200</v>
      </c>
      <c r="J5656" s="29"/>
      <c r="K5656" s="47"/>
      <c r="L5656" s="14" t="s">
        <v>330</v>
      </c>
      <c r="M5656" s="36" t="str">
        <f t="shared" si="88"/>
        <v>19780306</v>
      </c>
    </row>
    <row r="5657" s="1" customFormat="1" spans="1:13">
      <c r="A5657" s="2">
        <v>4442</v>
      </c>
      <c r="B5657" s="6" t="s">
        <v>9015</v>
      </c>
      <c r="C5657" s="6" t="s">
        <v>9071</v>
      </c>
      <c r="D5657" s="6" t="s">
        <v>9072</v>
      </c>
      <c r="E5657" s="6">
        <v>2020</v>
      </c>
      <c r="F5657" s="6">
        <v>2020</v>
      </c>
      <c r="G5657" s="6" t="s">
        <v>16</v>
      </c>
      <c r="H5657" s="6">
        <v>200</v>
      </c>
      <c r="I5657" s="6">
        <v>200</v>
      </c>
      <c r="J5657" s="6"/>
      <c r="K5657" s="6"/>
      <c r="L5657" s="10">
        <v>20201118</v>
      </c>
      <c r="M5657" s="36" t="str">
        <f t="shared" si="88"/>
        <v>19780306</v>
      </c>
    </row>
    <row r="5658" s="1" customFormat="1" spans="1:13">
      <c r="A5658" s="2">
        <v>4558</v>
      </c>
      <c r="B5658" s="6" t="s">
        <v>9015</v>
      </c>
      <c r="C5658" s="6" t="s">
        <v>9295</v>
      </c>
      <c r="D5658" s="6" t="s">
        <v>9296</v>
      </c>
      <c r="E5658" s="6">
        <v>2020</v>
      </c>
      <c r="F5658" s="6">
        <v>2020</v>
      </c>
      <c r="G5658" s="6" t="s">
        <v>16</v>
      </c>
      <c r="H5658" s="6">
        <v>200</v>
      </c>
      <c r="I5658" s="6">
        <v>200</v>
      </c>
      <c r="J5658" s="6"/>
      <c r="K5658" s="6"/>
      <c r="L5658" s="10">
        <v>20201118</v>
      </c>
      <c r="M5658" s="36" t="str">
        <f t="shared" si="88"/>
        <v>19780307</v>
      </c>
    </row>
    <row r="5659" s="1" customFormat="1" spans="1:13">
      <c r="A5659" s="2">
        <v>6712</v>
      </c>
      <c r="B5659" s="5" t="s">
        <v>13027</v>
      </c>
      <c r="C5659" s="15" t="s">
        <v>13396</v>
      </c>
      <c r="D5659" s="15" t="s">
        <v>13397</v>
      </c>
      <c r="E5659" s="5">
        <v>2020</v>
      </c>
      <c r="F5659" s="5">
        <v>2020</v>
      </c>
      <c r="G5659" s="14" t="s">
        <v>16</v>
      </c>
      <c r="H5659" s="15">
        <v>200</v>
      </c>
      <c r="I5659" s="15">
        <v>200</v>
      </c>
      <c r="J5659" s="5"/>
      <c r="K5659" s="10"/>
      <c r="L5659" s="10">
        <v>20201118</v>
      </c>
      <c r="M5659" s="36" t="str">
        <f t="shared" si="88"/>
        <v>19780307</v>
      </c>
    </row>
    <row r="5660" s="1" customFormat="1" spans="1:13">
      <c r="A5660" s="2">
        <v>6853</v>
      </c>
      <c r="B5660" s="5" t="s">
        <v>13533</v>
      </c>
      <c r="C5660" s="32" t="s">
        <v>13603</v>
      </c>
      <c r="D5660" s="32" t="s">
        <v>13604</v>
      </c>
      <c r="E5660" s="5">
        <v>2020</v>
      </c>
      <c r="F5660" s="5">
        <v>2020</v>
      </c>
      <c r="G5660" s="9" t="s">
        <v>2480</v>
      </c>
      <c r="H5660" s="32">
        <v>200</v>
      </c>
      <c r="I5660" s="32">
        <v>200</v>
      </c>
      <c r="J5660" s="32"/>
      <c r="K5660" s="10"/>
      <c r="L5660" s="10">
        <v>20201118</v>
      </c>
      <c r="M5660" s="36" t="str">
        <f t="shared" si="88"/>
        <v>19780307</v>
      </c>
    </row>
    <row r="5661" s="1" customFormat="1" spans="1:13">
      <c r="A5661" s="2">
        <v>5754</v>
      </c>
      <c r="B5661" s="30" t="s">
        <v>11090</v>
      </c>
      <c r="C5661" s="30" t="s">
        <v>11591</v>
      </c>
      <c r="D5661" s="30" t="s">
        <v>11592</v>
      </c>
      <c r="E5661" s="5" t="s">
        <v>15</v>
      </c>
      <c r="F5661" s="5" t="s">
        <v>10250</v>
      </c>
      <c r="G5661" s="6" t="s">
        <v>16</v>
      </c>
      <c r="H5661" s="32">
        <v>200</v>
      </c>
      <c r="I5661" s="32">
        <v>200</v>
      </c>
      <c r="J5661" s="6"/>
      <c r="K5661" s="48"/>
      <c r="L5661" s="10">
        <v>20201118</v>
      </c>
      <c r="M5661" s="36" t="str">
        <f t="shared" si="88"/>
        <v>19780309</v>
      </c>
    </row>
    <row r="5662" s="1" customFormat="1" spans="1:13">
      <c r="A5662" s="2">
        <v>8143</v>
      </c>
      <c r="B5662" s="5" t="s">
        <v>15406</v>
      </c>
      <c r="C5662" s="6" t="s">
        <v>15479</v>
      </c>
      <c r="D5662" s="6" t="s">
        <v>15480</v>
      </c>
      <c r="E5662" s="5" t="s">
        <v>15</v>
      </c>
      <c r="F5662" s="5">
        <v>2020</v>
      </c>
      <c r="G5662" s="14" t="s">
        <v>16</v>
      </c>
      <c r="H5662" s="6" t="s">
        <v>2295</v>
      </c>
      <c r="I5662" s="6">
        <v>500</v>
      </c>
      <c r="J5662" s="5"/>
      <c r="K5662" s="10"/>
      <c r="L5662" s="10">
        <v>20201118</v>
      </c>
      <c r="M5662" s="36" t="str">
        <f t="shared" si="88"/>
        <v>19780312</v>
      </c>
    </row>
    <row r="5663" s="1" customFormat="1" spans="1:13">
      <c r="A5663" s="2">
        <v>29</v>
      </c>
      <c r="B5663" s="31" t="s">
        <v>12</v>
      </c>
      <c r="C5663" s="17" t="s">
        <v>72</v>
      </c>
      <c r="D5663" s="17" t="s">
        <v>73</v>
      </c>
      <c r="E5663" s="3" t="s">
        <v>15</v>
      </c>
      <c r="F5663" s="3" t="s">
        <v>15</v>
      </c>
      <c r="G5663" s="2" t="s">
        <v>16</v>
      </c>
      <c r="H5663" s="17">
        <v>500</v>
      </c>
      <c r="I5663" s="17">
        <v>500</v>
      </c>
      <c r="J5663" s="31"/>
      <c r="K5663" s="17"/>
      <c r="L5663" s="10">
        <v>20201118</v>
      </c>
      <c r="M5663" s="36" t="str">
        <f t="shared" si="88"/>
        <v>19780314</v>
      </c>
    </row>
    <row r="5664" s="1" customFormat="1" spans="1:13">
      <c r="A5664" s="2">
        <v>7230</v>
      </c>
      <c r="B5664" s="5" t="s">
        <v>13908</v>
      </c>
      <c r="C5664" s="5" t="s">
        <v>14104</v>
      </c>
      <c r="D5664" s="5" t="s">
        <v>14105</v>
      </c>
      <c r="E5664" s="5" t="s">
        <v>15</v>
      </c>
      <c r="F5664" s="5" t="s">
        <v>15</v>
      </c>
      <c r="G5664" s="14" t="s">
        <v>16</v>
      </c>
      <c r="H5664" s="17">
        <v>200</v>
      </c>
      <c r="I5664" s="17">
        <v>200</v>
      </c>
      <c r="J5664" s="5"/>
      <c r="K5664" s="10"/>
      <c r="L5664" s="10">
        <v>20201118</v>
      </c>
      <c r="M5664" s="36" t="str">
        <f t="shared" si="88"/>
        <v>19780319</v>
      </c>
    </row>
    <row r="5665" s="1" customFormat="1" spans="1:13">
      <c r="A5665" s="2">
        <v>4539</v>
      </c>
      <c r="B5665" s="6" t="s">
        <v>9015</v>
      </c>
      <c r="C5665" s="6" t="s">
        <v>9258</v>
      </c>
      <c r="D5665" s="6" t="s">
        <v>9259</v>
      </c>
      <c r="E5665" s="6">
        <v>2020</v>
      </c>
      <c r="F5665" s="6">
        <v>2020</v>
      </c>
      <c r="G5665" s="6" t="s">
        <v>16</v>
      </c>
      <c r="H5665" s="6">
        <v>200</v>
      </c>
      <c r="I5665" s="6">
        <v>200</v>
      </c>
      <c r="J5665" s="6"/>
      <c r="K5665" s="6"/>
      <c r="L5665" s="10">
        <v>20201118</v>
      </c>
      <c r="M5665" s="36" t="str">
        <f t="shared" si="88"/>
        <v>19780320</v>
      </c>
    </row>
    <row r="5666" s="1" customFormat="1" spans="1:13">
      <c r="A5666" s="2">
        <v>1709</v>
      </c>
      <c r="B5666" s="5" t="s">
        <v>3381</v>
      </c>
      <c r="C5666" s="9" t="s">
        <v>3979</v>
      </c>
      <c r="D5666" s="9" t="s">
        <v>3980</v>
      </c>
      <c r="E5666" s="5">
        <v>2020</v>
      </c>
      <c r="F5666" s="5">
        <v>2020</v>
      </c>
      <c r="G5666" s="14" t="s">
        <v>16</v>
      </c>
      <c r="H5666" s="6">
        <v>200</v>
      </c>
      <c r="I5666" s="6">
        <v>200</v>
      </c>
      <c r="J5666" s="5"/>
      <c r="K5666" s="13"/>
      <c r="L5666" s="10">
        <v>20201118</v>
      </c>
      <c r="M5666" s="36" t="str">
        <f t="shared" si="88"/>
        <v>19780325</v>
      </c>
    </row>
    <row r="5667" s="1" customFormat="1" ht="14.25" spans="1:13">
      <c r="A5667" s="2">
        <v>5394</v>
      </c>
      <c r="B5667" s="33" t="s">
        <v>10535</v>
      </c>
      <c r="C5667" s="34" t="s">
        <v>10895</v>
      </c>
      <c r="D5667" s="34" t="s">
        <v>10896</v>
      </c>
      <c r="E5667" s="35">
        <v>2020</v>
      </c>
      <c r="F5667" s="35">
        <v>2020</v>
      </c>
      <c r="G5667" s="35" t="s">
        <v>16</v>
      </c>
      <c r="H5667" s="34">
        <v>200</v>
      </c>
      <c r="I5667" s="34">
        <v>200</v>
      </c>
      <c r="J5667" s="49"/>
      <c r="K5667" s="10"/>
      <c r="L5667" s="10">
        <v>20201118</v>
      </c>
      <c r="M5667" s="36" t="str">
        <f t="shared" si="88"/>
        <v>19780325</v>
      </c>
    </row>
    <row r="5668" s="1" customFormat="1" spans="1:13">
      <c r="A5668" s="2">
        <v>2686</v>
      </c>
      <c r="B5668" s="32" t="s">
        <v>5602</v>
      </c>
      <c r="C5668" s="9" t="s">
        <v>5905</v>
      </c>
      <c r="D5668" s="9" t="s">
        <v>5906</v>
      </c>
      <c r="E5668" s="32">
        <v>2020</v>
      </c>
      <c r="F5668" s="32">
        <v>2020</v>
      </c>
      <c r="G5668" s="32" t="s">
        <v>16</v>
      </c>
      <c r="H5668" s="9">
        <v>200</v>
      </c>
      <c r="I5668" s="9">
        <v>200</v>
      </c>
      <c r="J5668" s="32"/>
      <c r="K5668" s="52"/>
      <c r="L5668" s="10">
        <v>20201118</v>
      </c>
      <c r="M5668" s="36" t="str">
        <f t="shared" si="88"/>
        <v>19780328</v>
      </c>
    </row>
    <row r="5669" s="1" customFormat="1" spans="1:13">
      <c r="A5669" s="2">
        <v>3234</v>
      </c>
      <c r="B5669" s="3" t="s">
        <v>6671</v>
      </c>
      <c r="C5669" s="9" t="s">
        <v>6972</v>
      </c>
      <c r="D5669" s="9" t="s">
        <v>6973</v>
      </c>
      <c r="E5669" s="3" t="s">
        <v>15</v>
      </c>
      <c r="F5669" s="3" t="s">
        <v>15</v>
      </c>
      <c r="G5669" s="6" t="s">
        <v>3359</v>
      </c>
      <c r="H5669" s="9">
        <v>200</v>
      </c>
      <c r="I5669" s="9">
        <v>200</v>
      </c>
      <c r="J5669" s="6" t="s">
        <v>108</v>
      </c>
      <c r="K5669" s="5"/>
      <c r="L5669" s="10">
        <v>20201118</v>
      </c>
      <c r="M5669" s="36" t="str">
        <f t="shared" si="88"/>
        <v>19780328</v>
      </c>
    </row>
    <row r="5670" s="1" customFormat="1" spans="1:13">
      <c r="A5670" s="2">
        <v>4953</v>
      </c>
      <c r="B5670" s="6" t="s">
        <v>9954</v>
      </c>
      <c r="C5670" s="53" t="s">
        <v>10046</v>
      </c>
      <c r="D5670" s="53" t="s">
        <v>10047</v>
      </c>
      <c r="E5670" s="5" t="s">
        <v>15</v>
      </c>
      <c r="F5670" s="5" t="s">
        <v>15</v>
      </c>
      <c r="G5670" s="14" t="s">
        <v>16</v>
      </c>
      <c r="H5670" s="6">
        <v>200</v>
      </c>
      <c r="I5670" s="6">
        <v>200</v>
      </c>
      <c r="J5670" s="6"/>
      <c r="K5670" s="6"/>
      <c r="L5670" s="10">
        <v>20201118</v>
      </c>
      <c r="M5670" s="36" t="str">
        <f t="shared" si="88"/>
        <v>19780404</v>
      </c>
    </row>
    <row r="5671" s="1" customFormat="1" spans="1:13">
      <c r="A5671" s="2">
        <v>711</v>
      </c>
      <c r="B5671" s="29" t="s">
        <v>1040</v>
      </c>
      <c r="C5671" s="5" t="s">
        <v>1784</v>
      </c>
      <c r="D5671" s="5" t="s">
        <v>1785</v>
      </c>
      <c r="E5671" s="30">
        <v>2020</v>
      </c>
      <c r="F5671" s="30">
        <v>2020</v>
      </c>
      <c r="G5671" s="29" t="s">
        <v>16</v>
      </c>
      <c r="H5671" s="29">
        <v>200</v>
      </c>
      <c r="I5671" s="29">
        <v>200</v>
      </c>
      <c r="J5671" s="29"/>
      <c r="K5671" s="54"/>
      <c r="L5671" s="2" t="s">
        <v>330</v>
      </c>
      <c r="M5671" s="36" t="str">
        <f t="shared" si="88"/>
        <v>19780406</v>
      </c>
    </row>
    <row r="5672" s="1" customFormat="1" spans="1:13">
      <c r="A5672" s="2">
        <v>4540</v>
      </c>
      <c r="B5672" s="6" t="s">
        <v>9015</v>
      </c>
      <c r="C5672" s="6" t="s">
        <v>9260</v>
      </c>
      <c r="D5672" s="6" t="s">
        <v>9261</v>
      </c>
      <c r="E5672" s="6">
        <v>2020</v>
      </c>
      <c r="F5672" s="6">
        <v>2020</v>
      </c>
      <c r="G5672" s="6" t="s">
        <v>16</v>
      </c>
      <c r="H5672" s="6">
        <v>200</v>
      </c>
      <c r="I5672" s="6">
        <v>200</v>
      </c>
      <c r="J5672" s="6"/>
      <c r="K5672" s="6"/>
      <c r="L5672" s="10">
        <v>20201118</v>
      </c>
      <c r="M5672" s="36" t="str">
        <f t="shared" si="88"/>
        <v>19780407</v>
      </c>
    </row>
    <row r="5673" s="1" customFormat="1" ht="14.25" spans="1:13">
      <c r="A5673" s="2">
        <v>6074</v>
      </c>
      <c r="B5673" s="30" t="s">
        <v>11090</v>
      </c>
      <c r="C5673" s="32" t="s">
        <v>3054</v>
      </c>
      <c r="D5673" s="12" t="s">
        <v>12189</v>
      </c>
      <c r="E5673" s="5" t="s">
        <v>15</v>
      </c>
      <c r="F5673" s="5" t="s">
        <v>10250</v>
      </c>
      <c r="G5673" s="6" t="s">
        <v>16</v>
      </c>
      <c r="H5673" s="32">
        <v>200</v>
      </c>
      <c r="I5673" s="32">
        <v>200</v>
      </c>
      <c r="J5673" s="5"/>
      <c r="K5673" s="48"/>
      <c r="L5673" s="10">
        <v>20201118</v>
      </c>
      <c r="M5673" s="36" t="str">
        <f t="shared" si="88"/>
        <v>19780408</v>
      </c>
    </row>
    <row r="5674" s="1" customFormat="1" spans="1:13">
      <c r="A5674" s="2">
        <v>7485</v>
      </c>
      <c r="B5674" s="5" t="s">
        <v>14402</v>
      </c>
      <c r="C5674" s="5" t="s">
        <v>14585</v>
      </c>
      <c r="D5674" s="5" t="s">
        <v>14586</v>
      </c>
      <c r="E5674" s="5">
        <v>2020</v>
      </c>
      <c r="F5674" s="5">
        <v>2020</v>
      </c>
      <c r="G5674" s="17" t="s">
        <v>16</v>
      </c>
      <c r="H5674" s="5">
        <v>200</v>
      </c>
      <c r="I5674" s="5">
        <v>200</v>
      </c>
      <c r="J5674" s="5"/>
      <c r="K5674" s="10"/>
      <c r="L5674" s="10">
        <v>20201118</v>
      </c>
      <c r="M5674" s="36" t="str">
        <f t="shared" si="88"/>
        <v>19780408</v>
      </c>
    </row>
    <row r="5675" s="1" customFormat="1" spans="1:13">
      <c r="A5675" s="2">
        <v>7912</v>
      </c>
      <c r="B5675" s="5" t="s">
        <v>15086</v>
      </c>
      <c r="C5675" s="6" t="s">
        <v>15190</v>
      </c>
      <c r="D5675" s="6" t="str">
        <f>"152326197804136867"</f>
        <v>152326197804136867</v>
      </c>
      <c r="E5675" s="5" t="s">
        <v>15</v>
      </c>
      <c r="F5675" s="5">
        <v>2020</v>
      </c>
      <c r="G5675" s="5" t="s">
        <v>16</v>
      </c>
      <c r="H5675" s="5">
        <v>200</v>
      </c>
      <c r="I5675" s="5">
        <v>200</v>
      </c>
      <c r="J5675" s="5"/>
      <c r="K5675" s="5"/>
      <c r="L5675" s="10">
        <v>20201118</v>
      </c>
      <c r="M5675" s="36" t="str">
        <f t="shared" si="88"/>
        <v>19780413</v>
      </c>
    </row>
    <row r="5676" s="1" customFormat="1" ht="14.25" spans="1:13">
      <c r="A5676" s="2">
        <v>5045</v>
      </c>
      <c r="B5676" s="13" t="s">
        <v>9954</v>
      </c>
      <c r="C5676" s="13" t="s">
        <v>10223</v>
      </c>
      <c r="D5676" s="307" t="s">
        <v>10224</v>
      </c>
      <c r="E5676" s="10">
        <v>2020</v>
      </c>
      <c r="F5676" s="10">
        <v>2020</v>
      </c>
      <c r="G5676" s="14" t="s">
        <v>16</v>
      </c>
      <c r="H5676" s="13">
        <v>200</v>
      </c>
      <c r="I5676" s="13">
        <v>200</v>
      </c>
      <c r="J5676" s="10"/>
      <c r="K5676" s="10"/>
      <c r="L5676" s="10">
        <v>20201224</v>
      </c>
      <c r="M5676" s="36" t="str">
        <f t="shared" si="88"/>
        <v>19780415</v>
      </c>
    </row>
    <row r="5677" s="1" customFormat="1" spans="1:13">
      <c r="A5677" s="2">
        <v>6854</v>
      </c>
      <c r="B5677" s="5" t="s">
        <v>13533</v>
      </c>
      <c r="C5677" s="32" t="s">
        <v>13605</v>
      </c>
      <c r="D5677" s="32" t="str">
        <f>"152326197804177124"</f>
        <v>152326197804177124</v>
      </c>
      <c r="E5677" s="5">
        <v>2020</v>
      </c>
      <c r="F5677" s="5">
        <v>2020</v>
      </c>
      <c r="G5677" s="9" t="s">
        <v>2480</v>
      </c>
      <c r="H5677" s="32">
        <v>200</v>
      </c>
      <c r="I5677" s="32">
        <v>200</v>
      </c>
      <c r="J5677" s="62"/>
      <c r="K5677" s="10"/>
      <c r="L5677" s="10">
        <v>20201118</v>
      </c>
      <c r="M5677" s="36" t="str">
        <f t="shared" si="88"/>
        <v>19780417</v>
      </c>
    </row>
    <row r="5678" s="1" customFormat="1" spans="1:13">
      <c r="A5678" s="2">
        <v>485</v>
      </c>
      <c r="B5678" s="29" t="s">
        <v>1040</v>
      </c>
      <c r="C5678" s="29" t="s">
        <v>1247</v>
      </c>
      <c r="D5678" s="29" t="s">
        <v>1248</v>
      </c>
      <c r="E5678" s="30">
        <v>2020</v>
      </c>
      <c r="F5678" s="30">
        <v>2020</v>
      </c>
      <c r="G5678" s="29" t="s">
        <v>16</v>
      </c>
      <c r="H5678" s="29">
        <v>1000</v>
      </c>
      <c r="I5678" s="29">
        <v>1000</v>
      </c>
      <c r="J5678" s="29"/>
      <c r="K5678" s="47"/>
      <c r="L5678" s="14" t="s">
        <v>330</v>
      </c>
      <c r="M5678" s="36" t="str">
        <f t="shared" si="88"/>
        <v>19780420</v>
      </c>
    </row>
    <row r="5679" s="1" customFormat="1" spans="1:13">
      <c r="A5679" s="2">
        <v>6179</v>
      </c>
      <c r="B5679" s="5" t="s">
        <v>12263</v>
      </c>
      <c r="C5679" s="5" t="s">
        <v>12388</v>
      </c>
      <c r="D5679" s="5" t="s">
        <v>12389</v>
      </c>
      <c r="E5679" s="5" t="s">
        <v>10250</v>
      </c>
      <c r="F5679" s="5">
        <v>2020</v>
      </c>
      <c r="G5679" s="17" t="s">
        <v>3359</v>
      </c>
      <c r="H5679" s="5">
        <v>200</v>
      </c>
      <c r="I5679" s="5">
        <v>200</v>
      </c>
      <c r="J5679" s="5"/>
      <c r="K5679" s="5"/>
      <c r="L5679" s="10">
        <v>20201118</v>
      </c>
      <c r="M5679" s="36" t="str">
        <f t="shared" si="88"/>
        <v>19780421</v>
      </c>
    </row>
    <row r="5680" s="1" customFormat="1" spans="1:13">
      <c r="A5680" s="2">
        <v>7482</v>
      </c>
      <c r="B5680" s="5" t="s">
        <v>14402</v>
      </c>
      <c r="C5680" s="5" t="s">
        <v>7319</v>
      </c>
      <c r="D5680" s="5" t="s">
        <v>14580</v>
      </c>
      <c r="E5680" s="5">
        <v>2020</v>
      </c>
      <c r="F5680" s="5">
        <v>2020</v>
      </c>
      <c r="G5680" s="17" t="s">
        <v>16</v>
      </c>
      <c r="H5680" s="5">
        <v>200</v>
      </c>
      <c r="I5680" s="5">
        <v>200</v>
      </c>
      <c r="J5680" s="5" t="s">
        <v>749</v>
      </c>
      <c r="K5680" s="10"/>
      <c r="L5680" s="10">
        <v>20201118</v>
      </c>
      <c r="M5680" s="36" t="str">
        <f t="shared" si="88"/>
        <v>19780422</v>
      </c>
    </row>
    <row r="5681" s="1" customFormat="1" spans="1:13">
      <c r="A5681" s="2">
        <v>5152</v>
      </c>
      <c r="B5681" s="6" t="s">
        <v>10242</v>
      </c>
      <c r="C5681" s="9" t="s">
        <v>10430</v>
      </c>
      <c r="D5681" s="9" t="s">
        <v>10431</v>
      </c>
      <c r="E5681" s="5" t="s">
        <v>10250</v>
      </c>
      <c r="F5681" s="5">
        <v>2020</v>
      </c>
      <c r="G5681" s="6" t="s">
        <v>16</v>
      </c>
      <c r="H5681" s="6">
        <v>200</v>
      </c>
      <c r="I5681" s="6">
        <v>200</v>
      </c>
      <c r="J5681" s="6"/>
      <c r="K5681" s="5"/>
      <c r="L5681" s="10">
        <v>20201118</v>
      </c>
      <c r="M5681" s="36" t="str">
        <f t="shared" si="88"/>
        <v>19780429</v>
      </c>
    </row>
    <row r="5682" s="1" customFormat="1" spans="1:13">
      <c r="A5682" s="2">
        <v>4421</v>
      </c>
      <c r="B5682" s="6" t="s">
        <v>9015</v>
      </c>
      <c r="C5682" s="6" t="s">
        <v>9031</v>
      </c>
      <c r="D5682" s="6" t="s">
        <v>9032</v>
      </c>
      <c r="E5682" s="6">
        <v>2020</v>
      </c>
      <c r="F5682" s="6">
        <v>2020</v>
      </c>
      <c r="G5682" s="6" t="s">
        <v>16</v>
      </c>
      <c r="H5682" s="6">
        <v>200</v>
      </c>
      <c r="I5682" s="6">
        <v>200</v>
      </c>
      <c r="J5682" s="6"/>
      <c r="K5682" s="6"/>
      <c r="L5682" s="10">
        <v>20201118</v>
      </c>
      <c r="M5682" s="36" t="str">
        <f t="shared" si="88"/>
        <v>19780505</v>
      </c>
    </row>
    <row r="5683" s="1" customFormat="1" spans="1:13">
      <c r="A5683" s="2">
        <v>1403</v>
      </c>
      <c r="B5683" s="5" t="s">
        <v>2469</v>
      </c>
      <c r="C5683" s="9" t="s">
        <v>3368</v>
      </c>
      <c r="D5683" s="287" t="s">
        <v>3369</v>
      </c>
      <c r="E5683" s="5">
        <v>2020</v>
      </c>
      <c r="F5683" s="5">
        <v>2020</v>
      </c>
      <c r="G5683" s="9" t="s">
        <v>295</v>
      </c>
      <c r="H5683" s="9">
        <v>200</v>
      </c>
      <c r="I5683" s="9">
        <v>200</v>
      </c>
      <c r="J5683" s="5"/>
      <c r="K5683" s="5"/>
      <c r="L5683" s="10">
        <v>20201118</v>
      </c>
      <c r="M5683" s="36" t="str">
        <f t="shared" si="88"/>
        <v>19780510</v>
      </c>
    </row>
    <row r="5684" s="1" customFormat="1" spans="1:13">
      <c r="A5684" s="2">
        <v>1200</v>
      </c>
      <c r="B5684" s="5" t="s">
        <v>2469</v>
      </c>
      <c r="C5684" s="9" t="s">
        <v>2983</v>
      </c>
      <c r="D5684" s="9" t="s">
        <v>2984</v>
      </c>
      <c r="E5684" s="5">
        <v>2020</v>
      </c>
      <c r="F5684" s="5">
        <v>2020</v>
      </c>
      <c r="G5684" s="9" t="s">
        <v>2480</v>
      </c>
      <c r="H5684" s="9">
        <v>200</v>
      </c>
      <c r="I5684" s="9">
        <v>200</v>
      </c>
      <c r="J5684" s="5"/>
      <c r="K5684" s="5"/>
      <c r="L5684" s="10">
        <v>20201118</v>
      </c>
      <c r="M5684" s="36" t="str">
        <f t="shared" si="88"/>
        <v>19780512</v>
      </c>
    </row>
    <row r="5685" s="1" customFormat="1" ht="14.25" spans="1:13">
      <c r="A5685" s="2">
        <v>5395</v>
      </c>
      <c r="B5685" s="33" t="s">
        <v>10535</v>
      </c>
      <c r="C5685" s="34" t="s">
        <v>10897</v>
      </c>
      <c r="D5685" s="34" t="s">
        <v>10898</v>
      </c>
      <c r="E5685" s="35">
        <v>2020</v>
      </c>
      <c r="F5685" s="35">
        <v>2020</v>
      </c>
      <c r="G5685" s="35" t="s">
        <v>16</v>
      </c>
      <c r="H5685" s="34">
        <v>200</v>
      </c>
      <c r="I5685" s="34">
        <v>200</v>
      </c>
      <c r="J5685" s="49"/>
      <c r="K5685" s="10"/>
      <c r="L5685" s="10">
        <v>20201118</v>
      </c>
      <c r="M5685" s="36" t="str">
        <f t="shared" si="88"/>
        <v>19780513</v>
      </c>
    </row>
    <row r="5686" s="1" customFormat="1" spans="1:13">
      <c r="A5686" s="2">
        <v>8171</v>
      </c>
      <c r="B5686" s="5" t="s">
        <v>15406</v>
      </c>
      <c r="C5686" s="6" t="s">
        <v>15531</v>
      </c>
      <c r="D5686" s="6" t="s">
        <v>15532</v>
      </c>
      <c r="E5686" s="5" t="s">
        <v>15</v>
      </c>
      <c r="F5686" s="5">
        <v>2020</v>
      </c>
      <c r="G5686" s="14" t="s">
        <v>16</v>
      </c>
      <c r="H5686" s="6" t="s">
        <v>1700</v>
      </c>
      <c r="I5686" s="6">
        <v>300</v>
      </c>
      <c r="J5686" s="5"/>
      <c r="K5686" s="10"/>
      <c r="L5686" s="10">
        <v>20201118</v>
      </c>
      <c r="M5686" s="36" t="str">
        <f t="shared" si="88"/>
        <v>19780516</v>
      </c>
    </row>
    <row r="5687" s="1" customFormat="1" spans="1:13">
      <c r="A5687" s="2">
        <v>674</v>
      </c>
      <c r="B5687" s="29" t="s">
        <v>1040</v>
      </c>
      <c r="C5687" s="47" t="s">
        <v>1674</v>
      </c>
      <c r="D5687" s="47" t="s">
        <v>1675</v>
      </c>
      <c r="E5687" s="30">
        <v>2020</v>
      </c>
      <c r="F5687" s="30">
        <v>2020</v>
      </c>
      <c r="G5687" s="29" t="s">
        <v>16</v>
      </c>
      <c r="H5687" s="29">
        <v>200</v>
      </c>
      <c r="I5687" s="29">
        <v>200</v>
      </c>
      <c r="J5687" s="29"/>
      <c r="K5687" s="54"/>
      <c r="L5687" s="2" t="s">
        <v>330</v>
      </c>
      <c r="M5687" s="36" t="str">
        <f t="shared" si="88"/>
        <v>19780521</v>
      </c>
    </row>
    <row r="5688" s="1" customFormat="1" spans="1:13">
      <c r="A5688" s="2">
        <v>1201</v>
      </c>
      <c r="B5688" s="5" t="s">
        <v>2469</v>
      </c>
      <c r="C5688" s="9" t="s">
        <v>2985</v>
      </c>
      <c r="D5688" s="9" t="s">
        <v>2986</v>
      </c>
      <c r="E5688" s="5">
        <v>2020</v>
      </c>
      <c r="F5688" s="5">
        <v>2020</v>
      </c>
      <c r="G5688" s="9" t="s">
        <v>2480</v>
      </c>
      <c r="H5688" s="9">
        <v>200</v>
      </c>
      <c r="I5688" s="9">
        <v>200</v>
      </c>
      <c r="J5688" s="5"/>
      <c r="K5688" s="5"/>
      <c r="L5688" s="10">
        <v>20201118</v>
      </c>
      <c r="M5688" s="36" t="str">
        <f t="shared" si="88"/>
        <v>19780601</v>
      </c>
    </row>
    <row r="5689" s="1" customFormat="1" spans="1:13">
      <c r="A5689" s="2">
        <v>8096</v>
      </c>
      <c r="B5689" s="5" t="s">
        <v>15086</v>
      </c>
      <c r="C5689" s="6" t="s">
        <v>15385</v>
      </c>
      <c r="D5689" s="293" t="s">
        <v>15386</v>
      </c>
      <c r="E5689" s="5" t="s">
        <v>15</v>
      </c>
      <c r="F5689" s="5">
        <v>2020</v>
      </c>
      <c r="G5689" s="5" t="s">
        <v>189</v>
      </c>
      <c r="H5689" s="6">
        <v>200</v>
      </c>
      <c r="I5689" s="5">
        <v>200</v>
      </c>
      <c r="J5689" s="5"/>
      <c r="K5689" s="5"/>
      <c r="L5689" s="10">
        <v>20201118</v>
      </c>
      <c r="M5689" s="36" t="str">
        <f t="shared" si="88"/>
        <v>19780608</v>
      </c>
    </row>
    <row r="5690" s="1" customFormat="1" spans="1:13">
      <c r="A5690" s="2">
        <v>1995</v>
      </c>
      <c r="B5690" s="5" t="s">
        <v>4189</v>
      </c>
      <c r="C5690" s="16" t="s">
        <v>4547</v>
      </c>
      <c r="D5690" s="16" t="s">
        <v>4548</v>
      </c>
      <c r="E5690" s="5" t="s">
        <v>15</v>
      </c>
      <c r="F5690" s="5" t="s">
        <v>15</v>
      </c>
      <c r="G5690" s="5" t="s">
        <v>3359</v>
      </c>
      <c r="H5690" s="16">
        <v>200</v>
      </c>
      <c r="I5690" s="16">
        <v>200</v>
      </c>
      <c r="J5690" s="5"/>
      <c r="K5690" s="10"/>
      <c r="L5690" s="10">
        <v>20201118</v>
      </c>
      <c r="M5690" s="36" t="str">
        <f t="shared" si="88"/>
        <v>19780609</v>
      </c>
    </row>
    <row r="5691" s="1" customFormat="1" spans="1:13">
      <c r="A5691" s="2">
        <v>7909</v>
      </c>
      <c r="B5691" s="5" t="s">
        <v>15086</v>
      </c>
      <c r="C5691" s="6" t="s">
        <v>15187</v>
      </c>
      <c r="D5691" s="6" t="str">
        <f>"152326197806106872"</f>
        <v>152326197806106872</v>
      </c>
      <c r="E5691" s="5" t="s">
        <v>15</v>
      </c>
      <c r="F5691" s="5">
        <v>2020</v>
      </c>
      <c r="G5691" s="5" t="s">
        <v>16</v>
      </c>
      <c r="H5691" s="5">
        <v>200</v>
      </c>
      <c r="I5691" s="5">
        <v>200</v>
      </c>
      <c r="J5691" s="5"/>
      <c r="K5691" s="5"/>
      <c r="L5691" s="10">
        <v>20201118</v>
      </c>
      <c r="M5691" s="36" t="str">
        <f t="shared" si="88"/>
        <v>19780610</v>
      </c>
    </row>
    <row r="5692" s="1" customFormat="1" spans="1:13">
      <c r="A5692" s="2">
        <v>1713</v>
      </c>
      <c r="B5692" s="5" t="s">
        <v>3381</v>
      </c>
      <c r="C5692" s="9" t="s">
        <v>3987</v>
      </c>
      <c r="D5692" s="9" t="s">
        <v>3988</v>
      </c>
      <c r="E5692" s="5">
        <v>2020</v>
      </c>
      <c r="F5692" s="5">
        <v>2020</v>
      </c>
      <c r="G5692" s="14" t="s">
        <v>16</v>
      </c>
      <c r="H5692" s="6">
        <v>200</v>
      </c>
      <c r="I5692" s="6">
        <v>200</v>
      </c>
      <c r="J5692" s="5"/>
      <c r="K5692" s="13"/>
      <c r="L5692" s="10">
        <v>20201118</v>
      </c>
      <c r="M5692" s="36" t="str">
        <f t="shared" si="88"/>
        <v>19780614</v>
      </c>
    </row>
    <row r="5693" s="1" customFormat="1" spans="1:13">
      <c r="A5693" s="2">
        <v>3982</v>
      </c>
      <c r="B5693" s="5" t="s">
        <v>7412</v>
      </c>
      <c r="C5693" s="5" t="s">
        <v>8185</v>
      </c>
      <c r="D5693" s="5" t="s">
        <v>8186</v>
      </c>
      <c r="E5693" s="6">
        <v>2020</v>
      </c>
      <c r="F5693" s="6">
        <v>2020</v>
      </c>
      <c r="G5693" s="5" t="s">
        <v>3359</v>
      </c>
      <c r="H5693" s="5">
        <v>200</v>
      </c>
      <c r="I5693" s="5">
        <v>200</v>
      </c>
      <c r="J5693" s="5" t="s">
        <v>7435</v>
      </c>
      <c r="K5693" s="5"/>
      <c r="L5693" s="10">
        <v>20201118</v>
      </c>
      <c r="M5693" s="36" t="str">
        <f t="shared" si="88"/>
        <v>19780615</v>
      </c>
    </row>
    <row r="5694" s="1" customFormat="1" spans="1:13">
      <c r="A5694" s="2">
        <v>4341</v>
      </c>
      <c r="B5694" s="9" t="s">
        <v>8515</v>
      </c>
      <c r="C5694" s="9" t="s">
        <v>8873</v>
      </c>
      <c r="D5694" s="9" t="s">
        <v>8874</v>
      </c>
      <c r="E5694" s="5" t="s">
        <v>15</v>
      </c>
      <c r="F5694" s="5">
        <v>2020</v>
      </c>
      <c r="G5694" s="9" t="s">
        <v>2480</v>
      </c>
      <c r="H5694" s="9">
        <v>200</v>
      </c>
      <c r="I5694" s="9">
        <v>200</v>
      </c>
      <c r="J5694" s="9"/>
      <c r="K5694" s="9"/>
      <c r="L5694" s="10">
        <v>20201118</v>
      </c>
      <c r="M5694" s="36" t="str">
        <f t="shared" si="88"/>
        <v>19780615</v>
      </c>
    </row>
    <row r="5695" s="1" customFormat="1" spans="1:13">
      <c r="A5695" s="2">
        <v>2687</v>
      </c>
      <c r="B5695" s="32" t="s">
        <v>5602</v>
      </c>
      <c r="C5695" s="9" t="s">
        <v>5907</v>
      </c>
      <c r="D5695" s="9" t="s">
        <v>5908</v>
      </c>
      <c r="E5695" s="32">
        <v>2020</v>
      </c>
      <c r="F5695" s="32">
        <v>2020</v>
      </c>
      <c r="G5695" s="32" t="s">
        <v>16</v>
      </c>
      <c r="H5695" s="9">
        <v>200</v>
      </c>
      <c r="I5695" s="9">
        <v>200</v>
      </c>
      <c r="J5695" s="32"/>
      <c r="K5695" s="52"/>
      <c r="L5695" s="10">
        <v>20201118</v>
      </c>
      <c r="M5695" s="36" t="str">
        <f t="shared" si="88"/>
        <v>19780616</v>
      </c>
    </row>
    <row r="5696" s="1" customFormat="1" spans="1:13">
      <c r="A5696" s="2">
        <v>3983</v>
      </c>
      <c r="B5696" s="5" t="s">
        <v>7412</v>
      </c>
      <c r="C5696" s="5" t="s">
        <v>8187</v>
      </c>
      <c r="D5696" s="5" t="s">
        <v>8188</v>
      </c>
      <c r="E5696" s="6">
        <v>2020</v>
      </c>
      <c r="F5696" s="6">
        <v>2020</v>
      </c>
      <c r="G5696" s="5" t="s">
        <v>3359</v>
      </c>
      <c r="H5696" s="5">
        <v>200</v>
      </c>
      <c r="I5696" s="5">
        <v>200</v>
      </c>
      <c r="J5696" s="5"/>
      <c r="K5696" s="5"/>
      <c r="L5696" s="10">
        <v>20201118</v>
      </c>
      <c r="M5696" s="36" t="str">
        <f t="shared" si="88"/>
        <v>19780616</v>
      </c>
    </row>
    <row r="5697" s="1" customFormat="1" ht="14.25" spans="1:13">
      <c r="A5697" s="2">
        <v>3520</v>
      </c>
      <c r="B5697" s="5" t="s">
        <v>3375</v>
      </c>
      <c r="C5697" s="5" t="s">
        <v>428</v>
      </c>
      <c r="D5697" s="12" t="s">
        <v>7312</v>
      </c>
      <c r="E5697" s="5" t="s">
        <v>15</v>
      </c>
      <c r="F5697" s="5">
        <v>2020</v>
      </c>
      <c r="G5697" s="14" t="s">
        <v>16</v>
      </c>
      <c r="H5697" s="5">
        <v>200</v>
      </c>
      <c r="I5697" s="5">
        <v>200</v>
      </c>
      <c r="J5697" s="5"/>
      <c r="K5697" s="10"/>
      <c r="L5697" s="10">
        <v>20201118</v>
      </c>
      <c r="M5697" s="36" t="str">
        <f t="shared" si="88"/>
        <v>19780623</v>
      </c>
    </row>
    <row r="5698" s="1" customFormat="1" spans="1:13">
      <c r="A5698" s="2">
        <v>3329</v>
      </c>
      <c r="B5698" s="5" t="s">
        <v>3375</v>
      </c>
      <c r="C5698" s="6" t="s">
        <v>7104</v>
      </c>
      <c r="D5698" s="6" t="str">
        <f>"152326197806276863"</f>
        <v>152326197806276863</v>
      </c>
      <c r="E5698" s="5" t="s">
        <v>15</v>
      </c>
      <c r="F5698" s="5">
        <v>2020</v>
      </c>
      <c r="G5698" s="14" t="s">
        <v>16</v>
      </c>
      <c r="H5698" s="17">
        <v>200</v>
      </c>
      <c r="I5698" s="17">
        <v>200</v>
      </c>
      <c r="J5698" s="6"/>
      <c r="K5698" s="10"/>
      <c r="L5698" s="10">
        <v>20201118</v>
      </c>
      <c r="M5698" s="36" t="str">
        <f t="shared" ref="M5698:M5761" si="89">MID(D5698,7,8)</f>
        <v>19780627</v>
      </c>
    </row>
    <row r="5699" s="1" customFormat="1" spans="1:13">
      <c r="A5699" s="2">
        <v>5153</v>
      </c>
      <c r="B5699" s="6" t="s">
        <v>10242</v>
      </c>
      <c r="C5699" s="9" t="s">
        <v>10432</v>
      </c>
      <c r="D5699" s="9" t="s">
        <v>10433</v>
      </c>
      <c r="E5699" s="5" t="s">
        <v>10250</v>
      </c>
      <c r="F5699" s="5">
        <v>2020</v>
      </c>
      <c r="G5699" s="6" t="s">
        <v>16</v>
      </c>
      <c r="H5699" s="6">
        <v>200</v>
      </c>
      <c r="I5699" s="6">
        <v>200</v>
      </c>
      <c r="J5699" s="6"/>
      <c r="K5699" s="5"/>
      <c r="L5699" s="10">
        <v>20201118</v>
      </c>
      <c r="M5699" s="36" t="str">
        <f t="shared" si="89"/>
        <v>19780703</v>
      </c>
    </row>
    <row r="5700" s="1" customFormat="1" spans="1:13">
      <c r="A5700" s="2">
        <v>1202</v>
      </c>
      <c r="B5700" s="5" t="s">
        <v>2469</v>
      </c>
      <c r="C5700" s="9" t="s">
        <v>2987</v>
      </c>
      <c r="D5700" s="9" t="s">
        <v>2988</v>
      </c>
      <c r="E5700" s="5">
        <v>2020</v>
      </c>
      <c r="F5700" s="5">
        <v>2020</v>
      </c>
      <c r="G5700" s="9" t="s">
        <v>2480</v>
      </c>
      <c r="H5700" s="9">
        <v>200</v>
      </c>
      <c r="I5700" s="9">
        <v>200</v>
      </c>
      <c r="J5700" s="5"/>
      <c r="K5700" s="10"/>
      <c r="L5700" s="10">
        <v>20201118</v>
      </c>
      <c r="M5700" s="36" t="str">
        <f t="shared" si="89"/>
        <v>19780704</v>
      </c>
    </row>
    <row r="5701" s="1" customFormat="1" spans="1:13">
      <c r="A5701" s="2">
        <v>578</v>
      </c>
      <c r="B5701" s="29" t="s">
        <v>1040</v>
      </c>
      <c r="C5701" s="29" t="s">
        <v>1432</v>
      </c>
      <c r="D5701" s="29" t="s">
        <v>1433</v>
      </c>
      <c r="E5701" s="30">
        <v>2020</v>
      </c>
      <c r="F5701" s="30">
        <v>2020</v>
      </c>
      <c r="G5701" s="29" t="s">
        <v>16</v>
      </c>
      <c r="H5701" s="29">
        <v>200</v>
      </c>
      <c r="I5701" s="29">
        <v>200</v>
      </c>
      <c r="J5701" s="29"/>
      <c r="K5701" s="47"/>
      <c r="L5701" s="2" t="s">
        <v>330</v>
      </c>
      <c r="M5701" s="36" t="str">
        <f t="shared" si="89"/>
        <v>19780714</v>
      </c>
    </row>
    <row r="5702" s="1" customFormat="1" spans="1:13">
      <c r="A5702" s="2">
        <v>1981</v>
      </c>
      <c r="B5702" s="5" t="s">
        <v>4189</v>
      </c>
      <c r="C5702" s="16" t="s">
        <v>4520</v>
      </c>
      <c r="D5702" s="16" t="s">
        <v>4521</v>
      </c>
      <c r="E5702" s="5" t="s">
        <v>15</v>
      </c>
      <c r="F5702" s="5" t="s">
        <v>15</v>
      </c>
      <c r="G5702" s="5" t="s">
        <v>3359</v>
      </c>
      <c r="H5702" s="16">
        <v>500</v>
      </c>
      <c r="I5702" s="16">
        <v>500</v>
      </c>
      <c r="J5702" s="5"/>
      <c r="K5702" s="10"/>
      <c r="L5702" s="10">
        <v>20201118</v>
      </c>
      <c r="M5702" s="36" t="str">
        <f t="shared" si="89"/>
        <v>19780715</v>
      </c>
    </row>
    <row r="5703" s="1" customFormat="1" spans="1:13">
      <c r="A5703" s="2">
        <v>93</v>
      </c>
      <c r="B5703" s="3" t="s">
        <v>12</v>
      </c>
      <c r="C5703" s="6" t="s">
        <v>202</v>
      </c>
      <c r="D5703" s="6" t="s">
        <v>203</v>
      </c>
      <c r="E5703" s="3" t="s">
        <v>15</v>
      </c>
      <c r="F5703" s="3" t="s">
        <v>15</v>
      </c>
      <c r="G5703" s="2" t="s">
        <v>16</v>
      </c>
      <c r="H5703" s="3">
        <v>500</v>
      </c>
      <c r="I5703" s="3">
        <v>500</v>
      </c>
      <c r="J5703" s="3"/>
      <c r="K5703" s="3"/>
      <c r="L5703" s="10">
        <v>20201118</v>
      </c>
      <c r="M5703" s="36" t="str">
        <f t="shared" si="89"/>
        <v>19780716</v>
      </c>
    </row>
    <row r="5704" s="1" customFormat="1" spans="1:13">
      <c r="A5704" s="2">
        <v>522</v>
      </c>
      <c r="B5704" s="29" t="s">
        <v>1040</v>
      </c>
      <c r="C5704" s="29" t="s">
        <v>1321</v>
      </c>
      <c r="D5704" s="29" t="s">
        <v>1322</v>
      </c>
      <c r="E5704" s="30">
        <v>2020</v>
      </c>
      <c r="F5704" s="30">
        <v>2020</v>
      </c>
      <c r="G5704" s="29" t="s">
        <v>16</v>
      </c>
      <c r="H5704" s="29">
        <v>200</v>
      </c>
      <c r="I5704" s="29">
        <v>200</v>
      </c>
      <c r="J5704" s="29"/>
      <c r="K5704" s="47"/>
      <c r="L5704" s="2" t="s">
        <v>330</v>
      </c>
      <c r="M5704" s="36" t="str">
        <f t="shared" si="89"/>
        <v>19780717</v>
      </c>
    </row>
    <row r="5705" s="1" customFormat="1" spans="1:13">
      <c r="A5705" s="2">
        <v>6713</v>
      </c>
      <c r="B5705" s="5" t="s">
        <v>13027</v>
      </c>
      <c r="C5705" s="15" t="s">
        <v>13398</v>
      </c>
      <c r="D5705" s="15" t="s">
        <v>13399</v>
      </c>
      <c r="E5705" s="5">
        <v>2020</v>
      </c>
      <c r="F5705" s="5">
        <v>2020</v>
      </c>
      <c r="G5705" s="14" t="s">
        <v>16</v>
      </c>
      <c r="H5705" s="15">
        <v>200</v>
      </c>
      <c r="I5705" s="15">
        <v>200</v>
      </c>
      <c r="J5705" s="5"/>
      <c r="K5705" s="10"/>
      <c r="L5705" s="10">
        <v>20201118</v>
      </c>
      <c r="M5705" s="36" t="str">
        <f t="shared" si="89"/>
        <v>19780719</v>
      </c>
    </row>
    <row r="5706" s="1" customFormat="1" spans="1:13">
      <c r="A5706" s="2">
        <v>303</v>
      </c>
      <c r="B5706" s="14" t="s">
        <v>327</v>
      </c>
      <c r="C5706" s="17" t="s">
        <v>797</v>
      </c>
      <c r="D5706" s="306" t="s">
        <v>798</v>
      </c>
      <c r="E5706" s="5">
        <v>2020</v>
      </c>
      <c r="F5706" s="5">
        <v>2020</v>
      </c>
      <c r="G5706" s="14" t="s">
        <v>16</v>
      </c>
      <c r="H5706" s="17">
        <v>200</v>
      </c>
      <c r="I5706" s="17">
        <v>200</v>
      </c>
      <c r="J5706" s="17"/>
      <c r="K5706" s="10"/>
      <c r="L5706" s="2" t="s">
        <v>330</v>
      </c>
      <c r="M5706" s="36" t="str">
        <f t="shared" si="89"/>
        <v>19780722</v>
      </c>
    </row>
    <row r="5707" s="1" customFormat="1" spans="1:13">
      <c r="A5707" s="2">
        <v>6714</v>
      </c>
      <c r="B5707" s="5" t="s">
        <v>13027</v>
      </c>
      <c r="C5707" s="15" t="s">
        <v>13400</v>
      </c>
      <c r="D5707" s="15" t="s">
        <v>13401</v>
      </c>
      <c r="E5707" s="5">
        <v>2020</v>
      </c>
      <c r="F5707" s="5">
        <v>2020</v>
      </c>
      <c r="G5707" s="14" t="s">
        <v>16</v>
      </c>
      <c r="H5707" s="15">
        <v>200</v>
      </c>
      <c r="I5707" s="15">
        <v>200</v>
      </c>
      <c r="J5707" s="5" t="s">
        <v>1242</v>
      </c>
      <c r="K5707" s="10"/>
      <c r="L5707" s="10">
        <v>20201118</v>
      </c>
      <c r="M5707" s="36" t="str">
        <f t="shared" si="89"/>
        <v>19780722</v>
      </c>
    </row>
    <row r="5708" s="1" customFormat="1" ht="14.25" spans="1:13">
      <c r="A5708" s="2">
        <v>7672</v>
      </c>
      <c r="B5708" s="5" t="s">
        <v>14875</v>
      </c>
      <c r="C5708" s="51" t="s">
        <v>14914</v>
      </c>
      <c r="D5708" s="24" t="str">
        <f>"152326197807227158"</f>
        <v>152326197807227158</v>
      </c>
      <c r="E5708" s="6" t="s">
        <v>15</v>
      </c>
      <c r="F5708" s="6">
        <v>2020</v>
      </c>
      <c r="G5708" s="24" t="s">
        <v>14877</v>
      </c>
      <c r="H5708" s="6">
        <v>200</v>
      </c>
      <c r="I5708" s="6">
        <v>200</v>
      </c>
      <c r="J5708" s="6"/>
      <c r="K5708" s="10"/>
      <c r="L5708" s="10">
        <v>20201118</v>
      </c>
      <c r="M5708" s="36" t="str">
        <f t="shared" si="89"/>
        <v>19780722</v>
      </c>
    </row>
    <row r="5709" s="1" customFormat="1" spans="1:13">
      <c r="A5709" s="2">
        <v>302</v>
      </c>
      <c r="B5709" s="14" t="s">
        <v>327</v>
      </c>
      <c r="C5709" s="17" t="s">
        <v>794</v>
      </c>
      <c r="D5709" s="306" t="s">
        <v>795</v>
      </c>
      <c r="E5709" s="5">
        <v>2020</v>
      </c>
      <c r="F5709" s="5">
        <v>2020</v>
      </c>
      <c r="G5709" s="14" t="s">
        <v>16</v>
      </c>
      <c r="H5709" s="17">
        <v>200</v>
      </c>
      <c r="I5709" s="17">
        <v>200</v>
      </c>
      <c r="J5709" s="17"/>
      <c r="K5709" s="10"/>
      <c r="L5709" s="14" t="s">
        <v>330</v>
      </c>
      <c r="M5709" s="36" t="str">
        <f t="shared" si="89"/>
        <v>19780725</v>
      </c>
    </row>
    <row r="5710" s="1" customFormat="1" spans="1:13">
      <c r="A5710" s="2">
        <v>464</v>
      </c>
      <c r="B5710" s="29" t="s">
        <v>1040</v>
      </c>
      <c r="C5710" s="29" t="s">
        <v>1204</v>
      </c>
      <c r="D5710" s="29" t="s">
        <v>1205</v>
      </c>
      <c r="E5710" s="30">
        <v>2020</v>
      </c>
      <c r="F5710" s="30">
        <v>2020</v>
      </c>
      <c r="G5710" s="29" t="s">
        <v>16</v>
      </c>
      <c r="H5710" s="29">
        <v>200</v>
      </c>
      <c r="I5710" s="29">
        <v>200</v>
      </c>
      <c r="J5710" s="29"/>
      <c r="K5710" s="47"/>
      <c r="L5710" s="2" t="s">
        <v>330</v>
      </c>
      <c r="M5710" s="36" t="str">
        <f t="shared" si="89"/>
        <v>19780725</v>
      </c>
    </row>
    <row r="5711" s="1" customFormat="1" spans="1:13">
      <c r="A5711" s="2">
        <v>1203</v>
      </c>
      <c r="B5711" s="5" t="s">
        <v>2469</v>
      </c>
      <c r="C5711" s="9" t="s">
        <v>2989</v>
      </c>
      <c r="D5711" s="9" t="s">
        <v>2990</v>
      </c>
      <c r="E5711" s="5">
        <v>2020</v>
      </c>
      <c r="F5711" s="5">
        <v>2020</v>
      </c>
      <c r="G5711" s="9" t="s">
        <v>2480</v>
      </c>
      <c r="H5711" s="9">
        <v>200</v>
      </c>
      <c r="I5711" s="9">
        <v>200</v>
      </c>
      <c r="J5711" s="5"/>
      <c r="K5711" s="5"/>
      <c r="L5711" s="10">
        <v>20201118</v>
      </c>
      <c r="M5711" s="36" t="str">
        <f t="shared" si="89"/>
        <v>19780730</v>
      </c>
    </row>
    <row r="5712" s="1" customFormat="1" spans="1:13">
      <c r="A5712" s="2">
        <v>3330</v>
      </c>
      <c r="B5712" s="5" t="s">
        <v>3375</v>
      </c>
      <c r="C5712" s="6" t="s">
        <v>7105</v>
      </c>
      <c r="D5712" s="6" t="str">
        <f>"152326197808026884"</f>
        <v>152326197808026884</v>
      </c>
      <c r="E5712" s="5" t="s">
        <v>15</v>
      </c>
      <c r="F5712" s="5">
        <v>2020</v>
      </c>
      <c r="G5712" s="14" t="s">
        <v>16</v>
      </c>
      <c r="H5712" s="17">
        <v>200</v>
      </c>
      <c r="I5712" s="17">
        <v>200</v>
      </c>
      <c r="J5712" s="6"/>
      <c r="K5712" s="10"/>
      <c r="L5712" s="10">
        <v>20201118</v>
      </c>
      <c r="M5712" s="36" t="str">
        <f t="shared" si="89"/>
        <v>19780802</v>
      </c>
    </row>
    <row r="5713" s="1" customFormat="1" ht="14.25" spans="1:13">
      <c r="A5713" s="2">
        <v>6052</v>
      </c>
      <c r="B5713" s="30" t="s">
        <v>11090</v>
      </c>
      <c r="C5713" s="32" t="s">
        <v>12147</v>
      </c>
      <c r="D5713" s="12" t="s">
        <v>12148</v>
      </c>
      <c r="E5713" s="5" t="s">
        <v>15</v>
      </c>
      <c r="F5713" s="5" t="s">
        <v>10250</v>
      </c>
      <c r="G5713" s="6" t="s">
        <v>16</v>
      </c>
      <c r="H5713" s="32">
        <v>200</v>
      </c>
      <c r="I5713" s="32">
        <v>200</v>
      </c>
      <c r="J5713" s="5"/>
      <c r="K5713" s="48"/>
      <c r="L5713" s="10">
        <v>20201118</v>
      </c>
      <c r="M5713" s="36" t="str">
        <f t="shared" si="89"/>
        <v>19780802</v>
      </c>
    </row>
    <row r="5714" s="1" customFormat="1" spans="1:13">
      <c r="A5714" s="2">
        <v>7910</v>
      </c>
      <c r="B5714" s="5" t="s">
        <v>15086</v>
      </c>
      <c r="C5714" s="6" t="s">
        <v>15188</v>
      </c>
      <c r="D5714" s="6" t="str">
        <f>"152326197808056872"</f>
        <v>152326197808056872</v>
      </c>
      <c r="E5714" s="5" t="s">
        <v>15</v>
      </c>
      <c r="F5714" s="5">
        <v>2020</v>
      </c>
      <c r="G5714" s="5" t="s">
        <v>16</v>
      </c>
      <c r="H5714" s="5">
        <v>200</v>
      </c>
      <c r="I5714" s="5">
        <v>200</v>
      </c>
      <c r="J5714" s="5"/>
      <c r="K5714" s="5"/>
      <c r="L5714" s="10">
        <v>20201118</v>
      </c>
      <c r="M5714" s="36" t="str">
        <f t="shared" si="89"/>
        <v>19780805</v>
      </c>
    </row>
    <row r="5715" s="1" customFormat="1" spans="1:13">
      <c r="A5715" s="2">
        <v>7338</v>
      </c>
      <c r="B5715" s="5" t="s">
        <v>13908</v>
      </c>
      <c r="C5715" s="5" t="s">
        <v>14308</v>
      </c>
      <c r="D5715" s="5" t="s">
        <v>14309</v>
      </c>
      <c r="E5715" s="5" t="s">
        <v>15</v>
      </c>
      <c r="F5715" s="5" t="s">
        <v>15</v>
      </c>
      <c r="G5715" s="14" t="s">
        <v>16</v>
      </c>
      <c r="H5715" s="17">
        <v>200</v>
      </c>
      <c r="I5715" s="17">
        <v>200</v>
      </c>
      <c r="J5715" s="5"/>
      <c r="K5715" s="10"/>
      <c r="L5715" s="10">
        <v>20201118</v>
      </c>
      <c r="M5715" s="36" t="str">
        <f t="shared" si="89"/>
        <v>19780811</v>
      </c>
    </row>
    <row r="5716" s="1" customFormat="1" spans="1:13">
      <c r="A5716" s="2">
        <v>1204</v>
      </c>
      <c r="B5716" s="5" t="s">
        <v>2469</v>
      </c>
      <c r="C5716" s="9" t="s">
        <v>2991</v>
      </c>
      <c r="D5716" s="9" t="s">
        <v>2992</v>
      </c>
      <c r="E5716" s="5">
        <v>2020</v>
      </c>
      <c r="F5716" s="5">
        <v>2020</v>
      </c>
      <c r="G5716" s="9" t="s">
        <v>2480</v>
      </c>
      <c r="H5716" s="9">
        <v>200</v>
      </c>
      <c r="I5716" s="9">
        <v>200</v>
      </c>
      <c r="J5716" s="5"/>
      <c r="K5716" s="5"/>
      <c r="L5716" s="10">
        <v>20201118</v>
      </c>
      <c r="M5716" s="36" t="str">
        <f t="shared" si="89"/>
        <v>19780812</v>
      </c>
    </row>
    <row r="5717" s="1" customFormat="1" spans="1:13">
      <c r="A5717" s="2">
        <v>1710</v>
      </c>
      <c r="B5717" s="5" t="s">
        <v>3381</v>
      </c>
      <c r="C5717" s="9" t="s">
        <v>3981</v>
      </c>
      <c r="D5717" s="9" t="s">
        <v>3982</v>
      </c>
      <c r="E5717" s="5">
        <v>2020</v>
      </c>
      <c r="F5717" s="5">
        <v>2020</v>
      </c>
      <c r="G5717" s="14" t="s">
        <v>16</v>
      </c>
      <c r="H5717" s="6">
        <v>200</v>
      </c>
      <c r="I5717" s="6">
        <v>200</v>
      </c>
      <c r="J5717" s="5"/>
      <c r="K5717" s="13"/>
      <c r="L5717" s="10">
        <v>20201118</v>
      </c>
      <c r="M5717" s="36" t="str">
        <f t="shared" si="89"/>
        <v>19780814</v>
      </c>
    </row>
    <row r="5718" s="1" customFormat="1" spans="1:13">
      <c r="A5718" s="2">
        <v>2314</v>
      </c>
      <c r="B5718" s="9" t="s">
        <v>4837</v>
      </c>
      <c r="C5718" s="9" t="s">
        <v>5168</v>
      </c>
      <c r="D5718" s="9" t="s">
        <v>5169</v>
      </c>
      <c r="E5718" s="6" t="s">
        <v>15</v>
      </c>
      <c r="F5718" s="6">
        <v>2020</v>
      </c>
      <c r="G5718" s="9" t="s">
        <v>2480</v>
      </c>
      <c r="H5718" s="9">
        <v>200</v>
      </c>
      <c r="I5718" s="9">
        <v>200</v>
      </c>
      <c r="J5718" s="6"/>
      <c r="K5718" s="10"/>
      <c r="L5718" s="10">
        <v>20201118</v>
      </c>
      <c r="M5718" s="36" t="str">
        <f t="shared" si="89"/>
        <v>19780815</v>
      </c>
    </row>
    <row r="5719" s="1" customFormat="1" spans="1:13">
      <c r="A5719" s="2">
        <v>6846</v>
      </c>
      <c r="B5719" s="5" t="s">
        <v>13533</v>
      </c>
      <c r="C5719" s="32" t="s">
        <v>2200</v>
      </c>
      <c r="D5719" s="32" t="str">
        <f>"152326197808176620"</f>
        <v>152326197808176620</v>
      </c>
      <c r="E5719" s="5">
        <v>2020</v>
      </c>
      <c r="F5719" s="5">
        <v>2020</v>
      </c>
      <c r="G5719" s="9" t="s">
        <v>2480</v>
      </c>
      <c r="H5719" s="32">
        <v>200</v>
      </c>
      <c r="I5719" s="32">
        <v>200</v>
      </c>
      <c r="J5719" s="32"/>
      <c r="K5719" s="10"/>
      <c r="L5719" s="10">
        <v>20201118</v>
      </c>
      <c r="M5719" s="36" t="str">
        <f t="shared" si="89"/>
        <v>19780817</v>
      </c>
    </row>
    <row r="5720" s="1" customFormat="1" spans="1:13">
      <c r="A5720" s="2">
        <v>833</v>
      </c>
      <c r="B5720" s="29" t="s">
        <v>1040</v>
      </c>
      <c r="C5720" s="29" t="s">
        <v>2148</v>
      </c>
      <c r="D5720" s="29" t="s">
        <v>2149</v>
      </c>
      <c r="E5720" s="30">
        <v>2020</v>
      </c>
      <c r="F5720" s="30">
        <v>2020</v>
      </c>
      <c r="G5720" s="29" t="s">
        <v>16</v>
      </c>
      <c r="H5720" s="29">
        <v>200</v>
      </c>
      <c r="I5720" s="29">
        <v>200</v>
      </c>
      <c r="J5720" s="32"/>
      <c r="K5720" s="32"/>
      <c r="L5720" s="2" t="s">
        <v>330</v>
      </c>
      <c r="M5720" s="36" t="str">
        <f t="shared" si="89"/>
        <v>19780818</v>
      </c>
    </row>
    <row r="5721" s="1" customFormat="1" spans="1:13">
      <c r="A5721" s="2">
        <v>7913</v>
      </c>
      <c r="B5721" s="5" t="s">
        <v>15086</v>
      </c>
      <c r="C5721" s="6" t="s">
        <v>15191</v>
      </c>
      <c r="D5721" s="6" t="str">
        <f>"152326197808196883"</f>
        <v>152326197808196883</v>
      </c>
      <c r="E5721" s="5" t="s">
        <v>15</v>
      </c>
      <c r="F5721" s="5">
        <v>2020</v>
      </c>
      <c r="G5721" s="5" t="s">
        <v>16</v>
      </c>
      <c r="H5721" s="5">
        <v>200</v>
      </c>
      <c r="I5721" s="5">
        <v>200</v>
      </c>
      <c r="J5721" s="5"/>
      <c r="K5721" s="5"/>
      <c r="L5721" s="10">
        <v>20201118</v>
      </c>
      <c r="M5721" s="36" t="str">
        <f t="shared" si="89"/>
        <v>19780819</v>
      </c>
    </row>
    <row r="5722" s="1" customFormat="1" ht="14.25" spans="1:13">
      <c r="A5722" s="2">
        <v>3033</v>
      </c>
      <c r="B5722" s="6" t="s">
        <v>6075</v>
      </c>
      <c r="C5722" s="25" t="s">
        <v>6589</v>
      </c>
      <c r="D5722" s="26" t="s">
        <v>6590</v>
      </c>
      <c r="E5722" s="5" t="s">
        <v>15</v>
      </c>
      <c r="F5722" s="5">
        <v>2020</v>
      </c>
      <c r="G5722" s="6" t="s">
        <v>16</v>
      </c>
      <c r="H5722" s="6">
        <v>200</v>
      </c>
      <c r="I5722" s="6">
        <v>200</v>
      </c>
      <c r="J5722" s="6" t="s">
        <v>108</v>
      </c>
      <c r="K5722" s="10"/>
      <c r="L5722" s="10">
        <v>20201118</v>
      </c>
      <c r="M5722" s="36" t="str">
        <f t="shared" si="89"/>
        <v>19780820</v>
      </c>
    </row>
    <row r="5723" s="1" customFormat="1" spans="1:13">
      <c r="A5723" s="2">
        <v>6847</v>
      </c>
      <c r="B5723" s="5" t="s">
        <v>13533</v>
      </c>
      <c r="C5723" s="32" t="s">
        <v>13598</v>
      </c>
      <c r="D5723" s="32" t="str">
        <f>"152326197808207116"</f>
        <v>152326197808207116</v>
      </c>
      <c r="E5723" s="5">
        <v>2020</v>
      </c>
      <c r="F5723" s="5">
        <v>2020</v>
      </c>
      <c r="G5723" s="9" t="s">
        <v>2480</v>
      </c>
      <c r="H5723" s="32">
        <v>200</v>
      </c>
      <c r="I5723" s="32">
        <v>200</v>
      </c>
      <c r="J5723" s="32"/>
      <c r="K5723" s="10"/>
      <c r="L5723" s="10">
        <v>20201118</v>
      </c>
      <c r="M5723" s="36" t="str">
        <f t="shared" si="89"/>
        <v>19780820</v>
      </c>
    </row>
    <row r="5724" s="1" customFormat="1" spans="1:13">
      <c r="A5724" s="2">
        <v>7381</v>
      </c>
      <c r="B5724" s="5" t="s">
        <v>13908</v>
      </c>
      <c r="C5724" s="5" t="s">
        <v>3054</v>
      </c>
      <c r="D5724" s="5" t="s">
        <v>14386</v>
      </c>
      <c r="E5724" s="5" t="s">
        <v>15</v>
      </c>
      <c r="F5724" s="5" t="s">
        <v>15</v>
      </c>
      <c r="G5724" s="14" t="s">
        <v>295</v>
      </c>
      <c r="H5724" s="17">
        <v>200</v>
      </c>
      <c r="I5724" s="17">
        <v>200</v>
      </c>
      <c r="J5724" s="5"/>
      <c r="K5724" s="10"/>
      <c r="L5724" s="10">
        <v>20201118</v>
      </c>
      <c r="M5724" s="36" t="str">
        <f t="shared" si="89"/>
        <v>19780821</v>
      </c>
    </row>
    <row r="5725" s="1" customFormat="1" spans="1:13">
      <c r="A5725" s="2">
        <v>7914</v>
      </c>
      <c r="B5725" s="5" t="s">
        <v>15086</v>
      </c>
      <c r="C5725" s="6" t="s">
        <v>15192</v>
      </c>
      <c r="D5725" s="6" t="str">
        <f>"152326197808226878"</f>
        <v>152326197808226878</v>
      </c>
      <c r="E5725" s="5" t="s">
        <v>15</v>
      </c>
      <c r="F5725" s="5">
        <v>2020</v>
      </c>
      <c r="G5725" s="5" t="s">
        <v>16</v>
      </c>
      <c r="H5725" s="5">
        <v>200</v>
      </c>
      <c r="I5725" s="5">
        <v>200</v>
      </c>
      <c r="J5725" s="5"/>
      <c r="K5725" s="5"/>
      <c r="L5725" s="10">
        <v>20201118</v>
      </c>
      <c r="M5725" s="36" t="str">
        <f t="shared" si="89"/>
        <v>19780822</v>
      </c>
    </row>
    <row r="5726" s="1" customFormat="1" spans="1:13">
      <c r="A5726" s="2">
        <v>5645</v>
      </c>
      <c r="B5726" s="30" t="s">
        <v>11090</v>
      </c>
      <c r="C5726" s="6" t="s">
        <v>11377</v>
      </c>
      <c r="D5726" s="86" t="s">
        <v>11378</v>
      </c>
      <c r="E5726" s="5" t="s">
        <v>15</v>
      </c>
      <c r="F5726" s="5" t="s">
        <v>10250</v>
      </c>
      <c r="G5726" s="6" t="s">
        <v>16</v>
      </c>
      <c r="H5726" s="32">
        <v>200</v>
      </c>
      <c r="I5726" s="32">
        <v>200</v>
      </c>
      <c r="J5726" s="6"/>
      <c r="K5726" s="48"/>
      <c r="L5726" s="10">
        <v>20201118</v>
      </c>
      <c r="M5726" s="36" t="str">
        <f t="shared" si="89"/>
        <v>19780824</v>
      </c>
    </row>
    <row r="5727" s="1" customFormat="1" spans="1:13">
      <c r="A5727" s="2">
        <v>4850</v>
      </c>
      <c r="B5727" s="6" t="s">
        <v>9015</v>
      </c>
      <c r="C5727" s="6" t="s">
        <v>9844</v>
      </c>
      <c r="D5727" s="293" t="s">
        <v>9845</v>
      </c>
      <c r="E5727" s="6">
        <v>2020</v>
      </c>
      <c r="F5727" s="6">
        <v>2020</v>
      </c>
      <c r="G5727" s="6" t="s">
        <v>16</v>
      </c>
      <c r="H5727" s="6">
        <v>200</v>
      </c>
      <c r="I5727" s="6">
        <v>200</v>
      </c>
      <c r="J5727" s="6"/>
      <c r="K5727" s="6"/>
      <c r="L5727" s="10">
        <v>20201118</v>
      </c>
      <c r="M5727" s="36" t="str">
        <f t="shared" si="89"/>
        <v>19780825</v>
      </c>
    </row>
    <row r="5728" s="1" customFormat="1" spans="1:13">
      <c r="A5728" s="2">
        <v>4968</v>
      </c>
      <c r="B5728" s="6" t="s">
        <v>9954</v>
      </c>
      <c r="C5728" s="68" t="s">
        <v>10076</v>
      </c>
      <c r="D5728" s="68" t="s">
        <v>10077</v>
      </c>
      <c r="E5728" s="5" t="s">
        <v>15</v>
      </c>
      <c r="F5728" s="5" t="s">
        <v>15</v>
      </c>
      <c r="G5728" s="14" t="s">
        <v>16</v>
      </c>
      <c r="H5728" s="6">
        <v>200</v>
      </c>
      <c r="I5728" s="6">
        <v>200</v>
      </c>
      <c r="J5728" s="6"/>
      <c r="K5728" s="6"/>
      <c r="L5728" s="10">
        <v>20201118</v>
      </c>
      <c r="M5728" s="36" t="str">
        <f t="shared" si="89"/>
        <v>19780825</v>
      </c>
    </row>
    <row r="5729" s="1" customFormat="1" spans="1:13">
      <c r="A5729" s="2">
        <v>4546</v>
      </c>
      <c r="B5729" s="6" t="s">
        <v>9015</v>
      </c>
      <c r="C5729" s="6" t="s">
        <v>9272</v>
      </c>
      <c r="D5729" s="6" t="s">
        <v>9273</v>
      </c>
      <c r="E5729" s="6">
        <v>2020</v>
      </c>
      <c r="F5729" s="6">
        <v>2020</v>
      </c>
      <c r="G5729" s="6" t="s">
        <v>16</v>
      </c>
      <c r="H5729" s="6">
        <v>200</v>
      </c>
      <c r="I5729" s="6">
        <v>200</v>
      </c>
      <c r="J5729" s="6"/>
      <c r="K5729" s="6"/>
      <c r="L5729" s="10">
        <v>20201118</v>
      </c>
      <c r="M5729" s="36" t="str">
        <f t="shared" si="89"/>
        <v>19780827</v>
      </c>
    </row>
    <row r="5730" s="1" customFormat="1" spans="1:13">
      <c r="A5730" s="2">
        <v>7370</v>
      </c>
      <c r="B5730" s="5" t="s">
        <v>13908</v>
      </c>
      <c r="C5730" s="5" t="s">
        <v>14366</v>
      </c>
      <c r="D5730" s="5" t="s">
        <v>14367</v>
      </c>
      <c r="E5730" s="5" t="s">
        <v>15</v>
      </c>
      <c r="F5730" s="5" t="s">
        <v>15</v>
      </c>
      <c r="G5730" s="14" t="s">
        <v>16</v>
      </c>
      <c r="H5730" s="17">
        <v>200</v>
      </c>
      <c r="I5730" s="17">
        <v>200</v>
      </c>
      <c r="J5730" s="5"/>
      <c r="K5730" s="10"/>
      <c r="L5730" s="10">
        <v>20201118</v>
      </c>
      <c r="M5730" s="36" t="str">
        <f t="shared" si="89"/>
        <v>19780828</v>
      </c>
    </row>
    <row r="5731" s="1" customFormat="1" spans="1:13">
      <c r="A5731" s="2">
        <v>5758</v>
      </c>
      <c r="B5731" s="30" t="s">
        <v>11090</v>
      </c>
      <c r="C5731" s="30" t="s">
        <v>11597</v>
      </c>
      <c r="D5731" s="30" t="s">
        <v>11598</v>
      </c>
      <c r="E5731" s="5" t="s">
        <v>15</v>
      </c>
      <c r="F5731" s="5" t="s">
        <v>10250</v>
      </c>
      <c r="G5731" s="6" t="s">
        <v>16</v>
      </c>
      <c r="H5731" s="32">
        <v>200</v>
      </c>
      <c r="I5731" s="32">
        <v>200</v>
      </c>
      <c r="J5731" s="6"/>
      <c r="K5731" s="48"/>
      <c r="L5731" s="10">
        <v>20201118</v>
      </c>
      <c r="M5731" s="36" t="str">
        <f t="shared" si="89"/>
        <v>19780829</v>
      </c>
    </row>
    <row r="5732" s="1" customFormat="1" spans="1:13">
      <c r="A5732" s="2">
        <v>1711</v>
      </c>
      <c r="B5732" s="5" t="s">
        <v>3381</v>
      </c>
      <c r="C5732" s="9" t="s">
        <v>3983</v>
      </c>
      <c r="D5732" s="9" t="s">
        <v>3984</v>
      </c>
      <c r="E5732" s="5">
        <v>2020</v>
      </c>
      <c r="F5732" s="5">
        <v>2020</v>
      </c>
      <c r="G5732" s="14" t="s">
        <v>16</v>
      </c>
      <c r="H5732" s="6">
        <v>200</v>
      </c>
      <c r="I5732" s="6">
        <v>200</v>
      </c>
      <c r="J5732" s="5"/>
      <c r="K5732" s="13"/>
      <c r="L5732" s="10">
        <v>20201118</v>
      </c>
      <c r="M5732" s="36" t="str">
        <f t="shared" si="89"/>
        <v>19780902</v>
      </c>
    </row>
    <row r="5733" s="1" customFormat="1" spans="1:13">
      <c r="A5733" s="2">
        <v>2778</v>
      </c>
      <c r="B5733" s="6" t="s">
        <v>6075</v>
      </c>
      <c r="C5733" s="63" t="s">
        <v>6086</v>
      </c>
      <c r="D5733" s="63" t="s">
        <v>6087</v>
      </c>
      <c r="E5733" s="5" t="s">
        <v>15</v>
      </c>
      <c r="F5733" s="5">
        <v>2020</v>
      </c>
      <c r="G5733" s="6" t="s">
        <v>16</v>
      </c>
      <c r="H5733" s="6">
        <v>200</v>
      </c>
      <c r="I5733" s="6">
        <v>200</v>
      </c>
      <c r="J5733" s="6" t="s">
        <v>108</v>
      </c>
      <c r="K5733" s="10"/>
      <c r="L5733" s="10">
        <v>20201118</v>
      </c>
      <c r="M5733" s="36" t="str">
        <f t="shared" si="89"/>
        <v>19780902</v>
      </c>
    </row>
    <row r="5734" s="1" customFormat="1" spans="1:13">
      <c r="A5734" s="2">
        <v>6191</v>
      </c>
      <c r="B5734" s="5" t="s">
        <v>12263</v>
      </c>
      <c r="C5734" s="5" t="s">
        <v>12411</v>
      </c>
      <c r="D5734" s="5" t="s">
        <v>12412</v>
      </c>
      <c r="E5734" s="5" t="s">
        <v>10250</v>
      </c>
      <c r="F5734" s="5">
        <v>2020</v>
      </c>
      <c r="G5734" s="17" t="s">
        <v>3359</v>
      </c>
      <c r="H5734" s="5">
        <v>200</v>
      </c>
      <c r="I5734" s="5">
        <v>200</v>
      </c>
      <c r="J5734" s="5"/>
      <c r="K5734" s="5"/>
      <c r="L5734" s="10">
        <v>20201118</v>
      </c>
      <c r="M5734" s="36" t="str">
        <f t="shared" si="89"/>
        <v>19780902</v>
      </c>
    </row>
    <row r="5735" s="1" customFormat="1" spans="1:13">
      <c r="A5735" s="2">
        <v>6851</v>
      </c>
      <c r="B5735" s="5" t="s">
        <v>13533</v>
      </c>
      <c r="C5735" s="32" t="s">
        <v>13601</v>
      </c>
      <c r="D5735" s="32" t="str">
        <f>"152326197809027125"</f>
        <v>152326197809027125</v>
      </c>
      <c r="E5735" s="5">
        <v>2020</v>
      </c>
      <c r="F5735" s="5">
        <v>2020</v>
      </c>
      <c r="G5735" s="9" t="s">
        <v>2480</v>
      </c>
      <c r="H5735" s="32">
        <v>200</v>
      </c>
      <c r="I5735" s="32">
        <v>200</v>
      </c>
      <c r="J5735" s="62"/>
      <c r="K5735" s="10"/>
      <c r="L5735" s="10">
        <v>20201118</v>
      </c>
      <c r="M5735" s="36" t="str">
        <f t="shared" si="89"/>
        <v>19780902</v>
      </c>
    </row>
    <row r="5736" s="1" customFormat="1" spans="1:13">
      <c r="A5736" s="2">
        <v>1712</v>
      </c>
      <c r="B5736" s="5" t="s">
        <v>3381</v>
      </c>
      <c r="C5736" s="9" t="s">
        <v>3985</v>
      </c>
      <c r="D5736" s="9" t="s">
        <v>3986</v>
      </c>
      <c r="E5736" s="5">
        <v>2020</v>
      </c>
      <c r="F5736" s="5">
        <v>2020</v>
      </c>
      <c r="G5736" s="14" t="s">
        <v>16</v>
      </c>
      <c r="H5736" s="6">
        <v>200</v>
      </c>
      <c r="I5736" s="6">
        <v>200</v>
      </c>
      <c r="J5736" s="5"/>
      <c r="K5736" s="13"/>
      <c r="L5736" s="10">
        <v>20201118</v>
      </c>
      <c r="M5736" s="36" t="str">
        <f t="shared" si="89"/>
        <v>19780904</v>
      </c>
    </row>
    <row r="5737" s="1" customFormat="1" spans="1:13">
      <c r="A5737" s="2">
        <v>3984</v>
      </c>
      <c r="B5737" s="5" t="s">
        <v>7412</v>
      </c>
      <c r="C5737" s="5" t="s">
        <v>8189</v>
      </c>
      <c r="D5737" s="5" t="s">
        <v>8190</v>
      </c>
      <c r="E5737" s="6">
        <v>2020</v>
      </c>
      <c r="F5737" s="6">
        <v>2020</v>
      </c>
      <c r="G5737" s="5" t="s">
        <v>3359</v>
      </c>
      <c r="H5737" s="5">
        <v>200</v>
      </c>
      <c r="I5737" s="5">
        <v>200</v>
      </c>
      <c r="J5737" s="5"/>
      <c r="K5737" s="5"/>
      <c r="L5737" s="10">
        <v>20201118</v>
      </c>
      <c r="M5737" s="36" t="str">
        <f t="shared" si="89"/>
        <v>19780904</v>
      </c>
    </row>
    <row r="5738" s="1" customFormat="1" ht="14.25" spans="1:13">
      <c r="A5738" s="2">
        <v>2870</v>
      </c>
      <c r="B5738" s="6" t="s">
        <v>6075</v>
      </c>
      <c r="C5738" s="25" t="s">
        <v>6269</v>
      </c>
      <c r="D5738" s="26" t="s">
        <v>6270</v>
      </c>
      <c r="E5738" s="5" t="s">
        <v>15</v>
      </c>
      <c r="F5738" s="5">
        <v>2020</v>
      </c>
      <c r="G5738" s="6" t="s">
        <v>16</v>
      </c>
      <c r="H5738" s="6">
        <v>200</v>
      </c>
      <c r="I5738" s="6">
        <v>200</v>
      </c>
      <c r="J5738" s="6"/>
      <c r="K5738" s="10"/>
      <c r="L5738" s="10">
        <v>20201118</v>
      </c>
      <c r="M5738" s="36" t="str">
        <f t="shared" si="89"/>
        <v>19780905</v>
      </c>
    </row>
    <row r="5739" s="1" customFormat="1" spans="1:13">
      <c r="A5739" s="2">
        <v>5691</v>
      </c>
      <c r="B5739" s="30" t="s">
        <v>11090</v>
      </c>
      <c r="C5739" s="30" t="s">
        <v>11467</v>
      </c>
      <c r="D5739" s="30" t="s">
        <v>11468</v>
      </c>
      <c r="E5739" s="5" t="s">
        <v>15</v>
      </c>
      <c r="F5739" s="5" t="s">
        <v>10250</v>
      </c>
      <c r="G5739" s="6" t="s">
        <v>16</v>
      </c>
      <c r="H5739" s="32">
        <v>200</v>
      </c>
      <c r="I5739" s="32">
        <v>200</v>
      </c>
      <c r="J5739" s="6"/>
      <c r="K5739" s="48"/>
      <c r="L5739" s="10">
        <v>20201118</v>
      </c>
      <c r="M5739" s="36" t="str">
        <f t="shared" si="89"/>
        <v>19780905</v>
      </c>
    </row>
    <row r="5740" s="1" customFormat="1" spans="1:13">
      <c r="A5740" s="2">
        <v>6843</v>
      </c>
      <c r="B5740" s="5" t="s">
        <v>13533</v>
      </c>
      <c r="C5740" s="32" t="s">
        <v>13594</v>
      </c>
      <c r="D5740" s="32" t="str">
        <f>"152326197809057121"</f>
        <v>152326197809057121</v>
      </c>
      <c r="E5740" s="5">
        <v>2020</v>
      </c>
      <c r="F5740" s="5">
        <v>2020</v>
      </c>
      <c r="G5740" s="9" t="s">
        <v>2480</v>
      </c>
      <c r="H5740" s="32">
        <v>200</v>
      </c>
      <c r="I5740" s="32">
        <v>200</v>
      </c>
      <c r="J5740" s="62"/>
      <c r="K5740" s="10"/>
      <c r="L5740" s="10">
        <v>20201118</v>
      </c>
      <c r="M5740" s="36" t="str">
        <f t="shared" si="89"/>
        <v>19780905</v>
      </c>
    </row>
    <row r="5741" s="1" customFormat="1" spans="1:13">
      <c r="A5741" s="2">
        <v>2315</v>
      </c>
      <c r="B5741" s="9" t="s">
        <v>4837</v>
      </c>
      <c r="C5741" s="9" t="s">
        <v>5170</v>
      </c>
      <c r="D5741" s="9" t="s">
        <v>5171</v>
      </c>
      <c r="E5741" s="6" t="s">
        <v>15</v>
      </c>
      <c r="F5741" s="6">
        <v>2020</v>
      </c>
      <c r="G5741" s="9" t="s">
        <v>2480</v>
      </c>
      <c r="H5741" s="9">
        <v>200</v>
      </c>
      <c r="I5741" s="9">
        <v>200</v>
      </c>
      <c r="J5741" s="6"/>
      <c r="K5741" s="10"/>
      <c r="L5741" s="10">
        <v>20201118</v>
      </c>
      <c r="M5741" s="36" t="str">
        <f t="shared" si="89"/>
        <v>19780906</v>
      </c>
    </row>
    <row r="5742" s="1" customFormat="1" ht="14.25" spans="1:13">
      <c r="A5742" s="2">
        <v>2969</v>
      </c>
      <c r="B5742" s="6" t="s">
        <v>6075</v>
      </c>
      <c r="C5742" s="25" t="s">
        <v>6463</v>
      </c>
      <c r="D5742" s="26" t="s">
        <v>6464</v>
      </c>
      <c r="E5742" s="5" t="s">
        <v>15</v>
      </c>
      <c r="F5742" s="5">
        <v>2020</v>
      </c>
      <c r="G5742" s="6" t="s">
        <v>16</v>
      </c>
      <c r="H5742" s="6">
        <v>200</v>
      </c>
      <c r="I5742" s="6">
        <v>200</v>
      </c>
      <c r="J5742" s="6"/>
      <c r="K5742" s="10"/>
      <c r="L5742" s="10">
        <v>20201118</v>
      </c>
      <c r="M5742" s="36" t="str">
        <f t="shared" si="89"/>
        <v>19780908</v>
      </c>
    </row>
    <row r="5743" s="1" customFormat="1" spans="1:13">
      <c r="A5743" s="2">
        <v>4151</v>
      </c>
      <c r="B5743" s="5" t="s">
        <v>7412</v>
      </c>
      <c r="C5743" s="5" t="s">
        <v>3206</v>
      </c>
      <c r="D5743" s="296" t="s">
        <v>8508</v>
      </c>
      <c r="E5743" s="6">
        <v>2020</v>
      </c>
      <c r="F5743" s="6">
        <v>2020</v>
      </c>
      <c r="G5743" s="5" t="s">
        <v>189</v>
      </c>
      <c r="H5743" s="5">
        <v>500</v>
      </c>
      <c r="I5743" s="5">
        <v>500</v>
      </c>
      <c r="J5743" s="5"/>
      <c r="K5743" s="5"/>
      <c r="L5743" s="10">
        <v>20201118</v>
      </c>
      <c r="M5743" s="36" t="str">
        <f t="shared" si="89"/>
        <v>19780908</v>
      </c>
    </row>
    <row r="5744" s="1" customFormat="1" spans="1:13">
      <c r="A5744" s="2">
        <v>6715</v>
      </c>
      <c r="B5744" s="5" t="s">
        <v>13027</v>
      </c>
      <c r="C5744" s="15" t="s">
        <v>13402</v>
      </c>
      <c r="D5744" s="15" t="s">
        <v>13403</v>
      </c>
      <c r="E5744" s="5">
        <v>2020</v>
      </c>
      <c r="F5744" s="5">
        <v>2020</v>
      </c>
      <c r="G5744" s="14" t="s">
        <v>16</v>
      </c>
      <c r="H5744" s="15">
        <v>200</v>
      </c>
      <c r="I5744" s="15">
        <v>200</v>
      </c>
      <c r="J5744" s="5"/>
      <c r="K5744" s="10"/>
      <c r="L5744" s="10">
        <v>20201118</v>
      </c>
      <c r="M5744" s="36" t="str">
        <f t="shared" si="89"/>
        <v>19780908</v>
      </c>
    </row>
    <row r="5745" s="1" customFormat="1" ht="14.25" spans="1:13">
      <c r="A5745" s="2">
        <v>7671</v>
      </c>
      <c r="B5745" s="5" t="s">
        <v>14875</v>
      </c>
      <c r="C5745" s="51" t="s">
        <v>3060</v>
      </c>
      <c r="D5745" s="24" t="str">
        <f>"152326197809097123"</f>
        <v>152326197809097123</v>
      </c>
      <c r="E5745" s="6" t="s">
        <v>15</v>
      </c>
      <c r="F5745" s="6">
        <v>2020</v>
      </c>
      <c r="G5745" s="24" t="s">
        <v>14877</v>
      </c>
      <c r="H5745" s="6">
        <v>200</v>
      </c>
      <c r="I5745" s="6">
        <v>200</v>
      </c>
      <c r="J5745" s="6"/>
      <c r="K5745" s="10"/>
      <c r="L5745" s="10">
        <v>20201118</v>
      </c>
      <c r="M5745" s="36" t="str">
        <f t="shared" si="89"/>
        <v>19780909</v>
      </c>
    </row>
    <row r="5746" s="1" customFormat="1" spans="1:13">
      <c r="A5746" s="2">
        <v>2488</v>
      </c>
      <c r="B5746" s="5" t="s">
        <v>5328</v>
      </c>
      <c r="C5746" s="16" t="s">
        <v>5511</v>
      </c>
      <c r="D5746" s="16" t="s">
        <v>5512</v>
      </c>
      <c r="E5746" s="5" t="s">
        <v>15</v>
      </c>
      <c r="F5746" s="5" t="s">
        <v>15</v>
      </c>
      <c r="G5746" s="14" t="s">
        <v>16</v>
      </c>
      <c r="H5746" s="6">
        <v>200</v>
      </c>
      <c r="I5746" s="6">
        <v>200</v>
      </c>
      <c r="J5746" s="5"/>
      <c r="K5746" s="5"/>
      <c r="L5746" s="10">
        <v>20201118</v>
      </c>
      <c r="M5746" s="36" t="str">
        <f t="shared" si="89"/>
        <v>19780910</v>
      </c>
    </row>
    <row r="5747" s="1" customFormat="1" ht="14.25" spans="1:13">
      <c r="A5747" s="2">
        <v>3003</v>
      </c>
      <c r="B5747" s="6" t="s">
        <v>6075</v>
      </c>
      <c r="C5747" s="25" t="s">
        <v>6531</v>
      </c>
      <c r="D5747" s="26" t="s">
        <v>6532</v>
      </c>
      <c r="E5747" s="5" t="s">
        <v>15</v>
      </c>
      <c r="F5747" s="5">
        <v>2020</v>
      </c>
      <c r="G5747" s="6" t="s">
        <v>16</v>
      </c>
      <c r="H5747" s="6">
        <v>200</v>
      </c>
      <c r="I5747" s="6">
        <v>200</v>
      </c>
      <c r="J5747" s="6" t="s">
        <v>6097</v>
      </c>
      <c r="K5747" s="10"/>
      <c r="L5747" s="10">
        <v>20201118</v>
      </c>
      <c r="M5747" s="36" t="str">
        <f t="shared" si="89"/>
        <v>19780910</v>
      </c>
    </row>
    <row r="5748" s="1" customFormat="1" ht="14.25" spans="1:13">
      <c r="A5748" s="2">
        <v>2977</v>
      </c>
      <c r="B5748" s="6" t="s">
        <v>6075</v>
      </c>
      <c r="C5748" s="25" t="s">
        <v>6479</v>
      </c>
      <c r="D5748" s="26" t="s">
        <v>6480</v>
      </c>
      <c r="E5748" s="5" t="s">
        <v>15</v>
      </c>
      <c r="F5748" s="5">
        <v>2020</v>
      </c>
      <c r="G5748" s="6" t="s">
        <v>16</v>
      </c>
      <c r="H5748" s="6">
        <v>200</v>
      </c>
      <c r="I5748" s="6">
        <v>200</v>
      </c>
      <c r="J5748" s="6"/>
      <c r="K5748" s="10"/>
      <c r="L5748" s="10">
        <v>20201118</v>
      </c>
      <c r="M5748" s="36" t="str">
        <f t="shared" si="89"/>
        <v>19780911</v>
      </c>
    </row>
    <row r="5749" s="1" customFormat="1" spans="1:13">
      <c r="A5749" s="2">
        <v>4342</v>
      </c>
      <c r="B5749" s="9" t="s">
        <v>8515</v>
      </c>
      <c r="C5749" s="9" t="s">
        <v>8875</v>
      </c>
      <c r="D5749" s="9" t="s">
        <v>8876</v>
      </c>
      <c r="E5749" s="5" t="s">
        <v>15</v>
      </c>
      <c r="F5749" s="5">
        <v>2020</v>
      </c>
      <c r="G5749" s="9" t="s">
        <v>2480</v>
      </c>
      <c r="H5749" s="9">
        <v>200</v>
      </c>
      <c r="I5749" s="9">
        <v>200</v>
      </c>
      <c r="J5749" s="9"/>
      <c r="K5749" s="9"/>
      <c r="L5749" s="10">
        <v>20201118</v>
      </c>
      <c r="M5749" s="36" t="str">
        <f t="shared" si="89"/>
        <v>19780911</v>
      </c>
    </row>
    <row r="5750" s="1" customFormat="1" spans="1:13">
      <c r="A5750" s="2">
        <v>5154</v>
      </c>
      <c r="B5750" s="6" t="s">
        <v>10242</v>
      </c>
      <c r="C5750" s="9" t="s">
        <v>10434</v>
      </c>
      <c r="D5750" s="9" t="s">
        <v>10435</v>
      </c>
      <c r="E5750" s="5" t="s">
        <v>10250</v>
      </c>
      <c r="F5750" s="5">
        <v>2020</v>
      </c>
      <c r="G5750" s="6" t="s">
        <v>16</v>
      </c>
      <c r="H5750" s="6">
        <v>200</v>
      </c>
      <c r="I5750" s="6">
        <v>200</v>
      </c>
      <c r="J5750" s="6"/>
      <c r="K5750" s="5"/>
      <c r="L5750" s="10">
        <v>20201118</v>
      </c>
      <c r="M5750" s="36" t="str">
        <f t="shared" si="89"/>
        <v>19780913</v>
      </c>
    </row>
    <row r="5751" s="1" customFormat="1" spans="1:13">
      <c r="A5751" s="2">
        <v>4578</v>
      </c>
      <c r="B5751" s="6" t="s">
        <v>9015</v>
      </c>
      <c r="C5751" s="6" t="s">
        <v>9333</v>
      </c>
      <c r="D5751" s="6" t="s">
        <v>9334</v>
      </c>
      <c r="E5751" s="6">
        <v>2020</v>
      </c>
      <c r="F5751" s="6">
        <v>2020</v>
      </c>
      <c r="G5751" s="6" t="s">
        <v>16</v>
      </c>
      <c r="H5751" s="6">
        <v>200</v>
      </c>
      <c r="I5751" s="6">
        <v>200</v>
      </c>
      <c r="J5751" s="6"/>
      <c r="K5751" s="6"/>
      <c r="L5751" s="10">
        <v>20201118</v>
      </c>
      <c r="M5751" s="36" t="str">
        <f t="shared" si="89"/>
        <v>19780914</v>
      </c>
    </row>
    <row r="5752" s="1" customFormat="1" spans="1:13">
      <c r="A5752" s="2">
        <v>2688</v>
      </c>
      <c r="B5752" s="32" t="s">
        <v>5602</v>
      </c>
      <c r="C5752" s="9" t="s">
        <v>5909</v>
      </c>
      <c r="D5752" s="9" t="s">
        <v>5910</v>
      </c>
      <c r="E5752" s="32">
        <v>2020</v>
      </c>
      <c r="F5752" s="32">
        <v>2020</v>
      </c>
      <c r="G5752" s="32" t="s">
        <v>16</v>
      </c>
      <c r="H5752" s="9">
        <v>200</v>
      </c>
      <c r="I5752" s="9">
        <v>200</v>
      </c>
      <c r="J5752" s="32"/>
      <c r="K5752" s="52"/>
      <c r="L5752" s="10">
        <v>20201118</v>
      </c>
      <c r="M5752" s="36" t="str">
        <f t="shared" si="89"/>
        <v>19780916</v>
      </c>
    </row>
    <row r="5753" s="1" customFormat="1" spans="1:13">
      <c r="A5753" s="2">
        <v>4343</v>
      </c>
      <c r="B5753" s="9" t="s">
        <v>8515</v>
      </c>
      <c r="C5753" s="9" t="s">
        <v>8877</v>
      </c>
      <c r="D5753" s="9" t="s">
        <v>8878</v>
      </c>
      <c r="E5753" s="5" t="s">
        <v>15</v>
      </c>
      <c r="F5753" s="5">
        <v>2020</v>
      </c>
      <c r="G5753" s="9" t="s">
        <v>2480</v>
      </c>
      <c r="H5753" s="9">
        <v>200</v>
      </c>
      <c r="I5753" s="9">
        <v>200</v>
      </c>
      <c r="J5753" s="9"/>
      <c r="K5753" s="9"/>
      <c r="L5753" s="10">
        <v>20201118</v>
      </c>
      <c r="M5753" s="36" t="str">
        <f t="shared" si="89"/>
        <v>19780916</v>
      </c>
    </row>
    <row r="5754" s="1" customFormat="1" spans="1:13">
      <c r="A5754" s="2">
        <v>7487</v>
      </c>
      <c r="B5754" s="5" t="s">
        <v>14402</v>
      </c>
      <c r="C5754" s="5" t="s">
        <v>12369</v>
      </c>
      <c r="D5754" s="5" t="s">
        <v>14589</v>
      </c>
      <c r="E5754" s="5">
        <v>2020</v>
      </c>
      <c r="F5754" s="5">
        <v>2020</v>
      </c>
      <c r="G5754" s="17" t="s">
        <v>16</v>
      </c>
      <c r="H5754" s="5">
        <v>200</v>
      </c>
      <c r="I5754" s="5">
        <v>200</v>
      </c>
      <c r="J5754" s="5"/>
      <c r="K5754" s="10"/>
      <c r="L5754" s="10">
        <v>20201118</v>
      </c>
      <c r="M5754" s="36" t="str">
        <f t="shared" si="89"/>
        <v>19780917</v>
      </c>
    </row>
    <row r="5755" s="1" customFormat="1" spans="1:13">
      <c r="A5755" s="2">
        <v>6716</v>
      </c>
      <c r="B5755" s="5" t="s">
        <v>13027</v>
      </c>
      <c r="C5755" s="15" t="s">
        <v>13404</v>
      </c>
      <c r="D5755" s="15" t="s">
        <v>13405</v>
      </c>
      <c r="E5755" s="5">
        <v>2020</v>
      </c>
      <c r="F5755" s="5">
        <v>2020</v>
      </c>
      <c r="G5755" s="14" t="s">
        <v>16</v>
      </c>
      <c r="H5755" s="15">
        <v>200</v>
      </c>
      <c r="I5755" s="15">
        <v>200</v>
      </c>
      <c r="J5755" s="5"/>
      <c r="K5755" s="10"/>
      <c r="L5755" s="10">
        <v>20201118</v>
      </c>
      <c r="M5755" s="36" t="str">
        <f t="shared" si="89"/>
        <v>19780918</v>
      </c>
    </row>
    <row r="5756" s="1" customFormat="1" spans="1:13">
      <c r="A5756" s="2">
        <v>441</v>
      </c>
      <c r="B5756" s="29" t="s">
        <v>1040</v>
      </c>
      <c r="C5756" s="29" t="s">
        <v>1158</v>
      </c>
      <c r="D5756" s="29" t="s">
        <v>1159</v>
      </c>
      <c r="E5756" s="30">
        <v>2020</v>
      </c>
      <c r="F5756" s="30">
        <v>2020</v>
      </c>
      <c r="G5756" s="29" t="s">
        <v>16</v>
      </c>
      <c r="H5756" s="29">
        <v>200</v>
      </c>
      <c r="I5756" s="29">
        <v>200</v>
      </c>
      <c r="J5756" s="29"/>
      <c r="K5756" s="47"/>
      <c r="L5756" s="14" t="s">
        <v>330</v>
      </c>
      <c r="M5756" s="36" t="str">
        <f t="shared" si="89"/>
        <v>19780920</v>
      </c>
    </row>
    <row r="5757" s="1" customFormat="1" ht="14.25" spans="1:13">
      <c r="A5757" s="2">
        <v>7811</v>
      </c>
      <c r="B5757" s="5" t="s">
        <v>14875</v>
      </c>
      <c r="C5757" s="6" t="s">
        <v>15064</v>
      </c>
      <c r="D5757" s="12" t="s">
        <v>15065</v>
      </c>
      <c r="E5757" s="6" t="s">
        <v>15</v>
      </c>
      <c r="F5757" s="6">
        <v>2020</v>
      </c>
      <c r="G5757" s="24" t="s">
        <v>14877</v>
      </c>
      <c r="H5757" s="6">
        <v>200</v>
      </c>
      <c r="I5757" s="6">
        <v>200</v>
      </c>
      <c r="J5757" s="6" t="s">
        <v>5331</v>
      </c>
      <c r="K5757" s="10"/>
      <c r="L5757" s="10">
        <v>20201118</v>
      </c>
      <c r="M5757" s="36" t="str">
        <f t="shared" si="89"/>
        <v>19780923</v>
      </c>
    </row>
    <row r="5758" s="1" customFormat="1" spans="1:13">
      <c r="A5758" s="2">
        <v>1205</v>
      </c>
      <c r="B5758" s="5" t="s">
        <v>2469</v>
      </c>
      <c r="C5758" s="9" t="s">
        <v>2993</v>
      </c>
      <c r="D5758" s="9" t="s">
        <v>2994</v>
      </c>
      <c r="E5758" s="5">
        <v>2020</v>
      </c>
      <c r="F5758" s="5">
        <v>2020</v>
      </c>
      <c r="G5758" s="9" t="s">
        <v>2480</v>
      </c>
      <c r="H5758" s="9">
        <v>200</v>
      </c>
      <c r="I5758" s="9">
        <v>200</v>
      </c>
      <c r="J5758" s="5"/>
      <c r="K5758" s="5"/>
      <c r="L5758" s="10">
        <v>20201118</v>
      </c>
      <c r="M5758" s="36" t="str">
        <f t="shared" si="89"/>
        <v>19780926</v>
      </c>
    </row>
    <row r="5759" s="1" customFormat="1" spans="1:13">
      <c r="A5759" s="2">
        <v>1396</v>
      </c>
      <c r="B5759" s="5" t="s">
        <v>2469</v>
      </c>
      <c r="C5759" s="9" t="s">
        <v>3353</v>
      </c>
      <c r="D5759" s="287" t="s">
        <v>3354</v>
      </c>
      <c r="E5759" s="5">
        <v>2020</v>
      </c>
      <c r="F5759" s="5">
        <v>2020</v>
      </c>
      <c r="G5759" s="9" t="s">
        <v>295</v>
      </c>
      <c r="H5759" s="9">
        <v>200</v>
      </c>
      <c r="I5759" s="9">
        <v>200</v>
      </c>
      <c r="J5759" s="5"/>
      <c r="K5759" s="5"/>
      <c r="L5759" s="10">
        <v>20201118</v>
      </c>
      <c r="M5759" s="36" t="str">
        <f t="shared" si="89"/>
        <v>19780926</v>
      </c>
    </row>
    <row r="5760" s="1" customFormat="1" spans="1:13">
      <c r="A5760" s="2">
        <v>4706</v>
      </c>
      <c r="B5760" s="6" t="s">
        <v>9015</v>
      </c>
      <c r="C5760" s="6" t="s">
        <v>9572</v>
      </c>
      <c r="D5760" s="6" t="s">
        <v>9573</v>
      </c>
      <c r="E5760" s="6">
        <v>2020</v>
      </c>
      <c r="F5760" s="6">
        <v>2020</v>
      </c>
      <c r="G5760" s="6" t="s">
        <v>16</v>
      </c>
      <c r="H5760" s="6">
        <v>200</v>
      </c>
      <c r="I5760" s="6">
        <v>200</v>
      </c>
      <c r="J5760" s="6"/>
      <c r="K5760" s="6"/>
      <c r="L5760" s="10">
        <v>20201118</v>
      </c>
      <c r="M5760" s="36" t="str">
        <f t="shared" si="89"/>
        <v>19780926</v>
      </c>
    </row>
    <row r="5761" s="1" customFormat="1" spans="1:13">
      <c r="A5761" s="2">
        <v>6850</v>
      </c>
      <c r="B5761" s="5" t="s">
        <v>13533</v>
      </c>
      <c r="C5761" s="32" t="s">
        <v>8442</v>
      </c>
      <c r="D5761" s="32" t="str">
        <f>"152326197809267188"</f>
        <v>152326197809267188</v>
      </c>
      <c r="E5761" s="5">
        <v>2020</v>
      </c>
      <c r="F5761" s="5">
        <v>2020</v>
      </c>
      <c r="G5761" s="9" t="s">
        <v>2480</v>
      </c>
      <c r="H5761" s="32">
        <v>200</v>
      </c>
      <c r="I5761" s="32">
        <v>200</v>
      </c>
      <c r="J5761" s="32"/>
      <c r="K5761" s="10"/>
      <c r="L5761" s="10">
        <v>20201118</v>
      </c>
      <c r="M5761" s="36" t="str">
        <f t="shared" si="89"/>
        <v>19780926</v>
      </c>
    </row>
    <row r="5762" s="1" customFormat="1" ht="14.25" spans="1:13">
      <c r="A5762" s="2">
        <v>1714</v>
      </c>
      <c r="B5762" s="5" t="s">
        <v>3381</v>
      </c>
      <c r="C5762" s="9" t="s">
        <v>3989</v>
      </c>
      <c r="D5762" s="9" t="s">
        <v>3990</v>
      </c>
      <c r="E5762" s="5">
        <v>2020</v>
      </c>
      <c r="F5762" s="5">
        <v>2020</v>
      </c>
      <c r="G5762" s="14" t="s">
        <v>16</v>
      </c>
      <c r="H5762" s="6">
        <v>200</v>
      </c>
      <c r="I5762" s="6">
        <v>200</v>
      </c>
      <c r="J5762" s="24" t="s">
        <v>1242</v>
      </c>
      <c r="K5762" s="13"/>
      <c r="L5762" s="10">
        <v>20201118</v>
      </c>
      <c r="M5762" s="36" t="str">
        <f t="shared" ref="M5762:M5825" si="90">MID(D5762,7,8)</f>
        <v>19780927</v>
      </c>
    </row>
    <row r="5763" s="1" customFormat="1" spans="1:13">
      <c r="A5763" s="2">
        <v>1715</v>
      </c>
      <c r="B5763" s="5" t="s">
        <v>3381</v>
      </c>
      <c r="C5763" s="9" t="s">
        <v>3991</v>
      </c>
      <c r="D5763" s="9" t="s">
        <v>3992</v>
      </c>
      <c r="E5763" s="5">
        <v>2020</v>
      </c>
      <c r="F5763" s="5">
        <v>2020</v>
      </c>
      <c r="G5763" s="14" t="s">
        <v>16</v>
      </c>
      <c r="H5763" s="6">
        <v>200</v>
      </c>
      <c r="I5763" s="6">
        <v>200</v>
      </c>
      <c r="J5763" s="5"/>
      <c r="K5763" s="13"/>
      <c r="L5763" s="10">
        <v>20201118</v>
      </c>
      <c r="M5763" s="36" t="str">
        <f t="shared" si="90"/>
        <v>19780928</v>
      </c>
    </row>
    <row r="5764" s="1" customFormat="1" spans="1:13">
      <c r="A5764" s="2">
        <v>5040</v>
      </c>
      <c r="B5764" s="6" t="s">
        <v>9954</v>
      </c>
      <c r="C5764" s="3" t="s">
        <v>10213</v>
      </c>
      <c r="D5764" s="3" t="s">
        <v>10214</v>
      </c>
      <c r="E5764" s="5" t="s">
        <v>15</v>
      </c>
      <c r="F5764" s="5" t="s">
        <v>15</v>
      </c>
      <c r="G5764" s="14" t="s">
        <v>16</v>
      </c>
      <c r="H5764" s="6">
        <v>200</v>
      </c>
      <c r="I5764" s="6">
        <v>200</v>
      </c>
      <c r="J5764" s="6"/>
      <c r="K5764" s="6"/>
      <c r="L5764" s="10">
        <v>20201118</v>
      </c>
      <c r="M5764" s="36" t="str">
        <f t="shared" si="90"/>
        <v>19780928</v>
      </c>
    </row>
    <row r="5765" s="1" customFormat="1" spans="1:13">
      <c r="A5765" s="2">
        <v>173</v>
      </c>
      <c r="B5765" s="14" t="s">
        <v>327</v>
      </c>
      <c r="C5765" s="14" t="s">
        <v>407</v>
      </c>
      <c r="D5765" s="14" t="s">
        <v>408</v>
      </c>
      <c r="E5765" s="5">
        <v>2020</v>
      </c>
      <c r="F5765" s="5">
        <v>2020</v>
      </c>
      <c r="G5765" s="14" t="s">
        <v>16</v>
      </c>
      <c r="H5765" s="14">
        <v>200</v>
      </c>
      <c r="I5765" s="14">
        <v>200</v>
      </c>
      <c r="J5765" s="14"/>
      <c r="K5765" s="10"/>
      <c r="L5765" s="2" t="s">
        <v>330</v>
      </c>
      <c r="M5765" s="36" t="str">
        <f t="shared" si="90"/>
        <v>19780929</v>
      </c>
    </row>
    <row r="5766" s="1" customFormat="1" spans="1:13">
      <c r="A5766" s="2">
        <v>4743</v>
      </c>
      <c r="B5766" s="6" t="s">
        <v>9015</v>
      </c>
      <c r="C5766" s="6" t="s">
        <v>9643</v>
      </c>
      <c r="D5766" s="6" t="s">
        <v>9644</v>
      </c>
      <c r="E5766" s="6">
        <v>2020</v>
      </c>
      <c r="F5766" s="6">
        <v>2020</v>
      </c>
      <c r="G5766" s="6" t="s">
        <v>16</v>
      </c>
      <c r="H5766" s="6">
        <v>200</v>
      </c>
      <c r="I5766" s="6">
        <v>200</v>
      </c>
      <c r="J5766" s="6"/>
      <c r="K5766" s="6"/>
      <c r="L5766" s="10">
        <v>20201118</v>
      </c>
      <c r="M5766" s="36" t="str">
        <f t="shared" si="90"/>
        <v>19780929</v>
      </c>
    </row>
    <row r="5767" s="1" customFormat="1" ht="14.25" spans="1:13">
      <c r="A5767" s="2">
        <v>5396</v>
      </c>
      <c r="B5767" s="33" t="s">
        <v>10535</v>
      </c>
      <c r="C5767" s="34" t="s">
        <v>8205</v>
      </c>
      <c r="D5767" s="64" t="s">
        <v>10899</v>
      </c>
      <c r="E5767" s="35">
        <v>2020</v>
      </c>
      <c r="F5767" s="35">
        <v>2020</v>
      </c>
      <c r="G5767" s="35" t="s">
        <v>16</v>
      </c>
      <c r="H5767" s="34">
        <v>200</v>
      </c>
      <c r="I5767" s="34">
        <v>200</v>
      </c>
      <c r="J5767" s="49"/>
      <c r="K5767" s="10"/>
      <c r="L5767" s="10">
        <v>20201118</v>
      </c>
      <c r="M5767" s="36" t="str">
        <f t="shared" si="90"/>
        <v>19781001</v>
      </c>
    </row>
    <row r="5768" s="1" customFormat="1" spans="1:13">
      <c r="A5768" s="2">
        <v>666</v>
      </c>
      <c r="B5768" s="29" t="s">
        <v>1040</v>
      </c>
      <c r="C5768" s="47" t="s">
        <v>1650</v>
      </c>
      <c r="D5768" s="47" t="s">
        <v>1651</v>
      </c>
      <c r="E5768" s="30">
        <v>2020</v>
      </c>
      <c r="F5768" s="30">
        <v>2020</v>
      </c>
      <c r="G5768" s="29" t="s">
        <v>16</v>
      </c>
      <c r="H5768" s="29">
        <v>200</v>
      </c>
      <c r="I5768" s="29">
        <v>200</v>
      </c>
      <c r="J5768" s="29"/>
      <c r="K5768" s="54"/>
      <c r="L5768" s="14" t="s">
        <v>330</v>
      </c>
      <c r="M5768" s="36" t="str">
        <f t="shared" si="90"/>
        <v>19781002</v>
      </c>
    </row>
    <row r="5769" s="1" customFormat="1" spans="1:13">
      <c r="A5769" s="2">
        <v>6717</v>
      </c>
      <c r="B5769" s="5" t="s">
        <v>13027</v>
      </c>
      <c r="C5769" s="15" t="s">
        <v>2293</v>
      </c>
      <c r="D5769" s="15" t="s">
        <v>13406</v>
      </c>
      <c r="E5769" s="5">
        <v>2020</v>
      </c>
      <c r="F5769" s="5">
        <v>2020</v>
      </c>
      <c r="G5769" s="14" t="s">
        <v>16</v>
      </c>
      <c r="H5769" s="15">
        <v>200</v>
      </c>
      <c r="I5769" s="15">
        <v>200</v>
      </c>
      <c r="J5769" s="5"/>
      <c r="K5769" s="10"/>
      <c r="L5769" s="10">
        <v>20201118</v>
      </c>
      <c r="M5769" s="36" t="str">
        <f t="shared" si="90"/>
        <v>19781002</v>
      </c>
    </row>
    <row r="5770" s="1" customFormat="1" spans="1:13">
      <c r="A5770" s="2">
        <v>1974</v>
      </c>
      <c r="B5770" s="5" t="s">
        <v>4189</v>
      </c>
      <c r="C5770" s="16" t="s">
        <v>4506</v>
      </c>
      <c r="D5770" s="16" t="s">
        <v>4507</v>
      </c>
      <c r="E5770" s="5" t="s">
        <v>15</v>
      </c>
      <c r="F5770" s="5" t="s">
        <v>15</v>
      </c>
      <c r="G5770" s="5" t="s">
        <v>3359</v>
      </c>
      <c r="H5770" s="16">
        <v>200</v>
      </c>
      <c r="I5770" s="16">
        <v>200</v>
      </c>
      <c r="J5770" s="5"/>
      <c r="K5770" s="10"/>
      <c r="L5770" s="10">
        <v>20201118</v>
      </c>
      <c r="M5770" s="36" t="str">
        <f t="shared" si="90"/>
        <v>19781003</v>
      </c>
    </row>
    <row r="5771" s="1" customFormat="1" spans="1:13">
      <c r="A5771" s="2">
        <v>5512</v>
      </c>
      <c r="B5771" s="30" t="s">
        <v>11090</v>
      </c>
      <c r="C5771" s="30" t="s">
        <v>11119</v>
      </c>
      <c r="D5771" s="30" t="s">
        <v>11120</v>
      </c>
      <c r="E5771" s="5" t="s">
        <v>15</v>
      </c>
      <c r="F5771" s="5" t="s">
        <v>10250</v>
      </c>
      <c r="G5771" s="6" t="s">
        <v>16</v>
      </c>
      <c r="H5771" s="32">
        <v>200</v>
      </c>
      <c r="I5771" s="32">
        <v>200</v>
      </c>
      <c r="J5771" s="6" t="s">
        <v>6097</v>
      </c>
      <c r="K5771" s="48"/>
      <c r="L5771" s="10">
        <v>20201118</v>
      </c>
      <c r="M5771" s="36" t="str">
        <f t="shared" si="90"/>
        <v>19781003</v>
      </c>
    </row>
    <row r="5772" s="1" customFormat="1" spans="1:13">
      <c r="A5772" s="2">
        <v>7483</v>
      </c>
      <c r="B5772" s="5" t="s">
        <v>14402</v>
      </c>
      <c r="C5772" s="5" t="s">
        <v>14581</v>
      </c>
      <c r="D5772" s="5" t="s">
        <v>14582</v>
      </c>
      <c r="E5772" s="5">
        <v>2020</v>
      </c>
      <c r="F5772" s="5">
        <v>2020</v>
      </c>
      <c r="G5772" s="17" t="s">
        <v>16</v>
      </c>
      <c r="H5772" s="5">
        <v>200</v>
      </c>
      <c r="I5772" s="5">
        <v>200</v>
      </c>
      <c r="J5772" s="5"/>
      <c r="K5772" s="10"/>
      <c r="L5772" s="10">
        <v>20201118</v>
      </c>
      <c r="M5772" s="36" t="str">
        <f t="shared" si="90"/>
        <v>19781003</v>
      </c>
    </row>
    <row r="5773" s="1" customFormat="1" spans="1:13">
      <c r="A5773" s="2">
        <v>4344</v>
      </c>
      <c r="B5773" s="9" t="s">
        <v>8515</v>
      </c>
      <c r="C5773" s="9" t="s">
        <v>8879</v>
      </c>
      <c r="D5773" s="9" t="s">
        <v>8880</v>
      </c>
      <c r="E5773" s="5" t="s">
        <v>15</v>
      </c>
      <c r="F5773" s="5">
        <v>2020</v>
      </c>
      <c r="G5773" s="9" t="s">
        <v>2480</v>
      </c>
      <c r="H5773" s="9">
        <v>200</v>
      </c>
      <c r="I5773" s="9">
        <v>200</v>
      </c>
      <c r="J5773" s="9"/>
      <c r="K5773" s="9"/>
      <c r="L5773" s="10">
        <v>20201118</v>
      </c>
      <c r="M5773" s="36" t="str">
        <f t="shared" si="90"/>
        <v>19781004</v>
      </c>
    </row>
    <row r="5774" s="1" customFormat="1" spans="1:13">
      <c r="A5774" s="2">
        <v>7484</v>
      </c>
      <c r="B5774" s="5" t="s">
        <v>14402</v>
      </c>
      <c r="C5774" s="5" t="s">
        <v>14583</v>
      </c>
      <c r="D5774" s="5" t="s">
        <v>14584</v>
      </c>
      <c r="E5774" s="5">
        <v>2020</v>
      </c>
      <c r="F5774" s="5">
        <v>2020</v>
      </c>
      <c r="G5774" s="17" t="s">
        <v>16</v>
      </c>
      <c r="H5774" s="5">
        <v>200</v>
      </c>
      <c r="I5774" s="5">
        <v>200</v>
      </c>
      <c r="J5774" s="5"/>
      <c r="K5774" s="10"/>
      <c r="L5774" s="10">
        <v>20201118</v>
      </c>
      <c r="M5774" s="36" t="str">
        <f t="shared" si="90"/>
        <v>19781005</v>
      </c>
    </row>
    <row r="5775" s="1" customFormat="1" spans="1:13">
      <c r="A5775" s="2">
        <v>8189</v>
      </c>
      <c r="B5775" s="5" t="s">
        <v>15406</v>
      </c>
      <c r="C5775" s="6" t="s">
        <v>5190</v>
      </c>
      <c r="D5775" s="6" t="s">
        <v>15565</v>
      </c>
      <c r="E5775" s="5" t="s">
        <v>15</v>
      </c>
      <c r="F5775" s="5">
        <v>2020</v>
      </c>
      <c r="G5775" s="14" t="s">
        <v>16</v>
      </c>
      <c r="H5775" s="6">
        <v>1000</v>
      </c>
      <c r="I5775" s="6">
        <v>1000</v>
      </c>
      <c r="J5775" s="5"/>
      <c r="K5775" s="10"/>
      <c r="L5775" s="10">
        <v>20201118</v>
      </c>
      <c r="M5775" s="36" t="str">
        <f t="shared" si="90"/>
        <v>19781005</v>
      </c>
    </row>
    <row r="5776" s="1" customFormat="1" ht="14.25" spans="1:13">
      <c r="A5776" s="2">
        <v>2843</v>
      </c>
      <c r="B5776" s="6" t="s">
        <v>6075</v>
      </c>
      <c r="C5776" s="25" t="s">
        <v>6214</v>
      </c>
      <c r="D5776" s="26" t="s">
        <v>6215</v>
      </c>
      <c r="E5776" s="5" t="s">
        <v>15</v>
      </c>
      <c r="F5776" s="5">
        <v>2020</v>
      </c>
      <c r="G5776" s="6" t="s">
        <v>16</v>
      </c>
      <c r="H5776" s="6">
        <v>200</v>
      </c>
      <c r="I5776" s="6">
        <v>200</v>
      </c>
      <c r="J5776" s="6" t="s">
        <v>6213</v>
      </c>
      <c r="K5776" s="10"/>
      <c r="L5776" s="10">
        <v>20201118</v>
      </c>
      <c r="M5776" s="36" t="str">
        <f t="shared" si="90"/>
        <v>19781007</v>
      </c>
    </row>
    <row r="5777" s="1" customFormat="1" ht="14.25" spans="1:13">
      <c r="A5777" s="2">
        <v>2968</v>
      </c>
      <c r="B5777" s="6" t="s">
        <v>6075</v>
      </c>
      <c r="C5777" s="25" t="s">
        <v>6461</v>
      </c>
      <c r="D5777" s="26" t="s">
        <v>6462</v>
      </c>
      <c r="E5777" s="5" t="s">
        <v>15</v>
      </c>
      <c r="F5777" s="5">
        <v>2020</v>
      </c>
      <c r="G5777" s="6" t="s">
        <v>16</v>
      </c>
      <c r="H5777" s="6">
        <v>200</v>
      </c>
      <c r="I5777" s="6">
        <v>200</v>
      </c>
      <c r="J5777" s="6"/>
      <c r="K5777" s="10"/>
      <c r="L5777" s="10">
        <v>20201118</v>
      </c>
      <c r="M5777" s="36" t="str">
        <f t="shared" si="90"/>
        <v>19781009</v>
      </c>
    </row>
    <row r="5778" s="1" customFormat="1" spans="1:13">
      <c r="A5778" s="2">
        <v>5191</v>
      </c>
      <c r="B5778" s="6" t="s">
        <v>10242</v>
      </c>
      <c r="C5778" s="9" t="s">
        <v>6779</v>
      </c>
      <c r="D5778" s="89" t="s">
        <v>10504</v>
      </c>
      <c r="E5778" s="5" t="s">
        <v>10250</v>
      </c>
      <c r="F5778" s="5">
        <v>2020</v>
      </c>
      <c r="G5778" s="6" t="s">
        <v>16</v>
      </c>
      <c r="H5778" s="6">
        <v>200</v>
      </c>
      <c r="I5778" s="6">
        <v>200</v>
      </c>
      <c r="J5778" s="6"/>
      <c r="K5778" s="5"/>
      <c r="L5778" s="10">
        <v>20201118</v>
      </c>
      <c r="M5778" s="36" t="str">
        <f t="shared" si="90"/>
        <v>19781010</v>
      </c>
    </row>
    <row r="5779" s="1" customFormat="1" spans="1:13">
      <c r="A5779" s="2">
        <v>6718</v>
      </c>
      <c r="B5779" s="5" t="s">
        <v>13027</v>
      </c>
      <c r="C5779" s="15" t="s">
        <v>13407</v>
      </c>
      <c r="D5779" s="15" t="s">
        <v>13408</v>
      </c>
      <c r="E5779" s="5">
        <v>2020</v>
      </c>
      <c r="F5779" s="5">
        <v>2020</v>
      </c>
      <c r="G5779" s="14" t="s">
        <v>16</v>
      </c>
      <c r="H5779" s="15">
        <v>200</v>
      </c>
      <c r="I5779" s="15">
        <v>200</v>
      </c>
      <c r="J5779" s="5" t="s">
        <v>1242</v>
      </c>
      <c r="K5779" s="10"/>
      <c r="L5779" s="10">
        <v>20201118</v>
      </c>
      <c r="M5779" s="36" t="str">
        <f t="shared" si="90"/>
        <v>19781012</v>
      </c>
    </row>
    <row r="5780" s="1" customFormat="1" spans="1:13">
      <c r="A5780" s="2">
        <v>3331</v>
      </c>
      <c r="B5780" s="5" t="s">
        <v>3375</v>
      </c>
      <c r="C5780" s="6" t="s">
        <v>7106</v>
      </c>
      <c r="D5780" s="6" t="str">
        <f>"152326197810136863"</f>
        <v>152326197810136863</v>
      </c>
      <c r="E5780" s="5" t="s">
        <v>15</v>
      </c>
      <c r="F5780" s="5">
        <v>2020</v>
      </c>
      <c r="G5780" s="14" t="s">
        <v>16</v>
      </c>
      <c r="H5780" s="17">
        <v>200</v>
      </c>
      <c r="I5780" s="17">
        <v>200</v>
      </c>
      <c r="J5780" s="6"/>
      <c r="K5780" s="10"/>
      <c r="L5780" s="10">
        <v>20201118</v>
      </c>
      <c r="M5780" s="36" t="str">
        <f t="shared" si="90"/>
        <v>19781013</v>
      </c>
    </row>
    <row r="5781" s="1" customFormat="1" spans="1:13">
      <c r="A5781" s="2">
        <v>3985</v>
      </c>
      <c r="B5781" s="5" t="s">
        <v>7412</v>
      </c>
      <c r="C5781" s="5" t="s">
        <v>8191</v>
      </c>
      <c r="D5781" s="5" t="s">
        <v>8192</v>
      </c>
      <c r="E5781" s="6">
        <v>2020</v>
      </c>
      <c r="F5781" s="6">
        <v>2020</v>
      </c>
      <c r="G5781" s="5" t="s">
        <v>3359</v>
      </c>
      <c r="H5781" s="5">
        <v>200</v>
      </c>
      <c r="I5781" s="5">
        <v>200</v>
      </c>
      <c r="J5781" s="5"/>
      <c r="K5781" s="5"/>
      <c r="L5781" s="10">
        <v>20201118</v>
      </c>
      <c r="M5781" s="36" t="str">
        <f t="shared" si="90"/>
        <v>19781013</v>
      </c>
    </row>
    <row r="5782" s="1" customFormat="1" ht="14.25" spans="1:13">
      <c r="A5782" s="2">
        <v>3523</v>
      </c>
      <c r="B5782" s="5" t="s">
        <v>3375</v>
      </c>
      <c r="C5782" s="5" t="s">
        <v>7317</v>
      </c>
      <c r="D5782" s="12" t="s">
        <v>7318</v>
      </c>
      <c r="E5782" s="5" t="s">
        <v>15</v>
      </c>
      <c r="F5782" s="5">
        <v>2020</v>
      </c>
      <c r="G5782" s="14" t="s">
        <v>16</v>
      </c>
      <c r="H5782" s="5">
        <v>200</v>
      </c>
      <c r="I5782" s="5">
        <v>200</v>
      </c>
      <c r="J5782" s="5"/>
      <c r="K5782" s="10"/>
      <c r="L5782" s="10">
        <v>20201118</v>
      </c>
      <c r="M5782" s="36" t="str">
        <f t="shared" si="90"/>
        <v>19781014</v>
      </c>
    </row>
    <row r="5783" s="1" customFormat="1" spans="1:13">
      <c r="A5783" s="2">
        <v>2316</v>
      </c>
      <c r="B5783" s="9" t="s">
        <v>4837</v>
      </c>
      <c r="C5783" s="9" t="s">
        <v>5172</v>
      </c>
      <c r="D5783" s="9" t="s">
        <v>5173</v>
      </c>
      <c r="E5783" s="6" t="s">
        <v>15</v>
      </c>
      <c r="F5783" s="6">
        <v>2020</v>
      </c>
      <c r="G5783" s="9" t="s">
        <v>2480</v>
      </c>
      <c r="H5783" s="9">
        <v>200</v>
      </c>
      <c r="I5783" s="9">
        <v>200</v>
      </c>
      <c r="J5783" s="6"/>
      <c r="K5783" s="10"/>
      <c r="L5783" s="10">
        <v>20201118</v>
      </c>
      <c r="M5783" s="36" t="str">
        <f t="shared" si="90"/>
        <v>19781015</v>
      </c>
    </row>
    <row r="5784" s="1" customFormat="1" spans="1:13">
      <c r="A5784" s="2">
        <v>2393</v>
      </c>
      <c r="B5784" s="9" t="s">
        <v>4837</v>
      </c>
      <c r="C5784" s="6" t="s">
        <v>5106</v>
      </c>
      <c r="D5784" s="6" t="s">
        <v>5325</v>
      </c>
      <c r="E5784" s="6" t="s">
        <v>15</v>
      </c>
      <c r="F5784" s="6">
        <v>2020</v>
      </c>
      <c r="G5784" s="9" t="s">
        <v>2480</v>
      </c>
      <c r="H5784" s="6" t="s">
        <v>2295</v>
      </c>
      <c r="I5784" s="6">
        <v>500</v>
      </c>
      <c r="J5784" s="6"/>
      <c r="K5784" s="10"/>
      <c r="L5784" s="10">
        <v>20201118</v>
      </c>
      <c r="M5784" s="36" t="str">
        <f t="shared" si="90"/>
        <v>19781016</v>
      </c>
    </row>
    <row r="5785" s="1" customFormat="1" spans="1:13">
      <c r="A5785" s="2">
        <v>4658</v>
      </c>
      <c r="B5785" s="6" t="s">
        <v>9015</v>
      </c>
      <c r="C5785" s="6" t="s">
        <v>9480</v>
      </c>
      <c r="D5785" s="6" t="s">
        <v>9481</v>
      </c>
      <c r="E5785" s="6">
        <v>2020</v>
      </c>
      <c r="F5785" s="6">
        <v>2020</v>
      </c>
      <c r="G5785" s="6" t="s">
        <v>16</v>
      </c>
      <c r="H5785" s="6">
        <v>200</v>
      </c>
      <c r="I5785" s="6">
        <v>200</v>
      </c>
      <c r="J5785" s="6"/>
      <c r="K5785" s="6"/>
      <c r="L5785" s="10">
        <v>20201118</v>
      </c>
      <c r="M5785" s="36" t="str">
        <f t="shared" si="90"/>
        <v>19781017</v>
      </c>
    </row>
    <row r="5786" s="1" customFormat="1" spans="1:13">
      <c r="A5786" s="2">
        <v>5894</v>
      </c>
      <c r="B5786" s="30" t="s">
        <v>11090</v>
      </c>
      <c r="C5786" s="30" t="s">
        <v>11840</v>
      </c>
      <c r="D5786" s="30" t="s">
        <v>11841</v>
      </c>
      <c r="E5786" s="5" t="s">
        <v>15</v>
      </c>
      <c r="F5786" s="5" t="s">
        <v>10250</v>
      </c>
      <c r="G5786" s="6" t="s">
        <v>16</v>
      </c>
      <c r="H5786" s="32">
        <v>200</v>
      </c>
      <c r="I5786" s="32">
        <v>200</v>
      </c>
      <c r="J5786" s="6"/>
      <c r="K5786" s="48"/>
      <c r="L5786" s="10">
        <v>20201118</v>
      </c>
      <c r="M5786" s="36" t="str">
        <f t="shared" si="90"/>
        <v>19781017</v>
      </c>
    </row>
    <row r="5787" s="1" customFormat="1" spans="1:13">
      <c r="A5787" s="2">
        <v>6250</v>
      </c>
      <c r="B5787" s="5" t="s">
        <v>12263</v>
      </c>
      <c r="C5787" s="5" t="s">
        <v>12522</v>
      </c>
      <c r="D5787" s="5" t="s">
        <v>12523</v>
      </c>
      <c r="E5787" s="5" t="s">
        <v>10250</v>
      </c>
      <c r="F5787" s="5">
        <v>2020</v>
      </c>
      <c r="G5787" s="17" t="s">
        <v>3359</v>
      </c>
      <c r="H5787" s="5">
        <v>200</v>
      </c>
      <c r="I5787" s="5">
        <v>200</v>
      </c>
      <c r="J5787" s="5"/>
      <c r="K5787" s="5"/>
      <c r="L5787" s="10">
        <v>20201118</v>
      </c>
      <c r="M5787" s="36" t="str">
        <f t="shared" si="90"/>
        <v>19781017</v>
      </c>
    </row>
    <row r="5788" s="1" customFormat="1" spans="1:13">
      <c r="A5788" s="2">
        <v>333</v>
      </c>
      <c r="B5788" s="14" t="s">
        <v>327</v>
      </c>
      <c r="C5788" s="17" t="s">
        <v>887</v>
      </c>
      <c r="D5788" s="306" t="s">
        <v>888</v>
      </c>
      <c r="E5788" s="5">
        <v>2020</v>
      </c>
      <c r="F5788" s="5">
        <v>2020</v>
      </c>
      <c r="G5788" s="14" t="s">
        <v>16</v>
      </c>
      <c r="H5788" s="17">
        <v>200</v>
      </c>
      <c r="I5788" s="17">
        <v>200</v>
      </c>
      <c r="J5788" s="17"/>
      <c r="K5788" s="10"/>
      <c r="L5788" s="2" t="s">
        <v>330</v>
      </c>
      <c r="M5788" s="36" t="str">
        <f t="shared" si="90"/>
        <v>19781020</v>
      </c>
    </row>
    <row r="5789" s="1" customFormat="1" spans="1:13">
      <c r="A5789" s="2">
        <v>4901</v>
      </c>
      <c r="B5789" s="6" t="s">
        <v>9015</v>
      </c>
      <c r="C5789" s="6" t="s">
        <v>9940</v>
      </c>
      <c r="D5789" s="293" t="s">
        <v>9941</v>
      </c>
      <c r="E5789" s="6">
        <v>2020</v>
      </c>
      <c r="F5789" s="6">
        <v>2020</v>
      </c>
      <c r="G5789" s="6" t="s">
        <v>189</v>
      </c>
      <c r="H5789" s="6">
        <v>200</v>
      </c>
      <c r="I5789" s="6">
        <v>200</v>
      </c>
      <c r="J5789" s="6"/>
      <c r="K5789" s="6"/>
      <c r="L5789" s="10">
        <v>20201118</v>
      </c>
      <c r="M5789" s="36" t="str">
        <f t="shared" si="90"/>
        <v>19781023</v>
      </c>
    </row>
    <row r="5790" s="1" customFormat="1" spans="1:13">
      <c r="A5790" s="2">
        <v>659</v>
      </c>
      <c r="B5790" s="29" t="s">
        <v>1040</v>
      </c>
      <c r="C5790" s="47" t="s">
        <v>1630</v>
      </c>
      <c r="D5790" s="47" t="s">
        <v>1631</v>
      </c>
      <c r="E5790" s="30">
        <v>2020</v>
      </c>
      <c r="F5790" s="30">
        <v>2020</v>
      </c>
      <c r="G5790" s="29" t="s">
        <v>16</v>
      </c>
      <c r="H5790" s="29">
        <v>200</v>
      </c>
      <c r="I5790" s="29">
        <v>200</v>
      </c>
      <c r="J5790" s="29"/>
      <c r="K5790" s="47"/>
      <c r="L5790" s="14" t="s">
        <v>330</v>
      </c>
      <c r="M5790" s="36" t="str">
        <f t="shared" si="90"/>
        <v>19781024</v>
      </c>
    </row>
    <row r="5791" s="1" customFormat="1" spans="1:13">
      <c r="A5791" s="2">
        <v>3328</v>
      </c>
      <c r="B5791" s="5" t="s">
        <v>3375</v>
      </c>
      <c r="C5791" s="6" t="s">
        <v>7103</v>
      </c>
      <c r="D5791" s="6" t="str">
        <f>"152326197810256865"</f>
        <v>152326197810256865</v>
      </c>
      <c r="E5791" s="5" t="s">
        <v>15</v>
      </c>
      <c r="F5791" s="5">
        <v>2020</v>
      </c>
      <c r="G5791" s="14" t="s">
        <v>16</v>
      </c>
      <c r="H5791" s="17">
        <v>200</v>
      </c>
      <c r="I5791" s="17">
        <v>200</v>
      </c>
      <c r="J5791" s="6"/>
      <c r="K5791" s="10"/>
      <c r="L5791" s="10">
        <v>20201118</v>
      </c>
      <c r="M5791" s="36" t="str">
        <f t="shared" si="90"/>
        <v>19781025</v>
      </c>
    </row>
    <row r="5792" s="1" customFormat="1" spans="1:13">
      <c r="A5792" s="2">
        <v>5012</v>
      </c>
      <c r="B5792" s="6" t="s">
        <v>9954</v>
      </c>
      <c r="C5792" s="60" t="s">
        <v>8040</v>
      </c>
      <c r="D5792" s="60" t="s">
        <v>10160</v>
      </c>
      <c r="E5792" s="5" t="s">
        <v>15</v>
      </c>
      <c r="F5792" s="5" t="s">
        <v>15</v>
      </c>
      <c r="G5792" s="14" t="s">
        <v>16</v>
      </c>
      <c r="H5792" s="6">
        <v>200</v>
      </c>
      <c r="I5792" s="6">
        <v>200</v>
      </c>
      <c r="J5792" s="6"/>
      <c r="K5792" s="6"/>
      <c r="L5792" s="10">
        <v>20201118</v>
      </c>
      <c r="M5792" s="36" t="str">
        <f t="shared" si="90"/>
        <v>19781027</v>
      </c>
    </row>
    <row r="5793" s="1" customFormat="1" spans="1:13">
      <c r="A5793" s="2">
        <v>1997</v>
      </c>
      <c r="B5793" s="5" t="s">
        <v>4189</v>
      </c>
      <c r="C5793" s="16" t="s">
        <v>4551</v>
      </c>
      <c r="D5793" s="16" t="s">
        <v>4552</v>
      </c>
      <c r="E5793" s="5" t="s">
        <v>15</v>
      </c>
      <c r="F5793" s="5" t="s">
        <v>15</v>
      </c>
      <c r="G5793" s="5" t="s">
        <v>3359</v>
      </c>
      <c r="H5793" s="16">
        <v>200</v>
      </c>
      <c r="I5793" s="16">
        <v>200</v>
      </c>
      <c r="J5793" s="5"/>
      <c r="K5793" s="10"/>
      <c r="L5793" s="10">
        <v>20201118</v>
      </c>
      <c r="M5793" s="36" t="str">
        <f t="shared" si="90"/>
        <v>19781101</v>
      </c>
    </row>
    <row r="5794" s="1" customFormat="1" spans="1:13">
      <c r="A5794" s="2">
        <v>1206</v>
      </c>
      <c r="B5794" s="5" t="s">
        <v>2469</v>
      </c>
      <c r="C5794" s="16" t="s">
        <v>2995</v>
      </c>
      <c r="D5794" s="16" t="s">
        <v>2996</v>
      </c>
      <c r="E5794" s="5">
        <v>2020</v>
      </c>
      <c r="F5794" s="5">
        <v>2020</v>
      </c>
      <c r="G5794" s="16" t="s">
        <v>2480</v>
      </c>
      <c r="H5794" s="9">
        <v>200</v>
      </c>
      <c r="I5794" s="9">
        <v>200</v>
      </c>
      <c r="J5794" s="5"/>
      <c r="K5794" s="5"/>
      <c r="L5794" s="10">
        <v>20201118</v>
      </c>
      <c r="M5794" s="36" t="str">
        <f t="shared" si="90"/>
        <v>19781102</v>
      </c>
    </row>
    <row r="5795" s="1" customFormat="1" spans="1:13">
      <c r="A5795" s="2">
        <v>1999</v>
      </c>
      <c r="B5795" s="5" t="s">
        <v>4189</v>
      </c>
      <c r="C5795" s="16" t="s">
        <v>4555</v>
      </c>
      <c r="D5795" s="16" t="s">
        <v>4556</v>
      </c>
      <c r="E5795" s="5" t="s">
        <v>15</v>
      </c>
      <c r="F5795" s="5" t="s">
        <v>15</v>
      </c>
      <c r="G5795" s="5" t="s">
        <v>3359</v>
      </c>
      <c r="H5795" s="16">
        <v>500</v>
      </c>
      <c r="I5795" s="16">
        <v>500</v>
      </c>
      <c r="J5795" s="5"/>
      <c r="K5795" s="10"/>
      <c r="L5795" s="10">
        <v>20201118</v>
      </c>
      <c r="M5795" s="36" t="str">
        <f t="shared" si="90"/>
        <v>19781103</v>
      </c>
    </row>
    <row r="5796" s="1" customFormat="1" spans="1:13">
      <c r="A5796" s="2">
        <v>2689</v>
      </c>
      <c r="B5796" s="32" t="s">
        <v>5602</v>
      </c>
      <c r="C5796" s="9" t="s">
        <v>4182</v>
      </c>
      <c r="D5796" s="9" t="s">
        <v>5911</v>
      </c>
      <c r="E5796" s="32">
        <v>2020</v>
      </c>
      <c r="F5796" s="32">
        <v>2020</v>
      </c>
      <c r="G5796" s="32" t="s">
        <v>16</v>
      </c>
      <c r="H5796" s="9">
        <v>200</v>
      </c>
      <c r="I5796" s="9">
        <v>200</v>
      </c>
      <c r="J5796" s="32"/>
      <c r="K5796" s="52"/>
      <c r="L5796" s="10">
        <v>20201118</v>
      </c>
      <c r="M5796" s="36" t="str">
        <f t="shared" si="90"/>
        <v>19781105</v>
      </c>
    </row>
    <row r="5797" s="1" customFormat="1" spans="1:13">
      <c r="A5797" s="2">
        <v>6719</v>
      </c>
      <c r="B5797" s="5" t="s">
        <v>13027</v>
      </c>
      <c r="C5797" s="15" t="s">
        <v>1148</v>
      </c>
      <c r="D5797" s="15" t="s">
        <v>13409</v>
      </c>
      <c r="E5797" s="5">
        <v>2020</v>
      </c>
      <c r="F5797" s="5">
        <v>2020</v>
      </c>
      <c r="G5797" s="14" t="s">
        <v>16</v>
      </c>
      <c r="H5797" s="15">
        <v>200</v>
      </c>
      <c r="I5797" s="15">
        <v>200</v>
      </c>
      <c r="J5797" s="5"/>
      <c r="K5797" s="10"/>
      <c r="L5797" s="10">
        <v>20201118</v>
      </c>
      <c r="M5797" s="36" t="str">
        <f t="shared" si="90"/>
        <v>19781111</v>
      </c>
    </row>
    <row r="5798" s="1" customFormat="1" spans="1:13">
      <c r="A5798" s="2">
        <v>7102</v>
      </c>
      <c r="B5798" s="5" t="s">
        <v>13533</v>
      </c>
      <c r="C5798" s="6" t="s">
        <v>13872</v>
      </c>
      <c r="D5798" s="6" t="str">
        <f>"152326197811147118"</f>
        <v>152326197811147118</v>
      </c>
      <c r="E5798" s="5">
        <v>2020</v>
      </c>
      <c r="F5798" s="5">
        <v>2020</v>
      </c>
      <c r="G5798" s="9" t="s">
        <v>2480</v>
      </c>
      <c r="H5798" s="32">
        <v>200</v>
      </c>
      <c r="I5798" s="32">
        <v>200</v>
      </c>
      <c r="J5798" s="32"/>
      <c r="K5798" s="10"/>
      <c r="L5798" s="10">
        <v>20201118</v>
      </c>
      <c r="M5798" s="36" t="str">
        <f t="shared" si="90"/>
        <v>19781114</v>
      </c>
    </row>
    <row r="5799" s="1" customFormat="1" spans="1:13">
      <c r="A5799" s="2">
        <v>5502</v>
      </c>
      <c r="B5799" s="30" t="s">
        <v>11090</v>
      </c>
      <c r="C5799" s="30" t="s">
        <v>11099</v>
      </c>
      <c r="D5799" s="30" t="s">
        <v>11100</v>
      </c>
      <c r="E5799" s="5" t="s">
        <v>15</v>
      </c>
      <c r="F5799" s="5" t="s">
        <v>10250</v>
      </c>
      <c r="G5799" s="6" t="s">
        <v>16</v>
      </c>
      <c r="H5799" s="32">
        <v>200</v>
      </c>
      <c r="I5799" s="32">
        <v>200</v>
      </c>
      <c r="J5799" s="6"/>
      <c r="K5799" s="48"/>
      <c r="L5799" s="10">
        <v>20201118</v>
      </c>
      <c r="M5799" s="36" t="str">
        <f t="shared" si="90"/>
        <v>19781115</v>
      </c>
    </row>
    <row r="5800" s="1" customFormat="1" spans="1:13">
      <c r="A5800" s="2">
        <v>558</v>
      </c>
      <c r="B5800" s="29" t="s">
        <v>1040</v>
      </c>
      <c r="C5800" s="29" t="s">
        <v>1393</v>
      </c>
      <c r="D5800" s="29" t="s">
        <v>1394</v>
      </c>
      <c r="E5800" s="30">
        <v>2020</v>
      </c>
      <c r="F5800" s="30">
        <v>2020</v>
      </c>
      <c r="G5800" s="29" t="s">
        <v>16</v>
      </c>
      <c r="H5800" s="29">
        <v>200</v>
      </c>
      <c r="I5800" s="29">
        <v>200</v>
      </c>
      <c r="J5800" s="29"/>
      <c r="K5800" s="47"/>
      <c r="L5800" s="2" t="s">
        <v>330</v>
      </c>
      <c r="M5800" s="36" t="str">
        <f t="shared" si="90"/>
        <v>19781116</v>
      </c>
    </row>
    <row r="5801" s="1" customFormat="1" spans="1:13">
      <c r="A5801" s="2">
        <v>7363</v>
      </c>
      <c r="B5801" s="5" t="s">
        <v>13908</v>
      </c>
      <c r="C5801" s="5" t="s">
        <v>13790</v>
      </c>
      <c r="D5801" s="5" t="s">
        <v>14354</v>
      </c>
      <c r="E5801" s="5" t="s">
        <v>15</v>
      </c>
      <c r="F5801" s="5" t="s">
        <v>15</v>
      </c>
      <c r="G5801" s="14" t="s">
        <v>16</v>
      </c>
      <c r="H5801" s="17">
        <v>500</v>
      </c>
      <c r="I5801" s="17">
        <v>500</v>
      </c>
      <c r="J5801" s="5"/>
      <c r="K5801" s="10"/>
      <c r="L5801" s="10">
        <v>20201118</v>
      </c>
      <c r="M5801" s="36" t="str">
        <f t="shared" si="90"/>
        <v>19781118</v>
      </c>
    </row>
    <row r="5802" s="1" customFormat="1" spans="1:13">
      <c r="A5802" s="2">
        <v>2317</v>
      </c>
      <c r="B5802" s="9" t="s">
        <v>4837</v>
      </c>
      <c r="C5802" s="9" t="s">
        <v>5174</v>
      </c>
      <c r="D5802" s="9" t="s">
        <v>5175</v>
      </c>
      <c r="E5802" s="6" t="s">
        <v>15</v>
      </c>
      <c r="F5802" s="6">
        <v>2020</v>
      </c>
      <c r="G5802" s="9" t="s">
        <v>2480</v>
      </c>
      <c r="H5802" s="9">
        <v>200</v>
      </c>
      <c r="I5802" s="9">
        <v>200</v>
      </c>
      <c r="J5802" s="6"/>
      <c r="K5802" s="10"/>
      <c r="L5802" s="10">
        <v>20201118</v>
      </c>
      <c r="M5802" s="36" t="str">
        <f t="shared" si="90"/>
        <v>19781119</v>
      </c>
    </row>
    <row r="5803" s="1" customFormat="1" spans="1:13">
      <c r="A5803" s="2">
        <v>5832</v>
      </c>
      <c r="B5803" s="30" t="s">
        <v>11090</v>
      </c>
      <c r="C5803" s="30" t="s">
        <v>11731</v>
      </c>
      <c r="D5803" s="30" t="s">
        <v>11732</v>
      </c>
      <c r="E5803" s="5" t="s">
        <v>15</v>
      </c>
      <c r="F5803" s="5" t="s">
        <v>10250</v>
      </c>
      <c r="G5803" s="6" t="s">
        <v>16</v>
      </c>
      <c r="H5803" s="32">
        <v>200</v>
      </c>
      <c r="I5803" s="32">
        <v>200</v>
      </c>
      <c r="J5803" s="6"/>
      <c r="K5803" s="48"/>
      <c r="L5803" s="10">
        <v>20201118</v>
      </c>
      <c r="M5803" s="36" t="str">
        <f t="shared" si="90"/>
        <v>19781121</v>
      </c>
    </row>
    <row r="5804" s="1" customFormat="1" spans="1:13">
      <c r="A5804" s="2">
        <v>7295</v>
      </c>
      <c r="B5804" s="5" t="s">
        <v>13908</v>
      </c>
      <c r="C5804" s="5" t="s">
        <v>14228</v>
      </c>
      <c r="D5804" s="5" t="s">
        <v>14229</v>
      </c>
      <c r="E5804" s="5" t="s">
        <v>15</v>
      </c>
      <c r="F5804" s="5" t="s">
        <v>15</v>
      </c>
      <c r="G5804" s="14" t="s">
        <v>16</v>
      </c>
      <c r="H5804" s="17">
        <v>200</v>
      </c>
      <c r="I5804" s="17">
        <v>200</v>
      </c>
      <c r="J5804" s="5"/>
      <c r="K5804" s="10"/>
      <c r="L5804" s="10">
        <v>20201118</v>
      </c>
      <c r="M5804" s="36" t="str">
        <f t="shared" si="90"/>
        <v>19781123</v>
      </c>
    </row>
    <row r="5805" s="1" customFormat="1" spans="1:13">
      <c r="A5805" s="2">
        <v>3986</v>
      </c>
      <c r="B5805" s="5" t="s">
        <v>7412</v>
      </c>
      <c r="C5805" s="5" t="s">
        <v>8193</v>
      </c>
      <c r="D5805" s="5" t="s">
        <v>8194</v>
      </c>
      <c r="E5805" s="6">
        <v>2020</v>
      </c>
      <c r="F5805" s="6">
        <v>2020</v>
      </c>
      <c r="G5805" s="5" t="s">
        <v>3359</v>
      </c>
      <c r="H5805" s="5">
        <v>200</v>
      </c>
      <c r="I5805" s="5">
        <v>200</v>
      </c>
      <c r="J5805" s="5"/>
      <c r="K5805" s="5"/>
      <c r="L5805" s="10">
        <v>20201118</v>
      </c>
      <c r="M5805" s="36" t="str">
        <f t="shared" si="90"/>
        <v>19781126</v>
      </c>
    </row>
    <row r="5806" s="1" customFormat="1" spans="1:13">
      <c r="A5806" s="2">
        <v>4439</v>
      </c>
      <c r="B5806" s="6" t="s">
        <v>9015</v>
      </c>
      <c r="C5806" s="6" t="s">
        <v>9065</v>
      </c>
      <c r="D5806" s="6" t="s">
        <v>9066</v>
      </c>
      <c r="E5806" s="6">
        <v>2020</v>
      </c>
      <c r="F5806" s="6">
        <v>2020</v>
      </c>
      <c r="G5806" s="6" t="s">
        <v>16</v>
      </c>
      <c r="H5806" s="6">
        <v>200</v>
      </c>
      <c r="I5806" s="6">
        <v>200</v>
      </c>
      <c r="J5806" s="6"/>
      <c r="K5806" s="6"/>
      <c r="L5806" s="10">
        <v>20201118</v>
      </c>
      <c r="M5806" s="36" t="str">
        <f t="shared" si="90"/>
        <v>19781128</v>
      </c>
    </row>
    <row r="5807" s="1" customFormat="1" spans="1:13">
      <c r="A5807" s="2">
        <v>7229</v>
      </c>
      <c r="B5807" s="5" t="s">
        <v>13908</v>
      </c>
      <c r="C5807" s="5" t="s">
        <v>14102</v>
      </c>
      <c r="D5807" s="5" t="s">
        <v>14103</v>
      </c>
      <c r="E5807" s="5" t="s">
        <v>15</v>
      </c>
      <c r="F5807" s="5" t="s">
        <v>15</v>
      </c>
      <c r="G5807" s="14" t="s">
        <v>16</v>
      </c>
      <c r="H5807" s="17">
        <v>200</v>
      </c>
      <c r="I5807" s="17">
        <v>200</v>
      </c>
      <c r="J5807" s="5"/>
      <c r="K5807" s="10"/>
      <c r="L5807" s="10">
        <v>20201118</v>
      </c>
      <c r="M5807" s="36" t="str">
        <f t="shared" si="90"/>
        <v>19781128</v>
      </c>
    </row>
    <row r="5808" s="1" customFormat="1" spans="1:13">
      <c r="A5808" s="2">
        <v>902</v>
      </c>
      <c r="B5808" s="29" t="s">
        <v>1040</v>
      </c>
      <c r="C5808" s="6" t="s">
        <v>2353</v>
      </c>
      <c r="D5808" s="6" t="s">
        <v>2354</v>
      </c>
      <c r="E5808" s="30">
        <v>2020</v>
      </c>
      <c r="F5808" s="30">
        <v>2020</v>
      </c>
      <c r="G5808" s="29" t="s">
        <v>16</v>
      </c>
      <c r="H5808" s="6">
        <v>3000</v>
      </c>
      <c r="I5808" s="6">
        <v>3000</v>
      </c>
      <c r="J5808" s="32"/>
      <c r="K5808" s="32"/>
      <c r="L5808" s="2" t="s">
        <v>330</v>
      </c>
      <c r="M5808" s="36" t="str">
        <f t="shared" si="90"/>
        <v>19781208</v>
      </c>
    </row>
    <row r="5809" s="1" customFormat="1" spans="1:13">
      <c r="A5809" s="2">
        <v>1207</v>
      </c>
      <c r="B5809" s="5" t="s">
        <v>2469</v>
      </c>
      <c r="C5809" s="9" t="s">
        <v>1523</v>
      </c>
      <c r="D5809" s="9" t="s">
        <v>2997</v>
      </c>
      <c r="E5809" s="5">
        <v>2020</v>
      </c>
      <c r="F5809" s="5">
        <v>2020</v>
      </c>
      <c r="G5809" s="9" t="s">
        <v>2480</v>
      </c>
      <c r="H5809" s="9">
        <v>200</v>
      </c>
      <c r="I5809" s="9">
        <v>200</v>
      </c>
      <c r="J5809" s="5"/>
      <c r="K5809" s="5"/>
      <c r="L5809" s="10">
        <v>20201118</v>
      </c>
      <c r="M5809" s="36" t="str">
        <f t="shared" si="90"/>
        <v>19781208</v>
      </c>
    </row>
    <row r="5810" s="1" customFormat="1" spans="1:13">
      <c r="A5810" s="2">
        <v>2690</v>
      </c>
      <c r="B5810" s="32" t="s">
        <v>5602</v>
      </c>
      <c r="C5810" s="9" t="s">
        <v>5912</v>
      </c>
      <c r="D5810" s="9" t="s">
        <v>5913</v>
      </c>
      <c r="E5810" s="32">
        <v>2020</v>
      </c>
      <c r="F5810" s="32">
        <v>2020</v>
      </c>
      <c r="G5810" s="32" t="s">
        <v>16</v>
      </c>
      <c r="H5810" s="9">
        <v>200</v>
      </c>
      <c r="I5810" s="9">
        <v>200</v>
      </c>
      <c r="J5810" s="32"/>
      <c r="K5810" s="52"/>
      <c r="L5810" s="10">
        <v>20201118</v>
      </c>
      <c r="M5810" s="36" t="str">
        <f t="shared" si="90"/>
        <v>19781208</v>
      </c>
    </row>
    <row r="5811" s="1" customFormat="1" spans="1:13">
      <c r="A5811" s="2">
        <v>3529</v>
      </c>
      <c r="B5811" s="5" t="s">
        <v>3375</v>
      </c>
      <c r="C5811" s="5" t="s">
        <v>7329</v>
      </c>
      <c r="D5811" s="296" t="s">
        <v>7330</v>
      </c>
      <c r="E5811" s="5" t="s">
        <v>15</v>
      </c>
      <c r="F5811" s="5">
        <v>2020</v>
      </c>
      <c r="G5811" s="14" t="s">
        <v>16</v>
      </c>
      <c r="H5811" s="5">
        <v>200</v>
      </c>
      <c r="I5811" s="5">
        <v>200</v>
      </c>
      <c r="J5811" s="5"/>
      <c r="K5811" s="10"/>
      <c r="L5811" s="10">
        <v>20201118</v>
      </c>
      <c r="M5811" s="36" t="str">
        <f t="shared" si="90"/>
        <v>19781214</v>
      </c>
    </row>
    <row r="5812" s="1" customFormat="1" spans="1:13">
      <c r="A5812" s="2">
        <v>1208</v>
      </c>
      <c r="B5812" s="5" t="s">
        <v>2469</v>
      </c>
      <c r="C5812" s="9" t="s">
        <v>2998</v>
      </c>
      <c r="D5812" s="9" t="s">
        <v>2999</v>
      </c>
      <c r="E5812" s="5">
        <v>2020</v>
      </c>
      <c r="F5812" s="5">
        <v>2020</v>
      </c>
      <c r="G5812" s="9" t="s">
        <v>2480</v>
      </c>
      <c r="H5812" s="9">
        <v>200</v>
      </c>
      <c r="I5812" s="9">
        <v>200</v>
      </c>
      <c r="J5812" s="5"/>
      <c r="K5812" s="5"/>
      <c r="L5812" s="10">
        <v>20201118</v>
      </c>
      <c r="M5812" s="36" t="str">
        <f t="shared" si="90"/>
        <v>19781216</v>
      </c>
    </row>
    <row r="5813" s="1" customFormat="1" spans="1:13">
      <c r="A5813" s="2">
        <v>807</v>
      </c>
      <c r="B5813" s="29" t="s">
        <v>1040</v>
      </c>
      <c r="C5813" s="5" t="s">
        <v>2071</v>
      </c>
      <c r="D5813" s="317" t="s">
        <v>2072</v>
      </c>
      <c r="E5813" s="30">
        <v>2020</v>
      </c>
      <c r="F5813" s="30">
        <v>2020</v>
      </c>
      <c r="G5813" s="29" t="s">
        <v>16</v>
      </c>
      <c r="H5813" s="29">
        <v>200</v>
      </c>
      <c r="I5813" s="29">
        <v>200</v>
      </c>
      <c r="J5813" s="32"/>
      <c r="K5813" s="32"/>
      <c r="L5813" s="2" t="s">
        <v>330</v>
      </c>
      <c r="M5813" s="36" t="str">
        <f t="shared" si="90"/>
        <v>19781218</v>
      </c>
    </row>
    <row r="5814" s="1" customFormat="1" spans="1:13">
      <c r="A5814" s="2">
        <v>2318</v>
      </c>
      <c r="B5814" s="9" t="s">
        <v>4837</v>
      </c>
      <c r="C5814" s="9" t="s">
        <v>5176</v>
      </c>
      <c r="D5814" s="9" t="s">
        <v>5177</v>
      </c>
      <c r="E5814" s="6" t="s">
        <v>15</v>
      </c>
      <c r="F5814" s="6">
        <v>2020</v>
      </c>
      <c r="G5814" s="9" t="s">
        <v>2480</v>
      </c>
      <c r="H5814" s="9">
        <v>500</v>
      </c>
      <c r="I5814" s="9">
        <v>500</v>
      </c>
      <c r="J5814" s="6"/>
      <c r="K5814" s="10"/>
      <c r="L5814" s="10">
        <v>20201118</v>
      </c>
      <c r="M5814" s="36" t="str">
        <f t="shared" si="90"/>
        <v>19781221</v>
      </c>
    </row>
    <row r="5815" s="1" customFormat="1" spans="1:13">
      <c r="A5815" s="2">
        <v>5538</v>
      </c>
      <c r="B5815" s="30" t="s">
        <v>11090</v>
      </c>
      <c r="C5815" s="30" t="s">
        <v>11173</v>
      </c>
      <c r="D5815" s="30" t="s">
        <v>11174</v>
      </c>
      <c r="E5815" s="5" t="s">
        <v>15</v>
      </c>
      <c r="F5815" s="5" t="s">
        <v>10250</v>
      </c>
      <c r="G5815" s="6" t="s">
        <v>16</v>
      </c>
      <c r="H5815" s="32">
        <v>200</v>
      </c>
      <c r="I5815" s="32">
        <v>200</v>
      </c>
      <c r="J5815" s="6"/>
      <c r="K5815" s="48"/>
      <c r="L5815" s="10">
        <v>20201118</v>
      </c>
      <c r="M5815" s="36" t="str">
        <f t="shared" si="90"/>
        <v>19781221</v>
      </c>
    </row>
    <row r="5816" s="1" customFormat="1" spans="1:13">
      <c r="A5816" s="2">
        <v>7486</v>
      </c>
      <c r="B5816" s="5" t="s">
        <v>14402</v>
      </c>
      <c r="C5816" s="5" t="s">
        <v>14587</v>
      </c>
      <c r="D5816" s="5" t="s">
        <v>14588</v>
      </c>
      <c r="E5816" s="5">
        <v>2020</v>
      </c>
      <c r="F5816" s="5">
        <v>2020</v>
      </c>
      <c r="G5816" s="17" t="s">
        <v>16</v>
      </c>
      <c r="H5816" s="5">
        <v>200</v>
      </c>
      <c r="I5816" s="5">
        <v>200</v>
      </c>
      <c r="J5816" s="5"/>
      <c r="K5816" s="10"/>
      <c r="L5816" s="10">
        <v>20201118</v>
      </c>
      <c r="M5816" s="36" t="str">
        <f t="shared" si="90"/>
        <v>19781222</v>
      </c>
    </row>
    <row r="5817" s="1" customFormat="1" spans="1:13">
      <c r="A5817" s="2">
        <v>2691</v>
      </c>
      <c r="B5817" s="32" t="s">
        <v>5602</v>
      </c>
      <c r="C5817" s="9" t="s">
        <v>5914</v>
      </c>
      <c r="D5817" s="9" t="s">
        <v>5915</v>
      </c>
      <c r="E5817" s="32">
        <v>2020</v>
      </c>
      <c r="F5817" s="32">
        <v>2020</v>
      </c>
      <c r="G5817" s="32" t="s">
        <v>16</v>
      </c>
      <c r="H5817" s="9">
        <v>200</v>
      </c>
      <c r="I5817" s="9">
        <v>200</v>
      </c>
      <c r="J5817" s="32" t="s">
        <v>5625</v>
      </c>
      <c r="K5817" s="52"/>
      <c r="L5817" s="10">
        <v>20201118</v>
      </c>
      <c r="M5817" s="36" t="str">
        <f t="shared" si="90"/>
        <v>19781223</v>
      </c>
    </row>
    <row r="5818" s="1" customFormat="1" ht="14.25" spans="1:13">
      <c r="A5818" s="2">
        <v>7673</v>
      </c>
      <c r="B5818" s="5" t="s">
        <v>14875</v>
      </c>
      <c r="C5818" s="51" t="s">
        <v>14915</v>
      </c>
      <c r="D5818" s="24" t="str">
        <f>"152326197812307128"</f>
        <v>152326197812307128</v>
      </c>
      <c r="E5818" s="6" t="s">
        <v>15</v>
      </c>
      <c r="F5818" s="6">
        <v>2020</v>
      </c>
      <c r="G5818" s="24" t="s">
        <v>14877</v>
      </c>
      <c r="H5818" s="6">
        <v>200</v>
      </c>
      <c r="I5818" s="6">
        <v>200</v>
      </c>
      <c r="J5818" s="6"/>
      <c r="K5818" s="10"/>
      <c r="L5818" s="10">
        <v>20201118</v>
      </c>
      <c r="M5818" s="36" t="str">
        <f t="shared" si="90"/>
        <v>19781230</v>
      </c>
    </row>
    <row r="5819" s="1" customFormat="1" spans="1:13">
      <c r="A5819" s="2">
        <v>4899</v>
      </c>
      <c r="B5819" s="6" t="s">
        <v>9015</v>
      </c>
      <c r="C5819" s="6" t="s">
        <v>9936</v>
      </c>
      <c r="D5819" s="293" t="s">
        <v>9937</v>
      </c>
      <c r="E5819" s="6">
        <v>2020</v>
      </c>
      <c r="F5819" s="6">
        <v>2020</v>
      </c>
      <c r="G5819" s="6" t="s">
        <v>189</v>
      </c>
      <c r="H5819" s="6">
        <v>200</v>
      </c>
      <c r="I5819" s="6">
        <v>200</v>
      </c>
      <c r="J5819" s="6"/>
      <c r="K5819" s="6"/>
      <c r="L5819" s="10">
        <v>20201118</v>
      </c>
      <c r="M5819" s="36" t="str">
        <f t="shared" si="90"/>
        <v>19790102</v>
      </c>
    </row>
    <row r="5820" s="1" customFormat="1" spans="1:13">
      <c r="A5820" s="2">
        <v>6841</v>
      </c>
      <c r="B5820" s="5" t="s">
        <v>13533</v>
      </c>
      <c r="C5820" s="32" t="s">
        <v>13592</v>
      </c>
      <c r="D5820" s="32" t="str">
        <f>"152326197901027136"</f>
        <v>152326197901027136</v>
      </c>
      <c r="E5820" s="5">
        <v>2020</v>
      </c>
      <c r="F5820" s="5">
        <v>2020</v>
      </c>
      <c r="G5820" s="9" t="s">
        <v>2480</v>
      </c>
      <c r="H5820" s="32">
        <v>200</v>
      </c>
      <c r="I5820" s="32">
        <v>200</v>
      </c>
      <c r="J5820" s="62"/>
      <c r="K5820" s="10"/>
      <c r="L5820" s="10">
        <v>20201118</v>
      </c>
      <c r="M5820" s="36" t="str">
        <f t="shared" si="90"/>
        <v>19790102</v>
      </c>
    </row>
    <row r="5821" s="1" customFormat="1" spans="1:13">
      <c r="A5821" s="2">
        <v>7901</v>
      </c>
      <c r="B5821" s="5" t="s">
        <v>15086</v>
      </c>
      <c r="C5821" s="6" t="s">
        <v>15177</v>
      </c>
      <c r="D5821" s="6" t="str">
        <f>"152326197901046871"</f>
        <v>152326197901046871</v>
      </c>
      <c r="E5821" s="5" t="s">
        <v>15</v>
      </c>
      <c r="F5821" s="5">
        <v>2020</v>
      </c>
      <c r="G5821" s="5" t="s">
        <v>16</v>
      </c>
      <c r="H5821" s="5">
        <v>500</v>
      </c>
      <c r="I5821" s="5">
        <v>500</v>
      </c>
      <c r="J5821" s="5"/>
      <c r="K5821" s="5"/>
      <c r="L5821" s="10">
        <v>20201118</v>
      </c>
      <c r="M5821" s="36" t="str">
        <f t="shared" si="90"/>
        <v>19790104</v>
      </c>
    </row>
    <row r="5822" s="1" customFormat="1" spans="1:13">
      <c r="A5822" s="2">
        <v>3167</v>
      </c>
      <c r="B5822" s="3" t="s">
        <v>6671</v>
      </c>
      <c r="C5822" s="9" t="s">
        <v>6848</v>
      </c>
      <c r="D5822" s="9" t="s">
        <v>6849</v>
      </c>
      <c r="E5822" s="3" t="s">
        <v>15</v>
      </c>
      <c r="F5822" s="3" t="s">
        <v>15</v>
      </c>
      <c r="G5822" s="6" t="s">
        <v>3359</v>
      </c>
      <c r="H5822" s="9">
        <v>200</v>
      </c>
      <c r="I5822" s="9">
        <v>200</v>
      </c>
      <c r="J5822" s="6"/>
      <c r="K5822" s="5"/>
      <c r="L5822" s="10">
        <v>20201118</v>
      </c>
      <c r="M5822" s="36" t="str">
        <f t="shared" si="90"/>
        <v>19790108</v>
      </c>
    </row>
    <row r="5823" s="1" customFormat="1" spans="1:13">
      <c r="A5823" s="2">
        <v>3987</v>
      </c>
      <c r="B5823" s="5" t="s">
        <v>7412</v>
      </c>
      <c r="C5823" s="5" t="s">
        <v>8195</v>
      </c>
      <c r="D5823" s="5" t="s">
        <v>8196</v>
      </c>
      <c r="E5823" s="6">
        <v>2020</v>
      </c>
      <c r="F5823" s="6">
        <v>2020</v>
      </c>
      <c r="G5823" s="5" t="s">
        <v>3359</v>
      </c>
      <c r="H5823" s="5">
        <v>200</v>
      </c>
      <c r="I5823" s="5">
        <v>200</v>
      </c>
      <c r="J5823" s="5"/>
      <c r="K5823" s="5"/>
      <c r="L5823" s="10">
        <v>20201118</v>
      </c>
      <c r="M5823" s="36" t="str">
        <f t="shared" si="90"/>
        <v>19790110</v>
      </c>
    </row>
    <row r="5824" s="1" customFormat="1" spans="1:13">
      <c r="A5824" s="2">
        <v>1209</v>
      </c>
      <c r="B5824" s="5" t="s">
        <v>2469</v>
      </c>
      <c r="C5824" s="9" t="s">
        <v>3000</v>
      </c>
      <c r="D5824" s="9" t="s">
        <v>3001</v>
      </c>
      <c r="E5824" s="5">
        <v>2020</v>
      </c>
      <c r="F5824" s="5">
        <v>2020</v>
      </c>
      <c r="G5824" s="9" t="s">
        <v>2480</v>
      </c>
      <c r="H5824" s="9">
        <v>200</v>
      </c>
      <c r="I5824" s="9">
        <v>200</v>
      </c>
      <c r="J5824" s="5"/>
      <c r="K5824" s="5"/>
      <c r="L5824" s="10">
        <v>20201118</v>
      </c>
      <c r="M5824" s="36" t="str">
        <f t="shared" si="90"/>
        <v>19790111</v>
      </c>
    </row>
    <row r="5825" s="1" customFormat="1" ht="14.25" spans="1:13">
      <c r="A5825" s="2">
        <v>2817</v>
      </c>
      <c r="B5825" s="6" t="s">
        <v>6075</v>
      </c>
      <c r="C5825" s="25" t="s">
        <v>6161</v>
      </c>
      <c r="D5825" s="26" t="s">
        <v>6162</v>
      </c>
      <c r="E5825" s="5" t="s">
        <v>15</v>
      </c>
      <c r="F5825" s="5">
        <v>2020</v>
      </c>
      <c r="G5825" s="6" t="s">
        <v>16</v>
      </c>
      <c r="H5825" s="6">
        <v>200</v>
      </c>
      <c r="I5825" s="6">
        <v>200</v>
      </c>
      <c r="J5825" s="6"/>
      <c r="K5825" s="10"/>
      <c r="L5825" s="10">
        <v>20201118</v>
      </c>
      <c r="M5825" s="36" t="str">
        <f t="shared" si="90"/>
        <v>19790115</v>
      </c>
    </row>
    <row r="5826" s="1" customFormat="1" spans="1:13">
      <c r="A5826" s="2">
        <v>3988</v>
      </c>
      <c r="B5826" s="5" t="s">
        <v>7412</v>
      </c>
      <c r="C5826" s="5" t="s">
        <v>8197</v>
      </c>
      <c r="D5826" s="5" t="s">
        <v>8198</v>
      </c>
      <c r="E5826" s="6">
        <v>2020</v>
      </c>
      <c r="F5826" s="6">
        <v>2020</v>
      </c>
      <c r="G5826" s="5" t="s">
        <v>3359</v>
      </c>
      <c r="H5826" s="5">
        <v>200</v>
      </c>
      <c r="I5826" s="5">
        <v>200</v>
      </c>
      <c r="J5826" s="5"/>
      <c r="K5826" s="5"/>
      <c r="L5826" s="10">
        <v>20201118</v>
      </c>
      <c r="M5826" s="36" t="str">
        <f t="shared" ref="M5826:M5889" si="91">MID(D5826,7,8)</f>
        <v>19790115</v>
      </c>
    </row>
    <row r="5827" s="1" customFormat="1" spans="1:13">
      <c r="A5827" s="2">
        <v>3989</v>
      </c>
      <c r="B5827" s="5" t="s">
        <v>7412</v>
      </c>
      <c r="C5827" s="5" t="s">
        <v>8199</v>
      </c>
      <c r="D5827" s="5" t="s">
        <v>8200</v>
      </c>
      <c r="E5827" s="6">
        <v>2020</v>
      </c>
      <c r="F5827" s="6">
        <v>2020</v>
      </c>
      <c r="G5827" s="5" t="s">
        <v>3359</v>
      </c>
      <c r="H5827" s="5">
        <v>200</v>
      </c>
      <c r="I5827" s="5">
        <v>200</v>
      </c>
      <c r="J5827" s="5"/>
      <c r="K5827" s="5"/>
      <c r="L5827" s="10">
        <v>20201118</v>
      </c>
      <c r="M5827" s="36" t="str">
        <f t="shared" si="91"/>
        <v>19790116</v>
      </c>
    </row>
    <row r="5828" s="1" customFormat="1" spans="1:13">
      <c r="A5828" s="2">
        <v>1716</v>
      </c>
      <c r="B5828" s="5" t="s">
        <v>3381</v>
      </c>
      <c r="C5828" s="9" t="s">
        <v>2154</v>
      </c>
      <c r="D5828" s="9" t="s">
        <v>3993</v>
      </c>
      <c r="E5828" s="5">
        <v>2020</v>
      </c>
      <c r="F5828" s="5">
        <v>2020</v>
      </c>
      <c r="G5828" s="14" t="s">
        <v>16</v>
      </c>
      <c r="H5828" s="6">
        <v>200</v>
      </c>
      <c r="I5828" s="6">
        <v>200</v>
      </c>
      <c r="J5828" s="5"/>
      <c r="K5828" s="13"/>
      <c r="L5828" s="10">
        <v>20201118</v>
      </c>
      <c r="M5828" s="36" t="str">
        <f t="shared" si="91"/>
        <v>19790121</v>
      </c>
    </row>
    <row r="5829" s="1" customFormat="1" ht="14.25" spans="1:13">
      <c r="A5829" s="2">
        <v>6064</v>
      </c>
      <c r="B5829" s="30" t="s">
        <v>11090</v>
      </c>
      <c r="C5829" s="32" t="s">
        <v>12170</v>
      </c>
      <c r="D5829" s="12" t="s">
        <v>12171</v>
      </c>
      <c r="E5829" s="5" t="s">
        <v>15</v>
      </c>
      <c r="F5829" s="5" t="s">
        <v>10250</v>
      </c>
      <c r="G5829" s="6" t="s">
        <v>16</v>
      </c>
      <c r="H5829" s="32">
        <v>200</v>
      </c>
      <c r="I5829" s="32">
        <v>200</v>
      </c>
      <c r="J5829" s="5"/>
      <c r="K5829" s="48"/>
      <c r="L5829" s="10">
        <v>20201118</v>
      </c>
      <c r="M5829" s="36" t="str">
        <f t="shared" si="91"/>
        <v>19790121</v>
      </c>
    </row>
    <row r="5830" s="1" customFormat="1" spans="1:13">
      <c r="A5830" s="2">
        <v>7361</v>
      </c>
      <c r="B5830" s="5" t="s">
        <v>13908</v>
      </c>
      <c r="C5830" s="5" t="s">
        <v>14351</v>
      </c>
      <c r="D5830" s="5" t="s">
        <v>14352</v>
      </c>
      <c r="E5830" s="5" t="s">
        <v>15</v>
      </c>
      <c r="F5830" s="5" t="s">
        <v>15</v>
      </c>
      <c r="G5830" s="14" t="s">
        <v>16</v>
      </c>
      <c r="H5830" s="17">
        <v>500</v>
      </c>
      <c r="I5830" s="17">
        <v>500</v>
      </c>
      <c r="J5830" s="5"/>
      <c r="K5830" s="10"/>
      <c r="L5830" s="10">
        <v>20201118</v>
      </c>
      <c r="M5830" s="36" t="str">
        <f t="shared" si="91"/>
        <v>19790121</v>
      </c>
    </row>
    <row r="5831" s="1" customFormat="1" spans="1:13">
      <c r="A5831" s="2">
        <v>529</v>
      </c>
      <c r="B5831" s="29" t="s">
        <v>1040</v>
      </c>
      <c r="C5831" s="29" t="s">
        <v>1335</v>
      </c>
      <c r="D5831" s="29" t="s">
        <v>1336</v>
      </c>
      <c r="E5831" s="30">
        <v>2020</v>
      </c>
      <c r="F5831" s="30">
        <v>2020</v>
      </c>
      <c r="G5831" s="29" t="s">
        <v>16</v>
      </c>
      <c r="H5831" s="29">
        <v>200</v>
      </c>
      <c r="I5831" s="29">
        <v>200</v>
      </c>
      <c r="J5831" s="29"/>
      <c r="K5831" s="47"/>
      <c r="L5831" s="14" t="s">
        <v>330</v>
      </c>
      <c r="M5831" s="36" t="str">
        <f t="shared" si="91"/>
        <v>19790123</v>
      </c>
    </row>
    <row r="5832" s="1" customFormat="1" ht="14.25" spans="1:13">
      <c r="A5832" s="2">
        <v>5397</v>
      </c>
      <c r="B5832" s="33" t="s">
        <v>10535</v>
      </c>
      <c r="C5832" s="34" t="s">
        <v>10900</v>
      </c>
      <c r="D5832" s="34" t="s">
        <v>10901</v>
      </c>
      <c r="E5832" s="35">
        <v>2020</v>
      </c>
      <c r="F5832" s="35">
        <v>2020</v>
      </c>
      <c r="G5832" s="35" t="s">
        <v>16</v>
      </c>
      <c r="H5832" s="34">
        <v>200</v>
      </c>
      <c r="I5832" s="34">
        <v>200</v>
      </c>
      <c r="J5832" s="49"/>
      <c r="K5832" s="10"/>
      <c r="L5832" s="10">
        <v>20201118</v>
      </c>
      <c r="M5832" s="36" t="str">
        <f t="shared" si="91"/>
        <v>19790124</v>
      </c>
    </row>
    <row r="5833" s="1" customFormat="1" spans="1:13">
      <c r="A5833" s="2">
        <v>3990</v>
      </c>
      <c r="B5833" s="5" t="s">
        <v>7412</v>
      </c>
      <c r="C5833" s="5" t="s">
        <v>8201</v>
      </c>
      <c r="D5833" s="5" t="s">
        <v>8202</v>
      </c>
      <c r="E5833" s="6">
        <v>2020</v>
      </c>
      <c r="F5833" s="6">
        <v>2020</v>
      </c>
      <c r="G5833" s="5" t="s">
        <v>3359</v>
      </c>
      <c r="H5833" s="5">
        <v>200</v>
      </c>
      <c r="I5833" s="5">
        <v>200</v>
      </c>
      <c r="J5833" s="5"/>
      <c r="K5833" s="5"/>
      <c r="L5833" s="10">
        <v>20201118</v>
      </c>
      <c r="M5833" s="36" t="str">
        <f t="shared" si="91"/>
        <v>19790125</v>
      </c>
    </row>
    <row r="5834" s="1" customFormat="1" spans="1:13">
      <c r="A5834" s="2">
        <v>4818</v>
      </c>
      <c r="B5834" s="6" t="s">
        <v>9015</v>
      </c>
      <c r="C5834" s="6" t="s">
        <v>9784</v>
      </c>
      <c r="D5834" s="293" t="s">
        <v>9785</v>
      </c>
      <c r="E5834" s="6">
        <v>2020</v>
      </c>
      <c r="F5834" s="6">
        <v>2020</v>
      </c>
      <c r="G5834" s="6" t="s">
        <v>16</v>
      </c>
      <c r="H5834" s="6">
        <v>200</v>
      </c>
      <c r="I5834" s="6">
        <v>200</v>
      </c>
      <c r="J5834" s="6"/>
      <c r="K5834" s="6"/>
      <c r="L5834" s="10">
        <v>20201118</v>
      </c>
      <c r="M5834" s="36" t="str">
        <f t="shared" si="91"/>
        <v>19790125</v>
      </c>
    </row>
    <row r="5835" s="1" customFormat="1" spans="1:13">
      <c r="A5835" s="2">
        <v>180</v>
      </c>
      <c r="B5835" s="14" t="s">
        <v>327</v>
      </c>
      <c r="C5835" s="14" t="s">
        <v>428</v>
      </c>
      <c r="D5835" s="14" t="s">
        <v>429</v>
      </c>
      <c r="E5835" s="5">
        <v>2020</v>
      </c>
      <c r="F5835" s="5">
        <v>2020</v>
      </c>
      <c r="G5835" s="14" t="s">
        <v>16</v>
      </c>
      <c r="H5835" s="14">
        <v>200</v>
      </c>
      <c r="I5835" s="14">
        <v>200</v>
      </c>
      <c r="J5835" s="14"/>
      <c r="K5835" s="10"/>
      <c r="L5835" s="14" t="s">
        <v>330</v>
      </c>
      <c r="M5835" s="36" t="str">
        <f t="shared" si="91"/>
        <v>19790127</v>
      </c>
    </row>
    <row r="5836" s="1" customFormat="1" spans="1:13">
      <c r="A5836" s="2">
        <v>2692</v>
      </c>
      <c r="B5836" s="32" t="s">
        <v>5602</v>
      </c>
      <c r="C5836" s="9" t="s">
        <v>5916</v>
      </c>
      <c r="D5836" s="9" t="s">
        <v>5917</v>
      </c>
      <c r="E5836" s="32">
        <v>2020</v>
      </c>
      <c r="F5836" s="32">
        <v>2020</v>
      </c>
      <c r="G5836" s="32" t="s">
        <v>16</v>
      </c>
      <c r="H5836" s="9">
        <v>200</v>
      </c>
      <c r="I5836" s="9">
        <v>200</v>
      </c>
      <c r="J5836" s="32"/>
      <c r="K5836" s="52"/>
      <c r="L5836" s="10">
        <v>20201118</v>
      </c>
      <c r="M5836" s="36" t="str">
        <f t="shared" si="91"/>
        <v>19790127</v>
      </c>
    </row>
    <row r="5837" s="1" customFormat="1" spans="1:13">
      <c r="A5837" s="2">
        <v>3991</v>
      </c>
      <c r="B5837" s="5" t="s">
        <v>7412</v>
      </c>
      <c r="C5837" s="5" t="s">
        <v>8203</v>
      </c>
      <c r="D5837" s="5" t="s">
        <v>8204</v>
      </c>
      <c r="E5837" s="6">
        <v>2020</v>
      </c>
      <c r="F5837" s="6">
        <v>2020</v>
      </c>
      <c r="G5837" s="5" t="s">
        <v>3359</v>
      </c>
      <c r="H5837" s="5">
        <v>200</v>
      </c>
      <c r="I5837" s="5">
        <v>200</v>
      </c>
      <c r="J5837" s="5"/>
      <c r="K5837" s="5"/>
      <c r="L5837" s="10">
        <v>20201118</v>
      </c>
      <c r="M5837" s="36" t="str">
        <f t="shared" si="91"/>
        <v>19790127</v>
      </c>
    </row>
    <row r="5838" s="1" customFormat="1" spans="1:13">
      <c r="A5838" s="2">
        <v>1398</v>
      </c>
      <c r="B5838" s="5" t="s">
        <v>2469</v>
      </c>
      <c r="C5838" s="9" t="s">
        <v>3357</v>
      </c>
      <c r="D5838" s="287" t="s">
        <v>3358</v>
      </c>
      <c r="E5838" s="5">
        <v>2020</v>
      </c>
      <c r="F5838" s="5">
        <v>2020</v>
      </c>
      <c r="G5838" s="9" t="s">
        <v>3359</v>
      </c>
      <c r="H5838" s="9">
        <v>200</v>
      </c>
      <c r="I5838" s="9">
        <v>200</v>
      </c>
      <c r="J5838" s="5"/>
      <c r="K5838" s="5"/>
      <c r="L5838" s="10">
        <v>20201118</v>
      </c>
      <c r="M5838" s="36" t="str">
        <f t="shared" si="91"/>
        <v>19790129</v>
      </c>
    </row>
    <row r="5839" s="1" customFormat="1" spans="1:13">
      <c r="A5839" s="2">
        <v>1210</v>
      </c>
      <c r="B5839" s="5" t="s">
        <v>2469</v>
      </c>
      <c r="C5839" s="9" t="s">
        <v>3002</v>
      </c>
      <c r="D5839" s="9" t="s">
        <v>3003</v>
      </c>
      <c r="E5839" s="5">
        <v>2020</v>
      </c>
      <c r="F5839" s="5">
        <v>2020</v>
      </c>
      <c r="G5839" s="9" t="s">
        <v>2480</v>
      </c>
      <c r="H5839" s="9">
        <v>200</v>
      </c>
      <c r="I5839" s="9">
        <v>200</v>
      </c>
      <c r="J5839" s="5"/>
      <c r="K5839" s="5"/>
      <c r="L5839" s="10">
        <v>20201118</v>
      </c>
      <c r="M5839" s="36" t="str">
        <f t="shared" si="91"/>
        <v>19790130</v>
      </c>
    </row>
    <row r="5840" s="1" customFormat="1" spans="1:13">
      <c r="A5840" s="2">
        <v>106</v>
      </c>
      <c r="B5840" s="3" t="s">
        <v>12</v>
      </c>
      <c r="C5840" s="6" t="s">
        <v>228</v>
      </c>
      <c r="D5840" s="6" t="s">
        <v>229</v>
      </c>
      <c r="E5840" s="3" t="s">
        <v>15</v>
      </c>
      <c r="F5840" s="3" t="s">
        <v>15</v>
      </c>
      <c r="G5840" s="2" t="s">
        <v>16</v>
      </c>
      <c r="H5840" s="3">
        <v>200</v>
      </c>
      <c r="I5840" s="3">
        <v>200</v>
      </c>
      <c r="J5840" s="3"/>
      <c r="K5840" s="3"/>
      <c r="L5840" s="10">
        <v>20201118</v>
      </c>
      <c r="M5840" s="36" t="str">
        <f t="shared" si="91"/>
        <v>19790201</v>
      </c>
    </row>
    <row r="5841" s="1" customFormat="1" spans="1:13">
      <c r="A5841" s="2">
        <v>6720</v>
      </c>
      <c r="B5841" s="5" t="s">
        <v>13027</v>
      </c>
      <c r="C5841" s="15" t="s">
        <v>13410</v>
      </c>
      <c r="D5841" s="15" t="s">
        <v>13411</v>
      </c>
      <c r="E5841" s="5">
        <v>2020</v>
      </c>
      <c r="F5841" s="5">
        <v>2020</v>
      </c>
      <c r="G5841" s="14" t="s">
        <v>16</v>
      </c>
      <c r="H5841" s="15">
        <v>200</v>
      </c>
      <c r="I5841" s="15">
        <v>200</v>
      </c>
      <c r="J5841" s="5"/>
      <c r="K5841" s="10"/>
      <c r="L5841" s="10">
        <v>20201118</v>
      </c>
      <c r="M5841" s="36" t="str">
        <f t="shared" si="91"/>
        <v>19790201</v>
      </c>
    </row>
    <row r="5842" s="1" customFormat="1" spans="1:13">
      <c r="A5842" s="2">
        <v>15</v>
      </c>
      <c r="B5842" s="31" t="s">
        <v>12</v>
      </c>
      <c r="C5842" s="31" t="s">
        <v>44</v>
      </c>
      <c r="D5842" s="31" t="s">
        <v>45</v>
      </c>
      <c r="E5842" s="3" t="s">
        <v>15</v>
      </c>
      <c r="F5842" s="3" t="s">
        <v>15</v>
      </c>
      <c r="G5842" s="2" t="s">
        <v>16</v>
      </c>
      <c r="H5842" s="31">
        <v>500</v>
      </c>
      <c r="I5842" s="31">
        <v>500</v>
      </c>
      <c r="J5842" s="31"/>
      <c r="K5842" s="17"/>
      <c r="L5842" s="10">
        <v>20201118</v>
      </c>
      <c r="M5842" s="36" t="str">
        <f t="shared" si="91"/>
        <v>19790202</v>
      </c>
    </row>
    <row r="5843" s="1" customFormat="1" spans="1:13">
      <c r="A5843" s="2">
        <v>741</v>
      </c>
      <c r="B5843" s="29" t="s">
        <v>1040</v>
      </c>
      <c r="C5843" s="5" t="s">
        <v>1873</v>
      </c>
      <c r="D5843" s="317" t="s">
        <v>1874</v>
      </c>
      <c r="E5843" s="30">
        <v>2020</v>
      </c>
      <c r="F5843" s="30">
        <v>2020</v>
      </c>
      <c r="G5843" s="29" t="s">
        <v>16</v>
      </c>
      <c r="H5843" s="29">
        <v>200</v>
      </c>
      <c r="I5843" s="29">
        <v>200</v>
      </c>
      <c r="J5843" s="32"/>
      <c r="K5843" s="32"/>
      <c r="L5843" s="2" t="s">
        <v>330</v>
      </c>
      <c r="M5843" s="36" t="str">
        <f t="shared" si="91"/>
        <v>19790202</v>
      </c>
    </row>
    <row r="5844" s="1" customFormat="1" spans="1:13">
      <c r="A5844" s="2">
        <v>4849</v>
      </c>
      <c r="B5844" s="6" t="s">
        <v>9015</v>
      </c>
      <c r="C5844" s="6" t="s">
        <v>9842</v>
      </c>
      <c r="D5844" s="293" t="s">
        <v>9843</v>
      </c>
      <c r="E5844" s="6">
        <v>2020</v>
      </c>
      <c r="F5844" s="6">
        <v>2020</v>
      </c>
      <c r="G5844" s="6" t="s">
        <v>16</v>
      </c>
      <c r="H5844" s="6">
        <v>200</v>
      </c>
      <c r="I5844" s="6">
        <v>200</v>
      </c>
      <c r="J5844" s="6"/>
      <c r="K5844" s="6"/>
      <c r="L5844" s="10">
        <v>20201118</v>
      </c>
      <c r="M5844" s="36" t="str">
        <f t="shared" si="91"/>
        <v>19790204</v>
      </c>
    </row>
    <row r="5845" s="1" customFormat="1" spans="1:13">
      <c r="A5845" s="2">
        <v>3992</v>
      </c>
      <c r="B5845" s="5" t="s">
        <v>7412</v>
      </c>
      <c r="C5845" s="5" t="s">
        <v>8205</v>
      </c>
      <c r="D5845" s="5" t="s">
        <v>8206</v>
      </c>
      <c r="E5845" s="6">
        <v>2020</v>
      </c>
      <c r="F5845" s="6">
        <v>2020</v>
      </c>
      <c r="G5845" s="5" t="s">
        <v>3359</v>
      </c>
      <c r="H5845" s="5">
        <v>200</v>
      </c>
      <c r="I5845" s="5">
        <v>200</v>
      </c>
      <c r="J5845" s="5"/>
      <c r="K5845" s="5"/>
      <c r="L5845" s="10">
        <v>20201118</v>
      </c>
      <c r="M5845" s="36" t="str">
        <f t="shared" si="91"/>
        <v>19790205</v>
      </c>
    </row>
    <row r="5846" s="1" customFormat="1" ht="14.25" spans="1:13">
      <c r="A5846" s="2">
        <v>3032</v>
      </c>
      <c r="B5846" s="6" t="s">
        <v>6075</v>
      </c>
      <c r="C5846" s="25" t="s">
        <v>6587</v>
      </c>
      <c r="D5846" s="26" t="s">
        <v>6588</v>
      </c>
      <c r="E5846" s="5" t="s">
        <v>15</v>
      </c>
      <c r="F5846" s="5">
        <v>2020</v>
      </c>
      <c r="G5846" s="6" t="s">
        <v>16</v>
      </c>
      <c r="H5846" s="6">
        <v>200</v>
      </c>
      <c r="I5846" s="6">
        <v>200</v>
      </c>
      <c r="J5846" s="6"/>
      <c r="K5846" s="10"/>
      <c r="L5846" s="10">
        <v>20201118</v>
      </c>
      <c r="M5846" s="36" t="str">
        <f t="shared" si="91"/>
        <v>19790206</v>
      </c>
    </row>
    <row r="5847" s="1" customFormat="1" spans="1:13">
      <c r="A5847" s="2">
        <v>4900</v>
      </c>
      <c r="B5847" s="6" t="s">
        <v>9015</v>
      </c>
      <c r="C5847" s="6" t="s">
        <v>9938</v>
      </c>
      <c r="D5847" s="293" t="s">
        <v>9939</v>
      </c>
      <c r="E5847" s="6">
        <v>2020</v>
      </c>
      <c r="F5847" s="6">
        <v>2020</v>
      </c>
      <c r="G5847" s="6" t="s">
        <v>189</v>
      </c>
      <c r="H5847" s="6">
        <v>200</v>
      </c>
      <c r="I5847" s="6">
        <v>200</v>
      </c>
      <c r="J5847" s="6"/>
      <c r="K5847" s="6"/>
      <c r="L5847" s="10">
        <v>20201118</v>
      </c>
      <c r="M5847" s="36" t="str">
        <f t="shared" si="91"/>
        <v>19790206</v>
      </c>
    </row>
    <row r="5848" s="1" customFormat="1" spans="1:13">
      <c r="A5848" s="2">
        <v>3144</v>
      </c>
      <c r="B5848" s="3" t="s">
        <v>6671</v>
      </c>
      <c r="C5848" s="9" t="s">
        <v>6807</v>
      </c>
      <c r="D5848" s="9" t="s">
        <v>6808</v>
      </c>
      <c r="E5848" s="3" t="s">
        <v>15</v>
      </c>
      <c r="F5848" s="3" t="s">
        <v>15</v>
      </c>
      <c r="G5848" s="6" t="s">
        <v>3359</v>
      </c>
      <c r="H5848" s="9">
        <v>200</v>
      </c>
      <c r="I5848" s="9">
        <v>200</v>
      </c>
      <c r="J5848" s="6"/>
      <c r="K5848" s="5"/>
      <c r="L5848" s="10">
        <v>20201118</v>
      </c>
      <c r="M5848" s="36" t="str">
        <f t="shared" si="91"/>
        <v>19790208</v>
      </c>
    </row>
    <row r="5849" s="1" customFormat="1" spans="1:13">
      <c r="A5849" s="2">
        <v>6277</v>
      </c>
      <c r="B5849" s="5" t="s">
        <v>12263</v>
      </c>
      <c r="C5849" s="5" t="s">
        <v>12576</v>
      </c>
      <c r="D5849" s="5" t="s">
        <v>12577</v>
      </c>
      <c r="E5849" s="5" t="s">
        <v>10250</v>
      </c>
      <c r="F5849" s="5">
        <v>2020</v>
      </c>
      <c r="G5849" s="17" t="s">
        <v>3359</v>
      </c>
      <c r="H5849" s="5">
        <v>500</v>
      </c>
      <c r="I5849" s="5">
        <v>500</v>
      </c>
      <c r="J5849" s="5"/>
      <c r="K5849" s="5"/>
      <c r="L5849" s="10">
        <v>20201118</v>
      </c>
      <c r="M5849" s="36" t="str">
        <f t="shared" si="91"/>
        <v>19790208</v>
      </c>
    </row>
    <row r="5850" s="1" customFormat="1" spans="1:13">
      <c r="A5850" s="2">
        <v>3198</v>
      </c>
      <c r="B5850" s="3" t="s">
        <v>6671</v>
      </c>
      <c r="C5850" s="9" t="s">
        <v>6906</v>
      </c>
      <c r="D5850" s="9" t="s">
        <v>6907</v>
      </c>
      <c r="E5850" s="3" t="s">
        <v>15</v>
      </c>
      <c r="F5850" s="3" t="s">
        <v>15</v>
      </c>
      <c r="G5850" s="6" t="s">
        <v>3359</v>
      </c>
      <c r="H5850" s="9">
        <v>200</v>
      </c>
      <c r="I5850" s="9">
        <v>200</v>
      </c>
      <c r="J5850" s="6"/>
      <c r="K5850" s="5"/>
      <c r="L5850" s="10">
        <v>20201118</v>
      </c>
      <c r="M5850" s="36" t="str">
        <f t="shared" si="91"/>
        <v>19790209</v>
      </c>
    </row>
    <row r="5851" s="1" customFormat="1" spans="1:13">
      <c r="A5851" s="2">
        <v>7478</v>
      </c>
      <c r="B5851" s="5" t="s">
        <v>14402</v>
      </c>
      <c r="C5851" s="5" t="s">
        <v>14572</v>
      </c>
      <c r="D5851" s="5" t="s">
        <v>14573</v>
      </c>
      <c r="E5851" s="5">
        <v>2020</v>
      </c>
      <c r="F5851" s="5">
        <v>2020</v>
      </c>
      <c r="G5851" s="17" t="s">
        <v>16</v>
      </c>
      <c r="H5851" s="5">
        <v>200</v>
      </c>
      <c r="I5851" s="5">
        <v>200</v>
      </c>
      <c r="J5851" s="5"/>
      <c r="K5851" s="10"/>
      <c r="L5851" s="10">
        <v>20201118</v>
      </c>
      <c r="M5851" s="36" t="str">
        <f t="shared" si="91"/>
        <v>19790209</v>
      </c>
    </row>
    <row r="5852" s="1" customFormat="1" ht="14.25" spans="1:13">
      <c r="A5852" s="2">
        <v>2793</v>
      </c>
      <c r="B5852" s="6" t="s">
        <v>6075</v>
      </c>
      <c r="C5852" s="25" t="s">
        <v>6116</v>
      </c>
      <c r="D5852" s="26" t="s">
        <v>6117</v>
      </c>
      <c r="E5852" s="5" t="s">
        <v>15</v>
      </c>
      <c r="F5852" s="5">
        <v>2020</v>
      </c>
      <c r="G5852" s="6" t="s">
        <v>16</v>
      </c>
      <c r="H5852" s="6">
        <v>200</v>
      </c>
      <c r="I5852" s="6">
        <v>200</v>
      </c>
      <c r="J5852" s="6"/>
      <c r="K5852" s="10"/>
      <c r="L5852" s="10">
        <v>20201118</v>
      </c>
      <c r="M5852" s="36" t="str">
        <f t="shared" si="91"/>
        <v>19790213</v>
      </c>
    </row>
    <row r="5853" s="1" customFormat="1" spans="1:13">
      <c r="A5853" s="2">
        <v>3324</v>
      </c>
      <c r="B5853" s="5" t="s">
        <v>3375</v>
      </c>
      <c r="C5853" s="6" t="s">
        <v>7099</v>
      </c>
      <c r="D5853" s="6" t="str">
        <f>"152326197902136860"</f>
        <v>152326197902136860</v>
      </c>
      <c r="E5853" s="5" t="s">
        <v>15</v>
      </c>
      <c r="F5853" s="5">
        <v>2020</v>
      </c>
      <c r="G5853" s="14" t="s">
        <v>16</v>
      </c>
      <c r="H5853" s="17">
        <v>200</v>
      </c>
      <c r="I5853" s="17">
        <v>200</v>
      </c>
      <c r="J5853" s="6"/>
      <c r="K5853" s="10"/>
      <c r="L5853" s="10">
        <v>20201118</v>
      </c>
      <c r="M5853" s="36" t="str">
        <f t="shared" si="91"/>
        <v>19790213</v>
      </c>
    </row>
    <row r="5854" s="1" customFormat="1" spans="1:13">
      <c r="A5854" s="2">
        <v>5921</v>
      </c>
      <c r="B5854" s="30" t="s">
        <v>11090</v>
      </c>
      <c r="C5854" s="30" t="s">
        <v>11891</v>
      </c>
      <c r="D5854" s="30" t="s">
        <v>11892</v>
      </c>
      <c r="E5854" s="5" t="s">
        <v>15</v>
      </c>
      <c r="F5854" s="5" t="s">
        <v>10250</v>
      </c>
      <c r="G5854" s="6" t="s">
        <v>16</v>
      </c>
      <c r="H5854" s="32">
        <v>200</v>
      </c>
      <c r="I5854" s="32">
        <v>200</v>
      </c>
      <c r="J5854" s="6"/>
      <c r="K5854" s="48"/>
      <c r="L5854" s="10">
        <v>20201118</v>
      </c>
      <c r="M5854" s="36" t="str">
        <f t="shared" si="91"/>
        <v>19790215</v>
      </c>
    </row>
    <row r="5855" s="1" customFormat="1" spans="1:13">
      <c r="A5855" s="2">
        <v>4969</v>
      </c>
      <c r="B5855" s="6" t="s">
        <v>9954</v>
      </c>
      <c r="C5855" s="60" t="s">
        <v>10078</v>
      </c>
      <c r="D5855" s="60" t="s">
        <v>10079</v>
      </c>
      <c r="E5855" s="5" t="s">
        <v>15</v>
      </c>
      <c r="F5855" s="5" t="s">
        <v>15</v>
      </c>
      <c r="G5855" s="14" t="s">
        <v>16</v>
      </c>
      <c r="H5855" s="6">
        <v>200</v>
      </c>
      <c r="I5855" s="6">
        <v>200</v>
      </c>
      <c r="J5855" s="6"/>
      <c r="K5855" s="6"/>
      <c r="L5855" s="10">
        <v>20201118</v>
      </c>
      <c r="M5855" s="36" t="str">
        <f t="shared" si="91"/>
        <v>19790216</v>
      </c>
    </row>
    <row r="5856" s="1" customFormat="1" spans="1:13">
      <c r="A5856" s="2">
        <v>281</v>
      </c>
      <c r="B5856" s="14" t="s">
        <v>327</v>
      </c>
      <c r="C5856" s="17" t="s">
        <v>729</v>
      </c>
      <c r="D5856" s="306" t="s">
        <v>730</v>
      </c>
      <c r="E5856" s="5">
        <v>2020</v>
      </c>
      <c r="F5856" s="5">
        <v>2020</v>
      </c>
      <c r="G5856" s="14" t="s">
        <v>16</v>
      </c>
      <c r="H5856" s="17">
        <v>200</v>
      </c>
      <c r="I5856" s="17">
        <v>200</v>
      </c>
      <c r="J5856" s="17"/>
      <c r="K5856" s="10"/>
      <c r="L5856" s="2" t="s">
        <v>330</v>
      </c>
      <c r="M5856" s="36" t="str">
        <f t="shared" si="91"/>
        <v>19790217</v>
      </c>
    </row>
    <row r="5857" s="1" customFormat="1" spans="1:13">
      <c r="A5857" s="2">
        <v>8195</v>
      </c>
      <c r="B5857" s="5" t="s">
        <v>15406</v>
      </c>
      <c r="C5857" s="6" t="s">
        <v>15575</v>
      </c>
      <c r="D5857" s="6" t="s">
        <v>15576</v>
      </c>
      <c r="E5857" s="5" t="s">
        <v>15</v>
      </c>
      <c r="F5857" s="5">
        <v>2020</v>
      </c>
      <c r="G5857" s="14" t="s">
        <v>16</v>
      </c>
      <c r="H5857" s="6">
        <v>200</v>
      </c>
      <c r="I5857" s="6">
        <v>200</v>
      </c>
      <c r="J5857" s="5"/>
      <c r="K5857" s="10"/>
      <c r="L5857" s="10">
        <v>20201118</v>
      </c>
      <c r="M5857" s="36" t="str">
        <f t="shared" si="91"/>
        <v>19790217</v>
      </c>
    </row>
    <row r="5858" s="1" customFormat="1" ht="14.25" spans="1:13">
      <c r="A5858" s="2">
        <v>7668</v>
      </c>
      <c r="B5858" s="5" t="s">
        <v>14875</v>
      </c>
      <c r="C5858" s="51" t="s">
        <v>14910</v>
      </c>
      <c r="D5858" s="24" t="s">
        <v>14911</v>
      </c>
      <c r="E5858" s="6" t="s">
        <v>15</v>
      </c>
      <c r="F5858" s="6">
        <v>2020</v>
      </c>
      <c r="G5858" s="24" t="s">
        <v>14877</v>
      </c>
      <c r="H5858" s="6">
        <v>200</v>
      </c>
      <c r="I5858" s="6">
        <v>200</v>
      </c>
      <c r="J5858" s="6"/>
      <c r="K5858" s="10"/>
      <c r="L5858" s="10">
        <v>20201118</v>
      </c>
      <c r="M5858" s="36" t="str">
        <f t="shared" si="91"/>
        <v>19790219</v>
      </c>
    </row>
    <row r="5859" s="1" customFormat="1" spans="1:13">
      <c r="A5859" s="2">
        <v>8170</v>
      </c>
      <c r="B5859" s="5" t="s">
        <v>15406</v>
      </c>
      <c r="C5859" s="6" t="s">
        <v>15529</v>
      </c>
      <c r="D5859" s="6" t="s">
        <v>15530</v>
      </c>
      <c r="E5859" s="5" t="s">
        <v>15</v>
      </c>
      <c r="F5859" s="5">
        <v>2020</v>
      </c>
      <c r="G5859" s="14" t="s">
        <v>16</v>
      </c>
      <c r="H5859" s="6" t="s">
        <v>1700</v>
      </c>
      <c r="I5859" s="6">
        <v>300</v>
      </c>
      <c r="J5859" s="5"/>
      <c r="K5859" s="10"/>
      <c r="L5859" s="10">
        <v>20201118</v>
      </c>
      <c r="M5859" s="36" t="str">
        <f t="shared" si="91"/>
        <v>19790219</v>
      </c>
    </row>
    <row r="5860" s="1" customFormat="1" spans="1:13">
      <c r="A5860" s="2">
        <v>5155</v>
      </c>
      <c r="B5860" s="6" t="s">
        <v>10242</v>
      </c>
      <c r="C5860" s="9" t="s">
        <v>10436</v>
      </c>
      <c r="D5860" s="9" t="s">
        <v>10437</v>
      </c>
      <c r="E5860" s="5" t="s">
        <v>10250</v>
      </c>
      <c r="F5860" s="5">
        <v>2020</v>
      </c>
      <c r="G5860" s="6" t="s">
        <v>16</v>
      </c>
      <c r="H5860" s="6">
        <v>200</v>
      </c>
      <c r="I5860" s="6">
        <v>200</v>
      </c>
      <c r="J5860" s="6"/>
      <c r="K5860" s="5"/>
      <c r="L5860" s="10">
        <v>20201118</v>
      </c>
      <c r="M5860" s="36" t="str">
        <f t="shared" si="91"/>
        <v>19790221</v>
      </c>
    </row>
    <row r="5861" s="1" customFormat="1" spans="1:13">
      <c r="A5861" s="2">
        <v>3326</v>
      </c>
      <c r="B5861" s="5" t="s">
        <v>3375</v>
      </c>
      <c r="C5861" s="6" t="s">
        <v>7101</v>
      </c>
      <c r="D5861" s="6" t="str">
        <f>"152326197902226882"</f>
        <v>152326197902226882</v>
      </c>
      <c r="E5861" s="5" t="s">
        <v>15</v>
      </c>
      <c r="F5861" s="5">
        <v>2020</v>
      </c>
      <c r="G5861" s="14" t="s">
        <v>16</v>
      </c>
      <c r="H5861" s="17">
        <v>200</v>
      </c>
      <c r="I5861" s="17">
        <v>200</v>
      </c>
      <c r="J5861" s="6"/>
      <c r="K5861" s="10"/>
      <c r="L5861" s="10">
        <v>20201118</v>
      </c>
      <c r="M5861" s="36" t="str">
        <f t="shared" si="91"/>
        <v>19790222</v>
      </c>
    </row>
    <row r="5862" s="1" customFormat="1" spans="1:13">
      <c r="A5862" s="2">
        <v>8217</v>
      </c>
      <c r="B5862" s="5" t="s">
        <v>15406</v>
      </c>
      <c r="C5862" s="6" t="s">
        <v>15616</v>
      </c>
      <c r="D5862" s="293" t="s">
        <v>15617</v>
      </c>
      <c r="E5862" s="5" t="s">
        <v>15</v>
      </c>
      <c r="F5862" s="5">
        <v>2020</v>
      </c>
      <c r="G5862" s="5" t="s">
        <v>189</v>
      </c>
      <c r="H5862" s="6">
        <v>200</v>
      </c>
      <c r="I5862" s="6">
        <v>200</v>
      </c>
      <c r="J5862" s="5"/>
      <c r="K5862" s="10"/>
      <c r="L5862" s="10">
        <v>20201118</v>
      </c>
      <c r="M5862" s="36" t="str">
        <f t="shared" si="91"/>
        <v>19790225</v>
      </c>
    </row>
    <row r="5863" s="1" customFormat="1" spans="1:13">
      <c r="A5863" s="2">
        <v>323</v>
      </c>
      <c r="B5863" s="14" t="s">
        <v>327</v>
      </c>
      <c r="C5863" s="17" t="s">
        <v>857</v>
      </c>
      <c r="D5863" s="306" t="s">
        <v>858</v>
      </c>
      <c r="E5863" s="5">
        <v>2020</v>
      </c>
      <c r="F5863" s="5">
        <v>2020</v>
      </c>
      <c r="G5863" s="14" t="s">
        <v>16</v>
      </c>
      <c r="H5863" s="17">
        <v>200</v>
      </c>
      <c r="I5863" s="17">
        <v>200</v>
      </c>
      <c r="J5863" s="17"/>
      <c r="K5863" s="10"/>
      <c r="L5863" s="2" t="s">
        <v>330</v>
      </c>
      <c r="M5863" s="36" t="str">
        <f t="shared" si="91"/>
        <v>19790227</v>
      </c>
    </row>
    <row r="5864" s="1" customFormat="1" spans="1:13">
      <c r="A5864" s="2">
        <v>6721</v>
      </c>
      <c r="B5864" s="5" t="s">
        <v>13027</v>
      </c>
      <c r="C5864" s="15" t="s">
        <v>13412</v>
      </c>
      <c r="D5864" s="15" t="s">
        <v>13413</v>
      </c>
      <c r="E5864" s="5">
        <v>2020</v>
      </c>
      <c r="F5864" s="5">
        <v>2020</v>
      </c>
      <c r="G5864" s="14" t="s">
        <v>16</v>
      </c>
      <c r="H5864" s="15">
        <v>500</v>
      </c>
      <c r="I5864" s="15">
        <v>500</v>
      </c>
      <c r="J5864" s="5"/>
      <c r="K5864" s="10"/>
      <c r="L5864" s="10">
        <v>20201118</v>
      </c>
      <c r="M5864" s="36" t="str">
        <f t="shared" si="91"/>
        <v>19790227</v>
      </c>
    </row>
    <row r="5865" s="1" customFormat="1" spans="1:13">
      <c r="A5865" s="2">
        <v>4861</v>
      </c>
      <c r="B5865" s="6" t="s">
        <v>9015</v>
      </c>
      <c r="C5865" s="6" t="s">
        <v>9865</v>
      </c>
      <c r="D5865" s="293" t="s">
        <v>9866</v>
      </c>
      <c r="E5865" s="6">
        <v>2020</v>
      </c>
      <c r="F5865" s="6">
        <v>2020</v>
      </c>
      <c r="G5865" s="6" t="s">
        <v>16</v>
      </c>
      <c r="H5865" s="6">
        <v>200</v>
      </c>
      <c r="I5865" s="6">
        <v>200</v>
      </c>
      <c r="J5865" s="6"/>
      <c r="K5865" s="6"/>
      <c r="L5865" s="10">
        <v>20201118</v>
      </c>
      <c r="M5865" s="36" t="str">
        <f t="shared" si="91"/>
        <v>19790228</v>
      </c>
    </row>
    <row r="5866" s="1" customFormat="1" spans="1:13">
      <c r="A5866" s="2">
        <v>2000</v>
      </c>
      <c r="B5866" s="5" t="s">
        <v>4189</v>
      </c>
      <c r="C5866" s="16" t="s">
        <v>4557</v>
      </c>
      <c r="D5866" s="16" t="s">
        <v>4558</v>
      </c>
      <c r="E5866" s="5" t="s">
        <v>15</v>
      </c>
      <c r="F5866" s="5" t="s">
        <v>15</v>
      </c>
      <c r="G5866" s="5" t="s">
        <v>3359</v>
      </c>
      <c r="H5866" s="16">
        <v>200</v>
      </c>
      <c r="I5866" s="16">
        <v>200</v>
      </c>
      <c r="J5866" s="5"/>
      <c r="K5866" s="10"/>
      <c r="L5866" s="10">
        <v>20201118</v>
      </c>
      <c r="M5866" s="36" t="str">
        <f t="shared" si="91"/>
        <v>19790303</v>
      </c>
    </row>
    <row r="5867" s="1" customFormat="1" spans="1:13">
      <c r="A5867" s="2">
        <v>6840</v>
      </c>
      <c r="B5867" s="5" t="s">
        <v>13533</v>
      </c>
      <c r="C5867" s="32" t="s">
        <v>13590</v>
      </c>
      <c r="D5867" s="32" t="s">
        <v>13591</v>
      </c>
      <c r="E5867" s="5">
        <v>2020</v>
      </c>
      <c r="F5867" s="5">
        <v>2020</v>
      </c>
      <c r="G5867" s="9" t="s">
        <v>2480</v>
      </c>
      <c r="H5867" s="32">
        <v>200</v>
      </c>
      <c r="I5867" s="32">
        <v>200</v>
      </c>
      <c r="J5867" s="32"/>
      <c r="K5867" s="10"/>
      <c r="L5867" s="10">
        <v>20201118</v>
      </c>
      <c r="M5867" s="36" t="str">
        <f t="shared" si="91"/>
        <v>19790305</v>
      </c>
    </row>
    <row r="5868" s="1" customFormat="1" spans="1:13">
      <c r="A5868" s="2">
        <v>4742</v>
      </c>
      <c r="B5868" s="6" t="s">
        <v>9015</v>
      </c>
      <c r="C5868" s="6" t="s">
        <v>9641</v>
      </c>
      <c r="D5868" s="6" t="s">
        <v>9642</v>
      </c>
      <c r="E5868" s="6">
        <v>2020</v>
      </c>
      <c r="F5868" s="6">
        <v>2020</v>
      </c>
      <c r="G5868" s="6" t="s">
        <v>16</v>
      </c>
      <c r="H5868" s="6">
        <v>200</v>
      </c>
      <c r="I5868" s="6">
        <v>200</v>
      </c>
      <c r="J5868" s="6"/>
      <c r="K5868" s="6"/>
      <c r="L5868" s="10">
        <v>20201118</v>
      </c>
      <c r="M5868" s="36" t="str">
        <f t="shared" si="91"/>
        <v>19790307</v>
      </c>
    </row>
    <row r="5869" s="1" customFormat="1" spans="1:13">
      <c r="A5869" s="2">
        <v>5957</v>
      </c>
      <c r="B5869" s="30" t="s">
        <v>11090</v>
      </c>
      <c r="C5869" s="6" t="s">
        <v>11961</v>
      </c>
      <c r="D5869" s="293" t="s">
        <v>11962</v>
      </c>
      <c r="E5869" s="5" t="s">
        <v>15</v>
      </c>
      <c r="F5869" s="5" t="s">
        <v>10250</v>
      </c>
      <c r="G5869" s="6" t="s">
        <v>16</v>
      </c>
      <c r="H5869" s="32">
        <v>200</v>
      </c>
      <c r="I5869" s="32">
        <v>200</v>
      </c>
      <c r="J5869" s="6"/>
      <c r="K5869" s="48"/>
      <c r="L5869" s="10">
        <v>20201118</v>
      </c>
      <c r="M5869" s="36" t="str">
        <f t="shared" si="91"/>
        <v>19790308</v>
      </c>
    </row>
    <row r="5870" s="1" customFormat="1" spans="1:13">
      <c r="A5870" s="2">
        <v>3993</v>
      </c>
      <c r="B5870" s="5" t="s">
        <v>7412</v>
      </c>
      <c r="C5870" s="5" t="s">
        <v>8207</v>
      </c>
      <c r="D5870" s="5" t="s">
        <v>8208</v>
      </c>
      <c r="E5870" s="6">
        <v>2020</v>
      </c>
      <c r="F5870" s="6">
        <v>2020</v>
      </c>
      <c r="G5870" s="5" t="s">
        <v>3359</v>
      </c>
      <c r="H5870" s="5">
        <v>200</v>
      </c>
      <c r="I5870" s="5">
        <v>200</v>
      </c>
      <c r="J5870" s="5"/>
      <c r="K5870" s="5"/>
      <c r="L5870" s="10">
        <v>20201118</v>
      </c>
      <c r="M5870" s="36" t="str">
        <f t="shared" si="91"/>
        <v>19790312</v>
      </c>
    </row>
    <row r="5871" s="1" customFormat="1" spans="1:13">
      <c r="A5871" s="2">
        <v>6836</v>
      </c>
      <c r="B5871" s="5" t="s">
        <v>13533</v>
      </c>
      <c r="C5871" s="32" t="s">
        <v>4343</v>
      </c>
      <c r="D5871" s="32" t="str">
        <f>"152326197903137128"</f>
        <v>152326197903137128</v>
      </c>
      <c r="E5871" s="5">
        <v>2020</v>
      </c>
      <c r="F5871" s="5">
        <v>2020</v>
      </c>
      <c r="G5871" s="9" t="s">
        <v>2480</v>
      </c>
      <c r="H5871" s="32">
        <v>200</v>
      </c>
      <c r="I5871" s="32">
        <v>200</v>
      </c>
      <c r="J5871" s="62"/>
      <c r="K5871" s="10"/>
      <c r="L5871" s="10">
        <v>20201118</v>
      </c>
      <c r="M5871" s="36" t="str">
        <f t="shared" si="91"/>
        <v>19790313</v>
      </c>
    </row>
    <row r="5872" s="1" customFormat="1" ht="14.25" spans="1:13">
      <c r="A5872" s="2">
        <v>5398</v>
      </c>
      <c r="B5872" s="33" t="s">
        <v>10535</v>
      </c>
      <c r="C5872" s="34" t="s">
        <v>8442</v>
      </c>
      <c r="D5872" s="34" t="s">
        <v>10902</v>
      </c>
      <c r="E5872" s="35">
        <v>2020</v>
      </c>
      <c r="F5872" s="35">
        <v>2020</v>
      </c>
      <c r="G5872" s="35" t="s">
        <v>16</v>
      </c>
      <c r="H5872" s="34">
        <v>3000</v>
      </c>
      <c r="I5872" s="34">
        <v>3000</v>
      </c>
      <c r="J5872" s="49"/>
      <c r="K5872" s="10"/>
      <c r="L5872" s="10">
        <v>20201118</v>
      </c>
      <c r="M5872" s="36" t="str">
        <f t="shared" si="91"/>
        <v>19790315</v>
      </c>
    </row>
    <row r="5873" s="1" customFormat="1" spans="1:13">
      <c r="A5873" s="2">
        <v>305</v>
      </c>
      <c r="B5873" s="14" t="s">
        <v>327</v>
      </c>
      <c r="C5873" s="17" t="s">
        <v>803</v>
      </c>
      <c r="D5873" s="306" t="s">
        <v>804</v>
      </c>
      <c r="E5873" s="5">
        <v>2020</v>
      </c>
      <c r="F5873" s="5">
        <v>2020</v>
      </c>
      <c r="G5873" s="14" t="s">
        <v>16</v>
      </c>
      <c r="H5873" s="17">
        <v>500</v>
      </c>
      <c r="I5873" s="17">
        <v>500</v>
      </c>
      <c r="J5873" s="17"/>
      <c r="K5873" s="10"/>
      <c r="L5873" s="2" t="s">
        <v>330</v>
      </c>
      <c r="M5873" s="36" t="str">
        <f t="shared" si="91"/>
        <v>19790316</v>
      </c>
    </row>
    <row r="5874" s="1" customFormat="1" ht="14.25" spans="1:13">
      <c r="A5874" s="2">
        <v>6036</v>
      </c>
      <c r="B5874" s="30" t="s">
        <v>11090</v>
      </c>
      <c r="C5874" s="32" t="s">
        <v>12115</v>
      </c>
      <c r="D5874" s="12" t="s">
        <v>12116</v>
      </c>
      <c r="E5874" s="5" t="s">
        <v>15</v>
      </c>
      <c r="F5874" s="5" t="s">
        <v>10250</v>
      </c>
      <c r="G5874" s="6" t="s">
        <v>16</v>
      </c>
      <c r="H5874" s="32">
        <v>200</v>
      </c>
      <c r="I5874" s="32">
        <v>200</v>
      </c>
      <c r="J5874" s="6" t="s">
        <v>6345</v>
      </c>
      <c r="K5874" s="48"/>
      <c r="L5874" s="10">
        <v>20201118</v>
      </c>
      <c r="M5874" s="36" t="str">
        <f t="shared" si="91"/>
        <v>19790317</v>
      </c>
    </row>
    <row r="5875" s="1" customFormat="1" spans="1:13">
      <c r="A5875" s="2">
        <v>6837</v>
      </c>
      <c r="B5875" s="5" t="s">
        <v>13533</v>
      </c>
      <c r="C5875" s="32" t="s">
        <v>13588</v>
      </c>
      <c r="D5875" s="32" t="str">
        <f>"152326197903187117"</f>
        <v>152326197903187117</v>
      </c>
      <c r="E5875" s="5">
        <v>2020</v>
      </c>
      <c r="F5875" s="5">
        <v>2020</v>
      </c>
      <c r="G5875" s="9" t="s">
        <v>2480</v>
      </c>
      <c r="H5875" s="32">
        <v>200</v>
      </c>
      <c r="I5875" s="32">
        <v>200</v>
      </c>
      <c r="J5875" s="62"/>
      <c r="K5875" s="10"/>
      <c r="L5875" s="10">
        <v>20201118</v>
      </c>
      <c r="M5875" s="36" t="str">
        <f t="shared" si="91"/>
        <v>19790318</v>
      </c>
    </row>
    <row r="5876" s="1" customFormat="1" spans="1:13">
      <c r="A5876" s="2">
        <v>3994</v>
      </c>
      <c r="B5876" s="5" t="s">
        <v>7412</v>
      </c>
      <c r="C5876" s="5" t="s">
        <v>8209</v>
      </c>
      <c r="D5876" s="5" t="s">
        <v>8210</v>
      </c>
      <c r="E5876" s="6">
        <v>2020</v>
      </c>
      <c r="F5876" s="6">
        <v>2020</v>
      </c>
      <c r="G5876" s="5" t="s">
        <v>3359</v>
      </c>
      <c r="H5876" s="5">
        <v>200</v>
      </c>
      <c r="I5876" s="5">
        <v>200</v>
      </c>
      <c r="J5876" s="5"/>
      <c r="K5876" s="5"/>
      <c r="L5876" s="10">
        <v>20201118</v>
      </c>
      <c r="M5876" s="36" t="str">
        <f t="shared" si="91"/>
        <v>19790322</v>
      </c>
    </row>
    <row r="5877" s="1" customFormat="1" spans="1:13">
      <c r="A5877" s="2">
        <v>6722</v>
      </c>
      <c r="B5877" s="5" t="s">
        <v>13027</v>
      </c>
      <c r="C5877" s="15" t="s">
        <v>13414</v>
      </c>
      <c r="D5877" s="15" t="s">
        <v>13415</v>
      </c>
      <c r="E5877" s="5">
        <v>2020</v>
      </c>
      <c r="F5877" s="5">
        <v>2020</v>
      </c>
      <c r="G5877" s="14" t="s">
        <v>16</v>
      </c>
      <c r="H5877" s="15">
        <v>200</v>
      </c>
      <c r="I5877" s="15">
        <v>200</v>
      </c>
      <c r="J5877" s="5"/>
      <c r="K5877" s="10"/>
      <c r="L5877" s="10">
        <v>20201118</v>
      </c>
      <c r="M5877" s="36" t="str">
        <f t="shared" si="91"/>
        <v>19790322</v>
      </c>
    </row>
    <row r="5878" s="1" customFormat="1" spans="1:13">
      <c r="A5878" s="2">
        <v>3995</v>
      </c>
      <c r="B5878" s="5" t="s">
        <v>7412</v>
      </c>
      <c r="C5878" s="5" t="s">
        <v>8211</v>
      </c>
      <c r="D5878" s="5" t="s">
        <v>8212</v>
      </c>
      <c r="E5878" s="6">
        <v>2020</v>
      </c>
      <c r="F5878" s="6">
        <v>2020</v>
      </c>
      <c r="G5878" s="5" t="s">
        <v>3359</v>
      </c>
      <c r="H5878" s="5">
        <v>200</v>
      </c>
      <c r="I5878" s="5">
        <v>200</v>
      </c>
      <c r="J5878" s="5"/>
      <c r="K5878" s="5"/>
      <c r="L5878" s="10">
        <v>20201118</v>
      </c>
      <c r="M5878" s="36" t="str">
        <f t="shared" si="91"/>
        <v>19790323</v>
      </c>
    </row>
    <row r="5879" s="1" customFormat="1" spans="1:13">
      <c r="A5879" s="2">
        <v>7477</v>
      </c>
      <c r="B5879" s="5" t="s">
        <v>14402</v>
      </c>
      <c r="C5879" s="5" t="s">
        <v>14570</v>
      </c>
      <c r="D5879" s="5" t="s">
        <v>14571</v>
      </c>
      <c r="E5879" s="5">
        <v>2020</v>
      </c>
      <c r="F5879" s="5">
        <v>2020</v>
      </c>
      <c r="G5879" s="17" t="s">
        <v>16</v>
      </c>
      <c r="H5879" s="5">
        <v>200</v>
      </c>
      <c r="I5879" s="5">
        <v>200</v>
      </c>
      <c r="J5879" s="5"/>
      <c r="K5879" s="10"/>
      <c r="L5879" s="10">
        <v>20201118</v>
      </c>
      <c r="M5879" s="36" t="str">
        <f t="shared" si="91"/>
        <v>19790323</v>
      </c>
    </row>
    <row r="5880" s="1" customFormat="1" spans="1:13">
      <c r="A5880" s="2">
        <v>6839</v>
      </c>
      <c r="B5880" s="5" t="s">
        <v>13533</v>
      </c>
      <c r="C5880" s="32" t="s">
        <v>6026</v>
      </c>
      <c r="D5880" s="32" t="str">
        <f>"152326197903247116"</f>
        <v>152326197903247116</v>
      </c>
      <c r="E5880" s="5">
        <v>2020</v>
      </c>
      <c r="F5880" s="5">
        <v>2020</v>
      </c>
      <c r="G5880" s="9" t="s">
        <v>2480</v>
      </c>
      <c r="H5880" s="32">
        <v>200</v>
      </c>
      <c r="I5880" s="32">
        <v>200</v>
      </c>
      <c r="J5880" s="62"/>
      <c r="K5880" s="10"/>
      <c r="L5880" s="10">
        <v>20201118</v>
      </c>
      <c r="M5880" s="36" t="str">
        <f t="shared" si="91"/>
        <v>19790324</v>
      </c>
    </row>
    <row r="5881" s="1" customFormat="1" spans="1:13">
      <c r="A5881" s="2">
        <v>6167</v>
      </c>
      <c r="B5881" s="5" t="s">
        <v>12263</v>
      </c>
      <c r="C5881" s="5" t="s">
        <v>12365</v>
      </c>
      <c r="D5881" s="5" t="s">
        <v>12366</v>
      </c>
      <c r="E5881" s="5" t="s">
        <v>10250</v>
      </c>
      <c r="F5881" s="5">
        <v>2020</v>
      </c>
      <c r="G5881" s="17" t="s">
        <v>3359</v>
      </c>
      <c r="H5881" s="5">
        <v>200</v>
      </c>
      <c r="I5881" s="5">
        <v>200</v>
      </c>
      <c r="J5881" s="5"/>
      <c r="K5881" s="5"/>
      <c r="L5881" s="10">
        <v>20201118</v>
      </c>
      <c r="M5881" s="36" t="str">
        <f t="shared" si="91"/>
        <v>19790325</v>
      </c>
    </row>
    <row r="5882" s="1" customFormat="1" spans="1:13">
      <c r="A5882" s="2">
        <v>7362</v>
      </c>
      <c r="B5882" s="5" t="s">
        <v>13908</v>
      </c>
      <c r="C5882" s="5" t="s">
        <v>10777</v>
      </c>
      <c r="D5882" s="5" t="s">
        <v>14353</v>
      </c>
      <c r="E5882" s="5" t="s">
        <v>15</v>
      </c>
      <c r="F5882" s="5" t="s">
        <v>15</v>
      </c>
      <c r="G5882" s="14" t="s">
        <v>16</v>
      </c>
      <c r="H5882" s="17">
        <v>500</v>
      </c>
      <c r="I5882" s="17">
        <v>500</v>
      </c>
      <c r="J5882" s="5"/>
      <c r="K5882" s="10"/>
      <c r="L5882" s="10">
        <v>20201118</v>
      </c>
      <c r="M5882" s="36" t="str">
        <f t="shared" si="91"/>
        <v>19790325</v>
      </c>
    </row>
    <row r="5883" s="1" customFormat="1" spans="1:13">
      <c r="A5883" s="2">
        <v>667</v>
      </c>
      <c r="B5883" s="29" t="s">
        <v>1040</v>
      </c>
      <c r="C5883" s="47" t="s">
        <v>1653</v>
      </c>
      <c r="D5883" s="47" t="s">
        <v>1654</v>
      </c>
      <c r="E5883" s="30">
        <v>2020</v>
      </c>
      <c r="F5883" s="30">
        <v>2020</v>
      </c>
      <c r="G5883" s="29" t="s">
        <v>16</v>
      </c>
      <c r="H5883" s="29">
        <v>200</v>
      </c>
      <c r="I5883" s="29">
        <v>200</v>
      </c>
      <c r="J5883" s="29"/>
      <c r="K5883" s="54"/>
      <c r="L5883" s="2" t="s">
        <v>330</v>
      </c>
      <c r="M5883" s="36" t="str">
        <f t="shared" si="91"/>
        <v>19790326</v>
      </c>
    </row>
    <row r="5884" s="1" customFormat="1" spans="1:13">
      <c r="A5884" s="2">
        <v>4423</v>
      </c>
      <c r="B5884" s="6" t="s">
        <v>9015</v>
      </c>
      <c r="C5884" s="6" t="s">
        <v>9035</v>
      </c>
      <c r="D5884" s="6" t="s">
        <v>9036</v>
      </c>
      <c r="E5884" s="6">
        <v>2020</v>
      </c>
      <c r="F5884" s="6">
        <v>2020</v>
      </c>
      <c r="G5884" s="6" t="s">
        <v>16</v>
      </c>
      <c r="H5884" s="6">
        <v>200</v>
      </c>
      <c r="I5884" s="6">
        <v>200</v>
      </c>
      <c r="J5884" s="6"/>
      <c r="K5884" s="6"/>
      <c r="L5884" s="10">
        <v>20201118</v>
      </c>
      <c r="M5884" s="36" t="str">
        <f t="shared" si="91"/>
        <v>19790327</v>
      </c>
    </row>
    <row r="5885" s="1" customFormat="1" spans="1:13">
      <c r="A5885" s="2">
        <v>6842</v>
      </c>
      <c r="B5885" s="5" t="s">
        <v>13533</v>
      </c>
      <c r="C5885" s="32" t="s">
        <v>13593</v>
      </c>
      <c r="D5885" s="32" t="str">
        <f>"152326197903277112"</f>
        <v>152326197903277112</v>
      </c>
      <c r="E5885" s="5">
        <v>2020</v>
      </c>
      <c r="F5885" s="5">
        <v>2020</v>
      </c>
      <c r="G5885" s="9" t="s">
        <v>2480</v>
      </c>
      <c r="H5885" s="32">
        <v>200</v>
      </c>
      <c r="I5885" s="32">
        <v>200</v>
      </c>
      <c r="J5885" s="62"/>
      <c r="K5885" s="10"/>
      <c r="L5885" s="10">
        <v>20201118</v>
      </c>
      <c r="M5885" s="36" t="str">
        <f t="shared" si="91"/>
        <v>19790327</v>
      </c>
    </row>
    <row r="5886" s="1" customFormat="1" spans="1:13">
      <c r="A5886" s="2">
        <v>6723</v>
      </c>
      <c r="B5886" s="5" t="s">
        <v>13027</v>
      </c>
      <c r="C5886" s="15" t="s">
        <v>13416</v>
      </c>
      <c r="D5886" s="15" t="s">
        <v>13417</v>
      </c>
      <c r="E5886" s="5">
        <v>2020</v>
      </c>
      <c r="F5886" s="5">
        <v>2020</v>
      </c>
      <c r="G5886" s="14" t="s">
        <v>16</v>
      </c>
      <c r="H5886" s="15">
        <v>200</v>
      </c>
      <c r="I5886" s="15">
        <v>200</v>
      </c>
      <c r="J5886" s="5"/>
      <c r="K5886" s="10"/>
      <c r="L5886" s="10">
        <v>20201118</v>
      </c>
      <c r="M5886" s="36" t="str">
        <f t="shared" si="91"/>
        <v>19790328</v>
      </c>
    </row>
    <row r="5887" s="1" customFormat="1" spans="1:13">
      <c r="A5887" s="2">
        <v>757</v>
      </c>
      <c r="B5887" s="29" t="s">
        <v>1040</v>
      </c>
      <c r="C5887" s="5" t="s">
        <v>1921</v>
      </c>
      <c r="D5887" s="317" t="s">
        <v>1922</v>
      </c>
      <c r="E5887" s="30">
        <v>2020</v>
      </c>
      <c r="F5887" s="30">
        <v>2020</v>
      </c>
      <c r="G5887" s="29" t="s">
        <v>16</v>
      </c>
      <c r="H5887" s="29">
        <v>200</v>
      </c>
      <c r="I5887" s="29">
        <v>200</v>
      </c>
      <c r="J5887" s="32"/>
      <c r="K5887" s="32"/>
      <c r="L5887" s="14" t="s">
        <v>330</v>
      </c>
      <c r="M5887" s="36" t="str">
        <f t="shared" si="91"/>
        <v>19790329</v>
      </c>
    </row>
    <row r="5888" s="1" customFormat="1" spans="1:13">
      <c r="A5888" s="2">
        <v>3111</v>
      </c>
      <c r="B5888" s="3" t="s">
        <v>6671</v>
      </c>
      <c r="C5888" s="9" t="s">
        <v>6743</v>
      </c>
      <c r="D5888" s="287" t="s">
        <v>6744</v>
      </c>
      <c r="E5888" s="3" t="s">
        <v>15</v>
      </c>
      <c r="F5888" s="3" t="s">
        <v>15</v>
      </c>
      <c r="G5888" s="6" t="s">
        <v>3359</v>
      </c>
      <c r="H5888" s="9">
        <v>300</v>
      </c>
      <c r="I5888" s="9">
        <v>300</v>
      </c>
      <c r="J5888" s="6" t="s">
        <v>108</v>
      </c>
      <c r="K5888" s="5"/>
      <c r="L5888" s="10">
        <v>20201118</v>
      </c>
      <c r="M5888" s="36" t="str">
        <f t="shared" si="91"/>
        <v>19790329</v>
      </c>
    </row>
    <row r="5889" s="1" customFormat="1" spans="1:13">
      <c r="A5889" s="2">
        <v>534</v>
      </c>
      <c r="B5889" s="29" t="s">
        <v>1040</v>
      </c>
      <c r="C5889" s="29" t="s">
        <v>1345</v>
      </c>
      <c r="D5889" s="29" t="s">
        <v>1346</v>
      </c>
      <c r="E5889" s="30">
        <v>2020</v>
      </c>
      <c r="F5889" s="30">
        <v>2020</v>
      </c>
      <c r="G5889" s="29" t="s">
        <v>16</v>
      </c>
      <c r="H5889" s="29">
        <v>200</v>
      </c>
      <c r="I5889" s="29">
        <v>200</v>
      </c>
      <c r="J5889" s="29"/>
      <c r="K5889" s="47"/>
      <c r="L5889" s="2" t="s">
        <v>330</v>
      </c>
      <c r="M5889" s="36" t="str">
        <f t="shared" si="91"/>
        <v>19790406</v>
      </c>
    </row>
    <row r="5890" s="1" customFormat="1" spans="1:13">
      <c r="A5890" s="2">
        <v>3552</v>
      </c>
      <c r="B5890" s="5" t="s">
        <v>3375</v>
      </c>
      <c r="C5890" s="5" t="s">
        <v>7374</v>
      </c>
      <c r="D5890" s="296" t="s">
        <v>7375</v>
      </c>
      <c r="E5890" s="5" t="s">
        <v>15</v>
      </c>
      <c r="F5890" s="5">
        <v>2020</v>
      </c>
      <c r="G5890" s="5" t="s">
        <v>295</v>
      </c>
      <c r="H5890" s="5">
        <v>200</v>
      </c>
      <c r="I5890" s="5">
        <v>200</v>
      </c>
      <c r="J5890" s="5"/>
      <c r="K5890" s="10"/>
      <c r="L5890" s="10">
        <v>20201118</v>
      </c>
      <c r="M5890" s="36" t="str">
        <f t="shared" ref="M5890:M5953" si="92">MID(D5890,7,8)</f>
        <v>19790409</v>
      </c>
    </row>
    <row r="5891" s="1" customFormat="1" spans="1:13">
      <c r="A5891" s="2">
        <v>3547</v>
      </c>
      <c r="B5891" s="5" t="s">
        <v>3375</v>
      </c>
      <c r="C5891" s="5" t="s">
        <v>7364</v>
      </c>
      <c r="D5891" s="296" t="s">
        <v>7365</v>
      </c>
      <c r="E5891" s="5" t="s">
        <v>15</v>
      </c>
      <c r="F5891" s="5">
        <v>2020</v>
      </c>
      <c r="G5891" s="14" t="s">
        <v>16</v>
      </c>
      <c r="H5891" s="5">
        <v>200</v>
      </c>
      <c r="I5891" s="5">
        <v>200</v>
      </c>
      <c r="J5891" s="5"/>
      <c r="K5891" s="10"/>
      <c r="L5891" s="10">
        <v>20201118</v>
      </c>
      <c r="M5891" s="36" t="str">
        <f t="shared" si="92"/>
        <v>19790410</v>
      </c>
    </row>
    <row r="5892" s="1" customFormat="1" spans="1:13">
      <c r="A5892" s="2">
        <v>8117</v>
      </c>
      <c r="B5892" s="5" t="s">
        <v>15406</v>
      </c>
      <c r="C5892" s="6" t="s">
        <v>15428</v>
      </c>
      <c r="D5892" s="6" t="s">
        <v>15429</v>
      </c>
      <c r="E5892" s="5" t="s">
        <v>15</v>
      </c>
      <c r="F5892" s="5">
        <v>2020</v>
      </c>
      <c r="G5892" s="14" t="s">
        <v>16</v>
      </c>
      <c r="H5892" s="6">
        <v>200</v>
      </c>
      <c r="I5892" s="6">
        <v>200</v>
      </c>
      <c r="J5892" s="5"/>
      <c r="K5892" s="10"/>
      <c r="L5892" s="10">
        <v>20201118</v>
      </c>
      <c r="M5892" s="36" t="str">
        <f t="shared" si="92"/>
        <v>19790410</v>
      </c>
    </row>
    <row r="5893" s="1" customFormat="1" spans="1:13">
      <c r="A5893" s="2">
        <v>8184</v>
      </c>
      <c r="B5893" s="5" t="s">
        <v>15406</v>
      </c>
      <c r="C5893" s="6" t="s">
        <v>15555</v>
      </c>
      <c r="D5893" s="6" t="s">
        <v>15556</v>
      </c>
      <c r="E5893" s="5" t="s">
        <v>15</v>
      </c>
      <c r="F5893" s="5">
        <v>2020</v>
      </c>
      <c r="G5893" s="14" t="s">
        <v>16</v>
      </c>
      <c r="H5893" s="6">
        <v>200</v>
      </c>
      <c r="I5893" s="6">
        <v>200</v>
      </c>
      <c r="J5893" s="5"/>
      <c r="K5893" s="10"/>
      <c r="L5893" s="10">
        <v>20201118</v>
      </c>
      <c r="M5893" s="36" t="str">
        <f t="shared" si="92"/>
        <v>19790410</v>
      </c>
    </row>
    <row r="5894" s="1" customFormat="1" ht="14.25" spans="1:13">
      <c r="A5894" s="2">
        <v>5399</v>
      </c>
      <c r="B5894" s="33" t="s">
        <v>10535</v>
      </c>
      <c r="C5894" s="34" t="s">
        <v>10903</v>
      </c>
      <c r="D5894" s="34" t="s">
        <v>10904</v>
      </c>
      <c r="E5894" s="35">
        <v>2020</v>
      </c>
      <c r="F5894" s="35">
        <v>2020</v>
      </c>
      <c r="G5894" s="35" t="s">
        <v>16</v>
      </c>
      <c r="H5894" s="34">
        <v>200</v>
      </c>
      <c r="I5894" s="34">
        <v>200</v>
      </c>
      <c r="J5894" s="49"/>
      <c r="K5894" s="10"/>
      <c r="L5894" s="10">
        <v>20201118</v>
      </c>
      <c r="M5894" s="36" t="str">
        <f t="shared" si="92"/>
        <v>19790412</v>
      </c>
    </row>
    <row r="5895" s="1" customFormat="1" spans="1:13">
      <c r="A5895" s="2">
        <v>569</v>
      </c>
      <c r="B5895" s="29" t="s">
        <v>1040</v>
      </c>
      <c r="C5895" s="29" t="s">
        <v>1414</v>
      </c>
      <c r="D5895" s="29" t="s">
        <v>1415</v>
      </c>
      <c r="E5895" s="30">
        <v>2020</v>
      </c>
      <c r="F5895" s="30">
        <v>2020</v>
      </c>
      <c r="G5895" s="29" t="s">
        <v>16</v>
      </c>
      <c r="H5895" s="29">
        <v>200</v>
      </c>
      <c r="I5895" s="29">
        <v>200</v>
      </c>
      <c r="J5895" s="29"/>
      <c r="K5895" s="47"/>
      <c r="L5895" s="14" t="s">
        <v>330</v>
      </c>
      <c r="M5895" s="36" t="str">
        <f t="shared" si="92"/>
        <v>19790414</v>
      </c>
    </row>
    <row r="5896" s="1" customFormat="1" spans="1:13">
      <c r="A5896" s="2">
        <v>839</v>
      </c>
      <c r="B5896" s="29" t="s">
        <v>1040</v>
      </c>
      <c r="C5896" s="29" t="s">
        <v>1846</v>
      </c>
      <c r="D5896" s="29" t="s">
        <v>2166</v>
      </c>
      <c r="E5896" s="30">
        <v>2020</v>
      </c>
      <c r="F5896" s="30">
        <v>2020</v>
      </c>
      <c r="G5896" s="29" t="s">
        <v>16</v>
      </c>
      <c r="H5896" s="29">
        <v>200</v>
      </c>
      <c r="I5896" s="29">
        <v>200</v>
      </c>
      <c r="J5896" s="32"/>
      <c r="K5896" s="32"/>
      <c r="L5896" s="2" t="s">
        <v>330</v>
      </c>
      <c r="M5896" s="36" t="str">
        <f t="shared" si="92"/>
        <v>19790416</v>
      </c>
    </row>
    <row r="5897" s="1" customFormat="1" spans="1:13">
      <c r="A5897" s="2">
        <v>2319</v>
      </c>
      <c r="B5897" s="9" t="s">
        <v>4837</v>
      </c>
      <c r="C5897" s="9" t="s">
        <v>5178</v>
      </c>
      <c r="D5897" s="9" t="s">
        <v>5179</v>
      </c>
      <c r="E5897" s="6" t="s">
        <v>15</v>
      </c>
      <c r="F5897" s="6">
        <v>2020</v>
      </c>
      <c r="G5897" s="9" t="s">
        <v>2480</v>
      </c>
      <c r="H5897" s="9">
        <v>200</v>
      </c>
      <c r="I5897" s="9">
        <v>200</v>
      </c>
      <c r="J5897" s="6"/>
      <c r="K5897" s="10"/>
      <c r="L5897" s="10">
        <v>20201118</v>
      </c>
      <c r="M5897" s="36" t="str">
        <f t="shared" si="92"/>
        <v>19790420</v>
      </c>
    </row>
    <row r="5898" s="1" customFormat="1" spans="1:13">
      <c r="A5898" s="2">
        <v>828</v>
      </c>
      <c r="B5898" s="29" t="s">
        <v>1040</v>
      </c>
      <c r="C5898" s="5" t="s">
        <v>2133</v>
      </c>
      <c r="D5898" s="317" t="s">
        <v>2134</v>
      </c>
      <c r="E5898" s="30">
        <v>2020</v>
      </c>
      <c r="F5898" s="30">
        <v>2020</v>
      </c>
      <c r="G5898" s="29" t="s">
        <v>16</v>
      </c>
      <c r="H5898" s="29">
        <v>200</v>
      </c>
      <c r="I5898" s="29">
        <v>200</v>
      </c>
      <c r="J5898" s="32"/>
      <c r="K5898" s="32"/>
      <c r="L5898" s="2" t="s">
        <v>330</v>
      </c>
      <c r="M5898" s="36" t="str">
        <f t="shared" si="92"/>
        <v>19790423</v>
      </c>
    </row>
    <row r="5899" s="1" customFormat="1" ht="14.25" spans="1:13">
      <c r="A5899" s="2">
        <v>5400</v>
      </c>
      <c r="B5899" s="33" t="s">
        <v>10535</v>
      </c>
      <c r="C5899" s="34" t="s">
        <v>10905</v>
      </c>
      <c r="D5899" s="34" t="s">
        <v>10906</v>
      </c>
      <c r="E5899" s="35">
        <v>2020</v>
      </c>
      <c r="F5899" s="35">
        <v>2020</v>
      </c>
      <c r="G5899" s="35" t="s">
        <v>16</v>
      </c>
      <c r="H5899" s="34">
        <v>200</v>
      </c>
      <c r="I5899" s="34">
        <v>200</v>
      </c>
      <c r="J5899" s="49"/>
      <c r="K5899" s="10"/>
      <c r="L5899" s="10">
        <v>20201118</v>
      </c>
      <c r="M5899" s="36" t="str">
        <f t="shared" si="92"/>
        <v>19790426</v>
      </c>
    </row>
    <row r="5900" s="1" customFormat="1" ht="14.25" spans="1:13">
      <c r="A5900" s="2">
        <v>3524</v>
      </c>
      <c r="B5900" s="5" t="s">
        <v>3375</v>
      </c>
      <c r="C5900" s="5" t="s">
        <v>7319</v>
      </c>
      <c r="D5900" s="12" t="s">
        <v>7320</v>
      </c>
      <c r="E5900" s="5" t="s">
        <v>15</v>
      </c>
      <c r="F5900" s="5">
        <v>2020</v>
      </c>
      <c r="G5900" s="14" t="s">
        <v>16</v>
      </c>
      <c r="H5900" s="5">
        <v>200</v>
      </c>
      <c r="I5900" s="5">
        <v>200</v>
      </c>
      <c r="J5900" s="5"/>
      <c r="K5900" s="10"/>
      <c r="L5900" s="10">
        <v>20201118</v>
      </c>
      <c r="M5900" s="36" t="str">
        <f t="shared" si="92"/>
        <v>19790427</v>
      </c>
    </row>
    <row r="5901" s="1" customFormat="1" spans="1:13">
      <c r="A5901" s="2">
        <v>3996</v>
      </c>
      <c r="B5901" s="5" t="s">
        <v>7412</v>
      </c>
      <c r="C5901" s="5" t="s">
        <v>8213</v>
      </c>
      <c r="D5901" s="5" t="s">
        <v>8214</v>
      </c>
      <c r="E5901" s="6">
        <v>2020</v>
      </c>
      <c r="F5901" s="6">
        <v>2020</v>
      </c>
      <c r="G5901" s="5" t="s">
        <v>3359</v>
      </c>
      <c r="H5901" s="5">
        <v>200</v>
      </c>
      <c r="I5901" s="5">
        <v>200</v>
      </c>
      <c r="J5901" s="5"/>
      <c r="K5901" s="5"/>
      <c r="L5901" s="10">
        <v>20201118</v>
      </c>
      <c r="M5901" s="36" t="str">
        <f t="shared" si="92"/>
        <v>19790427</v>
      </c>
    </row>
    <row r="5902" s="1" customFormat="1" spans="1:13">
      <c r="A5902" s="2">
        <v>1817</v>
      </c>
      <c r="B5902" s="5" t="s">
        <v>4189</v>
      </c>
      <c r="C5902" s="16" t="s">
        <v>4199</v>
      </c>
      <c r="D5902" s="16" t="s">
        <v>4200</v>
      </c>
      <c r="E5902" s="5" t="s">
        <v>15</v>
      </c>
      <c r="F5902" s="5" t="s">
        <v>15</v>
      </c>
      <c r="G5902" s="5" t="s">
        <v>3359</v>
      </c>
      <c r="H5902" s="16">
        <v>200</v>
      </c>
      <c r="I5902" s="16">
        <v>200</v>
      </c>
      <c r="J5902" s="5"/>
      <c r="K5902" s="10"/>
      <c r="L5902" s="10">
        <v>20201118</v>
      </c>
      <c r="M5902" s="36" t="str">
        <f t="shared" si="92"/>
        <v>19790428</v>
      </c>
    </row>
    <row r="5903" s="1" customFormat="1" spans="1:13">
      <c r="A5903" s="2">
        <v>5650</v>
      </c>
      <c r="B5903" s="30" t="s">
        <v>11090</v>
      </c>
      <c r="C5903" s="30" t="s">
        <v>11387</v>
      </c>
      <c r="D5903" s="30" t="s">
        <v>11388</v>
      </c>
      <c r="E5903" s="5" t="s">
        <v>15</v>
      </c>
      <c r="F5903" s="5" t="s">
        <v>10250</v>
      </c>
      <c r="G5903" s="6" t="s">
        <v>16</v>
      </c>
      <c r="H5903" s="32">
        <v>200</v>
      </c>
      <c r="I5903" s="32">
        <v>200</v>
      </c>
      <c r="J5903" s="6"/>
      <c r="K5903" s="48"/>
      <c r="L5903" s="10">
        <v>20201118</v>
      </c>
      <c r="M5903" s="36" t="str">
        <f t="shared" si="92"/>
        <v>19790428</v>
      </c>
    </row>
    <row r="5904" s="1" customFormat="1" spans="1:13">
      <c r="A5904" s="2">
        <v>7146</v>
      </c>
      <c r="B5904" s="5" t="s">
        <v>13908</v>
      </c>
      <c r="C5904" s="5" t="s">
        <v>13951</v>
      </c>
      <c r="D5904" s="5" t="s">
        <v>13952</v>
      </c>
      <c r="E5904" s="5" t="s">
        <v>15</v>
      </c>
      <c r="F5904" s="5" t="s">
        <v>15</v>
      </c>
      <c r="G5904" s="14" t="s">
        <v>16</v>
      </c>
      <c r="H5904" s="17">
        <v>200</v>
      </c>
      <c r="I5904" s="17">
        <v>200</v>
      </c>
      <c r="J5904" s="5"/>
      <c r="K5904" s="10"/>
      <c r="L5904" s="10">
        <v>20201118</v>
      </c>
      <c r="M5904" s="36" t="str">
        <f t="shared" si="92"/>
        <v>19790504</v>
      </c>
    </row>
    <row r="5905" s="1" customFormat="1" spans="1:13">
      <c r="A5905" s="2">
        <v>5613</v>
      </c>
      <c r="B5905" s="30" t="s">
        <v>11090</v>
      </c>
      <c r="C5905" s="30" t="s">
        <v>11318</v>
      </c>
      <c r="D5905" s="30" t="s">
        <v>11319</v>
      </c>
      <c r="E5905" s="5" t="s">
        <v>15</v>
      </c>
      <c r="F5905" s="5" t="s">
        <v>10250</v>
      </c>
      <c r="G5905" s="6" t="s">
        <v>16</v>
      </c>
      <c r="H5905" s="32">
        <v>200</v>
      </c>
      <c r="I5905" s="32">
        <v>200</v>
      </c>
      <c r="J5905" s="6"/>
      <c r="K5905" s="48"/>
      <c r="L5905" s="10">
        <v>20201118</v>
      </c>
      <c r="M5905" s="36" t="str">
        <f t="shared" si="92"/>
        <v>19790506</v>
      </c>
    </row>
    <row r="5906" s="1" customFormat="1" ht="14.25" spans="1:13">
      <c r="A5906" s="2">
        <v>7670</v>
      </c>
      <c r="B5906" s="5" t="s">
        <v>14875</v>
      </c>
      <c r="C5906" s="51" t="s">
        <v>14913</v>
      </c>
      <c r="D5906" s="24" t="str">
        <f>"152326197905107117"</f>
        <v>152326197905107117</v>
      </c>
      <c r="E5906" s="6" t="s">
        <v>15</v>
      </c>
      <c r="F5906" s="6">
        <v>2020</v>
      </c>
      <c r="G5906" s="24" t="s">
        <v>14877</v>
      </c>
      <c r="H5906" s="6">
        <v>200</v>
      </c>
      <c r="I5906" s="6">
        <v>200</v>
      </c>
      <c r="J5906" s="6"/>
      <c r="K5906" s="10"/>
      <c r="L5906" s="10">
        <v>20201118</v>
      </c>
      <c r="M5906" s="36" t="str">
        <f t="shared" si="92"/>
        <v>19790510</v>
      </c>
    </row>
    <row r="5907" s="1" customFormat="1" spans="1:13">
      <c r="A5907" s="2">
        <v>5801</v>
      </c>
      <c r="B5907" s="30" t="s">
        <v>11090</v>
      </c>
      <c r="C5907" s="30" t="s">
        <v>11671</v>
      </c>
      <c r="D5907" s="30" t="s">
        <v>11672</v>
      </c>
      <c r="E5907" s="5" t="s">
        <v>15</v>
      </c>
      <c r="F5907" s="5" t="s">
        <v>10250</v>
      </c>
      <c r="G5907" s="6" t="s">
        <v>16</v>
      </c>
      <c r="H5907" s="32">
        <v>200</v>
      </c>
      <c r="I5907" s="32">
        <v>200</v>
      </c>
      <c r="J5907" s="6"/>
      <c r="K5907" s="48"/>
      <c r="L5907" s="10">
        <v>20201118</v>
      </c>
      <c r="M5907" s="36" t="str">
        <f t="shared" si="92"/>
        <v>19790514</v>
      </c>
    </row>
    <row r="5908" s="1" customFormat="1" spans="1:13">
      <c r="A5908" s="2">
        <v>4717</v>
      </c>
      <c r="B5908" s="6" t="s">
        <v>9015</v>
      </c>
      <c r="C5908" s="6" t="s">
        <v>9593</v>
      </c>
      <c r="D5908" s="6" t="s">
        <v>9594</v>
      </c>
      <c r="E5908" s="6">
        <v>2020</v>
      </c>
      <c r="F5908" s="6">
        <v>2020</v>
      </c>
      <c r="G5908" s="6" t="s">
        <v>16</v>
      </c>
      <c r="H5908" s="6">
        <v>200</v>
      </c>
      <c r="I5908" s="6">
        <v>200</v>
      </c>
      <c r="J5908" s="6"/>
      <c r="K5908" s="6"/>
      <c r="L5908" s="10">
        <v>20201118</v>
      </c>
      <c r="M5908" s="36" t="str">
        <f t="shared" si="92"/>
        <v>19790519</v>
      </c>
    </row>
    <row r="5909" s="1" customFormat="1" spans="1:13">
      <c r="A5909" s="2">
        <v>4809</v>
      </c>
      <c r="B5909" s="6" t="s">
        <v>9015</v>
      </c>
      <c r="C5909" s="6" t="s">
        <v>9766</v>
      </c>
      <c r="D5909" s="6" t="s">
        <v>9767</v>
      </c>
      <c r="E5909" s="6">
        <v>2020</v>
      </c>
      <c r="F5909" s="6">
        <v>2020</v>
      </c>
      <c r="G5909" s="6" t="s">
        <v>16</v>
      </c>
      <c r="H5909" s="6">
        <v>200</v>
      </c>
      <c r="I5909" s="6">
        <v>200</v>
      </c>
      <c r="J5909" s="6"/>
      <c r="K5909" s="6"/>
      <c r="L5909" s="10">
        <v>20201118</v>
      </c>
      <c r="M5909" s="36" t="str">
        <f t="shared" si="92"/>
        <v>19790520</v>
      </c>
    </row>
    <row r="5910" s="1" customFormat="1" spans="1:13">
      <c r="A5910" s="2">
        <v>5782</v>
      </c>
      <c r="B5910" s="30" t="s">
        <v>11090</v>
      </c>
      <c r="C5910" s="30" t="s">
        <v>2934</v>
      </c>
      <c r="D5910" s="30" t="s">
        <v>11637</v>
      </c>
      <c r="E5910" s="5" t="s">
        <v>15</v>
      </c>
      <c r="F5910" s="5" t="s">
        <v>10250</v>
      </c>
      <c r="G5910" s="6" t="s">
        <v>16</v>
      </c>
      <c r="H5910" s="32">
        <v>200</v>
      </c>
      <c r="I5910" s="32">
        <v>200</v>
      </c>
      <c r="J5910" s="6"/>
      <c r="K5910" s="48"/>
      <c r="L5910" s="10">
        <v>20201118</v>
      </c>
      <c r="M5910" s="36" t="str">
        <f t="shared" si="92"/>
        <v>19790521</v>
      </c>
    </row>
    <row r="5911" s="1" customFormat="1" spans="1:13">
      <c r="A5911" s="2">
        <v>3997</v>
      </c>
      <c r="B5911" s="5" t="s">
        <v>7412</v>
      </c>
      <c r="C5911" s="5" t="s">
        <v>8215</v>
      </c>
      <c r="D5911" s="5" t="s">
        <v>8216</v>
      </c>
      <c r="E5911" s="6">
        <v>2020</v>
      </c>
      <c r="F5911" s="6">
        <v>2020</v>
      </c>
      <c r="G5911" s="5" t="s">
        <v>3359</v>
      </c>
      <c r="H5911" s="5">
        <v>200</v>
      </c>
      <c r="I5911" s="5">
        <v>200</v>
      </c>
      <c r="J5911" s="5"/>
      <c r="K5911" s="5"/>
      <c r="L5911" s="10">
        <v>20201118</v>
      </c>
      <c r="M5911" s="36" t="str">
        <f t="shared" si="92"/>
        <v>19790529</v>
      </c>
    </row>
    <row r="5912" s="1" customFormat="1" spans="1:13">
      <c r="A5912" s="2">
        <v>6724</v>
      </c>
      <c r="B5912" s="5" t="s">
        <v>13027</v>
      </c>
      <c r="C5912" s="15" t="s">
        <v>884</v>
      </c>
      <c r="D5912" s="15" t="s">
        <v>13418</v>
      </c>
      <c r="E5912" s="5">
        <v>2020</v>
      </c>
      <c r="F5912" s="5">
        <v>2020</v>
      </c>
      <c r="G5912" s="14" t="s">
        <v>16</v>
      </c>
      <c r="H5912" s="15">
        <v>200</v>
      </c>
      <c r="I5912" s="15">
        <v>200</v>
      </c>
      <c r="J5912" s="5"/>
      <c r="K5912" s="10"/>
      <c r="L5912" s="10">
        <v>20201118</v>
      </c>
      <c r="M5912" s="36" t="str">
        <f t="shared" si="92"/>
        <v>19790529</v>
      </c>
    </row>
    <row r="5913" s="1" customFormat="1" spans="1:13">
      <c r="A5913" s="2">
        <v>3149</v>
      </c>
      <c r="B5913" s="3" t="s">
        <v>6671</v>
      </c>
      <c r="C5913" s="9" t="s">
        <v>6817</v>
      </c>
      <c r="D5913" s="9" t="s">
        <v>6818</v>
      </c>
      <c r="E5913" s="3" t="s">
        <v>15</v>
      </c>
      <c r="F5913" s="3" t="s">
        <v>15</v>
      </c>
      <c r="G5913" s="6" t="s">
        <v>3359</v>
      </c>
      <c r="H5913" s="9">
        <v>200</v>
      </c>
      <c r="I5913" s="9">
        <v>200</v>
      </c>
      <c r="J5913" s="6"/>
      <c r="K5913" s="5"/>
      <c r="L5913" s="10">
        <v>20201118</v>
      </c>
      <c r="M5913" s="36" t="str">
        <f t="shared" si="92"/>
        <v>19790601</v>
      </c>
    </row>
    <row r="5914" s="1" customFormat="1" spans="1:13">
      <c r="A5914" s="2">
        <v>5507</v>
      </c>
      <c r="B5914" s="30" t="s">
        <v>11090</v>
      </c>
      <c r="C5914" s="30" t="s">
        <v>11109</v>
      </c>
      <c r="D5914" s="30" t="s">
        <v>11110</v>
      </c>
      <c r="E5914" s="5" t="s">
        <v>15</v>
      </c>
      <c r="F5914" s="5" t="s">
        <v>10250</v>
      </c>
      <c r="G5914" s="6" t="s">
        <v>16</v>
      </c>
      <c r="H5914" s="32">
        <v>200</v>
      </c>
      <c r="I5914" s="32">
        <v>200</v>
      </c>
      <c r="J5914" s="6"/>
      <c r="K5914" s="48"/>
      <c r="L5914" s="10">
        <v>20201118</v>
      </c>
      <c r="M5914" s="36" t="str">
        <f t="shared" si="92"/>
        <v>19790604</v>
      </c>
    </row>
    <row r="5915" s="1" customFormat="1" ht="14.25" spans="1:13">
      <c r="A5915" s="2">
        <v>3007</v>
      </c>
      <c r="B5915" s="6" t="s">
        <v>6075</v>
      </c>
      <c r="C5915" s="25" t="s">
        <v>6539</v>
      </c>
      <c r="D5915" s="26" t="s">
        <v>6540</v>
      </c>
      <c r="E5915" s="5" t="s">
        <v>15</v>
      </c>
      <c r="F5915" s="5">
        <v>2020</v>
      </c>
      <c r="G5915" s="6" t="s">
        <v>16</v>
      </c>
      <c r="H5915" s="6">
        <v>200</v>
      </c>
      <c r="I5915" s="6">
        <v>200</v>
      </c>
      <c r="J5915" s="6"/>
      <c r="K5915" s="10"/>
      <c r="L5915" s="10">
        <v>20201118</v>
      </c>
      <c r="M5915" s="36" t="str">
        <f t="shared" si="92"/>
        <v>19790605</v>
      </c>
    </row>
    <row r="5916" s="1" customFormat="1" spans="1:13">
      <c r="A5916" s="2">
        <v>6227</v>
      </c>
      <c r="B5916" s="5" t="s">
        <v>12263</v>
      </c>
      <c r="C5916" s="5" t="s">
        <v>6539</v>
      </c>
      <c r="D5916" s="5" t="s">
        <v>12480</v>
      </c>
      <c r="E5916" s="5" t="s">
        <v>10250</v>
      </c>
      <c r="F5916" s="5">
        <v>2020</v>
      </c>
      <c r="G5916" s="17" t="s">
        <v>3359</v>
      </c>
      <c r="H5916" s="5">
        <v>200</v>
      </c>
      <c r="I5916" s="5">
        <v>200</v>
      </c>
      <c r="J5916" s="5"/>
      <c r="K5916" s="5"/>
      <c r="L5916" s="10">
        <v>20201118</v>
      </c>
      <c r="M5916" s="36" t="str">
        <f t="shared" si="92"/>
        <v>19790605</v>
      </c>
    </row>
    <row r="5917" s="1" customFormat="1" spans="1:13">
      <c r="A5917" s="2">
        <v>6725</v>
      </c>
      <c r="B5917" s="5" t="s">
        <v>13027</v>
      </c>
      <c r="C5917" s="15" t="s">
        <v>13419</v>
      </c>
      <c r="D5917" s="15" t="s">
        <v>13420</v>
      </c>
      <c r="E5917" s="5">
        <v>2020</v>
      </c>
      <c r="F5917" s="5">
        <v>2020</v>
      </c>
      <c r="G5917" s="14" t="s">
        <v>16</v>
      </c>
      <c r="H5917" s="15">
        <v>200</v>
      </c>
      <c r="I5917" s="15">
        <v>200</v>
      </c>
      <c r="J5917" s="5"/>
      <c r="K5917" s="10"/>
      <c r="L5917" s="10">
        <v>20201118</v>
      </c>
      <c r="M5917" s="36" t="str">
        <f t="shared" si="92"/>
        <v>19790606</v>
      </c>
    </row>
    <row r="5918" s="1" customFormat="1" spans="1:13">
      <c r="A5918" s="2">
        <v>289</v>
      </c>
      <c r="B5918" s="14" t="s">
        <v>327</v>
      </c>
      <c r="C5918" s="17" t="s">
        <v>754</v>
      </c>
      <c r="D5918" s="306" t="s">
        <v>755</v>
      </c>
      <c r="E5918" s="5">
        <v>2020</v>
      </c>
      <c r="F5918" s="5">
        <v>2020</v>
      </c>
      <c r="G5918" s="14" t="s">
        <v>16</v>
      </c>
      <c r="H5918" s="17">
        <v>200</v>
      </c>
      <c r="I5918" s="17">
        <v>200</v>
      </c>
      <c r="J5918" s="17"/>
      <c r="K5918" s="10"/>
      <c r="L5918" s="2" t="s">
        <v>330</v>
      </c>
      <c r="M5918" s="36" t="str">
        <f t="shared" si="92"/>
        <v>19790612</v>
      </c>
    </row>
    <row r="5919" s="1" customFormat="1" spans="1:13">
      <c r="A5919" s="2">
        <v>589</v>
      </c>
      <c r="B5919" s="29" t="s">
        <v>1040</v>
      </c>
      <c r="C5919" s="29" t="s">
        <v>1454</v>
      </c>
      <c r="D5919" s="29" t="s">
        <v>1455</v>
      </c>
      <c r="E5919" s="30">
        <v>2020</v>
      </c>
      <c r="F5919" s="30">
        <v>2020</v>
      </c>
      <c r="G5919" s="29" t="s">
        <v>16</v>
      </c>
      <c r="H5919" s="29">
        <v>200</v>
      </c>
      <c r="I5919" s="29">
        <v>200</v>
      </c>
      <c r="J5919" s="29"/>
      <c r="K5919" s="47"/>
      <c r="L5919" s="14" t="s">
        <v>330</v>
      </c>
      <c r="M5919" s="36" t="str">
        <f t="shared" si="92"/>
        <v>19790613</v>
      </c>
    </row>
    <row r="5920" s="1" customFormat="1" spans="1:13">
      <c r="A5920" s="2">
        <v>2693</v>
      </c>
      <c r="B5920" s="32" t="s">
        <v>5602</v>
      </c>
      <c r="C5920" s="9" t="s">
        <v>5918</v>
      </c>
      <c r="D5920" s="9" t="s">
        <v>5919</v>
      </c>
      <c r="E5920" s="32">
        <v>2020</v>
      </c>
      <c r="F5920" s="32">
        <v>2020</v>
      </c>
      <c r="G5920" s="32" t="s">
        <v>16</v>
      </c>
      <c r="H5920" s="9">
        <v>200</v>
      </c>
      <c r="I5920" s="9">
        <v>200</v>
      </c>
      <c r="J5920" s="32"/>
      <c r="K5920" s="52"/>
      <c r="L5920" s="10">
        <v>20201118</v>
      </c>
      <c r="M5920" s="36" t="str">
        <f t="shared" si="92"/>
        <v>19790613</v>
      </c>
    </row>
    <row r="5921" s="1" customFormat="1" spans="1:13">
      <c r="A5921" s="2">
        <v>7479</v>
      </c>
      <c r="B5921" s="5" t="s">
        <v>14402</v>
      </c>
      <c r="C5921" s="5" t="s">
        <v>14574</v>
      </c>
      <c r="D5921" s="5" t="s">
        <v>14575</v>
      </c>
      <c r="E5921" s="5">
        <v>2020</v>
      </c>
      <c r="F5921" s="5">
        <v>2020</v>
      </c>
      <c r="G5921" s="17" t="s">
        <v>16</v>
      </c>
      <c r="H5921" s="5">
        <v>200</v>
      </c>
      <c r="I5921" s="5">
        <v>200</v>
      </c>
      <c r="J5921" s="5"/>
      <c r="K5921" s="10"/>
      <c r="L5921" s="10">
        <v>20201118</v>
      </c>
      <c r="M5921" s="36" t="str">
        <f t="shared" si="92"/>
        <v>19790613</v>
      </c>
    </row>
    <row r="5922" s="1" customFormat="1" spans="1:13">
      <c r="A5922" s="2">
        <v>7100</v>
      </c>
      <c r="B5922" s="5" t="s">
        <v>13533</v>
      </c>
      <c r="C5922" s="32" t="s">
        <v>3060</v>
      </c>
      <c r="D5922" s="32" t="s">
        <v>13869</v>
      </c>
      <c r="E5922" s="5">
        <v>2020</v>
      </c>
      <c r="F5922" s="5">
        <v>2020</v>
      </c>
      <c r="G5922" s="9" t="s">
        <v>2480</v>
      </c>
      <c r="H5922" s="32">
        <v>200</v>
      </c>
      <c r="I5922" s="32">
        <v>200</v>
      </c>
      <c r="J5922" s="32"/>
      <c r="K5922" s="10"/>
      <c r="L5922" s="10">
        <v>20201118</v>
      </c>
      <c r="M5922" s="36" t="str">
        <f t="shared" si="92"/>
        <v>19790626</v>
      </c>
    </row>
    <row r="5923" s="1" customFormat="1" spans="1:13">
      <c r="A5923" s="2">
        <v>3127</v>
      </c>
      <c r="B5923" s="3" t="s">
        <v>6671</v>
      </c>
      <c r="C5923" s="9" t="s">
        <v>6775</v>
      </c>
      <c r="D5923" s="9" t="s">
        <v>6776</v>
      </c>
      <c r="E5923" s="3" t="s">
        <v>15</v>
      </c>
      <c r="F5923" s="3" t="s">
        <v>15</v>
      </c>
      <c r="G5923" s="6" t="s">
        <v>3359</v>
      </c>
      <c r="H5923" s="9">
        <v>200</v>
      </c>
      <c r="I5923" s="9">
        <v>200</v>
      </c>
      <c r="J5923" s="6"/>
      <c r="K5923" s="5"/>
      <c r="L5923" s="10">
        <v>20201118</v>
      </c>
      <c r="M5923" s="36" t="str">
        <f t="shared" si="92"/>
        <v>19790628</v>
      </c>
    </row>
    <row r="5924" s="1" customFormat="1" spans="1:13">
      <c r="A5924" s="2">
        <v>6373</v>
      </c>
      <c r="B5924" s="5" t="s">
        <v>12263</v>
      </c>
      <c r="C5924" s="5" t="s">
        <v>12759</v>
      </c>
      <c r="D5924" s="5" t="s">
        <v>12760</v>
      </c>
      <c r="E5924" s="5" t="s">
        <v>10250</v>
      </c>
      <c r="F5924" s="5">
        <v>2020</v>
      </c>
      <c r="G5924" s="17" t="s">
        <v>3359</v>
      </c>
      <c r="H5924" s="5" t="s">
        <v>311</v>
      </c>
      <c r="I5924" s="5">
        <v>200</v>
      </c>
      <c r="J5924" s="5"/>
      <c r="K5924" s="5"/>
      <c r="L5924" s="10">
        <v>20201118</v>
      </c>
      <c r="M5924" s="36" t="str">
        <f t="shared" si="92"/>
        <v>19790628</v>
      </c>
    </row>
    <row r="5925" s="1" customFormat="1" spans="1:13">
      <c r="A5925" s="2">
        <v>6726</v>
      </c>
      <c r="B5925" s="5" t="s">
        <v>13027</v>
      </c>
      <c r="C5925" s="15" t="s">
        <v>13421</v>
      </c>
      <c r="D5925" s="15" t="s">
        <v>13422</v>
      </c>
      <c r="E5925" s="5">
        <v>2020</v>
      </c>
      <c r="F5925" s="5">
        <v>2020</v>
      </c>
      <c r="G5925" s="14" t="s">
        <v>16</v>
      </c>
      <c r="H5925" s="15">
        <v>200</v>
      </c>
      <c r="I5925" s="15">
        <v>200</v>
      </c>
      <c r="J5925" s="5"/>
      <c r="K5925" s="10"/>
      <c r="L5925" s="10">
        <v>20201118</v>
      </c>
      <c r="M5925" s="36" t="str">
        <f t="shared" si="92"/>
        <v>19790701</v>
      </c>
    </row>
    <row r="5926" s="1" customFormat="1" spans="1:13">
      <c r="A5926" s="2">
        <v>7905</v>
      </c>
      <c r="B5926" s="5" t="s">
        <v>15086</v>
      </c>
      <c r="C5926" s="6" t="s">
        <v>15181</v>
      </c>
      <c r="D5926" s="6" t="str">
        <f>"152326197907016868"</f>
        <v>152326197907016868</v>
      </c>
      <c r="E5926" s="5" t="s">
        <v>15</v>
      </c>
      <c r="F5926" s="5">
        <v>2020</v>
      </c>
      <c r="G5926" s="5" t="s">
        <v>16</v>
      </c>
      <c r="H5926" s="5">
        <v>200</v>
      </c>
      <c r="I5926" s="5">
        <v>200</v>
      </c>
      <c r="J5926" s="5"/>
      <c r="K5926" s="5"/>
      <c r="L5926" s="10">
        <v>20201118</v>
      </c>
      <c r="M5926" s="36" t="str">
        <f t="shared" si="92"/>
        <v>19790701</v>
      </c>
    </row>
    <row r="5927" s="1" customFormat="1" spans="1:13">
      <c r="A5927" s="2">
        <v>3998</v>
      </c>
      <c r="B5927" s="5" t="s">
        <v>7412</v>
      </c>
      <c r="C5927" s="5" t="s">
        <v>5810</v>
      </c>
      <c r="D5927" s="5" t="s">
        <v>8217</v>
      </c>
      <c r="E5927" s="6">
        <v>2020</v>
      </c>
      <c r="F5927" s="6">
        <v>2020</v>
      </c>
      <c r="G5927" s="5" t="s">
        <v>3359</v>
      </c>
      <c r="H5927" s="5">
        <v>200</v>
      </c>
      <c r="I5927" s="5">
        <v>200</v>
      </c>
      <c r="J5927" s="5"/>
      <c r="K5927" s="5"/>
      <c r="L5927" s="10">
        <v>20201118</v>
      </c>
      <c r="M5927" s="36" t="str">
        <f t="shared" si="92"/>
        <v>19790703</v>
      </c>
    </row>
    <row r="5928" s="1" customFormat="1" spans="1:13">
      <c r="A5928" s="2">
        <v>7900</v>
      </c>
      <c r="B5928" s="5" t="s">
        <v>15086</v>
      </c>
      <c r="C5928" s="6" t="s">
        <v>15175</v>
      </c>
      <c r="D5928" s="6" t="s">
        <v>15176</v>
      </c>
      <c r="E5928" s="5" t="s">
        <v>15</v>
      </c>
      <c r="F5928" s="5">
        <v>2020</v>
      </c>
      <c r="G5928" s="5" t="s">
        <v>16</v>
      </c>
      <c r="H5928" s="5">
        <v>200</v>
      </c>
      <c r="I5928" s="5">
        <v>200</v>
      </c>
      <c r="J5928" s="5"/>
      <c r="K5928" s="5"/>
      <c r="L5928" s="10">
        <v>20201118</v>
      </c>
      <c r="M5928" s="36" t="str">
        <f t="shared" si="92"/>
        <v>19790705</v>
      </c>
    </row>
    <row r="5929" s="1" customFormat="1" spans="1:13">
      <c r="A5929" s="2">
        <v>6838</v>
      </c>
      <c r="B5929" s="5" t="s">
        <v>13533</v>
      </c>
      <c r="C5929" s="32" t="s">
        <v>13589</v>
      </c>
      <c r="D5929" s="32" t="str">
        <f>"152326197907077118"</f>
        <v>152326197907077118</v>
      </c>
      <c r="E5929" s="5">
        <v>2020</v>
      </c>
      <c r="F5929" s="5">
        <v>2020</v>
      </c>
      <c r="G5929" s="9" t="s">
        <v>2480</v>
      </c>
      <c r="H5929" s="32">
        <v>200</v>
      </c>
      <c r="I5929" s="32">
        <v>200</v>
      </c>
      <c r="J5929" s="32"/>
      <c r="K5929" s="10"/>
      <c r="L5929" s="10">
        <v>20201118</v>
      </c>
      <c r="M5929" s="36" t="str">
        <f t="shared" si="92"/>
        <v>19790707</v>
      </c>
    </row>
    <row r="5930" s="1" customFormat="1" spans="1:13">
      <c r="A5930" s="2">
        <v>4939</v>
      </c>
      <c r="B5930" s="6" t="s">
        <v>9954</v>
      </c>
      <c r="C5930" s="3" t="s">
        <v>10019</v>
      </c>
      <c r="D5930" s="3" t="s">
        <v>10020</v>
      </c>
      <c r="E5930" s="5" t="s">
        <v>15</v>
      </c>
      <c r="F5930" s="5" t="s">
        <v>15</v>
      </c>
      <c r="G5930" s="14" t="s">
        <v>16</v>
      </c>
      <c r="H5930" s="6">
        <v>200</v>
      </c>
      <c r="I5930" s="6">
        <v>200</v>
      </c>
      <c r="J5930" s="6"/>
      <c r="K5930" s="6"/>
      <c r="L5930" s="10">
        <v>20201118</v>
      </c>
      <c r="M5930" s="36" t="str">
        <f t="shared" si="92"/>
        <v>19790711</v>
      </c>
    </row>
    <row r="5931" s="1" customFormat="1" spans="1:13">
      <c r="A5931" s="2">
        <v>5624</v>
      </c>
      <c r="B5931" s="30" t="s">
        <v>11090</v>
      </c>
      <c r="C5931" s="30" t="s">
        <v>11338</v>
      </c>
      <c r="D5931" s="30" t="s">
        <v>11339</v>
      </c>
      <c r="E5931" s="5" t="s">
        <v>15</v>
      </c>
      <c r="F5931" s="5" t="s">
        <v>10250</v>
      </c>
      <c r="G5931" s="6" t="s">
        <v>16</v>
      </c>
      <c r="H5931" s="32">
        <v>200</v>
      </c>
      <c r="I5931" s="32">
        <v>200</v>
      </c>
      <c r="J5931" s="6"/>
      <c r="K5931" s="48"/>
      <c r="L5931" s="10">
        <v>20201118</v>
      </c>
      <c r="M5931" s="36" t="str">
        <f t="shared" si="92"/>
        <v>19790713</v>
      </c>
    </row>
    <row r="5932" s="1" customFormat="1" spans="1:13">
      <c r="A5932" s="2">
        <v>2320</v>
      </c>
      <c r="B5932" s="9" t="s">
        <v>4837</v>
      </c>
      <c r="C5932" s="9" t="s">
        <v>5180</v>
      </c>
      <c r="D5932" s="9" t="s">
        <v>5181</v>
      </c>
      <c r="E5932" s="6" t="s">
        <v>15</v>
      </c>
      <c r="F5932" s="6">
        <v>2020</v>
      </c>
      <c r="G5932" s="9" t="s">
        <v>2480</v>
      </c>
      <c r="H5932" s="9">
        <v>200</v>
      </c>
      <c r="I5932" s="9">
        <v>200</v>
      </c>
      <c r="J5932" s="6"/>
      <c r="K5932" s="10"/>
      <c r="L5932" s="10">
        <v>20201118</v>
      </c>
      <c r="M5932" s="36" t="str">
        <f t="shared" si="92"/>
        <v>19790716</v>
      </c>
    </row>
    <row r="5933" s="1" customFormat="1" spans="1:13">
      <c r="A5933" s="2">
        <v>3322</v>
      </c>
      <c r="B5933" s="5" t="s">
        <v>3375</v>
      </c>
      <c r="C5933" s="6" t="s">
        <v>7096</v>
      </c>
      <c r="D5933" s="6" t="s">
        <v>7097</v>
      </c>
      <c r="E5933" s="5" t="s">
        <v>15</v>
      </c>
      <c r="F5933" s="5">
        <v>2020</v>
      </c>
      <c r="G5933" s="14" t="s">
        <v>16</v>
      </c>
      <c r="H5933" s="17">
        <v>1000</v>
      </c>
      <c r="I5933" s="17">
        <v>1000</v>
      </c>
      <c r="J5933" s="6"/>
      <c r="K5933" s="10"/>
      <c r="L5933" s="10">
        <v>20201118</v>
      </c>
      <c r="M5933" s="36" t="str">
        <f t="shared" si="92"/>
        <v>19790717</v>
      </c>
    </row>
    <row r="5934" s="1" customFormat="1" spans="1:13">
      <c r="A5934" s="2">
        <v>1211</v>
      </c>
      <c r="B5934" s="5" t="s">
        <v>2469</v>
      </c>
      <c r="C5934" s="9" t="s">
        <v>3004</v>
      </c>
      <c r="D5934" s="9" t="s">
        <v>3005</v>
      </c>
      <c r="E5934" s="5">
        <v>2020</v>
      </c>
      <c r="F5934" s="5">
        <v>2020</v>
      </c>
      <c r="G5934" s="9" t="s">
        <v>2480</v>
      </c>
      <c r="H5934" s="9">
        <v>200</v>
      </c>
      <c r="I5934" s="9">
        <v>200</v>
      </c>
      <c r="J5934" s="5"/>
      <c r="K5934" s="5"/>
      <c r="L5934" s="10">
        <v>20201118</v>
      </c>
      <c r="M5934" s="36" t="str">
        <f t="shared" si="92"/>
        <v>19790720</v>
      </c>
    </row>
    <row r="5935" s="1" customFormat="1" spans="1:13">
      <c r="A5935" s="2">
        <v>6727</v>
      </c>
      <c r="B5935" s="5" t="s">
        <v>13027</v>
      </c>
      <c r="C5935" s="15" t="s">
        <v>13423</v>
      </c>
      <c r="D5935" s="15" t="s">
        <v>13424</v>
      </c>
      <c r="E5935" s="5">
        <v>2020</v>
      </c>
      <c r="F5935" s="5">
        <v>2020</v>
      </c>
      <c r="G5935" s="14" t="s">
        <v>16</v>
      </c>
      <c r="H5935" s="15">
        <v>200</v>
      </c>
      <c r="I5935" s="15">
        <v>200</v>
      </c>
      <c r="J5935" s="5"/>
      <c r="K5935" s="10"/>
      <c r="L5935" s="10">
        <v>20201118</v>
      </c>
      <c r="M5935" s="36" t="str">
        <f t="shared" si="92"/>
        <v>19790720</v>
      </c>
    </row>
    <row r="5936" s="1" customFormat="1" spans="1:13">
      <c r="A5936" s="2">
        <v>7615</v>
      </c>
      <c r="B5936" s="5" t="s">
        <v>14402</v>
      </c>
      <c r="C5936" s="5" t="s">
        <v>14828</v>
      </c>
      <c r="D5936" s="5" t="s">
        <v>14829</v>
      </c>
      <c r="E5936" s="5">
        <v>2020</v>
      </c>
      <c r="F5936" s="5">
        <v>2020</v>
      </c>
      <c r="G5936" s="17" t="s">
        <v>16</v>
      </c>
      <c r="H5936" s="5">
        <v>200</v>
      </c>
      <c r="I5936" s="5">
        <v>200</v>
      </c>
      <c r="J5936" s="5"/>
      <c r="K5936" s="10"/>
      <c r="L5936" s="10">
        <v>20201118</v>
      </c>
      <c r="M5936" s="36" t="str">
        <f t="shared" si="92"/>
        <v>19790720</v>
      </c>
    </row>
    <row r="5937" s="1" customFormat="1" ht="14.25" spans="1:13">
      <c r="A5937" s="2">
        <v>3031</v>
      </c>
      <c r="B5937" s="6" t="s">
        <v>6075</v>
      </c>
      <c r="C5937" s="25" t="s">
        <v>6585</v>
      </c>
      <c r="D5937" s="26" t="s">
        <v>6586</v>
      </c>
      <c r="E5937" s="5" t="s">
        <v>15</v>
      </c>
      <c r="F5937" s="5">
        <v>2020</v>
      </c>
      <c r="G5937" s="6" t="s">
        <v>16</v>
      </c>
      <c r="H5937" s="6">
        <v>500</v>
      </c>
      <c r="I5937" s="6">
        <v>500</v>
      </c>
      <c r="J5937" s="6"/>
      <c r="K5937" s="10"/>
      <c r="L5937" s="10">
        <v>20201118</v>
      </c>
      <c r="M5937" s="36" t="str">
        <f t="shared" si="92"/>
        <v>19790722</v>
      </c>
    </row>
    <row r="5938" s="1" customFormat="1" spans="1:13">
      <c r="A5938" s="2">
        <v>4888</v>
      </c>
      <c r="B5938" s="6" t="s">
        <v>9015</v>
      </c>
      <c r="C5938" s="6" t="s">
        <v>9918</v>
      </c>
      <c r="D5938" s="293" t="s">
        <v>9919</v>
      </c>
      <c r="E5938" s="6">
        <v>2020</v>
      </c>
      <c r="F5938" s="6">
        <v>2020</v>
      </c>
      <c r="G5938" s="6" t="s">
        <v>189</v>
      </c>
      <c r="H5938" s="6">
        <v>200</v>
      </c>
      <c r="I5938" s="6">
        <v>200</v>
      </c>
      <c r="J5938" s="6"/>
      <c r="K5938" s="6"/>
      <c r="L5938" s="10">
        <v>20201118</v>
      </c>
      <c r="M5938" s="36" t="str">
        <f t="shared" si="92"/>
        <v>19790723</v>
      </c>
    </row>
    <row r="5939" s="1" customFormat="1" ht="14.25" spans="1:13">
      <c r="A5939" s="2">
        <v>2898</v>
      </c>
      <c r="B5939" s="6" t="s">
        <v>6075</v>
      </c>
      <c r="C5939" s="25" t="s">
        <v>1570</v>
      </c>
      <c r="D5939" s="26" t="s">
        <v>6324</v>
      </c>
      <c r="E5939" s="5" t="s">
        <v>15</v>
      </c>
      <c r="F5939" s="5">
        <v>2020</v>
      </c>
      <c r="G5939" s="6" t="s">
        <v>16</v>
      </c>
      <c r="H5939" s="6">
        <v>200</v>
      </c>
      <c r="I5939" s="6">
        <v>200</v>
      </c>
      <c r="J5939" s="6" t="s">
        <v>6097</v>
      </c>
      <c r="K5939" s="10"/>
      <c r="L5939" s="10">
        <v>20201118</v>
      </c>
      <c r="M5939" s="36" t="str">
        <f t="shared" si="92"/>
        <v>19790724</v>
      </c>
    </row>
    <row r="5940" s="1" customFormat="1" spans="1:13">
      <c r="A5940" s="2">
        <v>319</v>
      </c>
      <c r="B5940" s="14" t="s">
        <v>327</v>
      </c>
      <c r="C5940" s="17" t="s">
        <v>845</v>
      </c>
      <c r="D5940" s="306" t="s">
        <v>846</v>
      </c>
      <c r="E5940" s="5">
        <v>2020</v>
      </c>
      <c r="F5940" s="5">
        <v>2020</v>
      </c>
      <c r="G5940" s="14" t="s">
        <v>16</v>
      </c>
      <c r="H5940" s="17">
        <v>200</v>
      </c>
      <c r="I5940" s="17">
        <v>200</v>
      </c>
      <c r="J5940" s="17"/>
      <c r="K5940" s="10"/>
      <c r="L5940" s="2" t="s">
        <v>330</v>
      </c>
      <c r="M5940" s="36" t="str">
        <f t="shared" si="92"/>
        <v>19790725</v>
      </c>
    </row>
    <row r="5941" s="1" customFormat="1" spans="1:13">
      <c r="A5941" s="2">
        <v>1212</v>
      </c>
      <c r="B5941" s="5" t="s">
        <v>2469</v>
      </c>
      <c r="C5941" s="9" t="s">
        <v>3006</v>
      </c>
      <c r="D5941" s="9" t="s">
        <v>3007</v>
      </c>
      <c r="E5941" s="5">
        <v>2020</v>
      </c>
      <c r="F5941" s="5">
        <v>2020</v>
      </c>
      <c r="G5941" s="9" t="s">
        <v>2480</v>
      </c>
      <c r="H5941" s="9">
        <v>200</v>
      </c>
      <c r="I5941" s="9">
        <v>200</v>
      </c>
      <c r="J5941" s="5"/>
      <c r="K5941" s="5"/>
      <c r="L5941" s="10">
        <v>20201118</v>
      </c>
      <c r="M5941" s="36" t="str">
        <f t="shared" si="92"/>
        <v>19790726</v>
      </c>
    </row>
    <row r="5942" s="1" customFormat="1" spans="1:13">
      <c r="A5942" s="2">
        <v>4922</v>
      </c>
      <c r="B5942" s="6" t="s">
        <v>9954</v>
      </c>
      <c r="C5942" s="60" t="s">
        <v>9985</v>
      </c>
      <c r="D5942" s="60" t="s">
        <v>9986</v>
      </c>
      <c r="E5942" s="5" t="s">
        <v>15</v>
      </c>
      <c r="F5942" s="5" t="s">
        <v>15</v>
      </c>
      <c r="G5942" s="14" t="s">
        <v>16</v>
      </c>
      <c r="H5942" s="6">
        <v>200</v>
      </c>
      <c r="I5942" s="6">
        <v>200</v>
      </c>
      <c r="J5942" s="6"/>
      <c r="K5942" s="6"/>
      <c r="L5942" s="10">
        <v>20201118</v>
      </c>
      <c r="M5942" s="36" t="str">
        <f t="shared" si="92"/>
        <v>19790727</v>
      </c>
    </row>
    <row r="5943" s="1" customFormat="1" spans="1:13">
      <c r="A5943" s="2">
        <v>3999</v>
      </c>
      <c r="B5943" s="5" t="s">
        <v>7412</v>
      </c>
      <c r="C5943" s="5" t="s">
        <v>8218</v>
      </c>
      <c r="D5943" s="5" t="s">
        <v>8219</v>
      </c>
      <c r="E5943" s="6">
        <v>2020</v>
      </c>
      <c r="F5943" s="6">
        <v>2020</v>
      </c>
      <c r="G5943" s="5" t="s">
        <v>3359</v>
      </c>
      <c r="H5943" s="5">
        <v>200</v>
      </c>
      <c r="I5943" s="5">
        <v>200</v>
      </c>
      <c r="J5943" s="5" t="s">
        <v>1242</v>
      </c>
      <c r="K5943" s="5"/>
      <c r="L5943" s="10">
        <v>20201118</v>
      </c>
      <c r="M5943" s="36" t="str">
        <f t="shared" si="92"/>
        <v>19790803</v>
      </c>
    </row>
    <row r="5944" s="1" customFormat="1" spans="1:13">
      <c r="A5944" s="2">
        <v>5660</v>
      </c>
      <c r="B5944" s="30" t="s">
        <v>11090</v>
      </c>
      <c r="C5944" s="30" t="s">
        <v>11405</v>
      </c>
      <c r="D5944" s="30" t="s">
        <v>11406</v>
      </c>
      <c r="E5944" s="5" t="s">
        <v>15</v>
      </c>
      <c r="F5944" s="5" t="s">
        <v>10250</v>
      </c>
      <c r="G5944" s="6" t="s">
        <v>16</v>
      </c>
      <c r="H5944" s="32">
        <v>200</v>
      </c>
      <c r="I5944" s="32">
        <v>200</v>
      </c>
      <c r="J5944" s="6"/>
      <c r="K5944" s="48"/>
      <c r="L5944" s="10">
        <v>20201118</v>
      </c>
      <c r="M5944" s="36" t="str">
        <f t="shared" si="92"/>
        <v>19790803</v>
      </c>
    </row>
    <row r="5945" s="1" customFormat="1" spans="1:13">
      <c r="A5945" s="2">
        <v>7117</v>
      </c>
      <c r="B5945" s="5" t="s">
        <v>13533</v>
      </c>
      <c r="C5945" s="5" t="s">
        <v>13894</v>
      </c>
      <c r="D5945" s="5" t="s">
        <v>13895</v>
      </c>
      <c r="E5945" s="5">
        <v>2020</v>
      </c>
      <c r="F5945" s="5">
        <v>2020</v>
      </c>
      <c r="G5945" s="9" t="s">
        <v>2480</v>
      </c>
      <c r="H5945" s="32">
        <v>200</v>
      </c>
      <c r="I5945" s="32">
        <v>200</v>
      </c>
      <c r="J5945" s="32"/>
      <c r="K5945" s="10"/>
      <c r="L5945" s="10">
        <v>20201118</v>
      </c>
      <c r="M5945" s="36" t="str">
        <f t="shared" si="92"/>
        <v>19790804</v>
      </c>
    </row>
    <row r="5946" s="1" customFormat="1" spans="1:13">
      <c r="A5946" s="2">
        <v>4000</v>
      </c>
      <c r="B5946" s="5" t="s">
        <v>7412</v>
      </c>
      <c r="C5946" s="5" t="s">
        <v>8220</v>
      </c>
      <c r="D5946" s="5" t="s">
        <v>8221</v>
      </c>
      <c r="E5946" s="6">
        <v>2020</v>
      </c>
      <c r="F5946" s="6">
        <v>2020</v>
      </c>
      <c r="G5946" s="5" t="s">
        <v>3359</v>
      </c>
      <c r="H5946" s="5">
        <v>200</v>
      </c>
      <c r="I5946" s="5">
        <v>200</v>
      </c>
      <c r="J5946" s="5"/>
      <c r="K5946" s="5"/>
      <c r="L5946" s="10">
        <v>20201118</v>
      </c>
      <c r="M5946" s="36" t="str">
        <f t="shared" si="92"/>
        <v>19790807</v>
      </c>
    </row>
    <row r="5947" s="1" customFormat="1" spans="1:13">
      <c r="A5947" s="2">
        <v>694</v>
      </c>
      <c r="B5947" s="29" t="s">
        <v>1040</v>
      </c>
      <c r="C5947" s="47" t="s">
        <v>1734</v>
      </c>
      <c r="D5947" s="47" t="s">
        <v>1735</v>
      </c>
      <c r="E5947" s="30">
        <v>2020</v>
      </c>
      <c r="F5947" s="30">
        <v>2020</v>
      </c>
      <c r="G5947" s="29" t="s">
        <v>16</v>
      </c>
      <c r="H5947" s="29">
        <v>200</v>
      </c>
      <c r="I5947" s="29">
        <v>200</v>
      </c>
      <c r="J5947" s="29"/>
      <c r="K5947" s="54"/>
      <c r="L5947" s="14" t="s">
        <v>330</v>
      </c>
      <c r="M5947" s="36" t="str">
        <f t="shared" si="92"/>
        <v>19790809</v>
      </c>
    </row>
    <row r="5948" s="1" customFormat="1" ht="14.25" spans="1:13">
      <c r="A5948" s="2">
        <v>7667</v>
      </c>
      <c r="B5948" s="5" t="s">
        <v>14875</v>
      </c>
      <c r="C5948" s="51" t="s">
        <v>14909</v>
      </c>
      <c r="D5948" s="24" t="str">
        <f>"152326197908094104"</f>
        <v>152326197908094104</v>
      </c>
      <c r="E5948" s="6" t="s">
        <v>15</v>
      </c>
      <c r="F5948" s="6">
        <v>2020</v>
      </c>
      <c r="G5948" s="24" t="s">
        <v>14877</v>
      </c>
      <c r="H5948" s="6">
        <v>200</v>
      </c>
      <c r="I5948" s="6">
        <v>200</v>
      </c>
      <c r="J5948" s="6"/>
      <c r="K5948" s="10"/>
      <c r="L5948" s="10">
        <v>20201118</v>
      </c>
      <c r="M5948" s="36" t="str">
        <f t="shared" si="92"/>
        <v>19790809</v>
      </c>
    </row>
    <row r="5949" s="1" customFormat="1" spans="1:13">
      <c r="A5949" s="2">
        <v>3323</v>
      </c>
      <c r="B5949" s="5" t="s">
        <v>3375</v>
      </c>
      <c r="C5949" s="6" t="s">
        <v>7098</v>
      </c>
      <c r="D5949" s="6" t="str">
        <f>"152326197908106873"</f>
        <v>152326197908106873</v>
      </c>
      <c r="E5949" s="5" t="s">
        <v>15</v>
      </c>
      <c r="F5949" s="5">
        <v>2020</v>
      </c>
      <c r="G5949" s="14" t="s">
        <v>16</v>
      </c>
      <c r="H5949" s="17">
        <v>200</v>
      </c>
      <c r="I5949" s="17">
        <v>200</v>
      </c>
      <c r="J5949" s="6"/>
      <c r="K5949" s="10"/>
      <c r="L5949" s="10">
        <v>20201118</v>
      </c>
      <c r="M5949" s="36" t="str">
        <f t="shared" si="92"/>
        <v>19790810</v>
      </c>
    </row>
    <row r="5950" s="1" customFormat="1" spans="1:13">
      <c r="A5950" s="2">
        <v>8138</v>
      </c>
      <c r="B5950" s="5" t="s">
        <v>15406</v>
      </c>
      <c r="C5950" s="6" t="s">
        <v>15469</v>
      </c>
      <c r="D5950" s="293" t="s">
        <v>15470</v>
      </c>
      <c r="E5950" s="5" t="s">
        <v>15</v>
      </c>
      <c r="F5950" s="5">
        <v>2020</v>
      </c>
      <c r="G5950" s="14" t="s">
        <v>16</v>
      </c>
      <c r="H5950" s="6">
        <v>200</v>
      </c>
      <c r="I5950" s="6">
        <v>200</v>
      </c>
      <c r="J5950" s="5"/>
      <c r="K5950" s="10"/>
      <c r="L5950" s="10">
        <v>20201118</v>
      </c>
      <c r="M5950" s="36" t="str">
        <f t="shared" si="92"/>
        <v>19790810</v>
      </c>
    </row>
    <row r="5951" s="1" customFormat="1" spans="1:13">
      <c r="A5951" s="2">
        <v>1213</v>
      </c>
      <c r="B5951" s="5" t="s">
        <v>2469</v>
      </c>
      <c r="C5951" s="9" t="s">
        <v>3008</v>
      </c>
      <c r="D5951" s="9" t="s">
        <v>3009</v>
      </c>
      <c r="E5951" s="5">
        <v>2020</v>
      </c>
      <c r="F5951" s="5">
        <v>2020</v>
      </c>
      <c r="G5951" s="9" t="s">
        <v>2480</v>
      </c>
      <c r="H5951" s="9">
        <v>200</v>
      </c>
      <c r="I5951" s="9">
        <v>200</v>
      </c>
      <c r="J5951" s="5"/>
      <c r="K5951" s="5"/>
      <c r="L5951" s="10">
        <v>20201118</v>
      </c>
      <c r="M5951" s="36" t="str">
        <f t="shared" si="92"/>
        <v>19790812</v>
      </c>
    </row>
    <row r="5952" s="1" customFormat="1" spans="1:13">
      <c r="A5952" s="2">
        <v>7908</v>
      </c>
      <c r="B5952" s="5" t="s">
        <v>15086</v>
      </c>
      <c r="C5952" s="6" t="s">
        <v>15185</v>
      </c>
      <c r="D5952" s="6" t="s">
        <v>15186</v>
      </c>
      <c r="E5952" s="5" t="s">
        <v>15</v>
      </c>
      <c r="F5952" s="5">
        <v>2020</v>
      </c>
      <c r="G5952" s="5" t="s">
        <v>16</v>
      </c>
      <c r="H5952" s="5">
        <v>300</v>
      </c>
      <c r="I5952" s="5">
        <v>300</v>
      </c>
      <c r="J5952" s="5"/>
      <c r="K5952" s="5"/>
      <c r="L5952" s="10">
        <v>20201118</v>
      </c>
      <c r="M5952" s="36" t="str">
        <f t="shared" si="92"/>
        <v>19790813</v>
      </c>
    </row>
    <row r="5953" s="1" customFormat="1" spans="1:13">
      <c r="A5953" s="2">
        <v>5858</v>
      </c>
      <c r="B5953" s="30" t="s">
        <v>11090</v>
      </c>
      <c r="C5953" s="30" t="s">
        <v>11777</v>
      </c>
      <c r="D5953" s="30" t="s">
        <v>11778</v>
      </c>
      <c r="E5953" s="5" t="s">
        <v>15</v>
      </c>
      <c r="F5953" s="5" t="s">
        <v>10250</v>
      </c>
      <c r="G5953" s="6" t="s">
        <v>16</v>
      </c>
      <c r="H5953" s="32">
        <v>200</v>
      </c>
      <c r="I5953" s="32">
        <v>200</v>
      </c>
      <c r="J5953" s="6"/>
      <c r="K5953" s="48"/>
      <c r="L5953" s="10">
        <v>20201118</v>
      </c>
      <c r="M5953" s="36" t="str">
        <f t="shared" si="92"/>
        <v>19790814</v>
      </c>
    </row>
    <row r="5954" s="1" customFormat="1" spans="1:13">
      <c r="A5954" s="2">
        <v>1214</v>
      </c>
      <c r="B5954" s="5" t="s">
        <v>2469</v>
      </c>
      <c r="C5954" s="9" t="s">
        <v>3010</v>
      </c>
      <c r="D5954" s="9" t="s">
        <v>3011</v>
      </c>
      <c r="E5954" s="5">
        <v>2020</v>
      </c>
      <c r="F5954" s="5">
        <v>2020</v>
      </c>
      <c r="G5954" s="9" t="s">
        <v>2480</v>
      </c>
      <c r="H5954" s="9">
        <v>200</v>
      </c>
      <c r="I5954" s="9">
        <v>200</v>
      </c>
      <c r="J5954" s="5"/>
      <c r="K5954" s="5"/>
      <c r="L5954" s="10">
        <v>20201118</v>
      </c>
      <c r="M5954" s="36" t="str">
        <f t="shared" ref="M5954:M6017" si="93">MID(D5954,7,8)</f>
        <v>19790820</v>
      </c>
    </row>
    <row r="5955" s="1" customFormat="1" spans="1:13">
      <c r="A5955" s="2">
        <v>4835</v>
      </c>
      <c r="B5955" s="6" t="s">
        <v>9015</v>
      </c>
      <c r="C5955" s="6" t="s">
        <v>9816</v>
      </c>
      <c r="D5955" s="293" t="s">
        <v>9817</v>
      </c>
      <c r="E5955" s="6">
        <v>2020</v>
      </c>
      <c r="F5955" s="6">
        <v>2020</v>
      </c>
      <c r="G5955" s="6" t="s">
        <v>16</v>
      </c>
      <c r="H5955" s="6">
        <v>200</v>
      </c>
      <c r="I5955" s="6">
        <v>200</v>
      </c>
      <c r="J5955" s="6"/>
      <c r="K5955" s="6"/>
      <c r="L5955" s="10">
        <v>20201118</v>
      </c>
      <c r="M5955" s="36" t="str">
        <f t="shared" si="93"/>
        <v>19790821</v>
      </c>
    </row>
    <row r="5956" s="1" customFormat="1" spans="1:13">
      <c r="A5956" s="2">
        <v>38</v>
      </c>
      <c r="B5956" s="31" t="s">
        <v>12</v>
      </c>
      <c r="C5956" s="17" t="s">
        <v>90</v>
      </c>
      <c r="D5956" s="17" t="s">
        <v>91</v>
      </c>
      <c r="E5956" s="3" t="s">
        <v>15</v>
      </c>
      <c r="F5956" s="3" t="s">
        <v>15</v>
      </c>
      <c r="G5956" s="2" t="s">
        <v>16</v>
      </c>
      <c r="H5956" s="17">
        <v>500</v>
      </c>
      <c r="I5956" s="17">
        <v>500</v>
      </c>
      <c r="J5956" s="31"/>
      <c r="K5956" s="17"/>
      <c r="L5956" s="10">
        <v>20201118</v>
      </c>
      <c r="M5956" s="36" t="str">
        <f t="shared" si="93"/>
        <v>19790822</v>
      </c>
    </row>
    <row r="5957" s="1" customFormat="1" spans="1:13">
      <c r="A5957" s="2">
        <v>7480</v>
      </c>
      <c r="B5957" s="5" t="s">
        <v>14402</v>
      </c>
      <c r="C5957" s="5" t="s">
        <v>14576</v>
      </c>
      <c r="D5957" s="5" t="s">
        <v>14577</v>
      </c>
      <c r="E5957" s="5">
        <v>2020</v>
      </c>
      <c r="F5957" s="5">
        <v>2020</v>
      </c>
      <c r="G5957" s="17" t="s">
        <v>16</v>
      </c>
      <c r="H5957" s="5">
        <v>200</v>
      </c>
      <c r="I5957" s="5">
        <v>200</v>
      </c>
      <c r="J5957" s="5"/>
      <c r="K5957" s="10"/>
      <c r="L5957" s="10">
        <v>20201118</v>
      </c>
      <c r="M5957" s="36" t="str">
        <f t="shared" si="93"/>
        <v>19790824</v>
      </c>
    </row>
    <row r="5958" s="1" customFormat="1" spans="1:13">
      <c r="A5958" s="2">
        <v>7902</v>
      </c>
      <c r="B5958" s="5" t="s">
        <v>15086</v>
      </c>
      <c r="C5958" s="6" t="s">
        <v>15178</v>
      </c>
      <c r="D5958" s="6" t="s">
        <v>15179</v>
      </c>
      <c r="E5958" s="5" t="s">
        <v>15</v>
      </c>
      <c r="F5958" s="5">
        <v>2020</v>
      </c>
      <c r="G5958" s="5" t="s">
        <v>16</v>
      </c>
      <c r="H5958" s="5">
        <v>200</v>
      </c>
      <c r="I5958" s="5">
        <v>200</v>
      </c>
      <c r="J5958" s="5" t="s">
        <v>5625</v>
      </c>
      <c r="K5958" s="5"/>
      <c r="L5958" s="10">
        <v>20201118</v>
      </c>
      <c r="M5958" s="36" t="str">
        <f t="shared" si="93"/>
        <v>19790824</v>
      </c>
    </row>
    <row r="5959" s="1" customFormat="1" spans="1:13">
      <c r="A5959" s="2">
        <v>4001</v>
      </c>
      <c r="B5959" s="5" t="s">
        <v>7412</v>
      </c>
      <c r="C5959" s="5" t="s">
        <v>8222</v>
      </c>
      <c r="D5959" s="5" t="s">
        <v>8223</v>
      </c>
      <c r="E5959" s="6">
        <v>2020</v>
      </c>
      <c r="F5959" s="6">
        <v>2020</v>
      </c>
      <c r="G5959" s="5" t="s">
        <v>3359</v>
      </c>
      <c r="H5959" s="5">
        <v>200</v>
      </c>
      <c r="I5959" s="5">
        <v>200</v>
      </c>
      <c r="J5959" s="5"/>
      <c r="K5959" s="5"/>
      <c r="L5959" s="10">
        <v>20201118</v>
      </c>
      <c r="M5959" s="36" t="str">
        <f t="shared" si="93"/>
        <v>19790826</v>
      </c>
    </row>
    <row r="5960" s="1" customFormat="1" spans="1:13">
      <c r="A5960" s="2">
        <v>3566</v>
      </c>
      <c r="B5960" s="5" t="s">
        <v>3375</v>
      </c>
      <c r="C5960" s="5" t="s">
        <v>2266</v>
      </c>
      <c r="D5960" s="5" t="s">
        <v>7401</v>
      </c>
      <c r="E5960" s="5" t="s">
        <v>15</v>
      </c>
      <c r="F5960" s="5">
        <v>2020</v>
      </c>
      <c r="G5960" s="14" t="s">
        <v>16</v>
      </c>
      <c r="H5960" s="5">
        <v>300</v>
      </c>
      <c r="I5960" s="5">
        <v>300</v>
      </c>
      <c r="J5960" s="5"/>
      <c r="K5960" s="10"/>
      <c r="L5960" s="10">
        <v>20201118</v>
      </c>
      <c r="M5960" s="36" t="str">
        <f t="shared" si="93"/>
        <v>19790827</v>
      </c>
    </row>
    <row r="5961" s="1" customFormat="1" spans="1:13">
      <c r="A5961" s="2">
        <v>4794</v>
      </c>
      <c r="B5961" s="6" t="s">
        <v>9015</v>
      </c>
      <c r="C5961" s="6" t="s">
        <v>9738</v>
      </c>
      <c r="D5961" s="6" t="s">
        <v>9739</v>
      </c>
      <c r="E5961" s="6">
        <v>2020</v>
      </c>
      <c r="F5961" s="6">
        <v>2020</v>
      </c>
      <c r="G5961" s="6" t="s">
        <v>16</v>
      </c>
      <c r="H5961" s="6">
        <v>200</v>
      </c>
      <c r="I5961" s="6">
        <v>200</v>
      </c>
      <c r="J5961" s="6"/>
      <c r="K5961" s="6"/>
      <c r="L5961" s="10">
        <v>20201118</v>
      </c>
      <c r="M5961" s="36" t="str">
        <f t="shared" si="93"/>
        <v>19790827</v>
      </c>
    </row>
    <row r="5962" s="1" customFormat="1" spans="1:13">
      <c r="A5962" s="2">
        <v>6380</v>
      </c>
      <c r="B5962" s="5" t="s">
        <v>12263</v>
      </c>
      <c r="C5962" s="5" t="s">
        <v>12773</v>
      </c>
      <c r="D5962" s="5" t="s">
        <v>12774</v>
      </c>
      <c r="E5962" s="5" t="s">
        <v>10250</v>
      </c>
      <c r="F5962" s="5">
        <v>2020</v>
      </c>
      <c r="G5962" s="17" t="s">
        <v>3359</v>
      </c>
      <c r="H5962" s="5" t="s">
        <v>311</v>
      </c>
      <c r="I5962" s="5">
        <v>200</v>
      </c>
      <c r="J5962" s="5"/>
      <c r="K5962" s="5"/>
      <c r="L5962" s="10">
        <v>20201118</v>
      </c>
      <c r="M5962" s="36" t="str">
        <f t="shared" si="93"/>
        <v>19790828</v>
      </c>
    </row>
    <row r="5963" s="1" customFormat="1" spans="1:13">
      <c r="A5963" s="2">
        <v>7386</v>
      </c>
      <c r="B5963" s="5" t="s">
        <v>13908</v>
      </c>
      <c r="C5963" s="5" t="s">
        <v>5437</v>
      </c>
      <c r="D5963" s="5" t="s">
        <v>14395</v>
      </c>
      <c r="E5963" s="5" t="s">
        <v>15</v>
      </c>
      <c r="F5963" s="5" t="s">
        <v>15</v>
      </c>
      <c r="G5963" s="14" t="s">
        <v>295</v>
      </c>
      <c r="H5963" s="17">
        <v>200</v>
      </c>
      <c r="I5963" s="17">
        <v>200</v>
      </c>
      <c r="J5963" s="5"/>
      <c r="K5963" s="10"/>
      <c r="L5963" s="10">
        <v>20201118</v>
      </c>
      <c r="M5963" s="36" t="str">
        <f t="shared" si="93"/>
        <v>19790828</v>
      </c>
    </row>
    <row r="5964" s="1" customFormat="1" spans="1:13">
      <c r="A5964" s="2">
        <v>398</v>
      </c>
      <c r="B5964" s="29" t="s">
        <v>1040</v>
      </c>
      <c r="C5964" s="29" t="s">
        <v>1072</v>
      </c>
      <c r="D5964" s="29" t="s">
        <v>1073</v>
      </c>
      <c r="E5964" s="30">
        <v>2020</v>
      </c>
      <c r="F5964" s="30">
        <v>2020</v>
      </c>
      <c r="G5964" s="29" t="s">
        <v>16</v>
      </c>
      <c r="H5964" s="29">
        <v>200</v>
      </c>
      <c r="I5964" s="29">
        <v>200</v>
      </c>
      <c r="J5964" s="29"/>
      <c r="K5964" s="47"/>
      <c r="L5964" s="2" t="s">
        <v>330</v>
      </c>
      <c r="M5964" s="36" t="str">
        <f t="shared" si="93"/>
        <v>19790829</v>
      </c>
    </row>
    <row r="5965" s="1" customFormat="1" spans="1:13">
      <c r="A5965" s="2">
        <v>1215</v>
      </c>
      <c r="B5965" s="5" t="s">
        <v>2469</v>
      </c>
      <c r="C5965" s="9" t="s">
        <v>3012</v>
      </c>
      <c r="D5965" s="9" t="s">
        <v>3013</v>
      </c>
      <c r="E5965" s="5">
        <v>2020</v>
      </c>
      <c r="F5965" s="5">
        <v>2020</v>
      </c>
      <c r="G5965" s="9" t="s">
        <v>2480</v>
      </c>
      <c r="H5965" s="9">
        <v>200</v>
      </c>
      <c r="I5965" s="9">
        <v>200</v>
      </c>
      <c r="J5965" s="5"/>
      <c r="K5965" s="5"/>
      <c r="L5965" s="10">
        <v>20201118</v>
      </c>
      <c r="M5965" s="36" t="str">
        <f t="shared" si="93"/>
        <v>19790829</v>
      </c>
    </row>
    <row r="5966" s="1" customFormat="1" spans="1:13">
      <c r="A5966" s="2">
        <v>6835</v>
      </c>
      <c r="B5966" s="5" t="s">
        <v>13533</v>
      </c>
      <c r="C5966" s="32" t="s">
        <v>13587</v>
      </c>
      <c r="D5966" s="32" t="str">
        <f>"152326197908297139"</f>
        <v>152326197908297139</v>
      </c>
      <c r="E5966" s="5">
        <v>2020</v>
      </c>
      <c r="F5966" s="5">
        <v>2020</v>
      </c>
      <c r="G5966" s="9" t="s">
        <v>2480</v>
      </c>
      <c r="H5966" s="32">
        <v>200</v>
      </c>
      <c r="I5966" s="32">
        <v>200</v>
      </c>
      <c r="J5966" s="32"/>
      <c r="K5966" s="10"/>
      <c r="L5966" s="10">
        <v>20201118</v>
      </c>
      <c r="M5966" s="36" t="str">
        <f t="shared" si="93"/>
        <v>19790829</v>
      </c>
    </row>
    <row r="5967" s="1" customFormat="1" spans="1:13">
      <c r="A5967" s="2">
        <v>4002</v>
      </c>
      <c r="B5967" s="5" t="s">
        <v>7412</v>
      </c>
      <c r="C5967" s="5" t="s">
        <v>8224</v>
      </c>
      <c r="D5967" s="5" t="s">
        <v>8225</v>
      </c>
      <c r="E5967" s="6">
        <v>2020</v>
      </c>
      <c r="F5967" s="6">
        <v>2020</v>
      </c>
      <c r="G5967" s="5" t="s">
        <v>3359</v>
      </c>
      <c r="H5967" s="5">
        <v>200</v>
      </c>
      <c r="I5967" s="5">
        <v>200</v>
      </c>
      <c r="J5967" s="5"/>
      <c r="K5967" s="5"/>
      <c r="L5967" s="10">
        <v>20201118</v>
      </c>
      <c r="M5967" s="36" t="str">
        <f t="shared" si="93"/>
        <v>19790901</v>
      </c>
    </row>
    <row r="5968" s="1" customFormat="1" spans="1:13">
      <c r="A5968" s="2">
        <v>1998</v>
      </c>
      <c r="B5968" s="5" t="s">
        <v>4189</v>
      </c>
      <c r="C5968" s="16" t="s">
        <v>4553</v>
      </c>
      <c r="D5968" s="16" t="s">
        <v>4554</v>
      </c>
      <c r="E5968" s="5" t="s">
        <v>15</v>
      </c>
      <c r="F5968" s="5" t="s">
        <v>15</v>
      </c>
      <c r="G5968" s="5" t="s">
        <v>3359</v>
      </c>
      <c r="H5968" s="16">
        <v>200</v>
      </c>
      <c r="I5968" s="16">
        <v>200</v>
      </c>
      <c r="J5968" s="5"/>
      <c r="K5968" s="10"/>
      <c r="L5968" s="10">
        <v>20201118</v>
      </c>
      <c r="M5968" s="36" t="str">
        <f t="shared" si="93"/>
        <v>19790902</v>
      </c>
    </row>
    <row r="5969" s="1" customFormat="1" spans="1:13">
      <c r="A5969" s="2">
        <v>7475</v>
      </c>
      <c r="B5969" s="5" t="s">
        <v>14402</v>
      </c>
      <c r="C5969" s="5" t="s">
        <v>14566</v>
      </c>
      <c r="D5969" s="5" t="s">
        <v>14567</v>
      </c>
      <c r="E5969" s="5">
        <v>2020</v>
      </c>
      <c r="F5969" s="5">
        <v>2020</v>
      </c>
      <c r="G5969" s="17" t="s">
        <v>16</v>
      </c>
      <c r="H5969" s="5">
        <v>500</v>
      </c>
      <c r="I5969" s="5">
        <v>500</v>
      </c>
      <c r="J5969" s="5"/>
      <c r="K5969" s="10"/>
      <c r="L5969" s="10">
        <v>20201118</v>
      </c>
      <c r="M5969" s="36" t="str">
        <f t="shared" si="93"/>
        <v>19790902</v>
      </c>
    </row>
    <row r="5970" s="1" customFormat="1" spans="1:13">
      <c r="A5970" s="2">
        <v>481</v>
      </c>
      <c r="B5970" s="29" t="s">
        <v>1040</v>
      </c>
      <c r="C5970" s="29" t="s">
        <v>1238</v>
      </c>
      <c r="D5970" s="29" t="s">
        <v>1239</v>
      </c>
      <c r="E5970" s="30">
        <v>2020</v>
      </c>
      <c r="F5970" s="30">
        <v>2020</v>
      </c>
      <c r="G5970" s="29" t="s">
        <v>16</v>
      </c>
      <c r="H5970" s="29">
        <v>200</v>
      </c>
      <c r="I5970" s="29">
        <v>200</v>
      </c>
      <c r="J5970" s="29"/>
      <c r="K5970" s="47"/>
      <c r="L5970" s="14" t="s">
        <v>330</v>
      </c>
      <c r="M5970" s="36" t="str">
        <f t="shared" si="93"/>
        <v>19790903</v>
      </c>
    </row>
    <row r="5971" s="1" customFormat="1" spans="1:13">
      <c r="A5971" s="2">
        <v>5562</v>
      </c>
      <c r="B5971" s="30" t="s">
        <v>11090</v>
      </c>
      <c r="C5971" s="30" t="s">
        <v>11219</v>
      </c>
      <c r="D5971" s="30" t="s">
        <v>11220</v>
      </c>
      <c r="E5971" s="5" t="s">
        <v>15</v>
      </c>
      <c r="F5971" s="5" t="s">
        <v>10250</v>
      </c>
      <c r="G5971" s="6" t="s">
        <v>16</v>
      </c>
      <c r="H5971" s="32">
        <v>200</v>
      </c>
      <c r="I5971" s="32">
        <v>200</v>
      </c>
      <c r="J5971" s="6"/>
      <c r="K5971" s="48"/>
      <c r="L5971" s="10">
        <v>20201118</v>
      </c>
      <c r="M5971" s="36" t="str">
        <f t="shared" si="93"/>
        <v>19790903</v>
      </c>
    </row>
    <row r="5972" s="1" customFormat="1" spans="1:13">
      <c r="A5972" s="2">
        <v>282</v>
      </c>
      <c r="B5972" s="14" t="s">
        <v>327</v>
      </c>
      <c r="C5972" s="17" t="s">
        <v>732</v>
      </c>
      <c r="D5972" s="306" t="s">
        <v>733</v>
      </c>
      <c r="E5972" s="5">
        <v>2020</v>
      </c>
      <c r="F5972" s="5">
        <v>2020</v>
      </c>
      <c r="G5972" s="14" t="s">
        <v>16</v>
      </c>
      <c r="H5972" s="17">
        <v>200</v>
      </c>
      <c r="I5972" s="17">
        <v>200</v>
      </c>
      <c r="J5972" s="17"/>
      <c r="K5972" s="10"/>
      <c r="L5972" s="14" t="s">
        <v>330</v>
      </c>
      <c r="M5972" s="36" t="str">
        <f t="shared" si="93"/>
        <v>19790906</v>
      </c>
    </row>
    <row r="5973" s="1" customFormat="1" spans="1:13">
      <c r="A5973" s="2">
        <v>4895</v>
      </c>
      <c r="B5973" s="6" t="s">
        <v>9015</v>
      </c>
      <c r="C5973" s="6" t="s">
        <v>3581</v>
      </c>
      <c r="D5973" s="293" t="s">
        <v>9930</v>
      </c>
      <c r="E5973" s="6">
        <v>2020</v>
      </c>
      <c r="F5973" s="6">
        <v>2020</v>
      </c>
      <c r="G5973" s="6" t="s">
        <v>189</v>
      </c>
      <c r="H5973" s="6">
        <v>1000</v>
      </c>
      <c r="I5973" s="6">
        <v>1000</v>
      </c>
      <c r="J5973" s="6"/>
      <c r="K5973" s="6"/>
      <c r="L5973" s="10">
        <v>20201118</v>
      </c>
      <c r="M5973" s="36" t="str">
        <f t="shared" si="93"/>
        <v>19790908</v>
      </c>
    </row>
    <row r="5974" s="1" customFormat="1" spans="1:13">
      <c r="A5974" s="2">
        <v>8097</v>
      </c>
      <c r="B5974" s="5" t="s">
        <v>15086</v>
      </c>
      <c r="C5974" s="6" t="s">
        <v>15387</v>
      </c>
      <c r="D5974" s="293" t="s">
        <v>15388</v>
      </c>
      <c r="E5974" s="5" t="s">
        <v>15</v>
      </c>
      <c r="F5974" s="5">
        <v>2020</v>
      </c>
      <c r="G5974" s="5" t="s">
        <v>189</v>
      </c>
      <c r="H5974" s="6">
        <v>200</v>
      </c>
      <c r="I5974" s="5">
        <v>200</v>
      </c>
      <c r="J5974" s="5"/>
      <c r="K5974" s="5"/>
      <c r="L5974" s="10">
        <v>20201118</v>
      </c>
      <c r="M5974" s="36" t="str">
        <f t="shared" si="93"/>
        <v>19790908</v>
      </c>
    </row>
    <row r="5975" s="1" customFormat="1" spans="1:13">
      <c r="A5975" s="2">
        <v>3327</v>
      </c>
      <c r="B5975" s="5" t="s">
        <v>3375</v>
      </c>
      <c r="C5975" s="6" t="s">
        <v>7102</v>
      </c>
      <c r="D5975" s="6" t="str">
        <f>"152326197909096873"</f>
        <v>152326197909096873</v>
      </c>
      <c r="E5975" s="5" t="s">
        <v>15</v>
      </c>
      <c r="F5975" s="5">
        <v>2020</v>
      </c>
      <c r="G5975" s="14" t="s">
        <v>16</v>
      </c>
      <c r="H5975" s="17">
        <v>200</v>
      </c>
      <c r="I5975" s="17">
        <v>200</v>
      </c>
      <c r="J5975" s="6"/>
      <c r="K5975" s="10"/>
      <c r="L5975" s="10">
        <v>20201118</v>
      </c>
      <c r="M5975" s="36" t="str">
        <f t="shared" si="93"/>
        <v>19790909</v>
      </c>
    </row>
    <row r="5976" s="1" customFormat="1" spans="1:13">
      <c r="A5976" s="2">
        <v>5156</v>
      </c>
      <c r="B5976" s="6" t="s">
        <v>10242</v>
      </c>
      <c r="C5976" s="9" t="s">
        <v>10438</v>
      </c>
      <c r="D5976" s="9" t="s">
        <v>10439</v>
      </c>
      <c r="E5976" s="5" t="s">
        <v>10250</v>
      </c>
      <c r="F5976" s="5">
        <v>2020</v>
      </c>
      <c r="G5976" s="6" t="s">
        <v>16</v>
      </c>
      <c r="H5976" s="6">
        <v>200</v>
      </c>
      <c r="I5976" s="6">
        <v>200</v>
      </c>
      <c r="J5976" s="6"/>
      <c r="K5976" s="5"/>
      <c r="L5976" s="10">
        <v>20201118</v>
      </c>
      <c r="M5976" s="36" t="str">
        <f t="shared" si="93"/>
        <v>19790909</v>
      </c>
    </row>
    <row r="5977" s="1" customFormat="1" spans="1:13">
      <c r="A5977" s="2">
        <v>5526</v>
      </c>
      <c r="B5977" s="30" t="s">
        <v>11090</v>
      </c>
      <c r="C5977" s="30" t="s">
        <v>11148</v>
      </c>
      <c r="D5977" s="30" t="s">
        <v>11149</v>
      </c>
      <c r="E5977" s="5" t="s">
        <v>15</v>
      </c>
      <c r="F5977" s="5" t="s">
        <v>10250</v>
      </c>
      <c r="G5977" s="6" t="s">
        <v>16</v>
      </c>
      <c r="H5977" s="32">
        <v>500</v>
      </c>
      <c r="I5977" s="32">
        <v>500</v>
      </c>
      <c r="J5977" s="6"/>
      <c r="K5977" s="48"/>
      <c r="L5977" s="10">
        <v>20201118</v>
      </c>
      <c r="M5977" s="36" t="str">
        <f t="shared" si="93"/>
        <v>19790912</v>
      </c>
    </row>
    <row r="5978" s="1" customFormat="1" spans="1:13">
      <c r="A5978" s="2">
        <v>272</v>
      </c>
      <c r="B5978" s="14" t="s">
        <v>327</v>
      </c>
      <c r="C5978" s="17" t="s">
        <v>702</v>
      </c>
      <c r="D5978" s="306" t="s">
        <v>703</v>
      </c>
      <c r="E5978" s="5">
        <v>2020</v>
      </c>
      <c r="F5978" s="5">
        <v>2020</v>
      </c>
      <c r="G5978" s="14" t="s">
        <v>16</v>
      </c>
      <c r="H5978" s="17">
        <v>200</v>
      </c>
      <c r="I5978" s="17">
        <v>200</v>
      </c>
      <c r="J5978" s="17"/>
      <c r="K5978" s="10"/>
      <c r="L5978" s="14" t="s">
        <v>330</v>
      </c>
      <c r="M5978" s="36" t="str">
        <f t="shared" si="93"/>
        <v>19790913</v>
      </c>
    </row>
    <row r="5979" s="1" customFormat="1" spans="1:13">
      <c r="A5979" s="2">
        <v>7481</v>
      </c>
      <c r="B5979" s="5" t="s">
        <v>14402</v>
      </c>
      <c r="C5979" s="5" t="s">
        <v>14578</v>
      </c>
      <c r="D5979" s="5" t="s">
        <v>14579</v>
      </c>
      <c r="E5979" s="5">
        <v>2020</v>
      </c>
      <c r="F5979" s="5">
        <v>2020</v>
      </c>
      <c r="G5979" s="17" t="s">
        <v>16</v>
      </c>
      <c r="H5979" s="5">
        <v>200</v>
      </c>
      <c r="I5979" s="5">
        <v>200</v>
      </c>
      <c r="J5979" s="5"/>
      <c r="K5979" s="10"/>
      <c r="L5979" s="10">
        <v>20201118</v>
      </c>
      <c r="M5979" s="36" t="str">
        <f t="shared" si="93"/>
        <v>19790913</v>
      </c>
    </row>
    <row r="5980" s="1" customFormat="1" spans="1:13">
      <c r="A5980" s="2">
        <v>6728</v>
      </c>
      <c r="B5980" s="5" t="s">
        <v>13027</v>
      </c>
      <c r="C5980" s="15" t="s">
        <v>13425</v>
      </c>
      <c r="D5980" s="15" t="s">
        <v>13426</v>
      </c>
      <c r="E5980" s="5">
        <v>2020</v>
      </c>
      <c r="F5980" s="5">
        <v>2020</v>
      </c>
      <c r="G5980" s="14" t="s">
        <v>16</v>
      </c>
      <c r="H5980" s="15">
        <v>200</v>
      </c>
      <c r="I5980" s="15">
        <v>200</v>
      </c>
      <c r="J5980" s="5"/>
      <c r="K5980" s="10"/>
      <c r="L5980" s="10">
        <v>20201118</v>
      </c>
      <c r="M5980" s="36" t="str">
        <f t="shared" si="93"/>
        <v>19790916</v>
      </c>
    </row>
    <row r="5981" s="1" customFormat="1" spans="1:13">
      <c r="A5981" s="2">
        <v>2321</v>
      </c>
      <c r="B5981" s="9" t="s">
        <v>4837</v>
      </c>
      <c r="C5981" s="9" t="s">
        <v>5182</v>
      </c>
      <c r="D5981" s="9" t="s">
        <v>5183</v>
      </c>
      <c r="E5981" s="6" t="s">
        <v>15</v>
      </c>
      <c r="F5981" s="6">
        <v>2020</v>
      </c>
      <c r="G5981" s="9" t="s">
        <v>2480</v>
      </c>
      <c r="H5981" s="9">
        <v>200</v>
      </c>
      <c r="I5981" s="9">
        <v>200</v>
      </c>
      <c r="J5981" s="6"/>
      <c r="K5981" s="10"/>
      <c r="L5981" s="10">
        <v>20201118</v>
      </c>
      <c r="M5981" s="36" t="str">
        <f t="shared" si="93"/>
        <v>19790917</v>
      </c>
    </row>
    <row r="5982" s="1" customFormat="1" spans="1:13">
      <c r="A5982" s="2">
        <v>2322</v>
      </c>
      <c r="B5982" s="9" t="s">
        <v>4837</v>
      </c>
      <c r="C5982" s="9" t="s">
        <v>5184</v>
      </c>
      <c r="D5982" s="9" t="s">
        <v>5185</v>
      </c>
      <c r="E5982" s="6" t="s">
        <v>15</v>
      </c>
      <c r="F5982" s="6">
        <v>2020</v>
      </c>
      <c r="G5982" s="9" t="s">
        <v>2480</v>
      </c>
      <c r="H5982" s="9">
        <v>200</v>
      </c>
      <c r="I5982" s="9">
        <v>200</v>
      </c>
      <c r="J5982" s="6"/>
      <c r="K5982" s="10"/>
      <c r="L5982" s="10">
        <v>20201118</v>
      </c>
      <c r="M5982" s="36" t="str">
        <f t="shared" si="93"/>
        <v>19790918</v>
      </c>
    </row>
    <row r="5983" s="1" customFormat="1" spans="1:13">
      <c r="A5983" s="2">
        <v>6249</v>
      </c>
      <c r="B5983" s="5" t="s">
        <v>12263</v>
      </c>
      <c r="C5983" s="5" t="s">
        <v>12520</v>
      </c>
      <c r="D5983" s="5" t="s">
        <v>12521</v>
      </c>
      <c r="E5983" s="5" t="s">
        <v>10250</v>
      </c>
      <c r="F5983" s="5">
        <v>2020</v>
      </c>
      <c r="G5983" s="17" t="s">
        <v>3359</v>
      </c>
      <c r="H5983" s="5">
        <v>200</v>
      </c>
      <c r="I5983" s="5">
        <v>200</v>
      </c>
      <c r="J5983" s="5"/>
      <c r="K5983" s="5"/>
      <c r="L5983" s="10">
        <v>20201118</v>
      </c>
      <c r="M5983" s="36" t="str">
        <f t="shared" si="93"/>
        <v>19790919</v>
      </c>
    </row>
    <row r="5984" s="1" customFormat="1" spans="1:13">
      <c r="A5984" s="2">
        <v>4003</v>
      </c>
      <c r="B5984" s="5" t="s">
        <v>7412</v>
      </c>
      <c r="C5984" s="5" t="s">
        <v>8226</v>
      </c>
      <c r="D5984" s="5" t="s">
        <v>8227</v>
      </c>
      <c r="E5984" s="6">
        <v>2020</v>
      </c>
      <c r="F5984" s="6">
        <v>2020</v>
      </c>
      <c r="G5984" s="5" t="s">
        <v>3359</v>
      </c>
      <c r="H5984" s="5">
        <v>200</v>
      </c>
      <c r="I5984" s="5">
        <v>200</v>
      </c>
      <c r="J5984" s="5"/>
      <c r="K5984" s="5"/>
      <c r="L5984" s="10">
        <v>20201118</v>
      </c>
      <c r="M5984" s="36" t="str">
        <f t="shared" si="93"/>
        <v>19790920</v>
      </c>
    </row>
    <row r="5985" s="1" customFormat="1" spans="1:13">
      <c r="A5985" s="2">
        <v>1216</v>
      </c>
      <c r="B5985" s="5" t="s">
        <v>2469</v>
      </c>
      <c r="C5985" s="9" t="s">
        <v>3014</v>
      </c>
      <c r="D5985" s="9" t="s">
        <v>3015</v>
      </c>
      <c r="E5985" s="5">
        <v>2020</v>
      </c>
      <c r="F5985" s="5">
        <v>2020</v>
      </c>
      <c r="G5985" s="9" t="s">
        <v>2480</v>
      </c>
      <c r="H5985" s="9">
        <v>200</v>
      </c>
      <c r="I5985" s="9">
        <v>200</v>
      </c>
      <c r="J5985" s="5"/>
      <c r="K5985" s="5"/>
      <c r="L5985" s="10">
        <v>20201118</v>
      </c>
      <c r="M5985" s="36" t="str">
        <f t="shared" si="93"/>
        <v>19790924</v>
      </c>
    </row>
    <row r="5986" s="1" customFormat="1" ht="14.25" spans="1:13">
      <c r="A5986" s="2">
        <v>5401</v>
      </c>
      <c r="B5986" s="33" t="s">
        <v>10535</v>
      </c>
      <c r="C5986" s="34" t="s">
        <v>10907</v>
      </c>
      <c r="D5986" s="34" t="s">
        <v>10908</v>
      </c>
      <c r="E5986" s="35">
        <v>2020</v>
      </c>
      <c r="F5986" s="35">
        <v>2020</v>
      </c>
      <c r="G5986" s="35" t="s">
        <v>16</v>
      </c>
      <c r="H5986" s="34">
        <v>200</v>
      </c>
      <c r="I5986" s="34">
        <v>200</v>
      </c>
      <c r="J5986" s="49"/>
      <c r="K5986" s="10"/>
      <c r="L5986" s="10">
        <v>20201118</v>
      </c>
      <c r="M5986" s="36" t="str">
        <f t="shared" si="93"/>
        <v>19790924</v>
      </c>
    </row>
    <row r="5987" s="1" customFormat="1" spans="1:13">
      <c r="A5987" s="2">
        <v>5598</v>
      </c>
      <c r="B5987" s="30" t="s">
        <v>11090</v>
      </c>
      <c r="C5987" s="30" t="s">
        <v>1243</v>
      </c>
      <c r="D5987" s="30" t="s">
        <v>11289</v>
      </c>
      <c r="E5987" s="5" t="s">
        <v>15</v>
      </c>
      <c r="F5987" s="5" t="s">
        <v>10250</v>
      </c>
      <c r="G5987" s="6" t="s">
        <v>16</v>
      </c>
      <c r="H5987" s="32">
        <v>200</v>
      </c>
      <c r="I5987" s="32">
        <v>200</v>
      </c>
      <c r="J5987" s="6" t="s">
        <v>1242</v>
      </c>
      <c r="K5987" s="48"/>
      <c r="L5987" s="10">
        <v>20201118</v>
      </c>
      <c r="M5987" s="36" t="str">
        <f t="shared" si="93"/>
        <v>19790924</v>
      </c>
    </row>
    <row r="5988" s="1" customFormat="1" spans="1:13">
      <c r="A5988" s="2">
        <v>4542</v>
      </c>
      <c r="B5988" s="6" t="s">
        <v>9015</v>
      </c>
      <c r="C5988" s="6" t="s">
        <v>9264</v>
      </c>
      <c r="D5988" s="6" t="s">
        <v>9265</v>
      </c>
      <c r="E5988" s="6">
        <v>2020</v>
      </c>
      <c r="F5988" s="6">
        <v>2020</v>
      </c>
      <c r="G5988" s="6" t="s">
        <v>16</v>
      </c>
      <c r="H5988" s="6">
        <v>200</v>
      </c>
      <c r="I5988" s="6">
        <v>200</v>
      </c>
      <c r="J5988" s="6"/>
      <c r="K5988" s="6"/>
      <c r="L5988" s="10">
        <v>20201118</v>
      </c>
      <c r="M5988" s="36" t="str">
        <f t="shared" si="93"/>
        <v>19790925</v>
      </c>
    </row>
    <row r="5989" s="1" customFormat="1" ht="14.25" spans="1:13">
      <c r="A5989" s="2">
        <v>6057</v>
      </c>
      <c r="B5989" s="30" t="s">
        <v>11090</v>
      </c>
      <c r="C5989" s="32" t="s">
        <v>12157</v>
      </c>
      <c r="D5989" s="12" t="s">
        <v>12158</v>
      </c>
      <c r="E5989" s="5" t="s">
        <v>15</v>
      </c>
      <c r="F5989" s="5" t="s">
        <v>10250</v>
      </c>
      <c r="G5989" s="6" t="s">
        <v>16</v>
      </c>
      <c r="H5989" s="32">
        <v>200</v>
      </c>
      <c r="I5989" s="32">
        <v>200</v>
      </c>
      <c r="J5989" s="5"/>
      <c r="K5989" s="48"/>
      <c r="L5989" s="10">
        <v>20201118</v>
      </c>
      <c r="M5989" s="36" t="str">
        <f t="shared" si="93"/>
        <v>19790925</v>
      </c>
    </row>
    <row r="5990" s="1" customFormat="1" spans="1:13">
      <c r="A5990" s="2">
        <v>5157</v>
      </c>
      <c r="B5990" s="6" t="s">
        <v>10242</v>
      </c>
      <c r="C5990" s="9" t="s">
        <v>10440</v>
      </c>
      <c r="D5990" s="9" t="s">
        <v>10441</v>
      </c>
      <c r="E5990" s="5" t="s">
        <v>10250</v>
      </c>
      <c r="F5990" s="5">
        <v>2020</v>
      </c>
      <c r="G5990" s="6" t="s">
        <v>16</v>
      </c>
      <c r="H5990" s="6">
        <v>200</v>
      </c>
      <c r="I5990" s="6">
        <v>200</v>
      </c>
      <c r="J5990" s="6"/>
      <c r="K5990" s="5"/>
      <c r="L5990" s="10">
        <v>20201118</v>
      </c>
      <c r="M5990" s="36" t="str">
        <f t="shared" si="93"/>
        <v>19790929</v>
      </c>
    </row>
    <row r="5991" s="1" customFormat="1" spans="1:13">
      <c r="A5991" s="2">
        <v>6509</v>
      </c>
      <c r="B5991" s="13" t="s">
        <v>12263</v>
      </c>
      <c r="C5991" s="13" t="s">
        <v>13019</v>
      </c>
      <c r="D5991" s="314" t="s">
        <v>13020</v>
      </c>
      <c r="E5991" s="13">
        <v>2020</v>
      </c>
      <c r="F5991" s="13">
        <v>2020</v>
      </c>
      <c r="G5991" s="17" t="s">
        <v>3359</v>
      </c>
      <c r="H5991" s="13">
        <v>3000</v>
      </c>
      <c r="I5991" s="13">
        <v>3000</v>
      </c>
      <c r="J5991" s="5"/>
      <c r="K5991" s="5"/>
      <c r="L5991" s="10">
        <v>20201224</v>
      </c>
      <c r="M5991" s="36" t="str">
        <f t="shared" si="93"/>
        <v>19791001</v>
      </c>
    </row>
    <row r="5992" s="1" customFormat="1" spans="1:13">
      <c r="A5992" s="2">
        <v>2003</v>
      </c>
      <c r="B5992" s="5" t="s">
        <v>4189</v>
      </c>
      <c r="C5992" s="16" t="s">
        <v>4563</v>
      </c>
      <c r="D5992" s="16" t="s">
        <v>4564</v>
      </c>
      <c r="E5992" s="5" t="s">
        <v>15</v>
      </c>
      <c r="F5992" s="5" t="s">
        <v>15</v>
      </c>
      <c r="G5992" s="5" t="s">
        <v>3359</v>
      </c>
      <c r="H5992" s="16">
        <v>500</v>
      </c>
      <c r="I5992" s="16">
        <v>500</v>
      </c>
      <c r="J5992" s="5"/>
      <c r="K5992" s="10"/>
      <c r="L5992" s="10">
        <v>20201118</v>
      </c>
      <c r="M5992" s="36" t="str">
        <f t="shared" si="93"/>
        <v>19791002</v>
      </c>
    </row>
    <row r="5993" s="1" customFormat="1" spans="1:13">
      <c r="A5993" s="2">
        <v>521</v>
      </c>
      <c r="B5993" s="29" t="s">
        <v>1040</v>
      </c>
      <c r="C5993" s="29" t="s">
        <v>1319</v>
      </c>
      <c r="D5993" s="29" t="s">
        <v>1320</v>
      </c>
      <c r="E5993" s="30">
        <v>2020</v>
      </c>
      <c r="F5993" s="30">
        <v>2020</v>
      </c>
      <c r="G5993" s="29" t="s">
        <v>16</v>
      </c>
      <c r="H5993" s="29">
        <v>200</v>
      </c>
      <c r="I5993" s="29">
        <v>200</v>
      </c>
      <c r="J5993" s="29"/>
      <c r="K5993" s="47"/>
      <c r="L5993" s="14" t="s">
        <v>330</v>
      </c>
      <c r="M5993" s="36" t="str">
        <f t="shared" si="93"/>
        <v>19791004</v>
      </c>
    </row>
    <row r="5994" s="1" customFormat="1" spans="1:13">
      <c r="A5994" s="2">
        <v>2399</v>
      </c>
      <c r="B5994" s="5" t="s">
        <v>5328</v>
      </c>
      <c r="C5994" s="16" t="s">
        <v>5340</v>
      </c>
      <c r="D5994" s="16" t="s">
        <v>5341</v>
      </c>
      <c r="E5994" s="5" t="s">
        <v>15</v>
      </c>
      <c r="F5994" s="5" t="s">
        <v>15</v>
      </c>
      <c r="G5994" s="14" t="s">
        <v>16</v>
      </c>
      <c r="H5994" s="6">
        <v>200</v>
      </c>
      <c r="I5994" s="6">
        <v>200</v>
      </c>
      <c r="J5994" s="5"/>
      <c r="K5994" s="5"/>
      <c r="L5994" s="10">
        <v>20201118</v>
      </c>
      <c r="M5994" s="36" t="str">
        <f t="shared" si="93"/>
        <v>19791005</v>
      </c>
    </row>
    <row r="5995" s="1" customFormat="1" spans="1:13">
      <c r="A5995" s="2">
        <v>2694</v>
      </c>
      <c r="B5995" s="32" t="s">
        <v>5602</v>
      </c>
      <c r="C5995" s="9" t="s">
        <v>5920</v>
      </c>
      <c r="D5995" s="9" t="s">
        <v>5921</v>
      </c>
      <c r="E5995" s="32">
        <v>2020</v>
      </c>
      <c r="F5995" s="32">
        <v>2020</v>
      </c>
      <c r="G5995" s="32" t="s">
        <v>16</v>
      </c>
      <c r="H5995" s="9">
        <v>200</v>
      </c>
      <c r="I5995" s="9">
        <v>200</v>
      </c>
      <c r="J5995" s="32"/>
      <c r="K5995" s="52"/>
      <c r="L5995" s="10">
        <v>20201118</v>
      </c>
      <c r="M5995" s="36" t="str">
        <f t="shared" si="93"/>
        <v>19791005</v>
      </c>
    </row>
    <row r="5996" s="1" customFormat="1" spans="1:13">
      <c r="A5996" s="2">
        <v>4004</v>
      </c>
      <c r="B5996" s="5" t="s">
        <v>7412</v>
      </c>
      <c r="C5996" s="5" t="s">
        <v>8228</v>
      </c>
      <c r="D5996" s="5" t="s">
        <v>8229</v>
      </c>
      <c r="E5996" s="6">
        <v>2020</v>
      </c>
      <c r="F5996" s="6">
        <v>2020</v>
      </c>
      <c r="G5996" s="5" t="s">
        <v>3359</v>
      </c>
      <c r="H5996" s="5">
        <v>200</v>
      </c>
      <c r="I5996" s="5">
        <v>200</v>
      </c>
      <c r="J5996" s="5"/>
      <c r="K5996" s="5"/>
      <c r="L5996" s="10">
        <v>20201118</v>
      </c>
      <c r="M5996" s="36" t="str">
        <f t="shared" si="93"/>
        <v>19791005</v>
      </c>
    </row>
    <row r="5997" s="1" customFormat="1" spans="1:13">
      <c r="A5997" s="2">
        <v>1717</v>
      </c>
      <c r="B5997" s="5" t="s">
        <v>3381</v>
      </c>
      <c r="C5997" s="9" t="s">
        <v>3994</v>
      </c>
      <c r="D5997" s="9" t="s">
        <v>3995</v>
      </c>
      <c r="E5997" s="5">
        <v>2020</v>
      </c>
      <c r="F5997" s="5">
        <v>2020</v>
      </c>
      <c r="G5997" s="14" t="s">
        <v>16</v>
      </c>
      <c r="H5997" s="6">
        <v>200</v>
      </c>
      <c r="I5997" s="6">
        <v>200</v>
      </c>
      <c r="J5997" s="5"/>
      <c r="K5997" s="13"/>
      <c r="L5997" s="10">
        <v>20201118</v>
      </c>
      <c r="M5997" s="36" t="str">
        <f t="shared" si="93"/>
        <v>19791009</v>
      </c>
    </row>
    <row r="5998" s="1" customFormat="1" spans="1:13">
      <c r="A5998" s="2">
        <v>5860</v>
      </c>
      <c r="B5998" s="30" t="s">
        <v>11090</v>
      </c>
      <c r="C5998" s="30" t="s">
        <v>4404</v>
      </c>
      <c r="D5998" s="30" t="s">
        <v>11781</v>
      </c>
      <c r="E5998" s="5" t="s">
        <v>15</v>
      </c>
      <c r="F5998" s="5" t="s">
        <v>10250</v>
      </c>
      <c r="G5998" s="6" t="s">
        <v>16</v>
      </c>
      <c r="H5998" s="32">
        <v>200</v>
      </c>
      <c r="I5998" s="32">
        <v>200</v>
      </c>
      <c r="J5998" s="6"/>
      <c r="K5998" s="48"/>
      <c r="L5998" s="10">
        <v>20201118</v>
      </c>
      <c r="M5998" s="36" t="str">
        <f t="shared" si="93"/>
        <v>19791009</v>
      </c>
    </row>
    <row r="5999" s="1" customFormat="1" spans="1:13">
      <c r="A5999" s="2">
        <v>7369</v>
      </c>
      <c r="B5999" s="5" t="s">
        <v>13908</v>
      </c>
      <c r="C5999" s="5" t="s">
        <v>14364</v>
      </c>
      <c r="D5999" s="5" t="s">
        <v>14365</v>
      </c>
      <c r="E5999" s="5" t="s">
        <v>15</v>
      </c>
      <c r="F5999" s="5" t="s">
        <v>15</v>
      </c>
      <c r="G5999" s="14" t="s">
        <v>16</v>
      </c>
      <c r="H5999" s="17">
        <v>200</v>
      </c>
      <c r="I5999" s="17">
        <v>200</v>
      </c>
      <c r="J5999" s="5"/>
      <c r="K5999" s="10"/>
      <c r="L5999" s="10">
        <v>20201118</v>
      </c>
      <c r="M5999" s="36" t="str">
        <f t="shared" si="93"/>
        <v>19791010</v>
      </c>
    </row>
    <row r="6000" s="1" customFormat="1" spans="1:13">
      <c r="A6000" s="2">
        <v>4345</v>
      </c>
      <c r="B6000" s="9" t="s">
        <v>8515</v>
      </c>
      <c r="C6000" s="9" t="s">
        <v>8881</v>
      </c>
      <c r="D6000" s="9" t="s">
        <v>8882</v>
      </c>
      <c r="E6000" s="5" t="s">
        <v>15</v>
      </c>
      <c r="F6000" s="5">
        <v>2020</v>
      </c>
      <c r="G6000" s="9" t="s">
        <v>2480</v>
      </c>
      <c r="H6000" s="9">
        <v>200</v>
      </c>
      <c r="I6000" s="9">
        <v>200</v>
      </c>
      <c r="J6000" s="9"/>
      <c r="K6000" s="9"/>
      <c r="L6000" s="10">
        <v>20201118</v>
      </c>
      <c r="M6000" s="36" t="str">
        <f t="shared" si="93"/>
        <v>19791013</v>
      </c>
    </row>
    <row r="6001" s="1" customFormat="1" spans="1:13">
      <c r="A6001" s="2">
        <v>7907</v>
      </c>
      <c r="B6001" s="5" t="s">
        <v>15086</v>
      </c>
      <c r="C6001" s="6" t="s">
        <v>15184</v>
      </c>
      <c r="D6001" s="6" t="str">
        <f>"152326197910136879"</f>
        <v>152326197910136879</v>
      </c>
      <c r="E6001" s="5" t="s">
        <v>15</v>
      </c>
      <c r="F6001" s="5">
        <v>2020</v>
      </c>
      <c r="G6001" s="5" t="s">
        <v>16</v>
      </c>
      <c r="H6001" s="5">
        <v>200</v>
      </c>
      <c r="I6001" s="5">
        <v>200</v>
      </c>
      <c r="J6001" s="5"/>
      <c r="K6001" s="5"/>
      <c r="L6001" s="10">
        <v>20201118</v>
      </c>
      <c r="M6001" s="36" t="str">
        <f t="shared" si="93"/>
        <v>19791013</v>
      </c>
    </row>
    <row r="6002" s="1" customFormat="1" spans="1:13">
      <c r="A6002" s="2">
        <v>3548</v>
      </c>
      <c r="B6002" s="5" t="s">
        <v>3375</v>
      </c>
      <c r="C6002" s="5" t="s">
        <v>7366</v>
      </c>
      <c r="D6002" s="296" t="s">
        <v>7367</v>
      </c>
      <c r="E6002" s="5" t="s">
        <v>15</v>
      </c>
      <c r="F6002" s="5">
        <v>2020</v>
      </c>
      <c r="G6002" s="14" t="s">
        <v>16</v>
      </c>
      <c r="H6002" s="5">
        <v>200</v>
      </c>
      <c r="I6002" s="5">
        <v>200</v>
      </c>
      <c r="J6002" s="5"/>
      <c r="K6002" s="10"/>
      <c r="L6002" s="10">
        <v>20201118</v>
      </c>
      <c r="M6002" s="36" t="str">
        <f t="shared" si="93"/>
        <v>19791017</v>
      </c>
    </row>
    <row r="6003" s="1" customFormat="1" spans="1:13">
      <c r="A6003" s="2">
        <v>5557</v>
      </c>
      <c r="B6003" s="30" t="s">
        <v>11090</v>
      </c>
      <c r="C6003" s="30" t="s">
        <v>11209</v>
      </c>
      <c r="D6003" s="30" t="s">
        <v>11210</v>
      </c>
      <c r="E6003" s="5" t="s">
        <v>15</v>
      </c>
      <c r="F6003" s="5" t="s">
        <v>10250</v>
      </c>
      <c r="G6003" s="6" t="s">
        <v>16</v>
      </c>
      <c r="H6003" s="32">
        <v>200</v>
      </c>
      <c r="I6003" s="32">
        <v>200</v>
      </c>
      <c r="J6003" s="6"/>
      <c r="K6003" s="48"/>
      <c r="L6003" s="10">
        <v>20201118</v>
      </c>
      <c r="M6003" s="36" t="str">
        <f t="shared" si="93"/>
        <v>19791019</v>
      </c>
    </row>
    <row r="6004" s="1" customFormat="1" spans="1:13">
      <c r="A6004" s="2">
        <v>132</v>
      </c>
      <c r="B6004" s="3" t="s">
        <v>12</v>
      </c>
      <c r="C6004" s="3" t="s">
        <v>280</v>
      </c>
      <c r="D6004" s="3" t="s">
        <v>281</v>
      </c>
      <c r="E6004" s="3" t="s">
        <v>15</v>
      </c>
      <c r="F6004" s="3" t="s">
        <v>15</v>
      </c>
      <c r="G6004" s="3" t="s">
        <v>189</v>
      </c>
      <c r="H6004" s="3">
        <v>200</v>
      </c>
      <c r="I6004" s="3">
        <v>200</v>
      </c>
      <c r="J6004" s="3"/>
      <c r="K6004" s="3"/>
      <c r="L6004" s="10">
        <v>20201118</v>
      </c>
      <c r="M6004" s="36" t="str">
        <f t="shared" si="93"/>
        <v>19791020</v>
      </c>
    </row>
    <row r="6005" s="1" customFormat="1" spans="1:13">
      <c r="A6005" s="2">
        <v>5617</v>
      </c>
      <c r="B6005" s="30" t="s">
        <v>11090</v>
      </c>
      <c r="C6005" s="30" t="s">
        <v>3118</v>
      </c>
      <c r="D6005" s="30" t="s">
        <v>11325</v>
      </c>
      <c r="E6005" s="5" t="s">
        <v>15</v>
      </c>
      <c r="F6005" s="5" t="s">
        <v>10250</v>
      </c>
      <c r="G6005" s="6" t="s">
        <v>16</v>
      </c>
      <c r="H6005" s="32">
        <v>200</v>
      </c>
      <c r="I6005" s="32">
        <v>200</v>
      </c>
      <c r="J6005" s="6"/>
      <c r="K6005" s="48"/>
      <c r="L6005" s="10">
        <v>20201118</v>
      </c>
      <c r="M6005" s="36" t="str">
        <f t="shared" si="93"/>
        <v>19791022</v>
      </c>
    </row>
    <row r="6006" s="1" customFormat="1" spans="1:13">
      <c r="A6006" s="2">
        <v>7221</v>
      </c>
      <c r="B6006" s="5" t="s">
        <v>13908</v>
      </c>
      <c r="C6006" s="5" t="s">
        <v>14088</v>
      </c>
      <c r="D6006" s="5" t="s">
        <v>14089</v>
      </c>
      <c r="E6006" s="5" t="s">
        <v>15</v>
      </c>
      <c r="F6006" s="5" t="s">
        <v>15</v>
      </c>
      <c r="G6006" s="14" t="s">
        <v>16</v>
      </c>
      <c r="H6006" s="17">
        <v>200</v>
      </c>
      <c r="I6006" s="17">
        <v>200</v>
      </c>
      <c r="J6006" s="5"/>
      <c r="K6006" s="10"/>
      <c r="L6006" s="10">
        <v>20201118</v>
      </c>
      <c r="M6006" s="36" t="str">
        <f t="shared" si="93"/>
        <v>19791023</v>
      </c>
    </row>
    <row r="6007" s="1" customFormat="1" spans="1:13">
      <c r="A6007" s="2">
        <v>4892</v>
      </c>
      <c r="B6007" s="6" t="s">
        <v>9015</v>
      </c>
      <c r="C6007" s="6" t="s">
        <v>9924</v>
      </c>
      <c r="D6007" s="293" t="s">
        <v>9925</v>
      </c>
      <c r="E6007" s="6">
        <v>2020</v>
      </c>
      <c r="F6007" s="6">
        <v>2020</v>
      </c>
      <c r="G6007" s="6" t="s">
        <v>189</v>
      </c>
      <c r="H6007" s="6">
        <v>200</v>
      </c>
      <c r="I6007" s="6">
        <v>200</v>
      </c>
      <c r="J6007" s="6"/>
      <c r="K6007" s="6"/>
      <c r="L6007" s="10">
        <v>20201118</v>
      </c>
      <c r="M6007" s="36" t="str">
        <f t="shared" si="93"/>
        <v>19791025</v>
      </c>
    </row>
    <row r="6008" s="1" customFormat="1" spans="1:13">
      <c r="A6008" s="2">
        <v>2323</v>
      </c>
      <c r="B6008" s="9" t="s">
        <v>4837</v>
      </c>
      <c r="C6008" s="9" t="s">
        <v>5186</v>
      </c>
      <c r="D6008" s="9" t="s">
        <v>5187</v>
      </c>
      <c r="E6008" s="6" t="s">
        <v>15</v>
      </c>
      <c r="F6008" s="6">
        <v>2020</v>
      </c>
      <c r="G6008" s="9" t="s">
        <v>2480</v>
      </c>
      <c r="H6008" s="9">
        <v>200</v>
      </c>
      <c r="I6008" s="9">
        <v>200</v>
      </c>
      <c r="J6008" s="6"/>
      <c r="K6008" s="10"/>
      <c r="L6008" s="10">
        <v>20201118</v>
      </c>
      <c r="M6008" s="36" t="str">
        <f t="shared" si="93"/>
        <v>19791026</v>
      </c>
    </row>
    <row r="6009" s="1" customFormat="1" spans="1:13">
      <c r="A6009" s="2">
        <v>877</v>
      </c>
      <c r="B6009" s="29" t="s">
        <v>1040</v>
      </c>
      <c r="C6009" s="6" t="s">
        <v>2278</v>
      </c>
      <c r="D6009" s="6" t="s">
        <v>2279</v>
      </c>
      <c r="E6009" s="30">
        <v>2020</v>
      </c>
      <c r="F6009" s="30">
        <v>2020</v>
      </c>
      <c r="G6009" s="29" t="s">
        <v>16</v>
      </c>
      <c r="H6009" s="29">
        <v>200</v>
      </c>
      <c r="I6009" s="29">
        <v>200</v>
      </c>
      <c r="J6009" s="32"/>
      <c r="K6009" s="32"/>
      <c r="L6009" s="2" t="s">
        <v>330</v>
      </c>
      <c r="M6009" s="36" t="str">
        <f t="shared" si="93"/>
        <v>19791030</v>
      </c>
    </row>
    <row r="6010" s="1" customFormat="1" spans="1:13">
      <c r="A6010" s="2">
        <v>7073</v>
      </c>
      <c r="B6010" s="5" t="s">
        <v>13533</v>
      </c>
      <c r="C6010" s="32" t="s">
        <v>13817</v>
      </c>
      <c r="D6010" s="32" t="s">
        <v>13818</v>
      </c>
      <c r="E6010" s="5">
        <v>2020</v>
      </c>
      <c r="F6010" s="5">
        <v>2020</v>
      </c>
      <c r="G6010" s="9" t="s">
        <v>2480</v>
      </c>
      <c r="H6010" s="32">
        <v>200</v>
      </c>
      <c r="I6010" s="32">
        <v>200</v>
      </c>
      <c r="J6010" s="62"/>
      <c r="K6010" s="10"/>
      <c r="L6010" s="10">
        <v>20201118</v>
      </c>
      <c r="M6010" s="36" t="str">
        <f t="shared" si="93"/>
        <v>19791103</v>
      </c>
    </row>
    <row r="6011" s="1" customFormat="1" spans="1:13">
      <c r="A6011" s="2">
        <v>5203</v>
      </c>
      <c r="B6011" s="6" t="s">
        <v>10242</v>
      </c>
      <c r="C6011" s="9" t="s">
        <v>10526</v>
      </c>
      <c r="D6011" s="9" t="s">
        <v>10527</v>
      </c>
      <c r="E6011" s="5" t="s">
        <v>10250</v>
      </c>
      <c r="F6011" s="5">
        <v>2020</v>
      </c>
      <c r="G6011" s="6" t="s">
        <v>295</v>
      </c>
      <c r="H6011" s="6">
        <v>200</v>
      </c>
      <c r="I6011" s="6">
        <v>200</v>
      </c>
      <c r="J6011" s="6"/>
      <c r="K6011" s="5"/>
      <c r="L6011" s="10">
        <v>20201118</v>
      </c>
      <c r="M6011" s="36" t="str">
        <f t="shared" si="93"/>
        <v>19791105</v>
      </c>
    </row>
    <row r="6012" s="1" customFormat="1" spans="1:13">
      <c r="A6012" s="2">
        <v>4005</v>
      </c>
      <c r="B6012" s="5" t="s">
        <v>7412</v>
      </c>
      <c r="C6012" s="5" t="s">
        <v>8230</v>
      </c>
      <c r="D6012" s="5" t="s">
        <v>8231</v>
      </c>
      <c r="E6012" s="6">
        <v>2020</v>
      </c>
      <c r="F6012" s="6">
        <v>2020</v>
      </c>
      <c r="G6012" s="5" t="s">
        <v>3359</v>
      </c>
      <c r="H6012" s="5">
        <v>200</v>
      </c>
      <c r="I6012" s="5">
        <v>200</v>
      </c>
      <c r="J6012" s="5"/>
      <c r="K6012" s="5"/>
      <c r="L6012" s="10">
        <v>20201118</v>
      </c>
      <c r="M6012" s="36" t="str">
        <f t="shared" si="93"/>
        <v>19791106</v>
      </c>
    </row>
    <row r="6013" s="1" customFormat="1" spans="1:13">
      <c r="A6013" s="2">
        <v>4006</v>
      </c>
      <c r="B6013" s="5" t="s">
        <v>7412</v>
      </c>
      <c r="C6013" s="5" t="s">
        <v>8232</v>
      </c>
      <c r="D6013" s="5" t="s">
        <v>8233</v>
      </c>
      <c r="E6013" s="6">
        <v>2020</v>
      </c>
      <c r="F6013" s="6">
        <v>2020</v>
      </c>
      <c r="G6013" s="5" t="s">
        <v>3359</v>
      </c>
      <c r="H6013" s="5">
        <v>200</v>
      </c>
      <c r="I6013" s="5">
        <v>200</v>
      </c>
      <c r="J6013" s="5"/>
      <c r="K6013" s="5"/>
      <c r="L6013" s="10">
        <v>20201118</v>
      </c>
      <c r="M6013" s="36" t="str">
        <f t="shared" si="93"/>
        <v>19791106</v>
      </c>
    </row>
    <row r="6014" s="1" customFormat="1" ht="14.25" spans="1:13">
      <c r="A6014" s="2">
        <v>7669</v>
      </c>
      <c r="B6014" s="5" t="s">
        <v>14875</v>
      </c>
      <c r="C6014" s="51" t="s">
        <v>14912</v>
      </c>
      <c r="D6014" s="24" t="str">
        <f>"152326197911067123"</f>
        <v>152326197911067123</v>
      </c>
      <c r="E6014" s="6" t="s">
        <v>15</v>
      </c>
      <c r="F6014" s="6">
        <v>2020</v>
      </c>
      <c r="G6014" s="24" t="s">
        <v>14877</v>
      </c>
      <c r="H6014" s="6">
        <v>500</v>
      </c>
      <c r="I6014" s="6">
        <v>500</v>
      </c>
      <c r="J6014" s="6"/>
      <c r="K6014" s="10"/>
      <c r="L6014" s="10">
        <v>20201118</v>
      </c>
      <c r="M6014" s="36" t="str">
        <f t="shared" si="93"/>
        <v>19791106</v>
      </c>
    </row>
    <row r="6015" s="1" customFormat="1" spans="1:13">
      <c r="A6015" s="2">
        <v>4346</v>
      </c>
      <c r="B6015" s="9" t="s">
        <v>8515</v>
      </c>
      <c r="C6015" s="9" t="s">
        <v>8883</v>
      </c>
      <c r="D6015" s="9" t="s">
        <v>8884</v>
      </c>
      <c r="E6015" s="5" t="s">
        <v>15</v>
      </c>
      <c r="F6015" s="5">
        <v>2020</v>
      </c>
      <c r="G6015" s="9" t="s">
        <v>2480</v>
      </c>
      <c r="H6015" s="9">
        <v>200</v>
      </c>
      <c r="I6015" s="9">
        <v>200</v>
      </c>
      <c r="J6015" s="9"/>
      <c r="K6015" s="9"/>
      <c r="L6015" s="10">
        <v>20201118</v>
      </c>
      <c r="M6015" s="36" t="str">
        <f t="shared" si="93"/>
        <v>19791107</v>
      </c>
    </row>
    <row r="6016" s="1" customFormat="1" spans="1:13">
      <c r="A6016" s="2">
        <v>4430</v>
      </c>
      <c r="B6016" s="6" t="s">
        <v>9015</v>
      </c>
      <c r="C6016" s="6" t="s">
        <v>9049</v>
      </c>
      <c r="D6016" s="6" t="s">
        <v>9050</v>
      </c>
      <c r="E6016" s="6">
        <v>2020</v>
      </c>
      <c r="F6016" s="6">
        <v>2020</v>
      </c>
      <c r="G6016" s="6" t="s">
        <v>16</v>
      </c>
      <c r="H6016" s="6">
        <v>200</v>
      </c>
      <c r="I6016" s="6">
        <v>200</v>
      </c>
      <c r="J6016" s="6"/>
      <c r="K6016" s="6"/>
      <c r="L6016" s="10">
        <v>20201118</v>
      </c>
      <c r="M6016" s="36" t="str">
        <f t="shared" si="93"/>
        <v>19791107</v>
      </c>
    </row>
    <row r="6017" s="1" customFormat="1" spans="1:13">
      <c r="A6017" s="2">
        <v>5859</v>
      </c>
      <c r="B6017" s="30" t="s">
        <v>11090</v>
      </c>
      <c r="C6017" s="30" t="s">
        <v>11779</v>
      </c>
      <c r="D6017" s="30" t="s">
        <v>11780</v>
      </c>
      <c r="E6017" s="5" t="s">
        <v>15</v>
      </c>
      <c r="F6017" s="5" t="s">
        <v>10250</v>
      </c>
      <c r="G6017" s="6" t="s">
        <v>16</v>
      </c>
      <c r="H6017" s="32">
        <v>200</v>
      </c>
      <c r="I6017" s="32">
        <v>200</v>
      </c>
      <c r="J6017" s="6"/>
      <c r="K6017" s="48"/>
      <c r="L6017" s="10">
        <v>20201118</v>
      </c>
      <c r="M6017" s="36" t="str">
        <f t="shared" si="93"/>
        <v>19791108</v>
      </c>
    </row>
    <row r="6018" s="1" customFormat="1" spans="1:13">
      <c r="A6018" s="2">
        <v>3207</v>
      </c>
      <c r="B6018" s="3" t="s">
        <v>6671</v>
      </c>
      <c r="C6018" s="9" t="s">
        <v>6922</v>
      </c>
      <c r="D6018" s="9" t="s">
        <v>6923</v>
      </c>
      <c r="E6018" s="3" t="s">
        <v>15</v>
      </c>
      <c r="F6018" s="3" t="s">
        <v>15</v>
      </c>
      <c r="G6018" s="6" t="s">
        <v>3359</v>
      </c>
      <c r="H6018" s="9">
        <v>200</v>
      </c>
      <c r="I6018" s="9">
        <v>200</v>
      </c>
      <c r="J6018" s="6"/>
      <c r="K6018" s="5"/>
      <c r="L6018" s="10">
        <v>20201118</v>
      </c>
      <c r="M6018" s="36" t="str">
        <f t="shared" ref="M6018:M6081" si="94">MID(D6018,7,8)</f>
        <v>19791109</v>
      </c>
    </row>
    <row r="6019" s="1" customFormat="1" spans="1:13">
      <c r="A6019" s="2">
        <v>5702</v>
      </c>
      <c r="B6019" s="30" t="s">
        <v>11090</v>
      </c>
      <c r="C6019" s="30" t="s">
        <v>11489</v>
      </c>
      <c r="D6019" s="30" t="s">
        <v>11490</v>
      </c>
      <c r="E6019" s="5" t="s">
        <v>15</v>
      </c>
      <c r="F6019" s="5" t="s">
        <v>10250</v>
      </c>
      <c r="G6019" s="6" t="s">
        <v>16</v>
      </c>
      <c r="H6019" s="32">
        <v>200</v>
      </c>
      <c r="I6019" s="32">
        <v>200</v>
      </c>
      <c r="J6019" s="6"/>
      <c r="K6019" s="48"/>
      <c r="L6019" s="10">
        <v>20201118</v>
      </c>
      <c r="M6019" s="36" t="str">
        <f t="shared" si="94"/>
        <v>19791111</v>
      </c>
    </row>
    <row r="6020" s="1" customFormat="1" ht="14.25" spans="1:13">
      <c r="A6020" s="2">
        <v>5402</v>
      </c>
      <c r="B6020" s="33" t="s">
        <v>10535</v>
      </c>
      <c r="C6020" s="34" t="s">
        <v>10909</v>
      </c>
      <c r="D6020" s="34" t="s">
        <v>10910</v>
      </c>
      <c r="E6020" s="35">
        <v>2020</v>
      </c>
      <c r="F6020" s="35">
        <v>2020</v>
      </c>
      <c r="G6020" s="35" t="s">
        <v>16</v>
      </c>
      <c r="H6020" s="34">
        <v>200</v>
      </c>
      <c r="I6020" s="34">
        <v>200</v>
      </c>
      <c r="J6020" s="49"/>
      <c r="K6020" s="10"/>
      <c r="L6020" s="10">
        <v>20201118</v>
      </c>
      <c r="M6020" s="36" t="str">
        <f t="shared" si="94"/>
        <v>19791114</v>
      </c>
    </row>
    <row r="6021" s="1" customFormat="1" spans="1:13">
      <c r="A6021" s="2">
        <v>5914</v>
      </c>
      <c r="B6021" s="30" t="s">
        <v>11090</v>
      </c>
      <c r="C6021" s="30" t="s">
        <v>11879</v>
      </c>
      <c r="D6021" s="30" t="s">
        <v>11880</v>
      </c>
      <c r="E6021" s="5" t="s">
        <v>15</v>
      </c>
      <c r="F6021" s="5" t="s">
        <v>10250</v>
      </c>
      <c r="G6021" s="6" t="s">
        <v>16</v>
      </c>
      <c r="H6021" s="32">
        <v>200</v>
      </c>
      <c r="I6021" s="32">
        <v>200</v>
      </c>
      <c r="J6021" s="6"/>
      <c r="K6021" s="48"/>
      <c r="L6021" s="10">
        <v>20201118</v>
      </c>
      <c r="M6021" s="36" t="str">
        <f t="shared" si="94"/>
        <v>19791115</v>
      </c>
    </row>
    <row r="6022" s="1" customFormat="1" spans="1:13">
      <c r="A6022" s="2">
        <v>2695</v>
      </c>
      <c r="B6022" s="32" t="s">
        <v>5602</v>
      </c>
      <c r="C6022" s="9" t="s">
        <v>5922</v>
      </c>
      <c r="D6022" s="9" t="s">
        <v>5923</v>
      </c>
      <c r="E6022" s="32">
        <v>2020</v>
      </c>
      <c r="F6022" s="32">
        <v>2020</v>
      </c>
      <c r="G6022" s="32" t="s">
        <v>16</v>
      </c>
      <c r="H6022" s="9">
        <v>200</v>
      </c>
      <c r="I6022" s="9">
        <v>200</v>
      </c>
      <c r="J6022" s="32"/>
      <c r="K6022" s="52"/>
      <c r="L6022" s="10">
        <v>20201118</v>
      </c>
      <c r="M6022" s="36" t="str">
        <f t="shared" si="94"/>
        <v>19791116</v>
      </c>
    </row>
    <row r="6023" s="1" customFormat="1" spans="1:13">
      <c r="A6023" s="2">
        <v>306</v>
      </c>
      <c r="B6023" s="14" t="s">
        <v>327</v>
      </c>
      <c r="C6023" s="17" t="s">
        <v>806</v>
      </c>
      <c r="D6023" s="306" t="s">
        <v>807</v>
      </c>
      <c r="E6023" s="5">
        <v>2020</v>
      </c>
      <c r="F6023" s="5">
        <v>2020</v>
      </c>
      <c r="G6023" s="14" t="s">
        <v>16</v>
      </c>
      <c r="H6023" s="17">
        <v>500</v>
      </c>
      <c r="I6023" s="17">
        <v>500</v>
      </c>
      <c r="J6023" s="17"/>
      <c r="K6023" s="10"/>
      <c r="L6023" s="14" t="s">
        <v>330</v>
      </c>
      <c r="M6023" s="36" t="str">
        <f t="shared" si="94"/>
        <v>19791120</v>
      </c>
    </row>
    <row r="6024" s="1" customFormat="1" spans="1:13">
      <c r="A6024" s="2">
        <v>5873</v>
      </c>
      <c r="B6024" s="30" t="s">
        <v>11090</v>
      </c>
      <c r="C6024" s="30" t="s">
        <v>11803</v>
      </c>
      <c r="D6024" s="30" t="s">
        <v>11804</v>
      </c>
      <c r="E6024" s="5" t="s">
        <v>15</v>
      </c>
      <c r="F6024" s="5" t="s">
        <v>10250</v>
      </c>
      <c r="G6024" s="6" t="s">
        <v>16</v>
      </c>
      <c r="H6024" s="32">
        <v>200</v>
      </c>
      <c r="I6024" s="32">
        <v>200</v>
      </c>
      <c r="J6024" s="6"/>
      <c r="K6024" s="48"/>
      <c r="L6024" s="10">
        <v>20201118</v>
      </c>
      <c r="M6024" s="36" t="str">
        <f t="shared" si="94"/>
        <v>19791120</v>
      </c>
    </row>
    <row r="6025" s="1" customFormat="1" spans="1:13">
      <c r="A6025" s="2">
        <v>1217</v>
      </c>
      <c r="B6025" s="5" t="s">
        <v>2469</v>
      </c>
      <c r="C6025" s="9" t="s">
        <v>3016</v>
      </c>
      <c r="D6025" s="9" t="s">
        <v>3017</v>
      </c>
      <c r="E6025" s="5">
        <v>2020</v>
      </c>
      <c r="F6025" s="5">
        <v>2020</v>
      </c>
      <c r="G6025" s="9" t="s">
        <v>2480</v>
      </c>
      <c r="H6025" s="9">
        <v>200</v>
      </c>
      <c r="I6025" s="9">
        <v>200</v>
      </c>
      <c r="J6025" s="5"/>
      <c r="K6025" s="5"/>
      <c r="L6025" s="10">
        <v>20201118</v>
      </c>
      <c r="M6025" s="36" t="str">
        <f t="shared" si="94"/>
        <v>19791127</v>
      </c>
    </row>
    <row r="6026" s="1" customFormat="1" spans="1:13">
      <c r="A6026" s="2">
        <v>1818</v>
      </c>
      <c r="B6026" s="5" t="s">
        <v>4189</v>
      </c>
      <c r="C6026" s="16" t="s">
        <v>4201</v>
      </c>
      <c r="D6026" s="16" t="s">
        <v>4202</v>
      </c>
      <c r="E6026" s="5" t="s">
        <v>15</v>
      </c>
      <c r="F6026" s="5" t="s">
        <v>15</v>
      </c>
      <c r="G6026" s="5" t="s">
        <v>3359</v>
      </c>
      <c r="H6026" s="16">
        <v>200</v>
      </c>
      <c r="I6026" s="16">
        <v>200</v>
      </c>
      <c r="J6026" s="5"/>
      <c r="K6026" s="10"/>
      <c r="L6026" s="10">
        <v>20201118</v>
      </c>
      <c r="M6026" s="36" t="str">
        <f t="shared" si="94"/>
        <v>19791127</v>
      </c>
    </row>
    <row r="6027" s="1" customFormat="1" spans="1:13">
      <c r="A6027" s="2">
        <v>6192</v>
      </c>
      <c r="B6027" s="5" t="s">
        <v>12263</v>
      </c>
      <c r="C6027" s="5" t="s">
        <v>12413</v>
      </c>
      <c r="D6027" s="5" t="s">
        <v>12414</v>
      </c>
      <c r="E6027" s="5" t="s">
        <v>10250</v>
      </c>
      <c r="F6027" s="5">
        <v>2020</v>
      </c>
      <c r="G6027" s="17" t="s">
        <v>3359</v>
      </c>
      <c r="H6027" s="5">
        <v>200</v>
      </c>
      <c r="I6027" s="5">
        <v>200</v>
      </c>
      <c r="J6027" s="5"/>
      <c r="K6027" s="5"/>
      <c r="L6027" s="10">
        <v>20201118</v>
      </c>
      <c r="M6027" s="36" t="str">
        <f t="shared" si="94"/>
        <v>19791127</v>
      </c>
    </row>
    <row r="6028" s="1" customFormat="1" spans="1:13">
      <c r="A6028" s="2">
        <v>1218</v>
      </c>
      <c r="B6028" s="5" t="s">
        <v>2469</v>
      </c>
      <c r="C6028" s="9" t="s">
        <v>3018</v>
      </c>
      <c r="D6028" s="9" t="s">
        <v>3019</v>
      </c>
      <c r="E6028" s="5">
        <v>2020</v>
      </c>
      <c r="F6028" s="5">
        <v>2020</v>
      </c>
      <c r="G6028" s="9" t="s">
        <v>2480</v>
      </c>
      <c r="H6028" s="9">
        <v>200</v>
      </c>
      <c r="I6028" s="9">
        <v>200</v>
      </c>
      <c r="J6028" s="5"/>
      <c r="K6028" s="5"/>
      <c r="L6028" s="10">
        <v>20201118</v>
      </c>
      <c r="M6028" s="36" t="str">
        <f t="shared" si="94"/>
        <v>19791129</v>
      </c>
    </row>
    <row r="6029" s="1" customFormat="1" spans="1:13">
      <c r="A6029" s="2">
        <v>7903</v>
      </c>
      <c r="B6029" s="5" t="s">
        <v>15086</v>
      </c>
      <c r="C6029" s="6" t="s">
        <v>15180</v>
      </c>
      <c r="D6029" s="6" t="str">
        <f>"152326197912026892"</f>
        <v>152326197912026892</v>
      </c>
      <c r="E6029" s="5" t="s">
        <v>15</v>
      </c>
      <c r="F6029" s="5">
        <v>2020</v>
      </c>
      <c r="G6029" s="5" t="s">
        <v>16</v>
      </c>
      <c r="H6029" s="5">
        <v>200</v>
      </c>
      <c r="I6029" s="5">
        <v>200</v>
      </c>
      <c r="J6029" s="5"/>
      <c r="K6029" s="5"/>
      <c r="L6029" s="10">
        <v>20201118</v>
      </c>
      <c r="M6029" s="36" t="str">
        <f t="shared" si="94"/>
        <v>19791202</v>
      </c>
    </row>
    <row r="6030" s="1" customFormat="1" spans="1:13">
      <c r="A6030" s="2">
        <v>1219</v>
      </c>
      <c r="B6030" s="5" t="s">
        <v>2469</v>
      </c>
      <c r="C6030" s="9" t="s">
        <v>3020</v>
      </c>
      <c r="D6030" s="9" t="s">
        <v>3021</v>
      </c>
      <c r="E6030" s="5">
        <v>2020</v>
      </c>
      <c r="F6030" s="5">
        <v>2020</v>
      </c>
      <c r="G6030" s="9" t="s">
        <v>2480</v>
      </c>
      <c r="H6030" s="9">
        <v>200</v>
      </c>
      <c r="I6030" s="9">
        <v>200</v>
      </c>
      <c r="J6030" s="5"/>
      <c r="K6030" s="5"/>
      <c r="L6030" s="10">
        <v>20201118</v>
      </c>
      <c r="M6030" s="36" t="str">
        <f t="shared" si="94"/>
        <v>19791204</v>
      </c>
    </row>
    <row r="6031" s="1" customFormat="1" ht="14.25" spans="1:13">
      <c r="A6031" s="2">
        <v>5973</v>
      </c>
      <c r="B6031" s="30" t="s">
        <v>11090</v>
      </c>
      <c r="C6031" s="32" t="s">
        <v>11993</v>
      </c>
      <c r="D6031" s="12" t="s">
        <v>11994</v>
      </c>
      <c r="E6031" s="5" t="s">
        <v>15</v>
      </c>
      <c r="F6031" s="5" t="s">
        <v>10250</v>
      </c>
      <c r="G6031" s="6" t="s">
        <v>16</v>
      </c>
      <c r="H6031" s="32">
        <v>200</v>
      </c>
      <c r="I6031" s="32">
        <v>200</v>
      </c>
      <c r="J6031" s="6"/>
      <c r="K6031" s="48"/>
      <c r="L6031" s="10">
        <v>20201118</v>
      </c>
      <c r="M6031" s="36" t="str">
        <f t="shared" si="94"/>
        <v>19791204</v>
      </c>
    </row>
    <row r="6032" s="1" customFormat="1" spans="1:13">
      <c r="A6032" s="2">
        <v>1220</v>
      </c>
      <c r="B6032" s="5" t="s">
        <v>2469</v>
      </c>
      <c r="C6032" s="9" t="s">
        <v>3022</v>
      </c>
      <c r="D6032" s="9" t="s">
        <v>3023</v>
      </c>
      <c r="E6032" s="5">
        <v>2020</v>
      </c>
      <c r="F6032" s="5">
        <v>2020</v>
      </c>
      <c r="G6032" s="9" t="s">
        <v>2480</v>
      </c>
      <c r="H6032" s="9">
        <v>200</v>
      </c>
      <c r="I6032" s="9">
        <v>200</v>
      </c>
      <c r="J6032" s="5"/>
      <c r="K6032" s="5"/>
      <c r="L6032" s="10">
        <v>20201118</v>
      </c>
      <c r="M6032" s="36" t="str">
        <f t="shared" si="94"/>
        <v>19791207</v>
      </c>
    </row>
    <row r="6033" s="1" customFormat="1" spans="1:13">
      <c r="A6033" s="2">
        <v>2324</v>
      </c>
      <c r="B6033" s="9" t="s">
        <v>4837</v>
      </c>
      <c r="C6033" s="9" t="s">
        <v>5188</v>
      </c>
      <c r="D6033" s="9" t="s">
        <v>5189</v>
      </c>
      <c r="E6033" s="6" t="s">
        <v>15</v>
      </c>
      <c r="F6033" s="6">
        <v>2020</v>
      </c>
      <c r="G6033" s="9" t="s">
        <v>2480</v>
      </c>
      <c r="H6033" s="9">
        <v>200</v>
      </c>
      <c r="I6033" s="9">
        <v>200</v>
      </c>
      <c r="J6033" s="6"/>
      <c r="K6033" s="10"/>
      <c r="L6033" s="10">
        <v>20201118</v>
      </c>
      <c r="M6033" s="36" t="str">
        <f t="shared" si="94"/>
        <v>19791207</v>
      </c>
    </row>
    <row r="6034" s="1" customFormat="1" spans="1:13">
      <c r="A6034" s="2">
        <v>7101</v>
      </c>
      <c r="B6034" s="5" t="s">
        <v>13533</v>
      </c>
      <c r="C6034" s="32" t="s">
        <v>13870</v>
      </c>
      <c r="D6034" s="32" t="s">
        <v>13871</v>
      </c>
      <c r="E6034" s="5">
        <v>2020</v>
      </c>
      <c r="F6034" s="5">
        <v>2020</v>
      </c>
      <c r="G6034" s="9" t="s">
        <v>2480</v>
      </c>
      <c r="H6034" s="32">
        <v>200</v>
      </c>
      <c r="I6034" s="32">
        <v>200</v>
      </c>
      <c r="J6034" s="32"/>
      <c r="K6034" s="10"/>
      <c r="L6034" s="10">
        <v>20201118</v>
      </c>
      <c r="M6034" s="36" t="str">
        <f t="shared" si="94"/>
        <v>19791207</v>
      </c>
    </row>
    <row r="6035" s="1" customFormat="1" spans="1:13">
      <c r="A6035" s="2">
        <v>4007</v>
      </c>
      <c r="B6035" s="5" t="s">
        <v>7412</v>
      </c>
      <c r="C6035" s="5" t="s">
        <v>8234</v>
      </c>
      <c r="D6035" s="5" t="s">
        <v>8235</v>
      </c>
      <c r="E6035" s="6">
        <v>2020</v>
      </c>
      <c r="F6035" s="6">
        <v>2020</v>
      </c>
      <c r="G6035" s="5" t="s">
        <v>3359</v>
      </c>
      <c r="H6035" s="5">
        <v>200</v>
      </c>
      <c r="I6035" s="5">
        <v>200</v>
      </c>
      <c r="J6035" s="5"/>
      <c r="K6035" s="5"/>
      <c r="L6035" s="10">
        <v>20201118</v>
      </c>
      <c r="M6035" s="36" t="str">
        <f t="shared" si="94"/>
        <v>19791209</v>
      </c>
    </row>
    <row r="6036" s="1" customFormat="1" spans="1:13">
      <c r="A6036" s="2">
        <v>4886</v>
      </c>
      <c r="B6036" s="6" t="s">
        <v>9015</v>
      </c>
      <c r="C6036" s="6" t="s">
        <v>9914</v>
      </c>
      <c r="D6036" s="293" t="s">
        <v>9915</v>
      </c>
      <c r="E6036" s="6">
        <v>2020</v>
      </c>
      <c r="F6036" s="6">
        <v>2020</v>
      </c>
      <c r="G6036" s="6" t="s">
        <v>189</v>
      </c>
      <c r="H6036" s="6">
        <v>1000</v>
      </c>
      <c r="I6036" s="6">
        <v>1000</v>
      </c>
      <c r="J6036" s="6"/>
      <c r="K6036" s="6"/>
      <c r="L6036" s="10">
        <v>20201118</v>
      </c>
      <c r="M6036" s="36" t="str">
        <f t="shared" si="94"/>
        <v>19791211</v>
      </c>
    </row>
    <row r="6037" s="1" customFormat="1" spans="1:13">
      <c r="A6037" s="2">
        <v>1221</v>
      </c>
      <c r="B6037" s="5" t="s">
        <v>2469</v>
      </c>
      <c r="C6037" s="9" t="s">
        <v>3024</v>
      </c>
      <c r="D6037" s="9" t="s">
        <v>3025</v>
      </c>
      <c r="E6037" s="5">
        <v>2020</v>
      </c>
      <c r="F6037" s="5">
        <v>2020</v>
      </c>
      <c r="G6037" s="9" t="s">
        <v>2480</v>
      </c>
      <c r="H6037" s="9">
        <v>200</v>
      </c>
      <c r="I6037" s="9">
        <v>200</v>
      </c>
      <c r="J6037" s="5"/>
      <c r="K6037" s="5"/>
      <c r="L6037" s="10">
        <v>20201118</v>
      </c>
      <c r="M6037" s="36" t="str">
        <f t="shared" si="94"/>
        <v>19791212</v>
      </c>
    </row>
    <row r="6038" s="1" customFormat="1" spans="1:13">
      <c r="A6038" s="2">
        <v>658</v>
      </c>
      <c r="B6038" s="29" t="s">
        <v>1040</v>
      </c>
      <c r="C6038" s="47" t="s">
        <v>1627</v>
      </c>
      <c r="D6038" s="47" t="s">
        <v>1628</v>
      </c>
      <c r="E6038" s="30">
        <v>2020</v>
      </c>
      <c r="F6038" s="30">
        <v>2020</v>
      </c>
      <c r="G6038" s="29" t="s">
        <v>16</v>
      </c>
      <c r="H6038" s="29">
        <v>200</v>
      </c>
      <c r="I6038" s="29">
        <v>200</v>
      </c>
      <c r="J6038" s="29"/>
      <c r="K6038" s="47"/>
      <c r="L6038" s="2" t="s">
        <v>330</v>
      </c>
      <c r="M6038" s="36" t="str">
        <f t="shared" si="94"/>
        <v>19791213</v>
      </c>
    </row>
    <row r="6039" s="1" customFormat="1" spans="1:13">
      <c r="A6039" s="2">
        <v>675</v>
      </c>
      <c r="B6039" s="29" t="s">
        <v>1040</v>
      </c>
      <c r="C6039" s="47" t="s">
        <v>1677</v>
      </c>
      <c r="D6039" s="47" t="s">
        <v>1678</v>
      </c>
      <c r="E6039" s="30">
        <v>2020</v>
      </c>
      <c r="F6039" s="30">
        <v>2020</v>
      </c>
      <c r="G6039" s="29" t="s">
        <v>16</v>
      </c>
      <c r="H6039" s="29">
        <v>200</v>
      </c>
      <c r="I6039" s="29">
        <v>200</v>
      </c>
      <c r="J6039" s="29"/>
      <c r="K6039" s="54"/>
      <c r="L6039" s="14" t="s">
        <v>330</v>
      </c>
      <c r="M6039" s="36" t="str">
        <f t="shared" si="94"/>
        <v>19791213</v>
      </c>
    </row>
    <row r="6040" s="1" customFormat="1" spans="1:13">
      <c r="A6040" s="2">
        <v>712</v>
      </c>
      <c r="B6040" s="29" t="s">
        <v>1040</v>
      </c>
      <c r="C6040" s="5" t="s">
        <v>1787</v>
      </c>
      <c r="D6040" s="5" t="s">
        <v>1788</v>
      </c>
      <c r="E6040" s="30">
        <v>2020</v>
      </c>
      <c r="F6040" s="30">
        <v>2020</v>
      </c>
      <c r="G6040" s="29" t="s">
        <v>16</v>
      </c>
      <c r="H6040" s="29">
        <v>200</v>
      </c>
      <c r="I6040" s="29">
        <v>200</v>
      </c>
      <c r="J6040" s="29"/>
      <c r="K6040" s="54"/>
      <c r="L6040" s="14" t="s">
        <v>330</v>
      </c>
      <c r="M6040" s="36" t="str">
        <f t="shared" si="94"/>
        <v>19791215</v>
      </c>
    </row>
    <row r="6041" s="1" customFormat="1" spans="1:13">
      <c r="A6041" s="2">
        <v>439</v>
      </c>
      <c r="B6041" s="29" t="s">
        <v>1040</v>
      </c>
      <c r="C6041" s="29" t="s">
        <v>1154</v>
      </c>
      <c r="D6041" s="29" t="s">
        <v>1155</v>
      </c>
      <c r="E6041" s="30">
        <v>2020</v>
      </c>
      <c r="F6041" s="30">
        <v>2020</v>
      </c>
      <c r="G6041" s="29" t="s">
        <v>16</v>
      </c>
      <c r="H6041" s="29">
        <v>200</v>
      </c>
      <c r="I6041" s="29">
        <v>200</v>
      </c>
      <c r="J6041" s="29"/>
      <c r="K6041" s="47"/>
      <c r="L6041" s="14" t="s">
        <v>330</v>
      </c>
      <c r="M6041" s="36" t="str">
        <f t="shared" si="94"/>
        <v>19791218</v>
      </c>
    </row>
    <row r="6042" s="1" customFormat="1" spans="1:13">
      <c r="A6042" s="2">
        <v>2004</v>
      </c>
      <c r="B6042" s="5" t="s">
        <v>4189</v>
      </c>
      <c r="C6042" s="16" t="s">
        <v>4565</v>
      </c>
      <c r="D6042" s="16" t="s">
        <v>4566</v>
      </c>
      <c r="E6042" s="5" t="s">
        <v>15</v>
      </c>
      <c r="F6042" s="5" t="s">
        <v>15</v>
      </c>
      <c r="G6042" s="5" t="s">
        <v>3359</v>
      </c>
      <c r="H6042" s="16">
        <v>500</v>
      </c>
      <c r="I6042" s="16">
        <v>500</v>
      </c>
      <c r="J6042" s="5"/>
      <c r="K6042" s="10"/>
      <c r="L6042" s="10">
        <v>20201118</v>
      </c>
      <c r="M6042" s="36" t="str">
        <f t="shared" si="94"/>
        <v>19791218</v>
      </c>
    </row>
    <row r="6043" s="1" customFormat="1" spans="1:13">
      <c r="A6043" s="2">
        <v>7904</v>
      </c>
      <c r="B6043" s="5" t="s">
        <v>15086</v>
      </c>
      <c r="C6043" s="6" t="s">
        <v>15098</v>
      </c>
      <c r="D6043" s="6" t="str">
        <f>"152326197912186896"</f>
        <v>152326197912186896</v>
      </c>
      <c r="E6043" s="5" t="s">
        <v>15</v>
      </c>
      <c r="F6043" s="5">
        <v>2020</v>
      </c>
      <c r="G6043" s="5" t="s">
        <v>16</v>
      </c>
      <c r="H6043" s="5">
        <v>500</v>
      </c>
      <c r="I6043" s="5">
        <v>500</v>
      </c>
      <c r="J6043" s="5"/>
      <c r="K6043" s="5"/>
      <c r="L6043" s="10">
        <v>20201118</v>
      </c>
      <c r="M6043" s="36" t="str">
        <f t="shared" si="94"/>
        <v>19791218</v>
      </c>
    </row>
    <row r="6044" s="1" customFormat="1" spans="1:13">
      <c r="A6044" s="2">
        <v>3325</v>
      </c>
      <c r="B6044" s="5" t="s">
        <v>3375</v>
      </c>
      <c r="C6044" s="6" t="s">
        <v>7100</v>
      </c>
      <c r="D6044" s="6" t="str">
        <f>"152326197912196875"</f>
        <v>152326197912196875</v>
      </c>
      <c r="E6044" s="5" t="s">
        <v>15</v>
      </c>
      <c r="F6044" s="5">
        <v>2020</v>
      </c>
      <c r="G6044" s="14" t="s">
        <v>16</v>
      </c>
      <c r="H6044" s="17">
        <v>200</v>
      </c>
      <c r="I6044" s="17">
        <v>200</v>
      </c>
      <c r="J6044" s="6"/>
      <c r="K6044" s="10"/>
      <c r="L6044" s="10">
        <v>20201118</v>
      </c>
      <c r="M6044" s="36" t="str">
        <f t="shared" si="94"/>
        <v>19791219</v>
      </c>
    </row>
    <row r="6045" s="1" customFormat="1" spans="1:13">
      <c r="A6045" s="2">
        <v>7476</v>
      </c>
      <c r="B6045" s="5" t="s">
        <v>14402</v>
      </c>
      <c r="C6045" s="5" t="s">
        <v>14568</v>
      </c>
      <c r="D6045" s="5" t="s">
        <v>14569</v>
      </c>
      <c r="E6045" s="5">
        <v>2020</v>
      </c>
      <c r="F6045" s="5">
        <v>2020</v>
      </c>
      <c r="G6045" s="17" t="s">
        <v>16</v>
      </c>
      <c r="H6045" s="5">
        <v>200</v>
      </c>
      <c r="I6045" s="5">
        <v>200</v>
      </c>
      <c r="J6045" s="5"/>
      <c r="K6045" s="10"/>
      <c r="L6045" s="10">
        <v>20201118</v>
      </c>
      <c r="M6045" s="36" t="str">
        <f t="shared" si="94"/>
        <v>19791220</v>
      </c>
    </row>
    <row r="6046" s="1" customFormat="1" spans="1:13">
      <c r="A6046" s="2">
        <v>8183</v>
      </c>
      <c r="B6046" s="5" t="s">
        <v>15406</v>
      </c>
      <c r="C6046" s="6" t="s">
        <v>15553</v>
      </c>
      <c r="D6046" s="6" t="s">
        <v>15554</v>
      </c>
      <c r="E6046" s="5" t="s">
        <v>15</v>
      </c>
      <c r="F6046" s="5">
        <v>2020</v>
      </c>
      <c r="G6046" s="14" t="s">
        <v>16</v>
      </c>
      <c r="H6046" s="6">
        <v>200</v>
      </c>
      <c r="I6046" s="6">
        <v>200</v>
      </c>
      <c r="J6046" s="5"/>
      <c r="K6046" s="10"/>
      <c r="L6046" s="10">
        <v>20201118</v>
      </c>
      <c r="M6046" s="36" t="str">
        <f t="shared" si="94"/>
        <v>19791223</v>
      </c>
    </row>
    <row r="6047" s="1" customFormat="1" spans="1:13">
      <c r="A6047" s="2">
        <v>7906</v>
      </c>
      <c r="B6047" s="5" t="s">
        <v>15086</v>
      </c>
      <c r="C6047" s="6" t="s">
        <v>15182</v>
      </c>
      <c r="D6047" s="6" t="s">
        <v>15183</v>
      </c>
      <c r="E6047" s="5" t="s">
        <v>15</v>
      </c>
      <c r="F6047" s="5">
        <v>2020</v>
      </c>
      <c r="G6047" s="5" t="s">
        <v>16</v>
      </c>
      <c r="H6047" s="5">
        <v>200</v>
      </c>
      <c r="I6047" s="5">
        <v>200</v>
      </c>
      <c r="J6047" s="5"/>
      <c r="K6047" s="5"/>
      <c r="L6047" s="10">
        <v>20201118</v>
      </c>
      <c r="M6047" s="36" t="str">
        <f t="shared" si="94"/>
        <v>19791226</v>
      </c>
    </row>
    <row r="6048" s="1" customFormat="1" spans="1:13">
      <c r="A6048" s="2">
        <v>7167</v>
      </c>
      <c r="B6048" s="5" t="s">
        <v>13908</v>
      </c>
      <c r="C6048" s="5" t="s">
        <v>13990</v>
      </c>
      <c r="D6048" s="5" t="s">
        <v>13991</v>
      </c>
      <c r="E6048" s="5" t="s">
        <v>15</v>
      </c>
      <c r="F6048" s="5" t="s">
        <v>15</v>
      </c>
      <c r="G6048" s="14" t="s">
        <v>16</v>
      </c>
      <c r="H6048" s="17">
        <v>200</v>
      </c>
      <c r="I6048" s="17">
        <v>200</v>
      </c>
      <c r="J6048" s="5"/>
      <c r="K6048" s="10"/>
      <c r="L6048" s="10">
        <v>20201118</v>
      </c>
      <c r="M6048" s="36" t="str">
        <f t="shared" si="94"/>
        <v>19800100</v>
      </c>
    </row>
    <row r="6049" s="1" customFormat="1" spans="1:13">
      <c r="A6049" s="2">
        <v>5158</v>
      </c>
      <c r="B6049" s="6" t="s">
        <v>10242</v>
      </c>
      <c r="C6049" s="9" t="s">
        <v>10442</v>
      </c>
      <c r="D6049" s="9" t="s">
        <v>10443</v>
      </c>
      <c r="E6049" s="5" t="s">
        <v>10250</v>
      </c>
      <c r="F6049" s="5">
        <v>2020</v>
      </c>
      <c r="G6049" s="6" t="s">
        <v>16</v>
      </c>
      <c r="H6049" s="6">
        <v>200</v>
      </c>
      <c r="I6049" s="6">
        <v>200</v>
      </c>
      <c r="J6049" s="6"/>
      <c r="K6049" s="5"/>
      <c r="L6049" s="10">
        <v>20201118</v>
      </c>
      <c r="M6049" s="36" t="str">
        <f t="shared" si="94"/>
        <v>19800102</v>
      </c>
    </row>
    <row r="6050" s="1" customFormat="1" spans="1:13">
      <c r="A6050" s="2">
        <v>7471</v>
      </c>
      <c r="B6050" s="5" t="s">
        <v>14402</v>
      </c>
      <c r="C6050" s="5" t="s">
        <v>14559</v>
      </c>
      <c r="D6050" s="5" t="s">
        <v>14560</v>
      </c>
      <c r="E6050" s="5">
        <v>2020</v>
      </c>
      <c r="F6050" s="5">
        <v>2020</v>
      </c>
      <c r="G6050" s="17" t="s">
        <v>16</v>
      </c>
      <c r="H6050" s="5">
        <v>500</v>
      </c>
      <c r="I6050" s="5">
        <v>500</v>
      </c>
      <c r="J6050" s="5"/>
      <c r="K6050" s="10"/>
      <c r="L6050" s="10">
        <v>20201118</v>
      </c>
      <c r="M6050" s="36" t="str">
        <f t="shared" si="94"/>
        <v>19800102</v>
      </c>
    </row>
    <row r="6051" s="1" customFormat="1" ht="14.25" spans="1:13">
      <c r="A6051" s="2">
        <v>5403</v>
      </c>
      <c r="B6051" s="33" t="s">
        <v>10535</v>
      </c>
      <c r="C6051" s="34" t="s">
        <v>10911</v>
      </c>
      <c r="D6051" s="34" t="s">
        <v>10912</v>
      </c>
      <c r="E6051" s="35">
        <v>2020</v>
      </c>
      <c r="F6051" s="35">
        <v>2020</v>
      </c>
      <c r="G6051" s="35" t="s">
        <v>16</v>
      </c>
      <c r="H6051" s="34">
        <v>200</v>
      </c>
      <c r="I6051" s="34">
        <v>200</v>
      </c>
      <c r="J6051" s="49"/>
      <c r="K6051" s="10"/>
      <c r="L6051" s="10">
        <v>20201118</v>
      </c>
      <c r="M6051" s="36" t="str">
        <f t="shared" si="94"/>
        <v>19800103</v>
      </c>
    </row>
    <row r="6052" s="1" customFormat="1" spans="1:13">
      <c r="A6052" s="2">
        <v>6832</v>
      </c>
      <c r="B6052" s="5" t="s">
        <v>13533</v>
      </c>
      <c r="C6052" s="32" t="s">
        <v>13584</v>
      </c>
      <c r="D6052" s="32" t="str">
        <f>"152326198001067145"</f>
        <v>152326198001067145</v>
      </c>
      <c r="E6052" s="5">
        <v>2020</v>
      </c>
      <c r="F6052" s="5">
        <v>2020</v>
      </c>
      <c r="G6052" s="9" t="s">
        <v>2480</v>
      </c>
      <c r="H6052" s="32">
        <v>200</v>
      </c>
      <c r="I6052" s="32">
        <v>200</v>
      </c>
      <c r="J6052" s="32"/>
      <c r="K6052" s="10"/>
      <c r="L6052" s="10">
        <v>20201118</v>
      </c>
      <c r="M6052" s="36" t="str">
        <f t="shared" si="94"/>
        <v>19800106</v>
      </c>
    </row>
    <row r="6053" s="1" customFormat="1" spans="1:13">
      <c r="A6053" s="2">
        <v>832</v>
      </c>
      <c r="B6053" s="29" t="s">
        <v>1040</v>
      </c>
      <c r="C6053" s="29" t="s">
        <v>2145</v>
      </c>
      <c r="D6053" s="29" t="s">
        <v>2146</v>
      </c>
      <c r="E6053" s="30">
        <v>2020</v>
      </c>
      <c r="F6053" s="30">
        <v>2020</v>
      </c>
      <c r="G6053" s="29" t="s">
        <v>16</v>
      </c>
      <c r="H6053" s="29">
        <v>200</v>
      </c>
      <c r="I6053" s="29">
        <v>200</v>
      </c>
      <c r="J6053" s="32"/>
      <c r="K6053" s="32"/>
      <c r="L6053" s="2" t="s">
        <v>330</v>
      </c>
      <c r="M6053" s="36" t="str">
        <f t="shared" si="94"/>
        <v>19800107</v>
      </c>
    </row>
    <row r="6054" s="1" customFormat="1" spans="1:13">
      <c r="A6054" s="2">
        <v>2696</v>
      </c>
      <c r="B6054" s="32" t="s">
        <v>5602</v>
      </c>
      <c r="C6054" s="9" t="s">
        <v>5924</v>
      </c>
      <c r="D6054" s="9" t="s">
        <v>5925</v>
      </c>
      <c r="E6054" s="32">
        <v>2020</v>
      </c>
      <c r="F6054" s="32">
        <v>2020</v>
      </c>
      <c r="G6054" s="32" t="s">
        <v>16</v>
      </c>
      <c r="H6054" s="9">
        <v>200</v>
      </c>
      <c r="I6054" s="9">
        <v>200</v>
      </c>
      <c r="J6054" s="32"/>
      <c r="K6054" s="52"/>
      <c r="L6054" s="10">
        <v>20201118</v>
      </c>
      <c r="M6054" s="36" t="str">
        <f t="shared" si="94"/>
        <v>19800108</v>
      </c>
    </row>
    <row r="6055" s="1" customFormat="1" spans="1:13">
      <c r="A6055" s="2">
        <v>4008</v>
      </c>
      <c r="B6055" s="5" t="s">
        <v>7412</v>
      </c>
      <c r="C6055" s="5" t="s">
        <v>8236</v>
      </c>
      <c r="D6055" s="5" t="s">
        <v>8237</v>
      </c>
      <c r="E6055" s="6">
        <v>2020</v>
      </c>
      <c r="F6055" s="6">
        <v>2020</v>
      </c>
      <c r="G6055" s="5" t="s">
        <v>3359</v>
      </c>
      <c r="H6055" s="5">
        <v>200</v>
      </c>
      <c r="I6055" s="5">
        <v>200</v>
      </c>
      <c r="J6055" s="5"/>
      <c r="K6055" s="5"/>
      <c r="L6055" s="10">
        <v>20201118</v>
      </c>
      <c r="M6055" s="36" t="str">
        <f t="shared" si="94"/>
        <v>19800108</v>
      </c>
    </row>
    <row r="6056" s="1" customFormat="1" spans="1:13">
      <c r="A6056" s="2">
        <v>187</v>
      </c>
      <c r="B6056" s="14" t="s">
        <v>327</v>
      </c>
      <c r="C6056" s="14" t="s">
        <v>449</v>
      </c>
      <c r="D6056" s="14" t="s">
        <v>450</v>
      </c>
      <c r="E6056" s="5">
        <v>2020</v>
      </c>
      <c r="F6056" s="5">
        <v>2020</v>
      </c>
      <c r="G6056" s="14" t="s">
        <v>16</v>
      </c>
      <c r="H6056" s="14">
        <v>200</v>
      </c>
      <c r="I6056" s="14">
        <v>200</v>
      </c>
      <c r="J6056" s="14"/>
      <c r="K6056" s="10"/>
      <c r="L6056" s="2" t="s">
        <v>330</v>
      </c>
      <c r="M6056" s="36" t="str">
        <f t="shared" si="94"/>
        <v>19800112</v>
      </c>
    </row>
    <row r="6057" s="1" customFormat="1" spans="1:13">
      <c r="A6057" s="2">
        <v>412</v>
      </c>
      <c r="B6057" s="29" t="s">
        <v>1040</v>
      </c>
      <c r="C6057" s="29" t="s">
        <v>1100</v>
      </c>
      <c r="D6057" s="29" t="s">
        <v>1101</v>
      </c>
      <c r="E6057" s="30">
        <v>2020</v>
      </c>
      <c r="F6057" s="30">
        <v>2020</v>
      </c>
      <c r="G6057" s="29" t="s">
        <v>16</v>
      </c>
      <c r="H6057" s="29">
        <v>200</v>
      </c>
      <c r="I6057" s="29">
        <v>200</v>
      </c>
      <c r="J6057" s="29"/>
      <c r="K6057" s="47"/>
      <c r="L6057" s="2" t="s">
        <v>330</v>
      </c>
      <c r="M6057" s="36" t="str">
        <f t="shared" si="94"/>
        <v>19800112</v>
      </c>
    </row>
    <row r="6058" s="1" customFormat="1" ht="14.25" spans="1:13">
      <c r="A6058" s="2">
        <v>7664</v>
      </c>
      <c r="B6058" s="5" t="s">
        <v>14875</v>
      </c>
      <c r="C6058" s="51" t="s">
        <v>14905</v>
      </c>
      <c r="D6058" s="24" t="s">
        <v>14906</v>
      </c>
      <c r="E6058" s="6" t="s">
        <v>15</v>
      </c>
      <c r="F6058" s="6">
        <v>2020</v>
      </c>
      <c r="G6058" s="24" t="s">
        <v>14877</v>
      </c>
      <c r="H6058" s="6">
        <v>200</v>
      </c>
      <c r="I6058" s="6">
        <v>200</v>
      </c>
      <c r="J6058" s="6"/>
      <c r="K6058" s="10"/>
      <c r="L6058" s="10">
        <v>20201118</v>
      </c>
      <c r="M6058" s="36" t="str">
        <f t="shared" si="94"/>
        <v>19800112</v>
      </c>
    </row>
    <row r="6059" s="1" customFormat="1" spans="1:13">
      <c r="A6059" s="2">
        <v>1222</v>
      </c>
      <c r="B6059" s="5" t="s">
        <v>2469</v>
      </c>
      <c r="C6059" s="9" t="s">
        <v>3026</v>
      </c>
      <c r="D6059" s="9" t="s">
        <v>3027</v>
      </c>
      <c r="E6059" s="5">
        <v>2020</v>
      </c>
      <c r="F6059" s="5">
        <v>2020</v>
      </c>
      <c r="G6059" s="9" t="s">
        <v>2480</v>
      </c>
      <c r="H6059" s="9">
        <v>200</v>
      </c>
      <c r="I6059" s="9">
        <v>200</v>
      </c>
      <c r="J6059" s="5"/>
      <c r="K6059" s="5"/>
      <c r="L6059" s="10">
        <v>20201118</v>
      </c>
      <c r="M6059" s="36" t="str">
        <f t="shared" si="94"/>
        <v>19800114</v>
      </c>
    </row>
    <row r="6060" s="1" customFormat="1" spans="1:13">
      <c r="A6060" s="2">
        <v>2697</v>
      </c>
      <c r="B6060" s="32" t="s">
        <v>5602</v>
      </c>
      <c r="C6060" s="9" t="s">
        <v>5926</v>
      </c>
      <c r="D6060" s="9" t="s">
        <v>5927</v>
      </c>
      <c r="E6060" s="32">
        <v>2020</v>
      </c>
      <c r="F6060" s="32">
        <v>2020</v>
      </c>
      <c r="G6060" s="32" t="s">
        <v>16</v>
      </c>
      <c r="H6060" s="9">
        <v>200</v>
      </c>
      <c r="I6060" s="9">
        <v>200</v>
      </c>
      <c r="J6060" s="32"/>
      <c r="K6060" s="52"/>
      <c r="L6060" s="10">
        <v>20201118</v>
      </c>
      <c r="M6060" s="36" t="str">
        <f t="shared" si="94"/>
        <v>19800117</v>
      </c>
    </row>
    <row r="6061" s="1" customFormat="1" spans="1:13">
      <c r="A6061" s="2">
        <v>5025</v>
      </c>
      <c r="B6061" s="6" t="s">
        <v>9954</v>
      </c>
      <c r="C6061" s="60" t="s">
        <v>10184</v>
      </c>
      <c r="D6061" s="60" t="s">
        <v>10185</v>
      </c>
      <c r="E6061" s="5" t="s">
        <v>15</v>
      </c>
      <c r="F6061" s="5" t="s">
        <v>15</v>
      </c>
      <c r="G6061" s="14" t="s">
        <v>16</v>
      </c>
      <c r="H6061" s="6">
        <v>500</v>
      </c>
      <c r="I6061" s="6">
        <v>500</v>
      </c>
      <c r="J6061" s="6"/>
      <c r="K6061" s="6"/>
      <c r="L6061" s="10">
        <v>20201118</v>
      </c>
      <c r="M6061" s="36" t="str">
        <f t="shared" si="94"/>
        <v>19800117</v>
      </c>
    </row>
    <row r="6062" s="1" customFormat="1" ht="14.25" spans="1:13">
      <c r="A6062" s="2">
        <v>5404</v>
      </c>
      <c r="B6062" s="33" t="s">
        <v>10535</v>
      </c>
      <c r="C6062" s="34" t="s">
        <v>10913</v>
      </c>
      <c r="D6062" s="34" t="s">
        <v>10914</v>
      </c>
      <c r="E6062" s="35">
        <v>2020</v>
      </c>
      <c r="F6062" s="35">
        <v>2020</v>
      </c>
      <c r="G6062" s="35" t="s">
        <v>16</v>
      </c>
      <c r="H6062" s="34">
        <v>200</v>
      </c>
      <c r="I6062" s="34">
        <v>200</v>
      </c>
      <c r="J6062" s="49"/>
      <c r="K6062" s="10"/>
      <c r="L6062" s="10">
        <v>20201118</v>
      </c>
      <c r="M6062" s="36" t="str">
        <f t="shared" si="94"/>
        <v>19800117</v>
      </c>
    </row>
    <row r="6063" s="1" customFormat="1" spans="1:13">
      <c r="A6063" s="2">
        <v>1223</v>
      </c>
      <c r="B6063" s="5" t="s">
        <v>2469</v>
      </c>
      <c r="C6063" s="9" t="s">
        <v>3028</v>
      </c>
      <c r="D6063" s="9" t="s">
        <v>3029</v>
      </c>
      <c r="E6063" s="5">
        <v>2020</v>
      </c>
      <c r="F6063" s="5">
        <v>2020</v>
      </c>
      <c r="G6063" s="9" t="s">
        <v>2480</v>
      </c>
      <c r="H6063" s="9">
        <v>200</v>
      </c>
      <c r="I6063" s="9">
        <v>200</v>
      </c>
      <c r="J6063" s="5"/>
      <c r="K6063" s="5"/>
      <c r="L6063" s="10">
        <v>20201118</v>
      </c>
      <c r="M6063" s="36" t="str">
        <f t="shared" si="94"/>
        <v>19800120</v>
      </c>
    </row>
    <row r="6064" s="1" customFormat="1" spans="1:13">
      <c r="A6064" s="2">
        <v>3538</v>
      </c>
      <c r="B6064" s="5" t="s">
        <v>3375</v>
      </c>
      <c r="C6064" s="5" t="s">
        <v>7347</v>
      </c>
      <c r="D6064" s="5" t="s">
        <v>7348</v>
      </c>
      <c r="E6064" s="5" t="s">
        <v>15</v>
      </c>
      <c r="F6064" s="5">
        <v>2020</v>
      </c>
      <c r="G6064" s="14" t="s">
        <v>16</v>
      </c>
      <c r="H6064" s="5">
        <v>200</v>
      </c>
      <c r="I6064" s="5">
        <v>200</v>
      </c>
      <c r="J6064" s="5"/>
      <c r="K6064" s="10"/>
      <c r="L6064" s="10">
        <v>20201118</v>
      </c>
      <c r="M6064" s="36" t="str">
        <f t="shared" si="94"/>
        <v>19800120</v>
      </c>
    </row>
    <row r="6065" s="1" customFormat="1" spans="1:13">
      <c r="A6065" s="2">
        <v>6729</v>
      </c>
      <c r="B6065" s="5" t="s">
        <v>13027</v>
      </c>
      <c r="C6065" s="15" t="s">
        <v>13427</v>
      </c>
      <c r="D6065" s="15" t="s">
        <v>13428</v>
      </c>
      <c r="E6065" s="5">
        <v>2020</v>
      </c>
      <c r="F6065" s="5">
        <v>2020</v>
      </c>
      <c r="G6065" s="14" t="s">
        <v>16</v>
      </c>
      <c r="H6065" s="15">
        <v>200</v>
      </c>
      <c r="I6065" s="15">
        <v>200</v>
      </c>
      <c r="J6065" s="5" t="s">
        <v>1242</v>
      </c>
      <c r="K6065" s="10"/>
      <c r="L6065" s="10">
        <v>20201118</v>
      </c>
      <c r="M6065" s="36" t="str">
        <f t="shared" si="94"/>
        <v>19800120</v>
      </c>
    </row>
    <row r="6066" s="1" customFormat="1" spans="1:13">
      <c r="A6066" s="2">
        <v>411</v>
      </c>
      <c r="B6066" s="29" t="s">
        <v>1040</v>
      </c>
      <c r="C6066" s="29" t="s">
        <v>94</v>
      </c>
      <c r="D6066" s="29" t="s">
        <v>1099</v>
      </c>
      <c r="E6066" s="30">
        <v>2020</v>
      </c>
      <c r="F6066" s="30">
        <v>2020</v>
      </c>
      <c r="G6066" s="29" t="s">
        <v>16</v>
      </c>
      <c r="H6066" s="29">
        <v>200</v>
      </c>
      <c r="I6066" s="29">
        <v>200</v>
      </c>
      <c r="J6066" s="29"/>
      <c r="K6066" s="47"/>
      <c r="L6066" s="14" t="s">
        <v>330</v>
      </c>
      <c r="M6066" s="36" t="str">
        <f t="shared" si="94"/>
        <v>19800121</v>
      </c>
    </row>
    <row r="6067" s="1" customFormat="1" spans="1:13">
      <c r="A6067" s="2">
        <v>2400</v>
      </c>
      <c r="B6067" s="5" t="s">
        <v>5328</v>
      </c>
      <c r="C6067" s="16" t="s">
        <v>5342</v>
      </c>
      <c r="D6067" s="16" t="s">
        <v>5343</v>
      </c>
      <c r="E6067" s="5" t="s">
        <v>15</v>
      </c>
      <c r="F6067" s="5" t="s">
        <v>15</v>
      </c>
      <c r="G6067" s="14" t="s">
        <v>16</v>
      </c>
      <c r="H6067" s="6">
        <v>200</v>
      </c>
      <c r="I6067" s="6">
        <v>200</v>
      </c>
      <c r="J6067" s="5"/>
      <c r="K6067" s="5"/>
      <c r="L6067" s="10">
        <v>20201118</v>
      </c>
      <c r="M6067" s="36" t="str">
        <f t="shared" si="94"/>
        <v>19800122</v>
      </c>
    </row>
    <row r="6068" s="1" customFormat="1" spans="1:13">
      <c r="A6068" s="2">
        <v>4913</v>
      </c>
      <c r="B6068" s="6" t="s">
        <v>9954</v>
      </c>
      <c r="C6068" s="53" t="s">
        <v>9967</v>
      </c>
      <c r="D6068" s="53" t="s">
        <v>9968</v>
      </c>
      <c r="E6068" s="5" t="s">
        <v>15</v>
      </c>
      <c r="F6068" s="5" t="s">
        <v>15</v>
      </c>
      <c r="G6068" s="14" t="s">
        <v>16</v>
      </c>
      <c r="H6068" s="6">
        <v>200</v>
      </c>
      <c r="I6068" s="6">
        <v>200</v>
      </c>
      <c r="J6068" s="6"/>
      <c r="K6068" s="6"/>
      <c r="L6068" s="10">
        <v>20201118</v>
      </c>
      <c r="M6068" s="36" t="str">
        <f t="shared" si="94"/>
        <v>19800122</v>
      </c>
    </row>
    <row r="6069" s="1" customFormat="1" spans="1:13">
      <c r="A6069" s="2">
        <v>6834</v>
      </c>
      <c r="B6069" s="5" t="s">
        <v>13533</v>
      </c>
      <c r="C6069" s="32" t="s">
        <v>13586</v>
      </c>
      <c r="D6069" s="32" t="str">
        <f>"152326198001227129"</f>
        <v>152326198001227129</v>
      </c>
      <c r="E6069" s="5">
        <v>2020</v>
      </c>
      <c r="F6069" s="5">
        <v>2020</v>
      </c>
      <c r="G6069" s="9" t="s">
        <v>2480</v>
      </c>
      <c r="H6069" s="32">
        <v>200</v>
      </c>
      <c r="I6069" s="32">
        <v>200</v>
      </c>
      <c r="J6069" s="62"/>
      <c r="K6069" s="10"/>
      <c r="L6069" s="10">
        <v>20201118</v>
      </c>
      <c r="M6069" s="36" t="str">
        <f t="shared" si="94"/>
        <v>19800122</v>
      </c>
    </row>
    <row r="6070" s="1" customFormat="1" spans="1:13">
      <c r="A6070" s="2">
        <v>1718</v>
      </c>
      <c r="B6070" s="5" t="s">
        <v>3381</v>
      </c>
      <c r="C6070" s="9" t="s">
        <v>3996</v>
      </c>
      <c r="D6070" s="9" t="s">
        <v>3997</v>
      </c>
      <c r="E6070" s="5">
        <v>2020</v>
      </c>
      <c r="F6070" s="5">
        <v>2020</v>
      </c>
      <c r="G6070" s="14" t="s">
        <v>16</v>
      </c>
      <c r="H6070" s="6">
        <v>200</v>
      </c>
      <c r="I6070" s="6">
        <v>200</v>
      </c>
      <c r="J6070" s="5"/>
      <c r="K6070" s="13"/>
      <c r="L6070" s="10">
        <v>20201118</v>
      </c>
      <c r="M6070" s="36" t="str">
        <f t="shared" si="94"/>
        <v>19800123</v>
      </c>
    </row>
    <row r="6071" s="1" customFormat="1" spans="1:13">
      <c r="A6071" s="2">
        <v>5159</v>
      </c>
      <c r="B6071" s="6" t="s">
        <v>10242</v>
      </c>
      <c r="C6071" s="9" t="s">
        <v>10444</v>
      </c>
      <c r="D6071" s="9" t="s">
        <v>10445</v>
      </c>
      <c r="E6071" s="5" t="s">
        <v>10250</v>
      </c>
      <c r="F6071" s="5">
        <v>2020</v>
      </c>
      <c r="G6071" s="6" t="s">
        <v>16</v>
      </c>
      <c r="H6071" s="6">
        <v>200</v>
      </c>
      <c r="I6071" s="6">
        <v>200</v>
      </c>
      <c r="J6071" s="6"/>
      <c r="K6071" s="5"/>
      <c r="L6071" s="10">
        <v>20201118</v>
      </c>
      <c r="M6071" s="36" t="str">
        <f t="shared" si="94"/>
        <v>19800124</v>
      </c>
    </row>
    <row r="6072" s="1" customFormat="1" spans="1:13">
      <c r="A6072" s="2">
        <v>7469</v>
      </c>
      <c r="B6072" s="5" t="s">
        <v>14402</v>
      </c>
      <c r="C6072" s="5" t="s">
        <v>14555</v>
      </c>
      <c r="D6072" s="5" t="s">
        <v>14556</v>
      </c>
      <c r="E6072" s="5">
        <v>2020</v>
      </c>
      <c r="F6072" s="5">
        <v>2020</v>
      </c>
      <c r="G6072" s="17" t="s">
        <v>16</v>
      </c>
      <c r="H6072" s="5">
        <v>200</v>
      </c>
      <c r="I6072" s="5">
        <v>200</v>
      </c>
      <c r="J6072" s="5"/>
      <c r="K6072" s="10"/>
      <c r="L6072" s="10">
        <v>20201118</v>
      </c>
      <c r="M6072" s="36" t="str">
        <f t="shared" si="94"/>
        <v>19800124</v>
      </c>
    </row>
    <row r="6073" s="1" customFormat="1" spans="1:13">
      <c r="A6073" s="2">
        <v>4718</v>
      </c>
      <c r="B6073" s="6" t="s">
        <v>9015</v>
      </c>
      <c r="C6073" s="6" t="s">
        <v>3228</v>
      </c>
      <c r="D6073" s="6" t="s">
        <v>9595</v>
      </c>
      <c r="E6073" s="6">
        <v>2020</v>
      </c>
      <c r="F6073" s="6">
        <v>2020</v>
      </c>
      <c r="G6073" s="6" t="s">
        <v>16</v>
      </c>
      <c r="H6073" s="6">
        <v>200</v>
      </c>
      <c r="I6073" s="6">
        <v>200</v>
      </c>
      <c r="J6073" s="6"/>
      <c r="K6073" s="6"/>
      <c r="L6073" s="10">
        <v>20201118</v>
      </c>
      <c r="M6073" s="36" t="str">
        <f t="shared" si="94"/>
        <v>19800127</v>
      </c>
    </row>
    <row r="6074" s="1" customFormat="1" spans="1:13">
      <c r="A6074" s="2">
        <v>7166</v>
      </c>
      <c r="B6074" s="5" t="s">
        <v>13908</v>
      </c>
      <c r="C6074" s="5" t="s">
        <v>13988</v>
      </c>
      <c r="D6074" s="5" t="s">
        <v>13989</v>
      </c>
      <c r="E6074" s="5" t="s">
        <v>15</v>
      </c>
      <c r="F6074" s="5" t="s">
        <v>15</v>
      </c>
      <c r="G6074" s="14" t="s">
        <v>16</v>
      </c>
      <c r="H6074" s="17">
        <v>200</v>
      </c>
      <c r="I6074" s="17">
        <v>200</v>
      </c>
      <c r="J6074" s="5"/>
      <c r="K6074" s="10"/>
      <c r="L6074" s="10">
        <v>20201118</v>
      </c>
      <c r="M6074" s="36" t="str">
        <f t="shared" si="94"/>
        <v>19800127</v>
      </c>
    </row>
    <row r="6075" s="1" customFormat="1" spans="1:13">
      <c r="A6075" s="2">
        <v>5945</v>
      </c>
      <c r="B6075" s="30" t="s">
        <v>11090</v>
      </c>
      <c r="C6075" s="30" t="s">
        <v>11937</v>
      </c>
      <c r="D6075" s="30" t="s">
        <v>11938</v>
      </c>
      <c r="E6075" s="5" t="s">
        <v>15</v>
      </c>
      <c r="F6075" s="5" t="s">
        <v>10250</v>
      </c>
      <c r="G6075" s="6" t="s">
        <v>16</v>
      </c>
      <c r="H6075" s="32">
        <v>200</v>
      </c>
      <c r="I6075" s="32">
        <v>200</v>
      </c>
      <c r="J6075" s="6"/>
      <c r="K6075" s="48"/>
      <c r="L6075" s="10">
        <v>20201118</v>
      </c>
      <c r="M6075" s="36" t="str">
        <f t="shared" si="94"/>
        <v>19800128</v>
      </c>
    </row>
    <row r="6076" s="1" customFormat="1" spans="1:13">
      <c r="A6076" s="2">
        <v>2698</v>
      </c>
      <c r="B6076" s="32" t="s">
        <v>5602</v>
      </c>
      <c r="C6076" s="9" t="s">
        <v>5928</v>
      </c>
      <c r="D6076" s="9" t="s">
        <v>5929</v>
      </c>
      <c r="E6076" s="32">
        <v>2020</v>
      </c>
      <c r="F6076" s="32">
        <v>2020</v>
      </c>
      <c r="G6076" s="32" t="s">
        <v>16</v>
      </c>
      <c r="H6076" s="9">
        <v>200</v>
      </c>
      <c r="I6076" s="9">
        <v>200</v>
      </c>
      <c r="J6076" s="32"/>
      <c r="K6076" s="52"/>
      <c r="L6076" s="10">
        <v>20201118</v>
      </c>
      <c r="M6076" s="36" t="str">
        <f t="shared" si="94"/>
        <v>19800201</v>
      </c>
    </row>
    <row r="6077" s="1" customFormat="1" spans="1:13">
      <c r="A6077" s="2">
        <v>273</v>
      </c>
      <c r="B6077" s="14" t="s">
        <v>327</v>
      </c>
      <c r="C6077" s="17" t="s">
        <v>705</v>
      </c>
      <c r="D6077" s="306" t="s">
        <v>706</v>
      </c>
      <c r="E6077" s="5">
        <v>2020</v>
      </c>
      <c r="F6077" s="5">
        <v>2020</v>
      </c>
      <c r="G6077" s="14" t="s">
        <v>16</v>
      </c>
      <c r="H6077" s="17">
        <v>200</v>
      </c>
      <c r="I6077" s="17">
        <v>200</v>
      </c>
      <c r="J6077" s="17"/>
      <c r="K6077" s="10"/>
      <c r="L6077" s="2" t="s">
        <v>330</v>
      </c>
      <c r="M6077" s="36" t="str">
        <f t="shared" si="94"/>
        <v>19800203</v>
      </c>
    </row>
    <row r="6078" s="1" customFormat="1" spans="1:13">
      <c r="A6078" s="2">
        <v>4997</v>
      </c>
      <c r="B6078" s="6" t="s">
        <v>9954</v>
      </c>
      <c r="C6078" s="60" t="s">
        <v>10132</v>
      </c>
      <c r="D6078" s="60" t="s">
        <v>10133</v>
      </c>
      <c r="E6078" s="5" t="s">
        <v>15</v>
      </c>
      <c r="F6078" s="5" t="s">
        <v>15</v>
      </c>
      <c r="G6078" s="14" t="s">
        <v>16</v>
      </c>
      <c r="H6078" s="6">
        <v>200</v>
      </c>
      <c r="I6078" s="6">
        <v>200</v>
      </c>
      <c r="J6078" s="6"/>
      <c r="K6078" s="6"/>
      <c r="L6078" s="10">
        <v>20201118</v>
      </c>
      <c r="M6078" s="36" t="str">
        <f t="shared" si="94"/>
        <v>19800203</v>
      </c>
    </row>
    <row r="6079" s="1" customFormat="1" ht="14.25" spans="1:13">
      <c r="A6079" s="2">
        <v>2831</v>
      </c>
      <c r="B6079" s="6" t="s">
        <v>6075</v>
      </c>
      <c r="C6079" s="25" t="s">
        <v>6189</v>
      </c>
      <c r="D6079" s="26" t="s">
        <v>6190</v>
      </c>
      <c r="E6079" s="5" t="s">
        <v>15</v>
      </c>
      <c r="F6079" s="5">
        <v>2020</v>
      </c>
      <c r="G6079" s="6" t="s">
        <v>16</v>
      </c>
      <c r="H6079" s="6">
        <v>200</v>
      </c>
      <c r="I6079" s="6">
        <v>200</v>
      </c>
      <c r="J6079" s="6"/>
      <c r="K6079" s="10"/>
      <c r="L6079" s="10">
        <v>20201118</v>
      </c>
      <c r="M6079" s="36" t="str">
        <f t="shared" si="94"/>
        <v>19800204</v>
      </c>
    </row>
    <row r="6080" s="1" customFormat="1" spans="1:13">
      <c r="A6080" s="2">
        <v>4009</v>
      </c>
      <c r="B6080" s="5" t="s">
        <v>7412</v>
      </c>
      <c r="C6080" s="5" t="s">
        <v>8238</v>
      </c>
      <c r="D6080" s="5" t="s">
        <v>8239</v>
      </c>
      <c r="E6080" s="6">
        <v>2020</v>
      </c>
      <c r="F6080" s="6">
        <v>2020</v>
      </c>
      <c r="G6080" s="5" t="s">
        <v>3359</v>
      </c>
      <c r="H6080" s="5">
        <v>200</v>
      </c>
      <c r="I6080" s="5">
        <v>200</v>
      </c>
      <c r="J6080" s="5"/>
      <c r="K6080" s="5"/>
      <c r="L6080" s="10">
        <v>20201118</v>
      </c>
      <c r="M6080" s="36" t="str">
        <f t="shared" si="94"/>
        <v>19800204</v>
      </c>
    </row>
    <row r="6081" s="1" customFormat="1" spans="1:13">
      <c r="A6081" s="2">
        <v>7472</v>
      </c>
      <c r="B6081" s="5" t="s">
        <v>14402</v>
      </c>
      <c r="C6081" s="5" t="s">
        <v>14561</v>
      </c>
      <c r="D6081" s="5" t="s">
        <v>14562</v>
      </c>
      <c r="E6081" s="5">
        <v>2020</v>
      </c>
      <c r="F6081" s="5">
        <v>2020</v>
      </c>
      <c r="G6081" s="17" t="s">
        <v>16</v>
      </c>
      <c r="H6081" s="5">
        <v>500</v>
      </c>
      <c r="I6081" s="5">
        <v>500</v>
      </c>
      <c r="J6081" s="5"/>
      <c r="K6081" s="10"/>
      <c r="L6081" s="10">
        <v>20201118</v>
      </c>
      <c r="M6081" s="36" t="str">
        <f t="shared" si="94"/>
        <v>19800204</v>
      </c>
    </row>
    <row r="6082" s="1" customFormat="1" spans="1:13">
      <c r="A6082" s="2">
        <v>5160</v>
      </c>
      <c r="B6082" s="6" t="s">
        <v>10242</v>
      </c>
      <c r="C6082" s="9" t="s">
        <v>4351</v>
      </c>
      <c r="D6082" s="9" t="s">
        <v>10446</v>
      </c>
      <c r="E6082" s="5" t="s">
        <v>10250</v>
      </c>
      <c r="F6082" s="5">
        <v>2020</v>
      </c>
      <c r="G6082" s="6" t="s">
        <v>16</v>
      </c>
      <c r="H6082" s="6">
        <v>200</v>
      </c>
      <c r="I6082" s="6">
        <v>200</v>
      </c>
      <c r="J6082" s="6"/>
      <c r="K6082" s="5"/>
      <c r="L6082" s="10">
        <v>20201118</v>
      </c>
      <c r="M6082" s="36" t="str">
        <f t="shared" ref="M6082:M6145" si="95">MID(D6082,7,8)</f>
        <v>19800206</v>
      </c>
    </row>
    <row r="6083" s="1" customFormat="1" ht="14.25" spans="1:13">
      <c r="A6083" s="2">
        <v>5405</v>
      </c>
      <c r="B6083" s="33" t="s">
        <v>10535</v>
      </c>
      <c r="C6083" s="34" t="s">
        <v>10915</v>
      </c>
      <c r="D6083" s="34" t="s">
        <v>10916</v>
      </c>
      <c r="E6083" s="35">
        <v>2020</v>
      </c>
      <c r="F6083" s="35">
        <v>2020</v>
      </c>
      <c r="G6083" s="35" t="s">
        <v>16</v>
      </c>
      <c r="H6083" s="34">
        <v>200</v>
      </c>
      <c r="I6083" s="34">
        <v>200</v>
      </c>
      <c r="J6083" s="49"/>
      <c r="K6083" s="10"/>
      <c r="L6083" s="10">
        <v>20201118</v>
      </c>
      <c r="M6083" s="36" t="str">
        <f t="shared" si="95"/>
        <v>19800206</v>
      </c>
    </row>
    <row r="6084" s="1" customFormat="1" spans="1:13">
      <c r="A6084" s="2">
        <v>2325</v>
      </c>
      <c r="B6084" s="9" t="s">
        <v>4837</v>
      </c>
      <c r="C6084" s="9" t="s">
        <v>5190</v>
      </c>
      <c r="D6084" s="9" t="s">
        <v>5191</v>
      </c>
      <c r="E6084" s="6" t="s">
        <v>15</v>
      </c>
      <c r="F6084" s="6">
        <v>2020</v>
      </c>
      <c r="G6084" s="9" t="s">
        <v>2480</v>
      </c>
      <c r="H6084" s="9">
        <v>200</v>
      </c>
      <c r="I6084" s="9">
        <v>200</v>
      </c>
      <c r="J6084" s="6"/>
      <c r="K6084" s="10"/>
      <c r="L6084" s="10">
        <v>20201118</v>
      </c>
      <c r="M6084" s="36" t="str">
        <f t="shared" si="95"/>
        <v>19800208</v>
      </c>
    </row>
    <row r="6085" s="1" customFormat="1" ht="14.25" spans="1:13">
      <c r="A6085" s="2">
        <v>2904</v>
      </c>
      <c r="B6085" s="6" t="s">
        <v>6075</v>
      </c>
      <c r="C6085" s="25" t="s">
        <v>6335</v>
      </c>
      <c r="D6085" s="26" t="s">
        <v>6336</v>
      </c>
      <c r="E6085" s="5" t="s">
        <v>15</v>
      </c>
      <c r="F6085" s="5">
        <v>2020</v>
      </c>
      <c r="G6085" s="6" t="s">
        <v>16</v>
      </c>
      <c r="H6085" s="6">
        <v>200</v>
      </c>
      <c r="I6085" s="6">
        <v>200</v>
      </c>
      <c r="J6085" s="6"/>
      <c r="K6085" s="10"/>
      <c r="L6085" s="10">
        <v>20201118</v>
      </c>
      <c r="M6085" s="36" t="str">
        <f t="shared" si="95"/>
        <v>19800208</v>
      </c>
    </row>
    <row r="6086" s="1" customFormat="1" spans="1:13">
      <c r="A6086" s="2">
        <v>5865</v>
      </c>
      <c r="B6086" s="30" t="s">
        <v>11090</v>
      </c>
      <c r="C6086" s="30" t="s">
        <v>11788</v>
      </c>
      <c r="D6086" s="30" t="s">
        <v>11789</v>
      </c>
      <c r="E6086" s="5" t="s">
        <v>15</v>
      </c>
      <c r="F6086" s="5" t="s">
        <v>10250</v>
      </c>
      <c r="G6086" s="6" t="s">
        <v>16</v>
      </c>
      <c r="H6086" s="32">
        <v>200</v>
      </c>
      <c r="I6086" s="32">
        <v>200</v>
      </c>
      <c r="J6086" s="6"/>
      <c r="K6086" s="48"/>
      <c r="L6086" s="10">
        <v>20201118</v>
      </c>
      <c r="M6086" s="36" t="str">
        <f t="shared" si="95"/>
        <v>19800209</v>
      </c>
    </row>
    <row r="6087" s="1" customFormat="1" spans="1:13">
      <c r="A6087" s="2">
        <v>6730</v>
      </c>
      <c r="B6087" s="5" t="s">
        <v>13027</v>
      </c>
      <c r="C6087" s="15" t="s">
        <v>13429</v>
      </c>
      <c r="D6087" s="15" t="s">
        <v>13430</v>
      </c>
      <c r="E6087" s="5">
        <v>2020</v>
      </c>
      <c r="F6087" s="5">
        <v>2020</v>
      </c>
      <c r="G6087" s="14" t="s">
        <v>16</v>
      </c>
      <c r="H6087" s="15">
        <v>200</v>
      </c>
      <c r="I6087" s="15">
        <v>200</v>
      </c>
      <c r="J6087" s="5"/>
      <c r="K6087" s="10"/>
      <c r="L6087" s="10">
        <v>20201118</v>
      </c>
      <c r="M6087" s="36" t="str">
        <f t="shared" si="95"/>
        <v>19800213</v>
      </c>
    </row>
    <row r="6088" s="1" customFormat="1" spans="1:13">
      <c r="A6088" s="2">
        <v>8173</v>
      </c>
      <c r="B6088" s="5" t="s">
        <v>15406</v>
      </c>
      <c r="C6088" s="6" t="s">
        <v>15534</v>
      </c>
      <c r="D6088" s="6" t="s">
        <v>15535</v>
      </c>
      <c r="E6088" s="5" t="s">
        <v>15</v>
      </c>
      <c r="F6088" s="5">
        <v>2020</v>
      </c>
      <c r="G6088" s="14" t="s">
        <v>16</v>
      </c>
      <c r="H6088" s="6">
        <v>200</v>
      </c>
      <c r="I6088" s="6">
        <v>200</v>
      </c>
      <c r="J6088" s="5"/>
      <c r="K6088" s="10"/>
      <c r="L6088" s="10">
        <v>20201118</v>
      </c>
      <c r="M6088" s="36" t="str">
        <f t="shared" si="95"/>
        <v>19800214</v>
      </c>
    </row>
    <row r="6089" s="1" customFormat="1" spans="1:13">
      <c r="A6089" s="2">
        <v>2489</v>
      </c>
      <c r="B6089" s="5" t="s">
        <v>5328</v>
      </c>
      <c r="C6089" s="16" t="s">
        <v>5513</v>
      </c>
      <c r="D6089" s="16" t="s">
        <v>5514</v>
      </c>
      <c r="E6089" s="5" t="s">
        <v>15</v>
      </c>
      <c r="F6089" s="5" t="s">
        <v>15</v>
      </c>
      <c r="G6089" s="14" t="s">
        <v>16</v>
      </c>
      <c r="H6089" s="6">
        <v>200</v>
      </c>
      <c r="I6089" s="6">
        <v>200</v>
      </c>
      <c r="J6089" s="5"/>
      <c r="K6089" s="5"/>
      <c r="L6089" s="10">
        <v>20201118</v>
      </c>
      <c r="M6089" s="36" t="str">
        <f t="shared" si="95"/>
        <v>19800215</v>
      </c>
    </row>
    <row r="6090" s="1" customFormat="1" spans="1:13">
      <c r="A6090" s="2">
        <v>7284</v>
      </c>
      <c r="B6090" s="5" t="s">
        <v>13908</v>
      </c>
      <c r="C6090" s="5" t="s">
        <v>14207</v>
      </c>
      <c r="D6090" s="5" t="s">
        <v>14208</v>
      </c>
      <c r="E6090" s="5" t="s">
        <v>15</v>
      </c>
      <c r="F6090" s="5" t="s">
        <v>15</v>
      </c>
      <c r="G6090" s="14" t="s">
        <v>16</v>
      </c>
      <c r="H6090" s="17">
        <v>200</v>
      </c>
      <c r="I6090" s="17">
        <v>200</v>
      </c>
      <c r="J6090" s="5"/>
      <c r="K6090" s="10"/>
      <c r="L6090" s="10">
        <v>20201118</v>
      </c>
      <c r="M6090" s="36" t="str">
        <f t="shared" si="95"/>
        <v>19800217</v>
      </c>
    </row>
    <row r="6091" s="1" customFormat="1" spans="1:13">
      <c r="A6091" s="2">
        <v>327</v>
      </c>
      <c r="B6091" s="14" t="s">
        <v>327</v>
      </c>
      <c r="C6091" s="17" t="s">
        <v>869</v>
      </c>
      <c r="D6091" s="17" t="s">
        <v>870</v>
      </c>
      <c r="E6091" s="5">
        <v>2020</v>
      </c>
      <c r="F6091" s="5">
        <v>2020</v>
      </c>
      <c r="G6091" s="14" t="s">
        <v>16</v>
      </c>
      <c r="H6091" s="17">
        <v>200</v>
      </c>
      <c r="I6091" s="17">
        <v>200</v>
      </c>
      <c r="J6091" s="17"/>
      <c r="K6091" s="10"/>
      <c r="L6091" s="2" t="s">
        <v>330</v>
      </c>
      <c r="M6091" s="36" t="str">
        <f t="shared" si="95"/>
        <v>19800219</v>
      </c>
    </row>
    <row r="6092" s="1" customFormat="1" spans="1:13">
      <c r="A6092" s="2">
        <v>560</v>
      </c>
      <c r="B6092" s="29" t="s">
        <v>1040</v>
      </c>
      <c r="C6092" s="29" t="s">
        <v>1397</v>
      </c>
      <c r="D6092" s="29" t="s">
        <v>1398</v>
      </c>
      <c r="E6092" s="30">
        <v>2020</v>
      </c>
      <c r="F6092" s="30">
        <v>2020</v>
      </c>
      <c r="G6092" s="29" t="s">
        <v>16</v>
      </c>
      <c r="H6092" s="29">
        <v>200</v>
      </c>
      <c r="I6092" s="29">
        <v>200</v>
      </c>
      <c r="J6092" s="29"/>
      <c r="K6092" s="47"/>
      <c r="L6092" s="2" t="s">
        <v>330</v>
      </c>
      <c r="M6092" s="36" t="str">
        <f t="shared" si="95"/>
        <v>19800220</v>
      </c>
    </row>
    <row r="6093" s="1" customFormat="1" spans="1:13">
      <c r="A6093" s="2">
        <v>4596</v>
      </c>
      <c r="B6093" s="6" t="s">
        <v>9015</v>
      </c>
      <c r="C6093" s="6" t="s">
        <v>1273</v>
      </c>
      <c r="D6093" s="6" t="s">
        <v>9365</v>
      </c>
      <c r="E6093" s="6">
        <v>2020</v>
      </c>
      <c r="F6093" s="6">
        <v>2020</v>
      </c>
      <c r="G6093" s="6" t="s">
        <v>16</v>
      </c>
      <c r="H6093" s="6">
        <v>200</v>
      </c>
      <c r="I6093" s="6">
        <v>200</v>
      </c>
      <c r="J6093" s="6"/>
      <c r="K6093" s="6"/>
      <c r="L6093" s="10">
        <v>20201118</v>
      </c>
      <c r="M6093" s="36" t="str">
        <f t="shared" si="95"/>
        <v>19800221</v>
      </c>
    </row>
    <row r="6094" s="1" customFormat="1" spans="1:13">
      <c r="A6094" s="2">
        <v>572</v>
      </c>
      <c r="B6094" s="29" t="s">
        <v>1040</v>
      </c>
      <c r="C6094" s="29" t="s">
        <v>1420</v>
      </c>
      <c r="D6094" s="29" t="s">
        <v>1421</v>
      </c>
      <c r="E6094" s="30">
        <v>2020</v>
      </c>
      <c r="F6094" s="30">
        <v>2020</v>
      </c>
      <c r="G6094" s="29" t="s">
        <v>16</v>
      </c>
      <c r="H6094" s="29">
        <v>200</v>
      </c>
      <c r="I6094" s="29">
        <v>200</v>
      </c>
      <c r="J6094" s="29"/>
      <c r="K6094" s="47"/>
      <c r="L6094" s="2" t="s">
        <v>330</v>
      </c>
      <c r="M6094" s="36" t="str">
        <f t="shared" si="95"/>
        <v>19800224</v>
      </c>
    </row>
    <row r="6095" s="1" customFormat="1" spans="1:13">
      <c r="A6095" s="2">
        <v>1719</v>
      </c>
      <c r="B6095" s="5" t="s">
        <v>3381</v>
      </c>
      <c r="C6095" s="9" t="s">
        <v>3998</v>
      </c>
      <c r="D6095" s="9" t="s">
        <v>3999</v>
      </c>
      <c r="E6095" s="5">
        <v>2020</v>
      </c>
      <c r="F6095" s="5">
        <v>2020</v>
      </c>
      <c r="G6095" s="14" t="s">
        <v>16</v>
      </c>
      <c r="H6095" s="6">
        <v>200</v>
      </c>
      <c r="I6095" s="6">
        <v>200</v>
      </c>
      <c r="J6095" s="5"/>
      <c r="K6095" s="13"/>
      <c r="L6095" s="10">
        <v>20201118</v>
      </c>
      <c r="M6095" s="36" t="str">
        <f t="shared" si="95"/>
        <v>19800224</v>
      </c>
    </row>
    <row r="6096" s="1" customFormat="1" spans="1:13">
      <c r="A6096" s="2">
        <v>7899</v>
      </c>
      <c r="B6096" s="5" t="s">
        <v>15086</v>
      </c>
      <c r="C6096" s="6" t="s">
        <v>15174</v>
      </c>
      <c r="D6096" s="6" t="str">
        <f>"152326198002246903"</f>
        <v>152326198002246903</v>
      </c>
      <c r="E6096" s="5" t="s">
        <v>15</v>
      </c>
      <c r="F6096" s="5">
        <v>2020</v>
      </c>
      <c r="G6096" s="5" t="s">
        <v>16</v>
      </c>
      <c r="H6096" s="5">
        <v>200</v>
      </c>
      <c r="I6096" s="5">
        <v>200</v>
      </c>
      <c r="J6096" s="5"/>
      <c r="K6096" s="5"/>
      <c r="L6096" s="10">
        <v>20201118</v>
      </c>
      <c r="M6096" s="36" t="str">
        <f t="shared" si="95"/>
        <v>19800224</v>
      </c>
    </row>
    <row r="6097" s="1" customFormat="1" spans="1:13">
      <c r="A6097" s="2">
        <v>5922</v>
      </c>
      <c r="B6097" s="30" t="s">
        <v>11090</v>
      </c>
      <c r="C6097" s="30" t="s">
        <v>11893</v>
      </c>
      <c r="D6097" s="30" t="s">
        <v>11894</v>
      </c>
      <c r="E6097" s="5" t="s">
        <v>15</v>
      </c>
      <c r="F6097" s="5" t="s">
        <v>10250</v>
      </c>
      <c r="G6097" s="6" t="s">
        <v>16</v>
      </c>
      <c r="H6097" s="32">
        <v>200</v>
      </c>
      <c r="I6097" s="32">
        <v>200</v>
      </c>
      <c r="J6097" s="6"/>
      <c r="K6097" s="48"/>
      <c r="L6097" s="10">
        <v>20201118</v>
      </c>
      <c r="M6097" s="36" t="str">
        <f t="shared" si="95"/>
        <v>19800226</v>
      </c>
    </row>
    <row r="6098" s="1" customFormat="1" spans="1:13">
      <c r="A6098" s="2">
        <v>1224</v>
      </c>
      <c r="B6098" s="5" t="s">
        <v>2469</v>
      </c>
      <c r="C6098" s="9" t="s">
        <v>3030</v>
      </c>
      <c r="D6098" s="9" t="s">
        <v>3031</v>
      </c>
      <c r="E6098" s="5">
        <v>2020</v>
      </c>
      <c r="F6098" s="5">
        <v>2020</v>
      </c>
      <c r="G6098" s="9" t="s">
        <v>2480</v>
      </c>
      <c r="H6098" s="9">
        <v>200</v>
      </c>
      <c r="I6098" s="9">
        <v>200</v>
      </c>
      <c r="J6098" s="5"/>
      <c r="K6098" s="5"/>
      <c r="L6098" s="10">
        <v>20201118</v>
      </c>
      <c r="M6098" s="36" t="str">
        <f t="shared" si="95"/>
        <v>19800227</v>
      </c>
    </row>
    <row r="6099" s="1" customFormat="1" spans="1:13">
      <c r="A6099" s="2">
        <v>6829</v>
      </c>
      <c r="B6099" s="5" t="s">
        <v>13533</v>
      </c>
      <c r="C6099" s="32" t="s">
        <v>13466</v>
      </c>
      <c r="D6099" s="32" t="s">
        <v>13581</v>
      </c>
      <c r="E6099" s="5">
        <v>2020</v>
      </c>
      <c r="F6099" s="5">
        <v>2020</v>
      </c>
      <c r="G6099" s="9" t="s">
        <v>2480</v>
      </c>
      <c r="H6099" s="32">
        <v>200</v>
      </c>
      <c r="I6099" s="32">
        <v>200</v>
      </c>
      <c r="J6099" s="32"/>
      <c r="K6099" s="10"/>
      <c r="L6099" s="10">
        <v>20201118</v>
      </c>
      <c r="M6099" s="36" t="str">
        <f t="shared" si="95"/>
        <v>19800227</v>
      </c>
    </row>
    <row r="6100" s="1" customFormat="1" spans="1:13">
      <c r="A6100" s="2">
        <v>7895</v>
      </c>
      <c r="B6100" s="5" t="s">
        <v>15086</v>
      </c>
      <c r="C6100" s="6" t="s">
        <v>7919</v>
      </c>
      <c r="D6100" s="6" t="s">
        <v>15169</v>
      </c>
      <c r="E6100" s="5" t="s">
        <v>15</v>
      </c>
      <c r="F6100" s="5">
        <v>2020</v>
      </c>
      <c r="G6100" s="5" t="s">
        <v>16</v>
      </c>
      <c r="H6100" s="5">
        <v>200</v>
      </c>
      <c r="I6100" s="5">
        <v>200</v>
      </c>
      <c r="J6100" s="5"/>
      <c r="K6100" s="5"/>
      <c r="L6100" s="10">
        <v>20201118</v>
      </c>
      <c r="M6100" s="36" t="str">
        <f t="shared" si="95"/>
        <v>19800301</v>
      </c>
    </row>
    <row r="6101" s="1" customFormat="1" spans="1:13">
      <c r="A6101" s="2">
        <v>1720</v>
      </c>
      <c r="B6101" s="5" t="s">
        <v>3381</v>
      </c>
      <c r="C6101" s="9" t="s">
        <v>4000</v>
      </c>
      <c r="D6101" s="9" t="s">
        <v>4001</v>
      </c>
      <c r="E6101" s="5">
        <v>2020</v>
      </c>
      <c r="F6101" s="5">
        <v>2020</v>
      </c>
      <c r="G6101" s="14" t="s">
        <v>16</v>
      </c>
      <c r="H6101" s="6">
        <v>3000</v>
      </c>
      <c r="I6101" s="6">
        <v>3000</v>
      </c>
      <c r="J6101" s="5"/>
      <c r="K6101" s="13"/>
      <c r="L6101" s="10">
        <v>20201118</v>
      </c>
      <c r="M6101" s="36" t="str">
        <f t="shared" si="95"/>
        <v>19800302</v>
      </c>
    </row>
    <row r="6102" s="1" customFormat="1" spans="1:13">
      <c r="A6102" s="2">
        <v>4766</v>
      </c>
      <c r="B6102" s="6" t="s">
        <v>9015</v>
      </c>
      <c r="C6102" s="6" t="s">
        <v>9686</v>
      </c>
      <c r="D6102" s="6" t="s">
        <v>9687</v>
      </c>
      <c r="E6102" s="6">
        <v>2020</v>
      </c>
      <c r="F6102" s="6">
        <v>2020</v>
      </c>
      <c r="G6102" s="6" t="s">
        <v>16</v>
      </c>
      <c r="H6102" s="6">
        <v>200</v>
      </c>
      <c r="I6102" s="6">
        <v>200</v>
      </c>
      <c r="J6102" s="6"/>
      <c r="K6102" s="6"/>
      <c r="L6102" s="10">
        <v>20201118</v>
      </c>
      <c r="M6102" s="36" t="str">
        <f t="shared" si="95"/>
        <v>19800303</v>
      </c>
    </row>
    <row r="6103" s="1" customFormat="1" spans="1:13">
      <c r="A6103" s="2">
        <v>6290</v>
      </c>
      <c r="B6103" s="5" t="s">
        <v>12263</v>
      </c>
      <c r="C6103" s="5" t="s">
        <v>12600</v>
      </c>
      <c r="D6103" s="5" t="s">
        <v>12601</v>
      </c>
      <c r="E6103" s="5" t="s">
        <v>10250</v>
      </c>
      <c r="F6103" s="5">
        <v>2020</v>
      </c>
      <c r="G6103" s="17" t="s">
        <v>3359</v>
      </c>
      <c r="H6103" s="5">
        <v>200</v>
      </c>
      <c r="I6103" s="5">
        <v>200</v>
      </c>
      <c r="J6103" s="5"/>
      <c r="K6103" s="5"/>
      <c r="L6103" s="10">
        <v>20201118</v>
      </c>
      <c r="M6103" s="36" t="str">
        <f t="shared" si="95"/>
        <v>19800305</v>
      </c>
    </row>
    <row r="6104" s="1" customFormat="1" spans="1:13">
      <c r="A6104" s="2">
        <v>4347</v>
      </c>
      <c r="B6104" s="9" t="s">
        <v>8515</v>
      </c>
      <c r="C6104" s="9" t="s">
        <v>8885</v>
      </c>
      <c r="D6104" s="9" t="s">
        <v>8886</v>
      </c>
      <c r="E6104" s="5" t="s">
        <v>15</v>
      </c>
      <c r="F6104" s="5">
        <v>2020</v>
      </c>
      <c r="G6104" s="9" t="s">
        <v>2480</v>
      </c>
      <c r="H6104" s="9">
        <v>1000</v>
      </c>
      <c r="I6104" s="9">
        <v>1000</v>
      </c>
      <c r="J6104" s="9"/>
      <c r="K6104" s="9"/>
      <c r="L6104" s="10">
        <v>20201118</v>
      </c>
      <c r="M6104" s="36" t="str">
        <f t="shared" si="95"/>
        <v>19800307</v>
      </c>
    </row>
    <row r="6105" s="1" customFormat="1" spans="1:13">
      <c r="A6105" s="2">
        <v>35</v>
      </c>
      <c r="B6105" s="31" t="s">
        <v>12</v>
      </c>
      <c r="C6105" s="17" t="s">
        <v>84</v>
      </c>
      <c r="D6105" s="17" t="s">
        <v>85</v>
      </c>
      <c r="E6105" s="3" t="s">
        <v>15</v>
      </c>
      <c r="F6105" s="3" t="s">
        <v>15</v>
      </c>
      <c r="G6105" s="2" t="s">
        <v>16</v>
      </c>
      <c r="H6105" s="17">
        <v>500</v>
      </c>
      <c r="I6105" s="17">
        <v>500</v>
      </c>
      <c r="J6105" s="31"/>
      <c r="K6105" s="17"/>
      <c r="L6105" s="10">
        <v>20201118</v>
      </c>
      <c r="M6105" s="36" t="str">
        <f t="shared" si="95"/>
        <v>19800309</v>
      </c>
    </row>
    <row r="6106" s="1" customFormat="1" spans="1:13">
      <c r="A6106" s="2">
        <v>1225</v>
      </c>
      <c r="B6106" s="5" t="s">
        <v>2469</v>
      </c>
      <c r="C6106" s="9" t="s">
        <v>3032</v>
      </c>
      <c r="D6106" s="9" t="s">
        <v>3033</v>
      </c>
      <c r="E6106" s="5">
        <v>2020</v>
      </c>
      <c r="F6106" s="5">
        <v>2020</v>
      </c>
      <c r="G6106" s="9" t="s">
        <v>2480</v>
      </c>
      <c r="H6106" s="9">
        <v>200</v>
      </c>
      <c r="I6106" s="9">
        <v>200</v>
      </c>
      <c r="J6106" s="5"/>
      <c r="K6106" s="5"/>
      <c r="L6106" s="10">
        <v>20201118</v>
      </c>
      <c r="M6106" s="36" t="str">
        <f t="shared" si="95"/>
        <v>19800309</v>
      </c>
    </row>
    <row r="6107" s="1" customFormat="1" ht="14.25" spans="1:13">
      <c r="A6107" s="2">
        <v>5406</v>
      </c>
      <c r="B6107" s="33" t="s">
        <v>10535</v>
      </c>
      <c r="C6107" s="34" t="s">
        <v>10917</v>
      </c>
      <c r="D6107" s="34" t="s">
        <v>10918</v>
      </c>
      <c r="E6107" s="35">
        <v>2020</v>
      </c>
      <c r="F6107" s="35">
        <v>2020</v>
      </c>
      <c r="G6107" s="35" t="s">
        <v>16</v>
      </c>
      <c r="H6107" s="34">
        <v>500</v>
      </c>
      <c r="I6107" s="34">
        <v>500</v>
      </c>
      <c r="J6107" s="49"/>
      <c r="K6107" s="10"/>
      <c r="L6107" s="10">
        <v>20201118</v>
      </c>
      <c r="M6107" s="36" t="str">
        <f t="shared" si="95"/>
        <v>19800309</v>
      </c>
    </row>
    <row r="6108" s="1" customFormat="1" ht="14.25" spans="1:13">
      <c r="A6108" s="2">
        <v>7665</v>
      </c>
      <c r="B6108" s="5" t="s">
        <v>14875</v>
      </c>
      <c r="C6108" s="51" t="s">
        <v>14907</v>
      </c>
      <c r="D6108" s="24" t="str">
        <f>"152326198003107112"</f>
        <v>152326198003107112</v>
      </c>
      <c r="E6108" s="6" t="s">
        <v>15</v>
      </c>
      <c r="F6108" s="6">
        <v>2020</v>
      </c>
      <c r="G6108" s="24" t="s">
        <v>14877</v>
      </c>
      <c r="H6108" s="6">
        <v>200</v>
      </c>
      <c r="I6108" s="6">
        <v>200</v>
      </c>
      <c r="J6108" s="6"/>
      <c r="K6108" s="10"/>
      <c r="L6108" s="10">
        <v>20201118</v>
      </c>
      <c r="M6108" s="36" t="str">
        <f t="shared" si="95"/>
        <v>19800310</v>
      </c>
    </row>
    <row r="6109" s="1" customFormat="1" spans="1:13">
      <c r="A6109" s="2">
        <v>7898</v>
      </c>
      <c r="B6109" s="5" t="s">
        <v>15086</v>
      </c>
      <c r="C6109" s="6" t="s">
        <v>15173</v>
      </c>
      <c r="D6109" s="6" t="str">
        <f>"152324198003101463"</f>
        <v>152324198003101463</v>
      </c>
      <c r="E6109" s="5" t="s">
        <v>15</v>
      </c>
      <c r="F6109" s="5">
        <v>2020</v>
      </c>
      <c r="G6109" s="5" t="s">
        <v>16</v>
      </c>
      <c r="H6109" s="5">
        <v>200</v>
      </c>
      <c r="I6109" s="5">
        <v>200</v>
      </c>
      <c r="J6109" s="5"/>
      <c r="K6109" s="5"/>
      <c r="L6109" s="10">
        <v>20201118</v>
      </c>
      <c r="M6109" s="36" t="str">
        <f t="shared" si="95"/>
        <v>19800310</v>
      </c>
    </row>
    <row r="6110" s="1" customFormat="1" spans="1:13">
      <c r="A6110" s="2">
        <v>2490</v>
      </c>
      <c r="B6110" s="5" t="s">
        <v>5328</v>
      </c>
      <c r="C6110" s="16" t="s">
        <v>5515</v>
      </c>
      <c r="D6110" s="16" t="s">
        <v>5516</v>
      </c>
      <c r="E6110" s="5" t="s">
        <v>15</v>
      </c>
      <c r="F6110" s="5" t="s">
        <v>15</v>
      </c>
      <c r="G6110" s="14" t="s">
        <v>16</v>
      </c>
      <c r="H6110" s="6">
        <v>200</v>
      </c>
      <c r="I6110" s="6">
        <v>200</v>
      </c>
      <c r="J6110" s="5"/>
      <c r="K6110" s="5"/>
      <c r="L6110" s="10">
        <v>20201118</v>
      </c>
      <c r="M6110" s="36" t="str">
        <f t="shared" si="95"/>
        <v>19800311</v>
      </c>
    </row>
    <row r="6111" s="1" customFormat="1" ht="14.25" spans="1:13">
      <c r="A6111" s="2">
        <v>5407</v>
      </c>
      <c r="B6111" s="33" t="s">
        <v>10535</v>
      </c>
      <c r="C6111" s="34" t="s">
        <v>10919</v>
      </c>
      <c r="D6111" s="34" t="s">
        <v>10920</v>
      </c>
      <c r="E6111" s="35">
        <v>2020</v>
      </c>
      <c r="F6111" s="35">
        <v>2020</v>
      </c>
      <c r="G6111" s="35" t="s">
        <v>16</v>
      </c>
      <c r="H6111" s="34">
        <v>200</v>
      </c>
      <c r="I6111" s="34">
        <v>200</v>
      </c>
      <c r="J6111" s="49"/>
      <c r="K6111" s="10"/>
      <c r="L6111" s="10">
        <v>20201118</v>
      </c>
      <c r="M6111" s="36" t="str">
        <f t="shared" si="95"/>
        <v>19800312</v>
      </c>
    </row>
    <row r="6112" s="1" customFormat="1" spans="1:13">
      <c r="A6112" s="2">
        <v>4010</v>
      </c>
      <c r="B6112" s="5" t="s">
        <v>7412</v>
      </c>
      <c r="C6112" s="5" t="s">
        <v>8240</v>
      </c>
      <c r="D6112" s="5" t="s">
        <v>8241</v>
      </c>
      <c r="E6112" s="6">
        <v>2020</v>
      </c>
      <c r="F6112" s="6">
        <v>2020</v>
      </c>
      <c r="G6112" s="5" t="s">
        <v>3359</v>
      </c>
      <c r="H6112" s="5">
        <v>200</v>
      </c>
      <c r="I6112" s="5">
        <v>200</v>
      </c>
      <c r="J6112" s="5"/>
      <c r="K6112" s="5"/>
      <c r="L6112" s="10">
        <v>20201118</v>
      </c>
      <c r="M6112" s="36" t="str">
        <f t="shared" si="95"/>
        <v>19800313</v>
      </c>
    </row>
    <row r="6113" s="1" customFormat="1" spans="1:13">
      <c r="A6113" s="2">
        <v>4011</v>
      </c>
      <c r="B6113" s="5" t="s">
        <v>7412</v>
      </c>
      <c r="C6113" s="5" t="s">
        <v>4343</v>
      </c>
      <c r="D6113" s="5" t="s">
        <v>8242</v>
      </c>
      <c r="E6113" s="6">
        <v>2020</v>
      </c>
      <c r="F6113" s="6">
        <v>2020</v>
      </c>
      <c r="G6113" s="5" t="s">
        <v>3359</v>
      </c>
      <c r="H6113" s="5">
        <v>200</v>
      </c>
      <c r="I6113" s="5">
        <v>200</v>
      </c>
      <c r="J6113" s="5"/>
      <c r="K6113" s="5"/>
      <c r="L6113" s="10">
        <v>20201118</v>
      </c>
      <c r="M6113" s="36" t="str">
        <f t="shared" si="95"/>
        <v>19800315</v>
      </c>
    </row>
    <row r="6114" s="1" customFormat="1" spans="1:13">
      <c r="A6114" s="2">
        <v>370</v>
      </c>
      <c r="B6114" s="14" t="s">
        <v>327</v>
      </c>
      <c r="C6114" s="17" t="s">
        <v>997</v>
      </c>
      <c r="D6114" s="23" t="s">
        <v>998</v>
      </c>
      <c r="E6114" s="5">
        <v>2020</v>
      </c>
      <c r="F6114" s="5">
        <v>2020</v>
      </c>
      <c r="G6114" s="14" t="s">
        <v>16</v>
      </c>
      <c r="H6114" s="17">
        <v>200</v>
      </c>
      <c r="I6114" s="17">
        <v>200</v>
      </c>
      <c r="J6114" s="17"/>
      <c r="K6114" s="10"/>
      <c r="L6114" s="14" t="s">
        <v>330</v>
      </c>
      <c r="M6114" s="36" t="str">
        <f t="shared" si="95"/>
        <v>19800316</v>
      </c>
    </row>
    <row r="6115" s="1" customFormat="1" ht="14.25" spans="1:13">
      <c r="A6115" s="2">
        <v>5408</v>
      </c>
      <c r="B6115" s="33" t="s">
        <v>10535</v>
      </c>
      <c r="C6115" s="34" t="s">
        <v>10921</v>
      </c>
      <c r="D6115" s="34" t="s">
        <v>10922</v>
      </c>
      <c r="E6115" s="35">
        <v>2020</v>
      </c>
      <c r="F6115" s="35">
        <v>2020</v>
      </c>
      <c r="G6115" s="35" t="s">
        <v>16</v>
      </c>
      <c r="H6115" s="34">
        <v>200</v>
      </c>
      <c r="I6115" s="34">
        <v>200</v>
      </c>
      <c r="J6115" s="49"/>
      <c r="K6115" s="10"/>
      <c r="L6115" s="10">
        <v>20201118</v>
      </c>
      <c r="M6115" s="36" t="str">
        <f t="shared" si="95"/>
        <v>19800321</v>
      </c>
    </row>
    <row r="6116" s="1" customFormat="1" spans="1:13">
      <c r="A6116" s="2">
        <v>1797</v>
      </c>
      <c r="B6116" s="5" t="s">
        <v>3381</v>
      </c>
      <c r="C6116" s="9" t="s">
        <v>4156</v>
      </c>
      <c r="D6116" s="9" t="s">
        <v>4157</v>
      </c>
      <c r="E6116" s="5">
        <v>2020</v>
      </c>
      <c r="F6116" s="5">
        <v>2020</v>
      </c>
      <c r="G6116" s="5" t="s">
        <v>189</v>
      </c>
      <c r="H6116" s="6">
        <v>200</v>
      </c>
      <c r="I6116" s="6">
        <v>200</v>
      </c>
      <c r="J6116" s="5"/>
      <c r="K6116" s="13"/>
      <c r="L6116" s="10">
        <v>20201118</v>
      </c>
      <c r="M6116" s="36" t="str">
        <f t="shared" si="95"/>
        <v>19800323</v>
      </c>
    </row>
    <row r="6117" s="1" customFormat="1" spans="1:13">
      <c r="A6117" s="2">
        <v>5842</v>
      </c>
      <c r="B6117" s="30" t="s">
        <v>11090</v>
      </c>
      <c r="C6117" s="30" t="s">
        <v>11750</v>
      </c>
      <c r="D6117" s="30" t="s">
        <v>11751</v>
      </c>
      <c r="E6117" s="5" t="s">
        <v>15</v>
      </c>
      <c r="F6117" s="5" t="s">
        <v>10250</v>
      </c>
      <c r="G6117" s="6" t="s">
        <v>16</v>
      </c>
      <c r="H6117" s="32">
        <v>200</v>
      </c>
      <c r="I6117" s="32">
        <v>200</v>
      </c>
      <c r="J6117" s="6"/>
      <c r="K6117" s="48"/>
      <c r="L6117" s="10">
        <v>20201118</v>
      </c>
      <c r="M6117" s="36" t="str">
        <f t="shared" si="95"/>
        <v>19800325</v>
      </c>
    </row>
    <row r="6118" s="1" customFormat="1" spans="1:13">
      <c r="A6118" s="2">
        <v>3130</v>
      </c>
      <c r="B6118" s="3" t="s">
        <v>6671</v>
      </c>
      <c r="C6118" s="9" t="s">
        <v>6781</v>
      </c>
      <c r="D6118" s="9" t="s">
        <v>6782</v>
      </c>
      <c r="E6118" s="3" t="s">
        <v>15</v>
      </c>
      <c r="F6118" s="3" t="s">
        <v>15</v>
      </c>
      <c r="G6118" s="6" t="s">
        <v>3359</v>
      </c>
      <c r="H6118" s="9">
        <v>1000</v>
      </c>
      <c r="I6118" s="9">
        <v>1000</v>
      </c>
      <c r="J6118" s="6"/>
      <c r="K6118" s="5"/>
      <c r="L6118" s="10">
        <v>20201118</v>
      </c>
      <c r="M6118" s="36" t="str">
        <f t="shared" si="95"/>
        <v>19800407</v>
      </c>
    </row>
    <row r="6119" s="1" customFormat="1" spans="1:13">
      <c r="A6119" s="2">
        <v>1226</v>
      </c>
      <c r="B6119" s="5" t="s">
        <v>2469</v>
      </c>
      <c r="C6119" s="9" t="s">
        <v>3034</v>
      </c>
      <c r="D6119" s="9" t="s">
        <v>3035</v>
      </c>
      <c r="E6119" s="5">
        <v>2020</v>
      </c>
      <c r="F6119" s="5">
        <v>2020</v>
      </c>
      <c r="G6119" s="9" t="s">
        <v>2480</v>
      </c>
      <c r="H6119" s="9">
        <v>200</v>
      </c>
      <c r="I6119" s="9">
        <v>200</v>
      </c>
      <c r="J6119" s="5"/>
      <c r="K6119" s="5"/>
      <c r="L6119" s="10">
        <v>20201118</v>
      </c>
      <c r="M6119" s="36" t="str">
        <f t="shared" si="95"/>
        <v>19800409</v>
      </c>
    </row>
    <row r="6120" s="1" customFormat="1" spans="1:13">
      <c r="A6120" s="2">
        <v>1227</v>
      </c>
      <c r="B6120" s="5" t="s">
        <v>2469</v>
      </c>
      <c r="C6120" s="9" t="s">
        <v>3036</v>
      </c>
      <c r="D6120" s="9" t="s">
        <v>3037</v>
      </c>
      <c r="E6120" s="5">
        <v>2020</v>
      </c>
      <c r="F6120" s="5">
        <v>2020</v>
      </c>
      <c r="G6120" s="9" t="s">
        <v>2480</v>
      </c>
      <c r="H6120" s="9">
        <v>200</v>
      </c>
      <c r="I6120" s="9">
        <v>200</v>
      </c>
      <c r="J6120" s="5"/>
      <c r="K6120" s="5"/>
      <c r="L6120" s="10">
        <v>20201118</v>
      </c>
      <c r="M6120" s="36" t="str">
        <f t="shared" si="95"/>
        <v>19800410</v>
      </c>
    </row>
    <row r="6121" s="1" customFormat="1" spans="1:13">
      <c r="A6121" s="2">
        <v>6228</v>
      </c>
      <c r="B6121" s="5" t="s">
        <v>12263</v>
      </c>
      <c r="C6121" s="5" t="s">
        <v>12481</v>
      </c>
      <c r="D6121" s="5" t="s">
        <v>12482</v>
      </c>
      <c r="E6121" s="5" t="s">
        <v>10250</v>
      </c>
      <c r="F6121" s="5">
        <v>2020</v>
      </c>
      <c r="G6121" s="17" t="s">
        <v>3359</v>
      </c>
      <c r="H6121" s="5">
        <v>200</v>
      </c>
      <c r="I6121" s="5">
        <v>200</v>
      </c>
      <c r="J6121" s="5"/>
      <c r="K6121" s="5"/>
      <c r="L6121" s="10">
        <v>20201118</v>
      </c>
      <c r="M6121" s="36" t="str">
        <f t="shared" si="95"/>
        <v>19800410</v>
      </c>
    </row>
    <row r="6122" s="1" customFormat="1" spans="1:13">
      <c r="A6122" s="2">
        <v>7470</v>
      </c>
      <c r="B6122" s="5" t="s">
        <v>14402</v>
      </c>
      <c r="C6122" s="5" t="s">
        <v>14557</v>
      </c>
      <c r="D6122" s="5" t="s">
        <v>14558</v>
      </c>
      <c r="E6122" s="5">
        <v>2020</v>
      </c>
      <c r="F6122" s="5">
        <v>2020</v>
      </c>
      <c r="G6122" s="17" t="s">
        <v>16</v>
      </c>
      <c r="H6122" s="5">
        <v>200</v>
      </c>
      <c r="I6122" s="5">
        <v>200</v>
      </c>
      <c r="J6122" s="5"/>
      <c r="K6122" s="10"/>
      <c r="L6122" s="10">
        <v>20201118</v>
      </c>
      <c r="M6122" s="36" t="str">
        <f t="shared" si="95"/>
        <v>19800413</v>
      </c>
    </row>
    <row r="6123" s="1" customFormat="1" spans="1:13">
      <c r="A6123" s="2">
        <v>81</v>
      </c>
      <c r="B6123" s="3" t="s">
        <v>12</v>
      </c>
      <c r="C6123" s="6" t="s">
        <v>177</v>
      </c>
      <c r="D6123" s="6" t="s">
        <v>178</v>
      </c>
      <c r="E6123" s="3" t="s">
        <v>15</v>
      </c>
      <c r="F6123" s="3" t="s">
        <v>15</v>
      </c>
      <c r="G6123" s="2" t="s">
        <v>16</v>
      </c>
      <c r="H6123" s="3">
        <v>200</v>
      </c>
      <c r="I6123" s="3">
        <v>200</v>
      </c>
      <c r="J6123" s="3"/>
      <c r="K6123" s="3"/>
      <c r="L6123" s="10">
        <v>20201118</v>
      </c>
      <c r="M6123" s="36" t="str">
        <f t="shared" si="95"/>
        <v>19800417</v>
      </c>
    </row>
    <row r="6124" s="1" customFormat="1" spans="1:13">
      <c r="A6124" s="2">
        <v>2326</v>
      </c>
      <c r="B6124" s="9" t="s">
        <v>4837</v>
      </c>
      <c r="C6124" s="9" t="s">
        <v>5192</v>
      </c>
      <c r="D6124" s="9" t="s">
        <v>5193</v>
      </c>
      <c r="E6124" s="6" t="s">
        <v>15</v>
      </c>
      <c r="F6124" s="6">
        <v>2020</v>
      </c>
      <c r="G6124" s="9" t="s">
        <v>2480</v>
      </c>
      <c r="H6124" s="9">
        <v>200</v>
      </c>
      <c r="I6124" s="9">
        <v>200</v>
      </c>
      <c r="J6124" s="6"/>
      <c r="K6124" s="10"/>
      <c r="L6124" s="10">
        <v>20201118</v>
      </c>
      <c r="M6124" s="36" t="str">
        <f t="shared" si="95"/>
        <v>19800419</v>
      </c>
    </row>
    <row r="6125" s="1" customFormat="1" ht="14.25" spans="1:13">
      <c r="A6125" s="2">
        <v>6003</v>
      </c>
      <c r="B6125" s="30" t="s">
        <v>11090</v>
      </c>
      <c r="C6125" s="32" t="s">
        <v>12049</v>
      </c>
      <c r="D6125" s="12" t="s">
        <v>12050</v>
      </c>
      <c r="E6125" s="5" t="s">
        <v>15</v>
      </c>
      <c r="F6125" s="5" t="s">
        <v>10250</v>
      </c>
      <c r="G6125" s="6" t="s">
        <v>16</v>
      </c>
      <c r="H6125" s="32">
        <v>200</v>
      </c>
      <c r="I6125" s="32">
        <v>200</v>
      </c>
      <c r="J6125" s="5"/>
      <c r="K6125" s="48"/>
      <c r="L6125" s="10">
        <v>20201118</v>
      </c>
      <c r="M6125" s="36" t="str">
        <f t="shared" si="95"/>
        <v>19800419</v>
      </c>
    </row>
    <row r="6126" s="1" customFormat="1" spans="1:13">
      <c r="A6126" s="2">
        <v>2327</v>
      </c>
      <c r="B6126" s="9" t="s">
        <v>4837</v>
      </c>
      <c r="C6126" s="9" t="s">
        <v>5194</v>
      </c>
      <c r="D6126" s="9" t="s">
        <v>5195</v>
      </c>
      <c r="E6126" s="6" t="s">
        <v>15</v>
      </c>
      <c r="F6126" s="6">
        <v>2020</v>
      </c>
      <c r="G6126" s="9" t="s">
        <v>2480</v>
      </c>
      <c r="H6126" s="9">
        <v>200</v>
      </c>
      <c r="I6126" s="9">
        <v>200</v>
      </c>
      <c r="J6126" s="6"/>
      <c r="K6126" s="10"/>
      <c r="L6126" s="10">
        <v>20201118</v>
      </c>
      <c r="M6126" s="36" t="str">
        <f t="shared" si="95"/>
        <v>19800420</v>
      </c>
    </row>
    <row r="6127" s="1" customFormat="1" spans="1:13">
      <c r="A6127" s="2">
        <v>442</v>
      </c>
      <c r="B6127" s="29" t="s">
        <v>1040</v>
      </c>
      <c r="C6127" s="29" t="s">
        <v>1160</v>
      </c>
      <c r="D6127" s="29" t="s">
        <v>1161</v>
      </c>
      <c r="E6127" s="30">
        <v>2020</v>
      </c>
      <c r="F6127" s="30">
        <v>2020</v>
      </c>
      <c r="G6127" s="29" t="s">
        <v>16</v>
      </c>
      <c r="H6127" s="29">
        <v>200</v>
      </c>
      <c r="I6127" s="29">
        <v>200</v>
      </c>
      <c r="J6127" s="29"/>
      <c r="K6127" s="47"/>
      <c r="L6127" s="2" t="s">
        <v>330</v>
      </c>
      <c r="M6127" s="36" t="str">
        <f t="shared" si="95"/>
        <v>19800421</v>
      </c>
    </row>
    <row r="6128" s="1" customFormat="1" spans="1:13">
      <c r="A6128" s="2">
        <v>2699</v>
      </c>
      <c r="B6128" s="32" t="s">
        <v>5602</v>
      </c>
      <c r="C6128" s="9" t="s">
        <v>5930</v>
      </c>
      <c r="D6128" s="9" t="s">
        <v>5931</v>
      </c>
      <c r="E6128" s="32">
        <v>2020</v>
      </c>
      <c r="F6128" s="32">
        <v>2020</v>
      </c>
      <c r="G6128" s="32" t="s">
        <v>16</v>
      </c>
      <c r="H6128" s="9">
        <v>200</v>
      </c>
      <c r="I6128" s="9">
        <v>200</v>
      </c>
      <c r="J6128" s="32"/>
      <c r="K6128" s="52"/>
      <c r="L6128" s="10">
        <v>20201118</v>
      </c>
      <c r="M6128" s="36" t="str">
        <f t="shared" si="95"/>
        <v>19800426</v>
      </c>
    </row>
    <row r="6129" s="1" customFormat="1" spans="1:13">
      <c r="A6129" s="2">
        <v>344</v>
      </c>
      <c r="B6129" s="14" t="s">
        <v>327</v>
      </c>
      <c r="C6129" s="17" t="s">
        <v>919</v>
      </c>
      <c r="D6129" s="306" t="s">
        <v>920</v>
      </c>
      <c r="E6129" s="5">
        <v>2020</v>
      </c>
      <c r="F6129" s="5">
        <v>2020</v>
      </c>
      <c r="G6129" s="14" t="s">
        <v>16</v>
      </c>
      <c r="H6129" s="17">
        <v>200</v>
      </c>
      <c r="I6129" s="17">
        <v>200</v>
      </c>
      <c r="J6129" s="17"/>
      <c r="K6129" s="10"/>
      <c r="L6129" s="14" t="s">
        <v>330</v>
      </c>
      <c r="M6129" s="36" t="str">
        <f t="shared" si="95"/>
        <v>19800428</v>
      </c>
    </row>
    <row r="6130" s="1" customFormat="1" spans="1:13">
      <c r="A6130" s="2">
        <v>1228</v>
      </c>
      <c r="B6130" s="5" t="s">
        <v>2469</v>
      </c>
      <c r="C6130" s="9" t="s">
        <v>3038</v>
      </c>
      <c r="D6130" s="9" t="s">
        <v>3039</v>
      </c>
      <c r="E6130" s="5">
        <v>2020</v>
      </c>
      <c r="F6130" s="5">
        <v>2020</v>
      </c>
      <c r="G6130" s="9" t="s">
        <v>2480</v>
      </c>
      <c r="H6130" s="9">
        <v>200</v>
      </c>
      <c r="I6130" s="9">
        <v>200</v>
      </c>
      <c r="J6130" s="5"/>
      <c r="K6130" s="5"/>
      <c r="L6130" s="10">
        <v>20201118</v>
      </c>
      <c r="M6130" s="36" t="str">
        <f t="shared" si="95"/>
        <v>19800429</v>
      </c>
    </row>
    <row r="6131" s="1" customFormat="1" spans="1:13">
      <c r="A6131" s="2">
        <v>524</v>
      </c>
      <c r="B6131" s="29" t="s">
        <v>1040</v>
      </c>
      <c r="C6131" s="29" t="s">
        <v>1325</v>
      </c>
      <c r="D6131" s="29" t="s">
        <v>1326</v>
      </c>
      <c r="E6131" s="30">
        <v>2020</v>
      </c>
      <c r="F6131" s="30">
        <v>2020</v>
      </c>
      <c r="G6131" s="29" t="s">
        <v>16</v>
      </c>
      <c r="H6131" s="29">
        <v>200</v>
      </c>
      <c r="I6131" s="29">
        <v>200</v>
      </c>
      <c r="J6131" s="29"/>
      <c r="K6131" s="47"/>
      <c r="L6131" s="2" t="s">
        <v>330</v>
      </c>
      <c r="M6131" s="36" t="str">
        <f t="shared" si="95"/>
        <v>19800502</v>
      </c>
    </row>
    <row r="6132" s="1" customFormat="1" spans="1:13">
      <c r="A6132" s="2">
        <v>8118</v>
      </c>
      <c r="B6132" s="5" t="s">
        <v>15406</v>
      </c>
      <c r="C6132" s="6" t="s">
        <v>44</v>
      </c>
      <c r="D6132" s="6" t="s">
        <v>15430</v>
      </c>
      <c r="E6132" s="5" t="s">
        <v>15</v>
      </c>
      <c r="F6132" s="5">
        <v>2020</v>
      </c>
      <c r="G6132" s="14" t="s">
        <v>16</v>
      </c>
      <c r="H6132" s="6">
        <v>200</v>
      </c>
      <c r="I6132" s="6">
        <v>200</v>
      </c>
      <c r="J6132" s="5"/>
      <c r="K6132" s="10"/>
      <c r="L6132" s="10">
        <v>20201118</v>
      </c>
      <c r="M6132" s="36" t="str">
        <f t="shared" si="95"/>
        <v>19800505</v>
      </c>
    </row>
    <row r="6133" s="1" customFormat="1" spans="1:13">
      <c r="A6133" s="2">
        <v>3188</v>
      </c>
      <c r="B6133" s="3" t="s">
        <v>6671</v>
      </c>
      <c r="C6133" s="9" t="s">
        <v>6886</v>
      </c>
      <c r="D6133" s="9" t="s">
        <v>6887</v>
      </c>
      <c r="E6133" s="3" t="s">
        <v>15</v>
      </c>
      <c r="F6133" s="3" t="s">
        <v>15</v>
      </c>
      <c r="G6133" s="6" t="s">
        <v>3359</v>
      </c>
      <c r="H6133" s="9">
        <v>200</v>
      </c>
      <c r="I6133" s="9">
        <v>200</v>
      </c>
      <c r="J6133" s="6"/>
      <c r="K6133" s="5"/>
      <c r="L6133" s="10">
        <v>20201118</v>
      </c>
      <c r="M6133" s="36" t="str">
        <f t="shared" si="95"/>
        <v>19800506</v>
      </c>
    </row>
    <row r="6134" s="1" customFormat="1" spans="1:13">
      <c r="A6134" s="2">
        <v>4348</v>
      </c>
      <c r="B6134" s="9" t="s">
        <v>8515</v>
      </c>
      <c r="C6134" s="9" t="s">
        <v>8887</v>
      </c>
      <c r="D6134" s="9" t="s">
        <v>8888</v>
      </c>
      <c r="E6134" s="5" t="s">
        <v>15</v>
      </c>
      <c r="F6134" s="5">
        <v>2020</v>
      </c>
      <c r="G6134" s="9" t="s">
        <v>2480</v>
      </c>
      <c r="H6134" s="9">
        <v>200</v>
      </c>
      <c r="I6134" s="9">
        <v>200</v>
      </c>
      <c r="J6134" s="9"/>
      <c r="K6134" s="9"/>
      <c r="L6134" s="10">
        <v>20201118</v>
      </c>
      <c r="M6134" s="36" t="str">
        <f t="shared" si="95"/>
        <v>19800509</v>
      </c>
    </row>
    <row r="6135" s="1" customFormat="1" spans="1:13">
      <c r="A6135" s="2">
        <v>7892</v>
      </c>
      <c r="B6135" s="5" t="s">
        <v>15086</v>
      </c>
      <c r="C6135" s="6" t="s">
        <v>15166</v>
      </c>
      <c r="D6135" s="6" t="str">
        <f>"152326198005096867"</f>
        <v>152326198005096867</v>
      </c>
      <c r="E6135" s="5" t="s">
        <v>15</v>
      </c>
      <c r="F6135" s="5">
        <v>2020</v>
      </c>
      <c r="G6135" s="5" t="s">
        <v>16</v>
      </c>
      <c r="H6135" s="5">
        <v>200</v>
      </c>
      <c r="I6135" s="5">
        <v>200</v>
      </c>
      <c r="J6135" s="5"/>
      <c r="K6135" s="5"/>
      <c r="L6135" s="10">
        <v>20201118</v>
      </c>
      <c r="M6135" s="36" t="str">
        <f t="shared" si="95"/>
        <v>19800509</v>
      </c>
    </row>
    <row r="6136" s="1" customFormat="1" spans="1:13">
      <c r="A6136" s="2">
        <v>4012</v>
      </c>
      <c r="B6136" s="5" t="s">
        <v>7412</v>
      </c>
      <c r="C6136" s="5" t="s">
        <v>8243</v>
      </c>
      <c r="D6136" s="5" t="s">
        <v>8244</v>
      </c>
      <c r="E6136" s="6">
        <v>2020</v>
      </c>
      <c r="F6136" s="6">
        <v>2020</v>
      </c>
      <c r="G6136" s="5" t="s">
        <v>3359</v>
      </c>
      <c r="H6136" s="5">
        <v>200</v>
      </c>
      <c r="I6136" s="5">
        <v>200</v>
      </c>
      <c r="J6136" s="5"/>
      <c r="K6136" s="5"/>
      <c r="L6136" s="10">
        <v>20201118</v>
      </c>
      <c r="M6136" s="36" t="str">
        <f t="shared" si="95"/>
        <v>19800510</v>
      </c>
    </row>
    <row r="6137" s="1" customFormat="1" spans="1:13">
      <c r="A6137" s="2">
        <v>7366</v>
      </c>
      <c r="B6137" s="5" t="s">
        <v>13908</v>
      </c>
      <c r="C6137" s="5" t="s">
        <v>14359</v>
      </c>
      <c r="D6137" s="5" t="s">
        <v>14360</v>
      </c>
      <c r="E6137" s="5" t="s">
        <v>15</v>
      </c>
      <c r="F6137" s="5" t="s">
        <v>15</v>
      </c>
      <c r="G6137" s="14" t="s">
        <v>16</v>
      </c>
      <c r="H6137" s="17">
        <v>200</v>
      </c>
      <c r="I6137" s="17">
        <v>200</v>
      </c>
      <c r="J6137" s="5"/>
      <c r="K6137" s="10"/>
      <c r="L6137" s="10">
        <v>20201118</v>
      </c>
      <c r="M6137" s="36" t="str">
        <f t="shared" si="95"/>
        <v>19800514</v>
      </c>
    </row>
    <row r="6138" s="1" customFormat="1" spans="1:13">
      <c r="A6138" s="2">
        <v>3318</v>
      </c>
      <c r="B6138" s="5" t="s">
        <v>3375</v>
      </c>
      <c r="C6138" s="6" t="s">
        <v>7092</v>
      </c>
      <c r="D6138" s="6" t="str">
        <f>"152326198005166888"</f>
        <v>152326198005166888</v>
      </c>
      <c r="E6138" s="5" t="s">
        <v>15</v>
      </c>
      <c r="F6138" s="5">
        <v>2020</v>
      </c>
      <c r="G6138" s="14" t="s">
        <v>16</v>
      </c>
      <c r="H6138" s="17">
        <v>200</v>
      </c>
      <c r="I6138" s="17">
        <v>200</v>
      </c>
      <c r="J6138" s="6"/>
      <c r="K6138" s="10"/>
      <c r="L6138" s="10">
        <v>20201118</v>
      </c>
      <c r="M6138" s="36" t="str">
        <f t="shared" si="95"/>
        <v>19800516</v>
      </c>
    </row>
    <row r="6139" s="1" customFormat="1" spans="1:13">
      <c r="A6139" s="2">
        <v>326</v>
      </c>
      <c r="B6139" s="14" t="s">
        <v>327</v>
      </c>
      <c r="C6139" s="17" t="s">
        <v>866</v>
      </c>
      <c r="D6139" s="306" t="s">
        <v>867</v>
      </c>
      <c r="E6139" s="5">
        <v>2020</v>
      </c>
      <c r="F6139" s="5">
        <v>2020</v>
      </c>
      <c r="G6139" s="14" t="s">
        <v>16</v>
      </c>
      <c r="H6139" s="17">
        <v>200</v>
      </c>
      <c r="I6139" s="17">
        <v>200</v>
      </c>
      <c r="J6139" s="17"/>
      <c r="K6139" s="10"/>
      <c r="L6139" s="14" t="s">
        <v>330</v>
      </c>
      <c r="M6139" s="36" t="str">
        <f t="shared" si="95"/>
        <v>19800520</v>
      </c>
    </row>
    <row r="6140" s="1" customFormat="1" spans="1:13">
      <c r="A6140" s="2">
        <v>1229</v>
      </c>
      <c r="B6140" s="5" t="s">
        <v>2469</v>
      </c>
      <c r="C6140" s="9" t="s">
        <v>3040</v>
      </c>
      <c r="D6140" s="9" t="s">
        <v>3041</v>
      </c>
      <c r="E6140" s="5">
        <v>2020</v>
      </c>
      <c r="F6140" s="5">
        <v>2020</v>
      </c>
      <c r="G6140" s="9" t="s">
        <v>2480</v>
      </c>
      <c r="H6140" s="9">
        <v>200</v>
      </c>
      <c r="I6140" s="9">
        <v>200</v>
      </c>
      <c r="J6140" s="5"/>
      <c r="K6140" s="5"/>
      <c r="L6140" s="10">
        <v>20201118</v>
      </c>
      <c r="M6140" s="36" t="str">
        <f t="shared" si="95"/>
        <v>19800520</v>
      </c>
    </row>
    <row r="6141" s="1" customFormat="1" spans="1:13">
      <c r="A6141" s="2">
        <v>715</v>
      </c>
      <c r="B6141" s="29" t="s">
        <v>1040</v>
      </c>
      <c r="C6141" s="5" t="s">
        <v>1796</v>
      </c>
      <c r="D6141" s="317" t="s">
        <v>1797</v>
      </c>
      <c r="E6141" s="30">
        <v>2020</v>
      </c>
      <c r="F6141" s="30">
        <v>2020</v>
      </c>
      <c r="G6141" s="29" t="s">
        <v>16</v>
      </c>
      <c r="H6141" s="29">
        <v>200</v>
      </c>
      <c r="I6141" s="29">
        <v>200</v>
      </c>
      <c r="J6141" s="29"/>
      <c r="K6141" s="54"/>
      <c r="L6141" s="14" t="s">
        <v>330</v>
      </c>
      <c r="M6141" s="36" t="str">
        <f t="shared" si="95"/>
        <v>19800522</v>
      </c>
    </row>
    <row r="6142" s="1" customFormat="1" spans="1:13">
      <c r="A6142" s="2">
        <v>7891</v>
      </c>
      <c r="B6142" s="5" t="s">
        <v>15086</v>
      </c>
      <c r="C6142" s="6" t="s">
        <v>15165</v>
      </c>
      <c r="D6142" s="6" t="str">
        <f>"152326198005227126"</f>
        <v>152326198005227126</v>
      </c>
      <c r="E6142" s="5" t="s">
        <v>15</v>
      </c>
      <c r="F6142" s="5">
        <v>2020</v>
      </c>
      <c r="G6142" s="5" t="s">
        <v>16</v>
      </c>
      <c r="H6142" s="5">
        <v>200</v>
      </c>
      <c r="I6142" s="5">
        <v>200</v>
      </c>
      <c r="J6142" s="5"/>
      <c r="K6142" s="5"/>
      <c r="L6142" s="10">
        <v>20201118</v>
      </c>
      <c r="M6142" s="36" t="str">
        <f t="shared" si="95"/>
        <v>19800522</v>
      </c>
    </row>
    <row r="6143" s="1" customFormat="1" ht="14.25" spans="1:13">
      <c r="A6143" s="2">
        <v>2766</v>
      </c>
      <c r="B6143" s="32" t="s">
        <v>5602</v>
      </c>
      <c r="C6143" s="32" t="s">
        <v>6059</v>
      </c>
      <c r="D6143" s="85" t="s">
        <v>6060</v>
      </c>
      <c r="E6143" s="32">
        <v>2020</v>
      </c>
      <c r="F6143" s="32">
        <v>2020</v>
      </c>
      <c r="G6143" s="32" t="s">
        <v>16</v>
      </c>
      <c r="H6143" s="9">
        <v>200</v>
      </c>
      <c r="I6143" s="9">
        <v>200</v>
      </c>
      <c r="J6143" s="32"/>
      <c r="K6143" s="52"/>
      <c r="L6143" s="10">
        <v>20201118</v>
      </c>
      <c r="M6143" s="36" t="str">
        <f t="shared" si="95"/>
        <v>19800527</v>
      </c>
    </row>
    <row r="6144" s="1" customFormat="1" spans="1:13">
      <c r="A6144" s="2">
        <v>5525</v>
      </c>
      <c r="B6144" s="30" t="s">
        <v>11090</v>
      </c>
      <c r="C6144" s="30" t="s">
        <v>11146</v>
      </c>
      <c r="D6144" s="30" t="s">
        <v>11147</v>
      </c>
      <c r="E6144" s="5" t="s">
        <v>15</v>
      </c>
      <c r="F6144" s="5" t="s">
        <v>10250</v>
      </c>
      <c r="G6144" s="6" t="s">
        <v>16</v>
      </c>
      <c r="H6144" s="32">
        <v>200</v>
      </c>
      <c r="I6144" s="32">
        <v>200</v>
      </c>
      <c r="J6144" s="6"/>
      <c r="K6144" s="48"/>
      <c r="L6144" s="10">
        <v>20201118</v>
      </c>
      <c r="M6144" s="36" t="str">
        <f t="shared" si="95"/>
        <v>19800527</v>
      </c>
    </row>
    <row r="6145" s="1" customFormat="1" spans="1:13">
      <c r="A6145" s="2">
        <v>1230</v>
      </c>
      <c r="B6145" s="5" t="s">
        <v>2469</v>
      </c>
      <c r="C6145" s="9" t="s">
        <v>3042</v>
      </c>
      <c r="D6145" s="9" t="s">
        <v>3043</v>
      </c>
      <c r="E6145" s="5">
        <v>2020</v>
      </c>
      <c r="F6145" s="5">
        <v>2020</v>
      </c>
      <c r="G6145" s="9" t="s">
        <v>2480</v>
      </c>
      <c r="H6145" s="9">
        <v>200</v>
      </c>
      <c r="I6145" s="9">
        <v>200</v>
      </c>
      <c r="J6145" s="5"/>
      <c r="K6145" s="5"/>
      <c r="L6145" s="10">
        <v>20201118</v>
      </c>
      <c r="M6145" s="36" t="str">
        <f t="shared" si="95"/>
        <v>19800603</v>
      </c>
    </row>
    <row r="6146" s="1" customFormat="1" spans="1:13">
      <c r="A6146" s="2">
        <v>520</v>
      </c>
      <c r="B6146" s="29" t="s">
        <v>1040</v>
      </c>
      <c r="C6146" s="29" t="s">
        <v>1317</v>
      </c>
      <c r="D6146" s="29" t="s">
        <v>1318</v>
      </c>
      <c r="E6146" s="30">
        <v>2020</v>
      </c>
      <c r="F6146" s="30">
        <v>2020</v>
      </c>
      <c r="G6146" s="29" t="s">
        <v>16</v>
      </c>
      <c r="H6146" s="29">
        <v>200</v>
      </c>
      <c r="I6146" s="29">
        <v>200</v>
      </c>
      <c r="J6146" s="29"/>
      <c r="K6146" s="47"/>
      <c r="L6146" s="2" t="s">
        <v>330</v>
      </c>
      <c r="M6146" s="36" t="str">
        <f t="shared" ref="M6146:M6209" si="96">MID(D6146,7,8)</f>
        <v>19800607</v>
      </c>
    </row>
    <row r="6147" s="1" customFormat="1" spans="1:13">
      <c r="A6147" s="2">
        <v>4748</v>
      </c>
      <c r="B6147" s="6" t="s">
        <v>9015</v>
      </c>
      <c r="C6147" s="6" t="s">
        <v>5281</v>
      </c>
      <c r="D6147" s="6" t="s">
        <v>9653</v>
      </c>
      <c r="E6147" s="6">
        <v>2020</v>
      </c>
      <c r="F6147" s="6">
        <v>2020</v>
      </c>
      <c r="G6147" s="6" t="s">
        <v>16</v>
      </c>
      <c r="H6147" s="6">
        <v>200</v>
      </c>
      <c r="I6147" s="6">
        <v>200</v>
      </c>
      <c r="J6147" s="6"/>
      <c r="K6147" s="6"/>
      <c r="L6147" s="10">
        <v>20201118</v>
      </c>
      <c r="M6147" s="36" t="str">
        <f t="shared" si="96"/>
        <v>19800608</v>
      </c>
    </row>
    <row r="6148" s="1" customFormat="1" spans="1:13">
      <c r="A6148" s="2">
        <v>6731</v>
      </c>
      <c r="B6148" s="5" t="s">
        <v>13027</v>
      </c>
      <c r="C6148" s="15" t="s">
        <v>7624</v>
      </c>
      <c r="D6148" s="15" t="s">
        <v>13431</v>
      </c>
      <c r="E6148" s="5">
        <v>2020</v>
      </c>
      <c r="F6148" s="5">
        <v>2020</v>
      </c>
      <c r="G6148" s="14" t="s">
        <v>16</v>
      </c>
      <c r="H6148" s="15">
        <v>200</v>
      </c>
      <c r="I6148" s="15">
        <v>200</v>
      </c>
      <c r="J6148" s="5"/>
      <c r="K6148" s="10"/>
      <c r="L6148" s="10">
        <v>20201118</v>
      </c>
      <c r="M6148" s="36" t="str">
        <f t="shared" si="96"/>
        <v>19800608</v>
      </c>
    </row>
    <row r="6149" s="1" customFormat="1" spans="1:13">
      <c r="A6149" s="2">
        <v>2491</v>
      </c>
      <c r="B6149" s="5" t="s">
        <v>5328</v>
      </c>
      <c r="C6149" s="16" t="s">
        <v>5517</v>
      </c>
      <c r="D6149" s="16" t="s">
        <v>5518</v>
      </c>
      <c r="E6149" s="5" t="s">
        <v>15</v>
      </c>
      <c r="F6149" s="5" t="s">
        <v>15</v>
      </c>
      <c r="G6149" s="14" t="s">
        <v>16</v>
      </c>
      <c r="H6149" s="6">
        <v>200</v>
      </c>
      <c r="I6149" s="6">
        <v>200</v>
      </c>
      <c r="J6149" s="5"/>
      <c r="K6149" s="5"/>
      <c r="L6149" s="10">
        <v>20201118</v>
      </c>
      <c r="M6149" s="36" t="str">
        <f t="shared" si="96"/>
        <v>19800610</v>
      </c>
    </row>
    <row r="6150" s="1" customFormat="1" spans="1:13">
      <c r="A6150" s="2">
        <v>200</v>
      </c>
      <c r="B6150" s="14" t="s">
        <v>327</v>
      </c>
      <c r="C6150" s="14" t="s">
        <v>488</v>
      </c>
      <c r="D6150" s="14" t="s">
        <v>489</v>
      </c>
      <c r="E6150" s="5">
        <v>2020</v>
      </c>
      <c r="F6150" s="5">
        <v>2020</v>
      </c>
      <c r="G6150" s="14" t="s">
        <v>16</v>
      </c>
      <c r="H6150" s="14">
        <v>200</v>
      </c>
      <c r="I6150" s="14">
        <v>200</v>
      </c>
      <c r="J6150" s="14"/>
      <c r="K6150" s="10"/>
      <c r="L6150" s="14" t="s">
        <v>330</v>
      </c>
      <c r="M6150" s="36" t="str">
        <f t="shared" si="96"/>
        <v>19800612</v>
      </c>
    </row>
    <row r="6151" s="1" customFormat="1" ht="14.25" spans="1:13">
      <c r="A6151" s="2">
        <v>7663</v>
      </c>
      <c r="B6151" s="5" t="s">
        <v>14875</v>
      </c>
      <c r="C6151" s="51" t="s">
        <v>14904</v>
      </c>
      <c r="D6151" s="24" t="str">
        <f>"152326198006147128"</f>
        <v>152326198006147128</v>
      </c>
      <c r="E6151" s="6" t="s">
        <v>15</v>
      </c>
      <c r="F6151" s="6">
        <v>2020</v>
      </c>
      <c r="G6151" s="24" t="s">
        <v>14877</v>
      </c>
      <c r="H6151" s="6">
        <v>200</v>
      </c>
      <c r="I6151" s="6">
        <v>200</v>
      </c>
      <c r="J6151" s="6"/>
      <c r="K6151" s="10"/>
      <c r="L6151" s="10">
        <v>20201118</v>
      </c>
      <c r="M6151" s="36" t="str">
        <f t="shared" si="96"/>
        <v>19800614</v>
      </c>
    </row>
    <row r="6152" s="1" customFormat="1" spans="1:13">
      <c r="A6152" s="2">
        <v>1231</v>
      </c>
      <c r="B6152" s="5" t="s">
        <v>2469</v>
      </c>
      <c r="C6152" s="9" t="s">
        <v>3044</v>
      </c>
      <c r="D6152" s="9" t="s">
        <v>3045</v>
      </c>
      <c r="E6152" s="5">
        <v>2020</v>
      </c>
      <c r="F6152" s="5">
        <v>2020</v>
      </c>
      <c r="G6152" s="9" t="s">
        <v>2480</v>
      </c>
      <c r="H6152" s="9">
        <v>200</v>
      </c>
      <c r="I6152" s="9">
        <v>200</v>
      </c>
      <c r="J6152" s="5"/>
      <c r="K6152" s="5"/>
      <c r="L6152" s="10">
        <v>20201118</v>
      </c>
      <c r="M6152" s="36" t="str">
        <f t="shared" si="96"/>
        <v>19800616</v>
      </c>
    </row>
    <row r="6153" s="1" customFormat="1" spans="1:13">
      <c r="A6153" s="2">
        <v>738</v>
      </c>
      <c r="B6153" s="29" t="s">
        <v>1040</v>
      </c>
      <c r="C6153" s="5" t="s">
        <v>1864</v>
      </c>
      <c r="D6153" s="317" t="s">
        <v>1865</v>
      </c>
      <c r="E6153" s="30">
        <v>2020</v>
      </c>
      <c r="F6153" s="30">
        <v>2020</v>
      </c>
      <c r="G6153" s="29" t="s">
        <v>16</v>
      </c>
      <c r="H6153" s="29">
        <v>200</v>
      </c>
      <c r="I6153" s="29">
        <v>200</v>
      </c>
      <c r="J6153" s="32"/>
      <c r="K6153" s="32"/>
      <c r="L6153" s="14" t="s">
        <v>330</v>
      </c>
      <c r="M6153" s="36" t="str">
        <f t="shared" si="96"/>
        <v>19800618</v>
      </c>
    </row>
    <row r="6154" s="1" customFormat="1" spans="1:13">
      <c r="A6154" s="2">
        <v>1399</v>
      </c>
      <c r="B6154" s="5" t="s">
        <v>2469</v>
      </c>
      <c r="C6154" s="9" t="s">
        <v>3360</v>
      </c>
      <c r="D6154" s="287" t="s">
        <v>3361</v>
      </c>
      <c r="E6154" s="5">
        <v>2020</v>
      </c>
      <c r="F6154" s="5">
        <v>2020</v>
      </c>
      <c r="G6154" s="9" t="s">
        <v>295</v>
      </c>
      <c r="H6154" s="9">
        <v>200</v>
      </c>
      <c r="I6154" s="9">
        <v>200</v>
      </c>
      <c r="J6154" s="5"/>
      <c r="K6154" s="5"/>
      <c r="L6154" s="10">
        <v>20201118</v>
      </c>
      <c r="M6154" s="36" t="str">
        <f t="shared" si="96"/>
        <v>19800624</v>
      </c>
    </row>
    <row r="6155" s="1" customFormat="1" spans="1:13">
      <c r="A6155" s="2">
        <v>4013</v>
      </c>
      <c r="B6155" s="5" t="s">
        <v>7412</v>
      </c>
      <c r="C6155" s="5" t="s">
        <v>3714</v>
      </c>
      <c r="D6155" s="5" t="s">
        <v>8245</v>
      </c>
      <c r="E6155" s="6">
        <v>2020</v>
      </c>
      <c r="F6155" s="6">
        <v>2020</v>
      </c>
      <c r="G6155" s="5" t="s">
        <v>3359</v>
      </c>
      <c r="H6155" s="5">
        <v>200</v>
      </c>
      <c r="I6155" s="5">
        <v>200</v>
      </c>
      <c r="J6155" s="5"/>
      <c r="K6155" s="5"/>
      <c r="L6155" s="10">
        <v>20201118</v>
      </c>
      <c r="M6155" s="36" t="str">
        <f t="shared" si="96"/>
        <v>19800624</v>
      </c>
    </row>
    <row r="6156" s="1" customFormat="1" spans="1:13">
      <c r="A6156" s="2">
        <v>4014</v>
      </c>
      <c r="B6156" s="5" t="s">
        <v>7412</v>
      </c>
      <c r="C6156" s="5" t="s">
        <v>8246</v>
      </c>
      <c r="D6156" s="5" t="s">
        <v>8247</v>
      </c>
      <c r="E6156" s="6">
        <v>2020</v>
      </c>
      <c r="F6156" s="6">
        <v>2020</v>
      </c>
      <c r="G6156" s="5" t="s">
        <v>3359</v>
      </c>
      <c r="H6156" s="5">
        <v>200</v>
      </c>
      <c r="I6156" s="5">
        <v>200</v>
      </c>
      <c r="J6156" s="5"/>
      <c r="K6156" s="5"/>
      <c r="L6156" s="10">
        <v>20201118</v>
      </c>
      <c r="M6156" s="36" t="str">
        <f t="shared" si="96"/>
        <v>19800628</v>
      </c>
    </row>
    <row r="6157" s="1" customFormat="1" spans="1:13">
      <c r="A6157" s="2">
        <v>1232</v>
      </c>
      <c r="B6157" s="5" t="s">
        <v>2469</v>
      </c>
      <c r="C6157" s="9" t="s">
        <v>3046</v>
      </c>
      <c r="D6157" s="9" t="s">
        <v>3047</v>
      </c>
      <c r="E6157" s="5">
        <v>2020</v>
      </c>
      <c r="F6157" s="5">
        <v>2020</v>
      </c>
      <c r="G6157" s="9" t="s">
        <v>2480</v>
      </c>
      <c r="H6157" s="9">
        <v>200</v>
      </c>
      <c r="I6157" s="9">
        <v>200</v>
      </c>
      <c r="J6157" s="5"/>
      <c r="K6157" s="5"/>
      <c r="L6157" s="10">
        <v>20201118</v>
      </c>
      <c r="M6157" s="36" t="str">
        <f t="shared" si="96"/>
        <v>19800707</v>
      </c>
    </row>
    <row r="6158" s="1" customFormat="1" spans="1:13">
      <c r="A6158" s="2">
        <v>7893</v>
      </c>
      <c r="B6158" s="5" t="s">
        <v>15086</v>
      </c>
      <c r="C6158" s="6" t="s">
        <v>15167</v>
      </c>
      <c r="D6158" s="6" t="str">
        <f>"152326198007086910"</f>
        <v>152326198007086910</v>
      </c>
      <c r="E6158" s="5" t="s">
        <v>15</v>
      </c>
      <c r="F6158" s="5">
        <v>2020</v>
      </c>
      <c r="G6158" s="5" t="s">
        <v>16</v>
      </c>
      <c r="H6158" s="5">
        <v>200</v>
      </c>
      <c r="I6158" s="5">
        <v>200</v>
      </c>
      <c r="J6158" s="5"/>
      <c r="K6158" s="5"/>
      <c r="L6158" s="10">
        <v>20201118</v>
      </c>
      <c r="M6158" s="36" t="str">
        <f t="shared" si="96"/>
        <v>19800708</v>
      </c>
    </row>
    <row r="6159" s="1" customFormat="1" spans="1:13">
      <c r="A6159" s="2">
        <v>1233</v>
      </c>
      <c r="B6159" s="5" t="s">
        <v>2469</v>
      </c>
      <c r="C6159" s="9" t="s">
        <v>3048</v>
      </c>
      <c r="D6159" s="9" t="s">
        <v>3049</v>
      </c>
      <c r="E6159" s="5">
        <v>2020</v>
      </c>
      <c r="F6159" s="5">
        <v>2020</v>
      </c>
      <c r="G6159" s="9" t="s">
        <v>2480</v>
      </c>
      <c r="H6159" s="9">
        <v>200</v>
      </c>
      <c r="I6159" s="9">
        <v>200</v>
      </c>
      <c r="J6159" s="5"/>
      <c r="K6159" s="5"/>
      <c r="L6159" s="10">
        <v>20201118</v>
      </c>
      <c r="M6159" s="36" t="str">
        <f t="shared" si="96"/>
        <v>19800710</v>
      </c>
    </row>
    <row r="6160" s="1" customFormat="1" spans="1:13">
      <c r="A6160" s="2">
        <v>5513</v>
      </c>
      <c r="B6160" s="30" t="s">
        <v>11090</v>
      </c>
      <c r="C6160" s="30" t="s">
        <v>11121</v>
      </c>
      <c r="D6160" s="30" t="s">
        <v>11122</v>
      </c>
      <c r="E6160" s="5" t="s">
        <v>15</v>
      </c>
      <c r="F6160" s="5" t="s">
        <v>10250</v>
      </c>
      <c r="G6160" s="6" t="s">
        <v>16</v>
      </c>
      <c r="H6160" s="32">
        <v>200</v>
      </c>
      <c r="I6160" s="32">
        <v>200</v>
      </c>
      <c r="J6160" s="6"/>
      <c r="K6160" s="48"/>
      <c r="L6160" s="10">
        <v>20201118</v>
      </c>
      <c r="M6160" s="36" t="str">
        <f t="shared" si="96"/>
        <v>19800710</v>
      </c>
    </row>
    <row r="6161" s="1" customFormat="1" spans="1:13">
      <c r="A6161" s="2">
        <v>4935</v>
      </c>
      <c r="B6161" s="6" t="s">
        <v>9954</v>
      </c>
      <c r="C6161" s="32" t="s">
        <v>10011</v>
      </c>
      <c r="D6161" s="32" t="s">
        <v>10012</v>
      </c>
      <c r="E6161" s="5" t="s">
        <v>15</v>
      </c>
      <c r="F6161" s="5" t="s">
        <v>15</v>
      </c>
      <c r="G6161" s="14" t="s">
        <v>16</v>
      </c>
      <c r="H6161" s="6">
        <v>500</v>
      </c>
      <c r="I6161" s="6">
        <v>500</v>
      </c>
      <c r="J6161" s="6"/>
      <c r="K6161" s="6"/>
      <c r="L6161" s="10">
        <v>20201118</v>
      </c>
      <c r="M6161" s="36" t="str">
        <f t="shared" si="96"/>
        <v>19800711</v>
      </c>
    </row>
    <row r="6162" s="1" customFormat="1" spans="1:13">
      <c r="A6162" s="2">
        <v>4015</v>
      </c>
      <c r="B6162" s="5" t="s">
        <v>7412</v>
      </c>
      <c r="C6162" s="5" t="s">
        <v>8248</v>
      </c>
      <c r="D6162" s="5" t="s">
        <v>8249</v>
      </c>
      <c r="E6162" s="6">
        <v>2020</v>
      </c>
      <c r="F6162" s="6">
        <v>2020</v>
      </c>
      <c r="G6162" s="5" t="s">
        <v>3359</v>
      </c>
      <c r="H6162" s="5">
        <v>200</v>
      </c>
      <c r="I6162" s="5">
        <v>200</v>
      </c>
      <c r="J6162" s="5"/>
      <c r="K6162" s="5"/>
      <c r="L6162" s="10">
        <v>20201118</v>
      </c>
      <c r="M6162" s="36" t="str">
        <f t="shared" si="96"/>
        <v>19800715</v>
      </c>
    </row>
    <row r="6163" s="1" customFormat="1" spans="1:13">
      <c r="A6163" s="2">
        <v>5544</v>
      </c>
      <c r="B6163" s="30" t="s">
        <v>11090</v>
      </c>
      <c r="C6163" s="30" t="s">
        <v>11184</v>
      </c>
      <c r="D6163" s="30" t="s">
        <v>11185</v>
      </c>
      <c r="E6163" s="5" t="s">
        <v>15</v>
      </c>
      <c r="F6163" s="5" t="s">
        <v>10250</v>
      </c>
      <c r="G6163" s="6" t="s">
        <v>16</v>
      </c>
      <c r="H6163" s="32">
        <v>200</v>
      </c>
      <c r="I6163" s="32">
        <v>200</v>
      </c>
      <c r="J6163" s="6"/>
      <c r="K6163" s="48"/>
      <c r="L6163" s="10">
        <v>20201118</v>
      </c>
      <c r="M6163" s="36" t="str">
        <f t="shared" si="96"/>
        <v>19800719</v>
      </c>
    </row>
    <row r="6164" s="1" customFormat="1" spans="1:13">
      <c r="A6164" s="2">
        <v>3321</v>
      </c>
      <c r="B6164" s="5" t="s">
        <v>3375</v>
      </c>
      <c r="C6164" s="6" t="s">
        <v>7095</v>
      </c>
      <c r="D6164" s="6" t="str">
        <f>"152326198007206863"</f>
        <v>152326198007206863</v>
      </c>
      <c r="E6164" s="5" t="s">
        <v>15</v>
      </c>
      <c r="F6164" s="5">
        <v>2020</v>
      </c>
      <c r="G6164" s="14" t="s">
        <v>16</v>
      </c>
      <c r="H6164" s="17">
        <v>200</v>
      </c>
      <c r="I6164" s="17">
        <v>200</v>
      </c>
      <c r="J6164" s="6"/>
      <c r="K6164" s="10"/>
      <c r="L6164" s="10">
        <v>20201118</v>
      </c>
      <c r="M6164" s="36" t="str">
        <f t="shared" si="96"/>
        <v>19800720</v>
      </c>
    </row>
    <row r="6165" s="1" customFormat="1" spans="1:13">
      <c r="A6165" s="2">
        <v>4016</v>
      </c>
      <c r="B6165" s="5" t="s">
        <v>7412</v>
      </c>
      <c r="C6165" s="5" t="s">
        <v>8250</v>
      </c>
      <c r="D6165" s="5" t="s">
        <v>8251</v>
      </c>
      <c r="E6165" s="6">
        <v>2020</v>
      </c>
      <c r="F6165" s="6">
        <v>2020</v>
      </c>
      <c r="G6165" s="5" t="s">
        <v>3359</v>
      </c>
      <c r="H6165" s="5">
        <v>200</v>
      </c>
      <c r="I6165" s="5">
        <v>200</v>
      </c>
      <c r="J6165" s="5"/>
      <c r="K6165" s="5"/>
      <c r="L6165" s="10">
        <v>20201118</v>
      </c>
      <c r="M6165" s="36" t="str">
        <f t="shared" si="96"/>
        <v>19800720</v>
      </c>
    </row>
    <row r="6166" s="1" customFormat="1" spans="1:13">
      <c r="A6166" s="2">
        <v>1234</v>
      </c>
      <c r="B6166" s="5" t="s">
        <v>2469</v>
      </c>
      <c r="C6166" s="9" t="s">
        <v>3050</v>
      </c>
      <c r="D6166" s="9" t="s">
        <v>3051</v>
      </c>
      <c r="E6166" s="5">
        <v>2020</v>
      </c>
      <c r="F6166" s="5">
        <v>2020</v>
      </c>
      <c r="G6166" s="9" t="s">
        <v>2480</v>
      </c>
      <c r="H6166" s="9">
        <v>200</v>
      </c>
      <c r="I6166" s="9">
        <v>200</v>
      </c>
      <c r="J6166" s="5"/>
      <c r="K6166" s="5"/>
      <c r="L6166" s="10">
        <v>20201118</v>
      </c>
      <c r="M6166" s="36" t="str">
        <f t="shared" si="96"/>
        <v>19800721</v>
      </c>
    </row>
    <row r="6167" s="1" customFormat="1" spans="1:13">
      <c r="A6167" s="2">
        <v>7290</v>
      </c>
      <c r="B6167" s="5" t="s">
        <v>13908</v>
      </c>
      <c r="C6167" s="5" t="s">
        <v>9420</v>
      </c>
      <c r="D6167" s="5" t="s">
        <v>14219</v>
      </c>
      <c r="E6167" s="5" t="s">
        <v>15</v>
      </c>
      <c r="F6167" s="5" t="s">
        <v>15</v>
      </c>
      <c r="G6167" s="14" t="s">
        <v>16</v>
      </c>
      <c r="H6167" s="17">
        <v>200</v>
      </c>
      <c r="I6167" s="17">
        <v>200</v>
      </c>
      <c r="J6167" s="5"/>
      <c r="K6167" s="10"/>
      <c r="L6167" s="10">
        <v>20201118</v>
      </c>
      <c r="M6167" s="36" t="str">
        <f t="shared" si="96"/>
        <v>19800721</v>
      </c>
    </row>
    <row r="6168" s="1" customFormat="1" spans="1:13">
      <c r="A6168" s="2">
        <v>6830</v>
      </c>
      <c r="B6168" s="5" t="s">
        <v>13533</v>
      </c>
      <c r="C6168" s="32" t="s">
        <v>13582</v>
      </c>
      <c r="D6168" s="32" t="str">
        <f>"152326198007277119"</f>
        <v>152326198007277119</v>
      </c>
      <c r="E6168" s="5">
        <v>2020</v>
      </c>
      <c r="F6168" s="5">
        <v>2020</v>
      </c>
      <c r="G6168" s="9" t="s">
        <v>2480</v>
      </c>
      <c r="H6168" s="32">
        <v>200</v>
      </c>
      <c r="I6168" s="32">
        <v>200</v>
      </c>
      <c r="J6168" s="32"/>
      <c r="K6168" s="10"/>
      <c r="L6168" s="10">
        <v>20201118</v>
      </c>
      <c r="M6168" s="36" t="str">
        <f t="shared" si="96"/>
        <v>19800727</v>
      </c>
    </row>
    <row r="6169" s="1" customFormat="1" spans="1:13">
      <c r="A6169" s="2">
        <v>7896</v>
      </c>
      <c r="B6169" s="5" t="s">
        <v>15086</v>
      </c>
      <c r="C6169" s="6" t="s">
        <v>15170</v>
      </c>
      <c r="D6169" s="6" t="s">
        <v>15171</v>
      </c>
      <c r="E6169" s="5" t="s">
        <v>15</v>
      </c>
      <c r="F6169" s="5">
        <v>2020</v>
      </c>
      <c r="G6169" s="5" t="s">
        <v>16</v>
      </c>
      <c r="H6169" s="5">
        <v>200</v>
      </c>
      <c r="I6169" s="5">
        <v>200</v>
      </c>
      <c r="J6169" s="5"/>
      <c r="K6169" s="5"/>
      <c r="L6169" s="10">
        <v>20201118</v>
      </c>
      <c r="M6169" s="36" t="str">
        <f t="shared" si="96"/>
        <v>19800727</v>
      </c>
    </row>
    <row r="6170" s="1" customFormat="1" spans="1:13">
      <c r="A6170" s="2">
        <v>5028</v>
      </c>
      <c r="B6170" s="6" t="s">
        <v>9954</v>
      </c>
      <c r="C6170" s="60" t="s">
        <v>10189</v>
      </c>
      <c r="D6170" s="60" t="s">
        <v>10190</v>
      </c>
      <c r="E6170" s="5" t="s">
        <v>15</v>
      </c>
      <c r="F6170" s="5" t="s">
        <v>15</v>
      </c>
      <c r="G6170" s="14" t="s">
        <v>16</v>
      </c>
      <c r="H6170" s="6">
        <v>200</v>
      </c>
      <c r="I6170" s="6">
        <v>200</v>
      </c>
      <c r="J6170" s="6"/>
      <c r="K6170" s="6"/>
      <c r="L6170" s="10">
        <v>20201118</v>
      </c>
      <c r="M6170" s="36" t="str">
        <f t="shared" si="96"/>
        <v>19800729</v>
      </c>
    </row>
    <row r="6171" s="1" customFormat="1" ht="14.25" spans="1:13">
      <c r="A6171" s="2">
        <v>2781</v>
      </c>
      <c r="B6171" s="6" t="s">
        <v>6075</v>
      </c>
      <c r="C6171" s="25" t="s">
        <v>6092</v>
      </c>
      <c r="D6171" s="26" t="s">
        <v>6093</v>
      </c>
      <c r="E6171" s="5" t="s">
        <v>15</v>
      </c>
      <c r="F6171" s="5">
        <v>2020</v>
      </c>
      <c r="G6171" s="6" t="s">
        <v>16</v>
      </c>
      <c r="H6171" s="6">
        <v>200</v>
      </c>
      <c r="I6171" s="6">
        <v>200</v>
      </c>
      <c r="J6171" s="6"/>
      <c r="K6171" s="10"/>
      <c r="L6171" s="10">
        <v>20201118</v>
      </c>
      <c r="M6171" s="36" t="str">
        <f t="shared" si="96"/>
        <v>19800803</v>
      </c>
    </row>
    <row r="6172" s="1" customFormat="1" spans="1:13">
      <c r="A6172" s="2">
        <v>1992</v>
      </c>
      <c r="B6172" s="5" t="s">
        <v>4189</v>
      </c>
      <c r="C6172" s="16" t="s">
        <v>4541</v>
      </c>
      <c r="D6172" s="16" t="s">
        <v>4542</v>
      </c>
      <c r="E6172" s="5" t="s">
        <v>15</v>
      </c>
      <c r="F6172" s="5" t="s">
        <v>15</v>
      </c>
      <c r="G6172" s="5" t="s">
        <v>3359</v>
      </c>
      <c r="H6172" s="16">
        <v>200</v>
      </c>
      <c r="I6172" s="16">
        <v>200</v>
      </c>
      <c r="J6172" s="5"/>
      <c r="K6172" s="10"/>
      <c r="L6172" s="10">
        <v>20201118</v>
      </c>
      <c r="M6172" s="36" t="str">
        <f t="shared" si="96"/>
        <v>19800804</v>
      </c>
    </row>
    <row r="6173" s="1" customFormat="1" spans="1:13">
      <c r="A6173" s="2">
        <v>6831</v>
      </c>
      <c r="B6173" s="5" t="s">
        <v>13533</v>
      </c>
      <c r="C6173" s="32" t="s">
        <v>13583</v>
      </c>
      <c r="D6173" s="32" t="str">
        <f>"152326198008057126"</f>
        <v>152326198008057126</v>
      </c>
      <c r="E6173" s="5">
        <v>2020</v>
      </c>
      <c r="F6173" s="5">
        <v>2020</v>
      </c>
      <c r="G6173" s="9" t="s">
        <v>2480</v>
      </c>
      <c r="H6173" s="32">
        <v>200</v>
      </c>
      <c r="I6173" s="32">
        <v>200</v>
      </c>
      <c r="J6173" s="32"/>
      <c r="K6173" s="10"/>
      <c r="L6173" s="10">
        <v>20201118</v>
      </c>
      <c r="M6173" s="36" t="str">
        <f t="shared" si="96"/>
        <v>19800805</v>
      </c>
    </row>
    <row r="6174" s="1" customFormat="1" spans="1:13">
      <c r="A6174" s="2">
        <v>4017</v>
      </c>
      <c r="B6174" s="5" t="s">
        <v>7412</v>
      </c>
      <c r="C6174" s="5" t="s">
        <v>8252</v>
      </c>
      <c r="D6174" s="5" t="s">
        <v>8253</v>
      </c>
      <c r="E6174" s="6">
        <v>2020</v>
      </c>
      <c r="F6174" s="6">
        <v>2020</v>
      </c>
      <c r="G6174" s="5" t="s">
        <v>3359</v>
      </c>
      <c r="H6174" s="5">
        <v>200</v>
      </c>
      <c r="I6174" s="5">
        <v>200</v>
      </c>
      <c r="J6174" s="5"/>
      <c r="K6174" s="5"/>
      <c r="L6174" s="10">
        <v>20201118</v>
      </c>
      <c r="M6174" s="36" t="str">
        <f t="shared" si="96"/>
        <v>19800809</v>
      </c>
    </row>
    <row r="6175" s="1" customFormat="1" spans="1:13">
      <c r="A6175" s="2">
        <v>5534</v>
      </c>
      <c r="B6175" s="30" t="s">
        <v>11090</v>
      </c>
      <c r="C6175" s="30" t="s">
        <v>11165</v>
      </c>
      <c r="D6175" s="30" t="s">
        <v>11166</v>
      </c>
      <c r="E6175" s="5" t="s">
        <v>15</v>
      </c>
      <c r="F6175" s="5" t="s">
        <v>10250</v>
      </c>
      <c r="G6175" s="6" t="s">
        <v>16</v>
      </c>
      <c r="H6175" s="32">
        <v>200</v>
      </c>
      <c r="I6175" s="32">
        <v>200</v>
      </c>
      <c r="J6175" s="6"/>
      <c r="K6175" s="48"/>
      <c r="L6175" s="10">
        <v>20201118</v>
      </c>
      <c r="M6175" s="36" t="str">
        <f t="shared" si="96"/>
        <v>19800810</v>
      </c>
    </row>
    <row r="6176" s="1" customFormat="1" spans="1:13">
      <c r="A6176" s="2">
        <v>1235</v>
      </c>
      <c r="B6176" s="5" t="s">
        <v>2469</v>
      </c>
      <c r="C6176" s="9" t="s">
        <v>3052</v>
      </c>
      <c r="D6176" s="9" t="s">
        <v>3053</v>
      </c>
      <c r="E6176" s="5">
        <v>2020</v>
      </c>
      <c r="F6176" s="5">
        <v>2020</v>
      </c>
      <c r="G6176" s="9" t="s">
        <v>2480</v>
      </c>
      <c r="H6176" s="9">
        <v>200</v>
      </c>
      <c r="I6176" s="9">
        <v>200</v>
      </c>
      <c r="J6176" s="5"/>
      <c r="K6176" s="5"/>
      <c r="L6176" s="10">
        <v>20201118</v>
      </c>
      <c r="M6176" s="36" t="str">
        <f t="shared" si="96"/>
        <v>19800811</v>
      </c>
    </row>
    <row r="6177" s="1" customFormat="1" spans="1:13">
      <c r="A6177" s="2">
        <v>4870</v>
      </c>
      <c r="B6177" s="6" t="s">
        <v>9015</v>
      </c>
      <c r="C6177" s="6" t="s">
        <v>9883</v>
      </c>
      <c r="D6177" s="293" t="s">
        <v>9884</v>
      </c>
      <c r="E6177" s="6">
        <v>2020</v>
      </c>
      <c r="F6177" s="6">
        <v>2020</v>
      </c>
      <c r="G6177" s="6" t="s">
        <v>16</v>
      </c>
      <c r="H6177" s="6">
        <v>200</v>
      </c>
      <c r="I6177" s="6">
        <v>200</v>
      </c>
      <c r="J6177" s="6"/>
      <c r="K6177" s="6"/>
      <c r="L6177" s="10">
        <v>20201118</v>
      </c>
      <c r="M6177" s="36" t="str">
        <f t="shared" si="96"/>
        <v>19800811</v>
      </c>
    </row>
    <row r="6178" s="1" customFormat="1" spans="1:13">
      <c r="A6178" s="2">
        <v>631</v>
      </c>
      <c r="B6178" s="29" t="s">
        <v>1040</v>
      </c>
      <c r="C6178" s="29" t="s">
        <v>1546</v>
      </c>
      <c r="D6178" s="29" t="s">
        <v>1547</v>
      </c>
      <c r="E6178" s="30">
        <v>2020</v>
      </c>
      <c r="F6178" s="30">
        <v>2020</v>
      </c>
      <c r="G6178" s="29" t="s">
        <v>16</v>
      </c>
      <c r="H6178" s="29">
        <v>200</v>
      </c>
      <c r="I6178" s="29">
        <v>200</v>
      </c>
      <c r="J6178" s="29"/>
      <c r="K6178" s="47"/>
      <c r="L6178" s="14" t="s">
        <v>330</v>
      </c>
      <c r="M6178" s="36" t="str">
        <f t="shared" si="96"/>
        <v>19800813</v>
      </c>
    </row>
    <row r="6179" s="1" customFormat="1" spans="1:13">
      <c r="A6179" s="2">
        <v>1236</v>
      </c>
      <c r="B6179" s="5" t="s">
        <v>2469</v>
      </c>
      <c r="C6179" s="9" t="s">
        <v>3054</v>
      </c>
      <c r="D6179" s="9" t="s">
        <v>3055</v>
      </c>
      <c r="E6179" s="5">
        <v>2020</v>
      </c>
      <c r="F6179" s="5">
        <v>2020</v>
      </c>
      <c r="G6179" s="9" t="s">
        <v>2480</v>
      </c>
      <c r="H6179" s="9">
        <v>200</v>
      </c>
      <c r="I6179" s="9">
        <v>200</v>
      </c>
      <c r="J6179" s="5"/>
      <c r="K6179" s="5"/>
      <c r="L6179" s="10">
        <v>20201118</v>
      </c>
      <c r="M6179" s="36" t="str">
        <f t="shared" si="96"/>
        <v>19800813</v>
      </c>
    </row>
    <row r="6180" s="1" customFormat="1" spans="1:13">
      <c r="A6180" s="2">
        <v>5013</v>
      </c>
      <c r="B6180" s="6" t="s">
        <v>9954</v>
      </c>
      <c r="C6180" s="60" t="s">
        <v>10161</v>
      </c>
      <c r="D6180" s="60" t="s">
        <v>10162</v>
      </c>
      <c r="E6180" s="5" t="s">
        <v>15</v>
      </c>
      <c r="F6180" s="5" t="s">
        <v>15</v>
      </c>
      <c r="G6180" s="14" t="s">
        <v>16</v>
      </c>
      <c r="H6180" s="6">
        <v>200</v>
      </c>
      <c r="I6180" s="6">
        <v>200</v>
      </c>
      <c r="J6180" s="6"/>
      <c r="K6180" s="6"/>
      <c r="L6180" s="10">
        <v>20201118</v>
      </c>
      <c r="M6180" s="36" t="str">
        <f t="shared" si="96"/>
        <v>19800815</v>
      </c>
    </row>
    <row r="6181" s="1" customFormat="1" spans="1:13">
      <c r="A6181" s="2">
        <v>6294</v>
      </c>
      <c r="B6181" s="5" t="s">
        <v>12263</v>
      </c>
      <c r="C6181" s="5" t="s">
        <v>12607</v>
      </c>
      <c r="D6181" s="5" t="s">
        <v>12608</v>
      </c>
      <c r="E6181" s="5" t="s">
        <v>10250</v>
      </c>
      <c r="F6181" s="5">
        <v>2020</v>
      </c>
      <c r="G6181" s="17" t="s">
        <v>3359</v>
      </c>
      <c r="H6181" s="5">
        <v>3000</v>
      </c>
      <c r="I6181" s="5">
        <v>3000</v>
      </c>
      <c r="J6181" s="5"/>
      <c r="K6181" s="5"/>
      <c r="L6181" s="10">
        <v>20201118</v>
      </c>
      <c r="M6181" s="36" t="str">
        <f t="shared" si="96"/>
        <v>19800816</v>
      </c>
    </row>
    <row r="6182" s="1" customFormat="1" ht="14.25" spans="1:13">
      <c r="A6182" s="2">
        <v>2974</v>
      </c>
      <c r="B6182" s="6" t="s">
        <v>6075</v>
      </c>
      <c r="C6182" s="25" t="s">
        <v>6473</v>
      </c>
      <c r="D6182" s="26" t="s">
        <v>6474</v>
      </c>
      <c r="E6182" s="5" t="s">
        <v>15</v>
      </c>
      <c r="F6182" s="5">
        <v>2020</v>
      </c>
      <c r="G6182" s="6" t="s">
        <v>16</v>
      </c>
      <c r="H6182" s="6">
        <v>200</v>
      </c>
      <c r="I6182" s="6">
        <v>200</v>
      </c>
      <c r="J6182" s="6"/>
      <c r="K6182" s="10"/>
      <c r="L6182" s="10">
        <v>20201118</v>
      </c>
      <c r="M6182" s="36" t="str">
        <f t="shared" si="96"/>
        <v>19800818</v>
      </c>
    </row>
    <row r="6183" s="1" customFormat="1" spans="1:13">
      <c r="A6183" s="2">
        <v>7473</v>
      </c>
      <c r="B6183" s="5" t="s">
        <v>14402</v>
      </c>
      <c r="C6183" s="5" t="s">
        <v>8128</v>
      </c>
      <c r="D6183" s="5" t="s">
        <v>14563</v>
      </c>
      <c r="E6183" s="5">
        <v>2020</v>
      </c>
      <c r="F6183" s="5">
        <v>2020</v>
      </c>
      <c r="G6183" s="17" t="s">
        <v>16</v>
      </c>
      <c r="H6183" s="5">
        <v>200</v>
      </c>
      <c r="I6183" s="5">
        <v>200</v>
      </c>
      <c r="J6183" s="5"/>
      <c r="K6183" s="10"/>
      <c r="L6183" s="10">
        <v>20201118</v>
      </c>
      <c r="M6183" s="36" t="str">
        <f t="shared" si="96"/>
        <v>19800822</v>
      </c>
    </row>
    <row r="6184" s="1" customFormat="1" spans="1:13">
      <c r="A6184" s="2">
        <v>5760</v>
      </c>
      <c r="B6184" s="30" t="s">
        <v>11090</v>
      </c>
      <c r="C6184" s="30" t="s">
        <v>11043</v>
      </c>
      <c r="D6184" s="30" t="s">
        <v>11600</v>
      </c>
      <c r="E6184" s="5" t="s">
        <v>15</v>
      </c>
      <c r="F6184" s="5" t="s">
        <v>10250</v>
      </c>
      <c r="G6184" s="6" t="s">
        <v>16</v>
      </c>
      <c r="H6184" s="32">
        <v>200</v>
      </c>
      <c r="I6184" s="32">
        <v>200</v>
      </c>
      <c r="J6184" s="6"/>
      <c r="K6184" s="48"/>
      <c r="L6184" s="10">
        <v>20201118</v>
      </c>
      <c r="M6184" s="36" t="str">
        <f t="shared" si="96"/>
        <v>19800824</v>
      </c>
    </row>
    <row r="6185" s="1" customFormat="1" spans="1:13">
      <c r="A6185" s="2">
        <v>7165</v>
      </c>
      <c r="B6185" s="5" t="s">
        <v>13908</v>
      </c>
      <c r="C6185" s="5" t="s">
        <v>8531</v>
      </c>
      <c r="D6185" s="5" t="s">
        <v>13987</v>
      </c>
      <c r="E6185" s="5" t="s">
        <v>15</v>
      </c>
      <c r="F6185" s="5" t="s">
        <v>15</v>
      </c>
      <c r="G6185" s="14" t="s">
        <v>16</v>
      </c>
      <c r="H6185" s="17">
        <v>200</v>
      </c>
      <c r="I6185" s="17">
        <v>200</v>
      </c>
      <c r="J6185" s="5"/>
      <c r="K6185" s="10"/>
      <c r="L6185" s="10">
        <v>20201118</v>
      </c>
      <c r="M6185" s="36" t="str">
        <f t="shared" si="96"/>
        <v>19800901</v>
      </c>
    </row>
    <row r="6186" s="1" customFormat="1" ht="14.25" spans="1:13">
      <c r="A6186" s="2">
        <v>7666</v>
      </c>
      <c r="B6186" s="5" t="s">
        <v>14875</v>
      </c>
      <c r="C6186" s="51" t="s">
        <v>14908</v>
      </c>
      <c r="D6186" s="24" t="str">
        <f>"152326198009017118"</f>
        <v>152326198009017118</v>
      </c>
      <c r="E6186" s="6" t="s">
        <v>15</v>
      </c>
      <c r="F6186" s="6">
        <v>2020</v>
      </c>
      <c r="G6186" s="24" t="s">
        <v>14877</v>
      </c>
      <c r="H6186" s="6">
        <v>200</v>
      </c>
      <c r="I6186" s="6">
        <v>200</v>
      </c>
      <c r="J6186" s="6"/>
      <c r="K6186" s="10"/>
      <c r="L6186" s="10">
        <v>20201118</v>
      </c>
      <c r="M6186" s="36" t="str">
        <f t="shared" si="96"/>
        <v>19800901</v>
      </c>
    </row>
    <row r="6187" s="1" customFormat="1" spans="1:13">
      <c r="A6187" s="2">
        <v>1237</v>
      </c>
      <c r="B6187" s="5" t="s">
        <v>2469</v>
      </c>
      <c r="C6187" s="9" t="s">
        <v>3056</v>
      </c>
      <c r="D6187" s="9" t="s">
        <v>3057</v>
      </c>
      <c r="E6187" s="5">
        <v>2020</v>
      </c>
      <c r="F6187" s="5">
        <v>2020</v>
      </c>
      <c r="G6187" s="9" t="s">
        <v>2480</v>
      </c>
      <c r="H6187" s="9">
        <v>200</v>
      </c>
      <c r="I6187" s="9">
        <v>200</v>
      </c>
      <c r="J6187" s="5"/>
      <c r="K6187" s="5"/>
      <c r="L6187" s="10">
        <v>20201118</v>
      </c>
      <c r="M6187" s="36" t="str">
        <f t="shared" si="96"/>
        <v>19800902</v>
      </c>
    </row>
    <row r="6188" s="1" customFormat="1" spans="1:13">
      <c r="A6188" s="2">
        <v>5604</v>
      </c>
      <c r="B6188" s="30" t="s">
        <v>11090</v>
      </c>
      <c r="C6188" s="30" t="s">
        <v>11299</v>
      </c>
      <c r="D6188" s="30" t="s">
        <v>11300</v>
      </c>
      <c r="E6188" s="5" t="s">
        <v>15</v>
      </c>
      <c r="F6188" s="5" t="s">
        <v>10250</v>
      </c>
      <c r="G6188" s="6" t="s">
        <v>16</v>
      </c>
      <c r="H6188" s="32">
        <v>200</v>
      </c>
      <c r="I6188" s="32">
        <v>200</v>
      </c>
      <c r="J6188" s="6"/>
      <c r="K6188" s="48"/>
      <c r="L6188" s="10">
        <v>20201118</v>
      </c>
      <c r="M6188" s="36" t="str">
        <f t="shared" si="96"/>
        <v>19800902</v>
      </c>
    </row>
    <row r="6189" s="1" customFormat="1" spans="1:13">
      <c r="A6189" s="2">
        <v>6732</v>
      </c>
      <c r="B6189" s="5" t="s">
        <v>13027</v>
      </c>
      <c r="C6189" s="15" t="s">
        <v>13432</v>
      </c>
      <c r="D6189" s="15" t="s">
        <v>13433</v>
      </c>
      <c r="E6189" s="5">
        <v>2020</v>
      </c>
      <c r="F6189" s="5">
        <v>2020</v>
      </c>
      <c r="G6189" s="14" t="s">
        <v>16</v>
      </c>
      <c r="H6189" s="15">
        <v>200</v>
      </c>
      <c r="I6189" s="15">
        <v>200</v>
      </c>
      <c r="J6189" s="5"/>
      <c r="K6189" s="10"/>
      <c r="L6189" s="10">
        <v>20201118</v>
      </c>
      <c r="M6189" s="36" t="str">
        <f t="shared" si="96"/>
        <v>19800903</v>
      </c>
    </row>
    <row r="6190" s="1" customFormat="1" spans="1:13">
      <c r="A6190" s="2">
        <v>4648</v>
      </c>
      <c r="B6190" s="6" t="s">
        <v>9015</v>
      </c>
      <c r="C6190" s="6" t="s">
        <v>9460</v>
      </c>
      <c r="D6190" s="6" t="s">
        <v>9461</v>
      </c>
      <c r="E6190" s="6">
        <v>2020</v>
      </c>
      <c r="F6190" s="6">
        <v>2020</v>
      </c>
      <c r="G6190" s="6" t="s">
        <v>16</v>
      </c>
      <c r="H6190" s="6">
        <v>200</v>
      </c>
      <c r="I6190" s="6">
        <v>200</v>
      </c>
      <c r="J6190" s="6"/>
      <c r="K6190" s="6"/>
      <c r="L6190" s="10">
        <v>20201118</v>
      </c>
      <c r="M6190" s="36" t="str">
        <f t="shared" si="96"/>
        <v>19800906</v>
      </c>
    </row>
    <row r="6191" s="1" customFormat="1" spans="1:13">
      <c r="A6191" s="2">
        <v>3320</v>
      </c>
      <c r="B6191" s="5" t="s">
        <v>3375</v>
      </c>
      <c r="C6191" s="6" t="s">
        <v>7094</v>
      </c>
      <c r="D6191" s="6" t="str">
        <f>"152326198009106890"</f>
        <v>152326198009106890</v>
      </c>
      <c r="E6191" s="5" t="s">
        <v>15</v>
      </c>
      <c r="F6191" s="5">
        <v>2020</v>
      </c>
      <c r="G6191" s="14" t="s">
        <v>16</v>
      </c>
      <c r="H6191" s="17">
        <v>200</v>
      </c>
      <c r="I6191" s="17">
        <v>200</v>
      </c>
      <c r="J6191" s="6"/>
      <c r="K6191" s="10"/>
      <c r="L6191" s="10">
        <v>20201118</v>
      </c>
      <c r="M6191" s="36" t="str">
        <f t="shared" si="96"/>
        <v>19800910</v>
      </c>
    </row>
    <row r="6192" s="1" customFormat="1" spans="1:13">
      <c r="A6192" s="2">
        <v>30</v>
      </c>
      <c r="B6192" s="31" t="s">
        <v>12</v>
      </c>
      <c r="C6192" s="17" t="s">
        <v>74</v>
      </c>
      <c r="D6192" s="17" t="s">
        <v>75</v>
      </c>
      <c r="E6192" s="3" t="s">
        <v>15</v>
      </c>
      <c r="F6192" s="3" t="s">
        <v>15</v>
      </c>
      <c r="G6192" s="2" t="s">
        <v>16</v>
      </c>
      <c r="H6192" s="17">
        <v>500</v>
      </c>
      <c r="I6192" s="17">
        <v>500</v>
      </c>
      <c r="J6192" s="31"/>
      <c r="K6192" s="17"/>
      <c r="L6192" s="10">
        <v>20201118</v>
      </c>
      <c r="M6192" s="36" t="str">
        <f t="shared" si="96"/>
        <v>19800911</v>
      </c>
    </row>
    <row r="6193" s="1" customFormat="1" spans="1:13">
      <c r="A6193" s="2">
        <v>4018</v>
      </c>
      <c r="B6193" s="5" t="s">
        <v>7412</v>
      </c>
      <c r="C6193" s="5" t="s">
        <v>8254</v>
      </c>
      <c r="D6193" s="5" t="s">
        <v>8255</v>
      </c>
      <c r="E6193" s="6">
        <v>2020</v>
      </c>
      <c r="F6193" s="6">
        <v>2020</v>
      </c>
      <c r="G6193" s="5" t="s">
        <v>3359</v>
      </c>
      <c r="H6193" s="5">
        <v>200</v>
      </c>
      <c r="I6193" s="5">
        <v>200</v>
      </c>
      <c r="J6193" s="5"/>
      <c r="K6193" s="5"/>
      <c r="L6193" s="10">
        <v>20201118</v>
      </c>
      <c r="M6193" s="36" t="str">
        <f t="shared" si="96"/>
        <v>19800911</v>
      </c>
    </row>
    <row r="6194" s="1" customFormat="1" spans="1:13">
      <c r="A6194" s="2">
        <v>1721</v>
      </c>
      <c r="B6194" s="5" t="s">
        <v>3381</v>
      </c>
      <c r="C6194" s="9" t="s">
        <v>4002</v>
      </c>
      <c r="D6194" s="9" t="s">
        <v>4003</v>
      </c>
      <c r="E6194" s="5">
        <v>2020</v>
      </c>
      <c r="F6194" s="5">
        <v>2020</v>
      </c>
      <c r="G6194" s="14" t="s">
        <v>16</v>
      </c>
      <c r="H6194" s="6">
        <v>500</v>
      </c>
      <c r="I6194" s="6">
        <v>500</v>
      </c>
      <c r="J6194" s="5"/>
      <c r="K6194" s="13"/>
      <c r="L6194" s="10">
        <v>20201118</v>
      </c>
      <c r="M6194" s="36" t="str">
        <f t="shared" si="96"/>
        <v>19800912</v>
      </c>
    </row>
    <row r="6195" s="1" customFormat="1" spans="1:13">
      <c r="A6195" s="2">
        <v>1805</v>
      </c>
      <c r="B6195" s="5" t="s">
        <v>3381</v>
      </c>
      <c r="C6195" s="9" t="s">
        <v>4173</v>
      </c>
      <c r="D6195" s="9" t="s">
        <v>4174</v>
      </c>
      <c r="E6195" s="5">
        <v>2020</v>
      </c>
      <c r="F6195" s="5">
        <v>2020</v>
      </c>
      <c r="G6195" s="5" t="s">
        <v>189</v>
      </c>
      <c r="H6195" s="6">
        <v>200</v>
      </c>
      <c r="I6195" s="6">
        <v>200</v>
      </c>
      <c r="J6195" s="5"/>
      <c r="K6195" s="13"/>
      <c r="L6195" s="10">
        <v>20201118</v>
      </c>
      <c r="M6195" s="36" t="str">
        <f t="shared" si="96"/>
        <v>19800912</v>
      </c>
    </row>
    <row r="6196" s="1" customFormat="1" spans="1:13">
      <c r="A6196" s="2">
        <v>5640</v>
      </c>
      <c r="B6196" s="30" t="s">
        <v>11090</v>
      </c>
      <c r="C6196" s="30" t="s">
        <v>11368</v>
      </c>
      <c r="D6196" s="30" t="s">
        <v>11369</v>
      </c>
      <c r="E6196" s="5" t="s">
        <v>15</v>
      </c>
      <c r="F6196" s="5" t="s">
        <v>10250</v>
      </c>
      <c r="G6196" s="6" t="s">
        <v>16</v>
      </c>
      <c r="H6196" s="32">
        <v>200</v>
      </c>
      <c r="I6196" s="32">
        <v>200</v>
      </c>
      <c r="J6196" s="6"/>
      <c r="K6196" s="48"/>
      <c r="L6196" s="10">
        <v>20201118</v>
      </c>
      <c r="M6196" s="36" t="str">
        <f t="shared" si="96"/>
        <v>19800912</v>
      </c>
    </row>
    <row r="6197" s="1" customFormat="1" spans="1:13">
      <c r="A6197" s="2">
        <v>4349</v>
      </c>
      <c r="B6197" s="9" t="s">
        <v>8515</v>
      </c>
      <c r="C6197" s="9" t="s">
        <v>8889</v>
      </c>
      <c r="D6197" s="9" t="s">
        <v>8890</v>
      </c>
      <c r="E6197" s="5" t="s">
        <v>15</v>
      </c>
      <c r="F6197" s="5">
        <v>2020</v>
      </c>
      <c r="G6197" s="9" t="s">
        <v>2480</v>
      </c>
      <c r="H6197" s="9">
        <v>200</v>
      </c>
      <c r="I6197" s="9">
        <v>200</v>
      </c>
      <c r="J6197" s="9"/>
      <c r="K6197" s="9"/>
      <c r="L6197" s="10">
        <v>20201118</v>
      </c>
      <c r="M6197" s="36" t="str">
        <f t="shared" si="96"/>
        <v>19800915</v>
      </c>
    </row>
    <row r="6198" s="1" customFormat="1" spans="1:13">
      <c r="A6198" s="2">
        <v>1238</v>
      </c>
      <c r="B6198" s="5" t="s">
        <v>2469</v>
      </c>
      <c r="C6198" s="9" t="s">
        <v>3058</v>
      </c>
      <c r="D6198" s="9" t="s">
        <v>3059</v>
      </c>
      <c r="E6198" s="5">
        <v>2020</v>
      </c>
      <c r="F6198" s="5">
        <v>2020</v>
      </c>
      <c r="G6198" s="9" t="s">
        <v>2480</v>
      </c>
      <c r="H6198" s="9">
        <v>200</v>
      </c>
      <c r="I6198" s="9">
        <v>200</v>
      </c>
      <c r="J6198" s="5"/>
      <c r="K6198" s="5"/>
      <c r="L6198" s="10">
        <v>20201118</v>
      </c>
      <c r="M6198" s="36" t="str">
        <f t="shared" si="96"/>
        <v>19800916</v>
      </c>
    </row>
    <row r="6199" s="1" customFormat="1" spans="1:13">
      <c r="A6199" s="2">
        <v>4019</v>
      </c>
      <c r="B6199" s="5" t="s">
        <v>7412</v>
      </c>
      <c r="C6199" s="5" t="s">
        <v>8256</v>
      </c>
      <c r="D6199" s="5" t="s">
        <v>8257</v>
      </c>
      <c r="E6199" s="6">
        <v>2020</v>
      </c>
      <c r="F6199" s="6">
        <v>2020</v>
      </c>
      <c r="G6199" s="5" t="s">
        <v>3359</v>
      </c>
      <c r="H6199" s="5">
        <v>200</v>
      </c>
      <c r="I6199" s="5">
        <v>200</v>
      </c>
      <c r="J6199" s="5"/>
      <c r="K6199" s="5"/>
      <c r="L6199" s="10">
        <v>20201118</v>
      </c>
      <c r="M6199" s="36" t="str">
        <f t="shared" si="96"/>
        <v>19800916</v>
      </c>
    </row>
    <row r="6200" s="1" customFormat="1" ht="14.25" spans="1:13">
      <c r="A6200" s="2">
        <v>6020</v>
      </c>
      <c r="B6200" s="30" t="s">
        <v>11090</v>
      </c>
      <c r="C6200" s="32" t="s">
        <v>12083</v>
      </c>
      <c r="D6200" s="12" t="s">
        <v>12084</v>
      </c>
      <c r="E6200" s="5" t="s">
        <v>15</v>
      </c>
      <c r="F6200" s="5" t="s">
        <v>10250</v>
      </c>
      <c r="G6200" s="6" t="s">
        <v>16</v>
      </c>
      <c r="H6200" s="32">
        <v>200</v>
      </c>
      <c r="I6200" s="32">
        <v>200</v>
      </c>
      <c r="J6200" s="5"/>
      <c r="K6200" s="48"/>
      <c r="L6200" s="10">
        <v>20201118</v>
      </c>
      <c r="M6200" s="36" t="str">
        <f t="shared" si="96"/>
        <v>19800916</v>
      </c>
    </row>
    <row r="6201" s="1" customFormat="1" spans="1:13">
      <c r="A6201" s="2">
        <v>294</v>
      </c>
      <c r="B6201" s="14" t="s">
        <v>327</v>
      </c>
      <c r="C6201" s="17" t="s">
        <v>770</v>
      </c>
      <c r="D6201" s="17" t="s">
        <v>771</v>
      </c>
      <c r="E6201" s="5">
        <v>2020</v>
      </c>
      <c r="F6201" s="5">
        <v>2020</v>
      </c>
      <c r="G6201" s="14" t="s">
        <v>16</v>
      </c>
      <c r="H6201" s="17">
        <v>200</v>
      </c>
      <c r="I6201" s="17">
        <v>200</v>
      </c>
      <c r="J6201" s="17"/>
      <c r="K6201" s="10"/>
      <c r="L6201" s="14" t="s">
        <v>330</v>
      </c>
      <c r="M6201" s="36" t="str">
        <f t="shared" si="96"/>
        <v>19800920</v>
      </c>
    </row>
    <row r="6202" s="1" customFormat="1" spans="1:13">
      <c r="A6202" s="2">
        <v>4350</v>
      </c>
      <c r="B6202" s="9" t="s">
        <v>8515</v>
      </c>
      <c r="C6202" s="9" t="s">
        <v>8891</v>
      </c>
      <c r="D6202" s="9" t="s">
        <v>8892</v>
      </c>
      <c r="E6202" s="5" t="s">
        <v>15</v>
      </c>
      <c r="F6202" s="5">
        <v>2020</v>
      </c>
      <c r="G6202" s="9" t="s">
        <v>2480</v>
      </c>
      <c r="H6202" s="9">
        <v>200</v>
      </c>
      <c r="I6202" s="9">
        <v>200</v>
      </c>
      <c r="J6202" s="9"/>
      <c r="K6202" s="9"/>
      <c r="L6202" s="10">
        <v>20201118</v>
      </c>
      <c r="M6202" s="36" t="str">
        <f t="shared" si="96"/>
        <v>19800920</v>
      </c>
    </row>
    <row r="6203" s="1" customFormat="1" ht="14.25" spans="1:13">
      <c r="A6203" s="2">
        <v>5961</v>
      </c>
      <c r="B6203" s="30" t="s">
        <v>11090</v>
      </c>
      <c r="C6203" s="32" t="s">
        <v>11969</v>
      </c>
      <c r="D6203" s="12" t="s">
        <v>11970</v>
      </c>
      <c r="E6203" s="5" t="s">
        <v>15</v>
      </c>
      <c r="F6203" s="5" t="s">
        <v>10250</v>
      </c>
      <c r="G6203" s="6" t="s">
        <v>16</v>
      </c>
      <c r="H6203" s="32">
        <v>200</v>
      </c>
      <c r="I6203" s="32">
        <v>200</v>
      </c>
      <c r="J6203" s="6" t="s">
        <v>6097</v>
      </c>
      <c r="K6203" s="48"/>
      <c r="L6203" s="10">
        <v>20201118</v>
      </c>
      <c r="M6203" s="36" t="str">
        <f t="shared" si="96"/>
        <v>19800921</v>
      </c>
    </row>
    <row r="6204" s="1" customFormat="1" spans="1:13">
      <c r="A6204" s="2">
        <v>4020</v>
      </c>
      <c r="B6204" s="5" t="s">
        <v>7412</v>
      </c>
      <c r="C6204" s="5" t="s">
        <v>8258</v>
      </c>
      <c r="D6204" s="5" t="s">
        <v>8259</v>
      </c>
      <c r="E6204" s="6">
        <v>2020</v>
      </c>
      <c r="F6204" s="6">
        <v>2020</v>
      </c>
      <c r="G6204" s="5" t="s">
        <v>3359</v>
      </c>
      <c r="H6204" s="5">
        <v>200</v>
      </c>
      <c r="I6204" s="5">
        <v>200</v>
      </c>
      <c r="J6204" s="5"/>
      <c r="K6204" s="5"/>
      <c r="L6204" s="10">
        <v>20201118</v>
      </c>
      <c r="M6204" s="36" t="str">
        <f t="shared" si="96"/>
        <v>19800922</v>
      </c>
    </row>
    <row r="6205" s="1" customFormat="1" spans="1:13">
      <c r="A6205" s="2">
        <v>5750</v>
      </c>
      <c r="B6205" s="30" t="s">
        <v>11090</v>
      </c>
      <c r="C6205" s="30" t="s">
        <v>11584</v>
      </c>
      <c r="D6205" s="30" t="s">
        <v>11585</v>
      </c>
      <c r="E6205" s="5" t="s">
        <v>15</v>
      </c>
      <c r="F6205" s="5" t="s">
        <v>10250</v>
      </c>
      <c r="G6205" s="6" t="s">
        <v>16</v>
      </c>
      <c r="H6205" s="32">
        <v>200</v>
      </c>
      <c r="I6205" s="32">
        <v>200</v>
      </c>
      <c r="J6205" s="6"/>
      <c r="K6205" s="48"/>
      <c r="L6205" s="10">
        <v>20201118</v>
      </c>
      <c r="M6205" s="36" t="str">
        <f t="shared" si="96"/>
        <v>19800922</v>
      </c>
    </row>
    <row r="6206" s="1" customFormat="1" spans="1:13">
      <c r="A6206" s="2">
        <v>1239</v>
      </c>
      <c r="B6206" s="5" t="s">
        <v>2469</v>
      </c>
      <c r="C6206" s="9" t="s">
        <v>3060</v>
      </c>
      <c r="D6206" s="9" t="s">
        <v>3061</v>
      </c>
      <c r="E6206" s="5">
        <v>2020</v>
      </c>
      <c r="F6206" s="5">
        <v>2020</v>
      </c>
      <c r="G6206" s="9" t="s">
        <v>2480</v>
      </c>
      <c r="H6206" s="9">
        <v>200</v>
      </c>
      <c r="I6206" s="9">
        <v>200</v>
      </c>
      <c r="J6206" s="5"/>
      <c r="K6206" s="5"/>
      <c r="L6206" s="10">
        <v>20201118</v>
      </c>
      <c r="M6206" s="36" t="str">
        <f t="shared" si="96"/>
        <v>19800923</v>
      </c>
    </row>
    <row r="6207" s="1" customFormat="1" spans="1:13">
      <c r="A6207" s="2">
        <v>4021</v>
      </c>
      <c r="B6207" s="5" t="s">
        <v>7412</v>
      </c>
      <c r="C6207" s="5" t="s">
        <v>8260</v>
      </c>
      <c r="D6207" s="5" t="s">
        <v>8261</v>
      </c>
      <c r="E6207" s="6">
        <v>2020</v>
      </c>
      <c r="F6207" s="6">
        <v>2020</v>
      </c>
      <c r="G6207" s="5" t="s">
        <v>3359</v>
      </c>
      <c r="H6207" s="5">
        <v>200</v>
      </c>
      <c r="I6207" s="5">
        <v>200</v>
      </c>
      <c r="J6207" s="5"/>
      <c r="K6207" s="5"/>
      <c r="L6207" s="10">
        <v>20201118</v>
      </c>
      <c r="M6207" s="36" t="str">
        <f t="shared" si="96"/>
        <v>19800925</v>
      </c>
    </row>
    <row r="6208" s="1" customFormat="1" spans="1:13">
      <c r="A6208" s="2">
        <v>1240</v>
      </c>
      <c r="B6208" s="5" t="s">
        <v>2469</v>
      </c>
      <c r="C6208" s="9" t="s">
        <v>3062</v>
      </c>
      <c r="D6208" s="9" t="s">
        <v>3063</v>
      </c>
      <c r="E6208" s="5">
        <v>2020</v>
      </c>
      <c r="F6208" s="5">
        <v>2020</v>
      </c>
      <c r="G6208" s="9" t="s">
        <v>2480</v>
      </c>
      <c r="H6208" s="9">
        <v>200</v>
      </c>
      <c r="I6208" s="9">
        <v>200</v>
      </c>
      <c r="J6208" s="5"/>
      <c r="K6208" s="5"/>
      <c r="L6208" s="10">
        <v>20201118</v>
      </c>
      <c r="M6208" s="36" t="str">
        <f t="shared" si="96"/>
        <v>19800927</v>
      </c>
    </row>
    <row r="6209" s="1" customFormat="1" spans="1:13">
      <c r="A6209" s="2">
        <v>1241</v>
      </c>
      <c r="B6209" s="5" t="s">
        <v>2469</v>
      </c>
      <c r="C6209" s="9" t="s">
        <v>3064</v>
      </c>
      <c r="D6209" s="9" t="s">
        <v>3065</v>
      </c>
      <c r="E6209" s="5">
        <v>2020</v>
      </c>
      <c r="F6209" s="5">
        <v>2020</v>
      </c>
      <c r="G6209" s="9" t="s">
        <v>2480</v>
      </c>
      <c r="H6209" s="9">
        <v>200</v>
      </c>
      <c r="I6209" s="9">
        <v>200</v>
      </c>
      <c r="J6209" s="5"/>
      <c r="K6209" s="5"/>
      <c r="L6209" s="10">
        <v>20201118</v>
      </c>
      <c r="M6209" s="36" t="str">
        <f t="shared" si="96"/>
        <v>19800930</v>
      </c>
    </row>
    <row r="6210" s="1" customFormat="1" spans="1:13">
      <c r="A6210" s="2">
        <v>2700</v>
      </c>
      <c r="B6210" s="32" t="s">
        <v>5602</v>
      </c>
      <c r="C6210" s="9" t="s">
        <v>5932</v>
      </c>
      <c r="D6210" s="9" t="s">
        <v>5933</v>
      </c>
      <c r="E6210" s="32">
        <v>2020</v>
      </c>
      <c r="F6210" s="32">
        <v>2020</v>
      </c>
      <c r="G6210" s="32" t="s">
        <v>16</v>
      </c>
      <c r="H6210" s="9">
        <v>200</v>
      </c>
      <c r="I6210" s="9">
        <v>200</v>
      </c>
      <c r="J6210" s="32"/>
      <c r="K6210" s="52"/>
      <c r="L6210" s="10">
        <v>20201118</v>
      </c>
      <c r="M6210" s="36" t="str">
        <f t="shared" ref="M6210:M6273" si="97">MID(D6210,7,8)</f>
        <v>19801001</v>
      </c>
    </row>
    <row r="6211" s="1" customFormat="1" spans="1:13">
      <c r="A6211" s="2">
        <v>2492</v>
      </c>
      <c r="B6211" s="5" t="s">
        <v>5328</v>
      </c>
      <c r="C6211" s="16" t="s">
        <v>5519</v>
      </c>
      <c r="D6211" s="16" t="s">
        <v>5520</v>
      </c>
      <c r="E6211" s="5" t="s">
        <v>15</v>
      </c>
      <c r="F6211" s="5" t="s">
        <v>15</v>
      </c>
      <c r="G6211" s="14" t="s">
        <v>16</v>
      </c>
      <c r="H6211" s="6">
        <v>500</v>
      </c>
      <c r="I6211" s="6">
        <v>500</v>
      </c>
      <c r="J6211" s="5"/>
      <c r="K6211" s="5"/>
      <c r="L6211" s="10">
        <v>20201118</v>
      </c>
      <c r="M6211" s="36" t="str">
        <f t="shared" si="97"/>
        <v>19801003</v>
      </c>
    </row>
    <row r="6212" s="1" customFormat="1" spans="1:13">
      <c r="A6212" s="2">
        <v>4022</v>
      </c>
      <c r="B6212" s="5" t="s">
        <v>7412</v>
      </c>
      <c r="C6212" s="5" t="s">
        <v>8262</v>
      </c>
      <c r="D6212" s="5" t="s">
        <v>8263</v>
      </c>
      <c r="E6212" s="6">
        <v>2020</v>
      </c>
      <c r="F6212" s="6">
        <v>2020</v>
      </c>
      <c r="G6212" s="5" t="s">
        <v>3359</v>
      </c>
      <c r="H6212" s="5">
        <v>200</v>
      </c>
      <c r="I6212" s="5">
        <v>200</v>
      </c>
      <c r="J6212" s="5"/>
      <c r="K6212" s="5"/>
      <c r="L6212" s="10">
        <v>20201118</v>
      </c>
      <c r="M6212" s="36" t="str">
        <f t="shared" si="97"/>
        <v>19801003</v>
      </c>
    </row>
    <row r="6213" s="1" customFormat="1" spans="1:13">
      <c r="A6213" s="2">
        <v>80</v>
      </c>
      <c r="B6213" s="3" t="s">
        <v>12</v>
      </c>
      <c r="C6213" s="6" t="s">
        <v>175</v>
      </c>
      <c r="D6213" s="6" t="s">
        <v>176</v>
      </c>
      <c r="E6213" s="3" t="s">
        <v>15</v>
      </c>
      <c r="F6213" s="3" t="s">
        <v>15</v>
      </c>
      <c r="G6213" s="2" t="s">
        <v>16</v>
      </c>
      <c r="H6213" s="3">
        <v>300</v>
      </c>
      <c r="I6213" s="3">
        <v>300</v>
      </c>
      <c r="J6213" s="3"/>
      <c r="K6213" s="3"/>
      <c r="L6213" s="10">
        <v>20201118</v>
      </c>
      <c r="M6213" s="36" t="str">
        <f t="shared" si="97"/>
        <v>19801004</v>
      </c>
    </row>
    <row r="6214" s="1" customFormat="1" spans="1:13">
      <c r="A6214" s="2">
        <v>6733</v>
      </c>
      <c r="B6214" s="5" t="s">
        <v>13027</v>
      </c>
      <c r="C6214" s="15" t="s">
        <v>13434</v>
      </c>
      <c r="D6214" s="15" t="s">
        <v>13435</v>
      </c>
      <c r="E6214" s="5">
        <v>2020</v>
      </c>
      <c r="F6214" s="5">
        <v>2020</v>
      </c>
      <c r="G6214" s="14" t="s">
        <v>16</v>
      </c>
      <c r="H6214" s="15">
        <v>200</v>
      </c>
      <c r="I6214" s="15">
        <v>200</v>
      </c>
      <c r="J6214" s="5"/>
      <c r="K6214" s="10"/>
      <c r="L6214" s="10">
        <v>20201118</v>
      </c>
      <c r="M6214" s="36" t="str">
        <f t="shared" si="97"/>
        <v>19801004</v>
      </c>
    </row>
    <row r="6215" s="1" customFormat="1" ht="14.25" spans="1:13">
      <c r="A6215" s="2">
        <v>2953</v>
      </c>
      <c r="B6215" s="6" t="s">
        <v>6075</v>
      </c>
      <c r="C6215" s="25" t="s">
        <v>6433</v>
      </c>
      <c r="D6215" s="26" t="s">
        <v>6434</v>
      </c>
      <c r="E6215" s="5" t="s">
        <v>15</v>
      </c>
      <c r="F6215" s="5">
        <v>2020</v>
      </c>
      <c r="G6215" s="6" t="s">
        <v>16</v>
      </c>
      <c r="H6215" s="6">
        <v>500</v>
      </c>
      <c r="I6215" s="6">
        <v>500</v>
      </c>
      <c r="J6215" s="6"/>
      <c r="K6215" s="10"/>
      <c r="L6215" s="10">
        <v>20201118</v>
      </c>
      <c r="M6215" s="36" t="str">
        <f t="shared" si="97"/>
        <v>19801005</v>
      </c>
    </row>
    <row r="6216" s="1" customFormat="1" ht="14.25" spans="1:13">
      <c r="A6216" s="2">
        <v>2905</v>
      </c>
      <c r="B6216" s="6" t="s">
        <v>6075</v>
      </c>
      <c r="C6216" s="25" t="s">
        <v>6337</v>
      </c>
      <c r="D6216" s="26" t="s">
        <v>6338</v>
      </c>
      <c r="E6216" s="5" t="s">
        <v>15</v>
      </c>
      <c r="F6216" s="5">
        <v>2020</v>
      </c>
      <c r="G6216" s="6" t="s">
        <v>16</v>
      </c>
      <c r="H6216" s="6">
        <v>200</v>
      </c>
      <c r="I6216" s="6">
        <v>200</v>
      </c>
      <c r="J6216" s="6"/>
      <c r="K6216" s="10"/>
      <c r="L6216" s="10">
        <v>20201118</v>
      </c>
      <c r="M6216" s="36" t="str">
        <f t="shared" si="97"/>
        <v>19801006</v>
      </c>
    </row>
    <row r="6217" s="1" customFormat="1" spans="1:13">
      <c r="A6217" s="2">
        <v>5688</v>
      </c>
      <c r="B6217" s="30" t="s">
        <v>11090</v>
      </c>
      <c r="C6217" s="30" t="s">
        <v>11461</v>
      </c>
      <c r="D6217" s="30" t="s">
        <v>11462</v>
      </c>
      <c r="E6217" s="5" t="s">
        <v>15</v>
      </c>
      <c r="F6217" s="5" t="s">
        <v>10250</v>
      </c>
      <c r="G6217" s="6" t="s">
        <v>16</v>
      </c>
      <c r="H6217" s="32">
        <v>200</v>
      </c>
      <c r="I6217" s="32">
        <v>200</v>
      </c>
      <c r="J6217" s="6"/>
      <c r="K6217" s="48"/>
      <c r="L6217" s="10">
        <v>20201118</v>
      </c>
      <c r="M6217" s="36" t="str">
        <f t="shared" si="97"/>
        <v>19801006</v>
      </c>
    </row>
    <row r="6218" s="1" customFormat="1" spans="1:13">
      <c r="A6218" s="2">
        <v>3317</v>
      </c>
      <c r="B6218" s="5" t="s">
        <v>3375</v>
      </c>
      <c r="C6218" s="6" t="s">
        <v>7091</v>
      </c>
      <c r="D6218" s="6" t="str">
        <f>"152326198010076879"</f>
        <v>152326198010076879</v>
      </c>
      <c r="E6218" s="5" t="s">
        <v>15</v>
      </c>
      <c r="F6218" s="5">
        <v>2020</v>
      </c>
      <c r="G6218" s="14" t="s">
        <v>16</v>
      </c>
      <c r="H6218" s="17">
        <v>200</v>
      </c>
      <c r="I6218" s="17">
        <v>200</v>
      </c>
      <c r="J6218" s="6"/>
      <c r="K6218" s="10"/>
      <c r="L6218" s="10">
        <v>20201118</v>
      </c>
      <c r="M6218" s="36" t="str">
        <f t="shared" si="97"/>
        <v>19801007</v>
      </c>
    </row>
    <row r="6219" s="1" customFormat="1" spans="1:13">
      <c r="A6219" s="2">
        <v>6734</v>
      </c>
      <c r="B6219" s="5" t="s">
        <v>13027</v>
      </c>
      <c r="C6219" s="15" t="s">
        <v>11001</v>
      </c>
      <c r="D6219" s="15" t="s">
        <v>13436</v>
      </c>
      <c r="E6219" s="5">
        <v>2020</v>
      </c>
      <c r="F6219" s="5">
        <v>2020</v>
      </c>
      <c r="G6219" s="14" t="s">
        <v>16</v>
      </c>
      <c r="H6219" s="15">
        <v>200</v>
      </c>
      <c r="I6219" s="15">
        <v>200</v>
      </c>
      <c r="J6219" s="5"/>
      <c r="K6219" s="10"/>
      <c r="L6219" s="10">
        <v>20201118</v>
      </c>
      <c r="M6219" s="36" t="str">
        <f t="shared" si="97"/>
        <v>19801008</v>
      </c>
    </row>
    <row r="6220" s="1" customFormat="1" spans="1:13">
      <c r="A6220" s="2">
        <v>8137</v>
      </c>
      <c r="B6220" s="5" t="s">
        <v>15406</v>
      </c>
      <c r="C6220" s="6" t="s">
        <v>15467</v>
      </c>
      <c r="D6220" s="293" t="s">
        <v>15468</v>
      </c>
      <c r="E6220" s="5" t="s">
        <v>15</v>
      </c>
      <c r="F6220" s="5">
        <v>2020</v>
      </c>
      <c r="G6220" s="14" t="s">
        <v>16</v>
      </c>
      <c r="H6220" s="6">
        <v>200</v>
      </c>
      <c r="I6220" s="6">
        <v>200</v>
      </c>
      <c r="J6220" s="5"/>
      <c r="K6220" s="10"/>
      <c r="L6220" s="10">
        <v>20201118</v>
      </c>
      <c r="M6220" s="36" t="str">
        <f t="shared" si="97"/>
        <v>19801008</v>
      </c>
    </row>
    <row r="6221" s="1" customFormat="1" spans="1:13">
      <c r="A6221" s="2">
        <v>5060</v>
      </c>
      <c r="B6221" s="6" t="s">
        <v>10242</v>
      </c>
      <c r="C6221" s="9" t="s">
        <v>10257</v>
      </c>
      <c r="D6221" s="9" t="s">
        <v>10258</v>
      </c>
      <c r="E6221" s="5" t="s">
        <v>10250</v>
      </c>
      <c r="F6221" s="5">
        <v>2020</v>
      </c>
      <c r="G6221" s="6" t="s">
        <v>16</v>
      </c>
      <c r="H6221" s="6">
        <v>200</v>
      </c>
      <c r="I6221" s="6">
        <v>200</v>
      </c>
      <c r="J6221" s="6"/>
      <c r="K6221" s="5"/>
      <c r="L6221" s="10">
        <v>20201118</v>
      </c>
      <c r="M6221" s="36" t="str">
        <f t="shared" si="97"/>
        <v>19801009</v>
      </c>
    </row>
    <row r="6222" s="1" customFormat="1" spans="1:13">
      <c r="A6222" s="2">
        <v>3319</v>
      </c>
      <c r="B6222" s="5" t="s">
        <v>3375</v>
      </c>
      <c r="C6222" s="6" t="s">
        <v>7093</v>
      </c>
      <c r="D6222" s="6" t="str">
        <f>"152326198010106994"</f>
        <v>152326198010106994</v>
      </c>
      <c r="E6222" s="5" t="s">
        <v>15</v>
      </c>
      <c r="F6222" s="5">
        <v>2020</v>
      </c>
      <c r="G6222" s="14" t="s">
        <v>16</v>
      </c>
      <c r="H6222" s="17">
        <v>200</v>
      </c>
      <c r="I6222" s="17">
        <v>200</v>
      </c>
      <c r="J6222" s="6"/>
      <c r="K6222" s="10"/>
      <c r="L6222" s="10">
        <v>20201118</v>
      </c>
      <c r="M6222" s="36" t="str">
        <f t="shared" si="97"/>
        <v>19801010</v>
      </c>
    </row>
    <row r="6223" s="1" customFormat="1" spans="1:13">
      <c r="A6223" s="2">
        <v>4839</v>
      </c>
      <c r="B6223" s="6" t="s">
        <v>9015</v>
      </c>
      <c r="C6223" s="6" t="s">
        <v>9823</v>
      </c>
      <c r="D6223" s="293" t="s">
        <v>9824</v>
      </c>
      <c r="E6223" s="6">
        <v>2020</v>
      </c>
      <c r="F6223" s="6">
        <v>2020</v>
      </c>
      <c r="G6223" s="6" t="s">
        <v>16</v>
      </c>
      <c r="H6223" s="6">
        <v>200</v>
      </c>
      <c r="I6223" s="6">
        <v>200</v>
      </c>
      <c r="J6223" s="6"/>
      <c r="K6223" s="6"/>
      <c r="L6223" s="10">
        <v>20201118</v>
      </c>
      <c r="M6223" s="36" t="str">
        <f t="shared" si="97"/>
        <v>19801010</v>
      </c>
    </row>
    <row r="6224" s="1" customFormat="1" spans="1:13">
      <c r="A6224" s="2">
        <v>4023</v>
      </c>
      <c r="B6224" s="5" t="s">
        <v>7412</v>
      </c>
      <c r="C6224" s="5" t="s">
        <v>8264</v>
      </c>
      <c r="D6224" s="5" t="s">
        <v>8265</v>
      </c>
      <c r="E6224" s="6">
        <v>2020</v>
      </c>
      <c r="F6224" s="6">
        <v>2020</v>
      </c>
      <c r="G6224" s="5" t="s">
        <v>3359</v>
      </c>
      <c r="H6224" s="5">
        <v>200</v>
      </c>
      <c r="I6224" s="5">
        <v>200</v>
      </c>
      <c r="J6224" s="5"/>
      <c r="K6224" s="5"/>
      <c r="L6224" s="10">
        <v>20201118</v>
      </c>
      <c r="M6224" s="36" t="str">
        <f t="shared" si="97"/>
        <v>19801011</v>
      </c>
    </row>
    <row r="6225" s="1" customFormat="1" spans="1:13">
      <c r="A6225" s="2">
        <v>4024</v>
      </c>
      <c r="B6225" s="5" t="s">
        <v>7412</v>
      </c>
      <c r="C6225" s="5" t="s">
        <v>8266</v>
      </c>
      <c r="D6225" s="5" t="s">
        <v>8267</v>
      </c>
      <c r="E6225" s="6">
        <v>2020</v>
      </c>
      <c r="F6225" s="6">
        <v>2020</v>
      </c>
      <c r="G6225" s="5" t="s">
        <v>3359</v>
      </c>
      <c r="H6225" s="5">
        <v>200</v>
      </c>
      <c r="I6225" s="5">
        <v>200</v>
      </c>
      <c r="J6225" s="5"/>
      <c r="K6225" s="5"/>
      <c r="L6225" s="10">
        <v>20201118</v>
      </c>
      <c r="M6225" s="36" t="str">
        <f t="shared" si="97"/>
        <v>19801014</v>
      </c>
    </row>
    <row r="6226" s="1" customFormat="1" spans="1:13">
      <c r="A6226" s="2">
        <v>570</v>
      </c>
      <c r="B6226" s="29" t="s">
        <v>1040</v>
      </c>
      <c r="C6226" s="29" t="s">
        <v>1416</v>
      </c>
      <c r="D6226" s="29" t="s">
        <v>1417</v>
      </c>
      <c r="E6226" s="30">
        <v>2020</v>
      </c>
      <c r="F6226" s="30">
        <v>2020</v>
      </c>
      <c r="G6226" s="29" t="s">
        <v>16</v>
      </c>
      <c r="H6226" s="29">
        <v>200</v>
      </c>
      <c r="I6226" s="29">
        <v>200</v>
      </c>
      <c r="J6226" s="29"/>
      <c r="K6226" s="47"/>
      <c r="L6226" s="2" t="s">
        <v>330</v>
      </c>
      <c r="M6226" s="36" t="str">
        <f t="shared" si="97"/>
        <v>19801015</v>
      </c>
    </row>
    <row r="6227" s="1" customFormat="1" spans="1:13">
      <c r="A6227" s="2">
        <v>4836</v>
      </c>
      <c r="B6227" s="6" t="s">
        <v>9015</v>
      </c>
      <c r="C6227" s="6" t="s">
        <v>8816</v>
      </c>
      <c r="D6227" s="293" t="s">
        <v>9818</v>
      </c>
      <c r="E6227" s="6">
        <v>2020</v>
      </c>
      <c r="F6227" s="6">
        <v>2020</v>
      </c>
      <c r="G6227" s="6" t="s">
        <v>16</v>
      </c>
      <c r="H6227" s="6">
        <v>200</v>
      </c>
      <c r="I6227" s="6">
        <v>200</v>
      </c>
      <c r="J6227" s="6"/>
      <c r="K6227" s="6"/>
      <c r="L6227" s="10">
        <v>20201118</v>
      </c>
      <c r="M6227" s="36" t="str">
        <f t="shared" si="97"/>
        <v>19801015</v>
      </c>
    </row>
    <row r="6228" s="1" customFormat="1" spans="1:13">
      <c r="A6228" s="2">
        <v>7468</v>
      </c>
      <c r="B6228" s="5" t="s">
        <v>14402</v>
      </c>
      <c r="C6228" s="5" t="s">
        <v>14553</v>
      </c>
      <c r="D6228" s="5" t="s">
        <v>14554</v>
      </c>
      <c r="E6228" s="5">
        <v>2020</v>
      </c>
      <c r="F6228" s="5">
        <v>2020</v>
      </c>
      <c r="G6228" s="17" t="s">
        <v>16</v>
      </c>
      <c r="H6228" s="5">
        <v>500</v>
      </c>
      <c r="I6228" s="5">
        <v>500</v>
      </c>
      <c r="J6228" s="5"/>
      <c r="K6228" s="10"/>
      <c r="L6228" s="10">
        <v>20201118</v>
      </c>
      <c r="M6228" s="36" t="str">
        <f t="shared" si="97"/>
        <v>19801020</v>
      </c>
    </row>
    <row r="6229" s="1" customFormat="1" spans="1:13">
      <c r="A6229" s="2">
        <v>3537</v>
      </c>
      <c r="B6229" s="5" t="s">
        <v>3375</v>
      </c>
      <c r="C6229" s="5" t="s">
        <v>7345</v>
      </c>
      <c r="D6229" s="296" t="s">
        <v>7346</v>
      </c>
      <c r="E6229" s="5" t="s">
        <v>15</v>
      </c>
      <c r="F6229" s="5">
        <v>2020</v>
      </c>
      <c r="G6229" s="14" t="s">
        <v>16</v>
      </c>
      <c r="H6229" s="5">
        <v>200</v>
      </c>
      <c r="I6229" s="5">
        <v>200</v>
      </c>
      <c r="J6229" s="5"/>
      <c r="K6229" s="10"/>
      <c r="L6229" s="10">
        <v>20201118</v>
      </c>
      <c r="M6229" s="36" t="str">
        <f t="shared" si="97"/>
        <v>19801021</v>
      </c>
    </row>
    <row r="6230" s="1" customFormat="1" spans="1:13">
      <c r="A6230" s="2">
        <v>7474</v>
      </c>
      <c r="B6230" s="5" t="s">
        <v>14402</v>
      </c>
      <c r="C6230" s="5" t="s">
        <v>14564</v>
      </c>
      <c r="D6230" s="5" t="s">
        <v>14565</v>
      </c>
      <c r="E6230" s="5">
        <v>2020</v>
      </c>
      <c r="F6230" s="5">
        <v>2020</v>
      </c>
      <c r="G6230" s="17" t="s">
        <v>16</v>
      </c>
      <c r="H6230" s="5">
        <v>200</v>
      </c>
      <c r="I6230" s="5">
        <v>200</v>
      </c>
      <c r="J6230" s="5"/>
      <c r="K6230" s="10"/>
      <c r="L6230" s="10">
        <v>20201118</v>
      </c>
      <c r="M6230" s="36" t="str">
        <f t="shared" si="97"/>
        <v>19801023</v>
      </c>
    </row>
    <row r="6231" s="1" customFormat="1" spans="1:13">
      <c r="A6231" s="2">
        <v>2701</v>
      </c>
      <c r="B6231" s="32" t="s">
        <v>5602</v>
      </c>
      <c r="C6231" s="9" t="s">
        <v>5934</v>
      </c>
      <c r="D6231" s="9" t="s">
        <v>5935</v>
      </c>
      <c r="E6231" s="32">
        <v>2020</v>
      </c>
      <c r="F6231" s="32">
        <v>2020</v>
      </c>
      <c r="G6231" s="32" t="s">
        <v>16</v>
      </c>
      <c r="H6231" s="9">
        <v>200</v>
      </c>
      <c r="I6231" s="9">
        <v>200</v>
      </c>
      <c r="J6231" s="32"/>
      <c r="K6231" s="52"/>
      <c r="L6231" s="10">
        <v>20201118</v>
      </c>
      <c r="M6231" s="36" t="str">
        <f t="shared" si="97"/>
        <v>19801024</v>
      </c>
    </row>
    <row r="6232" s="1" customFormat="1" spans="1:13">
      <c r="A6232" s="2">
        <v>6735</v>
      </c>
      <c r="B6232" s="5" t="s">
        <v>13027</v>
      </c>
      <c r="C6232" s="15" t="s">
        <v>13437</v>
      </c>
      <c r="D6232" s="15" t="s">
        <v>13438</v>
      </c>
      <c r="E6232" s="5">
        <v>2020</v>
      </c>
      <c r="F6232" s="5">
        <v>2020</v>
      </c>
      <c r="G6232" s="14" t="s">
        <v>16</v>
      </c>
      <c r="H6232" s="15">
        <v>200</v>
      </c>
      <c r="I6232" s="15">
        <v>200</v>
      </c>
      <c r="J6232" s="5"/>
      <c r="K6232" s="10"/>
      <c r="L6232" s="10">
        <v>20201118</v>
      </c>
      <c r="M6232" s="36" t="str">
        <f t="shared" si="97"/>
        <v>19801024</v>
      </c>
    </row>
    <row r="6233" s="1" customFormat="1" spans="1:13">
      <c r="A6233" s="2">
        <v>4025</v>
      </c>
      <c r="B6233" s="5" t="s">
        <v>7412</v>
      </c>
      <c r="C6233" s="5" t="s">
        <v>8268</v>
      </c>
      <c r="D6233" s="5" t="s">
        <v>8269</v>
      </c>
      <c r="E6233" s="6">
        <v>2020</v>
      </c>
      <c r="F6233" s="6">
        <v>2020</v>
      </c>
      <c r="G6233" s="5" t="s">
        <v>3359</v>
      </c>
      <c r="H6233" s="5">
        <v>200</v>
      </c>
      <c r="I6233" s="5">
        <v>200</v>
      </c>
      <c r="J6233" s="5"/>
      <c r="K6233" s="5"/>
      <c r="L6233" s="10">
        <v>20201118</v>
      </c>
      <c r="M6233" s="36" t="str">
        <f t="shared" si="97"/>
        <v>19801026</v>
      </c>
    </row>
    <row r="6234" s="1" customFormat="1" spans="1:13">
      <c r="A6234" s="2">
        <v>49</v>
      </c>
      <c r="B6234" s="31" t="s">
        <v>12</v>
      </c>
      <c r="C6234" s="17" t="s">
        <v>113</v>
      </c>
      <c r="D6234" s="17" t="s">
        <v>114</v>
      </c>
      <c r="E6234" s="3" t="s">
        <v>15</v>
      </c>
      <c r="F6234" s="3" t="s">
        <v>15</v>
      </c>
      <c r="G6234" s="2" t="s">
        <v>16</v>
      </c>
      <c r="H6234" s="17">
        <v>1000</v>
      </c>
      <c r="I6234" s="17">
        <v>1000</v>
      </c>
      <c r="J6234" s="17"/>
      <c r="K6234" s="17"/>
      <c r="L6234" s="10">
        <v>20201118</v>
      </c>
      <c r="M6234" s="36" t="str">
        <f t="shared" si="97"/>
        <v>19801027</v>
      </c>
    </row>
    <row r="6235" s="1" customFormat="1" spans="1:13">
      <c r="A6235" s="2">
        <v>7897</v>
      </c>
      <c r="B6235" s="5" t="s">
        <v>15086</v>
      </c>
      <c r="C6235" s="6" t="s">
        <v>15172</v>
      </c>
      <c r="D6235" s="6" t="str">
        <f>"152326198010296871"</f>
        <v>152326198010296871</v>
      </c>
      <c r="E6235" s="5" t="s">
        <v>15</v>
      </c>
      <c r="F6235" s="5">
        <v>2020</v>
      </c>
      <c r="G6235" s="5" t="s">
        <v>16</v>
      </c>
      <c r="H6235" s="5">
        <v>200</v>
      </c>
      <c r="I6235" s="5">
        <v>200</v>
      </c>
      <c r="J6235" s="5"/>
      <c r="K6235" s="5"/>
      <c r="L6235" s="10">
        <v>20201118</v>
      </c>
      <c r="M6235" s="36" t="str">
        <f t="shared" si="97"/>
        <v>19801029</v>
      </c>
    </row>
    <row r="6236" s="1" customFormat="1" spans="1:13">
      <c r="A6236" s="2">
        <v>5572</v>
      </c>
      <c r="B6236" s="30" t="s">
        <v>11090</v>
      </c>
      <c r="C6236" s="30" t="s">
        <v>11238</v>
      </c>
      <c r="D6236" s="30" t="s">
        <v>11239</v>
      </c>
      <c r="E6236" s="5" t="s">
        <v>15</v>
      </c>
      <c r="F6236" s="5" t="s">
        <v>10250</v>
      </c>
      <c r="G6236" s="6" t="s">
        <v>16</v>
      </c>
      <c r="H6236" s="32">
        <v>200</v>
      </c>
      <c r="I6236" s="32">
        <v>200</v>
      </c>
      <c r="J6236" s="6"/>
      <c r="K6236" s="48"/>
      <c r="L6236" s="10">
        <v>20201118</v>
      </c>
      <c r="M6236" s="36" t="str">
        <f t="shared" si="97"/>
        <v>19801101</v>
      </c>
    </row>
    <row r="6237" s="1" customFormat="1" spans="1:13">
      <c r="A6237" s="2">
        <v>8160</v>
      </c>
      <c r="B6237" s="5" t="s">
        <v>15406</v>
      </c>
      <c r="C6237" s="6" t="s">
        <v>15512</v>
      </c>
      <c r="D6237" s="6" t="s">
        <v>15513</v>
      </c>
      <c r="E6237" s="5" t="s">
        <v>15</v>
      </c>
      <c r="F6237" s="5">
        <v>2020</v>
      </c>
      <c r="G6237" s="14" t="s">
        <v>16</v>
      </c>
      <c r="H6237" s="6">
        <v>200</v>
      </c>
      <c r="I6237" s="6">
        <v>200</v>
      </c>
      <c r="J6237" s="5"/>
      <c r="K6237" s="10"/>
      <c r="L6237" s="10">
        <v>20201118</v>
      </c>
      <c r="M6237" s="36" t="str">
        <f t="shared" si="97"/>
        <v>19801101</v>
      </c>
    </row>
    <row r="6238" s="1" customFormat="1" spans="1:13">
      <c r="A6238" s="2">
        <v>4924</v>
      </c>
      <c r="B6238" s="6" t="s">
        <v>9954</v>
      </c>
      <c r="C6238" s="60" t="s">
        <v>9989</v>
      </c>
      <c r="D6238" s="60" t="s">
        <v>9990</v>
      </c>
      <c r="E6238" s="5" t="s">
        <v>15</v>
      </c>
      <c r="F6238" s="5" t="s">
        <v>15</v>
      </c>
      <c r="G6238" s="14" t="s">
        <v>16</v>
      </c>
      <c r="H6238" s="6">
        <v>200</v>
      </c>
      <c r="I6238" s="6">
        <v>200</v>
      </c>
      <c r="J6238" s="6"/>
      <c r="K6238" s="6"/>
      <c r="L6238" s="10">
        <v>20201118</v>
      </c>
      <c r="M6238" s="36" t="str">
        <f t="shared" si="97"/>
        <v>19801103</v>
      </c>
    </row>
    <row r="6239" s="1" customFormat="1" spans="1:13">
      <c r="A6239" s="2">
        <v>6833</v>
      </c>
      <c r="B6239" s="5" t="s">
        <v>13533</v>
      </c>
      <c r="C6239" s="32" t="s">
        <v>13585</v>
      </c>
      <c r="D6239" s="32" t="str">
        <f>"152326198011047148"</f>
        <v>152326198011047148</v>
      </c>
      <c r="E6239" s="5">
        <v>2020</v>
      </c>
      <c r="F6239" s="5">
        <v>2020</v>
      </c>
      <c r="G6239" s="9" t="s">
        <v>2480</v>
      </c>
      <c r="H6239" s="32">
        <v>500</v>
      </c>
      <c r="I6239" s="32">
        <v>500</v>
      </c>
      <c r="J6239" s="32"/>
      <c r="K6239" s="10"/>
      <c r="L6239" s="10">
        <v>20201118</v>
      </c>
      <c r="M6239" s="36" t="str">
        <f t="shared" si="97"/>
        <v>19801104</v>
      </c>
    </row>
    <row r="6240" s="1" customFormat="1" spans="1:13">
      <c r="A6240" s="2">
        <v>17</v>
      </c>
      <c r="B6240" s="2" t="s">
        <v>12</v>
      </c>
      <c r="C6240" s="17" t="s">
        <v>48</v>
      </c>
      <c r="D6240" s="17" t="s">
        <v>49</v>
      </c>
      <c r="E6240" s="3" t="s">
        <v>15</v>
      </c>
      <c r="F6240" s="3" t="s">
        <v>15</v>
      </c>
      <c r="G6240" s="2" t="s">
        <v>16</v>
      </c>
      <c r="H6240" s="17">
        <v>300</v>
      </c>
      <c r="I6240" s="17">
        <v>300</v>
      </c>
      <c r="J6240" s="31"/>
      <c r="K6240" s="17"/>
      <c r="L6240" s="10">
        <v>20201118</v>
      </c>
      <c r="M6240" s="36" t="str">
        <f t="shared" si="97"/>
        <v>19801105</v>
      </c>
    </row>
    <row r="6241" s="1" customFormat="1" spans="1:13">
      <c r="A6241" s="2">
        <v>6213</v>
      </c>
      <c r="B6241" s="5" t="s">
        <v>12263</v>
      </c>
      <c r="C6241" s="5" t="s">
        <v>12453</v>
      </c>
      <c r="D6241" s="5" t="s">
        <v>12454</v>
      </c>
      <c r="E6241" s="5" t="s">
        <v>10250</v>
      </c>
      <c r="F6241" s="5">
        <v>2020</v>
      </c>
      <c r="G6241" s="17" t="s">
        <v>3359</v>
      </c>
      <c r="H6241" s="5">
        <v>200</v>
      </c>
      <c r="I6241" s="5">
        <v>200</v>
      </c>
      <c r="J6241" s="5"/>
      <c r="K6241" s="5"/>
      <c r="L6241" s="10">
        <v>20201118</v>
      </c>
      <c r="M6241" s="36" t="str">
        <f t="shared" si="97"/>
        <v>19801105</v>
      </c>
    </row>
    <row r="6242" s="1" customFormat="1" spans="1:13">
      <c r="A6242" s="2">
        <v>6736</v>
      </c>
      <c r="B6242" s="5" t="s">
        <v>13027</v>
      </c>
      <c r="C6242" s="15" t="s">
        <v>13439</v>
      </c>
      <c r="D6242" s="15" t="s">
        <v>13440</v>
      </c>
      <c r="E6242" s="5">
        <v>2020</v>
      </c>
      <c r="F6242" s="5">
        <v>2020</v>
      </c>
      <c r="G6242" s="14" t="s">
        <v>16</v>
      </c>
      <c r="H6242" s="15">
        <v>200</v>
      </c>
      <c r="I6242" s="15">
        <v>200</v>
      </c>
      <c r="J6242" s="5"/>
      <c r="K6242" s="10"/>
      <c r="L6242" s="10">
        <v>20201118</v>
      </c>
      <c r="M6242" s="36" t="str">
        <f t="shared" si="97"/>
        <v>19801107</v>
      </c>
    </row>
    <row r="6243" s="1" customFormat="1" spans="1:13">
      <c r="A6243" s="2">
        <v>2005</v>
      </c>
      <c r="B6243" s="5" t="s">
        <v>4189</v>
      </c>
      <c r="C6243" s="16" t="s">
        <v>4567</v>
      </c>
      <c r="D6243" s="16" t="s">
        <v>4568</v>
      </c>
      <c r="E6243" s="5" t="s">
        <v>15</v>
      </c>
      <c r="F6243" s="5" t="s">
        <v>15</v>
      </c>
      <c r="G6243" s="5" t="s">
        <v>3359</v>
      </c>
      <c r="H6243" s="16">
        <v>500</v>
      </c>
      <c r="I6243" s="16">
        <v>500</v>
      </c>
      <c r="J6243" s="5"/>
      <c r="K6243" s="10"/>
      <c r="L6243" s="10">
        <v>20201118</v>
      </c>
      <c r="M6243" s="36" t="str">
        <f t="shared" si="97"/>
        <v>19801110</v>
      </c>
    </row>
    <row r="6244" s="1" customFormat="1" spans="1:13">
      <c r="A6244" s="2">
        <v>5008</v>
      </c>
      <c r="B6244" s="6" t="s">
        <v>9954</v>
      </c>
      <c r="C6244" s="60" t="s">
        <v>10152</v>
      </c>
      <c r="D6244" s="60" t="s">
        <v>10153</v>
      </c>
      <c r="E6244" s="5" t="s">
        <v>15</v>
      </c>
      <c r="F6244" s="5" t="s">
        <v>15</v>
      </c>
      <c r="G6244" s="14" t="s">
        <v>16</v>
      </c>
      <c r="H6244" s="6">
        <v>3000</v>
      </c>
      <c r="I6244" s="6">
        <v>3000</v>
      </c>
      <c r="J6244" s="6"/>
      <c r="K6244" s="6"/>
      <c r="L6244" s="10">
        <v>20201118</v>
      </c>
      <c r="M6244" s="36" t="str">
        <f t="shared" si="97"/>
        <v>19801112</v>
      </c>
    </row>
    <row r="6245" s="1" customFormat="1" spans="1:13">
      <c r="A6245" s="2">
        <v>5516</v>
      </c>
      <c r="B6245" s="30" t="s">
        <v>11090</v>
      </c>
      <c r="C6245" s="30" t="s">
        <v>11127</v>
      </c>
      <c r="D6245" s="30" t="s">
        <v>11128</v>
      </c>
      <c r="E6245" s="5" t="s">
        <v>15</v>
      </c>
      <c r="F6245" s="5" t="s">
        <v>10250</v>
      </c>
      <c r="G6245" s="6" t="s">
        <v>16</v>
      </c>
      <c r="H6245" s="32">
        <v>200</v>
      </c>
      <c r="I6245" s="32">
        <v>200</v>
      </c>
      <c r="J6245" s="6"/>
      <c r="K6245" s="48"/>
      <c r="L6245" s="10">
        <v>20201118</v>
      </c>
      <c r="M6245" s="36" t="str">
        <f t="shared" si="97"/>
        <v>19801112</v>
      </c>
    </row>
    <row r="6246" s="1" customFormat="1" spans="1:13">
      <c r="A6246" s="2">
        <v>7890</v>
      </c>
      <c r="B6246" s="5" t="s">
        <v>15086</v>
      </c>
      <c r="C6246" s="6" t="s">
        <v>15163</v>
      </c>
      <c r="D6246" s="6" t="s">
        <v>15164</v>
      </c>
      <c r="E6246" s="5" t="s">
        <v>15</v>
      </c>
      <c r="F6246" s="5">
        <v>2020</v>
      </c>
      <c r="G6246" s="5" t="s">
        <v>16</v>
      </c>
      <c r="H6246" s="5">
        <v>200</v>
      </c>
      <c r="I6246" s="5">
        <v>200</v>
      </c>
      <c r="J6246" s="5"/>
      <c r="K6246" s="5"/>
      <c r="L6246" s="10">
        <v>20201118</v>
      </c>
      <c r="M6246" s="36" t="str">
        <f t="shared" si="97"/>
        <v>19801113</v>
      </c>
    </row>
    <row r="6247" s="1" customFormat="1" ht="14.25" spans="1:13">
      <c r="A6247" s="2">
        <v>2842</v>
      </c>
      <c r="B6247" s="6" t="s">
        <v>6075</v>
      </c>
      <c r="C6247" s="25" t="s">
        <v>6211</v>
      </c>
      <c r="D6247" s="26" t="s">
        <v>6212</v>
      </c>
      <c r="E6247" s="5" t="s">
        <v>15</v>
      </c>
      <c r="F6247" s="5">
        <v>2020</v>
      </c>
      <c r="G6247" s="6" t="s">
        <v>16</v>
      </c>
      <c r="H6247" s="6">
        <v>200</v>
      </c>
      <c r="I6247" s="6">
        <v>200</v>
      </c>
      <c r="J6247" s="6" t="s">
        <v>6213</v>
      </c>
      <c r="K6247" s="10"/>
      <c r="L6247" s="10">
        <v>20201118</v>
      </c>
      <c r="M6247" s="36" t="str">
        <f t="shared" si="97"/>
        <v>19801114</v>
      </c>
    </row>
    <row r="6248" s="1" customFormat="1" spans="1:13">
      <c r="A6248" s="2">
        <v>4431</v>
      </c>
      <c r="B6248" s="6" t="s">
        <v>9015</v>
      </c>
      <c r="C6248" s="6" t="s">
        <v>9051</v>
      </c>
      <c r="D6248" s="6" t="s">
        <v>9052</v>
      </c>
      <c r="E6248" s="6">
        <v>2020</v>
      </c>
      <c r="F6248" s="6">
        <v>2020</v>
      </c>
      <c r="G6248" s="6" t="s">
        <v>16</v>
      </c>
      <c r="H6248" s="6">
        <v>200</v>
      </c>
      <c r="I6248" s="6">
        <v>200</v>
      </c>
      <c r="J6248" s="6"/>
      <c r="K6248" s="6"/>
      <c r="L6248" s="10">
        <v>20201118</v>
      </c>
      <c r="M6248" s="36" t="str">
        <f t="shared" si="97"/>
        <v>19801114</v>
      </c>
    </row>
    <row r="6249" s="1" customFormat="1" spans="1:13">
      <c r="A6249" s="2">
        <v>6737</v>
      </c>
      <c r="B6249" s="5" t="s">
        <v>13027</v>
      </c>
      <c r="C6249" s="15" t="s">
        <v>13441</v>
      </c>
      <c r="D6249" s="15" t="s">
        <v>13442</v>
      </c>
      <c r="E6249" s="5">
        <v>2020</v>
      </c>
      <c r="F6249" s="5">
        <v>2020</v>
      </c>
      <c r="G6249" s="14" t="s">
        <v>16</v>
      </c>
      <c r="H6249" s="15">
        <v>200</v>
      </c>
      <c r="I6249" s="15">
        <v>200</v>
      </c>
      <c r="J6249" s="5"/>
      <c r="K6249" s="10"/>
      <c r="L6249" s="10">
        <v>20201118</v>
      </c>
      <c r="M6249" s="36" t="str">
        <f t="shared" si="97"/>
        <v>19801114</v>
      </c>
    </row>
    <row r="6250" s="1" customFormat="1" spans="1:13">
      <c r="A6250" s="2">
        <v>4351</v>
      </c>
      <c r="B6250" s="9" t="s">
        <v>8515</v>
      </c>
      <c r="C6250" s="9" t="s">
        <v>8893</v>
      </c>
      <c r="D6250" s="9" t="s">
        <v>8894</v>
      </c>
      <c r="E6250" s="5" t="s">
        <v>15</v>
      </c>
      <c r="F6250" s="5">
        <v>2020</v>
      </c>
      <c r="G6250" s="9" t="s">
        <v>2480</v>
      </c>
      <c r="H6250" s="9">
        <v>200</v>
      </c>
      <c r="I6250" s="9">
        <v>200</v>
      </c>
      <c r="J6250" s="9"/>
      <c r="K6250" s="9"/>
      <c r="L6250" s="10">
        <v>20201118</v>
      </c>
      <c r="M6250" s="36" t="str">
        <f t="shared" si="97"/>
        <v>19801117</v>
      </c>
    </row>
    <row r="6251" s="1" customFormat="1" spans="1:13">
      <c r="A6251" s="2">
        <v>6738</v>
      </c>
      <c r="B6251" s="5" t="s">
        <v>13027</v>
      </c>
      <c r="C6251" s="15" t="s">
        <v>13443</v>
      </c>
      <c r="D6251" s="15" t="s">
        <v>13444</v>
      </c>
      <c r="E6251" s="5">
        <v>2020</v>
      </c>
      <c r="F6251" s="5">
        <v>2020</v>
      </c>
      <c r="G6251" s="14" t="s">
        <v>16</v>
      </c>
      <c r="H6251" s="15">
        <v>200</v>
      </c>
      <c r="I6251" s="15">
        <v>200</v>
      </c>
      <c r="J6251" s="5"/>
      <c r="K6251" s="10"/>
      <c r="L6251" s="10">
        <v>20201118</v>
      </c>
      <c r="M6251" s="36" t="str">
        <f t="shared" si="97"/>
        <v>19801117</v>
      </c>
    </row>
    <row r="6252" s="1" customFormat="1" spans="1:13">
      <c r="A6252" s="2">
        <v>1242</v>
      </c>
      <c r="B6252" s="5" t="s">
        <v>2469</v>
      </c>
      <c r="C6252" s="9" t="s">
        <v>3066</v>
      </c>
      <c r="D6252" s="9" t="s">
        <v>3067</v>
      </c>
      <c r="E6252" s="5">
        <v>2020</v>
      </c>
      <c r="F6252" s="5">
        <v>2020</v>
      </c>
      <c r="G6252" s="9" t="s">
        <v>2480</v>
      </c>
      <c r="H6252" s="9">
        <v>200</v>
      </c>
      <c r="I6252" s="9">
        <v>200</v>
      </c>
      <c r="J6252" s="5"/>
      <c r="K6252" s="5"/>
      <c r="L6252" s="10">
        <v>20201118</v>
      </c>
      <c r="M6252" s="36" t="str">
        <f t="shared" si="97"/>
        <v>19801120</v>
      </c>
    </row>
    <row r="6253" s="1" customFormat="1" spans="1:13">
      <c r="A6253" s="2">
        <v>369</v>
      </c>
      <c r="B6253" s="14" t="s">
        <v>327</v>
      </c>
      <c r="C6253" s="17" t="s">
        <v>994</v>
      </c>
      <c r="D6253" s="306" t="s">
        <v>995</v>
      </c>
      <c r="E6253" s="5">
        <v>2020</v>
      </c>
      <c r="F6253" s="5">
        <v>2020</v>
      </c>
      <c r="G6253" s="14" t="s">
        <v>16</v>
      </c>
      <c r="H6253" s="17">
        <v>200</v>
      </c>
      <c r="I6253" s="17">
        <v>200</v>
      </c>
      <c r="J6253" s="17"/>
      <c r="K6253" s="10"/>
      <c r="L6253" s="2" t="s">
        <v>330</v>
      </c>
      <c r="M6253" s="36" t="str">
        <f t="shared" si="97"/>
        <v>19801122</v>
      </c>
    </row>
    <row r="6254" s="1" customFormat="1" spans="1:13">
      <c r="A6254" s="2">
        <v>4026</v>
      </c>
      <c r="B6254" s="5" t="s">
        <v>7412</v>
      </c>
      <c r="C6254" s="5" t="s">
        <v>8270</v>
      </c>
      <c r="D6254" s="5" t="s">
        <v>8271</v>
      </c>
      <c r="E6254" s="6">
        <v>2020</v>
      </c>
      <c r="F6254" s="6">
        <v>2020</v>
      </c>
      <c r="G6254" s="5" t="s">
        <v>3359</v>
      </c>
      <c r="H6254" s="5">
        <v>200</v>
      </c>
      <c r="I6254" s="5">
        <v>200</v>
      </c>
      <c r="J6254" s="5"/>
      <c r="K6254" s="5"/>
      <c r="L6254" s="10">
        <v>20201118</v>
      </c>
      <c r="M6254" s="36" t="str">
        <f t="shared" si="97"/>
        <v>19801125</v>
      </c>
    </row>
    <row r="6255" s="1" customFormat="1" spans="1:13">
      <c r="A6255" s="2">
        <v>2403</v>
      </c>
      <c r="B6255" s="5" t="s">
        <v>5328</v>
      </c>
      <c r="C6255" s="16" t="s">
        <v>5347</v>
      </c>
      <c r="D6255" s="16" t="s">
        <v>5348</v>
      </c>
      <c r="E6255" s="5" t="s">
        <v>15</v>
      </c>
      <c r="F6255" s="5" t="s">
        <v>15</v>
      </c>
      <c r="G6255" s="14" t="s">
        <v>16</v>
      </c>
      <c r="H6255" s="6">
        <v>200</v>
      </c>
      <c r="I6255" s="6">
        <v>200</v>
      </c>
      <c r="J6255" s="5"/>
      <c r="K6255" s="5"/>
      <c r="L6255" s="10">
        <v>20201118</v>
      </c>
      <c r="M6255" s="36" t="str">
        <f t="shared" si="97"/>
        <v>19801126</v>
      </c>
    </row>
    <row r="6256" s="1" customFormat="1" spans="1:13">
      <c r="A6256" s="2">
        <v>7625</v>
      </c>
      <c r="B6256" s="5" t="s">
        <v>14402</v>
      </c>
      <c r="C6256" s="5" t="s">
        <v>14847</v>
      </c>
      <c r="D6256" s="5" t="s">
        <v>14848</v>
      </c>
      <c r="E6256" s="5">
        <v>2020</v>
      </c>
      <c r="F6256" s="5">
        <v>2020</v>
      </c>
      <c r="G6256" s="17" t="s">
        <v>16</v>
      </c>
      <c r="H6256" s="5">
        <v>200</v>
      </c>
      <c r="I6256" s="5">
        <v>200</v>
      </c>
      <c r="J6256" s="5"/>
      <c r="K6256" s="10"/>
      <c r="L6256" s="10">
        <v>20201118</v>
      </c>
      <c r="M6256" s="36" t="str">
        <f t="shared" si="97"/>
        <v>19801127</v>
      </c>
    </row>
    <row r="6257" s="1" customFormat="1" spans="1:13">
      <c r="A6257" s="2">
        <v>4027</v>
      </c>
      <c r="B6257" s="5" t="s">
        <v>7412</v>
      </c>
      <c r="C6257" s="5" t="s">
        <v>8272</v>
      </c>
      <c r="D6257" s="5" t="s">
        <v>8273</v>
      </c>
      <c r="E6257" s="6">
        <v>2020</v>
      </c>
      <c r="F6257" s="6">
        <v>2020</v>
      </c>
      <c r="G6257" s="5" t="s">
        <v>3359</v>
      </c>
      <c r="H6257" s="5">
        <v>200</v>
      </c>
      <c r="I6257" s="5">
        <v>200</v>
      </c>
      <c r="J6257" s="5"/>
      <c r="K6257" s="5"/>
      <c r="L6257" s="10">
        <v>20201118</v>
      </c>
      <c r="M6257" s="36" t="str">
        <f t="shared" si="97"/>
        <v>19801129</v>
      </c>
    </row>
    <row r="6258" s="1" customFormat="1" spans="1:13">
      <c r="A6258" s="2">
        <v>6448</v>
      </c>
      <c r="B6258" s="5" t="s">
        <v>12263</v>
      </c>
      <c r="C6258" s="5" t="s">
        <v>12901</v>
      </c>
      <c r="D6258" s="5" t="s">
        <v>12902</v>
      </c>
      <c r="E6258" s="5" t="s">
        <v>10250</v>
      </c>
      <c r="F6258" s="5">
        <v>2020</v>
      </c>
      <c r="G6258" s="17" t="s">
        <v>3359</v>
      </c>
      <c r="H6258" s="5">
        <v>200</v>
      </c>
      <c r="I6258" s="5">
        <v>200</v>
      </c>
      <c r="J6258" s="5"/>
      <c r="K6258" s="5"/>
      <c r="L6258" s="10">
        <v>20201118</v>
      </c>
      <c r="M6258" s="36" t="str">
        <f t="shared" si="97"/>
        <v>19801129</v>
      </c>
    </row>
    <row r="6259" s="1" customFormat="1" spans="1:13">
      <c r="A6259" s="2">
        <v>2066</v>
      </c>
      <c r="B6259" s="5" t="s">
        <v>4189</v>
      </c>
      <c r="C6259" s="16" t="s">
        <v>1438</v>
      </c>
      <c r="D6259" s="16" t="s">
        <v>4686</v>
      </c>
      <c r="E6259" s="5" t="s">
        <v>15</v>
      </c>
      <c r="F6259" s="5" t="s">
        <v>15</v>
      </c>
      <c r="G6259" s="5" t="s">
        <v>3359</v>
      </c>
      <c r="H6259" s="16">
        <v>200</v>
      </c>
      <c r="I6259" s="16">
        <v>200</v>
      </c>
      <c r="J6259" s="5"/>
      <c r="K6259" s="10"/>
      <c r="L6259" s="10">
        <v>20201118</v>
      </c>
      <c r="M6259" s="36" t="str">
        <f t="shared" si="97"/>
        <v>19801201</v>
      </c>
    </row>
    <row r="6260" s="1" customFormat="1" spans="1:13">
      <c r="A6260" s="2">
        <v>4352</v>
      </c>
      <c r="B6260" s="9" t="s">
        <v>8515</v>
      </c>
      <c r="C6260" s="9" t="s">
        <v>8895</v>
      </c>
      <c r="D6260" s="9" t="s">
        <v>8896</v>
      </c>
      <c r="E6260" s="5" t="s">
        <v>15</v>
      </c>
      <c r="F6260" s="5">
        <v>2020</v>
      </c>
      <c r="G6260" s="9" t="s">
        <v>2480</v>
      </c>
      <c r="H6260" s="9">
        <v>200</v>
      </c>
      <c r="I6260" s="9">
        <v>200</v>
      </c>
      <c r="J6260" s="9"/>
      <c r="K6260" s="9"/>
      <c r="L6260" s="10">
        <v>20201118</v>
      </c>
      <c r="M6260" s="36" t="str">
        <f t="shared" si="97"/>
        <v>19801202</v>
      </c>
    </row>
    <row r="6261" s="1" customFormat="1" spans="1:13">
      <c r="A6261" s="2">
        <v>2493</v>
      </c>
      <c r="B6261" s="5" t="s">
        <v>5328</v>
      </c>
      <c r="C6261" s="16" t="s">
        <v>5521</v>
      </c>
      <c r="D6261" s="16" t="s">
        <v>5522</v>
      </c>
      <c r="E6261" s="5" t="s">
        <v>15</v>
      </c>
      <c r="F6261" s="5" t="s">
        <v>15</v>
      </c>
      <c r="G6261" s="14" t="s">
        <v>16</v>
      </c>
      <c r="H6261" s="6">
        <v>200</v>
      </c>
      <c r="I6261" s="6">
        <v>200</v>
      </c>
      <c r="J6261" s="5"/>
      <c r="K6261" s="5"/>
      <c r="L6261" s="10">
        <v>20201118</v>
      </c>
      <c r="M6261" s="36" t="str">
        <f t="shared" si="97"/>
        <v>19801205</v>
      </c>
    </row>
    <row r="6262" s="1" customFormat="1" spans="1:13">
      <c r="A6262" s="2">
        <v>7894</v>
      </c>
      <c r="B6262" s="5" t="s">
        <v>15086</v>
      </c>
      <c r="C6262" s="6" t="s">
        <v>15168</v>
      </c>
      <c r="D6262" s="6" t="str">
        <f>"152326198012106883"</f>
        <v>152326198012106883</v>
      </c>
      <c r="E6262" s="5" t="s">
        <v>15</v>
      </c>
      <c r="F6262" s="5">
        <v>2020</v>
      </c>
      <c r="G6262" s="5" t="s">
        <v>16</v>
      </c>
      <c r="H6262" s="5">
        <v>200</v>
      </c>
      <c r="I6262" s="5">
        <v>200</v>
      </c>
      <c r="J6262" s="5"/>
      <c r="K6262" s="5"/>
      <c r="L6262" s="10">
        <v>20201118</v>
      </c>
      <c r="M6262" s="36" t="str">
        <f t="shared" si="97"/>
        <v>19801210</v>
      </c>
    </row>
    <row r="6263" s="1" customFormat="1" spans="1:13">
      <c r="A6263" s="2">
        <v>36</v>
      </c>
      <c r="B6263" s="31" t="s">
        <v>12</v>
      </c>
      <c r="C6263" s="17" t="s">
        <v>86</v>
      </c>
      <c r="D6263" s="17" t="s">
        <v>87</v>
      </c>
      <c r="E6263" s="3" t="s">
        <v>15</v>
      </c>
      <c r="F6263" s="3" t="s">
        <v>15</v>
      </c>
      <c r="G6263" s="2" t="s">
        <v>16</v>
      </c>
      <c r="H6263" s="17">
        <v>500</v>
      </c>
      <c r="I6263" s="17">
        <v>500</v>
      </c>
      <c r="J6263" s="31"/>
      <c r="K6263" s="17"/>
      <c r="L6263" s="10">
        <v>20201118</v>
      </c>
      <c r="M6263" s="36" t="str">
        <f t="shared" si="97"/>
        <v>19801211</v>
      </c>
    </row>
    <row r="6264" s="1" customFormat="1" ht="14.25" spans="1:13">
      <c r="A6264" s="2">
        <v>2782</v>
      </c>
      <c r="B6264" s="6" t="s">
        <v>6075</v>
      </c>
      <c r="C6264" s="25" t="s">
        <v>6094</v>
      </c>
      <c r="D6264" s="26" t="s">
        <v>6095</v>
      </c>
      <c r="E6264" s="5" t="s">
        <v>15</v>
      </c>
      <c r="F6264" s="5">
        <v>2020</v>
      </c>
      <c r="G6264" s="6" t="s">
        <v>16</v>
      </c>
      <c r="H6264" s="6">
        <v>200</v>
      </c>
      <c r="I6264" s="6">
        <v>200</v>
      </c>
      <c r="J6264" s="6"/>
      <c r="K6264" s="10"/>
      <c r="L6264" s="10">
        <v>20201118</v>
      </c>
      <c r="M6264" s="36" t="str">
        <f t="shared" si="97"/>
        <v>19801213</v>
      </c>
    </row>
    <row r="6265" s="1" customFormat="1" spans="1:13">
      <c r="A6265" s="2">
        <v>1243</v>
      </c>
      <c r="B6265" s="5" t="s">
        <v>2469</v>
      </c>
      <c r="C6265" s="9" t="s">
        <v>3068</v>
      </c>
      <c r="D6265" s="9" t="s">
        <v>3069</v>
      </c>
      <c r="E6265" s="5">
        <v>2020</v>
      </c>
      <c r="F6265" s="5">
        <v>2020</v>
      </c>
      <c r="G6265" s="9" t="s">
        <v>2480</v>
      </c>
      <c r="H6265" s="9">
        <v>200</v>
      </c>
      <c r="I6265" s="9">
        <v>200</v>
      </c>
      <c r="J6265" s="5"/>
      <c r="K6265" s="5"/>
      <c r="L6265" s="10">
        <v>20201118</v>
      </c>
      <c r="M6265" s="36" t="str">
        <f t="shared" si="97"/>
        <v>19801214</v>
      </c>
    </row>
    <row r="6266" s="1" customFormat="1" spans="1:13">
      <c r="A6266" s="2">
        <v>1244</v>
      </c>
      <c r="B6266" s="5" t="s">
        <v>2469</v>
      </c>
      <c r="C6266" s="9" t="s">
        <v>3070</v>
      </c>
      <c r="D6266" s="9" t="s">
        <v>3071</v>
      </c>
      <c r="E6266" s="5">
        <v>2020</v>
      </c>
      <c r="F6266" s="5">
        <v>2020</v>
      </c>
      <c r="G6266" s="9" t="s">
        <v>2480</v>
      </c>
      <c r="H6266" s="9">
        <v>200</v>
      </c>
      <c r="I6266" s="9">
        <v>200</v>
      </c>
      <c r="J6266" s="5"/>
      <c r="K6266" s="5"/>
      <c r="L6266" s="10">
        <v>20201118</v>
      </c>
      <c r="M6266" s="36" t="str">
        <f t="shared" si="97"/>
        <v>19801215</v>
      </c>
    </row>
    <row r="6267" s="1" customFormat="1" spans="1:13">
      <c r="A6267" s="2">
        <v>5518</v>
      </c>
      <c r="B6267" s="30" t="s">
        <v>11090</v>
      </c>
      <c r="C6267" s="30" t="s">
        <v>11131</v>
      </c>
      <c r="D6267" s="30" t="s">
        <v>11132</v>
      </c>
      <c r="E6267" s="5" t="s">
        <v>15</v>
      </c>
      <c r="F6267" s="5" t="s">
        <v>10250</v>
      </c>
      <c r="G6267" s="6" t="s">
        <v>16</v>
      </c>
      <c r="H6267" s="32">
        <v>500</v>
      </c>
      <c r="I6267" s="32">
        <v>500</v>
      </c>
      <c r="J6267" s="6"/>
      <c r="K6267" s="48"/>
      <c r="L6267" s="10">
        <v>20201118</v>
      </c>
      <c r="M6267" s="36" t="str">
        <f t="shared" si="97"/>
        <v>19801215</v>
      </c>
    </row>
    <row r="6268" s="1" customFormat="1" spans="1:13">
      <c r="A6268" s="2">
        <v>7306</v>
      </c>
      <c r="B6268" s="5" t="s">
        <v>13908</v>
      </c>
      <c r="C6268" s="5" t="s">
        <v>14250</v>
      </c>
      <c r="D6268" s="5" t="s">
        <v>14251</v>
      </c>
      <c r="E6268" s="5" t="s">
        <v>15</v>
      </c>
      <c r="F6268" s="5" t="s">
        <v>15</v>
      </c>
      <c r="G6268" s="14" t="s">
        <v>16</v>
      </c>
      <c r="H6268" s="17">
        <v>200</v>
      </c>
      <c r="I6268" s="17">
        <v>200</v>
      </c>
      <c r="J6268" s="5"/>
      <c r="K6268" s="10"/>
      <c r="L6268" s="10">
        <v>20201118</v>
      </c>
      <c r="M6268" s="36" t="str">
        <f t="shared" si="97"/>
        <v>19801218</v>
      </c>
    </row>
    <row r="6269" s="1" customFormat="1" spans="1:13">
      <c r="A6269" s="2">
        <v>4028</v>
      </c>
      <c r="B6269" s="5" t="s">
        <v>7412</v>
      </c>
      <c r="C6269" s="5" t="s">
        <v>8274</v>
      </c>
      <c r="D6269" s="5" t="s">
        <v>8275</v>
      </c>
      <c r="E6269" s="6">
        <v>2020</v>
      </c>
      <c r="F6269" s="6">
        <v>2020</v>
      </c>
      <c r="G6269" s="5" t="s">
        <v>3359</v>
      </c>
      <c r="H6269" s="5">
        <v>200</v>
      </c>
      <c r="I6269" s="5">
        <v>200</v>
      </c>
      <c r="J6269" s="5"/>
      <c r="K6269" s="5"/>
      <c r="L6269" s="10">
        <v>20201118</v>
      </c>
      <c r="M6269" s="36" t="str">
        <f t="shared" si="97"/>
        <v>19801223</v>
      </c>
    </row>
    <row r="6270" s="1" customFormat="1" spans="1:13">
      <c r="A6270" s="2">
        <v>2006</v>
      </c>
      <c r="B6270" s="5" t="s">
        <v>4189</v>
      </c>
      <c r="C6270" s="16" t="s">
        <v>4569</v>
      </c>
      <c r="D6270" s="16" t="s">
        <v>4570</v>
      </c>
      <c r="E6270" s="5" t="s">
        <v>15</v>
      </c>
      <c r="F6270" s="5" t="s">
        <v>15</v>
      </c>
      <c r="G6270" s="5" t="s">
        <v>3359</v>
      </c>
      <c r="H6270" s="16">
        <v>500</v>
      </c>
      <c r="I6270" s="16">
        <v>500</v>
      </c>
      <c r="J6270" s="5"/>
      <c r="K6270" s="10"/>
      <c r="L6270" s="10">
        <v>20201118</v>
      </c>
      <c r="M6270" s="36" t="str">
        <f t="shared" si="97"/>
        <v>19801229</v>
      </c>
    </row>
    <row r="6271" s="1" customFormat="1" spans="1:13">
      <c r="A6271" s="2">
        <v>649</v>
      </c>
      <c r="B6271" s="29" t="s">
        <v>1040</v>
      </c>
      <c r="C6271" s="47" t="s">
        <v>1600</v>
      </c>
      <c r="D6271" s="47" t="s">
        <v>1601</v>
      </c>
      <c r="E6271" s="30">
        <v>2020</v>
      </c>
      <c r="F6271" s="30">
        <v>2020</v>
      </c>
      <c r="G6271" s="29" t="s">
        <v>16</v>
      </c>
      <c r="H6271" s="29">
        <v>200</v>
      </c>
      <c r="I6271" s="29">
        <v>200</v>
      </c>
      <c r="J6271" s="29"/>
      <c r="K6271" s="47"/>
      <c r="L6271" s="14" t="s">
        <v>330</v>
      </c>
      <c r="M6271" s="36" t="str">
        <f t="shared" si="97"/>
        <v>19810101</v>
      </c>
    </row>
    <row r="6272" s="1" customFormat="1" spans="1:13">
      <c r="A6272" s="2">
        <v>4029</v>
      </c>
      <c r="B6272" s="5" t="s">
        <v>7412</v>
      </c>
      <c r="C6272" s="5" t="s">
        <v>8276</v>
      </c>
      <c r="D6272" s="5" t="s">
        <v>8277</v>
      </c>
      <c r="E6272" s="6">
        <v>2020</v>
      </c>
      <c r="F6272" s="6">
        <v>2020</v>
      </c>
      <c r="G6272" s="5" t="s">
        <v>3359</v>
      </c>
      <c r="H6272" s="5">
        <v>200</v>
      </c>
      <c r="I6272" s="5">
        <v>200</v>
      </c>
      <c r="J6272" s="5"/>
      <c r="K6272" s="5"/>
      <c r="L6272" s="10">
        <v>20201118</v>
      </c>
      <c r="M6272" s="36" t="str">
        <f t="shared" si="97"/>
        <v>19810101</v>
      </c>
    </row>
    <row r="6273" s="1" customFormat="1" spans="1:13">
      <c r="A6273" s="2">
        <v>4530</v>
      </c>
      <c r="B6273" s="6" t="s">
        <v>9015</v>
      </c>
      <c r="C6273" s="6" t="s">
        <v>9241</v>
      </c>
      <c r="D6273" s="6" t="s">
        <v>9242</v>
      </c>
      <c r="E6273" s="6">
        <v>2020</v>
      </c>
      <c r="F6273" s="6">
        <v>2020</v>
      </c>
      <c r="G6273" s="6" t="s">
        <v>16</v>
      </c>
      <c r="H6273" s="6">
        <v>200</v>
      </c>
      <c r="I6273" s="6">
        <v>200</v>
      </c>
      <c r="J6273" s="6"/>
      <c r="K6273" s="6"/>
      <c r="L6273" s="10">
        <v>20201118</v>
      </c>
      <c r="M6273" s="36" t="str">
        <f t="shared" si="97"/>
        <v>19810101</v>
      </c>
    </row>
    <row r="6274" s="1" customFormat="1" spans="1:13">
      <c r="A6274" s="2">
        <v>6739</v>
      </c>
      <c r="B6274" s="5" t="s">
        <v>13027</v>
      </c>
      <c r="C6274" s="15" t="s">
        <v>13445</v>
      </c>
      <c r="D6274" s="15" t="s">
        <v>13446</v>
      </c>
      <c r="E6274" s="5">
        <v>2020</v>
      </c>
      <c r="F6274" s="5">
        <v>2020</v>
      </c>
      <c r="G6274" s="14" t="s">
        <v>16</v>
      </c>
      <c r="H6274" s="15">
        <v>200</v>
      </c>
      <c r="I6274" s="15">
        <v>200</v>
      </c>
      <c r="J6274" s="5" t="s">
        <v>1242</v>
      </c>
      <c r="K6274" s="10"/>
      <c r="L6274" s="10">
        <v>20201118</v>
      </c>
      <c r="M6274" s="36" t="str">
        <f t="shared" ref="M6274:M6337" si="98">MID(D6274,7,8)</f>
        <v>19810101</v>
      </c>
    </row>
    <row r="6275" s="1" customFormat="1" ht="14.25" spans="1:13">
      <c r="A6275" s="2">
        <v>7661</v>
      </c>
      <c r="B6275" s="5" t="s">
        <v>14875</v>
      </c>
      <c r="C6275" s="51" t="s">
        <v>14902</v>
      </c>
      <c r="D6275" s="24" t="str">
        <f>"152326198101027124"</f>
        <v>152326198101027124</v>
      </c>
      <c r="E6275" s="6" t="s">
        <v>15</v>
      </c>
      <c r="F6275" s="6">
        <v>2020</v>
      </c>
      <c r="G6275" s="24" t="s">
        <v>14877</v>
      </c>
      <c r="H6275" s="6">
        <v>200</v>
      </c>
      <c r="I6275" s="6">
        <v>200</v>
      </c>
      <c r="J6275" s="6"/>
      <c r="K6275" s="10"/>
      <c r="L6275" s="10">
        <v>20201118</v>
      </c>
      <c r="M6275" s="36" t="str">
        <f t="shared" si="98"/>
        <v>19810102</v>
      </c>
    </row>
    <row r="6276" s="1" customFormat="1" spans="1:13">
      <c r="A6276" s="2">
        <v>4848</v>
      </c>
      <c r="B6276" s="6" t="s">
        <v>9015</v>
      </c>
      <c r="C6276" s="6" t="s">
        <v>9840</v>
      </c>
      <c r="D6276" s="293" t="s">
        <v>9841</v>
      </c>
      <c r="E6276" s="6">
        <v>2020</v>
      </c>
      <c r="F6276" s="6">
        <v>2020</v>
      </c>
      <c r="G6276" s="6" t="s">
        <v>16</v>
      </c>
      <c r="H6276" s="6">
        <v>200</v>
      </c>
      <c r="I6276" s="6">
        <v>200</v>
      </c>
      <c r="J6276" s="6"/>
      <c r="K6276" s="6"/>
      <c r="L6276" s="10">
        <v>20201118</v>
      </c>
      <c r="M6276" s="36" t="str">
        <f t="shared" si="98"/>
        <v>19810104</v>
      </c>
    </row>
    <row r="6277" s="1" customFormat="1" spans="1:13">
      <c r="A6277" s="2">
        <v>7883</v>
      </c>
      <c r="B6277" s="5" t="s">
        <v>15086</v>
      </c>
      <c r="C6277" s="6" t="s">
        <v>15155</v>
      </c>
      <c r="D6277" s="6" t="s">
        <v>15156</v>
      </c>
      <c r="E6277" s="5" t="s">
        <v>15</v>
      </c>
      <c r="F6277" s="5">
        <v>2020</v>
      </c>
      <c r="G6277" s="5" t="s">
        <v>16</v>
      </c>
      <c r="H6277" s="5">
        <v>200</v>
      </c>
      <c r="I6277" s="5">
        <v>200</v>
      </c>
      <c r="J6277" s="5" t="s">
        <v>768</v>
      </c>
      <c r="K6277" s="5"/>
      <c r="L6277" s="10">
        <v>20201118</v>
      </c>
      <c r="M6277" s="36" t="str">
        <f t="shared" si="98"/>
        <v>19810104</v>
      </c>
    </row>
    <row r="6278" s="1" customFormat="1" spans="1:13">
      <c r="A6278" s="2">
        <v>4030</v>
      </c>
      <c r="B6278" s="5" t="s">
        <v>7412</v>
      </c>
      <c r="C6278" s="5" t="s">
        <v>8278</v>
      </c>
      <c r="D6278" s="5" t="s">
        <v>8279</v>
      </c>
      <c r="E6278" s="6">
        <v>2020</v>
      </c>
      <c r="F6278" s="6">
        <v>2020</v>
      </c>
      <c r="G6278" s="5" t="s">
        <v>3359</v>
      </c>
      <c r="H6278" s="5">
        <v>200</v>
      </c>
      <c r="I6278" s="5">
        <v>200</v>
      </c>
      <c r="J6278" s="5"/>
      <c r="K6278" s="5"/>
      <c r="L6278" s="10">
        <v>20201118</v>
      </c>
      <c r="M6278" s="36" t="str">
        <f t="shared" si="98"/>
        <v>19810105</v>
      </c>
    </row>
    <row r="6279" s="1" customFormat="1" spans="1:13">
      <c r="A6279" s="2">
        <v>6828</v>
      </c>
      <c r="B6279" s="5" t="s">
        <v>13533</v>
      </c>
      <c r="C6279" s="32" t="s">
        <v>13580</v>
      </c>
      <c r="D6279" s="32" t="str">
        <f>"152326198101077121"</f>
        <v>152326198101077121</v>
      </c>
      <c r="E6279" s="5">
        <v>2020</v>
      </c>
      <c r="F6279" s="5">
        <v>2020</v>
      </c>
      <c r="G6279" s="9" t="s">
        <v>2480</v>
      </c>
      <c r="H6279" s="32">
        <v>200</v>
      </c>
      <c r="I6279" s="32">
        <v>200</v>
      </c>
      <c r="J6279" s="62"/>
      <c r="K6279" s="10"/>
      <c r="L6279" s="10">
        <v>20201118</v>
      </c>
      <c r="M6279" s="36" t="str">
        <f t="shared" si="98"/>
        <v>19810107</v>
      </c>
    </row>
    <row r="6280" s="1" customFormat="1" spans="1:13">
      <c r="A6280" s="2">
        <v>4031</v>
      </c>
      <c r="B6280" s="5" t="s">
        <v>7412</v>
      </c>
      <c r="C6280" s="5" t="s">
        <v>8280</v>
      </c>
      <c r="D6280" s="5" t="s">
        <v>8281</v>
      </c>
      <c r="E6280" s="6">
        <v>2020</v>
      </c>
      <c r="F6280" s="6">
        <v>2020</v>
      </c>
      <c r="G6280" s="5" t="s">
        <v>3359</v>
      </c>
      <c r="H6280" s="5">
        <v>200</v>
      </c>
      <c r="I6280" s="5">
        <v>200</v>
      </c>
      <c r="J6280" s="5"/>
      <c r="K6280" s="5"/>
      <c r="L6280" s="10">
        <v>20201118</v>
      </c>
      <c r="M6280" s="36" t="str">
        <f t="shared" si="98"/>
        <v>19810112</v>
      </c>
    </row>
    <row r="6281" s="1" customFormat="1" spans="1:13">
      <c r="A6281" s="2">
        <v>5161</v>
      </c>
      <c r="B6281" s="6" t="s">
        <v>10242</v>
      </c>
      <c r="C6281" s="9" t="s">
        <v>10447</v>
      </c>
      <c r="D6281" s="9" t="s">
        <v>10448</v>
      </c>
      <c r="E6281" s="5" t="s">
        <v>10250</v>
      </c>
      <c r="F6281" s="5">
        <v>2020</v>
      </c>
      <c r="G6281" s="6" t="s">
        <v>16</v>
      </c>
      <c r="H6281" s="6">
        <v>200</v>
      </c>
      <c r="I6281" s="6">
        <v>200</v>
      </c>
      <c r="J6281" s="6"/>
      <c r="K6281" s="5"/>
      <c r="L6281" s="10">
        <v>20201118</v>
      </c>
      <c r="M6281" s="36" t="str">
        <f t="shared" si="98"/>
        <v>19810112</v>
      </c>
    </row>
    <row r="6282" s="1" customFormat="1" spans="1:13">
      <c r="A6282" s="2">
        <v>5162</v>
      </c>
      <c r="B6282" s="6" t="s">
        <v>10242</v>
      </c>
      <c r="C6282" s="9" t="s">
        <v>10449</v>
      </c>
      <c r="D6282" s="9" t="s">
        <v>10450</v>
      </c>
      <c r="E6282" s="5" t="s">
        <v>10250</v>
      </c>
      <c r="F6282" s="5">
        <v>2020</v>
      </c>
      <c r="G6282" s="6" t="s">
        <v>16</v>
      </c>
      <c r="H6282" s="6">
        <v>200</v>
      </c>
      <c r="I6282" s="6">
        <v>200</v>
      </c>
      <c r="J6282" s="6"/>
      <c r="K6282" s="5"/>
      <c r="L6282" s="10">
        <v>20201118</v>
      </c>
      <c r="M6282" s="36" t="str">
        <f t="shared" si="98"/>
        <v>19810112</v>
      </c>
    </row>
    <row r="6283" s="1" customFormat="1" spans="1:13">
      <c r="A6283" s="2">
        <v>2008</v>
      </c>
      <c r="B6283" s="5" t="s">
        <v>4189</v>
      </c>
      <c r="C6283" s="16" t="s">
        <v>4573</v>
      </c>
      <c r="D6283" s="16" t="s">
        <v>4574</v>
      </c>
      <c r="E6283" s="5" t="s">
        <v>15</v>
      </c>
      <c r="F6283" s="5" t="s">
        <v>15</v>
      </c>
      <c r="G6283" s="5" t="s">
        <v>3359</v>
      </c>
      <c r="H6283" s="16">
        <v>200</v>
      </c>
      <c r="I6283" s="16">
        <v>200</v>
      </c>
      <c r="J6283" s="5"/>
      <c r="K6283" s="10"/>
      <c r="L6283" s="10">
        <v>20201118</v>
      </c>
      <c r="M6283" s="36" t="str">
        <f t="shared" si="98"/>
        <v>19810114</v>
      </c>
    </row>
    <row r="6284" s="1" customFormat="1" spans="1:13">
      <c r="A6284" s="2">
        <v>2702</v>
      </c>
      <c r="B6284" s="32" t="s">
        <v>5602</v>
      </c>
      <c r="C6284" s="9" t="s">
        <v>5936</v>
      </c>
      <c r="D6284" s="9" t="s">
        <v>5937</v>
      </c>
      <c r="E6284" s="32">
        <v>2020</v>
      </c>
      <c r="F6284" s="32">
        <v>2020</v>
      </c>
      <c r="G6284" s="32" t="s">
        <v>16</v>
      </c>
      <c r="H6284" s="9">
        <v>200</v>
      </c>
      <c r="I6284" s="9">
        <v>200</v>
      </c>
      <c r="J6284" s="32"/>
      <c r="K6284" s="52"/>
      <c r="L6284" s="10">
        <v>20201118</v>
      </c>
      <c r="M6284" s="36" t="str">
        <f t="shared" si="98"/>
        <v>19810114</v>
      </c>
    </row>
    <row r="6285" s="1" customFormat="1" spans="1:13">
      <c r="A6285" s="2">
        <v>5884</v>
      </c>
      <c r="B6285" s="30" t="s">
        <v>11090</v>
      </c>
      <c r="C6285" s="30" t="s">
        <v>5998</v>
      </c>
      <c r="D6285" s="30" t="s">
        <v>11822</v>
      </c>
      <c r="E6285" s="5" t="s">
        <v>15</v>
      </c>
      <c r="F6285" s="5" t="s">
        <v>10250</v>
      </c>
      <c r="G6285" s="6" t="s">
        <v>16</v>
      </c>
      <c r="H6285" s="32">
        <v>200</v>
      </c>
      <c r="I6285" s="32">
        <v>200</v>
      </c>
      <c r="J6285" s="6"/>
      <c r="K6285" s="48"/>
      <c r="L6285" s="10">
        <v>20201118</v>
      </c>
      <c r="M6285" s="36" t="str">
        <f t="shared" si="98"/>
        <v>19810115</v>
      </c>
    </row>
    <row r="6286" s="1" customFormat="1" spans="1:13">
      <c r="A6286" s="2">
        <v>8186</v>
      </c>
      <c r="B6286" s="5" t="s">
        <v>15406</v>
      </c>
      <c r="C6286" s="6" t="s">
        <v>15559</v>
      </c>
      <c r="D6286" s="6" t="s">
        <v>15560</v>
      </c>
      <c r="E6286" s="5" t="s">
        <v>15</v>
      </c>
      <c r="F6286" s="5">
        <v>2020</v>
      </c>
      <c r="G6286" s="14" t="s">
        <v>16</v>
      </c>
      <c r="H6286" s="6">
        <v>200</v>
      </c>
      <c r="I6286" s="6">
        <v>200</v>
      </c>
      <c r="J6286" s="5"/>
      <c r="K6286" s="10"/>
      <c r="L6286" s="10">
        <v>20201118</v>
      </c>
      <c r="M6286" s="36" t="str">
        <f t="shared" si="98"/>
        <v>19810115</v>
      </c>
    </row>
    <row r="6287" s="1" customFormat="1" spans="1:13">
      <c r="A6287" s="2">
        <v>2494</v>
      </c>
      <c r="B6287" s="5" t="s">
        <v>5328</v>
      </c>
      <c r="C6287" s="16" t="s">
        <v>5523</v>
      </c>
      <c r="D6287" s="16" t="s">
        <v>5524</v>
      </c>
      <c r="E6287" s="5" t="s">
        <v>15</v>
      </c>
      <c r="F6287" s="5" t="s">
        <v>15</v>
      </c>
      <c r="G6287" s="14" t="s">
        <v>16</v>
      </c>
      <c r="H6287" s="6">
        <v>200</v>
      </c>
      <c r="I6287" s="6">
        <v>200</v>
      </c>
      <c r="J6287" s="5"/>
      <c r="K6287" s="5"/>
      <c r="L6287" s="10">
        <v>20201118</v>
      </c>
      <c r="M6287" s="36" t="str">
        <f t="shared" si="98"/>
        <v>19810118</v>
      </c>
    </row>
    <row r="6288" s="1" customFormat="1" spans="1:13">
      <c r="A6288" s="2">
        <v>4721</v>
      </c>
      <c r="B6288" s="6" t="s">
        <v>9015</v>
      </c>
      <c r="C6288" s="6" t="s">
        <v>9599</v>
      </c>
      <c r="D6288" s="6" t="s">
        <v>9600</v>
      </c>
      <c r="E6288" s="6">
        <v>2020</v>
      </c>
      <c r="F6288" s="6">
        <v>2020</v>
      </c>
      <c r="G6288" s="6" t="s">
        <v>16</v>
      </c>
      <c r="H6288" s="6">
        <v>200</v>
      </c>
      <c r="I6288" s="6">
        <v>200</v>
      </c>
      <c r="J6288" s="6"/>
      <c r="K6288" s="6"/>
      <c r="L6288" s="10">
        <v>20201118</v>
      </c>
      <c r="M6288" s="36" t="str">
        <f t="shared" si="98"/>
        <v>19810120</v>
      </c>
    </row>
    <row r="6289" s="1" customFormat="1" spans="1:13">
      <c r="A6289" s="2">
        <v>6502</v>
      </c>
      <c r="B6289" s="5" t="s">
        <v>12263</v>
      </c>
      <c r="C6289" s="5" t="s">
        <v>13006</v>
      </c>
      <c r="D6289" s="5" t="s">
        <v>13007</v>
      </c>
      <c r="E6289" s="5" t="s">
        <v>15</v>
      </c>
      <c r="F6289" s="5">
        <v>2020</v>
      </c>
      <c r="G6289" s="5" t="s">
        <v>295</v>
      </c>
      <c r="H6289" s="5">
        <v>200</v>
      </c>
      <c r="I6289" s="5">
        <v>200</v>
      </c>
      <c r="J6289" s="5"/>
      <c r="K6289" s="5"/>
      <c r="L6289" s="10">
        <v>20201118</v>
      </c>
      <c r="M6289" s="36" t="str">
        <f t="shared" si="98"/>
        <v>19810123</v>
      </c>
    </row>
    <row r="6290" s="1" customFormat="1" spans="1:13">
      <c r="A6290" s="2">
        <v>6740</v>
      </c>
      <c r="B6290" s="5" t="s">
        <v>13027</v>
      </c>
      <c r="C6290" s="15" t="s">
        <v>13447</v>
      </c>
      <c r="D6290" s="15" t="s">
        <v>13448</v>
      </c>
      <c r="E6290" s="5">
        <v>2020</v>
      </c>
      <c r="F6290" s="5">
        <v>2020</v>
      </c>
      <c r="G6290" s="14" t="s">
        <v>16</v>
      </c>
      <c r="H6290" s="15">
        <v>200</v>
      </c>
      <c r="I6290" s="15">
        <v>200</v>
      </c>
      <c r="J6290" s="5"/>
      <c r="K6290" s="10"/>
      <c r="L6290" s="10">
        <v>20201118</v>
      </c>
      <c r="M6290" s="36" t="str">
        <f t="shared" si="98"/>
        <v>19810124</v>
      </c>
    </row>
    <row r="6291" s="1" customFormat="1" spans="1:13">
      <c r="A6291" s="2">
        <v>4353</v>
      </c>
      <c r="B6291" s="9" t="s">
        <v>8515</v>
      </c>
      <c r="C6291" s="9" t="s">
        <v>8897</v>
      </c>
      <c r="D6291" s="9" t="s">
        <v>8898</v>
      </c>
      <c r="E6291" s="5" t="s">
        <v>15</v>
      </c>
      <c r="F6291" s="5">
        <v>2020</v>
      </c>
      <c r="G6291" s="9" t="s">
        <v>2480</v>
      </c>
      <c r="H6291" s="9">
        <v>200</v>
      </c>
      <c r="I6291" s="9">
        <v>200</v>
      </c>
      <c r="J6291" s="9"/>
      <c r="K6291" s="9"/>
      <c r="L6291" s="10">
        <v>20201118</v>
      </c>
      <c r="M6291" s="36" t="str">
        <f t="shared" si="98"/>
        <v>19810125</v>
      </c>
    </row>
    <row r="6292" s="1" customFormat="1" spans="1:13">
      <c r="A6292" s="2">
        <v>6402</v>
      </c>
      <c r="B6292" s="5" t="s">
        <v>12263</v>
      </c>
      <c r="C6292" s="5" t="s">
        <v>12812</v>
      </c>
      <c r="D6292" s="5" t="s">
        <v>12813</v>
      </c>
      <c r="E6292" s="5" t="s">
        <v>10250</v>
      </c>
      <c r="F6292" s="5">
        <v>2020</v>
      </c>
      <c r="G6292" s="17" t="s">
        <v>3359</v>
      </c>
      <c r="H6292" s="5" t="s">
        <v>311</v>
      </c>
      <c r="I6292" s="5">
        <v>200</v>
      </c>
      <c r="J6292" s="5"/>
      <c r="K6292" s="5"/>
      <c r="L6292" s="10">
        <v>20201118</v>
      </c>
      <c r="M6292" s="36" t="str">
        <f t="shared" si="98"/>
        <v>19810127</v>
      </c>
    </row>
    <row r="6293" s="1" customFormat="1" spans="1:13">
      <c r="A6293" s="2">
        <v>5061</v>
      </c>
      <c r="B6293" s="6" t="s">
        <v>10242</v>
      </c>
      <c r="C6293" s="9" t="s">
        <v>10259</v>
      </c>
      <c r="D6293" s="9" t="s">
        <v>10260</v>
      </c>
      <c r="E6293" s="5" t="s">
        <v>10250</v>
      </c>
      <c r="F6293" s="5">
        <v>2020</v>
      </c>
      <c r="G6293" s="6" t="s">
        <v>16</v>
      </c>
      <c r="H6293" s="6">
        <v>200</v>
      </c>
      <c r="I6293" s="6">
        <v>200</v>
      </c>
      <c r="J6293" s="6"/>
      <c r="K6293" s="5"/>
      <c r="L6293" s="10">
        <v>20201118</v>
      </c>
      <c r="M6293" s="36" t="str">
        <f t="shared" si="98"/>
        <v>19810128</v>
      </c>
    </row>
    <row r="6294" s="1" customFormat="1" spans="1:13">
      <c r="A6294" s="2">
        <v>5077</v>
      </c>
      <c r="B6294" s="6" t="s">
        <v>10242</v>
      </c>
      <c r="C6294" s="9" t="s">
        <v>8292</v>
      </c>
      <c r="D6294" s="9" t="s">
        <v>10288</v>
      </c>
      <c r="E6294" s="5" t="s">
        <v>10250</v>
      </c>
      <c r="F6294" s="5">
        <v>2020</v>
      </c>
      <c r="G6294" s="6" t="s">
        <v>16</v>
      </c>
      <c r="H6294" s="6">
        <v>200</v>
      </c>
      <c r="I6294" s="6">
        <v>200</v>
      </c>
      <c r="J6294" s="6" t="s">
        <v>768</v>
      </c>
      <c r="K6294" s="5"/>
      <c r="L6294" s="10">
        <v>20201118</v>
      </c>
      <c r="M6294" s="36" t="str">
        <f t="shared" si="98"/>
        <v>19810128</v>
      </c>
    </row>
    <row r="6295" s="1" customFormat="1" spans="1:13">
      <c r="A6295" s="2">
        <v>2495</v>
      </c>
      <c r="B6295" s="5" t="s">
        <v>5328</v>
      </c>
      <c r="C6295" s="16" t="s">
        <v>5525</v>
      </c>
      <c r="D6295" s="16" t="s">
        <v>5526</v>
      </c>
      <c r="E6295" s="5" t="s">
        <v>15</v>
      </c>
      <c r="F6295" s="5" t="s">
        <v>15</v>
      </c>
      <c r="G6295" s="14" t="s">
        <v>16</v>
      </c>
      <c r="H6295" s="6">
        <v>200</v>
      </c>
      <c r="I6295" s="6">
        <v>200</v>
      </c>
      <c r="J6295" s="5"/>
      <c r="K6295" s="5"/>
      <c r="L6295" s="10">
        <v>20201118</v>
      </c>
      <c r="M6295" s="36" t="str">
        <f t="shared" si="98"/>
        <v>19810129</v>
      </c>
    </row>
    <row r="6296" s="1" customFormat="1" spans="1:13">
      <c r="A6296" s="2">
        <v>766</v>
      </c>
      <c r="B6296" s="29" t="s">
        <v>1040</v>
      </c>
      <c r="C6296" s="5" t="s">
        <v>1948</v>
      </c>
      <c r="D6296" s="317" t="s">
        <v>1949</v>
      </c>
      <c r="E6296" s="30">
        <v>2020</v>
      </c>
      <c r="F6296" s="30">
        <v>2020</v>
      </c>
      <c r="G6296" s="29" t="s">
        <v>16</v>
      </c>
      <c r="H6296" s="29">
        <v>200</v>
      </c>
      <c r="I6296" s="29">
        <v>200</v>
      </c>
      <c r="J6296" s="32"/>
      <c r="K6296" s="32"/>
      <c r="L6296" s="14" t="s">
        <v>330</v>
      </c>
      <c r="M6296" s="36" t="str">
        <f t="shared" si="98"/>
        <v>19810201</v>
      </c>
    </row>
    <row r="6297" s="1" customFormat="1" spans="1:13">
      <c r="A6297" s="2">
        <v>4605</v>
      </c>
      <c r="B6297" s="6" t="s">
        <v>9015</v>
      </c>
      <c r="C6297" s="6" t="s">
        <v>9380</v>
      </c>
      <c r="D6297" s="6" t="s">
        <v>9381</v>
      </c>
      <c r="E6297" s="6">
        <v>2020</v>
      </c>
      <c r="F6297" s="6">
        <v>2020</v>
      </c>
      <c r="G6297" s="6" t="s">
        <v>16</v>
      </c>
      <c r="H6297" s="6">
        <v>200</v>
      </c>
      <c r="I6297" s="6">
        <v>200</v>
      </c>
      <c r="J6297" s="6"/>
      <c r="K6297" s="6"/>
      <c r="L6297" s="10">
        <v>20201118</v>
      </c>
      <c r="M6297" s="36" t="str">
        <f t="shared" si="98"/>
        <v>19810202</v>
      </c>
    </row>
    <row r="6298" s="1" customFormat="1" ht="14.25" spans="1:13">
      <c r="A6298" s="2">
        <v>5409</v>
      </c>
      <c r="B6298" s="33" t="s">
        <v>10535</v>
      </c>
      <c r="C6298" s="34" t="s">
        <v>10923</v>
      </c>
      <c r="D6298" s="34" t="s">
        <v>10924</v>
      </c>
      <c r="E6298" s="35">
        <v>2020</v>
      </c>
      <c r="F6298" s="35">
        <v>2020</v>
      </c>
      <c r="G6298" s="35" t="s">
        <v>16</v>
      </c>
      <c r="H6298" s="34">
        <v>500</v>
      </c>
      <c r="I6298" s="34">
        <v>500</v>
      </c>
      <c r="J6298" s="49"/>
      <c r="K6298" s="10"/>
      <c r="L6298" s="10">
        <v>20201118</v>
      </c>
      <c r="M6298" s="36" t="str">
        <f t="shared" si="98"/>
        <v>19810203</v>
      </c>
    </row>
    <row r="6299" s="1" customFormat="1" spans="1:13">
      <c r="A6299" s="2">
        <v>5962</v>
      </c>
      <c r="B6299" s="30" t="s">
        <v>11090</v>
      </c>
      <c r="C6299" s="32" t="s">
        <v>11971</v>
      </c>
      <c r="D6299" s="3" t="s">
        <v>11972</v>
      </c>
      <c r="E6299" s="5" t="s">
        <v>15</v>
      </c>
      <c r="F6299" s="5" t="s">
        <v>10250</v>
      </c>
      <c r="G6299" s="6" t="s">
        <v>16</v>
      </c>
      <c r="H6299" s="32">
        <v>200</v>
      </c>
      <c r="I6299" s="32">
        <v>200</v>
      </c>
      <c r="J6299" s="6" t="s">
        <v>6097</v>
      </c>
      <c r="K6299" s="48"/>
      <c r="L6299" s="10">
        <v>20201118</v>
      </c>
      <c r="M6299" s="36" t="str">
        <f t="shared" si="98"/>
        <v>19810203</v>
      </c>
    </row>
    <row r="6300" s="1" customFormat="1" ht="14.25" spans="1:13">
      <c r="A6300" s="2">
        <v>5975</v>
      </c>
      <c r="B6300" s="30" t="s">
        <v>11090</v>
      </c>
      <c r="C6300" s="32" t="s">
        <v>10412</v>
      </c>
      <c r="D6300" s="12" t="s">
        <v>11997</v>
      </c>
      <c r="E6300" s="5" t="s">
        <v>15</v>
      </c>
      <c r="F6300" s="5" t="s">
        <v>10250</v>
      </c>
      <c r="G6300" s="6" t="s">
        <v>16</v>
      </c>
      <c r="H6300" s="32">
        <v>200</v>
      </c>
      <c r="I6300" s="32">
        <v>200</v>
      </c>
      <c r="J6300" s="6"/>
      <c r="K6300" s="48"/>
      <c r="L6300" s="10">
        <v>20201118</v>
      </c>
      <c r="M6300" s="36" t="str">
        <f t="shared" si="98"/>
        <v>19810203</v>
      </c>
    </row>
    <row r="6301" s="1" customFormat="1" spans="1:13">
      <c r="A6301" s="2">
        <v>7148</v>
      </c>
      <c r="B6301" s="5" t="s">
        <v>13908</v>
      </c>
      <c r="C6301" s="5" t="s">
        <v>13955</v>
      </c>
      <c r="D6301" s="5" t="s">
        <v>13956</v>
      </c>
      <c r="E6301" s="5" t="s">
        <v>15</v>
      </c>
      <c r="F6301" s="5" t="s">
        <v>15</v>
      </c>
      <c r="G6301" s="14" t="s">
        <v>16</v>
      </c>
      <c r="H6301" s="17">
        <v>200</v>
      </c>
      <c r="I6301" s="17">
        <v>200</v>
      </c>
      <c r="J6301" s="5"/>
      <c r="K6301" s="10"/>
      <c r="L6301" s="10">
        <v>20201118</v>
      </c>
      <c r="M6301" s="36" t="str">
        <f t="shared" si="98"/>
        <v>19810203</v>
      </c>
    </row>
    <row r="6302" s="1" customFormat="1" spans="1:13">
      <c r="A6302" s="2">
        <v>5521</v>
      </c>
      <c r="B6302" s="30" t="s">
        <v>11090</v>
      </c>
      <c r="C6302" s="30" t="s">
        <v>11138</v>
      </c>
      <c r="D6302" s="30" t="s">
        <v>11139</v>
      </c>
      <c r="E6302" s="5" t="s">
        <v>15</v>
      </c>
      <c r="F6302" s="5" t="s">
        <v>10250</v>
      </c>
      <c r="G6302" s="6" t="s">
        <v>16</v>
      </c>
      <c r="H6302" s="32">
        <v>200</v>
      </c>
      <c r="I6302" s="32">
        <v>200</v>
      </c>
      <c r="J6302" s="6"/>
      <c r="K6302" s="48"/>
      <c r="L6302" s="10">
        <v>20201118</v>
      </c>
      <c r="M6302" s="36" t="str">
        <f t="shared" si="98"/>
        <v>19810204</v>
      </c>
    </row>
    <row r="6303" s="1" customFormat="1" spans="1:13">
      <c r="A6303" s="2">
        <v>859</v>
      </c>
      <c r="B6303" s="29" t="s">
        <v>1040</v>
      </c>
      <c r="C6303" s="6" t="s">
        <v>2224</v>
      </c>
      <c r="D6303" s="6" t="s">
        <v>2225</v>
      </c>
      <c r="E6303" s="30">
        <v>2020</v>
      </c>
      <c r="F6303" s="30">
        <v>2020</v>
      </c>
      <c r="G6303" s="29" t="s">
        <v>16</v>
      </c>
      <c r="H6303" s="29">
        <v>200</v>
      </c>
      <c r="I6303" s="29">
        <v>200</v>
      </c>
      <c r="J6303" s="32"/>
      <c r="K6303" s="32"/>
      <c r="L6303" s="14" t="s">
        <v>330</v>
      </c>
      <c r="M6303" s="36" t="str">
        <f t="shared" si="98"/>
        <v>19810205</v>
      </c>
    </row>
    <row r="6304" s="1" customFormat="1" spans="1:13">
      <c r="A6304" s="2">
        <v>4032</v>
      </c>
      <c r="B6304" s="5" t="s">
        <v>7412</v>
      </c>
      <c r="C6304" s="5" t="s">
        <v>8282</v>
      </c>
      <c r="D6304" s="5" t="s">
        <v>8283</v>
      </c>
      <c r="E6304" s="6">
        <v>2020</v>
      </c>
      <c r="F6304" s="6">
        <v>2020</v>
      </c>
      <c r="G6304" s="5" t="s">
        <v>3359</v>
      </c>
      <c r="H6304" s="5">
        <v>200</v>
      </c>
      <c r="I6304" s="5">
        <v>200</v>
      </c>
      <c r="J6304" s="5"/>
      <c r="K6304" s="5"/>
      <c r="L6304" s="10">
        <v>20201118</v>
      </c>
      <c r="M6304" s="36" t="str">
        <f t="shared" si="98"/>
        <v>19810205</v>
      </c>
    </row>
    <row r="6305" s="1" customFormat="1" spans="1:13">
      <c r="A6305" s="2">
        <v>2022</v>
      </c>
      <c r="B6305" s="5" t="s">
        <v>4189</v>
      </c>
      <c r="C6305" s="16" t="s">
        <v>4601</v>
      </c>
      <c r="D6305" s="16" t="s">
        <v>4602</v>
      </c>
      <c r="E6305" s="5" t="s">
        <v>15</v>
      </c>
      <c r="F6305" s="5" t="s">
        <v>15</v>
      </c>
      <c r="G6305" s="5" t="s">
        <v>3359</v>
      </c>
      <c r="H6305" s="16">
        <v>500</v>
      </c>
      <c r="I6305" s="16">
        <v>500</v>
      </c>
      <c r="J6305" s="5"/>
      <c r="K6305" s="10"/>
      <c r="L6305" s="10">
        <v>20201118</v>
      </c>
      <c r="M6305" s="36" t="str">
        <f t="shared" si="98"/>
        <v>19810206</v>
      </c>
    </row>
    <row r="6306" s="1" customFormat="1" spans="1:13">
      <c r="A6306" s="2">
        <v>2401</v>
      </c>
      <c r="B6306" s="5" t="s">
        <v>5328</v>
      </c>
      <c r="C6306" s="16" t="s">
        <v>4830</v>
      </c>
      <c r="D6306" s="16" t="s">
        <v>5344</v>
      </c>
      <c r="E6306" s="5" t="s">
        <v>15</v>
      </c>
      <c r="F6306" s="5" t="s">
        <v>15</v>
      </c>
      <c r="G6306" s="14" t="s">
        <v>16</v>
      </c>
      <c r="H6306" s="6">
        <v>200</v>
      </c>
      <c r="I6306" s="6">
        <v>200</v>
      </c>
      <c r="J6306" s="5" t="s">
        <v>768</v>
      </c>
      <c r="K6306" s="5"/>
      <c r="L6306" s="10">
        <v>20201118</v>
      </c>
      <c r="M6306" s="36" t="str">
        <f t="shared" si="98"/>
        <v>19810206</v>
      </c>
    </row>
    <row r="6307" s="1" customFormat="1" spans="1:13">
      <c r="A6307" s="2">
        <v>3312</v>
      </c>
      <c r="B6307" s="5" t="s">
        <v>3375</v>
      </c>
      <c r="C6307" s="6" t="s">
        <v>7085</v>
      </c>
      <c r="D6307" s="6" t="str">
        <f>"152326198102066897"</f>
        <v>152326198102066897</v>
      </c>
      <c r="E6307" s="5" t="s">
        <v>15</v>
      </c>
      <c r="F6307" s="5">
        <v>2020</v>
      </c>
      <c r="G6307" s="14" t="s">
        <v>16</v>
      </c>
      <c r="H6307" s="17">
        <v>200</v>
      </c>
      <c r="I6307" s="17">
        <v>200</v>
      </c>
      <c r="J6307" s="6"/>
      <c r="K6307" s="10"/>
      <c r="L6307" s="10">
        <v>20201118</v>
      </c>
      <c r="M6307" s="36" t="str">
        <f t="shared" si="98"/>
        <v>19810206</v>
      </c>
    </row>
    <row r="6308" s="1" customFormat="1" ht="14.25" spans="1:13">
      <c r="A6308" s="2">
        <v>2794</v>
      </c>
      <c r="B6308" s="6" t="s">
        <v>6075</v>
      </c>
      <c r="C6308" s="25" t="s">
        <v>6118</v>
      </c>
      <c r="D6308" s="26" t="s">
        <v>6119</v>
      </c>
      <c r="E6308" s="5" t="s">
        <v>15</v>
      </c>
      <c r="F6308" s="5">
        <v>2020</v>
      </c>
      <c r="G6308" s="6" t="s">
        <v>16</v>
      </c>
      <c r="H6308" s="6">
        <v>200</v>
      </c>
      <c r="I6308" s="6">
        <v>200</v>
      </c>
      <c r="J6308" s="6"/>
      <c r="K6308" s="10"/>
      <c r="L6308" s="10">
        <v>20201118</v>
      </c>
      <c r="M6308" s="36" t="str">
        <f t="shared" si="98"/>
        <v>19810208</v>
      </c>
    </row>
    <row r="6309" s="1" customFormat="1" spans="1:13">
      <c r="A6309" s="2">
        <v>4964</v>
      </c>
      <c r="B6309" s="6" t="s">
        <v>9954</v>
      </c>
      <c r="C6309" s="60" t="s">
        <v>10068</v>
      </c>
      <c r="D6309" s="60" t="s">
        <v>10069</v>
      </c>
      <c r="E6309" s="5" t="s">
        <v>15</v>
      </c>
      <c r="F6309" s="5" t="s">
        <v>15</v>
      </c>
      <c r="G6309" s="14" t="s">
        <v>16</v>
      </c>
      <c r="H6309" s="6">
        <v>1000</v>
      </c>
      <c r="I6309" s="6">
        <v>1000</v>
      </c>
      <c r="J6309" s="6"/>
      <c r="K6309" s="6"/>
      <c r="L6309" s="10">
        <v>20201118</v>
      </c>
      <c r="M6309" s="36" t="str">
        <f t="shared" si="98"/>
        <v>19810208</v>
      </c>
    </row>
    <row r="6310" s="1" customFormat="1" spans="1:13">
      <c r="A6310" s="2">
        <v>5163</v>
      </c>
      <c r="B6310" s="6" t="s">
        <v>10242</v>
      </c>
      <c r="C6310" s="9" t="s">
        <v>10451</v>
      </c>
      <c r="D6310" s="9" t="s">
        <v>10452</v>
      </c>
      <c r="E6310" s="5" t="s">
        <v>10250</v>
      </c>
      <c r="F6310" s="5">
        <v>2020</v>
      </c>
      <c r="G6310" s="6" t="s">
        <v>16</v>
      </c>
      <c r="H6310" s="6">
        <v>200</v>
      </c>
      <c r="I6310" s="6">
        <v>200</v>
      </c>
      <c r="J6310" s="6"/>
      <c r="K6310" s="5"/>
      <c r="L6310" s="10">
        <v>20201118</v>
      </c>
      <c r="M6310" s="36" t="str">
        <f t="shared" si="98"/>
        <v>19810208</v>
      </c>
    </row>
    <row r="6311" s="1" customFormat="1" spans="1:13">
      <c r="A6311" s="2">
        <v>7881</v>
      </c>
      <c r="B6311" s="5" t="s">
        <v>15086</v>
      </c>
      <c r="C6311" s="6" t="s">
        <v>15154</v>
      </c>
      <c r="D6311" s="6" t="str">
        <f>"152326198102106895"</f>
        <v>152326198102106895</v>
      </c>
      <c r="E6311" s="5" t="s">
        <v>15</v>
      </c>
      <c r="F6311" s="5">
        <v>2020</v>
      </c>
      <c r="G6311" s="5" t="s">
        <v>16</v>
      </c>
      <c r="H6311" s="5">
        <v>200</v>
      </c>
      <c r="I6311" s="5">
        <v>200</v>
      </c>
      <c r="J6311" s="5"/>
      <c r="K6311" s="5"/>
      <c r="L6311" s="10">
        <v>20201118</v>
      </c>
      <c r="M6311" s="36" t="str">
        <f t="shared" si="98"/>
        <v>19810210</v>
      </c>
    </row>
    <row r="6312" s="1" customFormat="1" spans="1:13">
      <c r="A6312" s="2">
        <v>4033</v>
      </c>
      <c r="B6312" s="5" t="s">
        <v>7412</v>
      </c>
      <c r="C6312" s="5" t="s">
        <v>8284</v>
      </c>
      <c r="D6312" s="5" t="s">
        <v>8285</v>
      </c>
      <c r="E6312" s="6">
        <v>2020</v>
      </c>
      <c r="F6312" s="6">
        <v>2020</v>
      </c>
      <c r="G6312" s="5" t="s">
        <v>3359</v>
      </c>
      <c r="H6312" s="5">
        <v>200</v>
      </c>
      <c r="I6312" s="5">
        <v>200</v>
      </c>
      <c r="J6312" s="5"/>
      <c r="K6312" s="5"/>
      <c r="L6312" s="10">
        <v>20201118</v>
      </c>
      <c r="M6312" s="36" t="str">
        <f t="shared" si="98"/>
        <v>19810214</v>
      </c>
    </row>
    <row r="6313" s="1" customFormat="1" spans="1:13">
      <c r="A6313" s="2">
        <v>5164</v>
      </c>
      <c r="B6313" s="6" t="s">
        <v>10242</v>
      </c>
      <c r="C6313" s="9" t="s">
        <v>10453</v>
      </c>
      <c r="D6313" s="9" t="s">
        <v>10454</v>
      </c>
      <c r="E6313" s="5" t="s">
        <v>10250</v>
      </c>
      <c r="F6313" s="5">
        <v>2020</v>
      </c>
      <c r="G6313" s="6" t="s">
        <v>16</v>
      </c>
      <c r="H6313" s="6">
        <v>200</v>
      </c>
      <c r="I6313" s="6">
        <v>200</v>
      </c>
      <c r="J6313" s="6"/>
      <c r="K6313" s="5"/>
      <c r="L6313" s="10">
        <v>20201118</v>
      </c>
      <c r="M6313" s="36" t="str">
        <f t="shared" si="98"/>
        <v>19810216</v>
      </c>
    </row>
    <row r="6314" s="1" customFormat="1" spans="1:13">
      <c r="A6314" s="2">
        <v>2007</v>
      </c>
      <c r="B6314" s="5" t="s">
        <v>4189</v>
      </c>
      <c r="C6314" s="16" t="s">
        <v>4571</v>
      </c>
      <c r="D6314" s="16" t="s">
        <v>4572</v>
      </c>
      <c r="E6314" s="5" t="s">
        <v>15</v>
      </c>
      <c r="F6314" s="5" t="s">
        <v>15</v>
      </c>
      <c r="G6314" s="5" t="s">
        <v>3359</v>
      </c>
      <c r="H6314" s="16">
        <v>500</v>
      </c>
      <c r="I6314" s="16">
        <v>500</v>
      </c>
      <c r="J6314" s="5"/>
      <c r="K6314" s="10"/>
      <c r="L6314" s="10">
        <v>20201118</v>
      </c>
      <c r="M6314" s="36" t="str">
        <f t="shared" si="98"/>
        <v>19810219</v>
      </c>
    </row>
    <row r="6315" s="1" customFormat="1" spans="1:13">
      <c r="A6315" s="2">
        <v>5165</v>
      </c>
      <c r="B6315" s="6" t="s">
        <v>10242</v>
      </c>
      <c r="C6315" s="9" t="s">
        <v>10455</v>
      </c>
      <c r="D6315" s="9" t="s">
        <v>10456</v>
      </c>
      <c r="E6315" s="5" t="s">
        <v>10250</v>
      </c>
      <c r="F6315" s="5">
        <v>2020</v>
      </c>
      <c r="G6315" s="6" t="s">
        <v>16</v>
      </c>
      <c r="H6315" s="6">
        <v>200</v>
      </c>
      <c r="I6315" s="6">
        <v>200</v>
      </c>
      <c r="J6315" s="6"/>
      <c r="K6315" s="5"/>
      <c r="L6315" s="10">
        <v>20201118</v>
      </c>
      <c r="M6315" s="36" t="str">
        <f t="shared" si="98"/>
        <v>19810219</v>
      </c>
    </row>
    <row r="6316" s="1" customFormat="1" spans="1:13">
      <c r="A6316" s="2">
        <v>4490</v>
      </c>
      <c r="B6316" s="6" t="s">
        <v>9015</v>
      </c>
      <c r="C6316" s="6" t="s">
        <v>9163</v>
      </c>
      <c r="D6316" s="6" t="s">
        <v>9164</v>
      </c>
      <c r="E6316" s="6">
        <v>2020</v>
      </c>
      <c r="F6316" s="6">
        <v>2020</v>
      </c>
      <c r="G6316" s="6" t="s">
        <v>16</v>
      </c>
      <c r="H6316" s="6">
        <v>200</v>
      </c>
      <c r="I6316" s="6">
        <v>200</v>
      </c>
      <c r="J6316" s="6"/>
      <c r="K6316" s="6"/>
      <c r="L6316" s="10">
        <v>20201118</v>
      </c>
      <c r="M6316" s="36" t="str">
        <f t="shared" si="98"/>
        <v>19810221</v>
      </c>
    </row>
    <row r="6317" s="1" customFormat="1" spans="1:13">
      <c r="A6317" s="2">
        <v>2703</v>
      </c>
      <c r="B6317" s="32" t="s">
        <v>5602</v>
      </c>
      <c r="C6317" s="9" t="s">
        <v>5293</v>
      </c>
      <c r="D6317" s="9" t="s">
        <v>5938</v>
      </c>
      <c r="E6317" s="32">
        <v>2020</v>
      </c>
      <c r="F6317" s="32">
        <v>2020</v>
      </c>
      <c r="G6317" s="32" t="s">
        <v>16</v>
      </c>
      <c r="H6317" s="9">
        <v>200</v>
      </c>
      <c r="I6317" s="9">
        <v>200</v>
      </c>
      <c r="J6317" s="32"/>
      <c r="K6317" s="52"/>
      <c r="L6317" s="10">
        <v>20201118</v>
      </c>
      <c r="M6317" s="36" t="str">
        <f t="shared" si="98"/>
        <v>19810223</v>
      </c>
    </row>
    <row r="6318" s="1" customFormat="1" ht="14.25" spans="1:13">
      <c r="A6318" s="2">
        <v>2975</v>
      </c>
      <c r="B6318" s="6" t="s">
        <v>6075</v>
      </c>
      <c r="C6318" s="25" t="s">
        <v>6475</v>
      </c>
      <c r="D6318" s="26" t="s">
        <v>6476</v>
      </c>
      <c r="E6318" s="5" t="s">
        <v>15</v>
      </c>
      <c r="F6318" s="5">
        <v>2020</v>
      </c>
      <c r="G6318" s="6" t="s">
        <v>16</v>
      </c>
      <c r="H6318" s="6">
        <v>200</v>
      </c>
      <c r="I6318" s="6">
        <v>200</v>
      </c>
      <c r="J6318" s="6"/>
      <c r="K6318" s="10"/>
      <c r="L6318" s="10">
        <v>20201118</v>
      </c>
      <c r="M6318" s="36" t="str">
        <f t="shared" si="98"/>
        <v>19810226</v>
      </c>
    </row>
    <row r="6319" s="1" customFormat="1" spans="1:13">
      <c r="A6319" s="2">
        <v>4354</v>
      </c>
      <c r="B6319" s="9" t="s">
        <v>8515</v>
      </c>
      <c r="C6319" s="9" t="s">
        <v>8899</v>
      </c>
      <c r="D6319" s="9" t="s">
        <v>8900</v>
      </c>
      <c r="E6319" s="5" t="s">
        <v>15</v>
      </c>
      <c r="F6319" s="5">
        <v>2020</v>
      </c>
      <c r="G6319" s="9" t="s">
        <v>2480</v>
      </c>
      <c r="H6319" s="9">
        <v>200</v>
      </c>
      <c r="I6319" s="9">
        <v>200</v>
      </c>
      <c r="J6319" s="9"/>
      <c r="K6319" s="9"/>
      <c r="L6319" s="10">
        <v>20201118</v>
      </c>
      <c r="M6319" s="36" t="str">
        <f t="shared" si="98"/>
        <v>19810227</v>
      </c>
    </row>
    <row r="6320" s="1" customFormat="1" ht="14.25" spans="1:13">
      <c r="A6320" s="2">
        <v>7662</v>
      </c>
      <c r="B6320" s="5" t="s">
        <v>14875</v>
      </c>
      <c r="C6320" s="51" t="s">
        <v>14903</v>
      </c>
      <c r="D6320" s="24" t="str">
        <f>"152326198102286646"</f>
        <v>152326198102286646</v>
      </c>
      <c r="E6320" s="6" t="s">
        <v>15</v>
      </c>
      <c r="F6320" s="6">
        <v>2020</v>
      </c>
      <c r="G6320" s="24" t="s">
        <v>14877</v>
      </c>
      <c r="H6320" s="6">
        <v>200</v>
      </c>
      <c r="I6320" s="6">
        <v>200</v>
      </c>
      <c r="J6320" s="6"/>
      <c r="K6320" s="10"/>
      <c r="L6320" s="10">
        <v>20201118</v>
      </c>
      <c r="M6320" s="36" t="str">
        <f t="shared" si="98"/>
        <v>19810228</v>
      </c>
    </row>
    <row r="6321" s="1" customFormat="1" spans="1:13">
      <c r="A6321" s="2">
        <v>7467</v>
      </c>
      <c r="B6321" s="5" t="s">
        <v>14402</v>
      </c>
      <c r="C6321" s="5" t="s">
        <v>14551</v>
      </c>
      <c r="D6321" s="5" t="s">
        <v>14552</v>
      </c>
      <c r="E6321" s="5">
        <v>2020</v>
      </c>
      <c r="F6321" s="5">
        <v>2020</v>
      </c>
      <c r="G6321" s="17" t="s">
        <v>16</v>
      </c>
      <c r="H6321" s="5">
        <v>200</v>
      </c>
      <c r="I6321" s="5">
        <v>200</v>
      </c>
      <c r="J6321" s="5"/>
      <c r="K6321" s="10"/>
      <c r="L6321" s="10">
        <v>20201118</v>
      </c>
      <c r="M6321" s="36" t="str">
        <f t="shared" si="98"/>
        <v>19810303</v>
      </c>
    </row>
    <row r="6322" s="1" customFormat="1" spans="1:13">
      <c r="A6322" s="2">
        <v>3313</v>
      </c>
      <c r="B6322" s="5" t="s">
        <v>3375</v>
      </c>
      <c r="C6322" s="6" t="s">
        <v>7086</v>
      </c>
      <c r="D6322" s="6" t="str">
        <f>"152326198103046871"</f>
        <v>152326198103046871</v>
      </c>
      <c r="E6322" s="5" t="s">
        <v>15</v>
      </c>
      <c r="F6322" s="5">
        <v>2020</v>
      </c>
      <c r="G6322" s="14" t="s">
        <v>16</v>
      </c>
      <c r="H6322" s="17">
        <v>200</v>
      </c>
      <c r="I6322" s="17">
        <v>200</v>
      </c>
      <c r="J6322" s="6"/>
      <c r="K6322" s="10"/>
      <c r="L6322" s="10">
        <v>20201118</v>
      </c>
      <c r="M6322" s="36" t="str">
        <f t="shared" si="98"/>
        <v>19810304</v>
      </c>
    </row>
    <row r="6323" s="1" customFormat="1" spans="1:13">
      <c r="A6323" s="2">
        <v>7886</v>
      </c>
      <c r="B6323" s="5" t="s">
        <v>15086</v>
      </c>
      <c r="C6323" s="6" t="s">
        <v>15159</v>
      </c>
      <c r="D6323" s="6" t="s">
        <v>15160</v>
      </c>
      <c r="E6323" s="5" t="s">
        <v>15</v>
      </c>
      <c r="F6323" s="5">
        <v>2020</v>
      </c>
      <c r="G6323" s="5" t="s">
        <v>16</v>
      </c>
      <c r="H6323" s="5">
        <v>200</v>
      </c>
      <c r="I6323" s="5">
        <v>200</v>
      </c>
      <c r="J6323" s="5" t="s">
        <v>108</v>
      </c>
      <c r="K6323" s="5"/>
      <c r="L6323" s="10">
        <v>20201118</v>
      </c>
      <c r="M6323" s="36" t="str">
        <f t="shared" si="98"/>
        <v>19810304</v>
      </c>
    </row>
    <row r="6324" s="1" customFormat="1" spans="1:13">
      <c r="A6324" s="2">
        <v>7282</v>
      </c>
      <c r="B6324" s="5" t="s">
        <v>13908</v>
      </c>
      <c r="C6324" s="5" t="s">
        <v>14203</v>
      </c>
      <c r="D6324" s="5" t="s">
        <v>14204</v>
      </c>
      <c r="E6324" s="5" t="s">
        <v>15</v>
      </c>
      <c r="F6324" s="5" t="s">
        <v>15</v>
      </c>
      <c r="G6324" s="14" t="s">
        <v>16</v>
      </c>
      <c r="H6324" s="17">
        <v>500</v>
      </c>
      <c r="I6324" s="17">
        <v>500</v>
      </c>
      <c r="J6324" s="5"/>
      <c r="K6324" s="10"/>
      <c r="L6324" s="10">
        <v>20201118</v>
      </c>
      <c r="M6324" s="36" t="str">
        <f t="shared" si="98"/>
        <v>19810305</v>
      </c>
    </row>
    <row r="6325" s="1" customFormat="1" ht="14.25" spans="1:13">
      <c r="A6325" s="2">
        <v>7801</v>
      </c>
      <c r="B6325" s="5" t="s">
        <v>14875</v>
      </c>
      <c r="C6325" s="6" t="s">
        <v>15053</v>
      </c>
      <c r="D6325" s="6" t="str">
        <f>"152326198103086865"</f>
        <v>152326198103086865</v>
      </c>
      <c r="E6325" s="6" t="s">
        <v>15</v>
      </c>
      <c r="F6325" s="6">
        <v>2020</v>
      </c>
      <c r="G6325" s="24" t="s">
        <v>14877</v>
      </c>
      <c r="H6325" s="6">
        <v>200</v>
      </c>
      <c r="I6325" s="6">
        <v>200</v>
      </c>
      <c r="J6325" s="6"/>
      <c r="K6325" s="10"/>
      <c r="L6325" s="10">
        <v>20201118</v>
      </c>
      <c r="M6325" s="36" t="str">
        <f t="shared" si="98"/>
        <v>19810308</v>
      </c>
    </row>
    <row r="6326" s="1" customFormat="1" spans="1:13">
      <c r="A6326" s="2">
        <v>7887</v>
      </c>
      <c r="B6326" s="5" t="s">
        <v>15086</v>
      </c>
      <c r="C6326" s="6" t="s">
        <v>15161</v>
      </c>
      <c r="D6326" s="6" t="str">
        <f>"152326198103086873"</f>
        <v>152326198103086873</v>
      </c>
      <c r="E6326" s="5" t="s">
        <v>15</v>
      </c>
      <c r="F6326" s="5">
        <v>2020</v>
      </c>
      <c r="G6326" s="5" t="s">
        <v>16</v>
      </c>
      <c r="H6326" s="5">
        <v>200</v>
      </c>
      <c r="I6326" s="5">
        <v>200</v>
      </c>
      <c r="J6326" s="5"/>
      <c r="K6326" s="5"/>
      <c r="L6326" s="10">
        <v>20201118</v>
      </c>
      <c r="M6326" s="36" t="str">
        <f t="shared" si="98"/>
        <v>19810308</v>
      </c>
    </row>
    <row r="6327" s="1" customFormat="1" spans="1:13">
      <c r="A6327" s="2">
        <v>5928</v>
      </c>
      <c r="B6327" s="30" t="s">
        <v>11090</v>
      </c>
      <c r="C6327" s="6" t="s">
        <v>11905</v>
      </c>
      <c r="D6327" s="6" t="s">
        <v>11906</v>
      </c>
      <c r="E6327" s="5" t="s">
        <v>15</v>
      </c>
      <c r="F6327" s="5" t="s">
        <v>10250</v>
      </c>
      <c r="G6327" s="6" t="s">
        <v>16</v>
      </c>
      <c r="H6327" s="32">
        <v>500</v>
      </c>
      <c r="I6327" s="32">
        <v>500</v>
      </c>
      <c r="J6327" s="6" t="s">
        <v>108</v>
      </c>
      <c r="K6327" s="48"/>
      <c r="L6327" s="10">
        <v>20201118</v>
      </c>
      <c r="M6327" s="36" t="str">
        <f t="shared" si="98"/>
        <v>19810310</v>
      </c>
    </row>
    <row r="6328" s="1" customFormat="1" spans="1:13">
      <c r="A6328" s="2">
        <v>5654</v>
      </c>
      <c r="B6328" s="30" t="s">
        <v>11090</v>
      </c>
      <c r="C6328" s="30" t="s">
        <v>11395</v>
      </c>
      <c r="D6328" s="30" t="s">
        <v>11396</v>
      </c>
      <c r="E6328" s="5" t="s">
        <v>15</v>
      </c>
      <c r="F6328" s="5" t="s">
        <v>10250</v>
      </c>
      <c r="G6328" s="6" t="s">
        <v>16</v>
      </c>
      <c r="H6328" s="32">
        <v>200</v>
      </c>
      <c r="I6328" s="32">
        <v>200</v>
      </c>
      <c r="J6328" s="6"/>
      <c r="K6328" s="48"/>
      <c r="L6328" s="10">
        <v>20201118</v>
      </c>
      <c r="M6328" s="36" t="str">
        <f t="shared" si="98"/>
        <v>19810312</v>
      </c>
    </row>
    <row r="6329" s="1" customFormat="1" spans="1:13">
      <c r="A6329" s="2">
        <v>6741</v>
      </c>
      <c r="B6329" s="5" t="s">
        <v>13027</v>
      </c>
      <c r="C6329" s="15" t="s">
        <v>13449</v>
      </c>
      <c r="D6329" s="15" t="s">
        <v>13450</v>
      </c>
      <c r="E6329" s="5">
        <v>2020</v>
      </c>
      <c r="F6329" s="5">
        <v>2020</v>
      </c>
      <c r="G6329" s="14" t="s">
        <v>16</v>
      </c>
      <c r="H6329" s="15">
        <v>200</v>
      </c>
      <c r="I6329" s="15">
        <v>200</v>
      </c>
      <c r="J6329" s="5"/>
      <c r="K6329" s="10"/>
      <c r="L6329" s="10">
        <v>20201118</v>
      </c>
      <c r="M6329" s="36" t="str">
        <f t="shared" si="98"/>
        <v>19810312</v>
      </c>
    </row>
    <row r="6330" s="1" customFormat="1" spans="1:13">
      <c r="A6330" s="2">
        <v>1819</v>
      </c>
      <c r="B6330" s="5" t="s">
        <v>4189</v>
      </c>
      <c r="C6330" s="16" t="s">
        <v>4203</v>
      </c>
      <c r="D6330" s="16" t="s">
        <v>4204</v>
      </c>
      <c r="E6330" s="5" t="s">
        <v>15</v>
      </c>
      <c r="F6330" s="5" t="s">
        <v>15</v>
      </c>
      <c r="G6330" s="5" t="s">
        <v>3359</v>
      </c>
      <c r="H6330" s="16">
        <v>200</v>
      </c>
      <c r="I6330" s="16">
        <v>200</v>
      </c>
      <c r="J6330" s="5"/>
      <c r="K6330" s="10"/>
      <c r="L6330" s="10">
        <v>20201118</v>
      </c>
      <c r="M6330" s="36" t="str">
        <f t="shared" si="98"/>
        <v>19810317</v>
      </c>
    </row>
    <row r="6331" s="1" customFormat="1" spans="1:13">
      <c r="A6331" s="2">
        <v>7465</v>
      </c>
      <c r="B6331" s="5" t="s">
        <v>14402</v>
      </c>
      <c r="C6331" s="5" t="s">
        <v>11905</v>
      </c>
      <c r="D6331" s="5" t="s">
        <v>14549</v>
      </c>
      <c r="E6331" s="5">
        <v>2020</v>
      </c>
      <c r="F6331" s="5">
        <v>2020</v>
      </c>
      <c r="G6331" s="17" t="s">
        <v>16</v>
      </c>
      <c r="H6331" s="5">
        <v>200</v>
      </c>
      <c r="I6331" s="5">
        <v>200</v>
      </c>
      <c r="J6331" s="5"/>
      <c r="K6331" s="10"/>
      <c r="L6331" s="10">
        <v>20201118</v>
      </c>
      <c r="M6331" s="36" t="str">
        <f t="shared" si="98"/>
        <v>19810317</v>
      </c>
    </row>
    <row r="6332" s="1" customFormat="1" spans="1:13">
      <c r="A6332" s="2">
        <v>4034</v>
      </c>
      <c r="B6332" s="5" t="s">
        <v>7412</v>
      </c>
      <c r="C6332" s="5" t="s">
        <v>8286</v>
      </c>
      <c r="D6332" s="5" t="s">
        <v>8287</v>
      </c>
      <c r="E6332" s="6">
        <v>2020</v>
      </c>
      <c r="F6332" s="6">
        <v>2020</v>
      </c>
      <c r="G6332" s="5" t="s">
        <v>3359</v>
      </c>
      <c r="H6332" s="5">
        <v>200</v>
      </c>
      <c r="I6332" s="5">
        <v>200</v>
      </c>
      <c r="J6332" s="5"/>
      <c r="K6332" s="5"/>
      <c r="L6332" s="10">
        <v>20201118</v>
      </c>
      <c r="M6332" s="36" t="str">
        <f t="shared" si="98"/>
        <v>19810320</v>
      </c>
    </row>
    <row r="6333" s="1" customFormat="1" spans="1:13">
      <c r="A6333" s="2">
        <v>4355</v>
      </c>
      <c r="B6333" s="9" t="s">
        <v>8515</v>
      </c>
      <c r="C6333" s="9" t="s">
        <v>8901</v>
      </c>
      <c r="D6333" s="9" t="s">
        <v>8902</v>
      </c>
      <c r="E6333" s="5" t="s">
        <v>15</v>
      </c>
      <c r="F6333" s="5">
        <v>2020</v>
      </c>
      <c r="G6333" s="9" t="s">
        <v>2480</v>
      </c>
      <c r="H6333" s="9">
        <v>200</v>
      </c>
      <c r="I6333" s="9">
        <v>200</v>
      </c>
      <c r="J6333" s="9"/>
      <c r="K6333" s="9"/>
      <c r="L6333" s="10">
        <v>20201118</v>
      </c>
      <c r="M6333" s="36" t="str">
        <f t="shared" si="98"/>
        <v>19810325</v>
      </c>
    </row>
    <row r="6334" s="1" customFormat="1" spans="1:13">
      <c r="A6334" s="2">
        <v>82</v>
      </c>
      <c r="B6334" s="3" t="s">
        <v>12</v>
      </c>
      <c r="C6334" s="6" t="s">
        <v>179</v>
      </c>
      <c r="D6334" s="6" t="s">
        <v>180</v>
      </c>
      <c r="E6334" s="3" t="s">
        <v>15</v>
      </c>
      <c r="F6334" s="3" t="s">
        <v>15</v>
      </c>
      <c r="G6334" s="2" t="s">
        <v>16</v>
      </c>
      <c r="H6334" s="3">
        <v>200</v>
      </c>
      <c r="I6334" s="3">
        <v>200</v>
      </c>
      <c r="J6334" s="3"/>
      <c r="K6334" s="3"/>
      <c r="L6334" s="10">
        <v>20201118</v>
      </c>
      <c r="M6334" s="36" t="str">
        <f t="shared" si="98"/>
        <v>19810329</v>
      </c>
    </row>
    <row r="6335" s="1" customFormat="1" spans="1:13">
      <c r="A6335" s="2">
        <v>668</v>
      </c>
      <c r="B6335" s="29" t="s">
        <v>1040</v>
      </c>
      <c r="C6335" s="47" t="s">
        <v>1656</v>
      </c>
      <c r="D6335" s="47" t="s">
        <v>1657</v>
      </c>
      <c r="E6335" s="30">
        <v>2020</v>
      </c>
      <c r="F6335" s="30">
        <v>2020</v>
      </c>
      <c r="G6335" s="29" t="s">
        <v>16</v>
      </c>
      <c r="H6335" s="29">
        <v>200</v>
      </c>
      <c r="I6335" s="29">
        <v>200</v>
      </c>
      <c r="J6335" s="29"/>
      <c r="K6335" s="54"/>
      <c r="L6335" s="14" t="s">
        <v>330</v>
      </c>
      <c r="M6335" s="36" t="str">
        <f t="shared" si="98"/>
        <v>19810401</v>
      </c>
    </row>
    <row r="6336" s="1" customFormat="1" spans="1:13">
      <c r="A6336" s="2">
        <v>2011</v>
      </c>
      <c r="B6336" s="5" t="s">
        <v>4189</v>
      </c>
      <c r="C6336" s="16" t="s">
        <v>4579</v>
      </c>
      <c r="D6336" s="16" t="s">
        <v>4580</v>
      </c>
      <c r="E6336" s="5" t="s">
        <v>15</v>
      </c>
      <c r="F6336" s="5" t="s">
        <v>15</v>
      </c>
      <c r="G6336" s="5" t="s">
        <v>3359</v>
      </c>
      <c r="H6336" s="16">
        <v>200</v>
      </c>
      <c r="I6336" s="16">
        <v>200</v>
      </c>
      <c r="J6336" s="5"/>
      <c r="K6336" s="10"/>
      <c r="L6336" s="10">
        <v>20201118</v>
      </c>
      <c r="M6336" s="36" t="str">
        <f t="shared" si="98"/>
        <v>19810405</v>
      </c>
    </row>
    <row r="6337" s="1" customFormat="1" spans="1:13">
      <c r="A6337" s="2">
        <v>5166</v>
      </c>
      <c r="B6337" s="6" t="s">
        <v>10242</v>
      </c>
      <c r="C6337" s="9" t="s">
        <v>10457</v>
      </c>
      <c r="D6337" s="9" t="s">
        <v>10458</v>
      </c>
      <c r="E6337" s="5" t="s">
        <v>10250</v>
      </c>
      <c r="F6337" s="5">
        <v>2020</v>
      </c>
      <c r="G6337" s="6" t="s">
        <v>16</v>
      </c>
      <c r="H6337" s="6">
        <v>200</v>
      </c>
      <c r="I6337" s="6">
        <v>200</v>
      </c>
      <c r="J6337" s="6"/>
      <c r="K6337" s="5"/>
      <c r="L6337" s="10">
        <v>20201118</v>
      </c>
      <c r="M6337" s="36" t="str">
        <f t="shared" si="98"/>
        <v>19810405</v>
      </c>
    </row>
    <row r="6338" s="1" customFormat="1" ht="14.25" spans="1:13">
      <c r="A6338" s="2">
        <v>6107</v>
      </c>
      <c r="B6338" s="30" t="s">
        <v>11090</v>
      </c>
      <c r="C6338" s="32" t="s">
        <v>12250</v>
      </c>
      <c r="D6338" s="12" t="s">
        <v>12251</v>
      </c>
      <c r="E6338" s="5" t="s">
        <v>15</v>
      </c>
      <c r="F6338" s="5" t="s">
        <v>10250</v>
      </c>
      <c r="G6338" s="32" t="s">
        <v>12241</v>
      </c>
      <c r="H6338" s="32">
        <v>200</v>
      </c>
      <c r="I6338" s="32">
        <v>200</v>
      </c>
      <c r="J6338" s="5"/>
      <c r="K6338" s="48"/>
      <c r="L6338" s="10">
        <v>20201118</v>
      </c>
      <c r="M6338" s="36" t="str">
        <f t="shared" ref="M6338:M6401" si="99">MID(D6338,7,8)</f>
        <v>19810410</v>
      </c>
    </row>
    <row r="6339" s="1" customFormat="1" spans="1:13">
      <c r="A6339" s="2">
        <v>324</v>
      </c>
      <c r="B6339" s="14" t="s">
        <v>327</v>
      </c>
      <c r="C6339" s="17" t="s">
        <v>860</v>
      </c>
      <c r="D6339" s="306" t="s">
        <v>861</v>
      </c>
      <c r="E6339" s="5">
        <v>2020</v>
      </c>
      <c r="F6339" s="5">
        <v>2020</v>
      </c>
      <c r="G6339" s="14" t="s">
        <v>16</v>
      </c>
      <c r="H6339" s="17">
        <v>200</v>
      </c>
      <c r="I6339" s="17">
        <v>200</v>
      </c>
      <c r="J6339" s="17"/>
      <c r="K6339" s="10"/>
      <c r="L6339" s="14" t="s">
        <v>330</v>
      </c>
      <c r="M6339" s="36" t="str">
        <f t="shared" si="99"/>
        <v>19810413</v>
      </c>
    </row>
    <row r="6340" s="1" customFormat="1" spans="1:13">
      <c r="A6340" s="2">
        <v>2704</v>
      </c>
      <c r="B6340" s="32" t="s">
        <v>5602</v>
      </c>
      <c r="C6340" s="9" t="s">
        <v>5939</v>
      </c>
      <c r="D6340" s="9" t="s">
        <v>5940</v>
      </c>
      <c r="E6340" s="32">
        <v>2020</v>
      </c>
      <c r="F6340" s="32">
        <v>2020</v>
      </c>
      <c r="G6340" s="32" t="s">
        <v>16</v>
      </c>
      <c r="H6340" s="9">
        <v>200</v>
      </c>
      <c r="I6340" s="9">
        <v>200</v>
      </c>
      <c r="J6340" s="32"/>
      <c r="K6340" s="52"/>
      <c r="L6340" s="10">
        <v>20201118</v>
      </c>
      <c r="M6340" s="36" t="str">
        <f t="shared" si="99"/>
        <v>19810417</v>
      </c>
    </row>
    <row r="6341" s="1" customFormat="1" spans="1:13">
      <c r="A6341" s="2">
        <v>1722</v>
      </c>
      <c r="B6341" s="5" t="s">
        <v>3381</v>
      </c>
      <c r="C6341" s="9" t="s">
        <v>4004</v>
      </c>
      <c r="D6341" s="9" t="s">
        <v>4005</v>
      </c>
      <c r="E6341" s="5">
        <v>2020</v>
      </c>
      <c r="F6341" s="5">
        <v>2020</v>
      </c>
      <c r="G6341" s="14" t="s">
        <v>16</v>
      </c>
      <c r="H6341" s="6">
        <v>200</v>
      </c>
      <c r="I6341" s="6">
        <v>200</v>
      </c>
      <c r="J6341" s="5"/>
      <c r="K6341" s="13"/>
      <c r="L6341" s="10">
        <v>20201118</v>
      </c>
      <c r="M6341" s="36" t="str">
        <f t="shared" si="99"/>
        <v>19810418</v>
      </c>
    </row>
    <row r="6342" s="1" customFormat="1" spans="1:13">
      <c r="A6342" s="2">
        <v>332</v>
      </c>
      <c r="B6342" s="14" t="s">
        <v>327</v>
      </c>
      <c r="C6342" s="17" t="s">
        <v>884</v>
      </c>
      <c r="D6342" s="306" t="s">
        <v>885</v>
      </c>
      <c r="E6342" s="5">
        <v>2020</v>
      </c>
      <c r="F6342" s="5">
        <v>2020</v>
      </c>
      <c r="G6342" s="14" t="s">
        <v>16</v>
      </c>
      <c r="H6342" s="17">
        <v>200</v>
      </c>
      <c r="I6342" s="17">
        <v>200</v>
      </c>
      <c r="J6342" s="17"/>
      <c r="K6342" s="10"/>
      <c r="L6342" s="14" t="s">
        <v>330</v>
      </c>
      <c r="M6342" s="36" t="str">
        <f t="shared" si="99"/>
        <v>19810419</v>
      </c>
    </row>
    <row r="6343" s="1" customFormat="1" spans="1:13">
      <c r="A6343" s="2">
        <v>1245</v>
      </c>
      <c r="B6343" s="5" t="s">
        <v>2469</v>
      </c>
      <c r="C6343" s="9" t="s">
        <v>3072</v>
      </c>
      <c r="D6343" s="9" t="s">
        <v>3073</v>
      </c>
      <c r="E6343" s="5">
        <v>2020</v>
      </c>
      <c r="F6343" s="5">
        <v>2020</v>
      </c>
      <c r="G6343" s="9" t="s">
        <v>2480</v>
      </c>
      <c r="H6343" s="9">
        <v>200</v>
      </c>
      <c r="I6343" s="9">
        <v>200</v>
      </c>
      <c r="J6343" s="5"/>
      <c r="K6343" s="5"/>
      <c r="L6343" s="10">
        <v>20201118</v>
      </c>
      <c r="M6343" s="36" t="str">
        <f t="shared" si="99"/>
        <v>19810422</v>
      </c>
    </row>
    <row r="6344" s="1" customFormat="1" spans="1:13">
      <c r="A6344" s="2">
        <v>5785</v>
      </c>
      <c r="B6344" s="30" t="s">
        <v>11090</v>
      </c>
      <c r="C6344" s="30" t="s">
        <v>1731</v>
      </c>
      <c r="D6344" s="30" t="s">
        <v>11642</v>
      </c>
      <c r="E6344" s="5" t="s">
        <v>15</v>
      </c>
      <c r="F6344" s="5" t="s">
        <v>10250</v>
      </c>
      <c r="G6344" s="6" t="s">
        <v>16</v>
      </c>
      <c r="H6344" s="32">
        <v>200</v>
      </c>
      <c r="I6344" s="32">
        <v>200</v>
      </c>
      <c r="J6344" s="6"/>
      <c r="K6344" s="48"/>
      <c r="L6344" s="10">
        <v>20201118</v>
      </c>
      <c r="M6344" s="36" t="str">
        <f t="shared" si="99"/>
        <v>19810423</v>
      </c>
    </row>
    <row r="6345" s="1" customFormat="1" spans="1:13">
      <c r="A6345" s="2">
        <v>2328</v>
      </c>
      <c r="B6345" s="9" t="s">
        <v>4837</v>
      </c>
      <c r="C6345" s="9" t="s">
        <v>5196</v>
      </c>
      <c r="D6345" s="9" t="s">
        <v>5197</v>
      </c>
      <c r="E6345" s="6" t="s">
        <v>15</v>
      </c>
      <c r="F6345" s="6">
        <v>2020</v>
      </c>
      <c r="G6345" s="9" t="s">
        <v>2480</v>
      </c>
      <c r="H6345" s="9">
        <v>200</v>
      </c>
      <c r="I6345" s="9">
        <v>200</v>
      </c>
      <c r="J6345" s="6"/>
      <c r="K6345" s="10"/>
      <c r="L6345" s="10">
        <v>20201118</v>
      </c>
      <c r="M6345" s="36" t="str">
        <f t="shared" si="99"/>
        <v>19810428</v>
      </c>
    </row>
    <row r="6346" s="1" customFormat="1" spans="1:13">
      <c r="A6346" s="2">
        <v>5924</v>
      </c>
      <c r="B6346" s="30" t="s">
        <v>11090</v>
      </c>
      <c r="C6346" s="6" t="s">
        <v>11897</v>
      </c>
      <c r="D6346" s="306" t="s">
        <v>11898</v>
      </c>
      <c r="E6346" s="5" t="s">
        <v>15</v>
      </c>
      <c r="F6346" s="5" t="s">
        <v>10250</v>
      </c>
      <c r="G6346" s="6" t="s">
        <v>16</v>
      </c>
      <c r="H6346" s="32">
        <v>200</v>
      </c>
      <c r="I6346" s="32">
        <v>200</v>
      </c>
      <c r="J6346" s="6"/>
      <c r="K6346" s="48"/>
      <c r="L6346" s="10">
        <v>20201118</v>
      </c>
      <c r="M6346" s="36" t="str">
        <f t="shared" si="99"/>
        <v>19810428</v>
      </c>
    </row>
    <row r="6347" s="1" customFormat="1" spans="1:13">
      <c r="A6347" s="2">
        <v>1723</v>
      </c>
      <c r="B6347" s="5" t="s">
        <v>3381</v>
      </c>
      <c r="C6347" s="9" t="s">
        <v>4006</v>
      </c>
      <c r="D6347" s="9" t="s">
        <v>4007</v>
      </c>
      <c r="E6347" s="5">
        <v>2020</v>
      </c>
      <c r="F6347" s="5">
        <v>2020</v>
      </c>
      <c r="G6347" s="14" t="s">
        <v>16</v>
      </c>
      <c r="H6347" s="6">
        <v>200</v>
      </c>
      <c r="I6347" s="6">
        <v>200</v>
      </c>
      <c r="J6347" s="5"/>
      <c r="K6347" s="13"/>
      <c r="L6347" s="10">
        <v>20201118</v>
      </c>
      <c r="M6347" s="36" t="str">
        <f t="shared" si="99"/>
        <v>19810501</v>
      </c>
    </row>
    <row r="6348" s="1" customFormat="1" spans="1:13">
      <c r="A6348" s="2">
        <v>6494</v>
      </c>
      <c r="B6348" s="5" t="s">
        <v>12263</v>
      </c>
      <c r="C6348" s="5" t="s">
        <v>12991</v>
      </c>
      <c r="D6348" s="5" t="s">
        <v>12992</v>
      </c>
      <c r="E6348" s="5" t="s">
        <v>10250</v>
      </c>
      <c r="F6348" s="5">
        <v>2020</v>
      </c>
      <c r="G6348" s="5" t="s">
        <v>295</v>
      </c>
      <c r="H6348" s="5" t="s">
        <v>311</v>
      </c>
      <c r="I6348" s="5">
        <v>200</v>
      </c>
      <c r="J6348" s="5"/>
      <c r="K6348" s="5"/>
      <c r="L6348" s="10">
        <v>20201118</v>
      </c>
      <c r="M6348" s="36" t="str">
        <f t="shared" si="99"/>
        <v>19810501</v>
      </c>
    </row>
    <row r="6349" s="1" customFormat="1" spans="1:13">
      <c r="A6349" s="2">
        <v>7889</v>
      </c>
      <c r="B6349" s="5" t="s">
        <v>15086</v>
      </c>
      <c r="C6349" s="6" t="s">
        <v>11779</v>
      </c>
      <c r="D6349" s="6" t="str">
        <f>"152326198105036896"</f>
        <v>152326198105036896</v>
      </c>
      <c r="E6349" s="5" t="s">
        <v>15</v>
      </c>
      <c r="F6349" s="5">
        <v>2020</v>
      </c>
      <c r="G6349" s="5" t="s">
        <v>16</v>
      </c>
      <c r="H6349" s="5">
        <v>200</v>
      </c>
      <c r="I6349" s="5">
        <v>200</v>
      </c>
      <c r="J6349" s="5"/>
      <c r="K6349" s="5"/>
      <c r="L6349" s="10">
        <v>20201118</v>
      </c>
      <c r="M6349" s="36" t="str">
        <f t="shared" si="99"/>
        <v>19810503</v>
      </c>
    </row>
    <row r="6350" s="1" customFormat="1" spans="1:13">
      <c r="A6350" s="2">
        <v>4035</v>
      </c>
      <c r="B6350" s="5" t="s">
        <v>7412</v>
      </c>
      <c r="C6350" s="5" t="s">
        <v>8288</v>
      </c>
      <c r="D6350" s="5" t="s">
        <v>8289</v>
      </c>
      <c r="E6350" s="6">
        <v>2020</v>
      </c>
      <c r="F6350" s="6">
        <v>2020</v>
      </c>
      <c r="G6350" s="5" t="s">
        <v>3359</v>
      </c>
      <c r="H6350" s="5">
        <v>200</v>
      </c>
      <c r="I6350" s="5">
        <v>200</v>
      </c>
      <c r="J6350" s="5"/>
      <c r="K6350" s="5"/>
      <c r="L6350" s="10">
        <v>20201118</v>
      </c>
      <c r="M6350" s="36" t="str">
        <f t="shared" si="99"/>
        <v>19810506</v>
      </c>
    </row>
    <row r="6351" s="1" customFormat="1" spans="1:13">
      <c r="A6351" s="2">
        <v>6742</v>
      </c>
      <c r="B6351" s="5" t="s">
        <v>13027</v>
      </c>
      <c r="C6351" s="15" t="s">
        <v>13451</v>
      </c>
      <c r="D6351" s="15" t="s">
        <v>13452</v>
      </c>
      <c r="E6351" s="5">
        <v>2020</v>
      </c>
      <c r="F6351" s="5">
        <v>2020</v>
      </c>
      <c r="G6351" s="14" t="s">
        <v>16</v>
      </c>
      <c r="H6351" s="15">
        <v>200</v>
      </c>
      <c r="I6351" s="15">
        <v>200</v>
      </c>
      <c r="J6351" s="5"/>
      <c r="K6351" s="10"/>
      <c r="L6351" s="10">
        <v>20201118</v>
      </c>
      <c r="M6351" s="36" t="str">
        <f t="shared" si="99"/>
        <v>19810507</v>
      </c>
    </row>
    <row r="6352" s="1" customFormat="1" spans="1:13">
      <c r="A6352" s="2">
        <v>7463</v>
      </c>
      <c r="B6352" s="5" t="s">
        <v>14402</v>
      </c>
      <c r="C6352" s="5" t="s">
        <v>14545</v>
      </c>
      <c r="D6352" s="5" t="s">
        <v>14546</v>
      </c>
      <c r="E6352" s="5">
        <v>2020</v>
      </c>
      <c r="F6352" s="5">
        <v>2020</v>
      </c>
      <c r="G6352" s="17" t="s">
        <v>16</v>
      </c>
      <c r="H6352" s="5">
        <v>200</v>
      </c>
      <c r="I6352" s="5">
        <v>200</v>
      </c>
      <c r="J6352" s="5"/>
      <c r="K6352" s="10"/>
      <c r="L6352" s="10">
        <v>20201118</v>
      </c>
      <c r="M6352" s="36" t="str">
        <f t="shared" si="99"/>
        <v>19810507</v>
      </c>
    </row>
    <row r="6353" s="1" customFormat="1" spans="1:13">
      <c r="A6353" s="2">
        <v>1795</v>
      </c>
      <c r="B6353" s="5" t="s">
        <v>3381</v>
      </c>
      <c r="C6353" s="9" t="s">
        <v>4152</v>
      </c>
      <c r="D6353" s="9" t="s">
        <v>4153</v>
      </c>
      <c r="E6353" s="5">
        <v>2020</v>
      </c>
      <c r="F6353" s="5">
        <v>2020</v>
      </c>
      <c r="G6353" s="5" t="s">
        <v>189</v>
      </c>
      <c r="H6353" s="6">
        <v>200</v>
      </c>
      <c r="I6353" s="6">
        <v>200</v>
      </c>
      <c r="J6353" s="5"/>
      <c r="K6353" s="13"/>
      <c r="L6353" s="10">
        <v>20201118</v>
      </c>
      <c r="M6353" s="36" t="str">
        <f t="shared" si="99"/>
        <v>19810508</v>
      </c>
    </row>
    <row r="6354" s="1" customFormat="1" spans="1:13">
      <c r="A6354" s="2">
        <v>2012</v>
      </c>
      <c r="B6354" s="5" t="s">
        <v>4189</v>
      </c>
      <c r="C6354" s="16" t="s">
        <v>4581</v>
      </c>
      <c r="D6354" s="16" t="s">
        <v>4582</v>
      </c>
      <c r="E6354" s="5" t="s">
        <v>15</v>
      </c>
      <c r="F6354" s="5" t="s">
        <v>15</v>
      </c>
      <c r="G6354" s="5" t="s">
        <v>3359</v>
      </c>
      <c r="H6354" s="16">
        <v>200</v>
      </c>
      <c r="I6354" s="16">
        <v>200</v>
      </c>
      <c r="J6354" s="5"/>
      <c r="K6354" s="10"/>
      <c r="L6354" s="10">
        <v>20201118</v>
      </c>
      <c r="M6354" s="36" t="str">
        <f t="shared" si="99"/>
        <v>19810511</v>
      </c>
    </row>
    <row r="6355" s="1" customFormat="1" spans="1:13">
      <c r="A6355" s="2">
        <v>7304</v>
      </c>
      <c r="B6355" s="5" t="s">
        <v>13908</v>
      </c>
      <c r="C6355" s="5" t="s">
        <v>14246</v>
      </c>
      <c r="D6355" s="5" t="s">
        <v>14247</v>
      </c>
      <c r="E6355" s="5" t="s">
        <v>15</v>
      </c>
      <c r="F6355" s="5" t="s">
        <v>15</v>
      </c>
      <c r="G6355" s="14" t="s">
        <v>16</v>
      </c>
      <c r="H6355" s="17">
        <v>200</v>
      </c>
      <c r="I6355" s="17">
        <v>200</v>
      </c>
      <c r="J6355" s="5"/>
      <c r="K6355" s="10"/>
      <c r="L6355" s="10">
        <v>20201118</v>
      </c>
      <c r="M6355" s="36" t="str">
        <f t="shared" si="99"/>
        <v>19810513</v>
      </c>
    </row>
    <row r="6356" s="1" customFormat="1" spans="1:13">
      <c r="A6356" s="2">
        <v>7623</v>
      </c>
      <c r="B6356" s="5" t="s">
        <v>14402</v>
      </c>
      <c r="C6356" s="5" t="s">
        <v>14843</v>
      </c>
      <c r="D6356" s="5" t="s">
        <v>14844</v>
      </c>
      <c r="E6356" s="5">
        <v>2020</v>
      </c>
      <c r="F6356" s="5">
        <v>2020</v>
      </c>
      <c r="G6356" s="17" t="s">
        <v>16</v>
      </c>
      <c r="H6356" s="5">
        <v>200</v>
      </c>
      <c r="I6356" s="5">
        <v>200</v>
      </c>
      <c r="J6356" s="5"/>
      <c r="K6356" s="10"/>
      <c r="L6356" s="10">
        <v>20201118</v>
      </c>
      <c r="M6356" s="36" t="str">
        <f t="shared" si="99"/>
        <v>19810520</v>
      </c>
    </row>
    <row r="6357" s="1" customFormat="1" spans="1:13">
      <c r="A6357" s="2">
        <v>2014</v>
      </c>
      <c r="B6357" s="5" t="s">
        <v>4189</v>
      </c>
      <c r="C6357" s="16" t="s">
        <v>4585</v>
      </c>
      <c r="D6357" s="16" t="s">
        <v>4586</v>
      </c>
      <c r="E6357" s="5" t="s">
        <v>15</v>
      </c>
      <c r="F6357" s="5" t="s">
        <v>15</v>
      </c>
      <c r="G6357" s="5" t="s">
        <v>3359</v>
      </c>
      <c r="H6357" s="16">
        <v>200</v>
      </c>
      <c r="I6357" s="16">
        <v>200</v>
      </c>
      <c r="J6357" s="5"/>
      <c r="K6357" s="10"/>
      <c r="L6357" s="10">
        <v>20201118</v>
      </c>
      <c r="M6357" s="36" t="str">
        <f t="shared" si="99"/>
        <v>19810525</v>
      </c>
    </row>
    <row r="6358" s="1" customFormat="1" spans="1:13">
      <c r="A6358" s="2">
        <v>7464</v>
      </c>
      <c r="B6358" s="5" t="s">
        <v>14402</v>
      </c>
      <c r="C6358" s="5" t="s">
        <v>14547</v>
      </c>
      <c r="D6358" s="5" t="s">
        <v>14548</v>
      </c>
      <c r="E6358" s="5">
        <v>2020</v>
      </c>
      <c r="F6358" s="5">
        <v>2020</v>
      </c>
      <c r="G6358" s="17" t="s">
        <v>16</v>
      </c>
      <c r="H6358" s="5">
        <v>200</v>
      </c>
      <c r="I6358" s="5">
        <v>200</v>
      </c>
      <c r="J6358" s="5"/>
      <c r="K6358" s="10"/>
      <c r="L6358" s="10">
        <v>20201118</v>
      </c>
      <c r="M6358" s="36" t="str">
        <f t="shared" si="99"/>
        <v>19810526</v>
      </c>
    </row>
    <row r="6359" s="1" customFormat="1" spans="1:13">
      <c r="A6359" s="2">
        <v>433</v>
      </c>
      <c r="B6359" s="29" t="s">
        <v>1040</v>
      </c>
      <c r="C6359" s="29" t="s">
        <v>1142</v>
      </c>
      <c r="D6359" s="29" t="s">
        <v>1143</v>
      </c>
      <c r="E6359" s="30">
        <v>2020</v>
      </c>
      <c r="F6359" s="30">
        <v>2020</v>
      </c>
      <c r="G6359" s="29" t="s">
        <v>16</v>
      </c>
      <c r="H6359" s="29">
        <v>200</v>
      </c>
      <c r="I6359" s="29">
        <v>200</v>
      </c>
      <c r="J6359" s="29"/>
      <c r="K6359" s="47"/>
      <c r="L6359" s="14" t="s">
        <v>330</v>
      </c>
      <c r="M6359" s="36" t="str">
        <f t="shared" si="99"/>
        <v>19810527</v>
      </c>
    </row>
    <row r="6360" s="1" customFormat="1" spans="1:13">
      <c r="A6360" s="2">
        <v>2001</v>
      </c>
      <c r="B6360" s="5" t="s">
        <v>4189</v>
      </c>
      <c r="C6360" s="16" t="s">
        <v>4559</v>
      </c>
      <c r="D6360" s="16" t="s">
        <v>4560</v>
      </c>
      <c r="E6360" s="5" t="s">
        <v>15</v>
      </c>
      <c r="F6360" s="5" t="s">
        <v>15</v>
      </c>
      <c r="G6360" s="5" t="s">
        <v>3359</v>
      </c>
      <c r="H6360" s="16">
        <v>200</v>
      </c>
      <c r="I6360" s="16">
        <v>200</v>
      </c>
      <c r="J6360" s="5"/>
      <c r="K6360" s="10"/>
      <c r="L6360" s="10">
        <v>20201118</v>
      </c>
      <c r="M6360" s="36" t="str">
        <f t="shared" si="99"/>
        <v>19810527</v>
      </c>
    </row>
    <row r="6361" s="1" customFormat="1" ht="14.25" spans="1:13">
      <c r="A6361" s="2">
        <v>6031</v>
      </c>
      <c r="B6361" s="30" t="s">
        <v>11090</v>
      </c>
      <c r="C6361" s="32" t="s">
        <v>12105</v>
      </c>
      <c r="D6361" s="12" t="s">
        <v>12106</v>
      </c>
      <c r="E6361" s="5" t="s">
        <v>15</v>
      </c>
      <c r="F6361" s="5" t="s">
        <v>10250</v>
      </c>
      <c r="G6361" s="6" t="s">
        <v>16</v>
      </c>
      <c r="H6361" s="32">
        <v>200</v>
      </c>
      <c r="I6361" s="32">
        <v>200</v>
      </c>
      <c r="J6361" s="5"/>
      <c r="K6361" s="48"/>
      <c r="L6361" s="10">
        <v>20201118</v>
      </c>
      <c r="M6361" s="36" t="str">
        <f t="shared" si="99"/>
        <v>19810528</v>
      </c>
    </row>
    <row r="6362" s="1" customFormat="1" spans="1:13">
      <c r="A6362" s="2">
        <v>1246</v>
      </c>
      <c r="B6362" s="5" t="s">
        <v>2469</v>
      </c>
      <c r="C6362" s="9" t="s">
        <v>3074</v>
      </c>
      <c r="D6362" s="9" t="s">
        <v>3075</v>
      </c>
      <c r="E6362" s="5">
        <v>2020</v>
      </c>
      <c r="F6362" s="5">
        <v>2020</v>
      </c>
      <c r="G6362" s="9" t="s">
        <v>2480</v>
      </c>
      <c r="H6362" s="9">
        <v>200</v>
      </c>
      <c r="I6362" s="9">
        <v>200</v>
      </c>
      <c r="J6362" s="5"/>
      <c r="K6362" s="5"/>
      <c r="L6362" s="10">
        <v>20201118</v>
      </c>
      <c r="M6362" s="36" t="str">
        <f t="shared" si="99"/>
        <v>19810529</v>
      </c>
    </row>
    <row r="6363" s="1" customFormat="1" spans="1:13">
      <c r="A6363" s="2">
        <v>434</v>
      </c>
      <c r="B6363" s="29" t="s">
        <v>1040</v>
      </c>
      <c r="C6363" s="29" t="s">
        <v>1144</v>
      </c>
      <c r="D6363" s="29" t="s">
        <v>1145</v>
      </c>
      <c r="E6363" s="30">
        <v>2020</v>
      </c>
      <c r="F6363" s="30">
        <v>2020</v>
      </c>
      <c r="G6363" s="29" t="s">
        <v>16</v>
      </c>
      <c r="H6363" s="29">
        <v>200</v>
      </c>
      <c r="I6363" s="29">
        <v>200</v>
      </c>
      <c r="J6363" s="29"/>
      <c r="K6363" s="47"/>
      <c r="L6363" s="2" t="s">
        <v>330</v>
      </c>
      <c r="M6363" s="36" t="str">
        <f t="shared" si="99"/>
        <v>19810601</v>
      </c>
    </row>
    <row r="6364" s="1" customFormat="1" spans="1:13">
      <c r="A6364" s="2">
        <v>7223</v>
      </c>
      <c r="B6364" s="5" t="s">
        <v>13908</v>
      </c>
      <c r="C6364" s="5" t="s">
        <v>14092</v>
      </c>
      <c r="D6364" s="5" t="s">
        <v>14093</v>
      </c>
      <c r="E6364" s="5" t="s">
        <v>15</v>
      </c>
      <c r="F6364" s="5" t="s">
        <v>15</v>
      </c>
      <c r="G6364" s="14" t="s">
        <v>16</v>
      </c>
      <c r="H6364" s="17">
        <v>200</v>
      </c>
      <c r="I6364" s="17">
        <v>200</v>
      </c>
      <c r="J6364" s="5"/>
      <c r="K6364" s="10"/>
      <c r="L6364" s="10">
        <v>20201118</v>
      </c>
      <c r="M6364" s="36" t="str">
        <f t="shared" si="99"/>
        <v>19810602</v>
      </c>
    </row>
    <row r="6365" s="1" customFormat="1" spans="1:13">
      <c r="A6365" s="2">
        <v>8202</v>
      </c>
      <c r="B6365" s="5" t="s">
        <v>15406</v>
      </c>
      <c r="C6365" s="6" t="s">
        <v>15588</v>
      </c>
      <c r="D6365" s="6" t="s">
        <v>15589</v>
      </c>
      <c r="E6365" s="5" t="s">
        <v>15</v>
      </c>
      <c r="F6365" s="5">
        <v>2020</v>
      </c>
      <c r="G6365" s="14" t="s">
        <v>16</v>
      </c>
      <c r="H6365" s="6" t="s">
        <v>2295</v>
      </c>
      <c r="I6365" s="6">
        <v>500</v>
      </c>
      <c r="J6365" s="5"/>
      <c r="K6365" s="10"/>
      <c r="L6365" s="10">
        <v>20201118</v>
      </c>
      <c r="M6365" s="36" t="str">
        <f t="shared" si="99"/>
        <v>19810608</v>
      </c>
    </row>
    <row r="6366" s="1" customFormat="1" spans="1:13">
      <c r="A6366" s="2">
        <v>7466</v>
      </c>
      <c r="B6366" s="5" t="s">
        <v>14402</v>
      </c>
      <c r="C6366" s="5" t="s">
        <v>1543</v>
      </c>
      <c r="D6366" s="5" t="s">
        <v>14550</v>
      </c>
      <c r="E6366" s="5">
        <v>2020</v>
      </c>
      <c r="F6366" s="5">
        <v>2020</v>
      </c>
      <c r="G6366" s="17" t="s">
        <v>16</v>
      </c>
      <c r="H6366" s="5">
        <v>200</v>
      </c>
      <c r="I6366" s="5">
        <v>200</v>
      </c>
      <c r="J6366" s="5"/>
      <c r="K6366" s="10"/>
      <c r="L6366" s="10">
        <v>20201118</v>
      </c>
      <c r="M6366" s="36" t="str">
        <f t="shared" si="99"/>
        <v>19810611</v>
      </c>
    </row>
    <row r="6367" s="1" customFormat="1" spans="1:13">
      <c r="A6367" s="2">
        <v>8114</v>
      </c>
      <c r="B6367" s="5" t="s">
        <v>15406</v>
      </c>
      <c r="C6367" s="6" t="s">
        <v>15422</v>
      </c>
      <c r="D6367" s="293" t="s">
        <v>15423</v>
      </c>
      <c r="E6367" s="5" t="s">
        <v>15</v>
      </c>
      <c r="F6367" s="5">
        <v>2020</v>
      </c>
      <c r="G6367" s="14" t="s">
        <v>16</v>
      </c>
      <c r="H6367" s="6">
        <v>200</v>
      </c>
      <c r="I6367" s="6">
        <v>200</v>
      </c>
      <c r="J6367" s="5"/>
      <c r="K6367" s="10"/>
      <c r="L6367" s="10">
        <v>20201118</v>
      </c>
      <c r="M6367" s="36" t="str">
        <f t="shared" si="99"/>
        <v>19810611</v>
      </c>
    </row>
    <row r="6368" s="1" customFormat="1" spans="1:13">
      <c r="A6368" s="2">
        <v>355</v>
      </c>
      <c r="B6368" s="14" t="s">
        <v>327</v>
      </c>
      <c r="C6368" s="17" t="s">
        <v>952</v>
      </c>
      <c r="D6368" s="306" t="s">
        <v>953</v>
      </c>
      <c r="E6368" s="5">
        <v>2020</v>
      </c>
      <c r="F6368" s="5">
        <v>2020</v>
      </c>
      <c r="G6368" s="14" t="s">
        <v>16</v>
      </c>
      <c r="H6368" s="17">
        <v>200</v>
      </c>
      <c r="I6368" s="17">
        <v>200</v>
      </c>
      <c r="J6368" s="17"/>
      <c r="K6368" s="10"/>
      <c r="L6368" s="2" t="s">
        <v>330</v>
      </c>
      <c r="M6368" s="36" t="str">
        <f t="shared" si="99"/>
        <v>19810614</v>
      </c>
    </row>
    <row r="6369" s="1" customFormat="1" spans="1:13">
      <c r="A6369" s="2">
        <v>7283</v>
      </c>
      <c r="B6369" s="5" t="s">
        <v>13908</v>
      </c>
      <c r="C6369" s="5" t="s">
        <v>14205</v>
      </c>
      <c r="D6369" s="5" t="s">
        <v>14206</v>
      </c>
      <c r="E6369" s="5" t="s">
        <v>15</v>
      </c>
      <c r="F6369" s="5" t="s">
        <v>15</v>
      </c>
      <c r="G6369" s="14" t="s">
        <v>16</v>
      </c>
      <c r="H6369" s="17">
        <v>500</v>
      </c>
      <c r="I6369" s="17">
        <v>500</v>
      </c>
      <c r="J6369" s="5"/>
      <c r="K6369" s="10"/>
      <c r="L6369" s="10">
        <v>20201118</v>
      </c>
      <c r="M6369" s="36" t="str">
        <f t="shared" si="99"/>
        <v>19810614</v>
      </c>
    </row>
    <row r="6370" s="1" customFormat="1" spans="1:13">
      <c r="A6370" s="2">
        <v>5841</v>
      </c>
      <c r="B6370" s="30" t="s">
        <v>11090</v>
      </c>
      <c r="C6370" s="30" t="s">
        <v>11748</v>
      </c>
      <c r="D6370" s="30" t="s">
        <v>11749</v>
      </c>
      <c r="E6370" s="5" t="s">
        <v>15</v>
      </c>
      <c r="F6370" s="5" t="s">
        <v>10250</v>
      </c>
      <c r="G6370" s="6" t="s">
        <v>16</v>
      </c>
      <c r="H6370" s="32">
        <v>200</v>
      </c>
      <c r="I6370" s="32">
        <v>200</v>
      </c>
      <c r="J6370" s="6"/>
      <c r="K6370" s="48"/>
      <c r="L6370" s="10">
        <v>20201118</v>
      </c>
      <c r="M6370" s="36" t="str">
        <f t="shared" si="99"/>
        <v>19810615</v>
      </c>
    </row>
    <row r="6371" s="1" customFormat="1" spans="1:13">
      <c r="A6371" s="2">
        <v>3310</v>
      </c>
      <c r="B6371" s="5" t="s">
        <v>3375</v>
      </c>
      <c r="C6371" s="6" t="s">
        <v>7081</v>
      </c>
      <c r="D6371" s="6" t="s">
        <v>7082</v>
      </c>
      <c r="E6371" s="5" t="s">
        <v>15</v>
      </c>
      <c r="F6371" s="5">
        <v>2020</v>
      </c>
      <c r="G6371" s="14" t="s">
        <v>16</v>
      </c>
      <c r="H6371" s="17">
        <v>200</v>
      </c>
      <c r="I6371" s="17">
        <v>200</v>
      </c>
      <c r="J6371" s="6" t="s">
        <v>4064</v>
      </c>
      <c r="K6371" s="10"/>
      <c r="L6371" s="10">
        <v>20201118</v>
      </c>
      <c r="M6371" s="36" t="str">
        <f t="shared" si="99"/>
        <v>19810616</v>
      </c>
    </row>
    <row r="6372" s="1" customFormat="1" spans="1:13">
      <c r="A6372" s="2">
        <v>2705</v>
      </c>
      <c r="B6372" s="32" t="s">
        <v>5602</v>
      </c>
      <c r="C6372" s="9" t="s">
        <v>5941</v>
      </c>
      <c r="D6372" s="9" t="s">
        <v>5942</v>
      </c>
      <c r="E6372" s="32">
        <v>2020</v>
      </c>
      <c r="F6372" s="32">
        <v>2020</v>
      </c>
      <c r="G6372" s="32" t="s">
        <v>16</v>
      </c>
      <c r="H6372" s="9">
        <v>200</v>
      </c>
      <c r="I6372" s="9">
        <v>200</v>
      </c>
      <c r="J6372" s="32"/>
      <c r="K6372" s="52"/>
      <c r="L6372" s="10">
        <v>20201118</v>
      </c>
      <c r="M6372" s="36" t="str">
        <f t="shared" si="99"/>
        <v>19810620</v>
      </c>
    </row>
    <row r="6373" s="1" customFormat="1" spans="1:13">
      <c r="A6373" s="2">
        <v>4544</v>
      </c>
      <c r="B6373" s="6" t="s">
        <v>9015</v>
      </c>
      <c r="C6373" s="6" t="s">
        <v>9268</v>
      </c>
      <c r="D6373" s="6" t="s">
        <v>9269</v>
      </c>
      <c r="E6373" s="6">
        <v>2020</v>
      </c>
      <c r="F6373" s="6">
        <v>2020</v>
      </c>
      <c r="G6373" s="6" t="s">
        <v>16</v>
      </c>
      <c r="H6373" s="6">
        <v>200</v>
      </c>
      <c r="I6373" s="6">
        <v>200</v>
      </c>
      <c r="J6373" s="6"/>
      <c r="K6373" s="6"/>
      <c r="L6373" s="10">
        <v>20201118</v>
      </c>
      <c r="M6373" s="36" t="str">
        <f t="shared" si="99"/>
        <v>19810621</v>
      </c>
    </row>
    <row r="6374" s="1" customFormat="1" spans="1:13">
      <c r="A6374" s="2">
        <v>5615</v>
      </c>
      <c r="B6374" s="30" t="s">
        <v>11090</v>
      </c>
      <c r="C6374" s="30" t="s">
        <v>11321</v>
      </c>
      <c r="D6374" s="30" t="s">
        <v>11322</v>
      </c>
      <c r="E6374" s="5" t="s">
        <v>15</v>
      </c>
      <c r="F6374" s="5" t="s">
        <v>10250</v>
      </c>
      <c r="G6374" s="6" t="s">
        <v>16</v>
      </c>
      <c r="H6374" s="32">
        <v>200</v>
      </c>
      <c r="I6374" s="32">
        <v>200</v>
      </c>
      <c r="J6374" s="6"/>
      <c r="K6374" s="48"/>
      <c r="L6374" s="10">
        <v>20201118</v>
      </c>
      <c r="M6374" s="36" t="str">
        <f t="shared" si="99"/>
        <v>19810627</v>
      </c>
    </row>
    <row r="6375" s="1" customFormat="1" spans="1:13">
      <c r="A6375" s="2">
        <v>7383</v>
      </c>
      <c r="B6375" s="5" t="s">
        <v>13908</v>
      </c>
      <c r="C6375" s="5" t="s">
        <v>14389</v>
      </c>
      <c r="D6375" s="5" t="s">
        <v>14390</v>
      </c>
      <c r="E6375" s="5" t="s">
        <v>15</v>
      </c>
      <c r="F6375" s="5" t="s">
        <v>15</v>
      </c>
      <c r="G6375" s="14" t="s">
        <v>295</v>
      </c>
      <c r="H6375" s="17">
        <v>500</v>
      </c>
      <c r="I6375" s="17">
        <v>500</v>
      </c>
      <c r="J6375" s="5"/>
      <c r="K6375" s="10"/>
      <c r="L6375" s="10">
        <v>20201118</v>
      </c>
      <c r="M6375" s="36" t="str">
        <f t="shared" si="99"/>
        <v>19810701</v>
      </c>
    </row>
    <row r="6376" s="1" customFormat="1" spans="1:13">
      <c r="A6376" s="2">
        <v>6826</v>
      </c>
      <c r="B6376" s="5" t="s">
        <v>13533</v>
      </c>
      <c r="C6376" s="32" t="s">
        <v>13578</v>
      </c>
      <c r="D6376" s="32" t="str">
        <f>"152326198107077114"</f>
        <v>152326198107077114</v>
      </c>
      <c r="E6376" s="5">
        <v>2020</v>
      </c>
      <c r="F6376" s="5">
        <v>2020</v>
      </c>
      <c r="G6376" s="9" t="s">
        <v>2480</v>
      </c>
      <c r="H6376" s="32">
        <v>200</v>
      </c>
      <c r="I6376" s="32">
        <v>200</v>
      </c>
      <c r="J6376" s="32"/>
      <c r="K6376" s="10"/>
      <c r="L6376" s="10">
        <v>20201118</v>
      </c>
      <c r="M6376" s="36" t="str">
        <f t="shared" si="99"/>
        <v>19810707</v>
      </c>
    </row>
    <row r="6377" s="1" customFormat="1" spans="1:13">
      <c r="A6377" s="2">
        <v>2010</v>
      </c>
      <c r="B6377" s="5" t="s">
        <v>4189</v>
      </c>
      <c r="C6377" s="16" t="s">
        <v>4577</v>
      </c>
      <c r="D6377" s="16" t="s">
        <v>4578</v>
      </c>
      <c r="E6377" s="5" t="s">
        <v>15</v>
      </c>
      <c r="F6377" s="5" t="s">
        <v>15</v>
      </c>
      <c r="G6377" s="5" t="s">
        <v>3359</v>
      </c>
      <c r="H6377" s="16">
        <v>200</v>
      </c>
      <c r="I6377" s="16">
        <v>200</v>
      </c>
      <c r="J6377" s="5"/>
      <c r="K6377" s="10"/>
      <c r="L6377" s="10">
        <v>20201118</v>
      </c>
      <c r="M6377" s="36" t="str">
        <f t="shared" si="99"/>
        <v>19810708</v>
      </c>
    </row>
    <row r="6378" s="1" customFormat="1" spans="1:13">
      <c r="A6378" s="2">
        <v>4529</v>
      </c>
      <c r="B6378" s="6" t="s">
        <v>9015</v>
      </c>
      <c r="C6378" s="6" t="s">
        <v>9239</v>
      </c>
      <c r="D6378" s="6" t="s">
        <v>9240</v>
      </c>
      <c r="E6378" s="6">
        <v>2020</v>
      </c>
      <c r="F6378" s="6">
        <v>2020</v>
      </c>
      <c r="G6378" s="6" t="s">
        <v>16</v>
      </c>
      <c r="H6378" s="6">
        <v>200</v>
      </c>
      <c r="I6378" s="6">
        <v>200</v>
      </c>
      <c r="J6378" s="6"/>
      <c r="K6378" s="6"/>
      <c r="L6378" s="10">
        <v>20201118</v>
      </c>
      <c r="M6378" s="36" t="str">
        <f t="shared" si="99"/>
        <v>19810715</v>
      </c>
    </row>
    <row r="6379" s="1" customFormat="1" ht="14.25" spans="1:13">
      <c r="A6379" s="2">
        <v>5410</v>
      </c>
      <c r="B6379" s="33" t="s">
        <v>10535</v>
      </c>
      <c r="C6379" s="34" t="s">
        <v>10925</v>
      </c>
      <c r="D6379" s="34" t="s">
        <v>10926</v>
      </c>
      <c r="E6379" s="35">
        <v>2020</v>
      </c>
      <c r="F6379" s="35">
        <v>2020</v>
      </c>
      <c r="G6379" s="35" t="s">
        <v>16</v>
      </c>
      <c r="H6379" s="34">
        <v>200</v>
      </c>
      <c r="I6379" s="34">
        <v>200</v>
      </c>
      <c r="J6379" s="49"/>
      <c r="K6379" s="10"/>
      <c r="L6379" s="10">
        <v>20201118</v>
      </c>
      <c r="M6379" s="36" t="str">
        <f t="shared" si="99"/>
        <v>19810716</v>
      </c>
    </row>
    <row r="6380" s="1" customFormat="1" spans="1:13">
      <c r="A6380" s="2">
        <v>3145</v>
      </c>
      <c r="B6380" s="3" t="s">
        <v>6671</v>
      </c>
      <c r="C6380" s="9" t="s">
        <v>6809</v>
      </c>
      <c r="D6380" s="9" t="s">
        <v>6810</v>
      </c>
      <c r="E6380" s="3" t="s">
        <v>15</v>
      </c>
      <c r="F6380" s="3" t="s">
        <v>15</v>
      </c>
      <c r="G6380" s="6" t="s">
        <v>3359</v>
      </c>
      <c r="H6380" s="9">
        <v>200</v>
      </c>
      <c r="I6380" s="9">
        <v>200</v>
      </c>
      <c r="J6380" s="6"/>
      <c r="K6380" s="5"/>
      <c r="L6380" s="10">
        <v>20201118</v>
      </c>
      <c r="M6380" s="36" t="str">
        <f t="shared" si="99"/>
        <v>19810720</v>
      </c>
    </row>
    <row r="6381" s="1" customFormat="1" spans="1:13">
      <c r="A6381" s="2">
        <v>5599</v>
      </c>
      <c r="B6381" s="30" t="s">
        <v>11090</v>
      </c>
      <c r="C6381" s="30" t="s">
        <v>3122</v>
      </c>
      <c r="D6381" s="30" t="s">
        <v>11290</v>
      </c>
      <c r="E6381" s="5" t="s">
        <v>15</v>
      </c>
      <c r="F6381" s="5" t="s">
        <v>10250</v>
      </c>
      <c r="G6381" s="6" t="s">
        <v>16</v>
      </c>
      <c r="H6381" s="32">
        <v>200</v>
      </c>
      <c r="I6381" s="32">
        <v>200</v>
      </c>
      <c r="J6381" s="6"/>
      <c r="K6381" s="48"/>
      <c r="L6381" s="10">
        <v>20201118</v>
      </c>
      <c r="M6381" s="36" t="str">
        <f t="shared" si="99"/>
        <v>19810720</v>
      </c>
    </row>
    <row r="6382" s="1" customFormat="1" spans="1:13">
      <c r="A6382" s="2">
        <v>8185</v>
      </c>
      <c r="B6382" s="5" t="s">
        <v>15406</v>
      </c>
      <c r="C6382" s="6" t="s">
        <v>15557</v>
      </c>
      <c r="D6382" s="6" t="s">
        <v>15558</v>
      </c>
      <c r="E6382" s="5" t="s">
        <v>15</v>
      </c>
      <c r="F6382" s="5">
        <v>2020</v>
      </c>
      <c r="G6382" s="14" t="s">
        <v>16</v>
      </c>
      <c r="H6382" s="6">
        <v>200</v>
      </c>
      <c r="I6382" s="6">
        <v>200</v>
      </c>
      <c r="J6382" s="5"/>
      <c r="K6382" s="10"/>
      <c r="L6382" s="10">
        <v>20201118</v>
      </c>
      <c r="M6382" s="36" t="str">
        <f t="shared" si="99"/>
        <v>19810722</v>
      </c>
    </row>
    <row r="6383" s="1" customFormat="1" spans="1:13">
      <c r="A6383" s="2">
        <v>5535</v>
      </c>
      <c r="B6383" s="30" t="s">
        <v>11090</v>
      </c>
      <c r="C6383" s="30" t="s">
        <v>11167</v>
      </c>
      <c r="D6383" s="30" t="s">
        <v>11168</v>
      </c>
      <c r="E6383" s="5" t="s">
        <v>15</v>
      </c>
      <c r="F6383" s="5" t="s">
        <v>10250</v>
      </c>
      <c r="G6383" s="6" t="s">
        <v>16</v>
      </c>
      <c r="H6383" s="32">
        <v>200</v>
      </c>
      <c r="I6383" s="32">
        <v>200</v>
      </c>
      <c r="J6383" s="6"/>
      <c r="K6383" s="48"/>
      <c r="L6383" s="10">
        <v>20201118</v>
      </c>
      <c r="M6383" s="36" t="str">
        <f t="shared" si="99"/>
        <v>19810723</v>
      </c>
    </row>
    <row r="6384" s="1" customFormat="1" spans="1:13">
      <c r="A6384" s="2">
        <v>1724</v>
      </c>
      <c r="B6384" s="5" t="s">
        <v>3381</v>
      </c>
      <c r="C6384" s="9" t="s">
        <v>4008</v>
      </c>
      <c r="D6384" s="9" t="s">
        <v>4009</v>
      </c>
      <c r="E6384" s="5">
        <v>2020</v>
      </c>
      <c r="F6384" s="5">
        <v>2020</v>
      </c>
      <c r="G6384" s="14" t="s">
        <v>16</v>
      </c>
      <c r="H6384" s="6">
        <v>200</v>
      </c>
      <c r="I6384" s="6">
        <v>200</v>
      </c>
      <c r="J6384" s="5"/>
      <c r="K6384" s="13"/>
      <c r="L6384" s="10">
        <v>20201118</v>
      </c>
      <c r="M6384" s="36" t="str">
        <f t="shared" si="99"/>
        <v>19810725</v>
      </c>
    </row>
    <row r="6385" s="1" customFormat="1" spans="1:13">
      <c r="A6385" s="2">
        <v>7285</v>
      </c>
      <c r="B6385" s="5" t="s">
        <v>13908</v>
      </c>
      <c r="C6385" s="5" t="s">
        <v>14209</v>
      </c>
      <c r="D6385" s="5" t="s">
        <v>14210</v>
      </c>
      <c r="E6385" s="5" t="s">
        <v>15</v>
      </c>
      <c r="F6385" s="5" t="s">
        <v>15</v>
      </c>
      <c r="G6385" s="14" t="s">
        <v>16</v>
      </c>
      <c r="H6385" s="17">
        <v>200</v>
      </c>
      <c r="I6385" s="17">
        <v>200</v>
      </c>
      <c r="J6385" s="5"/>
      <c r="K6385" s="10"/>
      <c r="L6385" s="10">
        <v>20201118</v>
      </c>
      <c r="M6385" s="36" t="str">
        <f t="shared" si="99"/>
        <v>19810726</v>
      </c>
    </row>
    <row r="6386" s="1" customFormat="1" spans="1:13">
      <c r="A6386" s="2">
        <v>860</v>
      </c>
      <c r="B6386" s="29" t="s">
        <v>1040</v>
      </c>
      <c r="C6386" s="6" t="s">
        <v>2227</v>
      </c>
      <c r="D6386" s="6" t="s">
        <v>2228</v>
      </c>
      <c r="E6386" s="30">
        <v>2020</v>
      </c>
      <c r="F6386" s="30">
        <v>2020</v>
      </c>
      <c r="G6386" s="29" t="s">
        <v>16</v>
      </c>
      <c r="H6386" s="29">
        <v>200</v>
      </c>
      <c r="I6386" s="29">
        <v>200</v>
      </c>
      <c r="J6386" s="32"/>
      <c r="K6386" s="32"/>
      <c r="L6386" s="2" t="s">
        <v>330</v>
      </c>
      <c r="M6386" s="36" t="str">
        <f t="shared" si="99"/>
        <v>19810727</v>
      </c>
    </row>
    <row r="6387" s="1" customFormat="1" spans="1:13">
      <c r="A6387" s="2">
        <v>5611</v>
      </c>
      <c r="B6387" s="30" t="s">
        <v>11090</v>
      </c>
      <c r="C6387" s="30" t="s">
        <v>11313</v>
      </c>
      <c r="D6387" s="30" t="s">
        <v>11314</v>
      </c>
      <c r="E6387" s="5" t="s">
        <v>15</v>
      </c>
      <c r="F6387" s="5" t="s">
        <v>10250</v>
      </c>
      <c r="G6387" s="6" t="s">
        <v>16</v>
      </c>
      <c r="H6387" s="32">
        <v>200</v>
      </c>
      <c r="I6387" s="32">
        <v>200</v>
      </c>
      <c r="J6387" s="6"/>
      <c r="K6387" s="48"/>
      <c r="L6387" s="10">
        <v>20201118</v>
      </c>
      <c r="M6387" s="36" t="str">
        <f t="shared" si="99"/>
        <v>19810802</v>
      </c>
    </row>
    <row r="6388" s="1" customFormat="1" spans="1:13">
      <c r="A6388" s="2">
        <v>76</v>
      </c>
      <c r="B6388" s="3" t="s">
        <v>12</v>
      </c>
      <c r="C6388" s="3" t="s">
        <v>167</v>
      </c>
      <c r="D6388" s="3" t="s">
        <v>168</v>
      </c>
      <c r="E6388" s="3" t="s">
        <v>15</v>
      </c>
      <c r="F6388" s="3" t="s">
        <v>15</v>
      </c>
      <c r="G6388" s="2" t="s">
        <v>16</v>
      </c>
      <c r="H6388" s="3">
        <v>200</v>
      </c>
      <c r="I6388" s="3">
        <v>200</v>
      </c>
      <c r="J6388" s="3"/>
      <c r="K6388" s="3"/>
      <c r="L6388" s="10">
        <v>20201118</v>
      </c>
      <c r="M6388" s="36" t="str">
        <f t="shared" si="99"/>
        <v>19810803</v>
      </c>
    </row>
    <row r="6389" s="1" customFormat="1" spans="1:13">
      <c r="A6389" s="2">
        <v>6288</v>
      </c>
      <c r="B6389" s="5" t="s">
        <v>12263</v>
      </c>
      <c r="C6389" s="5" t="s">
        <v>12596</v>
      </c>
      <c r="D6389" s="5" t="s">
        <v>12597</v>
      </c>
      <c r="E6389" s="5" t="s">
        <v>10250</v>
      </c>
      <c r="F6389" s="5">
        <v>2020</v>
      </c>
      <c r="G6389" s="17" t="s">
        <v>3359</v>
      </c>
      <c r="H6389" s="5">
        <v>200</v>
      </c>
      <c r="I6389" s="5">
        <v>200</v>
      </c>
      <c r="J6389" s="5"/>
      <c r="K6389" s="5"/>
      <c r="L6389" s="10">
        <v>20201118</v>
      </c>
      <c r="M6389" s="36" t="str">
        <f t="shared" si="99"/>
        <v>19810803</v>
      </c>
    </row>
    <row r="6390" s="1" customFormat="1" spans="1:13">
      <c r="A6390" s="2">
        <v>7882</v>
      </c>
      <c r="B6390" s="5" t="s">
        <v>15086</v>
      </c>
      <c r="C6390" s="6" t="s">
        <v>4928</v>
      </c>
      <c r="D6390" s="6" t="str">
        <f>"152326198108036875"</f>
        <v>152326198108036875</v>
      </c>
      <c r="E6390" s="5" t="s">
        <v>15</v>
      </c>
      <c r="F6390" s="5">
        <v>2020</v>
      </c>
      <c r="G6390" s="5" t="s">
        <v>16</v>
      </c>
      <c r="H6390" s="5">
        <v>500</v>
      </c>
      <c r="I6390" s="5">
        <v>500</v>
      </c>
      <c r="J6390" s="5"/>
      <c r="K6390" s="5"/>
      <c r="L6390" s="10">
        <v>20201118</v>
      </c>
      <c r="M6390" s="36" t="str">
        <f t="shared" si="99"/>
        <v>19810803</v>
      </c>
    </row>
    <row r="6391" s="1" customFormat="1" ht="14.25" spans="1:13">
      <c r="A6391" s="2">
        <v>5411</v>
      </c>
      <c r="B6391" s="33" t="s">
        <v>10535</v>
      </c>
      <c r="C6391" s="34" t="s">
        <v>10927</v>
      </c>
      <c r="D6391" s="34" t="s">
        <v>10928</v>
      </c>
      <c r="E6391" s="35">
        <v>2020</v>
      </c>
      <c r="F6391" s="35">
        <v>2020</v>
      </c>
      <c r="G6391" s="35" t="s">
        <v>16</v>
      </c>
      <c r="H6391" s="34">
        <v>200</v>
      </c>
      <c r="I6391" s="34">
        <v>200</v>
      </c>
      <c r="J6391" s="49"/>
      <c r="K6391" s="10"/>
      <c r="L6391" s="10">
        <v>20201118</v>
      </c>
      <c r="M6391" s="36" t="str">
        <f t="shared" si="99"/>
        <v>19810804</v>
      </c>
    </row>
    <row r="6392" s="1" customFormat="1" spans="1:13">
      <c r="A6392" s="2">
        <v>4759</v>
      </c>
      <c r="B6392" s="6" t="s">
        <v>9015</v>
      </c>
      <c r="C6392" s="6" t="s">
        <v>9672</v>
      </c>
      <c r="D6392" s="6" t="s">
        <v>9673</v>
      </c>
      <c r="E6392" s="6">
        <v>2020</v>
      </c>
      <c r="F6392" s="6">
        <v>2020</v>
      </c>
      <c r="G6392" s="6" t="s">
        <v>16</v>
      </c>
      <c r="H6392" s="6">
        <v>200</v>
      </c>
      <c r="I6392" s="6">
        <v>200</v>
      </c>
      <c r="J6392" s="6"/>
      <c r="K6392" s="6"/>
      <c r="L6392" s="10">
        <v>20201118</v>
      </c>
      <c r="M6392" s="36" t="str">
        <f t="shared" si="99"/>
        <v>19810807</v>
      </c>
    </row>
    <row r="6393" s="1" customFormat="1" spans="1:13">
      <c r="A6393" s="2">
        <v>7632</v>
      </c>
      <c r="B6393" s="5" t="s">
        <v>14402</v>
      </c>
      <c r="C6393" s="5" t="s">
        <v>8003</v>
      </c>
      <c r="D6393" s="5" t="s">
        <v>14861</v>
      </c>
      <c r="E6393" s="5">
        <v>2020</v>
      </c>
      <c r="F6393" s="5">
        <v>2020</v>
      </c>
      <c r="G6393" s="17" t="s">
        <v>16</v>
      </c>
      <c r="H6393" s="5">
        <v>200</v>
      </c>
      <c r="I6393" s="5">
        <v>200</v>
      </c>
      <c r="J6393" s="5"/>
      <c r="K6393" s="10"/>
      <c r="L6393" s="10">
        <v>20201118</v>
      </c>
      <c r="M6393" s="36" t="str">
        <f t="shared" si="99"/>
        <v>19810807</v>
      </c>
    </row>
    <row r="6394" s="1" customFormat="1" spans="1:13">
      <c r="A6394" s="2">
        <v>4760</v>
      </c>
      <c r="B6394" s="6" t="s">
        <v>9015</v>
      </c>
      <c r="C6394" s="6" t="s">
        <v>9674</v>
      </c>
      <c r="D6394" s="6" t="s">
        <v>9675</v>
      </c>
      <c r="E6394" s="6">
        <v>2020</v>
      </c>
      <c r="F6394" s="6">
        <v>2020</v>
      </c>
      <c r="G6394" s="6" t="s">
        <v>16</v>
      </c>
      <c r="H6394" s="6">
        <v>200</v>
      </c>
      <c r="I6394" s="6">
        <v>200</v>
      </c>
      <c r="J6394" s="6"/>
      <c r="K6394" s="6"/>
      <c r="L6394" s="10">
        <v>20201118</v>
      </c>
      <c r="M6394" s="36" t="str">
        <f t="shared" si="99"/>
        <v>19810810</v>
      </c>
    </row>
    <row r="6395" s="1" customFormat="1" spans="1:13">
      <c r="A6395" s="2">
        <v>4356</v>
      </c>
      <c r="B6395" s="9" t="s">
        <v>8515</v>
      </c>
      <c r="C6395" s="9" t="s">
        <v>8903</v>
      </c>
      <c r="D6395" s="9" t="s">
        <v>8904</v>
      </c>
      <c r="E6395" s="5" t="s">
        <v>15</v>
      </c>
      <c r="F6395" s="5">
        <v>2020</v>
      </c>
      <c r="G6395" s="9" t="s">
        <v>2480</v>
      </c>
      <c r="H6395" s="9">
        <v>200</v>
      </c>
      <c r="I6395" s="9">
        <v>200</v>
      </c>
      <c r="J6395" s="9"/>
      <c r="K6395" s="9"/>
      <c r="L6395" s="10">
        <v>20201118</v>
      </c>
      <c r="M6395" s="36" t="str">
        <f t="shared" si="99"/>
        <v>19810814</v>
      </c>
    </row>
    <row r="6396" s="1" customFormat="1" spans="1:13">
      <c r="A6396" s="2">
        <v>5769</v>
      </c>
      <c r="B6396" s="30" t="s">
        <v>11090</v>
      </c>
      <c r="C6396" s="30" t="s">
        <v>11612</v>
      </c>
      <c r="D6396" s="30" t="s">
        <v>11614</v>
      </c>
      <c r="E6396" s="5" t="s">
        <v>15</v>
      </c>
      <c r="F6396" s="5" t="s">
        <v>10250</v>
      </c>
      <c r="G6396" s="6" t="s">
        <v>16</v>
      </c>
      <c r="H6396" s="32">
        <v>200</v>
      </c>
      <c r="I6396" s="32">
        <v>200</v>
      </c>
      <c r="J6396" s="6"/>
      <c r="K6396" s="48"/>
      <c r="L6396" s="10">
        <v>20201118</v>
      </c>
      <c r="M6396" s="36" t="str">
        <f t="shared" si="99"/>
        <v>19810814</v>
      </c>
    </row>
    <row r="6397" s="1" customFormat="1" spans="1:13">
      <c r="A6397" s="2">
        <v>7628</v>
      </c>
      <c r="B6397" s="5" t="s">
        <v>14402</v>
      </c>
      <c r="C6397" s="5" t="s">
        <v>14853</v>
      </c>
      <c r="D6397" s="5" t="s">
        <v>14854</v>
      </c>
      <c r="E6397" s="5">
        <v>2020</v>
      </c>
      <c r="F6397" s="5">
        <v>2020</v>
      </c>
      <c r="G6397" s="17" t="s">
        <v>16</v>
      </c>
      <c r="H6397" s="5">
        <v>200</v>
      </c>
      <c r="I6397" s="5">
        <v>200</v>
      </c>
      <c r="J6397" s="5"/>
      <c r="K6397" s="10"/>
      <c r="L6397" s="10">
        <v>20201118</v>
      </c>
      <c r="M6397" s="36" t="str">
        <f t="shared" si="99"/>
        <v>19810818</v>
      </c>
    </row>
    <row r="6398" s="1" customFormat="1" spans="1:13">
      <c r="A6398" s="2">
        <v>5647</v>
      </c>
      <c r="B6398" s="30" t="s">
        <v>11090</v>
      </c>
      <c r="C6398" s="30" t="s">
        <v>11381</v>
      </c>
      <c r="D6398" s="30" t="s">
        <v>11382</v>
      </c>
      <c r="E6398" s="5" t="s">
        <v>15</v>
      </c>
      <c r="F6398" s="5" t="s">
        <v>10250</v>
      </c>
      <c r="G6398" s="6" t="s">
        <v>16</v>
      </c>
      <c r="H6398" s="32">
        <v>200</v>
      </c>
      <c r="I6398" s="32">
        <v>200</v>
      </c>
      <c r="J6398" s="6"/>
      <c r="K6398" s="48"/>
      <c r="L6398" s="10">
        <v>20201118</v>
      </c>
      <c r="M6398" s="36" t="str">
        <f t="shared" si="99"/>
        <v>19810819</v>
      </c>
    </row>
    <row r="6399" s="1" customFormat="1" ht="14.25" spans="1:13">
      <c r="A6399" s="2">
        <v>2944</v>
      </c>
      <c r="B6399" s="6" t="s">
        <v>6075</v>
      </c>
      <c r="C6399" s="25" t="s">
        <v>6415</v>
      </c>
      <c r="D6399" s="26" t="s">
        <v>6416</v>
      </c>
      <c r="E6399" s="5" t="s">
        <v>15</v>
      </c>
      <c r="F6399" s="5">
        <v>2020</v>
      </c>
      <c r="G6399" s="6" t="s">
        <v>16</v>
      </c>
      <c r="H6399" s="6">
        <v>200</v>
      </c>
      <c r="I6399" s="6">
        <v>200</v>
      </c>
      <c r="J6399" s="6"/>
      <c r="K6399" s="10"/>
      <c r="L6399" s="10">
        <v>20201118</v>
      </c>
      <c r="M6399" s="36" t="str">
        <f t="shared" si="99"/>
        <v>19810824</v>
      </c>
    </row>
    <row r="6400" s="1" customFormat="1" spans="1:13">
      <c r="A6400" s="2">
        <v>650</v>
      </c>
      <c r="B6400" s="29" t="s">
        <v>1040</v>
      </c>
      <c r="C6400" s="47" t="s">
        <v>1603</v>
      </c>
      <c r="D6400" s="47" t="s">
        <v>1604</v>
      </c>
      <c r="E6400" s="30">
        <v>2020</v>
      </c>
      <c r="F6400" s="30">
        <v>2020</v>
      </c>
      <c r="G6400" s="29" t="s">
        <v>16</v>
      </c>
      <c r="H6400" s="29">
        <v>200</v>
      </c>
      <c r="I6400" s="29">
        <v>200</v>
      </c>
      <c r="J6400" s="29"/>
      <c r="K6400" s="47"/>
      <c r="L6400" s="2" t="s">
        <v>330</v>
      </c>
      <c r="M6400" s="36" t="str">
        <f t="shared" si="99"/>
        <v>19810827</v>
      </c>
    </row>
    <row r="6401" s="1" customFormat="1" spans="1:13">
      <c r="A6401" s="2">
        <v>1247</v>
      </c>
      <c r="B6401" s="5" t="s">
        <v>2469</v>
      </c>
      <c r="C6401" s="9" t="s">
        <v>3076</v>
      </c>
      <c r="D6401" s="9" t="s">
        <v>3077</v>
      </c>
      <c r="E6401" s="5">
        <v>2020</v>
      </c>
      <c r="F6401" s="5">
        <v>2020</v>
      </c>
      <c r="G6401" s="9" t="s">
        <v>2480</v>
      </c>
      <c r="H6401" s="9">
        <v>200</v>
      </c>
      <c r="I6401" s="9">
        <v>200</v>
      </c>
      <c r="J6401" s="5"/>
      <c r="K6401" s="5"/>
      <c r="L6401" s="10">
        <v>20201118</v>
      </c>
      <c r="M6401" s="36" t="str">
        <f t="shared" si="99"/>
        <v>19810827</v>
      </c>
    </row>
    <row r="6402" s="1" customFormat="1" ht="14.25" spans="1:13">
      <c r="A6402" s="2">
        <v>7800</v>
      </c>
      <c r="B6402" s="5" t="s">
        <v>14875</v>
      </c>
      <c r="C6402" s="6" t="s">
        <v>15052</v>
      </c>
      <c r="D6402" s="6" t="str">
        <f>"152326198108277118"</f>
        <v>152326198108277118</v>
      </c>
      <c r="E6402" s="6" t="s">
        <v>15</v>
      </c>
      <c r="F6402" s="6">
        <v>2020</v>
      </c>
      <c r="G6402" s="24" t="s">
        <v>14877</v>
      </c>
      <c r="H6402" s="6">
        <v>200</v>
      </c>
      <c r="I6402" s="6">
        <v>200</v>
      </c>
      <c r="J6402" s="6"/>
      <c r="K6402" s="10"/>
      <c r="L6402" s="10">
        <v>20201118</v>
      </c>
      <c r="M6402" s="36" t="str">
        <f t="shared" ref="M6402:M6465" si="100">MID(D6402,7,8)</f>
        <v>19810827</v>
      </c>
    </row>
    <row r="6403" s="1" customFormat="1" spans="1:13">
      <c r="A6403" s="2">
        <v>4036</v>
      </c>
      <c r="B6403" s="5" t="s">
        <v>7412</v>
      </c>
      <c r="C6403" s="5" t="s">
        <v>8290</v>
      </c>
      <c r="D6403" s="5" t="s">
        <v>8291</v>
      </c>
      <c r="E6403" s="6">
        <v>2020</v>
      </c>
      <c r="F6403" s="6">
        <v>2020</v>
      </c>
      <c r="G6403" s="5" t="s">
        <v>3359</v>
      </c>
      <c r="H6403" s="5">
        <v>200</v>
      </c>
      <c r="I6403" s="5">
        <v>200</v>
      </c>
      <c r="J6403" s="5"/>
      <c r="K6403" s="5"/>
      <c r="L6403" s="10">
        <v>20201118</v>
      </c>
      <c r="M6403" s="36" t="str">
        <f t="shared" si="100"/>
        <v>19810828</v>
      </c>
    </row>
    <row r="6404" s="1" customFormat="1" spans="1:13">
      <c r="A6404" s="2">
        <v>4037</v>
      </c>
      <c r="B6404" s="5" t="s">
        <v>7412</v>
      </c>
      <c r="C6404" s="5" t="s">
        <v>8292</v>
      </c>
      <c r="D6404" s="5" t="s">
        <v>8293</v>
      </c>
      <c r="E6404" s="6">
        <v>2020</v>
      </c>
      <c r="F6404" s="6">
        <v>2020</v>
      </c>
      <c r="G6404" s="5" t="s">
        <v>3359</v>
      </c>
      <c r="H6404" s="5">
        <v>200</v>
      </c>
      <c r="I6404" s="5">
        <v>200</v>
      </c>
      <c r="J6404" s="5"/>
      <c r="K6404" s="5"/>
      <c r="L6404" s="10">
        <v>20201118</v>
      </c>
      <c r="M6404" s="36" t="str">
        <f t="shared" si="100"/>
        <v>19810828</v>
      </c>
    </row>
    <row r="6405" s="1" customFormat="1" spans="1:13">
      <c r="A6405" s="2">
        <v>2042</v>
      </c>
      <c r="B6405" s="5" t="s">
        <v>4189</v>
      </c>
      <c r="C6405" s="16" t="s">
        <v>4639</v>
      </c>
      <c r="D6405" s="16" t="s">
        <v>4640</v>
      </c>
      <c r="E6405" s="5" t="s">
        <v>15</v>
      </c>
      <c r="F6405" s="5" t="s">
        <v>15</v>
      </c>
      <c r="G6405" s="5" t="s">
        <v>3359</v>
      </c>
      <c r="H6405" s="16">
        <v>200</v>
      </c>
      <c r="I6405" s="16">
        <v>200</v>
      </c>
      <c r="J6405" s="5"/>
      <c r="K6405" s="10"/>
      <c r="L6405" s="10">
        <v>20201118</v>
      </c>
      <c r="M6405" s="36" t="str">
        <f t="shared" si="100"/>
        <v>19810829</v>
      </c>
    </row>
    <row r="6406" s="1" customFormat="1" spans="1:13">
      <c r="A6406" s="2">
        <v>1725</v>
      </c>
      <c r="B6406" s="5" t="s">
        <v>3381</v>
      </c>
      <c r="C6406" s="9" t="s">
        <v>4010</v>
      </c>
      <c r="D6406" s="9" t="s">
        <v>4011</v>
      </c>
      <c r="E6406" s="5">
        <v>2020</v>
      </c>
      <c r="F6406" s="5">
        <v>2020</v>
      </c>
      <c r="G6406" s="14" t="s">
        <v>16</v>
      </c>
      <c r="H6406" s="6">
        <v>200</v>
      </c>
      <c r="I6406" s="6">
        <v>200</v>
      </c>
      <c r="J6406" s="5"/>
      <c r="K6406" s="13"/>
      <c r="L6406" s="10">
        <v>20201118</v>
      </c>
      <c r="M6406" s="36" t="str">
        <f t="shared" si="100"/>
        <v>19810901</v>
      </c>
    </row>
    <row r="6407" s="1" customFormat="1" spans="1:13">
      <c r="A6407" s="2">
        <v>742</v>
      </c>
      <c r="B6407" s="29" t="s">
        <v>1040</v>
      </c>
      <c r="C6407" s="5" t="s">
        <v>1876</v>
      </c>
      <c r="D6407" s="317" t="s">
        <v>1877</v>
      </c>
      <c r="E6407" s="30">
        <v>2020</v>
      </c>
      <c r="F6407" s="30">
        <v>2020</v>
      </c>
      <c r="G6407" s="29" t="s">
        <v>16</v>
      </c>
      <c r="H6407" s="29">
        <v>200</v>
      </c>
      <c r="I6407" s="29">
        <v>200</v>
      </c>
      <c r="J6407" s="32"/>
      <c r="K6407" s="32"/>
      <c r="L6407" s="2" t="s">
        <v>330</v>
      </c>
      <c r="M6407" s="36" t="str">
        <f t="shared" si="100"/>
        <v>19810903</v>
      </c>
    </row>
    <row r="6408" s="1" customFormat="1" spans="1:13">
      <c r="A6408" s="2">
        <v>4038</v>
      </c>
      <c r="B6408" s="5" t="s">
        <v>7412</v>
      </c>
      <c r="C6408" s="5" t="s">
        <v>8294</v>
      </c>
      <c r="D6408" s="5" t="s">
        <v>8295</v>
      </c>
      <c r="E6408" s="6">
        <v>2020</v>
      </c>
      <c r="F6408" s="6">
        <v>2020</v>
      </c>
      <c r="G6408" s="5" t="s">
        <v>3359</v>
      </c>
      <c r="H6408" s="5">
        <v>200</v>
      </c>
      <c r="I6408" s="5">
        <v>200</v>
      </c>
      <c r="J6408" s="5"/>
      <c r="K6408" s="5"/>
      <c r="L6408" s="10">
        <v>20201118</v>
      </c>
      <c r="M6408" s="36" t="str">
        <f t="shared" si="100"/>
        <v>19810904</v>
      </c>
    </row>
    <row r="6409" s="1" customFormat="1" spans="1:13">
      <c r="A6409" s="2">
        <v>6743</v>
      </c>
      <c r="B6409" s="5" t="s">
        <v>13027</v>
      </c>
      <c r="C6409" s="15" t="s">
        <v>2401</v>
      </c>
      <c r="D6409" s="15" t="s">
        <v>13453</v>
      </c>
      <c r="E6409" s="5">
        <v>2020</v>
      </c>
      <c r="F6409" s="5">
        <v>2020</v>
      </c>
      <c r="G6409" s="14" t="s">
        <v>16</v>
      </c>
      <c r="H6409" s="15">
        <v>200</v>
      </c>
      <c r="I6409" s="15">
        <v>200</v>
      </c>
      <c r="J6409" s="5"/>
      <c r="K6409" s="10"/>
      <c r="L6409" s="10">
        <v>20201118</v>
      </c>
      <c r="M6409" s="36" t="str">
        <f t="shared" si="100"/>
        <v>19810905</v>
      </c>
    </row>
    <row r="6410" s="1" customFormat="1" spans="1:13">
      <c r="A6410" s="2">
        <v>665</v>
      </c>
      <c r="B6410" s="29" t="s">
        <v>1040</v>
      </c>
      <c r="C6410" s="47" t="s">
        <v>1647</v>
      </c>
      <c r="D6410" s="47" t="s">
        <v>1648</v>
      </c>
      <c r="E6410" s="30">
        <v>2020</v>
      </c>
      <c r="F6410" s="30">
        <v>2020</v>
      </c>
      <c r="G6410" s="29" t="s">
        <v>16</v>
      </c>
      <c r="H6410" s="29">
        <v>200</v>
      </c>
      <c r="I6410" s="29">
        <v>200</v>
      </c>
      <c r="J6410" s="29"/>
      <c r="K6410" s="54"/>
      <c r="L6410" s="2" t="s">
        <v>330</v>
      </c>
      <c r="M6410" s="36" t="str">
        <f t="shared" si="100"/>
        <v>19810910</v>
      </c>
    </row>
    <row r="6411" s="1" customFormat="1" spans="1:13">
      <c r="A6411" s="2">
        <v>7353</v>
      </c>
      <c r="B6411" s="5" t="s">
        <v>13908</v>
      </c>
      <c r="C6411" s="5" t="s">
        <v>14336</v>
      </c>
      <c r="D6411" s="5" t="s">
        <v>14337</v>
      </c>
      <c r="E6411" s="5" t="s">
        <v>15</v>
      </c>
      <c r="F6411" s="5" t="s">
        <v>15</v>
      </c>
      <c r="G6411" s="14" t="s">
        <v>16</v>
      </c>
      <c r="H6411" s="17">
        <v>200</v>
      </c>
      <c r="I6411" s="17">
        <v>200</v>
      </c>
      <c r="J6411" s="5"/>
      <c r="K6411" s="10"/>
      <c r="L6411" s="10">
        <v>20201118</v>
      </c>
      <c r="M6411" s="36" t="str">
        <f t="shared" si="100"/>
        <v>19810912</v>
      </c>
    </row>
    <row r="6412" s="1" customFormat="1" spans="1:13">
      <c r="A6412" s="2">
        <v>4039</v>
      </c>
      <c r="B6412" s="5" t="s">
        <v>7412</v>
      </c>
      <c r="C6412" s="5" t="s">
        <v>8296</v>
      </c>
      <c r="D6412" s="5" t="s">
        <v>8297</v>
      </c>
      <c r="E6412" s="6">
        <v>2020</v>
      </c>
      <c r="F6412" s="6">
        <v>2020</v>
      </c>
      <c r="G6412" s="5" t="s">
        <v>3359</v>
      </c>
      <c r="H6412" s="5">
        <v>200</v>
      </c>
      <c r="I6412" s="5">
        <v>200</v>
      </c>
      <c r="J6412" s="5"/>
      <c r="K6412" s="5"/>
      <c r="L6412" s="10">
        <v>20201118</v>
      </c>
      <c r="M6412" s="36" t="str">
        <f t="shared" si="100"/>
        <v>19810915</v>
      </c>
    </row>
    <row r="6413" s="1" customFormat="1" spans="1:13">
      <c r="A6413" s="2">
        <v>7885</v>
      </c>
      <c r="B6413" s="5" t="s">
        <v>15086</v>
      </c>
      <c r="C6413" s="6" t="s">
        <v>15158</v>
      </c>
      <c r="D6413" s="6" t="str">
        <f>"152326198109156895"</f>
        <v>152326198109156895</v>
      </c>
      <c r="E6413" s="5" t="s">
        <v>15</v>
      </c>
      <c r="F6413" s="5">
        <v>2020</v>
      </c>
      <c r="G6413" s="5" t="s">
        <v>16</v>
      </c>
      <c r="H6413" s="5">
        <v>500</v>
      </c>
      <c r="I6413" s="5">
        <v>500</v>
      </c>
      <c r="J6413" s="5"/>
      <c r="K6413" s="5"/>
      <c r="L6413" s="10">
        <v>20201118</v>
      </c>
      <c r="M6413" s="36" t="str">
        <f t="shared" si="100"/>
        <v>19810915</v>
      </c>
    </row>
    <row r="6414" s="1" customFormat="1" spans="1:13">
      <c r="A6414" s="2">
        <v>4040</v>
      </c>
      <c r="B6414" s="5" t="s">
        <v>7412</v>
      </c>
      <c r="C6414" s="5" t="s">
        <v>8298</v>
      </c>
      <c r="D6414" s="5" t="s">
        <v>8299</v>
      </c>
      <c r="E6414" s="6">
        <v>2020</v>
      </c>
      <c r="F6414" s="6">
        <v>2020</v>
      </c>
      <c r="G6414" s="5" t="s">
        <v>3359</v>
      </c>
      <c r="H6414" s="5">
        <v>200</v>
      </c>
      <c r="I6414" s="5">
        <v>200</v>
      </c>
      <c r="J6414" s="5"/>
      <c r="K6414" s="5"/>
      <c r="L6414" s="10">
        <v>20201118</v>
      </c>
      <c r="M6414" s="36" t="str">
        <f t="shared" si="100"/>
        <v>19810916</v>
      </c>
    </row>
    <row r="6415" s="1" customFormat="1" spans="1:13">
      <c r="A6415" s="2">
        <v>4770</v>
      </c>
      <c r="B6415" s="6" t="s">
        <v>9015</v>
      </c>
      <c r="C6415" s="6" t="s">
        <v>9694</v>
      </c>
      <c r="D6415" s="6" t="s">
        <v>9695</v>
      </c>
      <c r="E6415" s="6">
        <v>2020</v>
      </c>
      <c r="F6415" s="6">
        <v>2020</v>
      </c>
      <c r="G6415" s="6" t="s">
        <v>16</v>
      </c>
      <c r="H6415" s="6">
        <v>200</v>
      </c>
      <c r="I6415" s="6">
        <v>200</v>
      </c>
      <c r="J6415" s="6"/>
      <c r="K6415" s="6"/>
      <c r="L6415" s="10">
        <v>20201118</v>
      </c>
      <c r="M6415" s="36" t="str">
        <f t="shared" si="100"/>
        <v>19810916</v>
      </c>
    </row>
    <row r="6416" s="1" customFormat="1" spans="1:13">
      <c r="A6416" s="2">
        <v>4412</v>
      </c>
      <c r="B6416" s="90" t="s">
        <v>8515</v>
      </c>
      <c r="C6416" s="90" t="s">
        <v>9011</v>
      </c>
      <c r="D6416" s="322" t="s">
        <v>9012</v>
      </c>
      <c r="E6416" s="5" t="s">
        <v>15</v>
      </c>
      <c r="F6416" s="5" t="s">
        <v>15</v>
      </c>
      <c r="G6416" s="9" t="s">
        <v>2480</v>
      </c>
      <c r="H6416" s="9">
        <v>200</v>
      </c>
      <c r="I6416" s="9">
        <v>200</v>
      </c>
      <c r="J6416" s="5"/>
      <c r="K6416" s="5"/>
      <c r="L6416" s="10">
        <v>20201224</v>
      </c>
      <c r="M6416" s="36" t="str">
        <f t="shared" si="100"/>
        <v>19810917</v>
      </c>
    </row>
    <row r="6417" s="1" customFormat="1" spans="1:13">
      <c r="A6417" s="2">
        <v>3199</v>
      </c>
      <c r="B6417" s="3" t="s">
        <v>6671</v>
      </c>
      <c r="C6417" s="9" t="s">
        <v>6908</v>
      </c>
      <c r="D6417" s="9" t="s">
        <v>6909</v>
      </c>
      <c r="E6417" s="3" t="s">
        <v>15</v>
      </c>
      <c r="F6417" s="3" t="s">
        <v>15</v>
      </c>
      <c r="G6417" s="6" t="s">
        <v>3359</v>
      </c>
      <c r="H6417" s="9">
        <v>200</v>
      </c>
      <c r="I6417" s="9">
        <v>200</v>
      </c>
      <c r="J6417" s="6"/>
      <c r="K6417" s="5"/>
      <c r="L6417" s="10">
        <v>20201118</v>
      </c>
      <c r="M6417" s="36" t="str">
        <f t="shared" si="100"/>
        <v>19810918</v>
      </c>
    </row>
    <row r="6418" s="1" customFormat="1" spans="1:13">
      <c r="A6418" s="2">
        <v>924</v>
      </c>
      <c r="B6418" s="29" t="s">
        <v>1040</v>
      </c>
      <c r="C6418" s="6" t="s">
        <v>2419</v>
      </c>
      <c r="D6418" s="6" t="s">
        <v>2420</v>
      </c>
      <c r="E6418" s="30">
        <v>2020</v>
      </c>
      <c r="F6418" s="30">
        <v>2020</v>
      </c>
      <c r="G6418" s="29" t="s">
        <v>16</v>
      </c>
      <c r="H6418" s="6">
        <v>300</v>
      </c>
      <c r="I6418" s="6">
        <v>300</v>
      </c>
      <c r="J6418" s="32"/>
      <c r="K6418" s="32"/>
      <c r="L6418" s="2" t="s">
        <v>330</v>
      </c>
      <c r="M6418" s="36" t="str">
        <f t="shared" si="100"/>
        <v>19810919</v>
      </c>
    </row>
    <row r="6419" s="1" customFormat="1" spans="1:13">
      <c r="A6419" s="2">
        <v>1248</v>
      </c>
      <c r="B6419" s="5" t="s">
        <v>2469</v>
      </c>
      <c r="C6419" s="9" t="s">
        <v>3078</v>
      </c>
      <c r="D6419" s="9" t="s">
        <v>3079</v>
      </c>
      <c r="E6419" s="5">
        <v>2020</v>
      </c>
      <c r="F6419" s="5">
        <v>2020</v>
      </c>
      <c r="G6419" s="9" t="s">
        <v>2480</v>
      </c>
      <c r="H6419" s="9">
        <v>200</v>
      </c>
      <c r="I6419" s="9">
        <v>200</v>
      </c>
      <c r="J6419" s="5"/>
      <c r="K6419" s="5"/>
      <c r="L6419" s="10">
        <v>20201118</v>
      </c>
      <c r="M6419" s="36" t="str">
        <f t="shared" si="100"/>
        <v>19810920</v>
      </c>
    </row>
    <row r="6420" s="1" customFormat="1" ht="14.25" spans="1:13">
      <c r="A6420" s="2">
        <v>5046</v>
      </c>
      <c r="B6420" s="13" t="s">
        <v>9954</v>
      </c>
      <c r="C6420" s="13" t="s">
        <v>10225</v>
      </c>
      <c r="D6420" s="307" t="s">
        <v>10226</v>
      </c>
      <c r="E6420" s="13">
        <v>2020</v>
      </c>
      <c r="F6420" s="10">
        <v>2020</v>
      </c>
      <c r="G6420" s="14" t="s">
        <v>16</v>
      </c>
      <c r="H6420" s="13">
        <v>200</v>
      </c>
      <c r="I6420" s="13">
        <v>200</v>
      </c>
      <c r="J6420" s="10"/>
      <c r="K6420" s="10"/>
      <c r="L6420" s="10">
        <v>20201224</v>
      </c>
      <c r="M6420" s="36" t="str">
        <f t="shared" si="100"/>
        <v>19810920</v>
      </c>
    </row>
    <row r="6421" s="1" customFormat="1" spans="1:13">
      <c r="A6421" s="2">
        <v>6278</v>
      </c>
      <c r="B6421" s="5" t="s">
        <v>12263</v>
      </c>
      <c r="C6421" s="5" t="s">
        <v>2041</v>
      </c>
      <c r="D6421" s="5" t="s">
        <v>12578</v>
      </c>
      <c r="E6421" s="5" t="s">
        <v>10250</v>
      </c>
      <c r="F6421" s="5">
        <v>2020</v>
      </c>
      <c r="G6421" s="17" t="s">
        <v>3359</v>
      </c>
      <c r="H6421" s="5">
        <v>500</v>
      </c>
      <c r="I6421" s="5">
        <v>500</v>
      </c>
      <c r="J6421" s="5"/>
      <c r="K6421" s="5"/>
      <c r="L6421" s="10">
        <v>20201118</v>
      </c>
      <c r="M6421" s="36" t="str">
        <f t="shared" si="100"/>
        <v>19810924</v>
      </c>
    </row>
    <row r="6422" s="1" customFormat="1" spans="1:13">
      <c r="A6422" s="2">
        <v>4041</v>
      </c>
      <c r="B6422" s="5" t="s">
        <v>7412</v>
      </c>
      <c r="C6422" s="5" t="s">
        <v>8300</v>
      </c>
      <c r="D6422" s="5" t="s">
        <v>8301</v>
      </c>
      <c r="E6422" s="6">
        <v>2020</v>
      </c>
      <c r="F6422" s="6">
        <v>2020</v>
      </c>
      <c r="G6422" s="5" t="s">
        <v>3359</v>
      </c>
      <c r="H6422" s="5">
        <v>200</v>
      </c>
      <c r="I6422" s="5">
        <v>200</v>
      </c>
      <c r="J6422" s="5"/>
      <c r="K6422" s="5"/>
      <c r="L6422" s="10">
        <v>20201118</v>
      </c>
      <c r="M6422" s="36" t="str">
        <f t="shared" si="100"/>
        <v>19810926</v>
      </c>
    </row>
    <row r="6423" s="1" customFormat="1" spans="1:13">
      <c r="A6423" s="2">
        <v>8147</v>
      </c>
      <c r="B6423" s="5" t="s">
        <v>15406</v>
      </c>
      <c r="C6423" s="6" t="s">
        <v>15487</v>
      </c>
      <c r="D6423" s="6" t="s">
        <v>15488</v>
      </c>
      <c r="E6423" s="5" t="s">
        <v>15</v>
      </c>
      <c r="F6423" s="5">
        <v>2020</v>
      </c>
      <c r="G6423" s="14" t="s">
        <v>16</v>
      </c>
      <c r="H6423" s="6">
        <v>500</v>
      </c>
      <c r="I6423" s="6">
        <v>500</v>
      </c>
      <c r="J6423" s="5"/>
      <c r="K6423" s="10"/>
      <c r="L6423" s="10">
        <v>20201118</v>
      </c>
      <c r="M6423" s="36" t="str">
        <f t="shared" si="100"/>
        <v>19810927</v>
      </c>
    </row>
    <row r="6424" s="1" customFormat="1" spans="1:13">
      <c r="A6424" s="2">
        <v>2015</v>
      </c>
      <c r="B6424" s="5" t="s">
        <v>4189</v>
      </c>
      <c r="C6424" s="16" t="s">
        <v>4587</v>
      </c>
      <c r="D6424" s="16" t="s">
        <v>4588</v>
      </c>
      <c r="E6424" s="5" t="s">
        <v>15</v>
      </c>
      <c r="F6424" s="5" t="s">
        <v>15</v>
      </c>
      <c r="G6424" s="5" t="s">
        <v>3359</v>
      </c>
      <c r="H6424" s="16">
        <v>200</v>
      </c>
      <c r="I6424" s="16">
        <v>200</v>
      </c>
      <c r="J6424" s="5"/>
      <c r="K6424" s="10"/>
      <c r="L6424" s="10">
        <v>20201118</v>
      </c>
      <c r="M6424" s="36" t="str">
        <f t="shared" si="100"/>
        <v>19810928</v>
      </c>
    </row>
    <row r="6425" s="1" customFormat="1" spans="1:13">
      <c r="A6425" s="2">
        <v>7384</v>
      </c>
      <c r="B6425" s="5" t="s">
        <v>13908</v>
      </c>
      <c r="C6425" s="5" t="s">
        <v>14391</v>
      </c>
      <c r="D6425" s="5" t="s">
        <v>14392</v>
      </c>
      <c r="E6425" s="5" t="s">
        <v>15</v>
      </c>
      <c r="F6425" s="5" t="s">
        <v>15</v>
      </c>
      <c r="G6425" s="14" t="s">
        <v>295</v>
      </c>
      <c r="H6425" s="17">
        <v>200</v>
      </c>
      <c r="I6425" s="17">
        <v>200</v>
      </c>
      <c r="J6425" s="5"/>
      <c r="K6425" s="10"/>
      <c r="L6425" s="10">
        <v>20201118</v>
      </c>
      <c r="M6425" s="36" t="str">
        <f t="shared" si="100"/>
        <v>19810929</v>
      </c>
    </row>
    <row r="6426" s="1" customFormat="1" spans="1:13">
      <c r="A6426" s="2">
        <v>7268</v>
      </c>
      <c r="B6426" s="5" t="s">
        <v>13908</v>
      </c>
      <c r="C6426" s="5" t="s">
        <v>14178</v>
      </c>
      <c r="D6426" s="5" t="s">
        <v>14179</v>
      </c>
      <c r="E6426" s="5" t="s">
        <v>15</v>
      </c>
      <c r="F6426" s="5" t="s">
        <v>15</v>
      </c>
      <c r="G6426" s="14" t="s">
        <v>16</v>
      </c>
      <c r="H6426" s="17">
        <v>200</v>
      </c>
      <c r="I6426" s="17">
        <v>200</v>
      </c>
      <c r="J6426" s="5"/>
      <c r="K6426" s="10"/>
      <c r="L6426" s="10">
        <v>20201118</v>
      </c>
      <c r="M6426" s="36" t="str">
        <f t="shared" si="100"/>
        <v>19810930</v>
      </c>
    </row>
    <row r="6427" s="1" customFormat="1" spans="1:13">
      <c r="A6427" s="2">
        <v>4664</v>
      </c>
      <c r="B6427" s="6" t="s">
        <v>9015</v>
      </c>
      <c r="C6427" s="6" t="s">
        <v>9492</v>
      </c>
      <c r="D6427" s="6" t="s">
        <v>9493</v>
      </c>
      <c r="E6427" s="6">
        <v>2020</v>
      </c>
      <c r="F6427" s="6">
        <v>2020</v>
      </c>
      <c r="G6427" s="6" t="s">
        <v>16</v>
      </c>
      <c r="H6427" s="6">
        <v>200</v>
      </c>
      <c r="I6427" s="6">
        <v>200</v>
      </c>
      <c r="J6427" s="6" t="s">
        <v>3405</v>
      </c>
      <c r="K6427" s="6"/>
      <c r="L6427" s="10">
        <v>20201118</v>
      </c>
      <c r="M6427" s="36" t="str">
        <f t="shared" si="100"/>
        <v>19811004</v>
      </c>
    </row>
    <row r="6428" s="1" customFormat="1" spans="1:13">
      <c r="A6428" s="2">
        <v>4710</v>
      </c>
      <c r="B6428" s="6" t="s">
        <v>9015</v>
      </c>
      <c r="C6428" s="6" t="s">
        <v>9580</v>
      </c>
      <c r="D6428" s="6" t="s">
        <v>9581</v>
      </c>
      <c r="E6428" s="6">
        <v>2020</v>
      </c>
      <c r="F6428" s="6">
        <v>2020</v>
      </c>
      <c r="G6428" s="6" t="s">
        <v>16</v>
      </c>
      <c r="H6428" s="6">
        <v>200</v>
      </c>
      <c r="I6428" s="6">
        <v>200</v>
      </c>
      <c r="J6428" s="6"/>
      <c r="K6428" s="6"/>
      <c r="L6428" s="10">
        <v>20201118</v>
      </c>
      <c r="M6428" s="36" t="str">
        <f t="shared" si="100"/>
        <v>19811004</v>
      </c>
    </row>
    <row r="6429" s="1" customFormat="1" spans="1:13">
      <c r="A6429" s="2">
        <v>4042</v>
      </c>
      <c r="B6429" s="5" t="s">
        <v>7412</v>
      </c>
      <c r="C6429" s="5" t="s">
        <v>8302</v>
      </c>
      <c r="D6429" s="5" t="s">
        <v>8303</v>
      </c>
      <c r="E6429" s="6">
        <v>2020</v>
      </c>
      <c r="F6429" s="6">
        <v>2020</v>
      </c>
      <c r="G6429" s="5" t="s">
        <v>3359</v>
      </c>
      <c r="H6429" s="5">
        <v>200</v>
      </c>
      <c r="I6429" s="5">
        <v>200</v>
      </c>
      <c r="J6429" s="5" t="s">
        <v>1242</v>
      </c>
      <c r="K6429" s="5"/>
      <c r="L6429" s="10">
        <v>20201118</v>
      </c>
      <c r="M6429" s="36" t="str">
        <f t="shared" si="100"/>
        <v>19811005</v>
      </c>
    </row>
    <row r="6430" s="1" customFormat="1" spans="1:13">
      <c r="A6430" s="2">
        <v>5893</v>
      </c>
      <c r="B6430" s="30" t="s">
        <v>11090</v>
      </c>
      <c r="C6430" s="30" t="s">
        <v>11838</v>
      </c>
      <c r="D6430" s="30" t="s">
        <v>11839</v>
      </c>
      <c r="E6430" s="5" t="s">
        <v>15</v>
      </c>
      <c r="F6430" s="5" t="s">
        <v>10250</v>
      </c>
      <c r="G6430" s="6" t="s">
        <v>16</v>
      </c>
      <c r="H6430" s="32">
        <v>200</v>
      </c>
      <c r="I6430" s="32">
        <v>200</v>
      </c>
      <c r="J6430" s="6"/>
      <c r="K6430" s="48"/>
      <c r="L6430" s="10">
        <v>20201118</v>
      </c>
      <c r="M6430" s="36" t="str">
        <f t="shared" si="100"/>
        <v>19811005</v>
      </c>
    </row>
    <row r="6431" s="1" customFormat="1" spans="1:13">
      <c r="A6431" s="2">
        <v>4043</v>
      </c>
      <c r="B6431" s="5" t="s">
        <v>7412</v>
      </c>
      <c r="C6431" s="5" t="s">
        <v>8304</v>
      </c>
      <c r="D6431" s="5" t="s">
        <v>8305</v>
      </c>
      <c r="E6431" s="6">
        <v>2020</v>
      </c>
      <c r="F6431" s="6">
        <v>2020</v>
      </c>
      <c r="G6431" s="5" t="s">
        <v>3359</v>
      </c>
      <c r="H6431" s="5">
        <v>200</v>
      </c>
      <c r="I6431" s="5">
        <v>200</v>
      </c>
      <c r="J6431" s="5" t="s">
        <v>1242</v>
      </c>
      <c r="K6431" s="5"/>
      <c r="L6431" s="10">
        <v>20201118</v>
      </c>
      <c r="M6431" s="36" t="str">
        <f t="shared" si="100"/>
        <v>19811006</v>
      </c>
    </row>
    <row r="6432" s="1" customFormat="1" spans="1:13">
      <c r="A6432" s="2">
        <v>6744</v>
      </c>
      <c r="B6432" s="5" t="s">
        <v>13027</v>
      </c>
      <c r="C6432" s="15" t="s">
        <v>13454</v>
      </c>
      <c r="D6432" s="15" t="s">
        <v>13455</v>
      </c>
      <c r="E6432" s="5">
        <v>2020</v>
      </c>
      <c r="F6432" s="5">
        <v>2020</v>
      </c>
      <c r="G6432" s="14" t="s">
        <v>16</v>
      </c>
      <c r="H6432" s="15">
        <v>200</v>
      </c>
      <c r="I6432" s="15">
        <v>200</v>
      </c>
      <c r="J6432" s="5"/>
      <c r="K6432" s="10"/>
      <c r="L6432" s="10">
        <v>20201118</v>
      </c>
      <c r="M6432" s="36" t="str">
        <f t="shared" si="100"/>
        <v>19811008</v>
      </c>
    </row>
    <row r="6433" s="1" customFormat="1" spans="1:13">
      <c r="A6433" s="2">
        <v>143</v>
      </c>
      <c r="B6433" s="3" t="s">
        <v>12</v>
      </c>
      <c r="C6433" s="3" t="s">
        <v>306</v>
      </c>
      <c r="D6433" s="3" t="s">
        <v>307</v>
      </c>
      <c r="E6433" s="3" t="s">
        <v>15</v>
      </c>
      <c r="F6433" s="3" t="s">
        <v>15</v>
      </c>
      <c r="G6433" s="3" t="s">
        <v>295</v>
      </c>
      <c r="H6433" s="3">
        <v>200</v>
      </c>
      <c r="I6433" s="3">
        <v>200</v>
      </c>
      <c r="J6433" s="3"/>
      <c r="K6433" s="3"/>
      <c r="L6433" s="10">
        <v>20201118</v>
      </c>
      <c r="M6433" s="36" t="str">
        <f t="shared" si="100"/>
        <v>19811009</v>
      </c>
    </row>
    <row r="6434" s="1" customFormat="1" spans="1:13">
      <c r="A6434" s="2">
        <v>440</v>
      </c>
      <c r="B6434" s="29" t="s">
        <v>1040</v>
      </c>
      <c r="C6434" s="29" t="s">
        <v>1156</v>
      </c>
      <c r="D6434" s="29" t="s">
        <v>1157</v>
      </c>
      <c r="E6434" s="30">
        <v>2020</v>
      </c>
      <c r="F6434" s="30">
        <v>2020</v>
      </c>
      <c r="G6434" s="29" t="s">
        <v>16</v>
      </c>
      <c r="H6434" s="29">
        <v>200</v>
      </c>
      <c r="I6434" s="29">
        <v>200</v>
      </c>
      <c r="J6434" s="29"/>
      <c r="K6434" s="47"/>
      <c r="L6434" s="2" t="s">
        <v>330</v>
      </c>
      <c r="M6434" s="36" t="str">
        <f t="shared" si="100"/>
        <v>19811009</v>
      </c>
    </row>
    <row r="6435" s="1" customFormat="1" spans="1:13">
      <c r="A6435" s="2">
        <v>1249</v>
      </c>
      <c r="B6435" s="5" t="s">
        <v>2469</v>
      </c>
      <c r="C6435" s="9" t="s">
        <v>3080</v>
      </c>
      <c r="D6435" s="9" t="s">
        <v>3081</v>
      </c>
      <c r="E6435" s="5">
        <v>2020</v>
      </c>
      <c r="F6435" s="5">
        <v>2020</v>
      </c>
      <c r="G6435" s="9" t="s">
        <v>2480</v>
      </c>
      <c r="H6435" s="9">
        <v>200</v>
      </c>
      <c r="I6435" s="9">
        <v>200</v>
      </c>
      <c r="J6435" s="5"/>
      <c r="K6435" s="5"/>
      <c r="L6435" s="10">
        <v>20201118</v>
      </c>
      <c r="M6435" s="36" t="str">
        <f t="shared" si="100"/>
        <v>19811009</v>
      </c>
    </row>
    <row r="6436" s="1" customFormat="1" spans="1:13">
      <c r="A6436" s="2">
        <v>70</v>
      </c>
      <c r="B6436" s="3" t="s">
        <v>12</v>
      </c>
      <c r="C6436" s="3" t="s">
        <v>155</v>
      </c>
      <c r="D6436" s="3" t="s">
        <v>156</v>
      </c>
      <c r="E6436" s="3" t="s">
        <v>15</v>
      </c>
      <c r="F6436" s="3" t="s">
        <v>15</v>
      </c>
      <c r="G6436" s="2" t="s">
        <v>16</v>
      </c>
      <c r="H6436" s="3">
        <v>200</v>
      </c>
      <c r="I6436" s="3">
        <v>200</v>
      </c>
      <c r="J6436" s="3"/>
      <c r="K6436" s="3"/>
      <c r="L6436" s="10">
        <v>20201118</v>
      </c>
      <c r="M6436" s="36" t="str">
        <f t="shared" si="100"/>
        <v>19811010</v>
      </c>
    </row>
    <row r="6437" s="1" customFormat="1" spans="1:13">
      <c r="A6437" s="2">
        <v>1726</v>
      </c>
      <c r="B6437" s="5" t="s">
        <v>3381</v>
      </c>
      <c r="C6437" s="9" t="s">
        <v>4012</v>
      </c>
      <c r="D6437" s="9" t="s">
        <v>4013</v>
      </c>
      <c r="E6437" s="5">
        <v>2020</v>
      </c>
      <c r="F6437" s="5">
        <v>2020</v>
      </c>
      <c r="G6437" s="14" t="s">
        <v>16</v>
      </c>
      <c r="H6437" s="6">
        <v>1000</v>
      </c>
      <c r="I6437" s="6">
        <v>1000</v>
      </c>
      <c r="J6437" s="5"/>
      <c r="K6437" s="13"/>
      <c r="L6437" s="10">
        <v>20201118</v>
      </c>
      <c r="M6437" s="36" t="str">
        <f t="shared" si="100"/>
        <v>19811010</v>
      </c>
    </row>
    <row r="6438" s="1" customFormat="1" spans="1:13">
      <c r="A6438" s="2">
        <v>4949</v>
      </c>
      <c r="B6438" s="6" t="s">
        <v>9954</v>
      </c>
      <c r="C6438" s="53" t="s">
        <v>10039</v>
      </c>
      <c r="D6438" s="53" t="s">
        <v>10040</v>
      </c>
      <c r="E6438" s="5" t="s">
        <v>15</v>
      </c>
      <c r="F6438" s="5" t="s">
        <v>15</v>
      </c>
      <c r="G6438" s="14" t="s">
        <v>16</v>
      </c>
      <c r="H6438" s="6">
        <v>200</v>
      </c>
      <c r="I6438" s="6">
        <v>200</v>
      </c>
      <c r="J6438" s="6"/>
      <c r="K6438" s="6"/>
      <c r="L6438" s="10">
        <v>20201118</v>
      </c>
      <c r="M6438" s="36" t="str">
        <f t="shared" si="100"/>
        <v>19811010</v>
      </c>
    </row>
    <row r="6439" s="1" customFormat="1" ht="14.25" spans="1:13">
      <c r="A6439" s="2">
        <v>5412</v>
      </c>
      <c r="B6439" s="33" t="s">
        <v>10535</v>
      </c>
      <c r="C6439" s="34" t="s">
        <v>10929</v>
      </c>
      <c r="D6439" s="34" t="s">
        <v>10930</v>
      </c>
      <c r="E6439" s="35">
        <v>2020</v>
      </c>
      <c r="F6439" s="35">
        <v>2020</v>
      </c>
      <c r="G6439" s="35" t="s">
        <v>16</v>
      </c>
      <c r="H6439" s="34">
        <v>200</v>
      </c>
      <c r="I6439" s="34">
        <v>200</v>
      </c>
      <c r="J6439" s="49"/>
      <c r="K6439" s="10"/>
      <c r="L6439" s="10">
        <v>20201118</v>
      </c>
      <c r="M6439" s="36" t="str">
        <f t="shared" si="100"/>
        <v>19811011</v>
      </c>
    </row>
    <row r="6440" s="1" customFormat="1" spans="1:13">
      <c r="A6440" s="2">
        <v>5548</v>
      </c>
      <c r="B6440" s="30" t="s">
        <v>11090</v>
      </c>
      <c r="C6440" s="30" t="s">
        <v>11192</v>
      </c>
      <c r="D6440" s="30" t="s">
        <v>11193</v>
      </c>
      <c r="E6440" s="5" t="s">
        <v>15</v>
      </c>
      <c r="F6440" s="5" t="s">
        <v>10250</v>
      </c>
      <c r="G6440" s="6" t="s">
        <v>16</v>
      </c>
      <c r="H6440" s="32">
        <v>200</v>
      </c>
      <c r="I6440" s="32">
        <v>200</v>
      </c>
      <c r="J6440" s="6"/>
      <c r="K6440" s="48"/>
      <c r="L6440" s="10">
        <v>20201118</v>
      </c>
      <c r="M6440" s="36" t="str">
        <f t="shared" si="100"/>
        <v>19811011</v>
      </c>
    </row>
    <row r="6441" s="1" customFormat="1" spans="1:13">
      <c r="A6441" s="2">
        <v>5658</v>
      </c>
      <c r="B6441" s="30" t="s">
        <v>11090</v>
      </c>
      <c r="C6441" s="30" t="s">
        <v>11402</v>
      </c>
      <c r="D6441" s="30" t="s">
        <v>11403</v>
      </c>
      <c r="E6441" s="5" t="s">
        <v>15</v>
      </c>
      <c r="F6441" s="5" t="s">
        <v>10250</v>
      </c>
      <c r="G6441" s="6" t="s">
        <v>16</v>
      </c>
      <c r="H6441" s="32">
        <v>200</v>
      </c>
      <c r="I6441" s="32">
        <v>200</v>
      </c>
      <c r="J6441" s="6"/>
      <c r="K6441" s="48"/>
      <c r="L6441" s="10">
        <v>20201118</v>
      </c>
      <c r="M6441" s="36" t="str">
        <f t="shared" si="100"/>
        <v>19811011</v>
      </c>
    </row>
    <row r="6442" s="1" customFormat="1" ht="14.25" spans="1:13">
      <c r="A6442" s="2">
        <v>6072</v>
      </c>
      <c r="B6442" s="30" t="s">
        <v>11090</v>
      </c>
      <c r="C6442" s="32" t="s">
        <v>12185</v>
      </c>
      <c r="D6442" s="12" t="s">
        <v>12186</v>
      </c>
      <c r="E6442" s="5" t="s">
        <v>15</v>
      </c>
      <c r="F6442" s="5" t="s">
        <v>10250</v>
      </c>
      <c r="G6442" s="6" t="s">
        <v>16</v>
      </c>
      <c r="H6442" s="32">
        <v>200</v>
      </c>
      <c r="I6442" s="32">
        <v>200</v>
      </c>
      <c r="J6442" s="5"/>
      <c r="K6442" s="48"/>
      <c r="L6442" s="10">
        <v>20201118</v>
      </c>
      <c r="M6442" s="36" t="str">
        <f t="shared" si="100"/>
        <v>19811012</v>
      </c>
    </row>
    <row r="6443" s="1" customFormat="1" spans="1:13">
      <c r="A6443" s="2">
        <v>5635</v>
      </c>
      <c r="B6443" s="30" t="s">
        <v>11090</v>
      </c>
      <c r="C6443" s="30" t="s">
        <v>11358</v>
      </c>
      <c r="D6443" s="30" t="s">
        <v>11359</v>
      </c>
      <c r="E6443" s="5" t="s">
        <v>15</v>
      </c>
      <c r="F6443" s="5" t="s">
        <v>10250</v>
      </c>
      <c r="G6443" s="6" t="s">
        <v>16</v>
      </c>
      <c r="H6443" s="32">
        <v>500</v>
      </c>
      <c r="I6443" s="32">
        <v>500</v>
      </c>
      <c r="J6443" s="6"/>
      <c r="K6443" s="48"/>
      <c r="L6443" s="10">
        <v>20201118</v>
      </c>
      <c r="M6443" s="36" t="str">
        <f t="shared" si="100"/>
        <v>19811013</v>
      </c>
    </row>
    <row r="6444" s="1" customFormat="1" spans="1:13">
      <c r="A6444" s="2">
        <v>4962</v>
      </c>
      <c r="B6444" s="6" t="s">
        <v>9954</v>
      </c>
      <c r="C6444" s="3" t="s">
        <v>10064</v>
      </c>
      <c r="D6444" s="3" t="s">
        <v>10065</v>
      </c>
      <c r="E6444" s="5" t="s">
        <v>15</v>
      </c>
      <c r="F6444" s="5" t="s">
        <v>15</v>
      </c>
      <c r="G6444" s="14" t="s">
        <v>16</v>
      </c>
      <c r="H6444" s="6">
        <v>500</v>
      </c>
      <c r="I6444" s="6">
        <v>500</v>
      </c>
      <c r="J6444" s="6"/>
      <c r="K6444" s="6"/>
      <c r="L6444" s="10">
        <v>20201118</v>
      </c>
      <c r="M6444" s="36" t="str">
        <f t="shared" si="100"/>
        <v>19811015</v>
      </c>
    </row>
    <row r="6445" s="1" customFormat="1" spans="1:13">
      <c r="A6445" s="2">
        <v>4044</v>
      </c>
      <c r="B6445" s="5" t="s">
        <v>7412</v>
      </c>
      <c r="C6445" s="5" t="s">
        <v>8306</v>
      </c>
      <c r="D6445" s="5" t="s">
        <v>8307</v>
      </c>
      <c r="E6445" s="6">
        <v>2020</v>
      </c>
      <c r="F6445" s="6">
        <v>2020</v>
      </c>
      <c r="G6445" s="5" t="s">
        <v>3359</v>
      </c>
      <c r="H6445" s="5">
        <v>200</v>
      </c>
      <c r="I6445" s="5">
        <v>200</v>
      </c>
      <c r="J6445" s="5"/>
      <c r="K6445" s="5"/>
      <c r="L6445" s="10">
        <v>20201118</v>
      </c>
      <c r="M6445" s="36" t="str">
        <f t="shared" si="100"/>
        <v>19811020</v>
      </c>
    </row>
    <row r="6446" s="1" customFormat="1" spans="1:13">
      <c r="A6446" s="2">
        <v>1250</v>
      </c>
      <c r="B6446" s="5" t="s">
        <v>2469</v>
      </c>
      <c r="C6446" s="9" t="s">
        <v>3082</v>
      </c>
      <c r="D6446" s="9" t="s">
        <v>3083</v>
      </c>
      <c r="E6446" s="5">
        <v>2020</v>
      </c>
      <c r="F6446" s="5">
        <v>2020</v>
      </c>
      <c r="G6446" s="9" t="s">
        <v>2480</v>
      </c>
      <c r="H6446" s="9">
        <v>200</v>
      </c>
      <c r="I6446" s="9">
        <v>200</v>
      </c>
      <c r="J6446" s="5"/>
      <c r="K6446" s="5"/>
      <c r="L6446" s="10">
        <v>20201118</v>
      </c>
      <c r="M6446" s="36" t="str">
        <f t="shared" si="100"/>
        <v>19811021</v>
      </c>
    </row>
    <row r="6447" s="1" customFormat="1" spans="1:13">
      <c r="A6447" s="2">
        <v>8174</v>
      </c>
      <c r="B6447" s="5" t="s">
        <v>15406</v>
      </c>
      <c r="C6447" s="6" t="s">
        <v>15536</v>
      </c>
      <c r="D6447" s="6" t="s">
        <v>15537</v>
      </c>
      <c r="E6447" s="5" t="s">
        <v>15</v>
      </c>
      <c r="F6447" s="5">
        <v>2020</v>
      </c>
      <c r="G6447" s="14" t="s">
        <v>16</v>
      </c>
      <c r="H6447" s="6">
        <v>200</v>
      </c>
      <c r="I6447" s="6">
        <v>200</v>
      </c>
      <c r="J6447" s="5"/>
      <c r="K6447" s="10"/>
      <c r="L6447" s="10">
        <v>20201118</v>
      </c>
      <c r="M6447" s="36" t="str">
        <f t="shared" si="100"/>
        <v>19811021</v>
      </c>
    </row>
    <row r="6448" s="1" customFormat="1" spans="1:13">
      <c r="A6448" s="2">
        <v>1251</v>
      </c>
      <c r="B6448" s="5" t="s">
        <v>2469</v>
      </c>
      <c r="C6448" s="9" t="s">
        <v>3084</v>
      </c>
      <c r="D6448" s="9" t="s">
        <v>3085</v>
      </c>
      <c r="E6448" s="5">
        <v>2020</v>
      </c>
      <c r="F6448" s="5">
        <v>2020</v>
      </c>
      <c r="G6448" s="9" t="s">
        <v>2480</v>
      </c>
      <c r="H6448" s="9">
        <v>200</v>
      </c>
      <c r="I6448" s="9">
        <v>200</v>
      </c>
      <c r="J6448" s="5"/>
      <c r="K6448" s="5"/>
      <c r="L6448" s="10">
        <v>20201118</v>
      </c>
      <c r="M6448" s="36" t="str">
        <f t="shared" si="100"/>
        <v>19811023</v>
      </c>
    </row>
    <row r="6449" s="1" customFormat="1" spans="1:13">
      <c r="A6449" s="2">
        <v>4045</v>
      </c>
      <c r="B6449" s="5" t="s">
        <v>7412</v>
      </c>
      <c r="C6449" s="5" t="s">
        <v>8308</v>
      </c>
      <c r="D6449" s="5" t="s">
        <v>8309</v>
      </c>
      <c r="E6449" s="6">
        <v>2020</v>
      </c>
      <c r="F6449" s="6">
        <v>2020</v>
      </c>
      <c r="G6449" s="5" t="s">
        <v>3359</v>
      </c>
      <c r="H6449" s="5">
        <v>200</v>
      </c>
      <c r="I6449" s="5">
        <v>200</v>
      </c>
      <c r="J6449" s="5"/>
      <c r="K6449" s="5"/>
      <c r="L6449" s="10">
        <v>20201118</v>
      </c>
      <c r="M6449" s="36" t="str">
        <f t="shared" si="100"/>
        <v>19811028</v>
      </c>
    </row>
    <row r="6450" s="1" customFormat="1" spans="1:13">
      <c r="A6450" s="2">
        <v>6239</v>
      </c>
      <c r="B6450" s="5" t="s">
        <v>12263</v>
      </c>
      <c r="C6450" s="5" t="s">
        <v>2118</v>
      </c>
      <c r="D6450" s="5" t="s">
        <v>12502</v>
      </c>
      <c r="E6450" s="5" t="s">
        <v>10250</v>
      </c>
      <c r="F6450" s="5">
        <v>2020</v>
      </c>
      <c r="G6450" s="17" t="s">
        <v>3359</v>
      </c>
      <c r="H6450" s="5">
        <v>200</v>
      </c>
      <c r="I6450" s="5">
        <v>200</v>
      </c>
      <c r="J6450" s="5"/>
      <c r="K6450" s="5"/>
      <c r="L6450" s="10">
        <v>20201118</v>
      </c>
      <c r="M6450" s="36" t="str">
        <f t="shared" si="100"/>
        <v>19811029</v>
      </c>
    </row>
    <row r="6451" s="1" customFormat="1" spans="1:13">
      <c r="A6451" s="2">
        <v>6827</v>
      </c>
      <c r="B6451" s="5" t="s">
        <v>13533</v>
      </c>
      <c r="C6451" s="32" t="s">
        <v>13579</v>
      </c>
      <c r="D6451" s="32" t="str">
        <f>"152326198111037115"</f>
        <v>152326198111037115</v>
      </c>
      <c r="E6451" s="5">
        <v>2020</v>
      </c>
      <c r="F6451" s="5">
        <v>2020</v>
      </c>
      <c r="G6451" s="9" t="s">
        <v>2480</v>
      </c>
      <c r="H6451" s="32">
        <v>200</v>
      </c>
      <c r="I6451" s="32">
        <v>200</v>
      </c>
      <c r="J6451" s="62"/>
      <c r="K6451" s="10"/>
      <c r="L6451" s="10">
        <v>20201118</v>
      </c>
      <c r="M6451" s="36" t="str">
        <f t="shared" si="100"/>
        <v>19811103</v>
      </c>
    </row>
    <row r="6452" s="1" customFormat="1" ht="14.25" spans="1:13">
      <c r="A6452" s="2">
        <v>6053</v>
      </c>
      <c r="B6452" s="30" t="s">
        <v>11090</v>
      </c>
      <c r="C6452" s="32" t="s">
        <v>12149</v>
      </c>
      <c r="D6452" s="12" t="s">
        <v>12150</v>
      </c>
      <c r="E6452" s="5" t="s">
        <v>15</v>
      </c>
      <c r="F6452" s="5" t="s">
        <v>10250</v>
      </c>
      <c r="G6452" s="6" t="s">
        <v>16</v>
      </c>
      <c r="H6452" s="32">
        <v>200</v>
      </c>
      <c r="I6452" s="32">
        <v>200</v>
      </c>
      <c r="J6452" s="5"/>
      <c r="K6452" s="48"/>
      <c r="L6452" s="10">
        <v>20201118</v>
      </c>
      <c r="M6452" s="36" t="str">
        <f t="shared" si="100"/>
        <v>19811104</v>
      </c>
    </row>
    <row r="6453" s="1" customFormat="1" spans="1:13">
      <c r="A6453" s="2">
        <v>2329</v>
      </c>
      <c r="B6453" s="9" t="s">
        <v>4837</v>
      </c>
      <c r="C6453" s="9" t="s">
        <v>183</v>
      </c>
      <c r="D6453" s="9" t="s">
        <v>5198</v>
      </c>
      <c r="E6453" s="6" t="s">
        <v>15</v>
      </c>
      <c r="F6453" s="6">
        <v>2020</v>
      </c>
      <c r="G6453" s="9" t="s">
        <v>2480</v>
      </c>
      <c r="H6453" s="9">
        <v>200</v>
      </c>
      <c r="I6453" s="9">
        <v>200</v>
      </c>
      <c r="J6453" s="6"/>
      <c r="K6453" s="10"/>
      <c r="L6453" s="10">
        <v>20201118</v>
      </c>
      <c r="M6453" s="36" t="str">
        <f t="shared" si="100"/>
        <v>19811107</v>
      </c>
    </row>
    <row r="6454" s="1" customFormat="1" spans="1:13">
      <c r="A6454" s="2">
        <v>7257</v>
      </c>
      <c r="B6454" s="5" t="s">
        <v>13908</v>
      </c>
      <c r="C6454" s="5" t="s">
        <v>14156</v>
      </c>
      <c r="D6454" s="5" t="s">
        <v>14157</v>
      </c>
      <c r="E6454" s="5" t="s">
        <v>15</v>
      </c>
      <c r="F6454" s="5" t="s">
        <v>15</v>
      </c>
      <c r="G6454" s="14" t="s">
        <v>16</v>
      </c>
      <c r="H6454" s="17">
        <v>200</v>
      </c>
      <c r="I6454" s="17">
        <v>200</v>
      </c>
      <c r="J6454" s="5"/>
      <c r="K6454" s="10"/>
      <c r="L6454" s="10">
        <v>20201118</v>
      </c>
      <c r="M6454" s="36" t="str">
        <f t="shared" si="100"/>
        <v>19811109</v>
      </c>
    </row>
    <row r="6455" s="1" customFormat="1" spans="1:13">
      <c r="A6455" s="2">
        <v>2017</v>
      </c>
      <c r="B6455" s="5" t="s">
        <v>4189</v>
      </c>
      <c r="C6455" s="16" t="s">
        <v>4591</v>
      </c>
      <c r="D6455" s="16" t="s">
        <v>4592</v>
      </c>
      <c r="E6455" s="5" t="s">
        <v>15</v>
      </c>
      <c r="F6455" s="5" t="s">
        <v>15</v>
      </c>
      <c r="G6455" s="5" t="s">
        <v>3359</v>
      </c>
      <c r="H6455" s="16">
        <v>200</v>
      </c>
      <c r="I6455" s="16">
        <v>200</v>
      </c>
      <c r="J6455" s="5"/>
      <c r="K6455" s="10"/>
      <c r="L6455" s="10">
        <v>20201118</v>
      </c>
      <c r="M6455" s="36" t="str">
        <f t="shared" si="100"/>
        <v>19811112</v>
      </c>
    </row>
    <row r="6456" s="1" customFormat="1" spans="1:13">
      <c r="A6456" s="2">
        <v>4357</v>
      </c>
      <c r="B6456" s="9" t="s">
        <v>8515</v>
      </c>
      <c r="C6456" s="9" t="s">
        <v>7319</v>
      </c>
      <c r="D6456" s="9" t="s">
        <v>8905</v>
      </c>
      <c r="E6456" s="5" t="s">
        <v>15</v>
      </c>
      <c r="F6456" s="5">
        <v>2020</v>
      </c>
      <c r="G6456" s="9" t="s">
        <v>2480</v>
      </c>
      <c r="H6456" s="9">
        <v>200</v>
      </c>
      <c r="I6456" s="9">
        <v>200</v>
      </c>
      <c r="J6456" s="9"/>
      <c r="K6456" s="9"/>
      <c r="L6456" s="10">
        <v>20201118</v>
      </c>
      <c r="M6456" s="36" t="str">
        <f t="shared" si="100"/>
        <v>19811115</v>
      </c>
    </row>
    <row r="6457" s="1" customFormat="1" spans="1:13">
      <c r="A6457" s="2">
        <v>465</v>
      </c>
      <c r="B6457" s="29" t="s">
        <v>1040</v>
      </c>
      <c r="C6457" s="29" t="s">
        <v>1206</v>
      </c>
      <c r="D6457" s="29" t="s">
        <v>1207</v>
      </c>
      <c r="E6457" s="30">
        <v>2020</v>
      </c>
      <c r="F6457" s="30">
        <v>2020</v>
      </c>
      <c r="G6457" s="29" t="s">
        <v>16</v>
      </c>
      <c r="H6457" s="29">
        <v>200</v>
      </c>
      <c r="I6457" s="29">
        <v>200</v>
      </c>
      <c r="J6457" s="29"/>
      <c r="K6457" s="47"/>
      <c r="L6457" s="14" t="s">
        <v>330</v>
      </c>
      <c r="M6457" s="36" t="str">
        <f t="shared" si="100"/>
        <v>19811116</v>
      </c>
    </row>
    <row r="6458" s="1" customFormat="1" spans="1:13">
      <c r="A6458" s="2">
        <v>1252</v>
      </c>
      <c r="B6458" s="5" t="s">
        <v>2469</v>
      </c>
      <c r="C6458" s="9" t="s">
        <v>3086</v>
      </c>
      <c r="D6458" s="9" t="s">
        <v>3087</v>
      </c>
      <c r="E6458" s="5">
        <v>2020</v>
      </c>
      <c r="F6458" s="5">
        <v>2020</v>
      </c>
      <c r="G6458" s="9" t="s">
        <v>2480</v>
      </c>
      <c r="H6458" s="9">
        <v>200</v>
      </c>
      <c r="I6458" s="9">
        <v>200</v>
      </c>
      <c r="J6458" s="5"/>
      <c r="K6458" s="5"/>
      <c r="L6458" s="10">
        <v>20201118</v>
      </c>
      <c r="M6458" s="36" t="str">
        <f t="shared" si="100"/>
        <v>19811116</v>
      </c>
    </row>
    <row r="6459" s="1" customFormat="1" ht="14.25" spans="1:13">
      <c r="A6459" s="2">
        <v>5413</v>
      </c>
      <c r="B6459" s="33" t="s">
        <v>10535</v>
      </c>
      <c r="C6459" s="34" t="s">
        <v>10931</v>
      </c>
      <c r="D6459" s="34" t="s">
        <v>10932</v>
      </c>
      <c r="E6459" s="35">
        <v>2020</v>
      </c>
      <c r="F6459" s="35">
        <v>2020</v>
      </c>
      <c r="G6459" s="35" t="s">
        <v>16</v>
      </c>
      <c r="H6459" s="34">
        <v>200</v>
      </c>
      <c r="I6459" s="34">
        <v>200</v>
      </c>
      <c r="J6459" s="49"/>
      <c r="K6459" s="10"/>
      <c r="L6459" s="10">
        <v>20201118</v>
      </c>
      <c r="M6459" s="36" t="str">
        <f t="shared" si="100"/>
        <v>19811120</v>
      </c>
    </row>
    <row r="6460" s="1" customFormat="1" spans="1:13">
      <c r="A6460" s="2">
        <v>737</v>
      </c>
      <c r="B6460" s="29" t="s">
        <v>1040</v>
      </c>
      <c r="C6460" s="5" t="s">
        <v>1861</v>
      </c>
      <c r="D6460" s="317" t="s">
        <v>1862</v>
      </c>
      <c r="E6460" s="30">
        <v>2020</v>
      </c>
      <c r="F6460" s="30">
        <v>2020</v>
      </c>
      <c r="G6460" s="29" t="s">
        <v>16</v>
      </c>
      <c r="H6460" s="29">
        <v>200</v>
      </c>
      <c r="I6460" s="29">
        <v>200</v>
      </c>
      <c r="J6460" s="32"/>
      <c r="K6460" s="32"/>
      <c r="L6460" s="2" t="s">
        <v>330</v>
      </c>
      <c r="M6460" s="36" t="str">
        <f t="shared" si="100"/>
        <v>19811121</v>
      </c>
    </row>
    <row r="6461" s="1" customFormat="1" spans="1:13">
      <c r="A6461" s="2">
        <v>1253</v>
      </c>
      <c r="B6461" s="5" t="s">
        <v>2469</v>
      </c>
      <c r="C6461" s="9" t="s">
        <v>3088</v>
      </c>
      <c r="D6461" s="9" t="s">
        <v>3089</v>
      </c>
      <c r="E6461" s="5">
        <v>2020</v>
      </c>
      <c r="F6461" s="5">
        <v>2020</v>
      </c>
      <c r="G6461" s="9" t="s">
        <v>2480</v>
      </c>
      <c r="H6461" s="9">
        <v>200</v>
      </c>
      <c r="I6461" s="9">
        <v>200</v>
      </c>
      <c r="J6461" s="5"/>
      <c r="K6461" s="5"/>
      <c r="L6461" s="10">
        <v>20201118</v>
      </c>
      <c r="M6461" s="36" t="str">
        <f t="shared" si="100"/>
        <v>19811121</v>
      </c>
    </row>
    <row r="6462" s="1" customFormat="1" spans="1:13">
      <c r="A6462" s="2">
        <v>7888</v>
      </c>
      <c r="B6462" s="5" t="s">
        <v>15086</v>
      </c>
      <c r="C6462" s="6" t="s">
        <v>15162</v>
      </c>
      <c r="D6462" s="6" t="str">
        <f>"152326198111216885"</f>
        <v>152326198111216885</v>
      </c>
      <c r="E6462" s="5" t="s">
        <v>15</v>
      </c>
      <c r="F6462" s="5">
        <v>2020</v>
      </c>
      <c r="G6462" s="5" t="s">
        <v>16</v>
      </c>
      <c r="H6462" s="5">
        <v>200</v>
      </c>
      <c r="I6462" s="5">
        <v>200</v>
      </c>
      <c r="J6462" s="5"/>
      <c r="K6462" s="5"/>
      <c r="L6462" s="10">
        <v>20201118</v>
      </c>
      <c r="M6462" s="36" t="str">
        <f t="shared" si="100"/>
        <v>19811121</v>
      </c>
    </row>
    <row r="6463" s="1" customFormat="1" spans="1:13">
      <c r="A6463" s="2">
        <v>5880</v>
      </c>
      <c r="B6463" s="30" t="s">
        <v>11090</v>
      </c>
      <c r="C6463" s="30" t="s">
        <v>10822</v>
      </c>
      <c r="D6463" s="30" t="s">
        <v>11816</v>
      </c>
      <c r="E6463" s="5" t="s">
        <v>15</v>
      </c>
      <c r="F6463" s="5" t="s">
        <v>10250</v>
      </c>
      <c r="G6463" s="6" t="s">
        <v>16</v>
      </c>
      <c r="H6463" s="32">
        <v>500</v>
      </c>
      <c r="I6463" s="32">
        <v>500</v>
      </c>
      <c r="J6463" s="6"/>
      <c r="K6463" s="48"/>
      <c r="L6463" s="10">
        <v>20201118</v>
      </c>
      <c r="M6463" s="36" t="str">
        <f t="shared" si="100"/>
        <v>19811124</v>
      </c>
    </row>
    <row r="6464" s="1" customFormat="1" spans="1:13">
      <c r="A6464" s="2">
        <v>4046</v>
      </c>
      <c r="B6464" s="5" t="s">
        <v>7412</v>
      </c>
      <c r="C6464" s="5" t="s">
        <v>8310</v>
      </c>
      <c r="D6464" s="5" t="s">
        <v>8311</v>
      </c>
      <c r="E6464" s="6">
        <v>2020</v>
      </c>
      <c r="F6464" s="6">
        <v>2020</v>
      </c>
      <c r="G6464" s="5" t="s">
        <v>3359</v>
      </c>
      <c r="H6464" s="5">
        <v>200</v>
      </c>
      <c r="I6464" s="5">
        <v>200</v>
      </c>
      <c r="J6464" s="5"/>
      <c r="K6464" s="5"/>
      <c r="L6464" s="10">
        <v>20201118</v>
      </c>
      <c r="M6464" s="36" t="str">
        <f t="shared" si="100"/>
        <v>19811130</v>
      </c>
    </row>
    <row r="6465" s="1" customFormat="1" ht="14.25" spans="1:13">
      <c r="A6465" s="2">
        <v>2764</v>
      </c>
      <c r="B6465" s="32" t="s">
        <v>5602</v>
      </c>
      <c r="C6465" s="32" t="s">
        <v>6056</v>
      </c>
      <c r="D6465" s="85" t="s">
        <v>6057</v>
      </c>
      <c r="E6465" s="32">
        <v>2020</v>
      </c>
      <c r="F6465" s="32">
        <v>2020</v>
      </c>
      <c r="G6465" s="32" t="s">
        <v>16</v>
      </c>
      <c r="H6465" s="9">
        <v>200</v>
      </c>
      <c r="I6465" s="9">
        <v>200</v>
      </c>
      <c r="J6465" s="32"/>
      <c r="K6465" s="52"/>
      <c r="L6465" s="10">
        <v>20201118</v>
      </c>
      <c r="M6465" s="36" t="str">
        <f t="shared" si="100"/>
        <v>19811201</v>
      </c>
    </row>
    <row r="6466" s="1" customFormat="1" spans="1:13">
      <c r="A6466" s="2">
        <v>3311</v>
      </c>
      <c r="B6466" s="5" t="s">
        <v>3375</v>
      </c>
      <c r="C6466" s="6" t="s">
        <v>7083</v>
      </c>
      <c r="D6466" s="6" t="s">
        <v>7084</v>
      </c>
      <c r="E6466" s="5" t="s">
        <v>15</v>
      </c>
      <c r="F6466" s="5">
        <v>2020</v>
      </c>
      <c r="G6466" s="14" t="s">
        <v>16</v>
      </c>
      <c r="H6466" s="17">
        <v>200</v>
      </c>
      <c r="I6466" s="17">
        <v>200</v>
      </c>
      <c r="J6466" s="6"/>
      <c r="K6466" s="10"/>
      <c r="L6466" s="10">
        <v>20201118</v>
      </c>
      <c r="M6466" s="36" t="str">
        <f t="shared" ref="M6466:M6529" si="101">MID(D6466,7,8)</f>
        <v>19811202</v>
      </c>
    </row>
    <row r="6467" s="1" customFormat="1" spans="1:13">
      <c r="A6467" s="2">
        <v>7884</v>
      </c>
      <c r="B6467" s="5" t="s">
        <v>15086</v>
      </c>
      <c r="C6467" s="6" t="s">
        <v>15157</v>
      </c>
      <c r="D6467" s="6" t="str">
        <f>"152326198112027146"</f>
        <v>152326198112027146</v>
      </c>
      <c r="E6467" s="5" t="s">
        <v>15</v>
      </c>
      <c r="F6467" s="5">
        <v>2020</v>
      </c>
      <c r="G6467" s="5" t="s">
        <v>16</v>
      </c>
      <c r="H6467" s="5">
        <v>200</v>
      </c>
      <c r="I6467" s="5">
        <v>200</v>
      </c>
      <c r="J6467" s="5"/>
      <c r="K6467" s="5"/>
      <c r="L6467" s="10">
        <v>20201118</v>
      </c>
      <c r="M6467" s="36" t="str">
        <f t="shared" si="101"/>
        <v>19811202</v>
      </c>
    </row>
    <row r="6468" s="1" customFormat="1" spans="1:13">
      <c r="A6468" s="2">
        <v>3315</v>
      </c>
      <c r="B6468" s="5" t="s">
        <v>3375</v>
      </c>
      <c r="C6468" s="6" t="s">
        <v>7089</v>
      </c>
      <c r="D6468" s="6" t="str">
        <f>"152326198112037125"</f>
        <v>152326198112037125</v>
      </c>
      <c r="E6468" s="5" t="s">
        <v>15</v>
      </c>
      <c r="F6468" s="5">
        <v>2020</v>
      </c>
      <c r="G6468" s="14" t="s">
        <v>16</v>
      </c>
      <c r="H6468" s="17">
        <v>200</v>
      </c>
      <c r="I6468" s="17">
        <v>200</v>
      </c>
      <c r="J6468" s="6"/>
      <c r="K6468" s="10"/>
      <c r="L6468" s="10">
        <v>20201118</v>
      </c>
      <c r="M6468" s="36" t="str">
        <f t="shared" si="101"/>
        <v>19811203</v>
      </c>
    </row>
    <row r="6469" s="1" customFormat="1" spans="1:13">
      <c r="A6469" s="2">
        <v>3316</v>
      </c>
      <c r="B6469" s="5" t="s">
        <v>3375</v>
      </c>
      <c r="C6469" s="6" t="s">
        <v>7090</v>
      </c>
      <c r="D6469" s="6" t="str">
        <f>"152326198112030425"</f>
        <v>152326198112030425</v>
      </c>
      <c r="E6469" s="5" t="s">
        <v>15</v>
      </c>
      <c r="F6469" s="5">
        <v>2020</v>
      </c>
      <c r="G6469" s="14" t="s">
        <v>16</v>
      </c>
      <c r="H6469" s="17">
        <v>200</v>
      </c>
      <c r="I6469" s="17">
        <v>200</v>
      </c>
      <c r="J6469" s="6"/>
      <c r="K6469" s="10"/>
      <c r="L6469" s="10">
        <v>20201118</v>
      </c>
      <c r="M6469" s="36" t="str">
        <f t="shared" si="101"/>
        <v>19811203</v>
      </c>
    </row>
    <row r="6470" s="1" customFormat="1" spans="1:13">
      <c r="A6470" s="2">
        <v>1254</v>
      </c>
      <c r="B6470" s="5" t="s">
        <v>2469</v>
      </c>
      <c r="C6470" s="9" t="s">
        <v>3090</v>
      </c>
      <c r="D6470" s="9" t="s">
        <v>3091</v>
      </c>
      <c r="E6470" s="5">
        <v>2020</v>
      </c>
      <c r="F6470" s="5">
        <v>2020</v>
      </c>
      <c r="G6470" s="9" t="s">
        <v>2480</v>
      </c>
      <c r="H6470" s="9">
        <v>200</v>
      </c>
      <c r="I6470" s="9">
        <v>200</v>
      </c>
      <c r="J6470" s="5"/>
      <c r="K6470" s="5"/>
      <c r="L6470" s="10">
        <v>20201118</v>
      </c>
      <c r="M6470" s="36" t="str">
        <f t="shared" si="101"/>
        <v>19811204</v>
      </c>
    </row>
    <row r="6471" s="1" customFormat="1" spans="1:13">
      <c r="A6471" s="2">
        <v>2114</v>
      </c>
      <c r="B6471" s="5" t="s">
        <v>4189</v>
      </c>
      <c r="C6471" s="9" t="s">
        <v>4778</v>
      </c>
      <c r="D6471" s="9" t="s">
        <v>4779</v>
      </c>
      <c r="E6471" s="5" t="s">
        <v>15</v>
      </c>
      <c r="F6471" s="5" t="s">
        <v>15</v>
      </c>
      <c r="G6471" s="5" t="s">
        <v>3359</v>
      </c>
      <c r="H6471" s="16">
        <v>200</v>
      </c>
      <c r="I6471" s="16">
        <v>200</v>
      </c>
      <c r="J6471" s="5"/>
      <c r="K6471" s="10"/>
      <c r="L6471" s="10">
        <v>20201118</v>
      </c>
      <c r="M6471" s="36" t="str">
        <f t="shared" si="101"/>
        <v>19811204</v>
      </c>
    </row>
    <row r="6472" s="1" customFormat="1" spans="1:13">
      <c r="A6472" s="2">
        <v>5944</v>
      </c>
      <c r="B6472" s="30" t="s">
        <v>11090</v>
      </c>
      <c r="C6472" s="6" t="s">
        <v>11935</v>
      </c>
      <c r="D6472" s="306" t="s">
        <v>11936</v>
      </c>
      <c r="E6472" s="5" t="s">
        <v>15</v>
      </c>
      <c r="F6472" s="5" t="s">
        <v>10250</v>
      </c>
      <c r="G6472" s="6" t="s">
        <v>16</v>
      </c>
      <c r="H6472" s="32">
        <v>200</v>
      </c>
      <c r="I6472" s="32">
        <v>200</v>
      </c>
      <c r="J6472" s="6"/>
      <c r="K6472" s="48"/>
      <c r="L6472" s="10">
        <v>20201118</v>
      </c>
      <c r="M6472" s="36" t="str">
        <f t="shared" si="101"/>
        <v>19811206</v>
      </c>
    </row>
    <row r="6473" s="1" customFormat="1" spans="1:13">
      <c r="A6473" s="2">
        <v>4358</v>
      </c>
      <c r="B6473" s="9" t="s">
        <v>8515</v>
      </c>
      <c r="C6473" s="9" t="s">
        <v>8906</v>
      </c>
      <c r="D6473" s="9" t="s">
        <v>8907</v>
      </c>
      <c r="E6473" s="5" t="s">
        <v>15</v>
      </c>
      <c r="F6473" s="5">
        <v>2020</v>
      </c>
      <c r="G6473" s="9" t="s">
        <v>2480</v>
      </c>
      <c r="H6473" s="9">
        <v>200</v>
      </c>
      <c r="I6473" s="9">
        <v>200</v>
      </c>
      <c r="J6473" s="9"/>
      <c r="K6473" s="9"/>
      <c r="L6473" s="10">
        <v>20201118</v>
      </c>
      <c r="M6473" s="36" t="str">
        <f t="shared" si="101"/>
        <v>19811207</v>
      </c>
    </row>
    <row r="6474" s="1" customFormat="1" spans="1:13">
      <c r="A6474" s="2">
        <v>4047</v>
      </c>
      <c r="B6474" s="5" t="s">
        <v>7412</v>
      </c>
      <c r="C6474" s="5" t="s">
        <v>8312</v>
      </c>
      <c r="D6474" s="5" t="s">
        <v>8313</v>
      </c>
      <c r="E6474" s="6">
        <v>2020</v>
      </c>
      <c r="F6474" s="6">
        <v>2020</v>
      </c>
      <c r="G6474" s="5" t="s">
        <v>3359</v>
      </c>
      <c r="H6474" s="5">
        <v>200</v>
      </c>
      <c r="I6474" s="5">
        <v>200</v>
      </c>
      <c r="J6474" s="5"/>
      <c r="K6474" s="5"/>
      <c r="L6474" s="10">
        <v>20201118</v>
      </c>
      <c r="M6474" s="36" t="str">
        <f t="shared" si="101"/>
        <v>19811209</v>
      </c>
    </row>
    <row r="6475" s="1" customFormat="1" ht="14.25" spans="1:13">
      <c r="A6475" s="2">
        <v>2862</v>
      </c>
      <c r="B6475" s="6" t="s">
        <v>6075</v>
      </c>
      <c r="C6475" s="25" t="s">
        <v>6253</v>
      </c>
      <c r="D6475" s="26" t="s">
        <v>6254</v>
      </c>
      <c r="E6475" s="5" t="s">
        <v>15</v>
      </c>
      <c r="F6475" s="5">
        <v>2020</v>
      </c>
      <c r="G6475" s="6" t="s">
        <v>16</v>
      </c>
      <c r="H6475" s="6">
        <v>200</v>
      </c>
      <c r="I6475" s="6">
        <v>200</v>
      </c>
      <c r="J6475" s="6"/>
      <c r="K6475" s="10"/>
      <c r="L6475" s="10">
        <v>20201118</v>
      </c>
      <c r="M6475" s="36" t="str">
        <f t="shared" si="101"/>
        <v>19811212</v>
      </c>
    </row>
    <row r="6476" s="1" customFormat="1" spans="1:13">
      <c r="A6476" s="2">
        <v>7291</v>
      </c>
      <c r="B6476" s="5" t="s">
        <v>13908</v>
      </c>
      <c r="C6476" s="5" t="s">
        <v>14220</v>
      </c>
      <c r="D6476" s="5" t="s">
        <v>14221</v>
      </c>
      <c r="E6476" s="5" t="s">
        <v>15</v>
      </c>
      <c r="F6476" s="5" t="s">
        <v>15</v>
      </c>
      <c r="G6476" s="14" t="s">
        <v>16</v>
      </c>
      <c r="H6476" s="17">
        <v>200</v>
      </c>
      <c r="I6476" s="17">
        <v>200</v>
      </c>
      <c r="J6476" s="5"/>
      <c r="K6476" s="10"/>
      <c r="L6476" s="10">
        <v>20201118</v>
      </c>
      <c r="M6476" s="36" t="str">
        <f t="shared" si="101"/>
        <v>19811213</v>
      </c>
    </row>
    <row r="6477" s="1" customFormat="1" spans="1:13">
      <c r="A6477" s="2">
        <v>1255</v>
      </c>
      <c r="B6477" s="5" t="s">
        <v>2469</v>
      </c>
      <c r="C6477" s="9" t="s">
        <v>3092</v>
      </c>
      <c r="D6477" s="9" t="s">
        <v>3093</v>
      </c>
      <c r="E6477" s="5">
        <v>2020</v>
      </c>
      <c r="F6477" s="5">
        <v>2020</v>
      </c>
      <c r="G6477" s="9" t="s">
        <v>2480</v>
      </c>
      <c r="H6477" s="9">
        <v>200</v>
      </c>
      <c r="I6477" s="9">
        <v>200</v>
      </c>
      <c r="J6477" s="5"/>
      <c r="K6477" s="5"/>
      <c r="L6477" s="10">
        <v>20201118</v>
      </c>
      <c r="M6477" s="36" t="str">
        <f t="shared" si="101"/>
        <v>19811215</v>
      </c>
    </row>
    <row r="6478" s="1" customFormat="1" spans="1:13">
      <c r="A6478" s="2">
        <v>6825</v>
      </c>
      <c r="B6478" s="5" t="s">
        <v>13533</v>
      </c>
      <c r="C6478" s="32" t="s">
        <v>13577</v>
      </c>
      <c r="D6478" s="32" t="str">
        <f>"152326198112157127"</f>
        <v>152326198112157127</v>
      </c>
      <c r="E6478" s="5">
        <v>2020</v>
      </c>
      <c r="F6478" s="5">
        <v>2020</v>
      </c>
      <c r="G6478" s="9" t="s">
        <v>2480</v>
      </c>
      <c r="H6478" s="32">
        <v>200</v>
      </c>
      <c r="I6478" s="32">
        <v>200</v>
      </c>
      <c r="J6478" s="62"/>
      <c r="K6478" s="10"/>
      <c r="L6478" s="10">
        <v>20201118</v>
      </c>
      <c r="M6478" s="36" t="str">
        <f t="shared" si="101"/>
        <v>19811215</v>
      </c>
    </row>
    <row r="6479" s="1" customFormat="1" spans="1:13">
      <c r="A6479" s="2">
        <v>895</v>
      </c>
      <c r="B6479" s="29" t="s">
        <v>1040</v>
      </c>
      <c r="C6479" s="6" t="s">
        <v>2332</v>
      </c>
      <c r="D6479" s="6" t="s">
        <v>2333</v>
      </c>
      <c r="E6479" s="30">
        <v>2020</v>
      </c>
      <c r="F6479" s="30">
        <v>2020</v>
      </c>
      <c r="G6479" s="29" t="s">
        <v>16</v>
      </c>
      <c r="H6479" s="29">
        <v>200</v>
      </c>
      <c r="I6479" s="29">
        <v>200</v>
      </c>
      <c r="J6479" s="32"/>
      <c r="K6479" s="32"/>
      <c r="L6479" s="2" t="s">
        <v>330</v>
      </c>
      <c r="M6479" s="36" t="str">
        <f t="shared" si="101"/>
        <v>19811217</v>
      </c>
    </row>
    <row r="6480" s="1" customFormat="1" spans="1:13">
      <c r="A6480" s="2">
        <v>1256</v>
      </c>
      <c r="B6480" s="5" t="s">
        <v>2469</v>
      </c>
      <c r="C6480" s="9" t="s">
        <v>3094</v>
      </c>
      <c r="D6480" s="9" t="s">
        <v>3095</v>
      </c>
      <c r="E6480" s="5">
        <v>2020</v>
      </c>
      <c r="F6480" s="5">
        <v>2020</v>
      </c>
      <c r="G6480" s="9" t="s">
        <v>2480</v>
      </c>
      <c r="H6480" s="9">
        <v>200</v>
      </c>
      <c r="I6480" s="9">
        <v>200</v>
      </c>
      <c r="J6480" s="5"/>
      <c r="K6480" s="5"/>
      <c r="L6480" s="10">
        <v>20201118</v>
      </c>
      <c r="M6480" s="36" t="str">
        <f t="shared" si="101"/>
        <v>19811217</v>
      </c>
    </row>
    <row r="6481" s="1" customFormat="1" ht="14.25" spans="1:13">
      <c r="A6481" s="2">
        <v>5414</v>
      </c>
      <c r="B6481" s="33" t="s">
        <v>10535</v>
      </c>
      <c r="C6481" s="34" t="s">
        <v>10933</v>
      </c>
      <c r="D6481" s="34" t="s">
        <v>10934</v>
      </c>
      <c r="E6481" s="35">
        <v>2020</v>
      </c>
      <c r="F6481" s="35">
        <v>2020</v>
      </c>
      <c r="G6481" s="35" t="s">
        <v>16</v>
      </c>
      <c r="H6481" s="34">
        <v>200</v>
      </c>
      <c r="I6481" s="34">
        <v>200</v>
      </c>
      <c r="J6481" s="49"/>
      <c r="K6481" s="10"/>
      <c r="L6481" s="10">
        <v>20201118</v>
      </c>
      <c r="M6481" s="36" t="str">
        <f t="shared" si="101"/>
        <v>19811219</v>
      </c>
    </row>
    <row r="6482" s="1" customFormat="1" spans="1:13">
      <c r="A6482" s="2">
        <v>5637</v>
      </c>
      <c r="B6482" s="30" t="s">
        <v>11090</v>
      </c>
      <c r="C6482" s="30" t="s">
        <v>11362</v>
      </c>
      <c r="D6482" s="30" t="s">
        <v>11363</v>
      </c>
      <c r="E6482" s="5" t="s">
        <v>15</v>
      </c>
      <c r="F6482" s="5" t="s">
        <v>10250</v>
      </c>
      <c r="G6482" s="6" t="s">
        <v>16</v>
      </c>
      <c r="H6482" s="32">
        <v>200</v>
      </c>
      <c r="I6482" s="32">
        <v>200</v>
      </c>
      <c r="J6482" s="6"/>
      <c r="K6482" s="48"/>
      <c r="L6482" s="10">
        <v>20201118</v>
      </c>
      <c r="M6482" s="36" t="str">
        <f t="shared" si="101"/>
        <v>19811219</v>
      </c>
    </row>
    <row r="6483" s="1" customFormat="1" spans="1:13">
      <c r="A6483" s="2">
        <v>1257</v>
      </c>
      <c r="B6483" s="5" t="s">
        <v>2469</v>
      </c>
      <c r="C6483" s="9" t="s">
        <v>3096</v>
      </c>
      <c r="D6483" s="9" t="s">
        <v>3097</v>
      </c>
      <c r="E6483" s="5">
        <v>2020</v>
      </c>
      <c r="F6483" s="5">
        <v>2020</v>
      </c>
      <c r="G6483" s="9" t="s">
        <v>2480</v>
      </c>
      <c r="H6483" s="9">
        <v>200</v>
      </c>
      <c r="I6483" s="9">
        <v>200</v>
      </c>
      <c r="J6483" s="5"/>
      <c r="K6483" s="5"/>
      <c r="L6483" s="10">
        <v>20201118</v>
      </c>
      <c r="M6483" s="36" t="str">
        <f t="shared" si="101"/>
        <v>19811223</v>
      </c>
    </row>
    <row r="6484" s="1" customFormat="1" spans="1:13">
      <c r="A6484" s="2">
        <v>4048</v>
      </c>
      <c r="B6484" s="5" t="s">
        <v>7412</v>
      </c>
      <c r="C6484" s="5" t="s">
        <v>8314</v>
      </c>
      <c r="D6484" s="5" t="s">
        <v>8315</v>
      </c>
      <c r="E6484" s="6">
        <v>2020</v>
      </c>
      <c r="F6484" s="6">
        <v>2020</v>
      </c>
      <c r="G6484" s="5" t="s">
        <v>3359</v>
      </c>
      <c r="H6484" s="5">
        <v>200</v>
      </c>
      <c r="I6484" s="5">
        <v>200</v>
      </c>
      <c r="J6484" s="5"/>
      <c r="K6484" s="5"/>
      <c r="L6484" s="10">
        <v>20201118</v>
      </c>
      <c r="M6484" s="36" t="str">
        <f t="shared" si="101"/>
        <v>19811225</v>
      </c>
    </row>
    <row r="6485" s="1" customFormat="1" spans="1:13">
      <c r="A6485" s="2">
        <v>4891</v>
      </c>
      <c r="B6485" s="6" t="s">
        <v>9015</v>
      </c>
      <c r="C6485" s="6" t="s">
        <v>582</v>
      </c>
      <c r="D6485" s="293" t="s">
        <v>9923</v>
      </c>
      <c r="E6485" s="6">
        <v>2020</v>
      </c>
      <c r="F6485" s="6">
        <v>2020</v>
      </c>
      <c r="G6485" s="6" t="s">
        <v>189</v>
      </c>
      <c r="H6485" s="6">
        <v>200</v>
      </c>
      <c r="I6485" s="6">
        <v>200</v>
      </c>
      <c r="J6485" s="6"/>
      <c r="K6485" s="6"/>
      <c r="L6485" s="10">
        <v>20201118</v>
      </c>
      <c r="M6485" s="36" t="str">
        <f t="shared" si="101"/>
        <v>19811226</v>
      </c>
    </row>
    <row r="6486" s="1" customFormat="1" ht="14.25" spans="1:13">
      <c r="A6486" s="2">
        <v>2871</v>
      </c>
      <c r="B6486" s="6" t="s">
        <v>6075</v>
      </c>
      <c r="C6486" s="25" t="s">
        <v>6271</v>
      </c>
      <c r="D6486" s="26" t="s">
        <v>6272</v>
      </c>
      <c r="E6486" s="5" t="s">
        <v>15</v>
      </c>
      <c r="F6486" s="5">
        <v>2020</v>
      </c>
      <c r="G6486" s="6" t="s">
        <v>16</v>
      </c>
      <c r="H6486" s="6">
        <v>200</v>
      </c>
      <c r="I6486" s="6">
        <v>200</v>
      </c>
      <c r="J6486" s="6"/>
      <c r="K6486" s="10"/>
      <c r="L6486" s="10">
        <v>20201118</v>
      </c>
      <c r="M6486" s="36" t="str">
        <f t="shared" si="101"/>
        <v>19811227</v>
      </c>
    </row>
    <row r="6487" s="1" customFormat="1" spans="1:13">
      <c r="A6487" s="2">
        <v>4359</v>
      </c>
      <c r="B6487" s="9" t="s">
        <v>8515</v>
      </c>
      <c r="C6487" s="9" t="s">
        <v>8908</v>
      </c>
      <c r="D6487" s="9" t="s">
        <v>8909</v>
      </c>
      <c r="E6487" s="5" t="s">
        <v>15</v>
      </c>
      <c r="F6487" s="5">
        <v>2020</v>
      </c>
      <c r="G6487" s="9" t="s">
        <v>2480</v>
      </c>
      <c r="H6487" s="9">
        <v>200</v>
      </c>
      <c r="I6487" s="9">
        <v>200</v>
      </c>
      <c r="J6487" s="9"/>
      <c r="K6487" s="9"/>
      <c r="L6487" s="10">
        <v>20201118</v>
      </c>
      <c r="M6487" s="36" t="str">
        <f t="shared" si="101"/>
        <v>19811228</v>
      </c>
    </row>
    <row r="6488" s="1" customFormat="1" spans="1:13">
      <c r="A6488" s="2">
        <v>3314</v>
      </c>
      <c r="B6488" s="5" t="s">
        <v>3375</v>
      </c>
      <c r="C6488" s="6" t="s">
        <v>7087</v>
      </c>
      <c r="D6488" s="6" t="s">
        <v>7088</v>
      </c>
      <c r="E6488" s="5" t="s">
        <v>15</v>
      </c>
      <c r="F6488" s="5">
        <v>2020</v>
      </c>
      <c r="G6488" s="14" t="s">
        <v>16</v>
      </c>
      <c r="H6488" s="17">
        <v>200</v>
      </c>
      <c r="I6488" s="17">
        <v>200</v>
      </c>
      <c r="J6488" s="6"/>
      <c r="K6488" s="10"/>
      <c r="L6488" s="10">
        <v>20201118</v>
      </c>
      <c r="M6488" s="36" t="str">
        <f t="shared" si="101"/>
        <v>19811229</v>
      </c>
    </row>
    <row r="6489" s="1" customFormat="1" spans="1:13">
      <c r="A6489" s="2">
        <v>3208</v>
      </c>
      <c r="B6489" s="3" t="s">
        <v>6671</v>
      </c>
      <c r="C6489" s="9" t="s">
        <v>4420</v>
      </c>
      <c r="D6489" s="9" t="s">
        <v>6924</v>
      </c>
      <c r="E6489" s="3" t="s">
        <v>15</v>
      </c>
      <c r="F6489" s="3" t="s">
        <v>15</v>
      </c>
      <c r="G6489" s="6" t="s">
        <v>3359</v>
      </c>
      <c r="H6489" s="9">
        <v>200</v>
      </c>
      <c r="I6489" s="9">
        <v>200</v>
      </c>
      <c r="J6489" s="6"/>
      <c r="K6489" s="5"/>
      <c r="L6489" s="10">
        <v>20201118</v>
      </c>
      <c r="M6489" s="36" t="str">
        <f t="shared" si="101"/>
        <v>19820102</v>
      </c>
    </row>
    <row r="6490" s="1" customFormat="1" spans="1:13">
      <c r="A6490" s="2">
        <v>4049</v>
      </c>
      <c r="B6490" s="5" t="s">
        <v>7412</v>
      </c>
      <c r="C6490" s="5" t="s">
        <v>8316</v>
      </c>
      <c r="D6490" s="5" t="s">
        <v>8317</v>
      </c>
      <c r="E6490" s="6">
        <v>2020</v>
      </c>
      <c r="F6490" s="6">
        <v>2020</v>
      </c>
      <c r="G6490" s="5" t="s">
        <v>3359</v>
      </c>
      <c r="H6490" s="5">
        <v>200</v>
      </c>
      <c r="I6490" s="5">
        <v>200</v>
      </c>
      <c r="J6490" s="5"/>
      <c r="K6490" s="5"/>
      <c r="L6490" s="10">
        <v>20201118</v>
      </c>
      <c r="M6490" s="36" t="str">
        <f t="shared" si="101"/>
        <v>19820102</v>
      </c>
    </row>
    <row r="6491" s="1" customFormat="1" spans="1:13">
      <c r="A6491" s="2">
        <v>3307</v>
      </c>
      <c r="B6491" s="5" t="s">
        <v>3375</v>
      </c>
      <c r="C6491" s="6" t="s">
        <v>5098</v>
      </c>
      <c r="D6491" s="6" t="str">
        <f>"152326198201036861"</f>
        <v>152326198201036861</v>
      </c>
      <c r="E6491" s="5" t="s">
        <v>15</v>
      </c>
      <c r="F6491" s="5">
        <v>2020</v>
      </c>
      <c r="G6491" s="14" t="s">
        <v>16</v>
      </c>
      <c r="H6491" s="17">
        <v>200</v>
      </c>
      <c r="I6491" s="17">
        <v>200</v>
      </c>
      <c r="J6491" s="6"/>
      <c r="K6491" s="10"/>
      <c r="L6491" s="10">
        <v>20201118</v>
      </c>
      <c r="M6491" s="36" t="str">
        <f t="shared" si="101"/>
        <v>19820103</v>
      </c>
    </row>
    <row r="6492" s="1" customFormat="1" ht="14.25" spans="1:13">
      <c r="A6492" s="2">
        <v>2133</v>
      </c>
      <c r="B6492" s="5" t="s">
        <v>4189</v>
      </c>
      <c r="C6492" s="17" t="s">
        <v>4816</v>
      </c>
      <c r="D6492" s="318" t="s">
        <v>4817</v>
      </c>
      <c r="E6492" s="5" t="s">
        <v>15</v>
      </c>
      <c r="F6492" s="5" t="s">
        <v>15</v>
      </c>
      <c r="G6492" s="5" t="s">
        <v>295</v>
      </c>
      <c r="H6492" s="6">
        <v>200</v>
      </c>
      <c r="I6492" s="6">
        <v>200</v>
      </c>
      <c r="J6492" s="6"/>
      <c r="K6492" s="10"/>
      <c r="L6492" s="10">
        <v>20201118</v>
      </c>
      <c r="M6492" s="36" t="str">
        <f t="shared" si="101"/>
        <v>19820106</v>
      </c>
    </row>
    <row r="6493" s="1" customFormat="1" spans="1:13">
      <c r="A6493" s="2">
        <v>6745</v>
      </c>
      <c r="B6493" s="5" t="s">
        <v>13027</v>
      </c>
      <c r="C6493" s="15" t="s">
        <v>13456</v>
      </c>
      <c r="D6493" s="15" t="s">
        <v>13457</v>
      </c>
      <c r="E6493" s="5">
        <v>2020</v>
      </c>
      <c r="F6493" s="5">
        <v>2020</v>
      </c>
      <c r="G6493" s="14" t="s">
        <v>16</v>
      </c>
      <c r="H6493" s="15">
        <v>200</v>
      </c>
      <c r="I6493" s="15">
        <v>200</v>
      </c>
      <c r="J6493" s="5"/>
      <c r="K6493" s="10"/>
      <c r="L6493" s="10">
        <v>20201118</v>
      </c>
      <c r="M6493" s="36" t="str">
        <f t="shared" si="101"/>
        <v>19820106</v>
      </c>
    </row>
    <row r="6494" s="1" customFormat="1" ht="14.25" spans="1:13">
      <c r="A6494" s="2">
        <v>5972</v>
      </c>
      <c r="B6494" s="30" t="s">
        <v>11090</v>
      </c>
      <c r="C6494" s="32" t="s">
        <v>11991</v>
      </c>
      <c r="D6494" s="12" t="s">
        <v>11992</v>
      </c>
      <c r="E6494" s="5" t="s">
        <v>15</v>
      </c>
      <c r="F6494" s="5" t="s">
        <v>10250</v>
      </c>
      <c r="G6494" s="6" t="s">
        <v>16</v>
      </c>
      <c r="H6494" s="32">
        <v>200</v>
      </c>
      <c r="I6494" s="32">
        <v>200</v>
      </c>
      <c r="J6494" s="6"/>
      <c r="K6494" s="48"/>
      <c r="L6494" s="10">
        <v>20201118</v>
      </c>
      <c r="M6494" s="36" t="str">
        <f t="shared" si="101"/>
        <v>19820112</v>
      </c>
    </row>
    <row r="6495" s="1" customFormat="1" spans="1:13">
      <c r="A6495" s="2">
        <v>466</v>
      </c>
      <c r="B6495" s="29" t="s">
        <v>1040</v>
      </c>
      <c r="C6495" s="29" t="s">
        <v>1208</v>
      </c>
      <c r="D6495" s="29" t="s">
        <v>1209</v>
      </c>
      <c r="E6495" s="30">
        <v>2020</v>
      </c>
      <c r="F6495" s="30">
        <v>2020</v>
      </c>
      <c r="G6495" s="29" t="s">
        <v>16</v>
      </c>
      <c r="H6495" s="29">
        <v>200</v>
      </c>
      <c r="I6495" s="29">
        <v>200</v>
      </c>
      <c r="J6495" s="29"/>
      <c r="K6495" s="47"/>
      <c r="L6495" s="2" t="s">
        <v>330</v>
      </c>
      <c r="M6495" s="36" t="str">
        <f t="shared" si="101"/>
        <v>19820113</v>
      </c>
    </row>
    <row r="6496" s="1" customFormat="1" spans="1:13">
      <c r="A6496" s="2">
        <v>4360</v>
      </c>
      <c r="B6496" s="9" t="s">
        <v>8515</v>
      </c>
      <c r="C6496" s="9" t="s">
        <v>8910</v>
      </c>
      <c r="D6496" s="9" t="s">
        <v>8911</v>
      </c>
      <c r="E6496" s="5" t="s">
        <v>15</v>
      </c>
      <c r="F6496" s="5">
        <v>2020</v>
      </c>
      <c r="G6496" s="9" t="s">
        <v>2480</v>
      </c>
      <c r="H6496" s="9">
        <v>200</v>
      </c>
      <c r="I6496" s="9">
        <v>200</v>
      </c>
      <c r="J6496" s="9"/>
      <c r="K6496" s="9"/>
      <c r="L6496" s="10">
        <v>20201118</v>
      </c>
      <c r="M6496" s="36" t="str">
        <f t="shared" si="101"/>
        <v>19820113</v>
      </c>
    </row>
    <row r="6497" s="1" customFormat="1" spans="1:13">
      <c r="A6497" s="2">
        <v>1727</v>
      </c>
      <c r="B6497" s="5" t="s">
        <v>3381</v>
      </c>
      <c r="C6497" s="9" t="s">
        <v>4014</v>
      </c>
      <c r="D6497" s="9" t="s">
        <v>4015</v>
      </c>
      <c r="E6497" s="5">
        <v>2020</v>
      </c>
      <c r="F6497" s="5">
        <v>2020</v>
      </c>
      <c r="G6497" s="14" t="s">
        <v>16</v>
      </c>
      <c r="H6497" s="6">
        <v>1000</v>
      </c>
      <c r="I6497" s="6">
        <v>1000</v>
      </c>
      <c r="J6497" s="5"/>
      <c r="K6497" s="13"/>
      <c r="L6497" s="10">
        <v>20201118</v>
      </c>
      <c r="M6497" s="36" t="str">
        <f t="shared" si="101"/>
        <v>19820114</v>
      </c>
    </row>
    <row r="6498" s="1" customFormat="1" ht="14.25" spans="1:13">
      <c r="A6498" s="2">
        <v>7657</v>
      </c>
      <c r="B6498" s="5" t="s">
        <v>14875</v>
      </c>
      <c r="C6498" s="51" t="s">
        <v>14898</v>
      </c>
      <c r="D6498" s="24" t="str">
        <f>"152326198201147123"</f>
        <v>152326198201147123</v>
      </c>
      <c r="E6498" s="6" t="s">
        <v>15</v>
      </c>
      <c r="F6498" s="6">
        <v>2020</v>
      </c>
      <c r="G6498" s="24" t="s">
        <v>14877</v>
      </c>
      <c r="H6498" s="6">
        <v>200</v>
      </c>
      <c r="I6498" s="6">
        <v>200</v>
      </c>
      <c r="J6498" s="6"/>
      <c r="K6498" s="10"/>
      <c r="L6498" s="10">
        <v>20201118</v>
      </c>
      <c r="M6498" s="36" t="str">
        <f t="shared" si="101"/>
        <v>19820114</v>
      </c>
    </row>
    <row r="6499" s="1" customFormat="1" spans="1:13">
      <c r="A6499" s="2">
        <v>6413</v>
      </c>
      <c r="B6499" s="5" t="s">
        <v>12263</v>
      </c>
      <c r="C6499" s="5" t="s">
        <v>12833</v>
      </c>
      <c r="D6499" s="5" t="s">
        <v>12834</v>
      </c>
      <c r="E6499" s="5" t="s">
        <v>10250</v>
      </c>
      <c r="F6499" s="5">
        <v>2020</v>
      </c>
      <c r="G6499" s="17" t="s">
        <v>3359</v>
      </c>
      <c r="H6499" s="5" t="s">
        <v>2295</v>
      </c>
      <c r="I6499" s="5">
        <v>500</v>
      </c>
      <c r="J6499" s="5"/>
      <c r="K6499" s="5"/>
      <c r="L6499" s="10">
        <v>20201118</v>
      </c>
      <c r="M6499" s="36" t="str">
        <f t="shared" si="101"/>
        <v>19820115</v>
      </c>
    </row>
    <row r="6500" s="1" customFormat="1" spans="1:13">
      <c r="A6500" s="2">
        <v>3308</v>
      </c>
      <c r="B6500" s="5" t="s">
        <v>3375</v>
      </c>
      <c r="C6500" s="6" t="s">
        <v>4457</v>
      </c>
      <c r="D6500" s="6" t="str">
        <f>"152326198201186878"</f>
        <v>152326198201186878</v>
      </c>
      <c r="E6500" s="5" t="s">
        <v>15</v>
      </c>
      <c r="F6500" s="5">
        <v>2020</v>
      </c>
      <c r="G6500" s="14" t="s">
        <v>16</v>
      </c>
      <c r="H6500" s="17">
        <v>200</v>
      </c>
      <c r="I6500" s="17">
        <v>200</v>
      </c>
      <c r="J6500" s="6"/>
      <c r="K6500" s="10"/>
      <c r="L6500" s="10">
        <v>20201118</v>
      </c>
      <c r="M6500" s="36" t="str">
        <f t="shared" si="101"/>
        <v>19820118</v>
      </c>
    </row>
    <row r="6501" s="1" customFormat="1" spans="1:13">
      <c r="A6501" s="2">
        <v>4050</v>
      </c>
      <c r="B6501" s="5" t="s">
        <v>7412</v>
      </c>
      <c r="C6501" s="5" t="s">
        <v>8318</v>
      </c>
      <c r="D6501" s="5" t="s">
        <v>8319</v>
      </c>
      <c r="E6501" s="6">
        <v>2020</v>
      </c>
      <c r="F6501" s="6">
        <v>2020</v>
      </c>
      <c r="G6501" s="5" t="s">
        <v>3359</v>
      </c>
      <c r="H6501" s="5">
        <v>200</v>
      </c>
      <c r="I6501" s="5">
        <v>200</v>
      </c>
      <c r="J6501" s="5"/>
      <c r="K6501" s="5"/>
      <c r="L6501" s="10">
        <v>20201118</v>
      </c>
      <c r="M6501" s="36" t="str">
        <f t="shared" si="101"/>
        <v>19820119</v>
      </c>
    </row>
    <row r="6502" s="1" customFormat="1" ht="14.25" spans="1:13">
      <c r="A6502" s="2">
        <v>5415</v>
      </c>
      <c r="B6502" s="33" t="s">
        <v>10535</v>
      </c>
      <c r="C6502" s="34" t="s">
        <v>10935</v>
      </c>
      <c r="D6502" s="34" t="s">
        <v>10936</v>
      </c>
      <c r="E6502" s="35">
        <v>2020</v>
      </c>
      <c r="F6502" s="35">
        <v>2020</v>
      </c>
      <c r="G6502" s="35" t="s">
        <v>16</v>
      </c>
      <c r="H6502" s="34">
        <v>200</v>
      </c>
      <c r="I6502" s="34">
        <v>200</v>
      </c>
      <c r="J6502" s="49"/>
      <c r="K6502" s="10"/>
      <c r="L6502" s="10">
        <v>20201118</v>
      </c>
      <c r="M6502" s="36" t="str">
        <f t="shared" si="101"/>
        <v>19820119</v>
      </c>
    </row>
    <row r="6503" s="1" customFormat="1" ht="14.25" spans="1:13">
      <c r="A6503" s="2">
        <v>2873</v>
      </c>
      <c r="B6503" s="6" t="s">
        <v>6075</v>
      </c>
      <c r="C6503" s="25" t="s">
        <v>6275</v>
      </c>
      <c r="D6503" s="26" t="s">
        <v>6276</v>
      </c>
      <c r="E6503" s="5" t="s">
        <v>15</v>
      </c>
      <c r="F6503" s="5">
        <v>2020</v>
      </c>
      <c r="G6503" s="6" t="s">
        <v>16</v>
      </c>
      <c r="H6503" s="6">
        <v>200</v>
      </c>
      <c r="I6503" s="6">
        <v>200</v>
      </c>
      <c r="J6503" s="6" t="s">
        <v>6097</v>
      </c>
      <c r="K6503" s="10"/>
      <c r="L6503" s="10">
        <v>20201118</v>
      </c>
      <c r="M6503" s="36" t="str">
        <f t="shared" si="101"/>
        <v>19820120</v>
      </c>
    </row>
    <row r="6504" s="1" customFormat="1" spans="1:13">
      <c r="A6504" s="2">
        <v>6746</v>
      </c>
      <c r="B6504" s="5" t="s">
        <v>13027</v>
      </c>
      <c r="C6504" s="15" t="s">
        <v>13458</v>
      </c>
      <c r="D6504" s="15" t="s">
        <v>13459</v>
      </c>
      <c r="E6504" s="5">
        <v>2020</v>
      </c>
      <c r="F6504" s="5">
        <v>2020</v>
      </c>
      <c r="G6504" s="14" t="s">
        <v>16</v>
      </c>
      <c r="H6504" s="15">
        <v>200</v>
      </c>
      <c r="I6504" s="15">
        <v>200</v>
      </c>
      <c r="J6504" s="5"/>
      <c r="K6504" s="10"/>
      <c r="L6504" s="10">
        <v>20201118</v>
      </c>
      <c r="M6504" s="36" t="str">
        <f t="shared" si="101"/>
        <v>19820120</v>
      </c>
    </row>
    <row r="6505" s="1" customFormat="1" spans="1:13">
      <c r="A6505" s="2">
        <v>2018</v>
      </c>
      <c r="B6505" s="5" t="s">
        <v>4189</v>
      </c>
      <c r="C6505" s="16" t="s">
        <v>4593</v>
      </c>
      <c r="D6505" s="16" t="s">
        <v>4594</v>
      </c>
      <c r="E6505" s="5" t="s">
        <v>15</v>
      </c>
      <c r="F6505" s="5" t="s">
        <v>15</v>
      </c>
      <c r="G6505" s="5" t="s">
        <v>3359</v>
      </c>
      <c r="H6505" s="16">
        <v>200</v>
      </c>
      <c r="I6505" s="16">
        <v>200</v>
      </c>
      <c r="J6505" s="5"/>
      <c r="K6505" s="10"/>
      <c r="L6505" s="10">
        <v>20201118</v>
      </c>
      <c r="M6505" s="36" t="str">
        <f t="shared" si="101"/>
        <v>19820125</v>
      </c>
    </row>
    <row r="6506" s="1" customFormat="1" spans="1:13">
      <c r="A6506" s="2">
        <v>6747</v>
      </c>
      <c r="B6506" s="5" t="s">
        <v>13027</v>
      </c>
      <c r="C6506" s="15" t="s">
        <v>13460</v>
      </c>
      <c r="D6506" s="15" t="s">
        <v>13461</v>
      </c>
      <c r="E6506" s="5">
        <v>2020</v>
      </c>
      <c r="F6506" s="5">
        <v>2020</v>
      </c>
      <c r="G6506" s="14" t="s">
        <v>16</v>
      </c>
      <c r="H6506" s="15">
        <v>200</v>
      </c>
      <c r="I6506" s="15">
        <v>200</v>
      </c>
      <c r="J6506" s="5"/>
      <c r="K6506" s="10"/>
      <c r="L6506" s="10">
        <v>20201118</v>
      </c>
      <c r="M6506" s="36" t="str">
        <f t="shared" si="101"/>
        <v>19820126</v>
      </c>
    </row>
    <row r="6507" s="1" customFormat="1" spans="1:13">
      <c r="A6507" s="2">
        <v>6820</v>
      </c>
      <c r="B6507" s="5" t="s">
        <v>13533</v>
      </c>
      <c r="C6507" s="32" t="s">
        <v>13572</v>
      </c>
      <c r="D6507" s="32" t="str">
        <f>"152326198201277112"</f>
        <v>152326198201277112</v>
      </c>
      <c r="E6507" s="5">
        <v>2020</v>
      </c>
      <c r="F6507" s="5">
        <v>2020</v>
      </c>
      <c r="G6507" s="9" t="s">
        <v>2480</v>
      </c>
      <c r="H6507" s="32">
        <v>200</v>
      </c>
      <c r="I6507" s="32">
        <v>200</v>
      </c>
      <c r="J6507" s="62"/>
      <c r="K6507" s="10"/>
      <c r="L6507" s="10">
        <v>20201118</v>
      </c>
      <c r="M6507" s="36" t="str">
        <f t="shared" si="101"/>
        <v>19820127</v>
      </c>
    </row>
    <row r="6508" s="1" customFormat="1" spans="1:13">
      <c r="A6508" s="2">
        <v>1728</v>
      </c>
      <c r="B6508" s="5" t="s">
        <v>3381</v>
      </c>
      <c r="C6508" s="9" t="s">
        <v>4016</v>
      </c>
      <c r="D6508" s="9" t="s">
        <v>4017</v>
      </c>
      <c r="E6508" s="5">
        <v>2020</v>
      </c>
      <c r="F6508" s="5">
        <v>2020</v>
      </c>
      <c r="G6508" s="14" t="s">
        <v>16</v>
      </c>
      <c r="H6508" s="6">
        <v>200</v>
      </c>
      <c r="I6508" s="6">
        <v>200</v>
      </c>
      <c r="J6508" s="5"/>
      <c r="K6508" s="13"/>
      <c r="L6508" s="10">
        <v>20201118</v>
      </c>
      <c r="M6508" s="36" t="str">
        <f t="shared" si="101"/>
        <v>19820129</v>
      </c>
    </row>
    <row r="6509" s="1" customFormat="1" spans="1:13">
      <c r="A6509" s="2">
        <v>7462</v>
      </c>
      <c r="B6509" s="5" t="s">
        <v>14402</v>
      </c>
      <c r="C6509" s="5" t="s">
        <v>14543</v>
      </c>
      <c r="D6509" s="5" t="s">
        <v>14544</v>
      </c>
      <c r="E6509" s="5">
        <v>2020</v>
      </c>
      <c r="F6509" s="5">
        <v>2020</v>
      </c>
      <c r="G6509" s="17" t="s">
        <v>16</v>
      </c>
      <c r="H6509" s="5">
        <v>200</v>
      </c>
      <c r="I6509" s="5">
        <v>200</v>
      </c>
      <c r="J6509" s="5"/>
      <c r="K6509" s="10"/>
      <c r="L6509" s="10">
        <v>20201118</v>
      </c>
      <c r="M6509" s="36" t="str">
        <f t="shared" si="101"/>
        <v>19820129</v>
      </c>
    </row>
    <row r="6510" s="1" customFormat="1" spans="1:13">
      <c r="A6510" s="2">
        <v>7880</v>
      </c>
      <c r="B6510" s="5" t="s">
        <v>15086</v>
      </c>
      <c r="C6510" s="6" t="s">
        <v>15153</v>
      </c>
      <c r="D6510" s="6" t="str">
        <f>"152326198201296882"</f>
        <v>152326198201296882</v>
      </c>
      <c r="E6510" s="5" t="s">
        <v>15</v>
      </c>
      <c r="F6510" s="5">
        <v>2020</v>
      </c>
      <c r="G6510" s="5" t="s">
        <v>16</v>
      </c>
      <c r="H6510" s="5">
        <v>500</v>
      </c>
      <c r="I6510" s="5">
        <v>500</v>
      </c>
      <c r="J6510" s="5"/>
      <c r="K6510" s="5"/>
      <c r="L6510" s="10">
        <v>20201118</v>
      </c>
      <c r="M6510" s="36" t="str">
        <f t="shared" si="101"/>
        <v>19820129</v>
      </c>
    </row>
    <row r="6511" s="1" customFormat="1" spans="1:13">
      <c r="A6511" s="2">
        <v>6274</v>
      </c>
      <c r="B6511" s="5" t="s">
        <v>12263</v>
      </c>
      <c r="C6511" s="5" t="s">
        <v>12570</v>
      </c>
      <c r="D6511" s="5" t="s">
        <v>12571</v>
      </c>
      <c r="E6511" s="5" t="s">
        <v>10250</v>
      </c>
      <c r="F6511" s="5">
        <v>2020</v>
      </c>
      <c r="G6511" s="17" t="s">
        <v>3359</v>
      </c>
      <c r="H6511" s="5">
        <v>200</v>
      </c>
      <c r="I6511" s="5">
        <v>200</v>
      </c>
      <c r="J6511" s="5"/>
      <c r="K6511" s="5"/>
      <c r="L6511" s="10">
        <v>20201118</v>
      </c>
      <c r="M6511" s="36" t="str">
        <f t="shared" si="101"/>
        <v>19820201</v>
      </c>
    </row>
    <row r="6512" s="1" customFormat="1" ht="14.25" spans="1:13">
      <c r="A6512" s="2">
        <v>7658</v>
      </c>
      <c r="B6512" s="5" t="s">
        <v>14875</v>
      </c>
      <c r="C6512" s="51" t="s">
        <v>6766</v>
      </c>
      <c r="D6512" s="24" t="s">
        <v>14899</v>
      </c>
      <c r="E6512" s="6" t="s">
        <v>15</v>
      </c>
      <c r="F6512" s="6">
        <v>2020</v>
      </c>
      <c r="G6512" s="24" t="s">
        <v>14877</v>
      </c>
      <c r="H6512" s="6">
        <v>200</v>
      </c>
      <c r="I6512" s="6">
        <v>200</v>
      </c>
      <c r="J6512" s="6"/>
      <c r="K6512" s="10"/>
      <c r="L6512" s="10">
        <v>20201118</v>
      </c>
      <c r="M6512" s="36" t="str">
        <f t="shared" si="101"/>
        <v>19820201</v>
      </c>
    </row>
    <row r="6513" s="1" customFormat="1" spans="1:13">
      <c r="A6513" s="2">
        <v>413</v>
      </c>
      <c r="B6513" s="29" t="s">
        <v>1040</v>
      </c>
      <c r="C6513" s="29" t="s">
        <v>1102</v>
      </c>
      <c r="D6513" s="29" t="s">
        <v>1103</v>
      </c>
      <c r="E6513" s="30">
        <v>2020</v>
      </c>
      <c r="F6513" s="30">
        <v>2020</v>
      </c>
      <c r="G6513" s="29" t="s">
        <v>16</v>
      </c>
      <c r="H6513" s="29">
        <v>200</v>
      </c>
      <c r="I6513" s="29">
        <v>200</v>
      </c>
      <c r="J6513" s="29"/>
      <c r="K6513" s="47"/>
      <c r="L6513" s="14" t="s">
        <v>330</v>
      </c>
      <c r="M6513" s="36" t="str">
        <f t="shared" si="101"/>
        <v>19820202</v>
      </c>
    </row>
    <row r="6514" s="1" customFormat="1" spans="1:13">
      <c r="A6514" s="2">
        <v>6208</v>
      </c>
      <c r="B6514" s="5" t="s">
        <v>12263</v>
      </c>
      <c r="C6514" s="5" t="s">
        <v>12444</v>
      </c>
      <c r="D6514" s="5" t="s">
        <v>12445</v>
      </c>
      <c r="E6514" s="5" t="s">
        <v>10250</v>
      </c>
      <c r="F6514" s="5">
        <v>2020</v>
      </c>
      <c r="G6514" s="17" t="s">
        <v>3359</v>
      </c>
      <c r="H6514" s="5">
        <v>200</v>
      </c>
      <c r="I6514" s="5">
        <v>200</v>
      </c>
      <c r="J6514" s="5"/>
      <c r="K6514" s="5"/>
      <c r="L6514" s="10">
        <v>20201118</v>
      </c>
      <c r="M6514" s="36" t="str">
        <f t="shared" si="101"/>
        <v>19820205</v>
      </c>
    </row>
    <row r="6515" s="1" customFormat="1" spans="1:13">
      <c r="A6515" s="2">
        <v>5195</v>
      </c>
      <c r="B6515" s="6" t="s">
        <v>10242</v>
      </c>
      <c r="C6515" s="9" t="s">
        <v>10511</v>
      </c>
      <c r="D6515" s="89" t="s">
        <v>10512</v>
      </c>
      <c r="E6515" s="5" t="s">
        <v>10250</v>
      </c>
      <c r="F6515" s="5">
        <v>2020</v>
      </c>
      <c r="G6515" s="6" t="s">
        <v>16</v>
      </c>
      <c r="H6515" s="6">
        <v>200</v>
      </c>
      <c r="I6515" s="6">
        <v>200</v>
      </c>
      <c r="J6515" s="6"/>
      <c r="K6515" s="5"/>
      <c r="L6515" s="10">
        <v>20201118</v>
      </c>
      <c r="M6515" s="36" t="str">
        <f t="shared" si="101"/>
        <v>19820207</v>
      </c>
    </row>
    <row r="6516" s="1" customFormat="1" spans="1:13">
      <c r="A6516" s="2">
        <v>2020</v>
      </c>
      <c r="B6516" s="5" t="s">
        <v>4189</v>
      </c>
      <c r="C6516" s="16" t="s">
        <v>4597</v>
      </c>
      <c r="D6516" s="16" t="s">
        <v>4598</v>
      </c>
      <c r="E6516" s="5" t="s">
        <v>15</v>
      </c>
      <c r="F6516" s="5" t="s">
        <v>15</v>
      </c>
      <c r="G6516" s="5" t="s">
        <v>3359</v>
      </c>
      <c r="H6516" s="16">
        <v>3000</v>
      </c>
      <c r="I6516" s="16">
        <v>3000</v>
      </c>
      <c r="J6516" s="5"/>
      <c r="K6516" s="10"/>
      <c r="L6516" s="10">
        <v>20201118</v>
      </c>
      <c r="M6516" s="36" t="str">
        <f t="shared" si="101"/>
        <v>19820208</v>
      </c>
    </row>
    <row r="6517" s="1" customFormat="1" spans="1:13">
      <c r="A6517" s="2">
        <v>7876</v>
      </c>
      <c r="B6517" s="5" t="s">
        <v>15086</v>
      </c>
      <c r="C6517" s="6" t="s">
        <v>15148</v>
      </c>
      <c r="D6517" s="6" t="str">
        <f>"152326198202106892"</f>
        <v>152326198202106892</v>
      </c>
      <c r="E6517" s="5" t="s">
        <v>15</v>
      </c>
      <c r="F6517" s="5">
        <v>2020</v>
      </c>
      <c r="G6517" s="5" t="s">
        <v>16</v>
      </c>
      <c r="H6517" s="5">
        <v>200</v>
      </c>
      <c r="I6517" s="5">
        <v>200</v>
      </c>
      <c r="J6517" s="5"/>
      <c r="K6517" s="5"/>
      <c r="L6517" s="10">
        <v>20201118</v>
      </c>
      <c r="M6517" s="36" t="str">
        <f t="shared" si="101"/>
        <v>19820210</v>
      </c>
    </row>
    <row r="6518" s="1" customFormat="1" spans="1:13">
      <c r="A6518" s="2">
        <v>2496</v>
      </c>
      <c r="B6518" s="5" t="s">
        <v>5328</v>
      </c>
      <c r="C6518" s="16" t="s">
        <v>5527</v>
      </c>
      <c r="D6518" s="16" t="s">
        <v>5528</v>
      </c>
      <c r="E6518" s="5" t="s">
        <v>15</v>
      </c>
      <c r="F6518" s="5" t="s">
        <v>15</v>
      </c>
      <c r="G6518" s="14" t="s">
        <v>16</v>
      </c>
      <c r="H6518" s="6">
        <v>200</v>
      </c>
      <c r="I6518" s="6">
        <v>200</v>
      </c>
      <c r="J6518" s="5"/>
      <c r="K6518" s="5"/>
      <c r="L6518" s="10">
        <v>20201118</v>
      </c>
      <c r="M6518" s="36" t="str">
        <f t="shared" si="101"/>
        <v>19820211</v>
      </c>
    </row>
    <row r="6519" s="1" customFormat="1" spans="1:13">
      <c r="A6519" s="2">
        <v>7458</v>
      </c>
      <c r="B6519" s="5" t="s">
        <v>14402</v>
      </c>
      <c r="C6519" s="5" t="s">
        <v>14536</v>
      </c>
      <c r="D6519" s="5" t="s">
        <v>14537</v>
      </c>
      <c r="E6519" s="5">
        <v>2020</v>
      </c>
      <c r="F6519" s="5">
        <v>2020</v>
      </c>
      <c r="G6519" s="17" t="s">
        <v>16</v>
      </c>
      <c r="H6519" s="5">
        <v>200</v>
      </c>
      <c r="I6519" s="5">
        <v>200</v>
      </c>
      <c r="J6519" s="5"/>
      <c r="K6519" s="10"/>
      <c r="L6519" s="10">
        <v>20201118</v>
      </c>
      <c r="M6519" s="36" t="str">
        <f t="shared" si="101"/>
        <v>19820211</v>
      </c>
    </row>
    <row r="6520" s="1" customFormat="1" spans="1:13">
      <c r="A6520" s="2">
        <v>7875</v>
      </c>
      <c r="B6520" s="5" t="s">
        <v>15086</v>
      </c>
      <c r="C6520" s="6" t="s">
        <v>15147</v>
      </c>
      <c r="D6520" s="6" t="str">
        <f>"152326198202116871"</f>
        <v>152326198202116871</v>
      </c>
      <c r="E6520" s="5" t="s">
        <v>15</v>
      </c>
      <c r="F6520" s="5">
        <v>2020</v>
      </c>
      <c r="G6520" s="5" t="s">
        <v>16</v>
      </c>
      <c r="H6520" s="5">
        <v>200</v>
      </c>
      <c r="I6520" s="5">
        <v>200</v>
      </c>
      <c r="J6520" s="5"/>
      <c r="K6520" s="5"/>
      <c r="L6520" s="10">
        <v>20201118</v>
      </c>
      <c r="M6520" s="36" t="str">
        <f t="shared" si="101"/>
        <v>19820211</v>
      </c>
    </row>
    <row r="6521" s="1" customFormat="1" spans="1:13">
      <c r="A6521" s="2">
        <v>1798</v>
      </c>
      <c r="B6521" s="5" t="s">
        <v>3381</v>
      </c>
      <c r="C6521" s="9" t="s">
        <v>4158</v>
      </c>
      <c r="D6521" s="9" t="s">
        <v>4159</v>
      </c>
      <c r="E6521" s="5">
        <v>2020</v>
      </c>
      <c r="F6521" s="5">
        <v>2020</v>
      </c>
      <c r="G6521" s="5" t="s">
        <v>189</v>
      </c>
      <c r="H6521" s="6">
        <v>200</v>
      </c>
      <c r="I6521" s="6">
        <v>200</v>
      </c>
      <c r="J6521" s="5"/>
      <c r="K6521" s="13"/>
      <c r="L6521" s="10">
        <v>20201118</v>
      </c>
      <c r="M6521" s="36" t="str">
        <f t="shared" si="101"/>
        <v>19820212</v>
      </c>
    </row>
    <row r="6522" s="1" customFormat="1" spans="1:13">
      <c r="A6522" s="2">
        <v>7360</v>
      </c>
      <c r="B6522" s="5" t="s">
        <v>13908</v>
      </c>
      <c r="C6522" s="5" t="s">
        <v>14349</v>
      </c>
      <c r="D6522" s="5" t="s">
        <v>14350</v>
      </c>
      <c r="E6522" s="5" t="s">
        <v>15</v>
      </c>
      <c r="F6522" s="5" t="s">
        <v>15</v>
      </c>
      <c r="G6522" s="14" t="s">
        <v>16</v>
      </c>
      <c r="H6522" s="17">
        <v>200</v>
      </c>
      <c r="I6522" s="17">
        <v>200</v>
      </c>
      <c r="J6522" s="5"/>
      <c r="K6522" s="10"/>
      <c r="L6522" s="10">
        <v>20201118</v>
      </c>
      <c r="M6522" s="36" t="str">
        <f t="shared" si="101"/>
        <v>19820212</v>
      </c>
    </row>
    <row r="6523" s="1" customFormat="1" spans="1:13">
      <c r="A6523" s="2">
        <v>5867</v>
      </c>
      <c r="B6523" s="30" t="s">
        <v>11090</v>
      </c>
      <c r="C6523" s="30" t="s">
        <v>11792</v>
      </c>
      <c r="D6523" s="30" t="s">
        <v>11793</v>
      </c>
      <c r="E6523" s="5" t="s">
        <v>15</v>
      </c>
      <c r="F6523" s="5" t="s">
        <v>10250</v>
      </c>
      <c r="G6523" s="6" t="s">
        <v>16</v>
      </c>
      <c r="H6523" s="32">
        <v>200</v>
      </c>
      <c r="I6523" s="32">
        <v>200</v>
      </c>
      <c r="J6523" s="6"/>
      <c r="K6523" s="48"/>
      <c r="L6523" s="10">
        <v>20201118</v>
      </c>
      <c r="M6523" s="36" t="str">
        <f t="shared" si="101"/>
        <v>19820213</v>
      </c>
    </row>
    <row r="6524" s="1" customFormat="1" spans="1:13">
      <c r="A6524" s="2">
        <v>2706</v>
      </c>
      <c r="B6524" s="32" t="s">
        <v>5602</v>
      </c>
      <c r="C6524" s="9" t="s">
        <v>2587</v>
      </c>
      <c r="D6524" s="9" t="s">
        <v>5943</v>
      </c>
      <c r="E6524" s="32">
        <v>2020</v>
      </c>
      <c r="F6524" s="32">
        <v>2020</v>
      </c>
      <c r="G6524" s="32" t="s">
        <v>16</v>
      </c>
      <c r="H6524" s="9">
        <v>200</v>
      </c>
      <c r="I6524" s="9">
        <v>200</v>
      </c>
      <c r="J6524" s="32"/>
      <c r="K6524" s="52"/>
      <c r="L6524" s="10">
        <v>20201118</v>
      </c>
      <c r="M6524" s="36" t="str">
        <f t="shared" si="101"/>
        <v>19820216</v>
      </c>
    </row>
    <row r="6525" s="1" customFormat="1" spans="1:13">
      <c r="A6525" s="2">
        <v>1258</v>
      </c>
      <c r="B6525" s="5" t="s">
        <v>2469</v>
      </c>
      <c r="C6525" s="9" t="s">
        <v>3098</v>
      </c>
      <c r="D6525" s="9" t="s">
        <v>3099</v>
      </c>
      <c r="E6525" s="5">
        <v>2020</v>
      </c>
      <c r="F6525" s="5">
        <v>2020</v>
      </c>
      <c r="G6525" s="9" t="s">
        <v>2480</v>
      </c>
      <c r="H6525" s="9">
        <v>200</v>
      </c>
      <c r="I6525" s="9">
        <v>200</v>
      </c>
      <c r="J6525" s="5"/>
      <c r="K6525" s="5"/>
      <c r="L6525" s="10">
        <v>20201118</v>
      </c>
      <c r="M6525" s="36" t="str">
        <f t="shared" si="101"/>
        <v>19820217</v>
      </c>
    </row>
    <row r="6526" s="1" customFormat="1" spans="1:13">
      <c r="A6526" s="2">
        <v>1259</v>
      </c>
      <c r="B6526" s="5" t="s">
        <v>2469</v>
      </c>
      <c r="C6526" s="9" t="s">
        <v>3100</v>
      </c>
      <c r="D6526" s="9" t="s">
        <v>3101</v>
      </c>
      <c r="E6526" s="5">
        <v>2020</v>
      </c>
      <c r="F6526" s="5">
        <v>2020</v>
      </c>
      <c r="G6526" s="9" t="s">
        <v>2480</v>
      </c>
      <c r="H6526" s="9">
        <v>200</v>
      </c>
      <c r="I6526" s="9">
        <v>200</v>
      </c>
      <c r="J6526" s="5"/>
      <c r="K6526" s="5"/>
      <c r="L6526" s="10">
        <v>20201118</v>
      </c>
      <c r="M6526" s="36" t="str">
        <f t="shared" si="101"/>
        <v>19820217</v>
      </c>
    </row>
    <row r="6527" s="1" customFormat="1" spans="1:13">
      <c r="A6527" s="2">
        <v>7457</v>
      </c>
      <c r="B6527" s="5" t="s">
        <v>14402</v>
      </c>
      <c r="C6527" s="5" t="s">
        <v>14534</v>
      </c>
      <c r="D6527" s="5" t="s">
        <v>14535</v>
      </c>
      <c r="E6527" s="5">
        <v>2020</v>
      </c>
      <c r="F6527" s="5">
        <v>2020</v>
      </c>
      <c r="G6527" s="17" t="s">
        <v>16</v>
      </c>
      <c r="H6527" s="5">
        <v>200</v>
      </c>
      <c r="I6527" s="5">
        <v>200</v>
      </c>
      <c r="J6527" s="5"/>
      <c r="K6527" s="10"/>
      <c r="L6527" s="10">
        <v>20201118</v>
      </c>
      <c r="M6527" s="36" t="str">
        <f t="shared" si="101"/>
        <v>19820218</v>
      </c>
    </row>
    <row r="6528" s="1" customFormat="1" spans="1:13">
      <c r="A6528" s="2">
        <v>6190</v>
      </c>
      <c r="B6528" s="5" t="s">
        <v>12263</v>
      </c>
      <c r="C6528" s="5" t="s">
        <v>12409</v>
      </c>
      <c r="D6528" s="5" t="s">
        <v>12410</v>
      </c>
      <c r="E6528" s="5" t="s">
        <v>10250</v>
      </c>
      <c r="F6528" s="5">
        <v>2020</v>
      </c>
      <c r="G6528" s="17" t="s">
        <v>3359</v>
      </c>
      <c r="H6528" s="5">
        <v>500</v>
      </c>
      <c r="I6528" s="5">
        <v>500</v>
      </c>
      <c r="J6528" s="5"/>
      <c r="K6528" s="5"/>
      <c r="L6528" s="10">
        <v>20201118</v>
      </c>
      <c r="M6528" s="36" t="str">
        <f t="shared" si="101"/>
        <v>19820219</v>
      </c>
    </row>
    <row r="6529" s="1" customFormat="1" spans="1:13">
      <c r="A6529" s="2">
        <v>6822</v>
      </c>
      <c r="B6529" s="5" t="s">
        <v>13533</v>
      </c>
      <c r="C6529" s="32" t="s">
        <v>13574</v>
      </c>
      <c r="D6529" s="32" t="str">
        <f>"152326198202197114"</f>
        <v>152326198202197114</v>
      </c>
      <c r="E6529" s="5">
        <v>2020</v>
      </c>
      <c r="F6529" s="5">
        <v>2020</v>
      </c>
      <c r="G6529" s="9" t="s">
        <v>2480</v>
      </c>
      <c r="H6529" s="32">
        <v>200</v>
      </c>
      <c r="I6529" s="32">
        <v>200</v>
      </c>
      <c r="J6529" s="62"/>
      <c r="K6529" s="10"/>
      <c r="L6529" s="10">
        <v>20201118</v>
      </c>
      <c r="M6529" s="36" t="str">
        <f t="shared" si="101"/>
        <v>19820219</v>
      </c>
    </row>
    <row r="6530" s="1" customFormat="1" spans="1:13">
      <c r="A6530" s="2">
        <v>7454</v>
      </c>
      <c r="B6530" s="5" t="s">
        <v>14402</v>
      </c>
      <c r="C6530" s="5" t="s">
        <v>14529</v>
      </c>
      <c r="D6530" s="5" t="s">
        <v>14530</v>
      </c>
      <c r="E6530" s="5">
        <v>2020</v>
      </c>
      <c r="F6530" s="5">
        <v>2020</v>
      </c>
      <c r="G6530" s="17" t="s">
        <v>16</v>
      </c>
      <c r="H6530" s="5">
        <v>200</v>
      </c>
      <c r="I6530" s="5">
        <v>200</v>
      </c>
      <c r="J6530" s="5"/>
      <c r="K6530" s="10"/>
      <c r="L6530" s="10">
        <v>20201118</v>
      </c>
      <c r="M6530" s="36" t="str">
        <f t="shared" ref="M6530:M6593" si="102">MID(D6530,7,8)</f>
        <v>19820219</v>
      </c>
    </row>
    <row r="6531" s="1" customFormat="1" spans="1:13">
      <c r="A6531" s="2">
        <v>676</v>
      </c>
      <c r="B6531" s="29" t="s">
        <v>1040</v>
      </c>
      <c r="C6531" s="47" t="s">
        <v>1680</v>
      </c>
      <c r="D6531" s="47" t="s">
        <v>1681</v>
      </c>
      <c r="E6531" s="30">
        <v>2020</v>
      </c>
      <c r="F6531" s="30">
        <v>2020</v>
      </c>
      <c r="G6531" s="29" t="s">
        <v>16</v>
      </c>
      <c r="H6531" s="29">
        <v>200</v>
      </c>
      <c r="I6531" s="29">
        <v>200</v>
      </c>
      <c r="J6531" s="29"/>
      <c r="K6531" s="54"/>
      <c r="L6531" s="2" t="s">
        <v>330</v>
      </c>
      <c r="M6531" s="36" t="str">
        <f t="shared" si="102"/>
        <v>19820220</v>
      </c>
    </row>
    <row r="6532" s="1" customFormat="1" spans="1:13">
      <c r="A6532" s="2">
        <v>714</v>
      </c>
      <c r="B6532" s="29" t="s">
        <v>1040</v>
      </c>
      <c r="C6532" s="5" t="s">
        <v>1793</v>
      </c>
      <c r="D6532" s="317" t="s">
        <v>1794</v>
      </c>
      <c r="E6532" s="30">
        <v>2020</v>
      </c>
      <c r="F6532" s="30">
        <v>2020</v>
      </c>
      <c r="G6532" s="29" t="s">
        <v>16</v>
      </c>
      <c r="H6532" s="29">
        <v>200</v>
      </c>
      <c r="I6532" s="29">
        <v>200</v>
      </c>
      <c r="J6532" s="29"/>
      <c r="K6532" s="54"/>
      <c r="L6532" s="2" t="s">
        <v>330</v>
      </c>
      <c r="M6532" s="36" t="str">
        <f t="shared" si="102"/>
        <v>19820220</v>
      </c>
    </row>
    <row r="6533" s="1" customFormat="1" spans="1:13">
      <c r="A6533" s="2">
        <v>2330</v>
      </c>
      <c r="B6533" s="9" t="s">
        <v>4837</v>
      </c>
      <c r="C6533" s="9" t="s">
        <v>5199</v>
      </c>
      <c r="D6533" s="9" t="s">
        <v>5200</v>
      </c>
      <c r="E6533" s="6" t="s">
        <v>15</v>
      </c>
      <c r="F6533" s="6">
        <v>2020</v>
      </c>
      <c r="G6533" s="9" t="s">
        <v>2480</v>
      </c>
      <c r="H6533" s="9">
        <v>200</v>
      </c>
      <c r="I6533" s="9">
        <v>200</v>
      </c>
      <c r="J6533" s="6"/>
      <c r="K6533" s="10"/>
      <c r="L6533" s="10">
        <v>20201118</v>
      </c>
      <c r="M6533" s="36" t="str">
        <f t="shared" si="102"/>
        <v>19820220</v>
      </c>
    </row>
    <row r="6534" s="1" customFormat="1" spans="1:13">
      <c r="A6534" s="2">
        <v>4361</v>
      </c>
      <c r="B6534" s="9" t="s">
        <v>8515</v>
      </c>
      <c r="C6534" s="9" t="s">
        <v>8912</v>
      </c>
      <c r="D6534" s="9" t="s">
        <v>8913</v>
      </c>
      <c r="E6534" s="5" t="s">
        <v>15</v>
      </c>
      <c r="F6534" s="5">
        <v>2020</v>
      </c>
      <c r="G6534" s="9" t="s">
        <v>2480</v>
      </c>
      <c r="H6534" s="9">
        <v>200</v>
      </c>
      <c r="I6534" s="9">
        <v>200</v>
      </c>
      <c r="J6534" s="9"/>
      <c r="K6534" s="9"/>
      <c r="L6534" s="10">
        <v>20201118</v>
      </c>
      <c r="M6534" s="36" t="str">
        <f t="shared" si="102"/>
        <v>19820220</v>
      </c>
    </row>
    <row r="6535" s="1" customFormat="1" spans="1:13">
      <c r="A6535" s="2">
        <v>8133</v>
      </c>
      <c r="B6535" s="5" t="s">
        <v>15406</v>
      </c>
      <c r="C6535" s="6" t="s">
        <v>15459</v>
      </c>
      <c r="D6535" s="6" t="s">
        <v>15460</v>
      </c>
      <c r="E6535" s="5" t="s">
        <v>15</v>
      </c>
      <c r="F6535" s="5">
        <v>2020</v>
      </c>
      <c r="G6535" s="14" t="s">
        <v>16</v>
      </c>
      <c r="H6535" s="6">
        <v>200</v>
      </c>
      <c r="I6535" s="6">
        <v>200</v>
      </c>
      <c r="J6535" s="5"/>
      <c r="K6535" s="10"/>
      <c r="L6535" s="10">
        <v>20201118</v>
      </c>
      <c r="M6535" s="36" t="str">
        <f t="shared" si="102"/>
        <v>19820220</v>
      </c>
    </row>
    <row r="6536" s="1" customFormat="1" spans="1:13">
      <c r="A6536" s="2">
        <v>1260</v>
      </c>
      <c r="B6536" s="5" t="s">
        <v>2469</v>
      </c>
      <c r="C6536" s="9" t="s">
        <v>3102</v>
      </c>
      <c r="D6536" s="9" t="s">
        <v>3103</v>
      </c>
      <c r="E6536" s="5">
        <v>2020</v>
      </c>
      <c r="F6536" s="5">
        <v>2020</v>
      </c>
      <c r="G6536" s="9" t="s">
        <v>2480</v>
      </c>
      <c r="H6536" s="9">
        <v>200</v>
      </c>
      <c r="I6536" s="9">
        <v>200</v>
      </c>
      <c r="J6536" s="5"/>
      <c r="K6536" s="5"/>
      <c r="L6536" s="10">
        <v>20201118</v>
      </c>
      <c r="M6536" s="36" t="str">
        <f t="shared" si="102"/>
        <v>19820221</v>
      </c>
    </row>
    <row r="6537" s="1" customFormat="1" ht="14.25" spans="1:13">
      <c r="A6537" s="2">
        <v>2995</v>
      </c>
      <c r="B6537" s="6" t="s">
        <v>6075</v>
      </c>
      <c r="C6537" s="25" t="s">
        <v>6515</v>
      </c>
      <c r="D6537" s="26" t="s">
        <v>6516</v>
      </c>
      <c r="E6537" s="5" t="s">
        <v>15</v>
      </c>
      <c r="F6537" s="5">
        <v>2020</v>
      </c>
      <c r="G6537" s="6" t="s">
        <v>16</v>
      </c>
      <c r="H6537" s="6">
        <v>200</v>
      </c>
      <c r="I6537" s="6">
        <v>200</v>
      </c>
      <c r="J6537" s="6"/>
      <c r="K6537" s="10"/>
      <c r="L6537" s="10">
        <v>20201118</v>
      </c>
      <c r="M6537" s="36" t="str">
        <f t="shared" si="102"/>
        <v>19820223</v>
      </c>
    </row>
    <row r="6538" s="1" customFormat="1" spans="1:13">
      <c r="A6538" s="2">
        <v>517</v>
      </c>
      <c r="B6538" s="29" t="s">
        <v>1040</v>
      </c>
      <c r="C6538" s="29" t="s">
        <v>1311</v>
      </c>
      <c r="D6538" s="29" t="s">
        <v>1312</v>
      </c>
      <c r="E6538" s="30">
        <v>2020</v>
      </c>
      <c r="F6538" s="30">
        <v>2020</v>
      </c>
      <c r="G6538" s="29" t="s">
        <v>16</v>
      </c>
      <c r="H6538" s="29">
        <v>200</v>
      </c>
      <c r="I6538" s="29">
        <v>200</v>
      </c>
      <c r="J6538" s="29"/>
      <c r="K6538" s="47"/>
      <c r="L6538" s="14" t="s">
        <v>330</v>
      </c>
      <c r="M6538" s="36" t="str">
        <f t="shared" si="102"/>
        <v>19820225</v>
      </c>
    </row>
    <row r="6539" s="1" customFormat="1" spans="1:13">
      <c r="A6539" s="2">
        <v>2331</v>
      </c>
      <c r="B6539" s="9" t="s">
        <v>4837</v>
      </c>
      <c r="C6539" s="9" t="s">
        <v>5201</v>
      </c>
      <c r="D6539" s="9" t="s">
        <v>5202</v>
      </c>
      <c r="E6539" s="6" t="s">
        <v>15</v>
      </c>
      <c r="F6539" s="6">
        <v>2020</v>
      </c>
      <c r="G6539" s="9" t="s">
        <v>2480</v>
      </c>
      <c r="H6539" s="9">
        <v>200</v>
      </c>
      <c r="I6539" s="9">
        <v>200</v>
      </c>
      <c r="J6539" s="6"/>
      <c r="K6539" s="10"/>
      <c r="L6539" s="10">
        <v>20201118</v>
      </c>
      <c r="M6539" s="36" t="str">
        <f t="shared" si="102"/>
        <v>19820227</v>
      </c>
    </row>
    <row r="6540" s="1" customFormat="1" spans="1:13">
      <c r="A6540" s="2">
        <v>2021</v>
      </c>
      <c r="B6540" s="5" t="s">
        <v>4189</v>
      </c>
      <c r="C6540" s="16" t="s">
        <v>4599</v>
      </c>
      <c r="D6540" s="16" t="s">
        <v>4600</v>
      </c>
      <c r="E6540" s="5" t="s">
        <v>15</v>
      </c>
      <c r="F6540" s="5" t="s">
        <v>15</v>
      </c>
      <c r="G6540" s="5" t="s">
        <v>3359</v>
      </c>
      <c r="H6540" s="16">
        <v>500</v>
      </c>
      <c r="I6540" s="16">
        <v>500</v>
      </c>
      <c r="J6540" s="5"/>
      <c r="K6540" s="10"/>
      <c r="L6540" s="10">
        <v>20201118</v>
      </c>
      <c r="M6540" s="36" t="str">
        <f t="shared" si="102"/>
        <v>19820228</v>
      </c>
    </row>
    <row r="6541" s="1" customFormat="1" spans="1:13">
      <c r="A6541" s="2">
        <v>7629</v>
      </c>
      <c r="B6541" s="5" t="s">
        <v>14402</v>
      </c>
      <c r="C6541" s="5" t="s">
        <v>14855</v>
      </c>
      <c r="D6541" s="5" t="s">
        <v>14856</v>
      </c>
      <c r="E6541" s="5">
        <v>2020</v>
      </c>
      <c r="F6541" s="5">
        <v>2020</v>
      </c>
      <c r="G6541" s="17" t="s">
        <v>16</v>
      </c>
      <c r="H6541" s="5">
        <v>200</v>
      </c>
      <c r="I6541" s="5">
        <v>200</v>
      </c>
      <c r="J6541" s="5"/>
      <c r="K6541" s="10"/>
      <c r="L6541" s="10">
        <v>20201118</v>
      </c>
      <c r="M6541" s="36" t="str">
        <f t="shared" si="102"/>
        <v>19820228</v>
      </c>
    </row>
    <row r="6542" s="1" customFormat="1" spans="1:13">
      <c r="A6542" s="2">
        <v>7460</v>
      </c>
      <c r="B6542" s="5" t="s">
        <v>14402</v>
      </c>
      <c r="C6542" s="5" t="s">
        <v>14539</v>
      </c>
      <c r="D6542" s="5" t="s">
        <v>14540</v>
      </c>
      <c r="E6542" s="5">
        <v>2020</v>
      </c>
      <c r="F6542" s="5">
        <v>2020</v>
      </c>
      <c r="G6542" s="17" t="s">
        <v>16</v>
      </c>
      <c r="H6542" s="5">
        <v>200</v>
      </c>
      <c r="I6542" s="5">
        <v>200</v>
      </c>
      <c r="J6542" s="5"/>
      <c r="K6542" s="10"/>
      <c r="L6542" s="10">
        <v>20201118</v>
      </c>
      <c r="M6542" s="36" t="str">
        <f t="shared" si="102"/>
        <v>19820302</v>
      </c>
    </row>
    <row r="6543" s="1" customFormat="1" spans="1:13">
      <c r="A6543" s="2">
        <v>3124</v>
      </c>
      <c r="B6543" s="3" t="s">
        <v>6671</v>
      </c>
      <c r="C6543" s="9" t="s">
        <v>6769</v>
      </c>
      <c r="D6543" s="9" t="s">
        <v>6770</v>
      </c>
      <c r="E6543" s="3" t="s">
        <v>15</v>
      </c>
      <c r="F6543" s="3" t="s">
        <v>15</v>
      </c>
      <c r="G6543" s="6" t="s">
        <v>3359</v>
      </c>
      <c r="H6543" s="9">
        <v>200</v>
      </c>
      <c r="I6543" s="9">
        <v>200</v>
      </c>
      <c r="J6543" s="6"/>
      <c r="K6543" s="5"/>
      <c r="L6543" s="10">
        <v>20201118</v>
      </c>
      <c r="M6543" s="36" t="str">
        <f t="shared" si="102"/>
        <v>19820303</v>
      </c>
    </row>
    <row r="6544" s="1" customFormat="1" spans="1:13">
      <c r="A6544" s="2">
        <v>6821</v>
      </c>
      <c r="B6544" s="5" t="s">
        <v>13533</v>
      </c>
      <c r="C6544" s="32" t="s">
        <v>13573</v>
      </c>
      <c r="D6544" s="32" t="str">
        <f>"152326198203047118"</f>
        <v>152326198203047118</v>
      </c>
      <c r="E6544" s="5">
        <v>2020</v>
      </c>
      <c r="F6544" s="5">
        <v>2020</v>
      </c>
      <c r="G6544" s="9" t="s">
        <v>2480</v>
      </c>
      <c r="H6544" s="32">
        <v>200</v>
      </c>
      <c r="I6544" s="32">
        <v>200</v>
      </c>
      <c r="J6544" s="32"/>
      <c r="K6544" s="10"/>
      <c r="L6544" s="10">
        <v>20201118</v>
      </c>
      <c r="M6544" s="36" t="str">
        <f t="shared" si="102"/>
        <v>19820304</v>
      </c>
    </row>
    <row r="6545" s="1" customFormat="1" spans="1:13">
      <c r="A6545" s="2">
        <v>137</v>
      </c>
      <c r="B6545" s="3" t="s">
        <v>12</v>
      </c>
      <c r="C6545" s="3" t="s">
        <v>293</v>
      </c>
      <c r="D6545" s="3" t="s">
        <v>294</v>
      </c>
      <c r="E6545" s="3" t="s">
        <v>15</v>
      </c>
      <c r="F6545" s="3" t="s">
        <v>15</v>
      </c>
      <c r="G6545" s="3" t="s">
        <v>295</v>
      </c>
      <c r="H6545" s="3">
        <v>500</v>
      </c>
      <c r="I6545" s="3">
        <v>500</v>
      </c>
      <c r="J6545" s="3"/>
      <c r="K6545" s="3"/>
      <c r="L6545" s="10">
        <v>20201118</v>
      </c>
      <c r="M6545" s="36" t="str">
        <f t="shared" si="102"/>
        <v>19820308</v>
      </c>
    </row>
    <row r="6546" s="1" customFormat="1" spans="1:13">
      <c r="A6546" s="2">
        <v>4051</v>
      </c>
      <c r="B6546" s="5" t="s">
        <v>7412</v>
      </c>
      <c r="C6546" s="5" t="s">
        <v>8320</v>
      </c>
      <c r="D6546" s="5" t="s">
        <v>8321</v>
      </c>
      <c r="E6546" s="6">
        <v>2020</v>
      </c>
      <c r="F6546" s="6">
        <v>2020</v>
      </c>
      <c r="G6546" s="5" t="s">
        <v>3359</v>
      </c>
      <c r="H6546" s="5">
        <v>500</v>
      </c>
      <c r="I6546" s="5">
        <v>500</v>
      </c>
      <c r="J6546" s="5"/>
      <c r="K6546" s="5"/>
      <c r="L6546" s="10">
        <v>20201118</v>
      </c>
      <c r="M6546" s="36" t="str">
        <f t="shared" si="102"/>
        <v>19820308</v>
      </c>
    </row>
    <row r="6547" s="1" customFormat="1" spans="1:13">
      <c r="A6547" s="2">
        <v>7873</v>
      </c>
      <c r="B6547" s="5" t="s">
        <v>15086</v>
      </c>
      <c r="C6547" s="6" t="s">
        <v>15145</v>
      </c>
      <c r="D6547" s="6" t="str">
        <f>"152326198203096913"</f>
        <v>152326198203096913</v>
      </c>
      <c r="E6547" s="5" t="s">
        <v>15</v>
      </c>
      <c r="F6547" s="5">
        <v>2020</v>
      </c>
      <c r="G6547" s="5" t="s">
        <v>16</v>
      </c>
      <c r="H6547" s="5">
        <v>200</v>
      </c>
      <c r="I6547" s="5">
        <v>200</v>
      </c>
      <c r="J6547" s="5"/>
      <c r="K6547" s="5"/>
      <c r="L6547" s="10">
        <v>20201118</v>
      </c>
      <c r="M6547" s="36" t="str">
        <f t="shared" si="102"/>
        <v>19820309</v>
      </c>
    </row>
    <row r="6548" s="1" customFormat="1" spans="1:13">
      <c r="A6548" s="2">
        <v>4865</v>
      </c>
      <c r="B6548" s="6" t="s">
        <v>9015</v>
      </c>
      <c r="C6548" s="6" t="s">
        <v>9873</v>
      </c>
      <c r="D6548" s="293" t="s">
        <v>9874</v>
      </c>
      <c r="E6548" s="6">
        <v>2020</v>
      </c>
      <c r="F6548" s="6">
        <v>2020</v>
      </c>
      <c r="G6548" s="6" t="s">
        <v>16</v>
      </c>
      <c r="H6548" s="6">
        <v>200</v>
      </c>
      <c r="I6548" s="6">
        <v>200</v>
      </c>
      <c r="J6548" s="6"/>
      <c r="K6548" s="6"/>
      <c r="L6548" s="10">
        <v>20201118</v>
      </c>
      <c r="M6548" s="36" t="str">
        <f t="shared" si="102"/>
        <v>19820310</v>
      </c>
    </row>
    <row r="6549" s="1" customFormat="1" spans="1:13">
      <c r="A6549" s="2">
        <v>1261</v>
      </c>
      <c r="B6549" s="5" t="s">
        <v>2469</v>
      </c>
      <c r="C6549" s="9" t="s">
        <v>3104</v>
      </c>
      <c r="D6549" s="9" t="s">
        <v>3105</v>
      </c>
      <c r="E6549" s="5">
        <v>2020</v>
      </c>
      <c r="F6549" s="5">
        <v>2020</v>
      </c>
      <c r="G6549" s="9" t="s">
        <v>2480</v>
      </c>
      <c r="H6549" s="9">
        <v>200</v>
      </c>
      <c r="I6549" s="9">
        <v>200</v>
      </c>
      <c r="J6549" s="5"/>
      <c r="K6549" s="5"/>
      <c r="L6549" s="10">
        <v>20201118</v>
      </c>
      <c r="M6549" s="36" t="str">
        <f t="shared" si="102"/>
        <v>19820311</v>
      </c>
    </row>
    <row r="6550" s="1" customFormat="1" spans="1:13">
      <c r="A6550" s="2">
        <v>5927</v>
      </c>
      <c r="B6550" s="30" t="s">
        <v>11090</v>
      </c>
      <c r="C6550" s="6" t="s">
        <v>11903</v>
      </c>
      <c r="D6550" s="6" t="s">
        <v>11904</v>
      </c>
      <c r="E6550" s="5" t="s">
        <v>15</v>
      </c>
      <c r="F6550" s="5" t="s">
        <v>10250</v>
      </c>
      <c r="G6550" s="6" t="s">
        <v>16</v>
      </c>
      <c r="H6550" s="32">
        <v>500</v>
      </c>
      <c r="I6550" s="32">
        <v>500</v>
      </c>
      <c r="J6550" s="6"/>
      <c r="K6550" s="48"/>
      <c r="L6550" s="10">
        <v>20201118</v>
      </c>
      <c r="M6550" s="36" t="str">
        <f t="shared" si="102"/>
        <v>19820312</v>
      </c>
    </row>
    <row r="6551" s="1" customFormat="1" ht="14.25" spans="1:13">
      <c r="A6551" s="2">
        <v>2821</v>
      </c>
      <c r="B6551" s="6" t="s">
        <v>6075</v>
      </c>
      <c r="C6551" s="25" t="s">
        <v>6169</v>
      </c>
      <c r="D6551" s="26" t="s">
        <v>6170</v>
      </c>
      <c r="E6551" s="5" t="s">
        <v>15</v>
      </c>
      <c r="F6551" s="5">
        <v>2020</v>
      </c>
      <c r="G6551" s="6" t="s">
        <v>16</v>
      </c>
      <c r="H6551" s="6">
        <v>200</v>
      </c>
      <c r="I6551" s="6">
        <v>200</v>
      </c>
      <c r="J6551" s="6" t="s">
        <v>6097</v>
      </c>
      <c r="K6551" s="10"/>
      <c r="L6551" s="10">
        <v>20201118</v>
      </c>
      <c r="M6551" s="36" t="str">
        <f t="shared" si="102"/>
        <v>19820314</v>
      </c>
    </row>
    <row r="6552" s="1" customFormat="1" spans="1:13">
      <c r="A6552" s="2">
        <v>4052</v>
      </c>
      <c r="B6552" s="5" t="s">
        <v>7412</v>
      </c>
      <c r="C6552" s="5" t="s">
        <v>8322</v>
      </c>
      <c r="D6552" s="5" t="s">
        <v>8323</v>
      </c>
      <c r="E6552" s="6">
        <v>2020</v>
      </c>
      <c r="F6552" s="6">
        <v>2020</v>
      </c>
      <c r="G6552" s="5" t="s">
        <v>3359</v>
      </c>
      <c r="H6552" s="5">
        <v>200</v>
      </c>
      <c r="I6552" s="5">
        <v>200</v>
      </c>
      <c r="J6552" s="5"/>
      <c r="K6552" s="5"/>
      <c r="L6552" s="10">
        <v>20201118</v>
      </c>
      <c r="M6552" s="36" t="str">
        <f t="shared" si="102"/>
        <v>19820314</v>
      </c>
    </row>
    <row r="6553" s="1" customFormat="1" spans="1:13">
      <c r="A6553" s="2">
        <v>4649</v>
      </c>
      <c r="B6553" s="6" t="s">
        <v>9015</v>
      </c>
      <c r="C6553" s="6" t="s">
        <v>9462</v>
      </c>
      <c r="D6553" s="6" t="s">
        <v>9463</v>
      </c>
      <c r="E6553" s="6">
        <v>2020</v>
      </c>
      <c r="F6553" s="6">
        <v>2020</v>
      </c>
      <c r="G6553" s="6" t="s">
        <v>16</v>
      </c>
      <c r="H6553" s="6">
        <v>200</v>
      </c>
      <c r="I6553" s="6">
        <v>200</v>
      </c>
      <c r="J6553" s="6"/>
      <c r="K6553" s="6"/>
      <c r="L6553" s="10">
        <v>20201118</v>
      </c>
      <c r="M6553" s="36" t="str">
        <f t="shared" si="102"/>
        <v>19820314</v>
      </c>
    </row>
    <row r="6554" s="1" customFormat="1" spans="1:13">
      <c r="A6554" s="2">
        <v>5986</v>
      </c>
      <c r="B6554" s="30" t="s">
        <v>11090</v>
      </c>
      <c r="C6554" s="32" t="s">
        <v>12018</v>
      </c>
      <c r="D6554" s="3" t="s">
        <v>12019</v>
      </c>
      <c r="E6554" s="5" t="s">
        <v>15</v>
      </c>
      <c r="F6554" s="5" t="s">
        <v>10250</v>
      </c>
      <c r="G6554" s="6" t="s">
        <v>16</v>
      </c>
      <c r="H6554" s="32">
        <v>200</v>
      </c>
      <c r="I6554" s="32">
        <v>200</v>
      </c>
      <c r="J6554" s="5"/>
      <c r="K6554" s="48"/>
      <c r="L6554" s="10">
        <v>20201118</v>
      </c>
      <c r="M6554" s="36" t="str">
        <f t="shared" si="102"/>
        <v>19820314</v>
      </c>
    </row>
    <row r="6555" s="1" customFormat="1" spans="1:13">
      <c r="A6555" s="2">
        <v>4053</v>
      </c>
      <c r="B6555" s="5" t="s">
        <v>7412</v>
      </c>
      <c r="C6555" s="5" t="s">
        <v>8324</v>
      </c>
      <c r="D6555" s="5" t="s">
        <v>8325</v>
      </c>
      <c r="E6555" s="6">
        <v>2020</v>
      </c>
      <c r="F6555" s="6">
        <v>2020</v>
      </c>
      <c r="G6555" s="5" t="s">
        <v>3359</v>
      </c>
      <c r="H6555" s="5">
        <v>200</v>
      </c>
      <c r="I6555" s="5">
        <v>200</v>
      </c>
      <c r="J6555" s="5"/>
      <c r="K6555" s="5"/>
      <c r="L6555" s="10">
        <v>20201118</v>
      </c>
      <c r="M6555" s="36" t="str">
        <f t="shared" si="102"/>
        <v>19820320</v>
      </c>
    </row>
    <row r="6556" s="1" customFormat="1" spans="1:13">
      <c r="A6556" s="2">
        <v>4054</v>
      </c>
      <c r="B6556" s="5" t="s">
        <v>7412</v>
      </c>
      <c r="C6556" s="5" t="s">
        <v>8326</v>
      </c>
      <c r="D6556" s="5" t="s">
        <v>8327</v>
      </c>
      <c r="E6556" s="6">
        <v>2020</v>
      </c>
      <c r="F6556" s="6">
        <v>2020</v>
      </c>
      <c r="G6556" s="5" t="s">
        <v>3359</v>
      </c>
      <c r="H6556" s="5">
        <v>200</v>
      </c>
      <c r="I6556" s="5">
        <v>200</v>
      </c>
      <c r="J6556" s="5"/>
      <c r="K6556" s="5"/>
      <c r="L6556" s="10">
        <v>20201118</v>
      </c>
      <c r="M6556" s="36" t="str">
        <f t="shared" si="102"/>
        <v>19820321</v>
      </c>
    </row>
    <row r="6557" s="1" customFormat="1" spans="1:13">
      <c r="A6557" s="2">
        <v>1262</v>
      </c>
      <c r="B6557" s="5" t="s">
        <v>2469</v>
      </c>
      <c r="C6557" s="9" t="s">
        <v>3106</v>
      </c>
      <c r="D6557" s="9" t="s">
        <v>3107</v>
      </c>
      <c r="E6557" s="5">
        <v>2020</v>
      </c>
      <c r="F6557" s="5">
        <v>2020</v>
      </c>
      <c r="G6557" s="9" t="s">
        <v>2480</v>
      </c>
      <c r="H6557" s="9">
        <v>200</v>
      </c>
      <c r="I6557" s="9">
        <v>200</v>
      </c>
      <c r="J6557" s="5"/>
      <c r="K6557" s="5"/>
      <c r="L6557" s="10">
        <v>20201118</v>
      </c>
      <c r="M6557" s="36" t="str">
        <f t="shared" si="102"/>
        <v>19820322</v>
      </c>
    </row>
    <row r="6558" s="1" customFormat="1" spans="1:13">
      <c r="A6558" s="2">
        <v>4438</v>
      </c>
      <c r="B6558" s="6" t="s">
        <v>9015</v>
      </c>
      <c r="C6558" s="6" t="s">
        <v>9063</v>
      </c>
      <c r="D6558" s="6" t="s">
        <v>9064</v>
      </c>
      <c r="E6558" s="6">
        <v>2020</v>
      </c>
      <c r="F6558" s="6">
        <v>2020</v>
      </c>
      <c r="G6558" s="6" t="s">
        <v>16</v>
      </c>
      <c r="H6558" s="6">
        <v>200</v>
      </c>
      <c r="I6558" s="6">
        <v>200</v>
      </c>
      <c r="J6558" s="6"/>
      <c r="K6558" s="6"/>
      <c r="L6558" s="10">
        <v>20201118</v>
      </c>
      <c r="M6558" s="36" t="str">
        <f t="shared" si="102"/>
        <v>19820322</v>
      </c>
    </row>
    <row r="6559" s="1" customFormat="1" spans="1:13">
      <c r="A6559" s="2">
        <v>523</v>
      </c>
      <c r="B6559" s="29" t="s">
        <v>1040</v>
      </c>
      <c r="C6559" s="29" t="s">
        <v>1323</v>
      </c>
      <c r="D6559" s="29" t="s">
        <v>1324</v>
      </c>
      <c r="E6559" s="30">
        <v>2020</v>
      </c>
      <c r="F6559" s="30">
        <v>2020</v>
      </c>
      <c r="G6559" s="29" t="s">
        <v>16</v>
      </c>
      <c r="H6559" s="29">
        <v>200</v>
      </c>
      <c r="I6559" s="29">
        <v>200</v>
      </c>
      <c r="J6559" s="29"/>
      <c r="K6559" s="47"/>
      <c r="L6559" s="14" t="s">
        <v>330</v>
      </c>
      <c r="M6559" s="36" t="str">
        <f t="shared" si="102"/>
        <v>19820323</v>
      </c>
    </row>
    <row r="6560" s="1" customFormat="1" spans="1:13">
      <c r="A6560" s="2">
        <v>6819</v>
      </c>
      <c r="B6560" s="5" t="s">
        <v>13533</v>
      </c>
      <c r="C6560" s="32" t="s">
        <v>13571</v>
      </c>
      <c r="D6560" s="32" t="str">
        <f>"152321198203244224"</f>
        <v>152321198203244224</v>
      </c>
      <c r="E6560" s="5">
        <v>2020</v>
      </c>
      <c r="F6560" s="5">
        <v>2020</v>
      </c>
      <c r="G6560" s="9" t="s">
        <v>2480</v>
      </c>
      <c r="H6560" s="32">
        <v>200</v>
      </c>
      <c r="I6560" s="32">
        <v>200</v>
      </c>
      <c r="J6560" s="62"/>
      <c r="K6560" s="10"/>
      <c r="L6560" s="10">
        <v>20201118</v>
      </c>
      <c r="M6560" s="36" t="str">
        <f t="shared" si="102"/>
        <v>19820324</v>
      </c>
    </row>
    <row r="6561" s="1" customFormat="1" spans="1:13">
      <c r="A6561" s="2">
        <v>3305</v>
      </c>
      <c r="B6561" s="5" t="s">
        <v>3375</v>
      </c>
      <c r="C6561" s="6" t="s">
        <v>7078</v>
      </c>
      <c r="D6561" s="6" t="str">
        <f>"152326198203266898"</f>
        <v>152326198203266898</v>
      </c>
      <c r="E6561" s="5" t="s">
        <v>15</v>
      </c>
      <c r="F6561" s="5">
        <v>2020</v>
      </c>
      <c r="G6561" s="14" t="s">
        <v>16</v>
      </c>
      <c r="H6561" s="17">
        <v>200</v>
      </c>
      <c r="I6561" s="17">
        <v>200</v>
      </c>
      <c r="J6561" s="6"/>
      <c r="K6561" s="10"/>
      <c r="L6561" s="10">
        <v>20201118</v>
      </c>
      <c r="M6561" s="36" t="str">
        <f t="shared" si="102"/>
        <v>19820326</v>
      </c>
    </row>
    <row r="6562" s="1" customFormat="1" spans="1:13">
      <c r="A6562" s="2">
        <v>6460</v>
      </c>
      <c r="B6562" s="5" t="s">
        <v>12263</v>
      </c>
      <c r="C6562" s="5" t="s">
        <v>12923</v>
      </c>
      <c r="D6562" s="5" t="s">
        <v>12924</v>
      </c>
      <c r="E6562" s="5" t="s">
        <v>10250</v>
      </c>
      <c r="F6562" s="5">
        <v>2020</v>
      </c>
      <c r="G6562" s="17" t="s">
        <v>3359</v>
      </c>
      <c r="H6562" s="5">
        <v>200</v>
      </c>
      <c r="I6562" s="5">
        <v>200</v>
      </c>
      <c r="J6562" s="5"/>
      <c r="K6562" s="5"/>
      <c r="L6562" s="10">
        <v>20201118</v>
      </c>
      <c r="M6562" s="36" t="str">
        <f t="shared" si="102"/>
        <v>19820327</v>
      </c>
    </row>
    <row r="6563" s="1" customFormat="1" spans="1:13">
      <c r="A6563" s="2">
        <v>1263</v>
      </c>
      <c r="B6563" s="5" t="s">
        <v>2469</v>
      </c>
      <c r="C6563" s="9" t="s">
        <v>3108</v>
      </c>
      <c r="D6563" s="9" t="s">
        <v>3109</v>
      </c>
      <c r="E6563" s="5">
        <v>2020</v>
      </c>
      <c r="F6563" s="5">
        <v>2020</v>
      </c>
      <c r="G6563" s="9" t="s">
        <v>2480</v>
      </c>
      <c r="H6563" s="9">
        <v>200</v>
      </c>
      <c r="I6563" s="9">
        <v>200</v>
      </c>
      <c r="J6563" s="5"/>
      <c r="K6563" s="5"/>
      <c r="L6563" s="10">
        <v>20201118</v>
      </c>
      <c r="M6563" s="36" t="str">
        <f t="shared" si="102"/>
        <v>19820402</v>
      </c>
    </row>
    <row r="6564" s="1" customFormat="1" spans="1:13">
      <c r="A6564" s="2">
        <v>2780</v>
      </c>
      <c r="B6564" s="6" t="s">
        <v>6075</v>
      </c>
      <c r="C6564" s="63" t="s">
        <v>6090</v>
      </c>
      <c r="D6564" s="63" t="s">
        <v>6091</v>
      </c>
      <c r="E6564" s="5" t="s">
        <v>15</v>
      </c>
      <c r="F6564" s="5">
        <v>2020</v>
      </c>
      <c r="G6564" s="6" t="s">
        <v>16</v>
      </c>
      <c r="H6564" s="6">
        <v>200</v>
      </c>
      <c r="I6564" s="6">
        <v>200</v>
      </c>
      <c r="J6564" s="6"/>
      <c r="K6564" s="10"/>
      <c r="L6564" s="10">
        <v>20201118</v>
      </c>
      <c r="M6564" s="36" t="str">
        <f t="shared" si="102"/>
        <v>19820404</v>
      </c>
    </row>
    <row r="6565" s="1" customFormat="1" spans="1:13">
      <c r="A6565" s="2">
        <v>3306</v>
      </c>
      <c r="B6565" s="5" t="s">
        <v>3375</v>
      </c>
      <c r="C6565" s="6" t="s">
        <v>7079</v>
      </c>
      <c r="D6565" s="6" t="str">
        <f>"152326198204046889"</f>
        <v>152326198204046889</v>
      </c>
      <c r="E6565" s="5" t="s">
        <v>15</v>
      </c>
      <c r="F6565" s="5">
        <v>2020</v>
      </c>
      <c r="G6565" s="14" t="s">
        <v>16</v>
      </c>
      <c r="H6565" s="17">
        <v>200</v>
      </c>
      <c r="I6565" s="17">
        <v>200</v>
      </c>
      <c r="J6565" s="6"/>
      <c r="K6565" s="10"/>
      <c r="L6565" s="10">
        <v>20201118</v>
      </c>
      <c r="M6565" s="36" t="str">
        <f t="shared" si="102"/>
        <v>19820404</v>
      </c>
    </row>
    <row r="6566" s="1" customFormat="1" spans="1:13">
      <c r="A6566" s="2">
        <v>2497</v>
      </c>
      <c r="B6566" s="5" t="s">
        <v>5328</v>
      </c>
      <c r="C6566" s="16" t="s">
        <v>5529</v>
      </c>
      <c r="D6566" s="16" t="s">
        <v>5530</v>
      </c>
      <c r="E6566" s="5" t="s">
        <v>15</v>
      </c>
      <c r="F6566" s="5" t="s">
        <v>15</v>
      </c>
      <c r="G6566" s="14" t="s">
        <v>16</v>
      </c>
      <c r="H6566" s="6">
        <v>200</v>
      </c>
      <c r="I6566" s="6">
        <v>200</v>
      </c>
      <c r="J6566" s="5"/>
      <c r="K6566" s="5"/>
      <c r="L6566" s="10">
        <v>20201118</v>
      </c>
      <c r="M6566" s="36" t="str">
        <f t="shared" si="102"/>
        <v>19820406</v>
      </c>
    </row>
    <row r="6567" s="1" customFormat="1" spans="1:13">
      <c r="A6567" s="2">
        <v>2332</v>
      </c>
      <c r="B6567" s="9" t="s">
        <v>4837</v>
      </c>
      <c r="C6567" s="9" t="s">
        <v>5203</v>
      </c>
      <c r="D6567" s="9" t="s">
        <v>5204</v>
      </c>
      <c r="E6567" s="6" t="s">
        <v>15</v>
      </c>
      <c r="F6567" s="6">
        <v>2020</v>
      </c>
      <c r="G6567" s="9" t="s">
        <v>2480</v>
      </c>
      <c r="H6567" s="9">
        <v>200</v>
      </c>
      <c r="I6567" s="9">
        <v>200</v>
      </c>
      <c r="J6567" s="6"/>
      <c r="K6567" s="10"/>
      <c r="L6567" s="10">
        <v>20201118</v>
      </c>
      <c r="M6567" s="36" t="str">
        <f t="shared" si="102"/>
        <v>19820407</v>
      </c>
    </row>
    <row r="6568" s="1" customFormat="1" spans="1:13">
      <c r="A6568" s="2">
        <v>7365</v>
      </c>
      <c r="B6568" s="5" t="s">
        <v>13908</v>
      </c>
      <c r="C6568" s="5" t="s">
        <v>14357</v>
      </c>
      <c r="D6568" s="5" t="s">
        <v>14358</v>
      </c>
      <c r="E6568" s="5" t="s">
        <v>15</v>
      </c>
      <c r="F6568" s="5" t="s">
        <v>15</v>
      </c>
      <c r="G6568" s="14" t="s">
        <v>16</v>
      </c>
      <c r="H6568" s="17">
        <v>200</v>
      </c>
      <c r="I6568" s="17">
        <v>200</v>
      </c>
      <c r="J6568" s="5"/>
      <c r="K6568" s="10"/>
      <c r="L6568" s="10">
        <v>20201118</v>
      </c>
      <c r="M6568" s="36" t="str">
        <f t="shared" si="102"/>
        <v>19820407</v>
      </c>
    </row>
    <row r="6569" s="1" customFormat="1" spans="1:13">
      <c r="A6569" s="2">
        <v>4362</v>
      </c>
      <c r="B6569" s="9" t="s">
        <v>8515</v>
      </c>
      <c r="C6569" s="9" t="s">
        <v>8914</v>
      </c>
      <c r="D6569" s="9" t="s">
        <v>8915</v>
      </c>
      <c r="E6569" s="5" t="s">
        <v>15</v>
      </c>
      <c r="F6569" s="5">
        <v>2020</v>
      </c>
      <c r="G6569" s="9" t="s">
        <v>2480</v>
      </c>
      <c r="H6569" s="9">
        <v>500</v>
      </c>
      <c r="I6569" s="9">
        <v>500</v>
      </c>
      <c r="J6569" s="9"/>
      <c r="K6569" s="9"/>
      <c r="L6569" s="10">
        <v>20201118</v>
      </c>
      <c r="M6569" s="36" t="str">
        <f t="shared" si="102"/>
        <v>19820410</v>
      </c>
    </row>
    <row r="6570" s="1" customFormat="1" spans="1:13">
      <c r="A6570" s="2">
        <v>6748</v>
      </c>
      <c r="B6570" s="5" t="s">
        <v>13027</v>
      </c>
      <c r="C6570" s="15" t="s">
        <v>13462</v>
      </c>
      <c r="D6570" s="15" t="s">
        <v>13463</v>
      </c>
      <c r="E6570" s="5">
        <v>2020</v>
      </c>
      <c r="F6570" s="5">
        <v>2020</v>
      </c>
      <c r="G6570" s="14" t="s">
        <v>16</v>
      </c>
      <c r="H6570" s="15">
        <v>200</v>
      </c>
      <c r="I6570" s="15">
        <v>200</v>
      </c>
      <c r="J6570" s="5"/>
      <c r="K6570" s="10"/>
      <c r="L6570" s="10">
        <v>20201118</v>
      </c>
      <c r="M6570" s="36" t="str">
        <f t="shared" si="102"/>
        <v>19820410</v>
      </c>
    </row>
    <row r="6571" s="1" customFormat="1" spans="1:13">
      <c r="A6571" s="2">
        <v>6824</v>
      </c>
      <c r="B6571" s="5" t="s">
        <v>13533</v>
      </c>
      <c r="C6571" s="32" t="s">
        <v>13576</v>
      </c>
      <c r="D6571" s="32" t="str">
        <f>"152326198204137123"</f>
        <v>152326198204137123</v>
      </c>
      <c r="E6571" s="5">
        <v>2020</v>
      </c>
      <c r="F6571" s="5">
        <v>2020</v>
      </c>
      <c r="G6571" s="9" t="s">
        <v>2480</v>
      </c>
      <c r="H6571" s="32">
        <v>200</v>
      </c>
      <c r="I6571" s="32">
        <v>200</v>
      </c>
      <c r="J6571" s="62"/>
      <c r="K6571" s="10"/>
      <c r="L6571" s="10">
        <v>20201118</v>
      </c>
      <c r="M6571" s="36" t="str">
        <f t="shared" si="102"/>
        <v>19820413</v>
      </c>
    </row>
    <row r="6572" s="1" customFormat="1" spans="1:13">
      <c r="A6572" s="2">
        <v>2023</v>
      </c>
      <c r="B6572" s="5" t="s">
        <v>4189</v>
      </c>
      <c r="C6572" s="16" t="s">
        <v>4603</v>
      </c>
      <c r="D6572" s="16" t="s">
        <v>4604</v>
      </c>
      <c r="E6572" s="5" t="s">
        <v>15</v>
      </c>
      <c r="F6572" s="5" t="s">
        <v>15</v>
      </c>
      <c r="G6572" s="5" t="s">
        <v>3359</v>
      </c>
      <c r="H6572" s="16">
        <v>200</v>
      </c>
      <c r="I6572" s="16">
        <v>200</v>
      </c>
      <c r="J6572" s="5"/>
      <c r="K6572" s="10"/>
      <c r="L6572" s="10">
        <v>20201118</v>
      </c>
      <c r="M6572" s="36" t="str">
        <f t="shared" si="102"/>
        <v>19820414</v>
      </c>
    </row>
    <row r="6573" s="1" customFormat="1" spans="1:13">
      <c r="A6573" s="2">
        <v>7456</v>
      </c>
      <c r="B6573" s="5" t="s">
        <v>14402</v>
      </c>
      <c r="C6573" s="5" t="s">
        <v>11838</v>
      </c>
      <c r="D6573" s="5" t="s">
        <v>14533</v>
      </c>
      <c r="E6573" s="5">
        <v>2020</v>
      </c>
      <c r="F6573" s="5">
        <v>2020</v>
      </c>
      <c r="G6573" s="17" t="s">
        <v>16</v>
      </c>
      <c r="H6573" s="5">
        <v>200</v>
      </c>
      <c r="I6573" s="5">
        <v>200</v>
      </c>
      <c r="J6573" s="5"/>
      <c r="K6573" s="10"/>
      <c r="L6573" s="10">
        <v>20201118</v>
      </c>
      <c r="M6573" s="36" t="str">
        <f t="shared" si="102"/>
        <v>19820414</v>
      </c>
    </row>
    <row r="6574" s="1" customFormat="1" spans="1:13">
      <c r="A6574" s="2">
        <v>661</v>
      </c>
      <c r="B6574" s="29" t="s">
        <v>1040</v>
      </c>
      <c r="C6574" s="47" t="s">
        <v>1636</v>
      </c>
      <c r="D6574" s="47" t="s">
        <v>1637</v>
      </c>
      <c r="E6574" s="30">
        <v>2020</v>
      </c>
      <c r="F6574" s="30">
        <v>2020</v>
      </c>
      <c r="G6574" s="29" t="s">
        <v>16</v>
      </c>
      <c r="H6574" s="29">
        <v>200</v>
      </c>
      <c r="I6574" s="29">
        <v>200</v>
      </c>
      <c r="J6574" s="29"/>
      <c r="K6574" s="47"/>
      <c r="L6574" s="14" t="s">
        <v>330</v>
      </c>
      <c r="M6574" s="36" t="str">
        <f t="shared" si="102"/>
        <v>19820415</v>
      </c>
    </row>
    <row r="6575" s="1" customFormat="1" spans="1:13">
      <c r="A6575" s="2">
        <v>7878</v>
      </c>
      <c r="B6575" s="5" t="s">
        <v>15086</v>
      </c>
      <c r="C6575" s="6" t="s">
        <v>15151</v>
      </c>
      <c r="D6575" s="6" t="str">
        <f>"152326198204156893"</f>
        <v>152326198204156893</v>
      </c>
      <c r="E6575" s="5" t="s">
        <v>15</v>
      </c>
      <c r="F6575" s="5">
        <v>2020</v>
      </c>
      <c r="G6575" s="5" t="s">
        <v>16</v>
      </c>
      <c r="H6575" s="5">
        <v>200</v>
      </c>
      <c r="I6575" s="5">
        <v>200</v>
      </c>
      <c r="J6575" s="5"/>
      <c r="K6575" s="5"/>
      <c r="L6575" s="10">
        <v>20201118</v>
      </c>
      <c r="M6575" s="36" t="str">
        <f t="shared" si="102"/>
        <v>19820415</v>
      </c>
    </row>
    <row r="6576" s="1" customFormat="1" spans="1:13">
      <c r="A6576" s="2">
        <v>2498</v>
      </c>
      <c r="B6576" s="5" t="s">
        <v>5328</v>
      </c>
      <c r="C6576" s="16" t="s">
        <v>5531</v>
      </c>
      <c r="D6576" s="16" t="s">
        <v>5532</v>
      </c>
      <c r="E6576" s="5" t="s">
        <v>15</v>
      </c>
      <c r="F6576" s="5" t="s">
        <v>15</v>
      </c>
      <c r="G6576" s="14" t="s">
        <v>16</v>
      </c>
      <c r="H6576" s="6">
        <v>200</v>
      </c>
      <c r="I6576" s="6">
        <v>200</v>
      </c>
      <c r="J6576" s="5"/>
      <c r="K6576" s="5"/>
      <c r="L6576" s="10">
        <v>20201118</v>
      </c>
      <c r="M6576" s="36" t="str">
        <f t="shared" si="102"/>
        <v>19820417</v>
      </c>
    </row>
    <row r="6577" s="1" customFormat="1" spans="1:13">
      <c r="A6577" s="2">
        <v>4055</v>
      </c>
      <c r="B6577" s="5" t="s">
        <v>7412</v>
      </c>
      <c r="C6577" s="5" t="s">
        <v>8328</v>
      </c>
      <c r="D6577" s="5" t="s">
        <v>8329</v>
      </c>
      <c r="E6577" s="6">
        <v>2020</v>
      </c>
      <c r="F6577" s="6">
        <v>2020</v>
      </c>
      <c r="G6577" s="5" t="s">
        <v>3359</v>
      </c>
      <c r="H6577" s="5">
        <v>500</v>
      </c>
      <c r="I6577" s="5">
        <v>500</v>
      </c>
      <c r="J6577" s="5"/>
      <c r="K6577" s="5"/>
      <c r="L6577" s="10">
        <v>20201118</v>
      </c>
      <c r="M6577" s="36" t="str">
        <f t="shared" si="102"/>
        <v>19820418</v>
      </c>
    </row>
    <row r="6578" s="1" customFormat="1" spans="1:13">
      <c r="A6578" s="2">
        <v>6749</v>
      </c>
      <c r="B6578" s="5" t="s">
        <v>13027</v>
      </c>
      <c r="C6578" s="15" t="s">
        <v>13464</v>
      </c>
      <c r="D6578" s="15" t="s">
        <v>13465</v>
      </c>
      <c r="E6578" s="5">
        <v>2020</v>
      </c>
      <c r="F6578" s="5">
        <v>2020</v>
      </c>
      <c r="G6578" s="14" t="s">
        <v>16</v>
      </c>
      <c r="H6578" s="15">
        <v>200</v>
      </c>
      <c r="I6578" s="15">
        <v>200</v>
      </c>
      <c r="J6578" s="5"/>
      <c r="K6578" s="10"/>
      <c r="L6578" s="10">
        <v>20201118</v>
      </c>
      <c r="M6578" s="36" t="str">
        <f t="shared" si="102"/>
        <v>19820418</v>
      </c>
    </row>
    <row r="6579" s="1" customFormat="1" spans="1:13">
      <c r="A6579" s="2">
        <v>648</v>
      </c>
      <c r="B6579" s="29" t="s">
        <v>1040</v>
      </c>
      <c r="C6579" s="47" t="s">
        <v>1597</v>
      </c>
      <c r="D6579" s="47" t="s">
        <v>1598</v>
      </c>
      <c r="E6579" s="30">
        <v>2020</v>
      </c>
      <c r="F6579" s="30">
        <v>2020</v>
      </c>
      <c r="G6579" s="29" t="s">
        <v>16</v>
      </c>
      <c r="H6579" s="29">
        <v>200</v>
      </c>
      <c r="I6579" s="29">
        <v>200</v>
      </c>
      <c r="J6579" s="29"/>
      <c r="K6579" s="47"/>
      <c r="L6579" s="2" t="s">
        <v>330</v>
      </c>
      <c r="M6579" s="36" t="str">
        <f t="shared" si="102"/>
        <v>19820419</v>
      </c>
    </row>
    <row r="6580" s="1" customFormat="1" spans="1:13">
      <c r="A6580" s="2">
        <v>4363</v>
      </c>
      <c r="B6580" s="9" t="s">
        <v>8515</v>
      </c>
      <c r="C6580" s="9" t="s">
        <v>3228</v>
      </c>
      <c r="D6580" s="9" t="s">
        <v>8916</v>
      </c>
      <c r="E6580" s="5" t="s">
        <v>15</v>
      </c>
      <c r="F6580" s="5">
        <v>2020</v>
      </c>
      <c r="G6580" s="9" t="s">
        <v>2480</v>
      </c>
      <c r="H6580" s="9">
        <v>200</v>
      </c>
      <c r="I6580" s="9">
        <v>200</v>
      </c>
      <c r="J6580" s="9"/>
      <c r="K6580" s="9"/>
      <c r="L6580" s="10">
        <v>20201118</v>
      </c>
      <c r="M6580" s="36" t="str">
        <f t="shared" si="102"/>
        <v>19820422</v>
      </c>
    </row>
    <row r="6581" s="1" customFormat="1" spans="1:13">
      <c r="A6581" s="2">
        <v>4714</v>
      </c>
      <c r="B6581" s="6" t="s">
        <v>9015</v>
      </c>
      <c r="C6581" s="6" t="s">
        <v>9588</v>
      </c>
      <c r="D6581" s="6" t="s">
        <v>9589</v>
      </c>
      <c r="E6581" s="6">
        <v>2020</v>
      </c>
      <c r="F6581" s="6">
        <v>2020</v>
      </c>
      <c r="G6581" s="6" t="s">
        <v>16</v>
      </c>
      <c r="H6581" s="6">
        <v>200</v>
      </c>
      <c r="I6581" s="6">
        <v>200</v>
      </c>
      <c r="J6581" s="6"/>
      <c r="K6581" s="6"/>
      <c r="L6581" s="10">
        <v>20201118</v>
      </c>
      <c r="M6581" s="36" t="str">
        <f t="shared" si="102"/>
        <v>19820422</v>
      </c>
    </row>
    <row r="6582" s="1" customFormat="1" spans="1:13">
      <c r="A6582" s="2">
        <v>5167</v>
      </c>
      <c r="B6582" s="6" t="s">
        <v>10242</v>
      </c>
      <c r="C6582" s="9" t="s">
        <v>10459</v>
      </c>
      <c r="D6582" s="9" t="s">
        <v>10460</v>
      </c>
      <c r="E6582" s="5" t="s">
        <v>10250</v>
      </c>
      <c r="F6582" s="5">
        <v>2020</v>
      </c>
      <c r="G6582" s="6" t="s">
        <v>16</v>
      </c>
      <c r="H6582" s="6">
        <v>200</v>
      </c>
      <c r="I6582" s="6">
        <v>200</v>
      </c>
      <c r="J6582" s="6"/>
      <c r="K6582" s="5"/>
      <c r="L6582" s="10">
        <v>20201118</v>
      </c>
      <c r="M6582" s="36" t="str">
        <f t="shared" si="102"/>
        <v>19820423</v>
      </c>
    </row>
    <row r="6583" s="1" customFormat="1" spans="1:13">
      <c r="A6583" s="2">
        <v>2333</v>
      </c>
      <c r="B6583" s="9" t="s">
        <v>4837</v>
      </c>
      <c r="C6583" s="9" t="s">
        <v>5205</v>
      </c>
      <c r="D6583" s="9" t="s">
        <v>5206</v>
      </c>
      <c r="E6583" s="6" t="s">
        <v>15</v>
      </c>
      <c r="F6583" s="6">
        <v>2020</v>
      </c>
      <c r="G6583" s="9" t="s">
        <v>2480</v>
      </c>
      <c r="H6583" s="9">
        <v>200</v>
      </c>
      <c r="I6583" s="9">
        <v>200</v>
      </c>
      <c r="J6583" s="6"/>
      <c r="K6583" s="10"/>
      <c r="L6583" s="10">
        <v>20201118</v>
      </c>
      <c r="M6583" s="36" t="str">
        <f t="shared" si="102"/>
        <v>19820426</v>
      </c>
    </row>
    <row r="6584" s="1" customFormat="1" spans="1:13">
      <c r="A6584" s="2">
        <v>1264</v>
      </c>
      <c r="B6584" s="5" t="s">
        <v>2469</v>
      </c>
      <c r="C6584" s="9" t="s">
        <v>3110</v>
      </c>
      <c r="D6584" s="9" t="s">
        <v>3111</v>
      </c>
      <c r="E6584" s="5">
        <v>2020</v>
      </c>
      <c r="F6584" s="5">
        <v>2020</v>
      </c>
      <c r="G6584" s="9" t="s">
        <v>2480</v>
      </c>
      <c r="H6584" s="9">
        <v>200</v>
      </c>
      <c r="I6584" s="9">
        <v>200</v>
      </c>
      <c r="J6584" s="5"/>
      <c r="K6584" s="5"/>
      <c r="L6584" s="10">
        <v>20201118</v>
      </c>
      <c r="M6584" s="36" t="str">
        <f t="shared" si="102"/>
        <v>19820429</v>
      </c>
    </row>
    <row r="6585" s="1" customFormat="1" spans="1:13">
      <c r="A6585" s="2">
        <v>2024</v>
      </c>
      <c r="B6585" s="5" t="s">
        <v>4189</v>
      </c>
      <c r="C6585" s="16" t="s">
        <v>4605</v>
      </c>
      <c r="D6585" s="16" t="s">
        <v>4606</v>
      </c>
      <c r="E6585" s="5" t="s">
        <v>15</v>
      </c>
      <c r="F6585" s="5" t="s">
        <v>15</v>
      </c>
      <c r="G6585" s="5" t="s">
        <v>3359</v>
      </c>
      <c r="H6585" s="16">
        <v>200</v>
      </c>
      <c r="I6585" s="16">
        <v>200</v>
      </c>
      <c r="J6585" s="5"/>
      <c r="K6585" s="10"/>
      <c r="L6585" s="10">
        <v>20201118</v>
      </c>
      <c r="M6585" s="36" t="str">
        <f t="shared" si="102"/>
        <v>19820429</v>
      </c>
    </row>
    <row r="6586" s="1" customFormat="1" spans="1:13">
      <c r="A6586" s="2">
        <v>62</v>
      </c>
      <c r="B6586" s="31" t="s">
        <v>12</v>
      </c>
      <c r="C6586" s="17" t="s">
        <v>139</v>
      </c>
      <c r="D6586" s="17" t="s">
        <v>140</v>
      </c>
      <c r="E6586" s="3" t="s">
        <v>15</v>
      </c>
      <c r="F6586" s="3" t="s">
        <v>15</v>
      </c>
      <c r="G6586" s="2" t="s">
        <v>16</v>
      </c>
      <c r="H6586" s="17">
        <v>300</v>
      </c>
      <c r="I6586" s="17">
        <v>300</v>
      </c>
      <c r="J6586" s="17"/>
      <c r="K6586" s="17"/>
      <c r="L6586" s="10">
        <v>20201118</v>
      </c>
      <c r="M6586" s="36" t="str">
        <f t="shared" si="102"/>
        <v>19820502</v>
      </c>
    </row>
    <row r="6587" s="1" customFormat="1" spans="1:13">
      <c r="A6587" s="2">
        <v>2036</v>
      </c>
      <c r="B6587" s="5" t="s">
        <v>4189</v>
      </c>
      <c r="C6587" s="16" t="s">
        <v>4627</v>
      </c>
      <c r="D6587" s="16" t="s">
        <v>4628</v>
      </c>
      <c r="E6587" s="5" t="s">
        <v>15</v>
      </c>
      <c r="F6587" s="5" t="s">
        <v>15</v>
      </c>
      <c r="G6587" s="5" t="s">
        <v>3359</v>
      </c>
      <c r="H6587" s="16">
        <v>500</v>
      </c>
      <c r="I6587" s="16">
        <v>500</v>
      </c>
      <c r="J6587" s="5"/>
      <c r="K6587" s="10"/>
      <c r="L6587" s="10">
        <v>20201118</v>
      </c>
      <c r="M6587" s="36" t="str">
        <f t="shared" si="102"/>
        <v>19820510</v>
      </c>
    </row>
    <row r="6588" s="1" customFormat="1" spans="1:13">
      <c r="A6588" s="2">
        <v>2334</v>
      </c>
      <c r="B6588" s="9" t="s">
        <v>4837</v>
      </c>
      <c r="C6588" s="9" t="s">
        <v>5207</v>
      </c>
      <c r="D6588" s="9" t="s">
        <v>5208</v>
      </c>
      <c r="E6588" s="6" t="s">
        <v>15</v>
      </c>
      <c r="F6588" s="6">
        <v>2020</v>
      </c>
      <c r="G6588" s="9" t="s">
        <v>2480</v>
      </c>
      <c r="H6588" s="9">
        <v>200</v>
      </c>
      <c r="I6588" s="9">
        <v>200</v>
      </c>
      <c r="J6588" s="6"/>
      <c r="K6588" s="10"/>
      <c r="L6588" s="10">
        <v>20201118</v>
      </c>
      <c r="M6588" s="36" t="str">
        <f t="shared" si="102"/>
        <v>19820510</v>
      </c>
    </row>
    <row r="6589" s="1" customFormat="1" spans="1:13">
      <c r="A6589" s="2">
        <v>6251</v>
      </c>
      <c r="B6589" s="5" t="s">
        <v>12263</v>
      </c>
      <c r="C6589" s="5" t="s">
        <v>12524</v>
      </c>
      <c r="D6589" s="5" t="s">
        <v>12525</v>
      </c>
      <c r="E6589" s="5" t="s">
        <v>10250</v>
      </c>
      <c r="F6589" s="5">
        <v>2020</v>
      </c>
      <c r="G6589" s="17" t="s">
        <v>3359</v>
      </c>
      <c r="H6589" s="5">
        <v>3000</v>
      </c>
      <c r="I6589" s="5">
        <v>3000</v>
      </c>
      <c r="J6589" s="5"/>
      <c r="K6589" s="5"/>
      <c r="L6589" s="10">
        <v>20201118</v>
      </c>
      <c r="M6589" s="36" t="str">
        <f t="shared" si="102"/>
        <v>19820510</v>
      </c>
    </row>
    <row r="6590" s="1" customFormat="1" spans="1:13">
      <c r="A6590" s="2">
        <v>7085</v>
      </c>
      <c r="B6590" s="5" t="s">
        <v>13533</v>
      </c>
      <c r="C6590" s="32" t="s">
        <v>13841</v>
      </c>
      <c r="D6590" s="304" t="s">
        <v>13842</v>
      </c>
      <c r="E6590" s="5">
        <v>2020</v>
      </c>
      <c r="F6590" s="5">
        <v>2020</v>
      </c>
      <c r="G6590" s="9" t="s">
        <v>2480</v>
      </c>
      <c r="H6590" s="32">
        <v>200</v>
      </c>
      <c r="I6590" s="32">
        <v>200</v>
      </c>
      <c r="J6590" s="32"/>
      <c r="K6590" s="10"/>
      <c r="L6590" s="10">
        <v>20201118</v>
      </c>
      <c r="M6590" s="36" t="str">
        <f t="shared" si="102"/>
        <v>19820513</v>
      </c>
    </row>
    <row r="6591" s="1" customFormat="1" spans="1:13">
      <c r="A6591" s="2">
        <v>7164</v>
      </c>
      <c r="B6591" s="5" t="s">
        <v>13908</v>
      </c>
      <c r="C6591" s="5" t="s">
        <v>13985</v>
      </c>
      <c r="D6591" s="5" t="s">
        <v>13986</v>
      </c>
      <c r="E6591" s="5" t="s">
        <v>15</v>
      </c>
      <c r="F6591" s="5" t="s">
        <v>15</v>
      </c>
      <c r="G6591" s="14" t="s">
        <v>16</v>
      </c>
      <c r="H6591" s="17">
        <v>200</v>
      </c>
      <c r="I6591" s="17">
        <v>200</v>
      </c>
      <c r="J6591" s="5"/>
      <c r="K6591" s="10"/>
      <c r="L6591" s="10">
        <v>20201118</v>
      </c>
      <c r="M6591" s="36" t="str">
        <f t="shared" si="102"/>
        <v>19820513</v>
      </c>
    </row>
    <row r="6592" s="1" customFormat="1" spans="1:13">
      <c r="A6592" s="2">
        <v>6461</v>
      </c>
      <c r="B6592" s="5" t="s">
        <v>12263</v>
      </c>
      <c r="C6592" s="5" t="s">
        <v>12925</v>
      </c>
      <c r="D6592" s="5" t="s">
        <v>12926</v>
      </c>
      <c r="E6592" s="5" t="s">
        <v>10250</v>
      </c>
      <c r="F6592" s="5">
        <v>2020</v>
      </c>
      <c r="G6592" s="17" t="s">
        <v>3359</v>
      </c>
      <c r="H6592" s="5">
        <v>200</v>
      </c>
      <c r="I6592" s="5">
        <v>200</v>
      </c>
      <c r="J6592" s="5"/>
      <c r="K6592" s="5"/>
      <c r="L6592" s="10">
        <v>20201118</v>
      </c>
      <c r="M6592" s="36" t="str">
        <f t="shared" si="102"/>
        <v>19820520</v>
      </c>
    </row>
    <row r="6593" s="1" customFormat="1" spans="1:13">
      <c r="A6593" s="2">
        <v>4056</v>
      </c>
      <c r="B6593" s="5" t="s">
        <v>7412</v>
      </c>
      <c r="C6593" s="5" t="s">
        <v>2860</v>
      </c>
      <c r="D6593" s="5" t="s">
        <v>8330</v>
      </c>
      <c r="E6593" s="6">
        <v>2020</v>
      </c>
      <c r="F6593" s="6">
        <v>2020</v>
      </c>
      <c r="G6593" s="5" t="s">
        <v>3359</v>
      </c>
      <c r="H6593" s="5">
        <v>200</v>
      </c>
      <c r="I6593" s="5">
        <v>200</v>
      </c>
      <c r="J6593" s="5"/>
      <c r="K6593" s="5"/>
      <c r="L6593" s="10">
        <v>20201118</v>
      </c>
      <c r="M6593" s="36" t="str">
        <f t="shared" si="102"/>
        <v>19820523</v>
      </c>
    </row>
    <row r="6594" s="1" customFormat="1" spans="1:13">
      <c r="A6594" s="2">
        <v>5168</v>
      </c>
      <c r="B6594" s="6" t="s">
        <v>10242</v>
      </c>
      <c r="C6594" s="9" t="s">
        <v>10461</v>
      </c>
      <c r="D6594" s="9" t="s">
        <v>10462</v>
      </c>
      <c r="E6594" s="5" t="s">
        <v>10250</v>
      </c>
      <c r="F6594" s="5">
        <v>2020</v>
      </c>
      <c r="G6594" s="6" t="s">
        <v>16</v>
      </c>
      <c r="H6594" s="6">
        <v>200</v>
      </c>
      <c r="I6594" s="6">
        <v>200</v>
      </c>
      <c r="J6594" s="6"/>
      <c r="K6594" s="5"/>
      <c r="L6594" s="10">
        <v>20201118</v>
      </c>
      <c r="M6594" s="36" t="str">
        <f t="shared" ref="M6594:M6657" si="103">MID(D6594,7,8)</f>
        <v>19820524</v>
      </c>
    </row>
    <row r="6595" s="1" customFormat="1" spans="1:13">
      <c r="A6595" s="2">
        <v>6750</v>
      </c>
      <c r="B6595" s="5" t="s">
        <v>13027</v>
      </c>
      <c r="C6595" s="15" t="s">
        <v>13466</v>
      </c>
      <c r="D6595" s="15" t="s">
        <v>13467</v>
      </c>
      <c r="E6595" s="5">
        <v>2020</v>
      </c>
      <c r="F6595" s="5">
        <v>2020</v>
      </c>
      <c r="G6595" s="14" t="s">
        <v>16</v>
      </c>
      <c r="H6595" s="15">
        <v>500</v>
      </c>
      <c r="I6595" s="15">
        <v>500</v>
      </c>
      <c r="J6595" s="5"/>
      <c r="K6595" s="10"/>
      <c r="L6595" s="10">
        <v>20201118</v>
      </c>
      <c r="M6595" s="36" t="str">
        <f t="shared" si="103"/>
        <v>19820602</v>
      </c>
    </row>
    <row r="6596" s="1" customFormat="1" spans="1:13">
      <c r="A6596" s="2">
        <v>1265</v>
      </c>
      <c r="B6596" s="5" t="s">
        <v>2469</v>
      </c>
      <c r="C6596" s="9" t="s">
        <v>3112</v>
      </c>
      <c r="D6596" s="9" t="s">
        <v>3113</v>
      </c>
      <c r="E6596" s="5">
        <v>2020</v>
      </c>
      <c r="F6596" s="5">
        <v>2020</v>
      </c>
      <c r="G6596" s="9" t="s">
        <v>2480</v>
      </c>
      <c r="H6596" s="9">
        <v>200</v>
      </c>
      <c r="I6596" s="9">
        <v>200</v>
      </c>
      <c r="J6596" s="5"/>
      <c r="K6596" s="5"/>
      <c r="L6596" s="10">
        <v>20201118</v>
      </c>
      <c r="M6596" s="36" t="str">
        <f t="shared" si="103"/>
        <v>19820609</v>
      </c>
    </row>
    <row r="6597" s="1" customFormat="1" ht="14.25" spans="1:13">
      <c r="A6597" s="2">
        <v>5416</v>
      </c>
      <c r="B6597" s="33" t="s">
        <v>10535</v>
      </c>
      <c r="C6597" s="34" t="s">
        <v>10937</v>
      </c>
      <c r="D6597" s="34" t="s">
        <v>10938</v>
      </c>
      <c r="E6597" s="35">
        <v>2020</v>
      </c>
      <c r="F6597" s="35">
        <v>2020</v>
      </c>
      <c r="G6597" s="35" t="s">
        <v>16</v>
      </c>
      <c r="H6597" s="34">
        <v>200</v>
      </c>
      <c r="I6597" s="34">
        <v>200</v>
      </c>
      <c r="J6597" s="49"/>
      <c r="K6597" s="10"/>
      <c r="L6597" s="10">
        <v>20201118</v>
      </c>
      <c r="M6597" s="36" t="str">
        <f t="shared" si="103"/>
        <v>19820611</v>
      </c>
    </row>
    <row r="6598" s="1" customFormat="1" ht="14.25" spans="1:13">
      <c r="A6598" s="2">
        <v>7659</v>
      </c>
      <c r="B6598" s="5" t="s">
        <v>14875</v>
      </c>
      <c r="C6598" s="51" t="s">
        <v>14900</v>
      </c>
      <c r="D6598" s="24" t="str">
        <f>"152326198206117142"</f>
        <v>152326198206117142</v>
      </c>
      <c r="E6598" s="6" t="s">
        <v>15</v>
      </c>
      <c r="F6598" s="6">
        <v>2020</v>
      </c>
      <c r="G6598" s="24" t="s">
        <v>14877</v>
      </c>
      <c r="H6598" s="6">
        <v>200</v>
      </c>
      <c r="I6598" s="6">
        <v>200</v>
      </c>
      <c r="J6598" s="6"/>
      <c r="K6598" s="10"/>
      <c r="L6598" s="10">
        <v>20201118</v>
      </c>
      <c r="M6598" s="36" t="str">
        <f t="shared" si="103"/>
        <v>19820611</v>
      </c>
    </row>
    <row r="6599" s="1" customFormat="1" spans="1:13">
      <c r="A6599" s="2">
        <v>713</v>
      </c>
      <c r="B6599" s="29" t="s">
        <v>1040</v>
      </c>
      <c r="C6599" s="5" t="s">
        <v>1790</v>
      </c>
      <c r="D6599" s="317" t="s">
        <v>1791</v>
      </c>
      <c r="E6599" s="30">
        <v>2020</v>
      </c>
      <c r="F6599" s="30">
        <v>2020</v>
      </c>
      <c r="G6599" s="29" t="s">
        <v>16</v>
      </c>
      <c r="H6599" s="29">
        <v>200</v>
      </c>
      <c r="I6599" s="29">
        <v>200</v>
      </c>
      <c r="J6599" s="29"/>
      <c r="K6599" s="54"/>
      <c r="L6599" s="2" t="s">
        <v>330</v>
      </c>
      <c r="M6599" s="36" t="str">
        <f t="shared" si="103"/>
        <v>19820612</v>
      </c>
    </row>
    <row r="6600" s="1" customFormat="1" spans="1:13">
      <c r="A6600" s="2">
        <v>6186</v>
      </c>
      <c r="B6600" s="5" t="s">
        <v>12263</v>
      </c>
      <c r="C6600" s="5" t="s">
        <v>12401</v>
      </c>
      <c r="D6600" s="5" t="s">
        <v>12402</v>
      </c>
      <c r="E6600" s="5" t="s">
        <v>10250</v>
      </c>
      <c r="F6600" s="5">
        <v>2020</v>
      </c>
      <c r="G6600" s="17" t="s">
        <v>3359</v>
      </c>
      <c r="H6600" s="5">
        <v>200</v>
      </c>
      <c r="I6600" s="5">
        <v>200</v>
      </c>
      <c r="J6600" s="5"/>
      <c r="K6600" s="5"/>
      <c r="L6600" s="10">
        <v>20201118</v>
      </c>
      <c r="M6600" s="36" t="str">
        <f t="shared" si="103"/>
        <v>19820617</v>
      </c>
    </row>
    <row r="6601" s="1" customFormat="1" spans="1:13">
      <c r="A6601" s="2">
        <v>63</v>
      </c>
      <c r="B6601" s="31" t="s">
        <v>12</v>
      </c>
      <c r="C6601" s="17" t="s">
        <v>141</v>
      </c>
      <c r="D6601" s="17" t="s">
        <v>142</v>
      </c>
      <c r="E6601" s="3" t="s">
        <v>15</v>
      </c>
      <c r="F6601" s="3" t="s">
        <v>15</v>
      </c>
      <c r="G6601" s="2" t="s">
        <v>16</v>
      </c>
      <c r="H6601" s="17">
        <v>300</v>
      </c>
      <c r="I6601" s="17">
        <v>300</v>
      </c>
      <c r="J6601" s="17"/>
      <c r="K6601" s="17"/>
      <c r="L6601" s="10">
        <v>20201118</v>
      </c>
      <c r="M6601" s="36" t="str">
        <f t="shared" si="103"/>
        <v>19820620</v>
      </c>
    </row>
    <row r="6602" s="1" customFormat="1" spans="1:13">
      <c r="A6602" s="2">
        <v>1266</v>
      </c>
      <c r="B6602" s="5" t="s">
        <v>2469</v>
      </c>
      <c r="C6602" s="9" t="s">
        <v>3114</v>
      </c>
      <c r="D6602" s="9" t="s">
        <v>3115</v>
      </c>
      <c r="E6602" s="5">
        <v>2020</v>
      </c>
      <c r="F6602" s="5">
        <v>2020</v>
      </c>
      <c r="G6602" s="9" t="s">
        <v>2480</v>
      </c>
      <c r="H6602" s="9">
        <v>200</v>
      </c>
      <c r="I6602" s="9">
        <v>200</v>
      </c>
      <c r="J6602" s="5"/>
      <c r="K6602" s="5"/>
      <c r="L6602" s="10">
        <v>20201118</v>
      </c>
      <c r="M6602" s="36" t="str">
        <f t="shared" si="103"/>
        <v>19820624</v>
      </c>
    </row>
    <row r="6603" s="1" customFormat="1" spans="1:13">
      <c r="A6603" s="2">
        <v>2499</v>
      </c>
      <c r="B6603" s="5" t="s">
        <v>5328</v>
      </c>
      <c r="C6603" s="16" t="s">
        <v>4280</v>
      </c>
      <c r="D6603" s="16" t="s">
        <v>5533</v>
      </c>
      <c r="E6603" s="5" t="s">
        <v>15</v>
      </c>
      <c r="F6603" s="5" t="s">
        <v>15</v>
      </c>
      <c r="G6603" s="14" t="s">
        <v>16</v>
      </c>
      <c r="H6603" s="6">
        <v>200</v>
      </c>
      <c r="I6603" s="6">
        <v>200</v>
      </c>
      <c r="J6603" s="5"/>
      <c r="K6603" s="5"/>
      <c r="L6603" s="10">
        <v>20201118</v>
      </c>
      <c r="M6603" s="36" t="str">
        <f t="shared" si="103"/>
        <v>19820625</v>
      </c>
    </row>
    <row r="6604" s="1" customFormat="1" spans="1:13">
      <c r="A6604" s="2">
        <v>3309</v>
      </c>
      <c r="B6604" s="5" t="s">
        <v>3375</v>
      </c>
      <c r="C6604" s="6" t="s">
        <v>7080</v>
      </c>
      <c r="D6604" s="6" t="str">
        <f>"152326198206266893"</f>
        <v>152326198206266893</v>
      </c>
      <c r="E6604" s="5" t="s">
        <v>15</v>
      </c>
      <c r="F6604" s="5">
        <v>2020</v>
      </c>
      <c r="G6604" s="14" t="s">
        <v>16</v>
      </c>
      <c r="H6604" s="17">
        <v>200</v>
      </c>
      <c r="I6604" s="17">
        <v>200</v>
      </c>
      <c r="J6604" s="6"/>
      <c r="K6604" s="10"/>
      <c r="L6604" s="10">
        <v>20201118</v>
      </c>
      <c r="M6604" s="36" t="str">
        <f t="shared" si="103"/>
        <v>19820626</v>
      </c>
    </row>
    <row r="6605" s="1" customFormat="1" spans="1:13">
      <c r="A6605" s="2">
        <v>4398</v>
      </c>
      <c r="B6605" s="9" t="s">
        <v>8515</v>
      </c>
      <c r="C6605" s="6" t="s">
        <v>8983</v>
      </c>
      <c r="D6605" s="293" t="s">
        <v>8984</v>
      </c>
      <c r="E6605" s="5" t="s">
        <v>15</v>
      </c>
      <c r="F6605" s="5">
        <v>2020</v>
      </c>
      <c r="G6605" s="6" t="s">
        <v>295</v>
      </c>
      <c r="H6605" s="9">
        <v>200</v>
      </c>
      <c r="I6605" s="9">
        <v>200</v>
      </c>
      <c r="J6605" s="6"/>
      <c r="K6605" s="6"/>
      <c r="L6605" s="10">
        <v>20201118</v>
      </c>
      <c r="M6605" s="36" t="str">
        <f t="shared" si="103"/>
        <v>19820626</v>
      </c>
    </row>
    <row r="6606" s="1" customFormat="1" spans="1:13">
      <c r="A6606" s="2">
        <v>2026</v>
      </c>
      <c r="B6606" s="5" t="s">
        <v>4189</v>
      </c>
      <c r="C6606" s="16" t="s">
        <v>4609</v>
      </c>
      <c r="D6606" s="16" t="s">
        <v>4610</v>
      </c>
      <c r="E6606" s="5" t="s">
        <v>15</v>
      </c>
      <c r="F6606" s="5" t="s">
        <v>15</v>
      </c>
      <c r="G6606" s="5" t="s">
        <v>3359</v>
      </c>
      <c r="H6606" s="16">
        <v>500</v>
      </c>
      <c r="I6606" s="16">
        <v>500</v>
      </c>
      <c r="J6606" s="5"/>
      <c r="K6606" s="10"/>
      <c r="L6606" s="10">
        <v>20201118</v>
      </c>
      <c r="M6606" s="36" t="str">
        <f t="shared" si="103"/>
        <v>19820627</v>
      </c>
    </row>
    <row r="6607" s="1" customFormat="1" spans="1:13">
      <c r="A6607" s="2">
        <v>7871</v>
      </c>
      <c r="B6607" s="5" t="s">
        <v>15086</v>
      </c>
      <c r="C6607" s="6" t="s">
        <v>15142</v>
      </c>
      <c r="D6607" s="6" t="str">
        <f>"152326198207026883"</f>
        <v>152326198207026883</v>
      </c>
      <c r="E6607" s="5" t="s">
        <v>15</v>
      </c>
      <c r="F6607" s="5">
        <v>2020</v>
      </c>
      <c r="G6607" s="5" t="s">
        <v>16</v>
      </c>
      <c r="H6607" s="5">
        <v>200</v>
      </c>
      <c r="I6607" s="5">
        <v>200</v>
      </c>
      <c r="J6607" s="5"/>
      <c r="K6607" s="5"/>
      <c r="L6607" s="10">
        <v>20201118</v>
      </c>
      <c r="M6607" s="36" t="str">
        <f t="shared" si="103"/>
        <v>19820702</v>
      </c>
    </row>
    <row r="6608" s="1" customFormat="1" ht="14.25" spans="1:13">
      <c r="A6608" s="2">
        <v>7656</v>
      </c>
      <c r="B6608" s="5" t="s">
        <v>14875</v>
      </c>
      <c r="C6608" s="51" t="s">
        <v>14897</v>
      </c>
      <c r="D6608" s="24" t="str">
        <f>"152326198207047115"</f>
        <v>152326198207047115</v>
      </c>
      <c r="E6608" s="6" t="s">
        <v>15</v>
      </c>
      <c r="F6608" s="6">
        <v>2020</v>
      </c>
      <c r="G6608" s="24" t="s">
        <v>14877</v>
      </c>
      <c r="H6608" s="6">
        <v>200</v>
      </c>
      <c r="I6608" s="6">
        <v>200</v>
      </c>
      <c r="J6608" s="6"/>
      <c r="K6608" s="10"/>
      <c r="L6608" s="10">
        <v>20201118</v>
      </c>
      <c r="M6608" s="36" t="str">
        <f t="shared" si="103"/>
        <v>19820704</v>
      </c>
    </row>
    <row r="6609" s="1" customFormat="1" spans="1:13">
      <c r="A6609" s="2">
        <v>5169</v>
      </c>
      <c r="B6609" s="6" t="s">
        <v>10242</v>
      </c>
      <c r="C6609" s="9" t="s">
        <v>2485</v>
      </c>
      <c r="D6609" s="9" t="s">
        <v>10463</v>
      </c>
      <c r="E6609" s="5" t="s">
        <v>10250</v>
      </c>
      <c r="F6609" s="5">
        <v>2020</v>
      </c>
      <c r="G6609" s="6" t="s">
        <v>16</v>
      </c>
      <c r="H6609" s="6">
        <v>200</v>
      </c>
      <c r="I6609" s="6">
        <v>200</v>
      </c>
      <c r="J6609" s="6"/>
      <c r="K6609" s="5"/>
      <c r="L6609" s="10">
        <v>20201118</v>
      </c>
      <c r="M6609" s="36" t="str">
        <f t="shared" si="103"/>
        <v>19820705</v>
      </c>
    </row>
    <row r="6610" s="1" customFormat="1" spans="1:13">
      <c r="A6610" s="2">
        <v>2013</v>
      </c>
      <c r="B6610" s="5" t="s">
        <v>4189</v>
      </c>
      <c r="C6610" s="16" t="s">
        <v>4583</v>
      </c>
      <c r="D6610" s="16" t="s">
        <v>4584</v>
      </c>
      <c r="E6610" s="5" t="s">
        <v>15</v>
      </c>
      <c r="F6610" s="5" t="s">
        <v>15</v>
      </c>
      <c r="G6610" s="5" t="s">
        <v>3359</v>
      </c>
      <c r="H6610" s="16">
        <v>200</v>
      </c>
      <c r="I6610" s="16">
        <v>200</v>
      </c>
      <c r="J6610" s="5"/>
      <c r="K6610" s="10"/>
      <c r="L6610" s="10">
        <v>20201118</v>
      </c>
      <c r="M6610" s="36" t="str">
        <f t="shared" si="103"/>
        <v>19820706</v>
      </c>
    </row>
    <row r="6611" s="1" customFormat="1" spans="1:13">
      <c r="A6611" s="2">
        <v>4608</v>
      </c>
      <c r="B6611" s="6" t="s">
        <v>9015</v>
      </c>
      <c r="C6611" s="6" t="s">
        <v>9386</v>
      </c>
      <c r="D6611" s="6" t="s">
        <v>9387</v>
      </c>
      <c r="E6611" s="6">
        <v>2020</v>
      </c>
      <c r="F6611" s="6">
        <v>2020</v>
      </c>
      <c r="G6611" s="6" t="s">
        <v>16</v>
      </c>
      <c r="H6611" s="6">
        <v>200</v>
      </c>
      <c r="I6611" s="6">
        <v>200</v>
      </c>
      <c r="J6611" s="6"/>
      <c r="K6611" s="6"/>
      <c r="L6611" s="10">
        <v>20201118</v>
      </c>
      <c r="M6611" s="36" t="str">
        <f t="shared" si="103"/>
        <v>19820708</v>
      </c>
    </row>
    <row r="6612" s="1" customFormat="1" spans="1:13">
      <c r="A6612" s="2">
        <v>79</v>
      </c>
      <c r="B6612" s="3" t="s">
        <v>12</v>
      </c>
      <c r="C6612" s="6" t="s">
        <v>173</v>
      </c>
      <c r="D6612" s="6" t="s">
        <v>174</v>
      </c>
      <c r="E6612" s="3" t="s">
        <v>15</v>
      </c>
      <c r="F6612" s="3" t="s">
        <v>15</v>
      </c>
      <c r="G6612" s="2" t="s">
        <v>16</v>
      </c>
      <c r="H6612" s="3">
        <v>300</v>
      </c>
      <c r="I6612" s="3">
        <v>300</v>
      </c>
      <c r="J6612" s="3"/>
      <c r="K6612" s="3"/>
      <c r="L6612" s="10">
        <v>20201118</v>
      </c>
      <c r="M6612" s="36" t="str">
        <f t="shared" si="103"/>
        <v>19820709</v>
      </c>
    </row>
    <row r="6613" s="1" customFormat="1" spans="1:13">
      <c r="A6613" s="2">
        <v>1729</v>
      </c>
      <c r="B6613" s="5" t="s">
        <v>3381</v>
      </c>
      <c r="C6613" s="9" t="s">
        <v>4018</v>
      </c>
      <c r="D6613" s="9" t="s">
        <v>4019</v>
      </c>
      <c r="E6613" s="5">
        <v>2020</v>
      </c>
      <c r="F6613" s="5">
        <v>2020</v>
      </c>
      <c r="G6613" s="14" t="s">
        <v>16</v>
      </c>
      <c r="H6613" s="6">
        <v>200</v>
      </c>
      <c r="I6613" s="6">
        <v>200</v>
      </c>
      <c r="J6613" s="5"/>
      <c r="K6613" s="13"/>
      <c r="L6613" s="10">
        <v>20201118</v>
      </c>
      <c r="M6613" s="36" t="str">
        <f t="shared" si="103"/>
        <v>19820710</v>
      </c>
    </row>
    <row r="6614" s="1" customFormat="1" spans="1:13">
      <c r="A6614" s="2">
        <v>7879</v>
      </c>
      <c r="B6614" s="5" t="s">
        <v>15086</v>
      </c>
      <c r="C6614" s="6" t="s">
        <v>15152</v>
      </c>
      <c r="D6614" s="6" t="str">
        <f>"152326198207106891"</f>
        <v>152326198207106891</v>
      </c>
      <c r="E6614" s="5" t="s">
        <v>15</v>
      </c>
      <c r="F6614" s="5">
        <v>2020</v>
      </c>
      <c r="G6614" s="5" t="s">
        <v>16</v>
      </c>
      <c r="H6614" s="5">
        <v>500</v>
      </c>
      <c r="I6614" s="5">
        <v>500</v>
      </c>
      <c r="J6614" s="5"/>
      <c r="K6614" s="5"/>
      <c r="L6614" s="10">
        <v>20201118</v>
      </c>
      <c r="M6614" s="36" t="str">
        <f t="shared" si="103"/>
        <v>19820710</v>
      </c>
    </row>
    <row r="6615" s="1" customFormat="1" spans="1:13">
      <c r="A6615" s="2">
        <v>18</v>
      </c>
      <c r="B6615" s="31" t="s">
        <v>12</v>
      </c>
      <c r="C6615" s="17" t="s">
        <v>50</v>
      </c>
      <c r="D6615" s="17" t="s">
        <v>51</v>
      </c>
      <c r="E6615" s="3" t="s">
        <v>15</v>
      </c>
      <c r="F6615" s="3" t="s">
        <v>15</v>
      </c>
      <c r="G6615" s="2" t="s">
        <v>16</v>
      </c>
      <c r="H6615" s="17">
        <v>300</v>
      </c>
      <c r="I6615" s="17">
        <v>300</v>
      </c>
      <c r="J6615" s="31"/>
      <c r="K6615" s="17"/>
      <c r="L6615" s="10">
        <v>20201118</v>
      </c>
      <c r="M6615" s="36" t="str">
        <f t="shared" si="103"/>
        <v>19820711</v>
      </c>
    </row>
    <row r="6616" s="1" customFormat="1" spans="1:13">
      <c r="A6616" s="2">
        <v>834</v>
      </c>
      <c r="B6616" s="29" t="s">
        <v>1040</v>
      </c>
      <c r="C6616" s="29" t="s">
        <v>2151</v>
      </c>
      <c r="D6616" s="29" t="s">
        <v>2152</v>
      </c>
      <c r="E6616" s="30">
        <v>2020</v>
      </c>
      <c r="F6616" s="30">
        <v>2020</v>
      </c>
      <c r="G6616" s="29" t="s">
        <v>16</v>
      </c>
      <c r="H6616" s="29">
        <v>200</v>
      </c>
      <c r="I6616" s="29">
        <v>200</v>
      </c>
      <c r="J6616" s="32"/>
      <c r="K6616" s="32"/>
      <c r="L6616" s="14" t="s">
        <v>330</v>
      </c>
      <c r="M6616" s="36" t="str">
        <f t="shared" si="103"/>
        <v>19820711</v>
      </c>
    </row>
    <row r="6617" s="1" customFormat="1" spans="1:13">
      <c r="A6617" s="2">
        <v>5578</v>
      </c>
      <c r="B6617" s="30" t="s">
        <v>11090</v>
      </c>
      <c r="C6617" s="30" t="s">
        <v>11250</v>
      </c>
      <c r="D6617" s="30" t="s">
        <v>11251</v>
      </c>
      <c r="E6617" s="5" t="s">
        <v>15</v>
      </c>
      <c r="F6617" s="5" t="s">
        <v>10250</v>
      </c>
      <c r="G6617" s="6" t="s">
        <v>16</v>
      </c>
      <c r="H6617" s="32">
        <v>500</v>
      </c>
      <c r="I6617" s="32">
        <v>500</v>
      </c>
      <c r="J6617" s="6"/>
      <c r="K6617" s="48"/>
      <c r="L6617" s="10">
        <v>20201118</v>
      </c>
      <c r="M6617" s="36" t="str">
        <f t="shared" si="103"/>
        <v>19820711</v>
      </c>
    </row>
    <row r="6618" s="1" customFormat="1" ht="14.25" spans="1:13">
      <c r="A6618" s="2">
        <v>7655</v>
      </c>
      <c r="B6618" s="5" t="s">
        <v>14875</v>
      </c>
      <c r="C6618" s="51" t="s">
        <v>14896</v>
      </c>
      <c r="D6618" s="24" t="str">
        <f>"152326198207157111"</f>
        <v>152326198207157111</v>
      </c>
      <c r="E6618" s="6" t="s">
        <v>15</v>
      </c>
      <c r="F6618" s="6">
        <v>2020</v>
      </c>
      <c r="G6618" s="24" t="s">
        <v>14877</v>
      </c>
      <c r="H6618" s="6">
        <v>200</v>
      </c>
      <c r="I6618" s="6">
        <v>200</v>
      </c>
      <c r="J6618" s="6"/>
      <c r="K6618" s="10"/>
      <c r="L6618" s="10">
        <v>20201118</v>
      </c>
      <c r="M6618" s="36" t="str">
        <f t="shared" si="103"/>
        <v>19820715</v>
      </c>
    </row>
    <row r="6619" s="1" customFormat="1" spans="1:13">
      <c r="A6619" s="2">
        <v>7872</v>
      </c>
      <c r="B6619" s="5" t="s">
        <v>15086</v>
      </c>
      <c r="C6619" s="6" t="s">
        <v>15143</v>
      </c>
      <c r="D6619" s="6" t="s">
        <v>15144</v>
      </c>
      <c r="E6619" s="5" t="s">
        <v>15</v>
      </c>
      <c r="F6619" s="5">
        <v>2020</v>
      </c>
      <c r="G6619" s="5" t="s">
        <v>16</v>
      </c>
      <c r="H6619" s="5">
        <v>500</v>
      </c>
      <c r="I6619" s="5">
        <v>500</v>
      </c>
      <c r="J6619" s="5"/>
      <c r="K6619" s="5"/>
      <c r="L6619" s="10">
        <v>20201118</v>
      </c>
      <c r="M6619" s="36" t="str">
        <f t="shared" si="103"/>
        <v>19820715</v>
      </c>
    </row>
    <row r="6620" s="1" customFormat="1" spans="1:13">
      <c r="A6620" s="2">
        <v>3173</v>
      </c>
      <c r="B6620" s="3" t="s">
        <v>6671</v>
      </c>
      <c r="C6620" s="9" t="s">
        <v>6859</v>
      </c>
      <c r="D6620" s="287" t="s">
        <v>6860</v>
      </c>
      <c r="E6620" s="3" t="s">
        <v>15</v>
      </c>
      <c r="F6620" s="3" t="s">
        <v>15</v>
      </c>
      <c r="G6620" s="6" t="s">
        <v>3359</v>
      </c>
      <c r="H6620" s="9">
        <v>200</v>
      </c>
      <c r="I6620" s="9">
        <v>200</v>
      </c>
      <c r="J6620" s="6"/>
      <c r="K6620" s="5"/>
      <c r="L6620" s="10">
        <v>20201118</v>
      </c>
      <c r="M6620" s="36" t="str">
        <f t="shared" si="103"/>
        <v>19820721</v>
      </c>
    </row>
    <row r="6621" s="1" customFormat="1" ht="14.25" spans="1:13">
      <c r="A6621" s="2">
        <v>3568</v>
      </c>
      <c r="B6621" s="5" t="s">
        <v>3375</v>
      </c>
      <c r="C6621" s="6" t="s">
        <v>7404</v>
      </c>
      <c r="D6621" s="12" t="s">
        <v>7405</v>
      </c>
      <c r="E6621" s="5" t="s">
        <v>15</v>
      </c>
      <c r="F6621" s="5">
        <v>2020</v>
      </c>
      <c r="G6621" s="14" t="s">
        <v>16</v>
      </c>
      <c r="H6621" s="5">
        <v>200</v>
      </c>
      <c r="I6621" s="5">
        <v>200</v>
      </c>
      <c r="J6621" s="5"/>
      <c r="K6621" s="10"/>
      <c r="L6621" s="10">
        <v>20201118</v>
      </c>
      <c r="M6621" s="36" t="str">
        <f t="shared" si="103"/>
        <v>19820723</v>
      </c>
    </row>
    <row r="6622" s="1" customFormat="1" spans="1:13">
      <c r="A6622" s="2">
        <v>2029</v>
      </c>
      <c r="B6622" s="5" t="s">
        <v>4189</v>
      </c>
      <c r="C6622" s="16" t="s">
        <v>4614</v>
      </c>
      <c r="D6622" s="16" t="s">
        <v>4615</v>
      </c>
      <c r="E6622" s="5" t="s">
        <v>15</v>
      </c>
      <c r="F6622" s="5" t="s">
        <v>15</v>
      </c>
      <c r="G6622" s="5" t="s">
        <v>3359</v>
      </c>
      <c r="H6622" s="16">
        <v>200</v>
      </c>
      <c r="I6622" s="16">
        <v>200</v>
      </c>
      <c r="J6622" s="5"/>
      <c r="K6622" s="10"/>
      <c r="L6622" s="10">
        <v>20201118</v>
      </c>
      <c r="M6622" s="36" t="str">
        <f t="shared" si="103"/>
        <v>19820726</v>
      </c>
    </row>
    <row r="6623" s="1" customFormat="1" spans="1:13">
      <c r="A6623" s="2">
        <v>1267</v>
      </c>
      <c r="B6623" s="5" t="s">
        <v>2469</v>
      </c>
      <c r="C6623" s="9" t="s">
        <v>3116</v>
      </c>
      <c r="D6623" s="9" t="s">
        <v>3117</v>
      </c>
      <c r="E6623" s="5">
        <v>2020</v>
      </c>
      <c r="F6623" s="5">
        <v>2020</v>
      </c>
      <c r="G6623" s="9" t="s">
        <v>2480</v>
      </c>
      <c r="H6623" s="9">
        <v>200</v>
      </c>
      <c r="I6623" s="9">
        <v>200</v>
      </c>
      <c r="J6623" s="5"/>
      <c r="K6623" s="5"/>
      <c r="L6623" s="10">
        <v>20201118</v>
      </c>
      <c r="M6623" s="36" t="str">
        <f t="shared" si="103"/>
        <v>19820801</v>
      </c>
    </row>
    <row r="6624" s="1" customFormat="1" spans="1:13">
      <c r="A6624" s="2">
        <v>2111</v>
      </c>
      <c r="B6624" s="5" t="s">
        <v>4189</v>
      </c>
      <c r="C6624" s="9" t="s">
        <v>4772</v>
      </c>
      <c r="D6624" s="9" t="s">
        <v>4773</v>
      </c>
      <c r="E6624" s="5" t="s">
        <v>15</v>
      </c>
      <c r="F6624" s="5" t="s">
        <v>15</v>
      </c>
      <c r="G6624" s="5" t="s">
        <v>3359</v>
      </c>
      <c r="H6624" s="16">
        <v>200</v>
      </c>
      <c r="I6624" s="16">
        <v>200</v>
      </c>
      <c r="J6624" s="5"/>
      <c r="K6624" s="10"/>
      <c r="L6624" s="10">
        <v>20201118</v>
      </c>
      <c r="M6624" s="36" t="str">
        <f t="shared" si="103"/>
        <v>19820802</v>
      </c>
    </row>
    <row r="6625" s="1" customFormat="1" spans="1:13">
      <c r="A6625" s="2">
        <v>4749</v>
      </c>
      <c r="B6625" s="6" t="s">
        <v>9015</v>
      </c>
      <c r="C6625" s="6" t="s">
        <v>9654</v>
      </c>
      <c r="D6625" s="6" t="s">
        <v>9655</v>
      </c>
      <c r="E6625" s="6">
        <v>2020</v>
      </c>
      <c r="F6625" s="6">
        <v>2020</v>
      </c>
      <c r="G6625" s="6" t="s">
        <v>16</v>
      </c>
      <c r="H6625" s="6">
        <v>200</v>
      </c>
      <c r="I6625" s="6">
        <v>200</v>
      </c>
      <c r="J6625" s="6"/>
      <c r="K6625" s="6"/>
      <c r="L6625" s="10">
        <v>20201118</v>
      </c>
      <c r="M6625" s="36" t="str">
        <f t="shared" si="103"/>
        <v>19820804</v>
      </c>
    </row>
    <row r="6626" s="1" customFormat="1" spans="1:13">
      <c r="A6626" s="2">
        <v>1268</v>
      </c>
      <c r="B6626" s="5" t="s">
        <v>2469</v>
      </c>
      <c r="C6626" s="9" t="s">
        <v>3118</v>
      </c>
      <c r="D6626" s="9" t="s">
        <v>3119</v>
      </c>
      <c r="E6626" s="5">
        <v>2020</v>
      </c>
      <c r="F6626" s="5">
        <v>2020</v>
      </c>
      <c r="G6626" s="9" t="s">
        <v>2480</v>
      </c>
      <c r="H6626" s="9">
        <v>200</v>
      </c>
      <c r="I6626" s="9">
        <v>200</v>
      </c>
      <c r="J6626" s="5"/>
      <c r="K6626" s="5"/>
      <c r="L6626" s="10">
        <v>20201118</v>
      </c>
      <c r="M6626" s="36" t="str">
        <f t="shared" si="103"/>
        <v>19820805</v>
      </c>
    </row>
    <row r="6627" s="1" customFormat="1" spans="1:13">
      <c r="A6627" s="2">
        <v>371</v>
      </c>
      <c r="B6627" s="14" t="s">
        <v>327</v>
      </c>
      <c r="C6627" s="17" t="s">
        <v>839</v>
      </c>
      <c r="D6627" s="23" t="s">
        <v>1000</v>
      </c>
      <c r="E6627" s="5">
        <v>2020</v>
      </c>
      <c r="F6627" s="5">
        <v>2020</v>
      </c>
      <c r="G6627" s="14" t="s">
        <v>16</v>
      </c>
      <c r="H6627" s="17">
        <v>200</v>
      </c>
      <c r="I6627" s="17">
        <v>200</v>
      </c>
      <c r="J6627" s="17"/>
      <c r="K6627" s="10"/>
      <c r="L6627" s="2" t="s">
        <v>330</v>
      </c>
      <c r="M6627" s="36" t="str">
        <f t="shared" si="103"/>
        <v>19820807</v>
      </c>
    </row>
    <row r="6628" s="1" customFormat="1" spans="1:13">
      <c r="A6628" s="2">
        <v>7453</v>
      </c>
      <c r="B6628" s="5" t="s">
        <v>14402</v>
      </c>
      <c r="C6628" s="5" t="s">
        <v>14527</v>
      </c>
      <c r="D6628" s="5" t="s">
        <v>14528</v>
      </c>
      <c r="E6628" s="5">
        <v>2020</v>
      </c>
      <c r="F6628" s="5">
        <v>2020</v>
      </c>
      <c r="G6628" s="17" t="s">
        <v>16</v>
      </c>
      <c r="H6628" s="5">
        <v>200</v>
      </c>
      <c r="I6628" s="5">
        <v>200</v>
      </c>
      <c r="J6628" s="5" t="s">
        <v>749</v>
      </c>
      <c r="K6628" s="10"/>
      <c r="L6628" s="10">
        <v>20201118</v>
      </c>
      <c r="M6628" s="36" t="str">
        <f t="shared" si="103"/>
        <v>19820807</v>
      </c>
    </row>
    <row r="6629" s="1" customFormat="1" spans="1:13">
      <c r="A6629" s="2">
        <v>4364</v>
      </c>
      <c r="B6629" s="9" t="s">
        <v>8515</v>
      </c>
      <c r="C6629" s="9" t="s">
        <v>8917</v>
      </c>
      <c r="D6629" s="9" t="s">
        <v>8918</v>
      </c>
      <c r="E6629" s="5" t="s">
        <v>15</v>
      </c>
      <c r="F6629" s="5">
        <v>2020</v>
      </c>
      <c r="G6629" s="9" t="s">
        <v>2480</v>
      </c>
      <c r="H6629" s="9">
        <v>500</v>
      </c>
      <c r="I6629" s="9">
        <v>500</v>
      </c>
      <c r="J6629" s="9"/>
      <c r="K6629" s="9"/>
      <c r="L6629" s="10">
        <v>20201118</v>
      </c>
      <c r="M6629" s="36" t="str">
        <f t="shared" si="103"/>
        <v>19820808</v>
      </c>
    </row>
    <row r="6630" s="1" customFormat="1" spans="1:13">
      <c r="A6630" s="2">
        <v>7455</v>
      </c>
      <c r="B6630" s="5" t="s">
        <v>14402</v>
      </c>
      <c r="C6630" s="5" t="s">
        <v>14531</v>
      </c>
      <c r="D6630" s="5" t="s">
        <v>14532</v>
      </c>
      <c r="E6630" s="5">
        <v>2020</v>
      </c>
      <c r="F6630" s="5">
        <v>2020</v>
      </c>
      <c r="G6630" s="17" t="s">
        <v>16</v>
      </c>
      <c r="H6630" s="5">
        <v>200</v>
      </c>
      <c r="I6630" s="5">
        <v>200</v>
      </c>
      <c r="J6630" s="5" t="s">
        <v>749</v>
      </c>
      <c r="K6630" s="10"/>
      <c r="L6630" s="10">
        <v>20201118</v>
      </c>
      <c r="M6630" s="36" t="str">
        <f t="shared" si="103"/>
        <v>19820810</v>
      </c>
    </row>
    <row r="6631" s="1" customFormat="1" spans="1:13">
      <c r="A6631" s="2">
        <v>7459</v>
      </c>
      <c r="B6631" s="5" t="s">
        <v>14402</v>
      </c>
      <c r="C6631" s="5" t="s">
        <v>6925</v>
      </c>
      <c r="D6631" s="5" t="s">
        <v>14538</v>
      </c>
      <c r="E6631" s="5">
        <v>2020</v>
      </c>
      <c r="F6631" s="5">
        <v>2020</v>
      </c>
      <c r="G6631" s="17" t="s">
        <v>16</v>
      </c>
      <c r="H6631" s="5">
        <v>200</v>
      </c>
      <c r="I6631" s="5">
        <v>200</v>
      </c>
      <c r="J6631" s="5"/>
      <c r="K6631" s="10"/>
      <c r="L6631" s="10">
        <v>20201118</v>
      </c>
      <c r="M6631" s="36" t="str">
        <f t="shared" si="103"/>
        <v>19820810</v>
      </c>
    </row>
    <row r="6632" s="1" customFormat="1" spans="1:13">
      <c r="A6632" s="2">
        <v>1269</v>
      </c>
      <c r="B6632" s="5" t="s">
        <v>2469</v>
      </c>
      <c r="C6632" s="9" t="s">
        <v>3120</v>
      </c>
      <c r="D6632" s="9" t="s">
        <v>3121</v>
      </c>
      <c r="E6632" s="5">
        <v>2020</v>
      </c>
      <c r="F6632" s="5">
        <v>2020</v>
      </c>
      <c r="G6632" s="9" t="s">
        <v>2480</v>
      </c>
      <c r="H6632" s="9">
        <v>200</v>
      </c>
      <c r="I6632" s="9">
        <v>200</v>
      </c>
      <c r="J6632" s="5"/>
      <c r="K6632" s="5"/>
      <c r="L6632" s="10">
        <v>20201118</v>
      </c>
      <c r="M6632" s="36" t="str">
        <f t="shared" si="103"/>
        <v>19820811</v>
      </c>
    </row>
    <row r="6633" s="1" customFormat="1" spans="1:13">
      <c r="A6633" s="2">
        <v>2500</v>
      </c>
      <c r="B6633" s="5" t="s">
        <v>5328</v>
      </c>
      <c r="C6633" s="16" t="s">
        <v>5534</v>
      </c>
      <c r="D6633" s="16" t="s">
        <v>5535</v>
      </c>
      <c r="E6633" s="5" t="s">
        <v>15</v>
      </c>
      <c r="F6633" s="5" t="s">
        <v>15</v>
      </c>
      <c r="G6633" s="14" t="s">
        <v>16</v>
      </c>
      <c r="H6633" s="6">
        <v>200</v>
      </c>
      <c r="I6633" s="6">
        <v>200</v>
      </c>
      <c r="J6633" s="5"/>
      <c r="K6633" s="5"/>
      <c r="L6633" s="10">
        <v>20201118</v>
      </c>
      <c r="M6633" s="36" t="str">
        <f t="shared" si="103"/>
        <v>19820811</v>
      </c>
    </row>
    <row r="6634" s="1" customFormat="1" ht="14.25" spans="1:13">
      <c r="A6634" s="2">
        <v>2954</v>
      </c>
      <c r="B6634" s="6" t="s">
        <v>6075</v>
      </c>
      <c r="C6634" s="25" t="s">
        <v>6435</v>
      </c>
      <c r="D6634" s="26" t="s">
        <v>6436</v>
      </c>
      <c r="E6634" s="5" t="s">
        <v>15</v>
      </c>
      <c r="F6634" s="5">
        <v>2020</v>
      </c>
      <c r="G6634" s="6" t="s">
        <v>16</v>
      </c>
      <c r="H6634" s="6">
        <v>500</v>
      </c>
      <c r="I6634" s="6">
        <v>500</v>
      </c>
      <c r="J6634" s="6"/>
      <c r="K6634" s="10"/>
      <c r="L6634" s="10">
        <v>20201118</v>
      </c>
      <c r="M6634" s="36" t="str">
        <f t="shared" si="103"/>
        <v>19820812</v>
      </c>
    </row>
    <row r="6635" s="1" customFormat="1" spans="1:13">
      <c r="A6635" s="2">
        <v>6238</v>
      </c>
      <c r="B6635" s="5" t="s">
        <v>12263</v>
      </c>
      <c r="C6635" s="5" t="s">
        <v>12500</v>
      </c>
      <c r="D6635" s="5" t="s">
        <v>12501</v>
      </c>
      <c r="E6635" s="5" t="s">
        <v>10250</v>
      </c>
      <c r="F6635" s="5">
        <v>2020</v>
      </c>
      <c r="G6635" s="17" t="s">
        <v>3359</v>
      </c>
      <c r="H6635" s="5">
        <v>200</v>
      </c>
      <c r="I6635" s="5">
        <v>200</v>
      </c>
      <c r="J6635" s="5"/>
      <c r="K6635" s="5"/>
      <c r="L6635" s="10">
        <v>20201118</v>
      </c>
      <c r="M6635" s="36" t="str">
        <f t="shared" si="103"/>
        <v>19820815</v>
      </c>
    </row>
    <row r="6636" s="1" customFormat="1" spans="1:13">
      <c r="A6636" s="2">
        <v>1270</v>
      </c>
      <c r="B6636" s="5" t="s">
        <v>2469</v>
      </c>
      <c r="C6636" s="9" t="s">
        <v>3122</v>
      </c>
      <c r="D6636" s="9" t="s">
        <v>3123</v>
      </c>
      <c r="E6636" s="5">
        <v>2020</v>
      </c>
      <c r="F6636" s="5">
        <v>2020</v>
      </c>
      <c r="G6636" s="9" t="s">
        <v>2480</v>
      </c>
      <c r="H6636" s="9">
        <v>200</v>
      </c>
      <c r="I6636" s="9">
        <v>200</v>
      </c>
      <c r="J6636" s="5"/>
      <c r="K6636" s="5"/>
      <c r="L6636" s="10">
        <v>20201118</v>
      </c>
      <c r="M6636" s="36" t="str">
        <f t="shared" si="103"/>
        <v>19820816</v>
      </c>
    </row>
    <row r="6637" s="1" customFormat="1" spans="1:13">
      <c r="A6637" s="2">
        <v>5717</v>
      </c>
      <c r="B6637" s="30" t="s">
        <v>11090</v>
      </c>
      <c r="C6637" s="30" t="s">
        <v>11519</v>
      </c>
      <c r="D6637" s="30" t="s">
        <v>11520</v>
      </c>
      <c r="E6637" s="5" t="s">
        <v>15</v>
      </c>
      <c r="F6637" s="5" t="s">
        <v>10250</v>
      </c>
      <c r="G6637" s="6" t="s">
        <v>16</v>
      </c>
      <c r="H6637" s="32">
        <v>200</v>
      </c>
      <c r="I6637" s="32">
        <v>200</v>
      </c>
      <c r="J6637" s="6"/>
      <c r="K6637" s="48"/>
      <c r="L6637" s="10">
        <v>20201118</v>
      </c>
      <c r="M6637" s="36" t="str">
        <f t="shared" si="103"/>
        <v>19820817</v>
      </c>
    </row>
    <row r="6638" s="1" customFormat="1" spans="1:13">
      <c r="A6638" s="2">
        <v>7877</v>
      </c>
      <c r="B6638" s="5" t="s">
        <v>15086</v>
      </c>
      <c r="C6638" s="6" t="s">
        <v>15149</v>
      </c>
      <c r="D6638" s="6" t="s">
        <v>15150</v>
      </c>
      <c r="E6638" s="5" t="s">
        <v>15</v>
      </c>
      <c r="F6638" s="5">
        <v>2020</v>
      </c>
      <c r="G6638" s="5" t="s">
        <v>16</v>
      </c>
      <c r="H6638" s="5">
        <v>200</v>
      </c>
      <c r="I6638" s="5">
        <v>200</v>
      </c>
      <c r="J6638" s="5" t="s">
        <v>5625</v>
      </c>
      <c r="K6638" s="5"/>
      <c r="L6638" s="10">
        <v>20201118</v>
      </c>
      <c r="M6638" s="36" t="str">
        <f t="shared" si="103"/>
        <v>19820817</v>
      </c>
    </row>
    <row r="6639" s="1" customFormat="1" spans="1:13">
      <c r="A6639" s="2">
        <v>5170</v>
      </c>
      <c r="B6639" s="6" t="s">
        <v>10242</v>
      </c>
      <c r="C6639" s="9" t="s">
        <v>10464</v>
      </c>
      <c r="D6639" s="9" t="s">
        <v>10465</v>
      </c>
      <c r="E6639" s="5" t="s">
        <v>10250</v>
      </c>
      <c r="F6639" s="5">
        <v>2020</v>
      </c>
      <c r="G6639" s="6" t="s">
        <v>16</v>
      </c>
      <c r="H6639" s="6">
        <v>200</v>
      </c>
      <c r="I6639" s="6">
        <v>200</v>
      </c>
      <c r="J6639" s="6"/>
      <c r="K6639" s="5"/>
      <c r="L6639" s="10">
        <v>20201118</v>
      </c>
      <c r="M6639" s="36" t="str">
        <f t="shared" si="103"/>
        <v>19820818</v>
      </c>
    </row>
    <row r="6640" s="1" customFormat="1" spans="1:13">
      <c r="A6640" s="2">
        <v>525</v>
      </c>
      <c r="B6640" s="29" t="s">
        <v>1040</v>
      </c>
      <c r="C6640" s="29" t="s">
        <v>1327</v>
      </c>
      <c r="D6640" s="29" t="s">
        <v>1328</v>
      </c>
      <c r="E6640" s="30">
        <v>2020</v>
      </c>
      <c r="F6640" s="30">
        <v>2020</v>
      </c>
      <c r="G6640" s="29" t="s">
        <v>16</v>
      </c>
      <c r="H6640" s="29">
        <v>200</v>
      </c>
      <c r="I6640" s="29">
        <v>200</v>
      </c>
      <c r="J6640" s="29"/>
      <c r="K6640" s="47"/>
      <c r="L6640" s="14" t="s">
        <v>330</v>
      </c>
      <c r="M6640" s="36" t="str">
        <f t="shared" si="103"/>
        <v>19820820</v>
      </c>
    </row>
    <row r="6641" s="1" customFormat="1" spans="1:13">
      <c r="A6641" s="2">
        <v>4954</v>
      </c>
      <c r="B6641" s="6" t="s">
        <v>9954</v>
      </c>
      <c r="C6641" s="60" t="s">
        <v>10048</v>
      </c>
      <c r="D6641" s="60" t="s">
        <v>10049</v>
      </c>
      <c r="E6641" s="5" t="s">
        <v>15</v>
      </c>
      <c r="F6641" s="5" t="s">
        <v>15</v>
      </c>
      <c r="G6641" s="14" t="s">
        <v>16</v>
      </c>
      <c r="H6641" s="6">
        <v>200</v>
      </c>
      <c r="I6641" s="6">
        <v>200</v>
      </c>
      <c r="J6641" s="6"/>
      <c r="K6641" s="6"/>
      <c r="L6641" s="10">
        <v>20201118</v>
      </c>
      <c r="M6641" s="36" t="str">
        <f t="shared" si="103"/>
        <v>19820821</v>
      </c>
    </row>
    <row r="6642" s="1" customFormat="1" spans="1:13">
      <c r="A6642" s="2">
        <v>1271</v>
      </c>
      <c r="B6642" s="5" t="s">
        <v>2469</v>
      </c>
      <c r="C6642" s="9" t="s">
        <v>3124</v>
      </c>
      <c r="D6642" s="9" t="s">
        <v>3125</v>
      </c>
      <c r="E6642" s="5">
        <v>2020</v>
      </c>
      <c r="F6642" s="5">
        <v>2020</v>
      </c>
      <c r="G6642" s="9" t="s">
        <v>2480</v>
      </c>
      <c r="H6642" s="9">
        <v>200</v>
      </c>
      <c r="I6642" s="9">
        <v>200</v>
      </c>
      <c r="J6642" s="5"/>
      <c r="K6642" s="5"/>
      <c r="L6642" s="10">
        <v>20201118</v>
      </c>
      <c r="M6642" s="36" t="str">
        <f t="shared" si="103"/>
        <v>19820825</v>
      </c>
    </row>
    <row r="6643" s="1" customFormat="1" spans="1:13">
      <c r="A6643" s="2">
        <v>315</v>
      </c>
      <c r="B6643" s="14" t="s">
        <v>327</v>
      </c>
      <c r="C6643" s="17" t="s">
        <v>833</v>
      </c>
      <c r="D6643" s="306" t="s">
        <v>834</v>
      </c>
      <c r="E6643" s="5">
        <v>2020</v>
      </c>
      <c r="F6643" s="5">
        <v>2020</v>
      </c>
      <c r="G6643" s="14" t="s">
        <v>16</v>
      </c>
      <c r="H6643" s="17">
        <v>200</v>
      </c>
      <c r="I6643" s="17">
        <v>200</v>
      </c>
      <c r="J6643" s="17"/>
      <c r="K6643" s="10"/>
      <c r="L6643" s="2" t="s">
        <v>330</v>
      </c>
      <c r="M6643" s="36" t="str">
        <f t="shared" si="103"/>
        <v>19820827</v>
      </c>
    </row>
    <row r="6644" s="1" customFormat="1" spans="1:13">
      <c r="A6644" s="2">
        <v>5590</v>
      </c>
      <c r="B6644" s="30" t="s">
        <v>11090</v>
      </c>
      <c r="C6644" s="30" t="s">
        <v>11273</v>
      </c>
      <c r="D6644" s="30" t="s">
        <v>11274</v>
      </c>
      <c r="E6644" s="5" t="s">
        <v>15</v>
      </c>
      <c r="F6644" s="5" t="s">
        <v>10250</v>
      </c>
      <c r="G6644" s="6" t="s">
        <v>16</v>
      </c>
      <c r="H6644" s="32">
        <v>200</v>
      </c>
      <c r="I6644" s="32">
        <v>200</v>
      </c>
      <c r="J6644" s="6"/>
      <c r="K6644" s="48"/>
      <c r="L6644" s="10">
        <v>20201118</v>
      </c>
      <c r="M6644" s="36" t="str">
        <f t="shared" si="103"/>
        <v>19820827</v>
      </c>
    </row>
    <row r="6645" s="1" customFormat="1" spans="1:13">
      <c r="A6645" s="2">
        <v>4057</v>
      </c>
      <c r="B6645" s="5" t="s">
        <v>7412</v>
      </c>
      <c r="C6645" s="5" t="s">
        <v>8331</v>
      </c>
      <c r="D6645" s="5" t="s">
        <v>8332</v>
      </c>
      <c r="E6645" s="6">
        <v>2020</v>
      </c>
      <c r="F6645" s="6">
        <v>2020</v>
      </c>
      <c r="G6645" s="5" t="s">
        <v>3359</v>
      </c>
      <c r="H6645" s="5">
        <v>200</v>
      </c>
      <c r="I6645" s="5">
        <v>200</v>
      </c>
      <c r="J6645" s="5"/>
      <c r="K6645" s="5"/>
      <c r="L6645" s="10">
        <v>20201118</v>
      </c>
      <c r="M6645" s="36" t="str">
        <f t="shared" si="103"/>
        <v>19820828</v>
      </c>
    </row>
    <row r="6646" s="1" customFormat="1" spans="1:13">
      <c r="A6646" s="2">
        <v>4058</v>
      </c>
      <c r="B6646" s="5" t="s">
        <v>7412</v>
      </c>
      <c r="C6646" s="5" t="s">
        <v>8333</v>
      </c>
      <c r="D6646" s="5" t="s">
        <v>8334</v>
      </c>
      <c r="E6646" s="6">
        <v>2020</v>
      </c>
      <c r="F6646" s="6">
        <v>2020</v>
      </c>
      <c r="G6646" s="5" t="s">
        <v>3359</v>
      </c>
      <c r="H6646" s="5">
        <v>200</v>
      </c>
      <c r="I6646" s="5">
        <v>200</v>
      </c>
      <c r="J6646" s="5"/>
      <c r="K6646" s="5"/>
      <c r="L6646" s="10">
        <v>20201118</v>
      </c>
      <c r="M6646" s="36" t="str">
        <f t="shared" si="103"/>
        <v>19820831</v>
      </c>
    </row>
    <row r="6647" s="1" customFormat="1" spans="1:13">
      <c r="A6647" s="2">
        <v>138</v>
      </c>
      <c r="B6647" s="3" t="s">
        <v>12</v>
      </c>
      <c r="C6647" s="3" t="s">
        <v>296</v>
      </c>
      <c r="D6647" s="3" t="s">
        <v>297</v>
      </c>
      <c r="E6647" s="3" t="s">
        <v>15</v>
      </c>
      <c r="F6647" s="3" t="s">
        <v>15</v>
      </c>
      <c r="G6647" s="3" t="s">
        <v>295</v>
      </c>
      <c r="H6647" s="3">
        <v>500</v>
      </c>
      <c r="I6647" s="3">
        <v>500</v>
      </c>
      <c r="J6647" s="3"/>
      <c r="K6647" s="3"/>
      <c r="L6647" s="10">
        <v>20201118</v>
      </c>
      <c r="M6647" s="36" t="str">
        <f t="shared" si="103"/>
        <v>19820901</v>
      </c>
    </row>
    <row r="6648" s="1" customFormat="1" spans="1:13">
      <c r="A6648" s="2">
        <v>7340</v>
      </c>
      <c r="B6648" s="5" t="s">
        <v>13908</v>
      </c>
      <c r="C6648" s="5" t="s">
        <v>14312</v>
      </c>
      <c r="D6648" s="5" t="s">
        <v>14313</v>
      </c>
      <c r="E6648" s="5" t="s">
        <v>15</v>
      </c>
      <c r="F6648" s="5" t="s">
        <v>15</v>
      </c>
      <c r="G6648" s="14" t="s">
        <v>16</v>
      </c>
      <c r="H6648" s="17">
        <v>200</v>
      </c>
      <c r="I6648" s="17">
        <v>200</v>
      </c>
      <c r="J6648" s="5"/>
      <c r="K6648" s="10"/>
      <c r="L6648" s="10">
        <v>20201118</v>
      </c>
      <c r="M6648" s="36" t="str">
        <f t="shared" si="103"/>
        <v>19820901</v>
      </c>
    </row>
    <row r="6649" s="1" customFormat="1" spans="1:13">
      <c r="A6649" s="2">
        <v>3528</v>
      </c>
      <c r="B6649" s="5" t="s">
        <v>3375</v>
      </c>
      <c r="C6649" s="5" t="s">
        <v>7327</v>
      </c>
      <c r="D6649" s="296" t="s">
        <v>7328</v>
      </c>
      <c r="E6649" s="5" t="s">
        <v>15</v>
      </c>
      <c r="F6649" s="5">
        <v>2020</v>
      </c>
      <c r="G6649" s="14" t="s">
        <v>16</v>
      </c>
      <c r="H6649" s="5">
        <v>200</v>
      </c>
      <c r="I6649" s="5">
        <v>200</v>
      </c>
      <c r="J6649" s="5"/>
      <c r="K6649" s="10"/>
      <c r="L6649" s="10">
        <v>20201118</v>
      </c>
      <c r="M6649" s="36" t="str">
        <f t="shared" si="103"/>
        <v>19820902</v>
      </c>
    </row>
    <row r="6650" s="1" customFormat="1" ht="14.25" spans="1:13">
      <c r="A6650" s="2">
        <v>5417</v>
      </c>
      <c r="B6650" s="33" t="s">
        <v>10535</v>
      </c>
      <c r="C6650" s="34" t="s">
        <v>10939</v>
      </c>
      <c r="D6650" s="34" t="s">
        <v>10940</v>
      </c>
      <c r="E6650" s="35">
        <v>2020</v>
      </c>
      <c r="F6650" s="35">
        <v>2020</v>
      </c>
      <c r="G6650" s="35" t="s">
        <v>16</v>
      </c>
      <c r="H6650" s="34">
        <v>200</v>
      </c>
      <c r="I6650" s="34">
        <v>200</v>
      </c>
      <c r="J6650" s="49"/>
      <c r="K6650" s="10"/>
      <c r="L6650" s="10">
        <v>20201118</v>
      </c>
      <c r="M6650" s="36" t="str">
        <f t="shared" si="103"/>
        <v>19820902</v>
      </c>
    </row>
    <row r="6651" s="1" customFormat="1" spans="1:13">
      <c r="A6651" s="2">
        <v>4059</v>
      </c>
      <c r="B6651" s="5" t="s">
        <v>7412</v>
      </c>
      <c r="C6651" s="5" t="s">
        <v>2948</v>
      </c>
      <c r="D6651" s="5" t="s">
        <v>8335</v>
      </c>
      <c r="E6651" s="6">
        <v>2020</v>
      </c>
      <c r="F6651" s="6">
        <v>2020</v>
      </c>
      <c r="G6651" s="5" t="s">
        <v>3359</v>
      </c>
      <c r="H6651" s="5">
        <v>200</v>
      </c>
      <c r="I6651" s="5">
        <v>200</v>
      </c>
      <c r="J6651" s="5"/>
      <c r="K6651" s="5"/>
      <c r="L6651" s="10">
        <v>20201118</v>
      </c>
      <c r="M6651" s="36" t="str">
        <f t="shared" si="103"/>
        <v>19820905</v>
      </c>
    </row>
    <row r="6652" s="1" customFormat="1" ht="14.25" spans="1:13">
      <c r="A6652" s="2">
        <v>5418</v>
      </c>
      <c r="B6652" s="33" t="s">
        <v>10535</v>
      </c>
      <c r="C6652" s="34" t="s">
        <v>10941</v>
      </c>
      <c r="D6652" s="34" t="s">
        <v>10942</v>
      </c>
      <c r="E6652" s="35">
        <v>2020</v>
      </c>
      <c r="F6652" s="35">
        <v>2020</v>
      </c>
      <c r="G6652" s="35" t="s">
        <v>16</v>
      </c>
      <c r="H6652" s="34">
        <v>200</v>
      </c>
      <c r="I6652" s="34">
        <v>200</v>
      </c>
      <c r="J6652" s="49"/>
      <c r="K6652" s="10"/>
      <c r="L6652" s="10">
        <v>20201118</v>
      </c>
      <c r="M6652" s="36" t="str">
        <f t="shared" si="103"/>
        <v>19820905</v>
      </c>
    </row>
    <row r="6653" s="1" customFormat="1" spans="1:13">
      <c r="A6653" s="2">
        <v>1272</v>
      </c>
      <c r="B6653" s="5" t="s">
        <v>2469</v>
      </c>
      <c r="C6653" s="9" t="s">
        <v>3126</v>
      </c>
      <c r="D6653" s="9" t="s">
        <v>3127</v>
      </c>
      <c r="E6653" s="5">
        <v>2020</v>
      </c>
      <c r="F6653" s="5">
        <v>2020</v>
      </c>
      <c r="G6653" s="9" t="s">
        <v>2480</v>
      </c>
      <c r="H6653" s="9">
        <v>200</v>
      </c>
      <c r="I6653" s="9">
        <v>200</v>
      </c>
      <c r="J6653" s="5"/>
      <c r="K6653" s="5"/>
      <c r="L6653" s="10">
        <v>20201118</v>
      </c>
      <c r="M6653" s="36" t="str">
        <f t="shared" si="103"/>
        <v>19820906</v>
      </c>
    </row>
    <row r="6654" s="1" customFormat="1" ht="14.25" spans="1:13">
      <c r="A6654" s="2">
        <v>5419</v>
      </c>
      <c r="B6654" s="33" t="s">
        <v>10535</v>
      </c>
      <c r="C6654" s="34" t="s">
        <v>10943</v>
      </c>
      <c r="D6654" s="34" t="s">
        <v>10944</v>
      </c>
      <c r="E6654" s="35">
        <v>2020</v>
      </c>
      <c r="F6654" s="35">
        <v>2020</v>
      </c>
      <c r="G6654" s="35" t="s">
        <v>16</v>
      </c>
      <c r="H6654" s="34">
        <v>200</v>
      </c>
      <c r="I6654" s="34">
        <v>200</v>
      </c>
      <c r="J6654" s="49"/>
      <c r="K6654" s="10"/>
      <c r="L6654" s="10">
        <v>20201118</v>
      </c>
      <c r="M6654" s="36" t="str">
        <f t="shared" si="103"/>
        <v>19820909</v>
      </c>
    </row>
    <row r="6655" s="1" customFormat="1" spans="1:13">
      <c r="A6655" s="2">
        <v>6823</v>
      </c>
      <c r="B6655" s="5" t="s">
        <v>13533</v>
      </c>
      <c r="C6655" s="32" t="s">
        <v>13575</v>
      </c>
      <c r="D6655" s="32" t="str">
        <f>"152326198209157115"</f>
        <v>152326198209157115</v>
      </c>
      <c r="E6655" s="5">
        <v>2020</v>
      </c>
      <c r="F6655" s="5">
        <v>2020</v>
      </c>
      <c r="G6655" s="9" t="s">
        <v>2480</v>
      </c>
      <c r="H6655" s="32">
        <v>200</v>
      </c>
      <c r="I6655" s="32">
        <v>200</v>
      </c>
      <c r="J6655" s="32"/>
      <c r="K6655" s="10"/>
      <c r="L6655" s="10">
        <v>20201118</v>
      </c>
      <c r="M6655" s="36" t="str">
        <f t="shared" si="103"/>
        <v>19820915</v>
      </c>
    </row>
    <row r="6656" s="1" customFormat="1" spans="1:13">
      <c r="A6656" s="2">
        <v>7320</v>
      </c>
      <c r="B6656" s="5" t="s">
        <v>13908</v>
      </c>
      <c r="C6656" s="5" t="s">
        <v>14276</v>
      </c>
      <c r="D6656" s="5" t="s">
        <v>14277</v>
      </c>
      <c r="E6656" s="5" t="s">
        <v>15</v>
      </c>
      <c r="F6656" s="5" t="s">
        <v>15</v>
      </c>
      <c r="G6656" s="14" t="s">
        <v>16</v>
      </c>
      <c r="H6656" s="17">
        <v>200</v>
      </c>
      <c r="I6656" s="17">
        <v>200</v>
      </c>
      <c r="J6656" s="5"/>
      <c r="K6656" s="10"/>
      <c r="L6656" s="10">
        <v>20201118</v>
      </c>
      <c r="M6656" s="36" t="str">
        <f t="shared" si="103"/>
        <v>19820916</v>
      </c>
    </row>
    <row r="6657" s="1" customFormat="1" ht="14.25" spans="1:13">
      <c r="A6657" s="2">
        <v>5420</v>
      </c>
      <c r="B6657" s="33" t="s">
        <v>10535</v>
      </c>
      <c r="C6657" s="34" t="s">
        <v>10945</v>
      </c>
      <c r="D6657" s="34" t="s">
        <v>10946</v>
      </c>
      <c r="E6657" s="35">
        <v>2020</v>
      </c>
      <c r="F6657" s="35">
        <v>2020</v>
      </c>
      <c r="G6657" s="35" t="s">
        <v>16</v>
      </c>
      <c r="H6657" s="34">
        <v>200</v>
      </c>
      <c r="I6657" s="34">
        <v>200</v>
      </c>
      <c r="J6657" s="49"/>
      <c r="K6657" s="10"/>
      <c r="L6657" s="10">
        <v>20201118</v>
      </c>
      <c r="M6657" s="36" t="str">
        <f t="shared" si="103"/>
        <v>19820917</v>
      </c>
    </row>
    <row r="6658" s="1" customFormat="1" spans="1:13">
      <c r="A6658" s="2">
        <v>8113</v>
      </c>
      <c r="B6658" s="5" t="s">
        <v>15406</v>
      </c>
      <c r="C6658" s="6" t="s">
        <v>15420</v>
      </c>
      <c r="D6658" s="6" t="s">
        <v>15421</v>
      </c>
      <c r="E6658" s="5" t="s">
        <v>15</v>
      </c>
      <c r="F6658" s="5">
        <v>2020</v>
      </c>
      <c r="G6658" s="14" t="s">
        <v>16</v>
      </c>
      <c r="H6658" s="6" t="s">
        <v>9565</v>
      </c>
      <c r="I6658" s="6">
        <v>1000</v>
      </c>
      <c r="J6658" s="5"/>
      <c r="K6658" s="10"/>
      <c r="L6658" s="10">
        <v>20201118</v>
      </c>
      <c r="M6658" s="36" t="str">
        <f t="shared" ref="M6658:M6721" si="104">MID(D6658,7,8)</f>
        <v>19820917</v>
      </c>
    </row>
    <row r="6659" s="1" customFormat="1" spans="1:13">
      <c r="A6659" s="2">
        <v>5037</v>
      </c>
      <c r="B6659" s="6" t="s">
        <v>9954</v>
      </c>
      <c r="C6659" s="60" t="s">
        <v>10207</v>
      </c>
      <c r="D6659" s="60" t="s">
        <v>10208</v>
      </c>
      <c r="E6659" s="5" t="s">
        <v>15</v>
      </c>
      <c r="F6659" s="5" t="s">
        <v>15</v>
      </c>
      <c r="G6659" s="14" t="s">
        <v>16</v>
      </c>
      <c r="H6659" s="6">
        <v>200</v>
      </c>
      <c r="I6659" s="6">
        <v>200</v>
      </c>
      <c r="J6659" s="6"/>
      <c r="K6659" s="6"/>
      <c r="L6659" s="10">
        <v>20201118</v>
      </c>
      <c r="M6659" s="36" t="str">
        <f t="shared" si="104"/>
        <v>19820918</v>
      </c>
    </row>
    <row r="6660" s="1" customFormat="1" ht="14.25" spans="1:13">
      <c r="A6660" s="2">
        <v>5421</v>
      </c>
      <c r="B6660" s="33" t="s">
        <v>10535</v>
      </c>
      <c r="C6660" s="34" t="s">
        <v>10947</v>
      </c>
      <c r="D6660" s="34" t="s">
        <v>10948</v>
      </c>
      <c r="E6660" s="35">
        <v>2020</v>
      </c>
      <c r="F6660" s="35">
        <v>2020</v>
      </c>
      <c r="G6660" s="35" t="s">
        <v>16</v>
      </c>
      <c r="H6660" s="34">
        <v>200</v>
      </c>
      <c r="I6660" s="34">
        <v>200</v>
      </c>
      <c r="J6660" s="49"/>
      <c r="K6660" s="10"/>
      <c r="L6660" s="10">
        <v>20201118</v>
      </c>
      <c r="M6660" s="36" t="str">
        <f t="shared" si="104"/>
        <v>19820919</v>
      </c>
    </row>
    <row r="6661" s="1" customFormat="1" spans="1:13">
      <c r="A6661" s="2">
        <v>4060</v>
      </c>
      <c r="B6661" s="5" t="s">
        <v>7412</v>
      </c>
      <c r="C6661" s="5" t="s">
        <v>8336</v>
      </c>
      <c r="D6661" s="5" t="s">
        <v>8337</v>
      </c>
      <c r="E6661" s="6">
        <v>2020</v>
      </c>
      <c r="F6661" s="6">
        <v>2020</v>
      </c>
      <c r="G6661" s="5" t="s">
        <v>3359</v>
      </c>
      <c r="H6661" s="5">
        <v>200</v>
      </c>
      <c r="I6661" s="5">
        <v>200</v>
      </c>
      <c r="J6661" s="5"/>
      <c r="K6661" s="5"/>
      <c r="L6661" s="10">
        <v>20201118</v>
      </c>
      <c r="M6661" s="36" t="str">
        <f t="shared" si="104"/>
        <v>19820920</v>
      </c>
    </row>
    <row r="6662" s="1" customFormat="1" spans="1:13">
      <c r="A6662" s="2">
        <v>4840</v>
      </c>
      <c r="B6662" s="6" t="s">
        <v>9015</v>
      </c>
      <c r="C6662" s="6" t="s">
        <v>9825</v>
      </c>
      <c r="D6662" s="293" t="s">
        <v>9826</v>
      </c>
      <c r="E6662" s="6">
        <v>2020</v>
      </c>
      <c r="F6662" s="6">
        <v>2020</v>
      </c>
      <c r="G6662" s="6" t="s">
        <v>16</v>
      </c>
      <c r="H6662" s="6">
        <v>200</v>
      </c>
      <c r="I6662" s="6">
        <v>200</v>
      </c>
      <c r="J6662" s="6"/>
      <c r="K6662" s="6"/>
      <c r="L6662" s="10">
        <v>20201118</v>
      </c>
      <c r="M6662" s="36" t="str">
        <f t="shared" si="104"/>
        <v>19820920</v>
      </c>
    </row>
    <row r="6663" s="1" customFormat="1" spans="1:13">
      <c r="A6663" s="2">
        <v>719</v>
      </c>
      <c r="B6663" s="29" t="s">
        <v>1040</v>
      </c>
      <c r="C6663" s="5" t="s">
        <v>1808</v>
      </c>
      <c r="D6663" s="317" t="s">
        <v>1809</v>
      </c>
      <c r="E6663" s="30">
        <v>2020</v>
      </c>
      <c r="F6663" s="30">
        <v>2020</v>
      </c>
      <c r="G6663" s="29" t="s">
        <v>16</v>
      </c>
      <c r="H6663" s="29">
        <v>200</v>
      </c>
      <c r="I6663" s="29">
        <v>200</v>
      </c>
      <c r="J6663" s="29"/>
      <c r="K6663" s="54"/>
      <c r="L6663" s="14" t="s">
        <v>330</v>
      </c>
      <c r="M6663" s="36" t="str">
        <f t="shared" si="104"/>
        <v>19820924</v>
      </c>
    </row>
    <row r="6664" s="1" customFormat="1" spans="1:13">
      <c r="A6664" s="2">
        <v>1273</v>
      </c>
      <c r="B6664" s="5" t="s">
        <v>2469</v>
      </c>
      <c r="C6664" s="9" t="s">
        <v>3128</v>
      </c>
      <c r="D6664" s="9" t="s">
        <v>3129</v>
      </c>
      <c r="E6664" s="5">
        <v>2020</v>
      </c>
      <c r="F6664" s="5">
        <v>2020</v>
      </c>
      <c r="G6664" s="9" t="s">
        <v>2480</v>
      </c>
      <c r="H6664" s="9">
        <v>200</v>
      </c>
      <c r="I6664" s="9">
        <v>200</v>
      </c>
      <c r="J6664" s="5"/>
      <c r="K6664" s="5"/>
      <c r="L6664" s="10">
        <v>20201118</v>
      </c>
      <c r="M6664" s="36" t="str">
        <f t="shared" si="104"/>
        <v>19820926</v>
      </c>
    </row>
    <row r="6665" s="1" customFormat="1" spans="1:13">
      <c r="A6665" s="2">
        <v>5811</v>
      </c>
      <c r="B6665" s="30" t="s">
        <v>11090</v>
      </c>
      <c r="C6665" s="30" t="s">
        <v>11691</v>
      </c>
      <c r="D6665" s="30" t="s">
        <v>11692</v>
      </c>
      <c r="E6665" s="5" t="s">
        <v>15</v>
      </c>
      <c r="F6665" s="5" t="s">
        <v>10250</v>
      </c>
      <c r="G6665" s="6" t="s">
        <v>16</v>
      </c>
      <c r="H6665" s="32">
        <v>200</v>
      </c>
      <c r="I6665" s="32">
        <v>200</v>
      </c>
      <c r="J6665" s="6" t="s">
        <v>6097</v>
      </c>
      <c r="K6665" s="48"/>
      <c r="L6665" s="10">
        <v>20201118</v>
      </c>
      <c r="M6665" s="36" t="str">
        <f t="shared" si="104"/>
        <v>19820927</v>
      </c>
    </row>
    <row r="6666" s="1" customFormat="1" spans="1:13">
      <c r="A6666" s="2">
        <v>6751</v>
      </c>
      <c r="B6666" s="5" t="s">
        <v>13027</v>
      </c>
      <c r="C6666" s="15" t="s">
        <v>13468</v>
      </c>
      <c r="D6666" s="15" t="s">
        <v>13469</v>
      </c>
      <c r="E6666" s="5">
        <v>2020</v>
      </c>
      <c r="F6666" s="5">
        <v>2020</v>
      </c>
      <c r="G6666" s="14" t="s">
        <v>16</v>
      </c>
      <c r="H6666" s="15">
        <v>200</v>
      </c>
      <c r="I6666" s="15">
        <v>200</v>
      </c>
      <c r="J6666" s="5"/>
      <c r="K6666" s="10"/>
      <c r="L6666" s="10">
        <v>20201118</v>
      </c>
      <c r="M6666" s="36" t="str">
        <f t="shared" si="104"/>
        <v>19820927</v>
      </c>
    </row>
    <row r="6667" s="1" customFormat="1" spans="1:13">
      <c r="A6667" s="2">
        <v>1274</v>
      </c>
      <c r="B6667" s="5" t="s">
        <v>2469</v>
      </c>
      <c r="C6667" s="9" t="s">
        <v>3130</v>
      </c>
      <c r="D6667" s="9" t="s">
        <v>3131</v>
      </c>
      <c r="E6667" s="5">
        <v>2020</v>
      </c>
      <c r="F6667" s="5">
        <v>2020</v>
      </c>
      <c r="G6667" s="9" t="s">
        <v>2480</v>
      </c>
      <c r="H6667" s="9">
        <v>200</v>
      </c>
      <c r="I6667" s="9">
        <v>200</v>
      </c>
      <c r="J6667" s="5"/>
      <c r="K6667" s="5"/>
      <c r="L6667" s="10">
        <v>20201118</v>
      </c>
      <c r="M6667" s="36" t="str">
        <f t="shared" si="104"/>
        <v>19821002</v>
      </c>
    </row>
    <row r="6668" s="1" customFormat="1" spans="1:13">
      <c r="A6668" s="2">
        <v>293</v>
      </c>
      <c r="B6668" s="14" t="s">
        <v>327</v>
      </c>
      <c r="C6668" s="17" t="s">
        <v>766</v>
      </c>
      <c r="D6668" s="306" t="s">
        <v>767</v>
      </c>
      <c r="E6668" s="5">
        <v>2020</v>
      </c>
      <c r="F6668" s="5">
        <v>2020</v>
      </c>
      <c r="G6668" s="14" t="s">
        <v>16</v>
      </c>
      <c r="H6668" s="17">
        <v>200</v>
      </c>
      <c r="I6668" s="17">
        <v>200</v>
      </c>
      <c r="J6668" s="17" t="s">
        <v>768</v>
      </c>
      <c r="K6668" s="10"/>
      <c r="L6668" s="2" t="s">
        <v>330</v>
      </c>
      <c r="M6668" s="36" t="str">
        <f t="shared" si="104"/>
        <v>19821003</v>
      </c>
    </row>
    <row r="6669" s="1" customFormat="1" spans="1:13">
      <c r="A6669" s="2">
        <v>4061</v>
      </c>
      <c r="B6669" s="5" t="s">
        <v>7412</v>
      </c>
      <c r="C6669" s="5" t="s">
        <v>8338</v>
      </c>
      <c r="D6669" s="5" t="s">
        <v>8339</v>
      </c>
      <c r="E6669" s="6">
        <v>2020</v>
      </c>
      <c r="F6669" s="6">
        <v>2020</v>
      </c>
      <c r="G6669" s="5" t="s">
        <v>3359</v>
      </c>
      <c r="H6669" s="5">
        <v>200</v>
      </c>
      <c r="I6669" s="5">
        <v>200</v>
      </c>
      <c r="J6669" s="5"/>
      <c r="K6669" s="5"/>
      <c r="L6669" s="10">
        <v>20201118</v>
      </c>
      <c r="M6669" s="36" t="str">
        <f t="shared" si="104"/>
        <v>19821003</v>
      </c>
    </row>
    <row r="6670" s="1" customFormat="1" spans="1:13">
      <c r="A6670" s="2">
        <v>5657</v>
      </c>
      <c r="B6670" s="30" t="s">
        <v>11090</v>
      </c>
      <c r="C6670" s="30" t="s">
        <v>11400</v>
      </c>
      <c r="D6670" s="30" t="s">
        <v>11401</v>
      </c>
      <c r="E6670" s="5" t="s">
        <v>15</v>
      </c>
      <c r="F6670" s="5" t="s">
        <v>10250</v>
      </c>
      <c r="G6670" s="6" t="s">
        <v>16</v>
      </c>
      <c r="H6670" s="32">
        <v>200</v>
      </c>
      <c r="I6670" s="32">
        <v>200</v>
      </c>
      <c r="J6670" s="6"/>
      <c r="K6670" s="48"/>
      <c r="L6670" s="10">
        <v>20201118</v>
      </c>
      <c r="M6670" s="36" t="str">
        <f t="shared" si="104"/>
        <v>19821005</v>
      </c>
    </row>
    <row r="6671" s="1" customFormat="1" spans="1:13">
      <c r="A6671" s="2">
        <v>4062</v>
      </c>
      <c r="B6671" s="5" t="s">
        <v>7412</v>
      </c>
      <c r="C6671" s="5" t="s">
        <v>38</v>
      </c>
      <c r="D6671" s="5" t="s">
        <v>8340</v>
      </c>
      <c r="E6671" s="6">
        <v>2020</v>
      </c>
      <c r="F6671" s="6">
        <v>2020</v>
      </c>
      <c r="G6671" s="5" t="s">
        <v>3359</v>
      </c>
      <c r="H6671" s="5">
        <v>200</v>
      </c>
      <c r="I6671" s="5">
        <v>200</v>
      </c>
      <c r="J6671" s="5"/>
      <c r="K6671" s="5"/>
      <c r="L6671" s="10">
        <v>20201118</v>
      </c>
      <c r="M6671" s="36" t="str">
        <f t="shared" si="104"/>
        <v>19821008</v>
      </c>
    </row>
    <row r="6672" s="1" customFormat="1" spans="1:13">
      <c r="A6672" s="2">
        <v>1275</v>
      </c>
      <c r="B6672" s="5" t="s">
        <v>2469</v>
      </c>
      <c r="C6672" s="9" t="s">
        <v>3132</v>
      </c>
      <c r="D6672" s="9" t="s">
        <v>3133</v>
      </c>
      <c r="E6672" s="5">
        <v>2020</v>
      </c>
      <c r="F6672" s="5">
        <v>2020</v>
      </c>
      <c r="G6672" s="9" t="s">
        <v>2480</v>
      </c>
      <c r="H6672" s="9">
        <v>200</v>
      </c>
      <c r="I6672" s="9">
        <v>200</v>
      </c>
      <c r="J6672" s="5"/>
      <c r="K6672" s="5"/>
      <c r="L6672" s="10">
        <v>20201118</v>
      </c>
      <c r="M6672" s="36" t="str">
        <f t="shared" si="104"/>
        <v>19821010</v>
      </c>
    </row>
    <row r="6673" s="1" customFormat="1" spans="1:13">
      <c r="A6673" s="2">
        <v>4890</v>
      </c>
      <c r="B6673" s="6" t="s">
        <v>9015</v>
      </c>
      <c r="C6673" s="6" t="s">
        <v>9921</v>
      </c>
      <c r="D6673" s="293" t="s">
        <v>9922</v>
      </c>
      <c r="E6673" s="6">
        <v>2020</v>
      </c>
      <c r="F6673" s="6">
        <v>2020</v>
      </c>
      <c r="G6673" s="6" t="s">
        <v>189</v>
      </c>
      <c r="H6673" s="6">
        <v>200</v>
      </c>
      <c r="I6673" s="6">
        <v>200</v>
      </c>
      <c r="J6673" s="6"/>
      <c r="K6673" s="6"/>
      <c r="L6673" s="10">
        <v>20201118</v>
      </c>
      <c r="M6673" s="36" t="str">
        <f t="shared" si="104"/>
        <v>19821010</v>
      </c>
    </row>
    <row r="6674" s="1" customFormat="1" spans="1:13">
      <c r="A6674" s="2">
        <v>4847</v>
      </c>
      <c r="B6674" s="6" t="s">
        <v>9015</v>
      </c>
      <c r="C6674" s="6" t="s">
        <v>9838</v>
      </c>
      <c r="D6674" s="293" t="s">
        <v>9839</v>
      </c>
      <c r="E6674" s="6">
        <v>2020</v>
      </c>
      <c r="F6674" s="6">
        <v>2020</v>
      </c>
      <c r="G6674" s="6" t="s">
        <v>16</v>
      </c>
      <c r="H6674" s="6">
        <v>200</v>
      </c>
      <c r="I6674" s="6">
        <v>200</v>
      </c>
      <c r="J6674" s="6"/>
      <c r="K6674" s="6"/>
      <c r="L6674" s="10">
        <v>20201118</v>
      </c>
      <c r="M6674" s="36" t="str">
        <f t="shared" si="104"/>
        <v>19821013</v>
      </c>
    </row>
    <row r="6675" s="1" customFormat="1" ht="14.25" spans="1:13">
      <c r="A6675" s="2">
        <v>5422</v>
      </c>
      <c r="B6675" s="33" t="s">
        <v>10535</v>
      </c>
      <c r="C6675" s="34" t="s">
        <v>10793</v>
      </c>
      <c r="D6675" s="34" t="s">
        <v>10949</v>
      </c>
      <c r="E6675" s="35">
        <v>2020</v>
      </c>
      <c r="F6675" s="35">
        <v>2020</v>
      </c>
      <c r="G6675" s="35" t="s">
        <v>16</v>
      </c>
      <c r="H6675" s="34">
        <v>200</v>
      </c>
      <c r="I6675" s="34">
        <v>200</v>
      </c>
      <c r="J6675" s="49"/>
      <c r="K6675" s="10"/>
      <c r="L6675" s="10">
        <v>20201118</v>
      </c>
      <c r="M6675" s="36" t="str">
        <f t="shared" si="104"/>
        <v>19821014</v>
      </c>
    </row>
    <row r="6676" s="1" customFormat="1" ht="14.25" spans="1:13">
      <c r="A6676" s="2">
        <v>5996</v>
      </c>
      <c r="B6676" s="30" t="s">
        <v>11090</v>
      </c>
      <c r="C6676" s="32" t="s">
        <v>4481</v>
      </c>
      <c r="D6676" s="12" t="s">
        <v>12037</v>
      </c>
      <c r="E6676" s="5" t="s">
        <v>15</v>
      </c>
      <c r="F6676" s="5" t="s">
        <v>10250</v>
      </c>
      <c r="G6676" s="6" t="s">
        <v>16</v>
      </c>
      <c r="H6676" s="32">
        <v>200</v>
      </c>
      <c r="I6676" s="32">
        <v>200</v>
      </c>
      <c r="J6676" s="5"/>
      <c r="K6676" s="48"/>
      <c r="L6676" s="10">
        <v>20201118</v>
      </c>
      <c r="M6676" s="36" t="str">
        <f t="shared" si="104"/>
        <v>19821023</v>
      </c>
    </row>
    <row r="6677" s="1" customFormat="1" spans="1:13">
      <c r="A6677" s="2">
        <v>3189</v>
      </c>
      <c r="B6677" s="3" t="s">
        <v>6671</v>
      </c>
      <c r="C6677" s="9" t="s">
        <v>6888</v>
      </c>
      <c r="D6677" s="9" t="s">
        <v>6889</v>
      </c>
      <c r="E6677" s="3" t="s">
        <v>15</v>
      </c>
      <c r="F6677" s="3" t="s">
        <v>15</v>
      </c>
      <c r="G6677" s="6" t="s">
        <v>3359</v>
      </c>
      <c r="H6677" s="9">
        <v>200</v>
      </c>
      <c r="I6677" s="9">
        <v>200</v>
      </c>
      <c r="J6677" s="6"/>
      <c r="K6677" s="5"/>
      <c r="L6677" s="10">
        <v>20201118</v>
      </c>
      <c r="M6677" s="36" t="str">
        <f t="shared" si="104"/>
        <v>19821024</v>
      </c>
    </row>
    <row r="6678" s="1" customFormat="1" ht="14.25" spans="1:13">
      <c r="A6678" s="2">
        <v>2818</v>
      </c>
      <c r="B6678" s="6" t="s">
        <v>6075</v>
      </c>
      <c r="C6678" s="25" t="s">
        <v>6163</v>
      </c>
      <c r="D6678" s="26" t="s">
        <v>6164</v>
      </c>
      <c r="E6678" s="5" t="s">
        <v>15</v>
      </c>
      <c r="F6678" s="5">
        <v>2020</v>
      </c>
      <c r="G6678" s="6" t="s">
        <v>16</v>
      </c>
      <c r="H6678" s="6">
        <v>200</v>
      </c>
      <c r="I6678" s="6">
        <v>200</v>
      </c>
      <c r="J6678" s="6"/>
      <c r="K6678" s="10"/>
      <c r="L6678" s="10">
        <v>20201118</v>
      </c>
      <c r="M6678" s="36" t="str">
        <f t="shared" si="104"/>
        <v>19821030</v>
      </c>
    </row>
    <row r="6679" s="1" customFormat="1" spans="1:13">
      <c r="A6679" s="2">
        <v>7461</v>
      </c>
      <c r="B6679" s="5" t="s">
        <v>14402</v>
      </c>
      <c r="C6679" s="5" t="s">
        <v>14541</v>
      </c>
      <c r="D6679" s="5" t="s">
        <v>14542</v>
      </c>
      <c r="E6679" s="5">
        <v>2020</v>
      </c>
      <c r="F6679" s="5">
        <v>2020</v>
      </c>
      <c r="G6679" s="17" t="s">
        <v>16</v>
      </c>
      <c r="H6679" s="5">
        <v>200</v>
      </c>
      <c r="I6679" s="5">
        <v>200</v>
      </c>
      <c r="J6679" s="5" t="s">
        <v>749</v>
      </c>
      <c r="K6679" s="10"/>
      <c r="L6679" s="10">
        <v>20201118</v>
      </c>
      <c r="M6679" s="36" t="str">
        <f t="shared" si="104"/>
        <v>19821101</v>
      </c>
    </row>
    <row r="6680" s="1" customFormat="1" spans="1:13">
      <c r="A6680" s="2">
        <v>1730</v>
      </c>
      <c r="B6680" s="5" t="s">
        <v>3381</v>
      </c>
      <c r="C6680" s="9" t="s">
        <v>4020</v>
      </c>
      <c r="D6680" s="9" t="s">
        <v>4021</v>
      </c>
      <c r="E6680" s="5">
        <v>2020</v>
      </c>
      <c r="F6680" s="5">
        <v>2020</v>
      </c>
      <c r="G6680" s="14" t="s">
        <v>16</v>
      </c>
      <c r="H6680" s="6">
        <v>500</v>
      </c>
      <c r="I6680" s="6">
        <v>500</v>
      </c>
      <c r="J6680" s="5"/>
      <c r="K6680" s="13"/>
      <c r="L6680" s="10">
        <v>20201118</v>
      </c>
      <c r="M6680" s="36" t="str">
        <f t="shared" si="104"/>
        <v>19821105</v>
      </c>
    </row>
    <row r="6681" s="1" customFormat="1" spans="1:13">
      <c r="A6681" s="2">
        <v>7322</v>
      </c>
      <c r="B6681" s="5" t="s">
        <v>13908</v>
      </c>
      <c r="C6681" s="5" t="s">
        <v>14280</v>
      </c>
      <c r="D6681" s="5" t="s">
        <v>14281</v>
      </c>
      <c r="E6681" s="5" t="s">
        <v>15</v>
      </c>
      <c r="F6681" s="5" t="s">
        <v>15</v>
      </c>
      <c r="G6681" s="14" t="s">
        <v>16</v>
      </c>
      <c r="H6681" s="17">
        <v>200</v>
      </c>
      <c r="I6681" s="17">
        <v>200</v>
      </c>
      <c r="J6681" s="5"/>
      <c r="K6681" s="10"/>
      <c r="L6681" s="10">
        <v>20201118</v>
      </c>
      <c r="M6681" s="36" t="str">
        <f t="shared" si="104"/>
        <v>19821105</v>
      </c>
    </row>
    <row r="6682" s="1" customFormat="1" spans="1:13">
      <c r="A6682" s="2">
        <v>2707</v>
      </c>
      <c r="B6682" s="32" t="s">
        <v>5602</v>
      </c>
      <c r="C6682" s="9" t="s">
        <v>5944</v>
      </c>
      <c r="D6682" s="9" t="s">
        <v>5945</v>
      </c>
      <c r="E6682" s="32">
        <v>2020</v>
      </c>
      <c r="F6682" s="32">
        <v>2020</v>
      </c>
      <c r="G6682" s="32" t="s">
        <v>16</v>
      </c>
      <c r="H6682" s="9">
        <v>200</v>
      </c>
      <c r="I6682" s="9">
        <v>200</v>
      </c>
      <c r="J6682" s="32"/>
      <c r="K6682" s="52"/>
      <c r="L6682" s="10">
        <v>20201118</v>
      </c>
      <c r="M6682" s="36" t="str">
        <f t="shared" si="104"/>
        <v>19821106</v>
      </c>
    </row>
    <row r="6683" s="1" customFormat="1" spans="1:13">
      <c r="A6683" s="2">
        <v>142</v>
      </c>
      <c r="B6683" s="3" t="s">
        <v>12</v>
      </c>
      <c r="C6683" s="3" t="s">
        <v>304</v>
      </c>
      <c r="D6683" s="3" t="s">
        <v>305</v>
      </c>
      <c r="E6683" s="3" t="s">
        <v>15</v>
      </c>
      <c r="F6683" s="3" t="s">
        <v>15</v>
      </c>
      <c r="G6683" s="3" t="s">
        <v>295</v>
      </c>
      <c r="H6683" s="3">
        <v>200</v>
      </c>
      <c r="I6683" s="3">
        <v>200</v>
      </c>
      <c r="J6683" s="3"/>
      <c r="K6683" s="3"/>
      <c r="L6683" s="10">
        <v>20201118</v>
      </c>
      <c r="M6683" s="36" t="str">
        <f t="shared" si="104"/>
        <v>19821108</v>
      </c>
    </row>
    <row r="6684" s="1" customFormat="1" spans="1:13">
      <c r="A6684" s="2">
        <v>1276</v>
      </c>
      <c r="B6684" s="5" t="s">
        <v>2469</v>
      </c>
      <c r="C6684" s="9" t="s">
        <v>3134</v>
      </c>
      <c r="D6684" s="9" t="s">
        <v>3135</v>
      </c>
      <c r="E6684" s="5">
        <v>2020</v>
      </c>
      <c r="F6684" s="5">
        <v>2020</v>
      </c>
      <c r="G6684" s="9" t="s">
        <v>2480</v>
      </c>
      <c r="H6684" s="9">
        <v>200</v>
      </c>
      <c r="I6684" s="9">
        <v>200</v>
      </c>
      <c r="J6684" s="5"/>
      <c r="K6684" s="5"/>
      <c r="L6684" s="10">
        <v>20201118</v>
      </c>
      <c r="M6684" s="36" t="str">
        <f t="shared" si="104"/>
        <v>19821110</v>
      </c>
    </row>
    <row r="6685" s="1" customFormat="1" spans="1:13">
      <c r="A6685" s="2">
        <v>2110</v>
      </c>
      <c r="B6685" s="5" t="s">
        <v>4189</v>
      </c>
      <c r="C6685" s="9" t="s">
        <v>4420</v>
      </c>
      <c r="D6685" s="9" t="s">
        <v>4771</v>
      </c>
      <c r="E6685" s="5" t="s">
        <v>15</v>
      </c>
      <c r="F6685" s="5" t="s">
        <v>15</v>
      </c>
      <c r="G6685" s="5" t="s">
        <v>3359</v>
      </c>
      <c r="H6685" s="16">
        <v>200</v>
      </c>
      <c r="I6685" s="16">
        <v>200</v>
      </c>
      <c r="J6685" s="5"/>
      <c r="K6685" s="10"/>
      <c r="L6685" s="10">
        <v>20201118</v>
      </c>
      <c r="M6685" s="36" t="str">
        <f t="shared" si="104"/>
        <v>19821112</v>
      </c>
    </row>
    <row r="6686" s="1" customFormat="1" spans="1:13">
      <c r="A6686" s="2">
        <v>4875</v>
      </c>
      <c r="B6686" s="6" t="s">
        <v>9015</v>
      </c>
      <c r="C6686" s="6" t="s">
        <v>3969</v>
      </c>
      <c r="D6686" s="293" t="s">
        <v>9893</v>
      </c>
      <c r="E6686" s="6">
        <v>2020</v>
      </c>
      <c r="F6686" s="6">
        <v>2020</v>
      </c>
      <c r="G6686" s="6" t="s">
        <v>16</v>
      </c>
      <c r="H6686" s="6">
        <v>200</v>
      </c>
      <c r="I6686" s="6">
        <v>200</v>
      </c>
      <c r="J6686" s="6"/>
      <c r="K6686" s="6"/>
      <c r="L6686" s="10">
        <v>20201118</v>
      </c>
      <c r="M6686" s="36" t="str">
        <f t="shared" si="104"/>
        <v>19821112</v>
      </c>
    </row>
    <row r="6687" s="1" customFormat="1" spans="1:13">
      <c r="A6687" s="2">
        <v>7874</v>
      </c>
      <c r="B6687" s="5" t="s">
        <v>15086</v>
      </c>
      <c r="C6687" s="6" t="s">
        <v>15146</v>
      </c>
      <c r="D6687" s="6" t="str">
        <f>"152326198211161228"</f>
        <v>152326198211161228</v>
      </c>
      <c r="E6687" s="5" t="s">
        <v>15</v>
      </c>
      <c r="F6687" s="5">
        <v>2020</v>
      </c>
      <c r="G6687" s="5" t="s">
        <v>16</v>
      </c>
      <c r="H6687" s="5">
        <v>500</v>
      </c>
      <c r="I6687" s="5">
        <v>500</v>
      </c>
      <c r="J6687" s="5"/>
      <c r="K6687" s="5"/>
      <c r="L6687" s="10">
        <v>20201118</v>
      </c>
      <c r="M6687" s="36" t="str">
        <f t="shared" si="104"/>
        <v>19821116</v>
      </c>
    </row>
    <row r="6688" s="1" customFormat="1" spans="1:13">
      <c r="A6688" s="2">
        <v>363</v>
      </c>
      <c r="B6688" s="14" t="s">
        <v>327</v>
      </c>
      <c r="C6688" s="17" t="s">
        <v>976</v>
      </c>
      <c r="D6688" s="306" t="s">
        <v>977</v>
      </c>
      <c r="E6688" s="5">
        <v>2020</v>
      </c>
      <c r="F6688" s="5">
        <v>2020</v>
      </c>
      <c r="G6688" s="14" t="s">
        <v>16</v>
      </c>
      <c r="H6688" s="17">
        <v>200</v>
      </c>
      <c r="I6688" s="17">
        <v>200</v>
      </c>
      <c r="J6688" s="17"/>
      <c r="K6688" s="10"/>
      <c r="L6688" s="2" t="s">
        <v>330</v>
      </c>
      <c r="M6688" s="36" t="str">
        <f t="shared" si="104"/>
        <v>19821117</v>
      </c>
    </row>
    <row r="6689" s="1" customFormat="1" spans="1:13">
      <c r="A6689" s="2">
        <v>632</v>
      </c>
      <c r="B6689" s="29" t="s">
        <v>1040</v>
      </c>
      <c r="C6689" s="29" t="s">
        <v>1549</v>
      </c>
      <c r="D6689" s="29" t="s">
        <v>1550</v>
      </c>
      <c r="E6689" s="30">
        <v>2020</v>
      </c>
      <c r="F6689" s="30">
        <v>2020</v>
      </c>
      <c r="G6689" s="29" t="s">
        <v>16</v>
      </c>
      <c r="H6689" s="29">
        <v>200</v>
      </c>
      <c r="I6689" s="29">
        <v>200</v>
      </c>
      <c r="J6689" s="29"/>
      <c r="K6689" s="47"/>
      <c r="L6689" s="2" t="s">
        <v>330</v>
      </c>
      <c r="M6689" s="36" t="str">
        <f t="shared" si="104"/>
        <v>19821120</v>
      </c>
    </row>
    <row r="6690" s="1" customFormat="1" spans="1:13">
      <c r="A6690" s="2">
        <v>4696</v>
      </c>
      <c r="B6690" s="6" t="s">
        <v>9015</v>
      </c>
      <c r="C6690" s="6" t="s">
        <v>9552</v>
      </c>
      <c r="D6690" s="6" t="s">
        <v>9553</v>
      </c>
      <c r="E6690" s="6">
        <v>2020</v>
      </c>
      <c r="F6690" s="6">
        <v>2020</v>
      </c>
      <c r="G6690" s="6" t="s">
        <v>16</v>
      </c>
      <c r="H6690" s="6">
        <v>200</v>
      </c>
      <c r="I6690" s="6">
        <v>200</v>
      </c>
      <c r="J6690" s="6"/>
      <c r="K6690" s="6"/>
      <c r="L6690" s="10">
        <v>20201118</v>
      </c>
      <c r="M6690" s="36" t="str">
        <f t="shared" si="104"/>
        <v>19821121</v>
      </c>
    </row>
    <row r="6691" s="1" customFormat="1" spans="1:13">
      <c r="A6691" s="2">
        <v>6752</v>
      </c>
      <c r="B6691" s="5" t="s">
        <v>13027</v>
      </c>
      <c r="C6691" s="15" t="s">
        <v>13470</v>
      </c>
      <c r="D6691" s="15" t="s">
        <v>13471</v>
      </c>
      <c r="E6691" s="5">
        <v>2020</v>
      </c>
      <c r="F6691" s="5">
        <v>2020</v>
      </c>
      <c r="G6691" s="14" t="s">
        <v>16</v>
      </c>
      <c r="H6691" s="15">
        <v>200</v>
      </c>
      <c r="I6691" s="15">
        <v>200</v>
      </c>
      <c r="J6691" s="5"/>
      <c r="K6691" s="10"/>
      <c r="L6691" s="10">
        <v>20201118</v>
      </c>
      <c r="M6691" s="36" t="str">
        <f t="shared" si="104"/>
        <v>19821121</v>
      </c>
    </row>
    <row r="6692" s="1" customFormat="1" spans="1:13">
      <c r="A6692" s="2">
        <v>4365</v>
      </c>
      <c r="B6692" s="9" t="s">
        <v>8515</v>
      </c>
      <c r="C6692" s="9" t="s">
        <v>8919</v>
      </c>
      <c r="D6692" s="9" t="s">
        <v>8920</v>
      </c>
      <c r="E6692" s="5" t="s">
        <v>15</v>
      </c>
      <c r="F6692" s="5">
        <v>2020</v>
      </c>
      <c r="G6692" s="9" t="s">
        <v>2480</v>
      </c>
      <c r="H6692" s="9">
        <v>200</v>
      </c>
      <c r="I6692" s="9">
        <v>200</v>
      </c>
      <c r="J6692" s="9"/>
      <c r="K6692" s="9"/>
      <c r="L6692" s="10">
        <v>20201118</v>
      </c>
      <c r="M6692" s="36" t="str">
        <f t="shared" si="104"/>
        <v>19821122</v>
      </c>
    </row>
    <row r="6693" s="1" customFormat="1" spans="1:13">
      <c r="A6693" s="2">
        <v>5934</v>
      </c>
      <c r="B6693" s="30" t="s">
        <v>11090</v>
      </c>
      <c r="C6693" s="6" t="s">
        <v>11917</v>
      </c>
      <c r="D6693" s="306" t="s">
        <v>11918</v>
      </c>
      <c r="E6693" s="5" t="s">
        <v>15</v>
      </c>
      <c r="F6693" s="5" t="s">
        <v>10250</v>
      </c>
      <c r="G6693" s="6" t="s">
        <v>16</v>
      </c>
      <c r="H6693" s="32">
        <v>200</v>
      </c>
      <c r="I6693" s="32">
        <v>200</v>
      </c>
      <c r="J6693" s="6"/>
      <c r="K6693" s="48"/>
      <c r="L6693" s="10">
        <v>20201118</v>
      </c>
      <c r="M6693" s="36" t="str">
        <f t="shared" si="104"/>
        <v>19821124</v>
      </c>
    </row>
    <row r="6694" s="1" customFormat="1" spans="1:13">
      <c r="A6694" s="2">
        <v>410</v>
      </c>
      <c r="B6694" s="29" t="s">
        <v>1040</v>
      </c>
      <c r="C6694" s="29" t="s">
        <v>1097</v>
      </c>
      <c r="D6694" s="29" t="s">
        <v>1098</v>
      </c>
      <c r="E6694" s="30">
        <v>2020</v>
      </c>
      <c r="F6694" s="30">
        <v>2020</v>
      </c>
      <c r="G6694" s="29" t="s">
        <v>16</v>
      </c>
      <c r="H6694" s="29">
        <v>200</v>
      </c>
      <c r="I6694" s="29">
        <v>200</v>
      </c>
      <c r="J6694" s="29"/>
      <c r="K6694" s="47"/>
      <c r="L6694" s="2" t="s">
        <v>330</v>
      </c>
      <c r="M6694" s="36" t="str">
        <f t="shared" si="104"/>
        <v>19821129</v>
      </c>
    </row>
    <row r="6695" s="1" customFormat="1" spans="1:13">
      <c r="A6695" s="2">
        <v>71</v>
      </c>
      <c r="B6695" s="3" t="s">
        <v>12</v>
      </c>
      <c r="C6695" s="3" t="s">
        <v>157</v>
      </c>
      <c r="D6695" s="3" t="s">
        <v>158</v>
      </c>
      <c r="E6695" s="3" t="s">
        <v>15</v>
      </c>
      <c r="F6695" s="3" t="s">
        <v>15</v>
      </c>
      <c r="G6695" s="2" t="s">
        <v>16</v>
      </c>
      <c r="H6695" s="3">
        <v>200</v>
      </c>
      <c r="I6695" s="3">
        <v>200</v>
      </c>
      <c r="J6695" s="3"/>
      <c r="K6695" s="3"/>
      <c r="L6695" s="10">
        <v>20201118</v>
      </c>
      <c r="M6695" s="36" t="str">
        <f t="shared" si="104"/>
        <v>19821201</v>
      </c>
    </row>
    <row r="6696" s="1" customFormat="1" spans="1:13">
      <c r="A6696" s="2">
        <v>1792</v>
      </c>
      <c r="B6696" s="5" t="s">
        <v>3381</v>
      </c>
      <c r="C6696" s="9" t="s">
        <v>4146</v>
      </c>
      <c r="D6696" s="9" t="s">
        <v>4147</v>
      </c>
      <c r="E6696" s="5">
        <v>2020</v>
      </c>
      <c r="F6696" s="5">
        <v>2020</v>
      </c>
      <c r="G6696" s="5" t="s">
        <v>189</v>
      </c>
      <c r="H6696" s="6">
        <v>1000</v>
      </c>
      <c r="I6696" s="6">
        <v>1000</v>
      </c>
      <c r="J6696" s="5"/>
      <c r="K6696" s="13"/>
      <c r="L6696" s="10">
        <v>20201118</v>
      </c>
      <c r="M6696" s="36" t="str">
        <f t="shared" si="104"/>
        <v>19821203</v>
      </c>
    </row>
    <row r="6697" s="1" customFormat="1" spans="1:13">
      <c r="A6697" s="2">
        <v>2056</v>
      </c>
      <c r="B6697" s="5" t="s">
        <v>4189</v>
      </c>
      <c r="C6697" s="16" t="s">
        <v>4666</v>
      </c>
      <c r="D6697" s="16" t="s">
        <v>4667</v>
      </c>
      <c r="E6697" s="5" t="s">
        <v>15</v>
      </c>
      <c r="F6697" s="5" t="s">
        <v>15</v>
      </c>
      <c r="G6697" s="5" t="s">
        <v>3359</v>
      </c>
      <c r="H6697" s="16">
        <v>3000</v>
      </c>
      <c r="I6697" s="16">
        <v>3000</v>
      </c>
      <c r="J6697" s="5"/>
      <c r="K6697" s="10"/>
      <c r="L6697" s="10">
        <v>20201118</v>
      </c>
      <c r="M6697" s="36" t="str">
        <f t="shared" si="104"/>
        <v>19821204</v>
      </c>
    </row>
    <row r="6698" s="1" customFormat="1" ht="14.25" spans="1:13">
      <c r="A6698" s="2">
        <v>6022</v>
      </c>
      <c r="B6698" s="30" t="s">
        <v>11090</v>
      </c>
      <c r="C6698" s="32" t="s">
        <v>12087</v>
      </c>
      <c r="D6698" s="12" t="s">
        <v>12088</v>
      </c>
      <c r="E6698" s="5" t="s">
        <v>15</v>
      </c>
      <c r="F6698" s="5" t="s">
        <v>10250</v>
      </c>
      <c r="G6698" s="6" t="s">
        <v>16</v>
      </c>
      <c r="H6698" s="32">
        <v>200</v>
      </c>
      <c r="I6698" s="32">
        <v>200</v>
      </c>
      <c r="J6698" s="5"/>
      <c r="K6698" s="48"/>
      <c r="L6698" s="10">
        <v>20201118</v>
      </c>
      <c r="M6698" s="36" t="str">
        <f t="shared" si="104"/>
        <v>19821207</v>
      </c>
    </row>
    <row r="6699" s="1" customFormat="1" spans="1:13">
      <c r="A6699" s="2">
        <v>1731</v>
      </c>
      <c r="B6699" s="5" t="s">
        <v>3381</v>
      </c>
      <c r="C6699" s="9" t="s">
        <v>4022</v>
      </c>
      <c r="D6699" s="9" t="s">
        <v>4023</v>
      </c>
      <c r="E6699" s="5">
        <v>2020</v>
      </c>
      <c r="F6699" s="5">
        <v>2020</v>
      </c>
      <c r="G6699" s="14" t="s">
        <v>16</v>
      </c>
      <c r="H6699" s="6">
        <v>200</v>
      </c>
      <c r="I6699" s="6">
        <v>200</v>
      </c>
      <c r="J6699" s="5"/>
      <c r="K6699" s="13"/>
      <c r="L6699" s="10">
        <v>20201118</v>
      </c>
      <c r="M6699" s="36" t="str">
        <f t="shared" si="104"/>
        <v>19821212</v>
      </c>
    </row>
    <row r="6700" s="1" customFormat="1" spans="1:13">
      <c r="A6700" s="2">
        <v>4366</v>
      </c>
      <c r="B6700" s="9" t="s">
        <v>8515</v>
      </c>
      <c r="C6700" s="9" t="s">
        <v>8921</v>
      </c>
      <c r="D6700" s="9" t="s">
        <v>8922</v>
      </c>
      <c r="E6700" s="5" t="s">
        <v>15</v>
      </c>
      <c r="F6700" s="5">
        <v>2020</v>
      </c>
      <c r="G6700" s="9" t="s">
        <v>2480</v>
      </c>
      <c r="H6700" s="9">
        <v>500</v>
      </c>
      <c r="I6700" s="9">
        <v>500</v>
      </c>
      <c r="J6700" s="9"/>
      <c r="K6700" s="9"/>
      <c r="L6700" s="10">
        <v>20201118</v>
      </c>
      <c r="M6700" s="36" t="str">
        <f t="shared" si="104"/>
        <v>19821214</v>
      </c>
    </row>
    <row r="6701" s="1" customFormat="1" spans="1:13">
      <c r="A6701" s="2">
        <v>4651</v>
      </c>
      <c r="B6701" s="6" t="s">
        <v>9015</v>
      </c>
      <c r="C6701" s="6" t="s">
        <v>9466</v>
      </c>
      <c r="D6701" s="6" t="s">
        <v>9467</v>
      </c>
      <c r="E6701" s="6">
        <v>2020</v>
      </c>
      <c r="F6701" s="6">
        <v>2020</v>
      </c>
      <c r="G6701" s="6" t="s">
        <v>16</v>
      </c>
      <c r="H6701" s="6">
        <v>200</v>
      </c>
      <c r="I6701" s="6">
        <v>200</v>
      </c>
      <c r="J6701" s="6"/>
      <c r="K6701" s="6"/>
      <c r="L6701" s="10">
        <v>20201118</v>
      </c>
      <c r="M6701" s="36" t="str">
        <f t="shared" si="104"/>
        <v>19821216</v>
      </c>
    </row>
    <row r="6702" s="1" customFormat="1" spans="1:13">
      <c r="A6702" s="2">
        <v>5192</v>
      </c>
      <c r="B6702" s="6" t="s">
        <v>10242</v>
      </c>
      <c r="C6702" s="9" t="s">
        <v>10505</v>
      </c>
      <c r="D6702" s="89" t="s">
        <v>10506</v>
      </c>
      <c r="E6702" s="5" t="s">
        <v>10250</v>
      </c>
      <c r="F6702" s="5">
        <v>2020</v>
      </c>
      <c r="G6702" s="6" t="s">
        <v>16</v>
      </c>
      <c r="H6702" s="6">
        <v>200</v>
      </c>
      <c r="I6702" s="6">
        <v>200</v>
      </c>
      <c r="J6702" s="6"/>
      <c r="K6702" s="5"/>
      <c r="L6702" s="10">
        <v>20201118</v>
      </c>
      <c r="M6702" s="36" t="str">
        <f t="shared" si="104"/>
        <v>19821217</v>
      </c>
    </row>
    <row r="6703" s="1" customFormat="1" spans="1:13">
      <c r="A6703" s="2">
        <v>7224</v>
      </c>
      <c r="B6703" s="5" t="s">
        <v>13908</v>
      </c>
      <c r="C6703" s="5" t="s">
        <v>14094</v>
      </c>
      <c r="D6703" s="5" t="s">
        <v>14095</v>
      </c>
      <c r="E6703" s="5" t="s">
        <v>15</v>
      </c>
      <c r="F6703" s="5" t="s">
        <v>15</v>
      </c>
      <c r="G6703" s="14" t="s">
        <v>16</v>
      </c>
      <c r="H6703" s="17">
        <v>200</v>
      </c>
      <c r="I6703" s="17">
        <v>200</v>
      </c>
      <c r="J6703" s="5"/>
      <c r="K6703" s="10"/>
      <c r="L6703" s="10">
        <v>20201118</v>
      </c>
      <c r="M6703" s="36" t="str">
        <f t="shared" si="104"/>
        <v>19821218</v>
      </c>
    </row>
    <row r="6704" s="1" customFormat="1" spans="1:13">
      <c r="A6704" s="2">
        <v>6753</v>
      </c>
      <c r="B6704" s="5" t="s">
        <v>13027</v>
      </c>
      <c r="C6704" s="15" t="s">
        <v>13472</v>
      </c>
      <c r="D6704" s="15" t="s">
        <v>13473</v>
      </c>
      <c r="E6704" s="5">
        <v>2020</v>
      </c>
      <c r="F6704" s="5">
        <v>2020</v>
      </c>
      <c r="G6704" s="14" t="s">
        <v>16</v>
      </c>
      <c r="H6704" s="15">
        <v>200</v>
      </c>
      <c r="I6704" s="15">
        <v>200</v>
      </c>
      <c r="J6704" s="5"/>
      <c r="K6704" s="10"/>
      <c r="L6704" s="10">
        <v>20201118</v>
      </c>
      <c r="M6704" s="36" t="str">
        <f t="shared" si="104"/>
        <v>19821220</v>
      </c>
    </row>
    <row r="6705" s="1" customFormat="1" spans="1:13">
      <c r="A6705" s="2">
        <v>4715</v>
      </c>
      <c r="B6705" s="6" t="s">
        <v>9015</v>
      </c>
      <c r="C6705" s="6" t="s">
        <v>7919</v>
      </c>
      <c r="D6705" s="6" t="s">
        <v>9590</v>
      </c>
      <c r="E6705" s="6">
        <v>2020</v>
      </c>
      <c r="F6705" s="6">
        <v>2020</v>
      </c>
      <c r="G6705" s="6" t="s">
        <v>16</v>
      </c>
      <c r="H6705" s="6">
        <v>200</v>
      </c>
      <c r="I6705" s="6">
        <v>200</v>
      </c>
      <c r="J6705" s="6"/>
      <c r="K6705" s="6"/>
      <c r="L6705" s="10">
        <v>20201118</v>
      </c>
      <c r="M6705" s="36" t="str">
        <f t="shared" si="104"/>
        <v>19821221</v>
      </c>
    </row>
    <row r="6706" s="1" customFormat="1" ht="14.25" spans="1:13">
      <c r="A6706" s="2">
        <v>7660</v>
      </c>
      <c r="B6706" s="5" t="s">
        <v>14875</v>
      </c>
      <c r="C6706" s="51" t="s">
        <v>14901</v>
      </c>
      <c r="D6706" s="24" t="str">
        <f>"152326198212232286"</f>
        <v>152326198212232286</v>
      </c>
      <c r="E6706" s="6" t="s">
        <v>15</v>
      </c>
      <c r="F6706" s="6">
        <v>2020</v>
      </c>
      <c r="G6706" s="24" t="s">
        <v>14877</v>
      </c>
      <c r="H6706" s="6">
        <v>200</v>
      </c>
      <c r="I6706" s="6">
        <v>200</v>
      </c>
      <c r="J6706" s="6"/>
      <c r="K6706" s="10"/>
      <c r="L6706" s="10">
        <v>20201118</v>
      </c>
      <c r="M6706" s="36" t="str">
        <f t="shared" si="104"/>
        <v>19821223</v>
      </c>
    </row>
    <row r="6707" s="1" customFormat="1" spans="1:13">
      <c r="A6707" s="2">
        <v>4566</v>
      </c>
      <c r="B6707" s="6" t="s">
        <v>9015</v>
      </c>
      <c r="C6707" s="6" t="s">
        <v>8670</v>
      </c>
      <c r="D6707" s="6" t="s">
        <v>9310</v>
      </c>
      <c r="E6707" s="6">
        <v>2020</v>
      </c>
      <c r="F6707" s="6">
        <v>2020</v>
      </c>
      <c r="G6707" s="6" t="s">
        <v>16</v>
      </c>
      <c r="H6707" s="6">
        <v>200</v>
      </c>
      <c r="I6707" s="6">
        <v>200</v>
      </c>
      <c r="J6707" s="6"/>
      <c r="K6707" s="6"/>
      <c r="L6707" s="10">
        <v>20201118</v>
      </c>
      <c r="M6707" s="36" t="str">
        <f t="shared" si="104"/>
        <v>19821227</v>
      </c>
    </row>
    <row r="6708" s="1" customFormat="1" spans="1:13">
      <c r="A6708" s="2">
        <v>4979</v>
      </c>
      <c r="B6708" s="6" t="s">
        <v>9954</v>
      </c>
      <c r="C6708" s="60" t="s">
        <v>10097</v>
      </c>
      <c r="D6708" s="60" t="s">
        <v>10098</v>
      </c>
      <c r="E6708" s="5" t="s">
        <v>15</v>
      </c>
      <c r="F6708" s="5" t="s">
        <v>15</v>
      </c>
      <c r="G6708" s="14" t="s">
        <v>16</v>
      </c>
      <c r="H6708" s="6">
        <v>200</v>
      </c>
      <c r="I6708" s="6">
        <v>200</v>
      </c>
      <c r="J6708" s="6"/>
      <c r="K6708" s="6"/>
      <c r="L6708" s="10">
        <v>20201118</v>
      </c>
      <c r="M6708" s="36" t="str">
        <f t="shared" si="104"/>
        <v>19821228</v>
      </c>
    </row>
    <row r="6709" s="1" customFormat="1" spans="1:13">
      <c r="A6709" s="2">
        <v>6418</v>
      </c>
      <c r="B6709" s="5" t="s">
        <v>12263</v>
      </c>
      <c r="C6709" s="5" t="s">
        <v>12843</v>
      </c>
      <c r="D6709" s="5" t="s">
        <v>12844</v>
      </c>
      <c r="E6709" s="5" t="s">
        <v>10250</v>
      </c>
      <c r="F6709" s="5">
        <v>2020</v>
      </c>
      <c r="G6709" s="17" t="s">
        <v>3359</v>
      </c>
      <c r="H6709" s="5">
        <v>300</v>
      </c>
      <c r="I6709" s="5">
        <v>300</v>
      </c>
      <c r="J6709" s="5"/>
      <c r="K6709" s="5"/>
      <c r="L6709" s="10">
        <v>20201118</v>
      </c>
      <c r="M6709" s="36" t="str">
        <f t="shared" si="104"/>
        <v>19821228</v>
      </c>
    </row>
    <row r="6710" s="1" customFormat="1" spans="1:13">
      <c r="A6710" s="2">
        <v>531</v>
      </c>
      <c r="B6710" s="29" t="s">
        <v>1040</v>
      </c>
      <c r="C6710" s="29" t="s">
        <v>1339</v>
      </c>
      <c r="D6710" s="29" t="s">
        <v>1340</v>
      </c>
      <c r="E6710" s="30">
        <v>2020</v>
      </c>
      <c r="F6710" s="30">
        <v>2020</v>
      </c>
      <c r="G6710" s="29" t="s">
        <v>16</v>
      </c>
      <c r="H6710" s="29">
        <v>200</v>
      </c>
      <c r="I6710" s="29">
        <v>200</v>
      </c>
      <c r="J6710" s="29"/>
      <c r="K6710" s="47"/>
      <c r="L6710" s="14" t="s">
        <v>330</v>
      </c>
      <c r="M6710" s="36" t="str">
        <f t="shared" si="104"/>
        <v>19821229</v>
      </c>
    </row>
    <row r="6711" s="1" customFormat="1" spans="1:13">
      <c r="A6711" s="2">
        <v>2708</v>
      </c>
      <c r="B6711" s="32" t="s">
        <v>5602</v>
      </c>
      <c r="C6711" s="9" t="s">
        <v>5946</v>
      </c>
      <c r="D6711" s="9" t="s">
        <v>5947</v>
      </c>
      <c r="E6711" s="32">
        <v>2020</v>
      </c>
      <c r="F6711" s="32">
        <v>2020</v>
      </c>
      <c r="G6711" s="32" t="s">
        <v>16</v>
      </c>
      <c r="H6711" s="9">
        <v>200</v>
      </c>
      <c r="I6711" s="9">
        <v>200</v>
      </c>
      <c r="J6711" s="32"/>
      <c r="K6711" s="52"/>
      <c r="L6711" s="10">
        <v>20201118</v>
      </c>
      <c r="M6711" s="36" t="str">
        <f t="shared" si="104"/>
        <v>19821230</v>
      </c>
    </row>
    <row r="6712" s="1" customFormat="1" ht="14.25" spans="1:13">
      <c r="A6712" s="2">
        <v>5423</v>
      </c>
      <c r="B6712" s="33" t="s">
        <v>10535</v>
      </c>
      <c r="C6712" s="34" t="s">
        <v>10950</v>
      </c>
      <c r="D6712" s="34" t="s">
        <v>10951</v>
      </c>
      <c r="E6712" s="35">
        <v>2020</v>
      </c>
      <c r="F6712" s="35">
        <v>2020</v>
      </c>
      <c r="G6712" s="35" t="s">
        <v>16</v>
      </c>
      <c r="H6712" s="34">
        <v>200</v>
      </c>
      <c r="I6712" s="34">
        <v>200</v>
      </c>
      <c r="J6712" s="49"/>
      <c r="K6712" s="10"/>
      <c r="L6712" s="10">
        <v>20201118</v>
      </c>
      <c r="M6712" s="36" t="str">
        <f t="shared" si="104"/>
        <v>19821230</v>
      </c>
    </row>
    <row r="6713" s="1" customFormat="1" spans="1:13">
      <c r="A6713" s="2">
        <v>8158</v>
      </c>
      <c r="B6713" s="5" t="s">
        <v>15406</v>
      </c>
      <c r="C6713" s="6" t="s">
        <v>15508</v>
      </c>
      <c r="D6713" s="6" t="s">
        <v>15509</v>
      </c>
      <c r="E6713" s="5" t="s">
        <v>15</v>
      </c>
      <c r="F6713" s="5">
        <v>2020</v>
      </c>
      <c r="G6713" s="14" t="s">
        <v>16</v>
      </c>
      <c r="H6713" s="6">
        <v>200</v>
      </c>
      <c r="I6713" s="6">
        <v>200</v>
      </c>
      <c r="J6713" s="5"/>
      <c r="K6713" s="10"/>
      <c r="L6713" s="10">
        <v>20201118</v>
      </c>
      <c r="M6713" s="36" t="str">
        <f t="shared" si="104"/>
        <v>19830101</v>
      </c>
    </row>
    <row r="6714" s="1" customFormat="1" spans="1:13">
      <c r="A6714" s="2">
        <v>5711</v>
      </c>
      <c r="B6714" s="30" t="s">
        <v>11090</v>
      </c>
      <c r="C6714" s="30" t="s">
        <v>11507</v>
      </c>
      <c r="D6714" s="30" t="s">
        <v>11508</v>
      </c>
      <c r="E6714" s="5" t="s">
        <v>15</v>
      </c>
      <c r="F6714" s="5" t="s">
        <v>10250</v>
      </c>
      <c r="G6714" s="6" t="s">
        <v>16</v>
      </c>
      <c r="H6714" s="32">
        <v>200</v>
      </c>
      <c r="I6714" s="32">
        <v>200</v>
      </c>
      <c r="J6714" s="6"/>
      <c r="K6714" s="48"/>
      <c r="L6714" s="10">
        <v>20201118</v>
      </c>
      <c r="M6714" s="36" t="str">
        <f t="shared" si="104"/>
        <v>19830107</v>
      </c>
    </row>
    <row r="6715" s="1" customFormat="1" spans="1:13">
      <c r="A6715" s="2">
        <v>698</v>
      </c>
      <c r="B6715" s="29" t="s">
        <v>1040</v>
      </c>
      <c r="C6715" s="5" t="s">
        <v>1746</v>
      </c>
      <c r="D6715" s="5" t="s">
        <v>1747</v>
      </c>
      <c r="E6715" s="30">
        <v>2020</v>
      </c>
      <c r="F6715" s="30">
        <v>2020</v>
      </c>
      <c r="G6715" s="29" t="s">
        <v>16</v>
      </c>
      <c r="H6715" s="29">
        <v>200</v>
      </c>
      <c r="I6715" s="29">
        <v>200</v>
      </c>
      <c r="J6715" s="29"/>
      <c r="K6715" s="54"/>
      <c r="L6715" s="14" t="s">
        <v>330</v>
      </c>
      <c r="M6715" s="36" t="str">
        <f t="shared" si="104"/>
        <v>19830108</v>
      </c>
    </row>
    <row r="6716" s="1" customFormat="1" spans="1:13">
      <c r="A6716" s="2">
        <v>5171</v>
      </c>
      <c r="B6716" s="6" t="s">
        <v>10242</v>
      </c>
      <c r="C6716" s="9" t="s">
        <v>10466</v>
      </c>
      <c r="D6716" s="9" t="s">
        <v>10467</v>
      </c>
      <c r="E6716" s="5" t="s">
        <v>10250</v>
      </c>
      <c r="F6716" s="5">
        <v>2020</v>
      </c>
      <c r="G6716" s="6" t="s">
        <v>16</v>
      </c>
      <c r="H6716" s="6">
        <v>200</v>
      </c>
      <c r="I6716" s="6">
        <v>200</v>
      </c>
      <c r="J6716" s="6"/>
      <c r="K6716" s="5"/>
      <c r="L6716" s="10">
        <v>20201118</v>
      </c>
      <c r="M6716" s="36" t="str">
        <f t="shared" si="104"/>
        <v>19830109</v>
      </c>
    </row>
    <row r="6717" s="1" customFormat="1" spans="1:13">
      <c r="A6717" s="2">
        <v>3168</v>
      </c>
      <c r="B6717" s="3" t="s">
        <v>6671</v>
      </c>
      <c r="C6717" s="9" t="s">
        <v>6850</v>
      </c>
      <c r="D6717" s="9" t="s">
        <v>6851</v>
      </c>
      <c r="E6717" s="3" t="s">
        <v>15</v>
      </c>
      <c r="F6717" s="3" t="s">
        <v>15</v>
      </c>
      <c r="G6717" s="6" t="s">
        <v>3359</v>
      </c>
      <c r="H6717" s="9">
        <v>200</v>
      </c>
      <c r="I6717" s="9">
        <v>200</v>
      </c>
      <c r="J6717" s="6"/>
      <c r="K6717" s="5"/>
      <c r="L6717" s="10">
        <v>20201118</v>
      </c>
      <c r="M6717" s="36" t="str">
        <f t="shared" si="104"/>
        <v>19830110</v>
      </c>
    </row>
    <row r="6718" s="1" customFormat="1" spans="1:13">
      <c r="A6718" s="2">
        <v>5874</v>
      </c>
      <c r="B6718" s="30" t="s">
        <v>11090</v>
      </c>
      <c r="C6718" s="30" t="s">
        <v>11805</v>
      </c>
      <c r="D6718" s="30" t="s">
        <v>11806</v>
      </c>
      <c r="E6718" s="5" t="s">
        <v>15</v>
      </c>
      <c r="F6718" s="5" t="s">
        <v>10250</v>
      </c>
      <c r="G6718" s="6" t="s">
        <v>16</v>
      </c>
      <c r="H6718" s="32">
        <v>200</v>
      </c>
      <c r="I6718" s="32">
        <v>200</v>
      </c>
      <c r="J6718" s="6"/>
      <c r="K6718" s="48"/>
      <c r="L6718" s="10">
        <v>20201118</v>
      </c>
      <c r="M6718" s="36" t="str">
        <f t="shared" si="104"/>
        <v>19830110</v>
      </c>
    </row>
    <row r="6719" s="1" customFormat="1" ht="14.25" spans="1:13">
      <c r="A6719" s="2">
        <v>2893</v>
      </c>
      <c r="B6719" s="6" t="s">
        <v>6075</v>
      </c>
      <c r="C6719" s="25" t="s">
        <v>6314</v>
      </c>
      <c r="D6719" s="26" t="s">
        <v>6315</v>
      </c>
      <c r="E6719" s="5" t="s">
        <v>15</v>
      </c>
      <c r="F6719" s="5">
        <v>2020</v>
      </c>
      <c r="G6719" s="6" t="s">
        <v>16</v>
      </c>
      <c r="H6719" s="6">
        <v>200</v>
      </c>
      <c r="I6719" s="6">
        <v>200</v>
      </c>
      <c r="J6719" s="6"/>
      <c r="K6719" s="10"/>
      <c r="L6719" s="10">
        <v>20201118</v>
      </c>
      <c r="M6719" s="36" t="str">
        <f t="shared" si="104"/>
        <v>19830111</v>
      </c>
    </row>
    <row r="6720" s="1" customFormat="1" ht="14.25" spans="1:13">
      <c r="A6720" s="2">
        <v>5424</v>
      </c>
      <c r="B6720" s="33" t="s">
        <v>10535</v>
      </c>
      <c r="C6720" s="34" t="s">
        <v>10952</v>
      </c>
      <c r="D6720" s="34" t="s">
        <v>10953</v>
      </c>
      <c r="E6720" s="35">
        <v>2020</v>
      </c>
      <c r="F6720" s="35">
        <v>2020</v>
      </c>
      <c r="G6720" s="35" t="s">
        <v>16</v>
      </c>
      <c r="H6720" s="34">
        <v>200</v>
      </c>
      <c r="I6720" s="34">
        <v>200</v>
      </c>
      <c r="J6720" s="49"/>
      <c r="K6720" s="10"/>
      <c r="L6720" s="10">
        <v>20201118</v>
      </c>
      <c r="M6720" s="36" t="str">
        <f t="shared" si="104"/>
        <v>19830111</v>
      </c>
    </row>
    <row r="6721" s="1" customFormat="1" spans="1:13">
      <c r="A6721" s="2">
        <v>2028</v>
      </c>
      <c r="B6721" s="5" t="s">
        <v>4189</v>
      </c>
      <c r="C6721" s="16" t="s">
        <v>42</v>
      </c>
      <c r="D6721" s="16" t="s">
        <v>4613</v>
      </c>
      <c r="E6721" s="5" t="s">
        <v>15</v>
      </c>
      <c r="F6721" s="5" t="s">
        <v>15</v>
      </c>
      <c r="G6721" s="5" t="s">
        <v>3359</v>
      </c>
      <c r="H6721" s="16">
        <v>200</v>
      </c>
      <c r="I6721" s="16">
        <v>200</v>
      </c>
      <c r="J6721" s="5"/>
      <c r="K6721" s="10"/>
      <c r="L6721" s="10">
        <v>20201118</v>
      </c>
      <c r="M6721" s="36" t="str">
        <f t="shared" si="104"/>
        <v>19830112</v>
      </c>
    </row>
    <row r="6722" s="1" customFormat="1" spans="1:13">
      <c r="A6722" s="2">
        <v>2501</v>
      </c>
      <c r="B6722" s="5" t="s">
        <v>5328</v>
      </c>
      <c r="C6722" s="16" t="s">
        <v>5536</v>
      </c>
      <c r="D6722" s="16" t="s">
        <v>5537</v>
      </c>
      <c r="E6722" s="5" t="s">
        <v>15</v>
      </c>
      <c r="F6722" s="5" t="s">
        <v>15</v>
      </c>
      <c r="G6722" s="14" t="s">
        <v>16</v>
      </c>
      <c r="H6722" s="6">
        <v>1000</v>
      </c>
      <c r="I6722" s="6">
        <v>1000</v>
      </c>
      <c r="J6722" s="5"/>
      <c r="K6722" s="5"/>
      <c r="L6722" s="10">
        <v>20201118</v>
      </c>
      <c r="M6722" s="36" t="str">
        <f t="shared" ref="M6722:M6785" si="105">MID(D6722,7,8)</f>
        <v>19830113</v>
      </c>
    </row>
    <row r="6723" s="1" customFormat="1" spans="1:13">
      <c r="A6723" s="2">
        <v>2709</v>
      </c>
      <c r="B6723" s="32" t="s">
        <v>5602</v>
      </c>
      <c r="C6723" s="9" t="s">
        <v>5948</v>
      </c>
      <c r="D6723" s="9" t="s">
        <v>5949</v>
      </c>
      <c r="E6723" s="32">
        <v>2020</v>
      </c>
      <c r="F6723" s="32">
        <v>2020</v>
      </c>
      <c r="G6723" s="32" t="s">
        <v>16</v>
      </c>
      <c r="H6723" s="9">
        <v>200</v>
      </c>
      <c r="I6723" s="9">
        <v>200</v>
      </c>
      <c r="J6723" s="32"/>
      <c r="K6723" s="52"/>
      <c r="L6723" s="10">
        <v>20201118</v>
      </c>
      <c r="M6723" s="36" t="str">
        <f t="shared" si="105"/>
        <v>19830114</v>
      </c>
    </row>
    <row r="6724" s="1" customFormat="1" ht="14.25" spans="1:13">
      <c r="A6724" s="2">
        <v>7652</v>
      </c>
      <c r="B6724" s="5" t="s">
        <v>14875</v>
      </c>
      <c r="C6724" s="51" t="s">
        <v>14892</v>
      </c>
      <c r="D6724" s="24" t="str">
        <f>"152326198301157118"</f>
        <v>152326198301157118</v>
      </c>
      <c r="E6724" s="6" t="s">
        <v>15</v>
      </c>
      <c r="F6724" s="6">
        <v>2020</v>
      </c>
      <c r="G6724" s="24" t="s">
        <v>14877</v>
      </c>
      <c r="H6724" s="6">
        <v>200</v>
      </c>
      <c r="I6724" s="6">
        <v>200</v>
      </c>
      <c r="J6724" s="6"/>
      <c r="K6724" s="10"/>
      <c r="L6724" s="10">
        <v>20201118</v>
      </c>
      <c r="M6724" s="36" t="str">
        <f t="shared" si="105"/>
        <v>19830115</v>
      </c>
    </row>
    <row r="6725" s="1" customFormat="1" spans="1:13">
      <c r="A6725" s="2">
        <v>359</v>
      </c>
      <c r="B6725" s="14" t="s">
        <v>327</v>
      </c>
      <c r="C6725" s="17" t="s">
        <v>964</v>
      </c>
      <c r="D6725" s="306" t="s">
        <v>965</v>
      </c>
      <c r="E6725" s="5">
        <v>2020</v>
      </c>
      <c r="F6725" s="5">
        <v>2020</v>
      </c>
      <c r="G6725" s="14" t="s">
        <v>16</v>
      </c>
      <c r="H6725" s="17">
        <v>200</v>
      </c>
      <c r="I6725" s="17">
        <v>200</v>
      </c>
      <c r="J6725" s="17"/>
      <c r="K6725" s="10"/>
      <c r="L6725" s="2" t="s">
        <v>330</v>
      </c>
      <c r="M6725" s="36" t="str">
        <f t="shared" si="105"/>
        <v>19830116</v>
      </c>
    </row>
    <row r="6726" s="1" customFormat="1" spans="1:13">
      <c r="A6726" s="2">
        <v>5036</v>
      </c>
      <c r="B6726" s="6" t="s">
        <v>9954</v>
      </c>
      <c r="C6726" s="60" t="s">
        <v>10205</v>
      </c>
      <c r="D6726" s="60" t="s">
        <v>10206</v>
      </c>
      <c r="E6726" s="5" t="s">
        <v>15</v>
      </c>
      <c r="F6726" s="5" t="s">
        <v>15</v>
      </c>
      <c r="G6726" s="14" t="s">
        <v>16</v>
      </c>
      <c r="H6726" s="6">
        <v>200</v>
      </c>
      <c r="I6726" s="6">
        <v>200</v>
      </c>
      <c r="J6726" s="6"/>
      <c r="K6726" s="6"/>
      <c r="L6726" s="10">
        <v>20201118</v>
      </c>
      <c r="M6726" s="36" t="str">
        <f t="shared" si="105"/>
        <v>19830116</v>
      </c>
    </row>
    <row r="6727" s="1" customFormat="1" ht="14.25" spans="1:13">
      <c r="A6727" s="2">
        <v>7650</v>
      </c>
      <c r="B6727" s="5" t="s">
        <v>14875</v>
      </c>
      <c r="C6727" s="51" t="s">
        <v>14890</v>
      </c>
      <c r="D6727" s="24" t="str">
        <f>"152326198301167172"</f>
        <v>152326198301167172</v>
      </c>
      <c r="E6727" s="6" t="s">
        <v>15</v>
      </c>
      <c r="F6727" s="6">
        <v>2020</v>
      </c>
      <c r="G6727" s="24" t="s">
        <v>14877</v>
      </c>
      <c r="H6727" s="6">
        <v>200</v>
      </c>
      <c r="I6727" s="6">
        <v>200</v>
      </c>
      <c r="J6727" s="6"/>
      <c r="K6727" s="10"/>
      <c r="L6727" s="10">
        <v>20201118</v>
      </c>
      <c r="M6727" s="36" t="str">
        <f t="shared" si="105"/>
        <v>19830116</v>
      </c>
    </row>
    <row r="6728" s="1" customFormat="1" ht="14.25" spans="1:13">
      <c r="A6728" s="2">
        <v>6018</v>
      </c>
      <c r="B6728" s="30" t="s">
        <v>11090</v>
      </c>
      <c r="C6728" s="32" t="s">
        <v>12079</v>
      </c>
      <c r="D6728" s="12" t="s">
        <v>12080</v>
      </c>
      <c r="E6728" s="5" t="s">
        <v>15</v>
      </c>
      <c r="F6728" s="5" t="s">
        <v>10250</v>
      </c>
      <c r="G6728" s="6" t="s">
        <v>16</v>
      </c>
      <c r="H6728" s="32">
        <v>200</v>
      </c>
      <c r="I6728" s="32">
        <v>200</v>
      </c>
      <c r="J6728" s="5"/>
      <c r="K6728" s="48"/>
      <c r="L6728" s="10">
        <v>20201118</v>
      </c>
      <c r="M6728" s="36" t="str">
        <f t="shared" si="105"/>
        <v>19830117</v>
      </c>
    </row>
    <row r="6729" s="1" customFormat="1" spans="1:13">
      <c r="A6729" s="2">
        <v>7863</v>
      </c>
      <c r="B6729" s="5" t="s">
        <v>15086</v>
      </c>
      <c r="C6729" s="6" t="s">
        <v>15134</v>
      </c>
      <c r="D6729" s="6" t="str">
        <f>"152326198301176888"</f>
        <v>152326198301176888</v>
      </c>
      <c r="E6729" s="5" t="s">
        <v>15</v>
      </c>
      <c r="F6729" s="5">
        <v>2020</v>
      </c>
      <c r="G6729" s="5" t="s">
        <v>16</v>
      </c>
      <c r="H6729" s="5">
        <v>500</v>
      </c>
      <c r="I6729" s="5">
        <v>500</v>
      </c>
      <c r="J6729" s="5"/>
      <c r="K6729" s="5"/>
      <c r="L6729" s="10">
        <v>20201118</v>
      </c>
      <c r="M6729" s="36" t="str">
        <f t="shared" si="105"/>
        <v>19830117</v>
      </c>
    </row>
    <row r="6730" s="1" customFormat="1" spans="1:13">
      <c r="A6730" s="2">
        <v>4063</v>
      </c>
      <c r="B6730" s="5" t="s">
        <v>7412</v>
      </c>
      <c r="C6730" s="5" t="s">
        <v>3078</v>
      </c>
      <c r="D6730" s="5" t="s">
        <v>8341</v>
      </c>
      <c r="E6730" s="6">
        <v>2020</v>
      </c>
      <c r="F6730" s="6">
        <v>2020</v>
      </c>
      <c r="G6730" s="5" t="s">
        <v>3359</v>
      </c>
      <c r="H6730" s="5">
        <v>200</v>
      </c>
      <c r="I6730" s="5">
        <v>200</v>
      </c>
      <c r="J6730" s="5"/>
      <c r="K6730" s="5"/>
      <c r="L6730" s="10">
        <v>20201118</v>
      </c>
      <c r="M6730" s="36" t="str">
        <f t="shared" si="105"/>
        <v>19830120</v>
      </c>
    </row>
    <row r="6731" s="1" customFormat="1" spans="1:13">
      <c r="A6731" s="2">
        <v>4064</v>
      </c>
      <c r="B6731" s="5" t="s">
        <v>7412</v>
      </c>
      <c r="C6731" s="5" t="s">
        <v>8342</v>
      </c>
      <c r="D6731" s="5" t="s">
        <v>8343</v>
      </c>
      <c r="E6731" s="6">
        <v>2020</v>
      </c>
      <c r="F6731" s="6">
        <v>2020</v>
      </c>
      <c r="G6731" s="5" t="s">
        <v>3359</v>
      </c>
      <c r="H6731" s="5">
        <v>200</v>
      </c>
      <c r="I6731" s="5">
        <v>200</v>
      </c>
      <c r="J6731" s="5" t="s">
        <v>3647</v>
      </c>
      <c r="K6731" s="5"/>
      <c r="L6731" s="10">
        <v>20201118</v>
      </c>
      <c r="M6731" s="36" t="str">
        <f t="shared" si="105"/>
        <v>19830120</v>
      </c>
    </row>
    <row r="6732" s="1" customFormat="1" ht="14.25" spans="1:13">
      <c r="A6732" s="2">
        <v>2885</v>
      </c>
      <c r="B6732" s="6" t="s">
        <v>6075</v>
      </c>
      <c r="C6732" s="25" t="s">
        <v>6299</v>
      </c>
      <c r="D6732" s="26" t="s">
        <v>6300</v>
      </c>
      <c r="E6732" s="5" t="s">
        <v>15</v>
      </c>
      <c r="F6732" s="5">
        <v>2020</v>
      </c>
      <c r="G6732" s="6" t="s">
        <v>16</v>
      </c>
      <c r="H6732" s="6">
        <v>200</v>
      </c>
      <c r="I6732" s="6">
        <v>200</v>
      </c>
      <c r="J6732" s="6"/>
      <c r="K6732" s="10"/>
      <c r="L6732" s="10">
        <v>20201118</v>
      </c>
      <c r="M6732" s="36" t="str">
        <f t="shared" si="105"/>
        <v>19830122</v>
      </c>
    </row>
    <row r="6733" s="1" customFormat="1" spans="1:13">
      <c r="A6733" s="2">
        <v>4065</v>
      </c>
      <c r="B6733" s="5" t="s">
        <v>7412</v>
      </c>
      <c r="C6733" s="5" t="s">
        <v>8344</v>
      </c>
      <c r="D6733" s="5" t="s">
        <v>8345</v>
      </c>
      <c r="E6733" s="6">
        <v>2020</v>
      </c>
      <c r="F6733" s="6">
        <v>2020</v>
      </c>
      <c r="G6733" s="5" t="s">
        <v>3359</v>
      </c>
      <c r="H6733" s="5">
        <v>200</v>
      </c>
      <c r="I6733" s="5">
        <v>200</v>
      </c>
      <c r="J6733" s="5"/>
      <c r="K6733" s="5"/>
      <c r="L6733" s="10">
        <v>20201118</v>
      </c>
      <c r="M6733" s="36" t="str">
        <f t="shared" si="105"/>
        <v>19830124</v>
      </c>
    </row>
    <row r="6734" s="1" customFormat="1" spans="1:13">
      <c r="A6734" s="2">
        <v>1793</v>
      </c>
      <c r="B6734" s="5" t="s">
        <v>3381</v>
      </c>
      <c r="C6734" s="9" t="s">
        <v>4148</v>
      </c>
      <c r="D6734" s="9" t="s">
        <v>4149</v>
      </c>
      <c r="E6734" s="5">
        <v>2020</v>
      </c>
      <c r="F6734" s="5">
        <v>2020</v>
      </c>
      <c r="G6734" s="5" t="s">
        <v>189</v>
      </c>
      <c r="H6734" s="6">
        <v>200</v>
      </c>
      <c r="I6734" s="6">
        <v>200</v>
      </c>
      <c r="J6734" s="5"/>
      <c r="K6734" s="13"/>
      <c r="L6734" s="10">
        <v>20201118</v>
      </c>
      <c r="M6734" s="36" t="str">
        <f t="shared" si="105"/>
        <v>19830125</v>
      </c>
    </row>
    <row r="6735" s="1" customFormat="1" ht="14.25" spans="1:13">
      <c r="A6735" s="2">
        <v>7653</v>
      </c>
      <c r="B6735" s="5" t="s">
        <v>14875</v>
      </c>
      <c r="C6735" s="51" t="s">
        <v>14893</v>
      </c>
      <c r="D6735" s="24" t="str">
        <f>"152326198301267114"</f>
        <v>152326198301267114</v>
      </c>
      <c r="E6735" s="6" t="s">
        <v>15</v>
      </c>
      <c r="F6735" s="6">
        <v>2020</v>
      </c>
      <c r="G6735" s="24" t="s">
        <v>14877</v>
      </c>
      <c r="H6735" s="6">
        <v>200</v>
      </c>
      <c r="I6735" s="6">
        <v>200</v>
      </c>
      <c r="J6735" s="6"/>
      <c r="K6735" s="10"/>
      <c r="L6735" s="10">
        <v>20201118</v>
      </c>
      <c r="M6735" s="36" t="str">
        <f t="shared" si="105"/>
        <v>19830126</v>
      </c>
    </row>
    <row r="6736" s="1" customFormat="1" spans="1:13">
      <c r="A6736" s="2">
        <v>7450</v>
      </c>
      <c r="B6736" s="5" t="s">
        <v>14402</v>
      </c>
      <c r="C6736" s="5" t="s">
        <v>14521</v>
      </c>
      <c r="D6736" s="5" t="s">
        <v>14522</v>
      </c>
      <c r="E6736" s="5">
        <v>2020</v>
      </c>
      <c r="F6736" s="5">
        <v>2020</v>
      </c>
      <c r="G6736" s="17" t="s">
        <v>16</v>
      </c>
      <c r="H6736" s="5">
        <v>500</v>
      </c>
      <c r="I6736" s="5">
        <v>500</v>
      </c>
      <c r="J6736" s="5"/>
      <c r="K6736" s="10"/>
      <c r="L6736" s="10">
        <v>20201118</v>
      </c>
      <c r="M6736" s="36" t="str">
        <f t="shared" si="105"/>
        <v>19830127</v>
      </c>
    </row>
    <row r="6737" s="1" customFormat="1" spans="1:13">
      <c r="A6737" s="2">
        <v>3301</v>
      </c>
      <c r="B6737" s="5" t="s">
        <v>3375</v>
      </c>
      <c r="C6737" s="6" t="s">
        <v>7073</v>
      </c>
      <c r="D6737" s="6" t="s">
        <v>7074</v>
      </c>
      <c r="E6737" s="5" t="s">
        <v>15</v>
      </c>
      <c r="F6737" s="5">
        <v>2020</v>
      </c>
      <c r="G6737" s="14" t="s">
        <v>16</v>
      </c>
      <c r="H6737" s="17">
        <v>200</v>
      </c>
      <c r="I6737" s="17">
        <v>200</v>
      </c>
      <c r="J6737" s="6" t="s">
        <v>1242</v>
      </c>
      <c r="K6737" s="10"/>
      <c r="L6737" s="10">
        <v>20201118</v>
      </c>
      <c r="M6737" s="36" t="str">
        <f t="shared" si="105"/>
        <v>19830129</v>
      </c>
    </row>
    <row r="6738" s="1" customFormat="1" spans="1:13">
      <c r="A6738" s="2">
        <v>6818</v>
      </c>
      <c r="B6738" s="5" t="s">
        <v>13533</v>
      </c>
      <c r="C6738" s="32" t="s">
        <v>13570</v>
      </c>
      <c r="D6738" s="32" t="str">
        <f>"152326198302037118"</f>
        <v>152326198302037118</v>
      </c>
      <c r="E6738" s="5">
        <v>2020</v>
      </c>
      <c r="F6738" s="5">
        <v>2020</v>
      </c>
      <c r="G6738" s="9" t="s">
        <v>2480</v>
      </c>
      <c r="H6738" s="32">
        <v>200</v>
      </c>
      <c r="I6738" s="32">
        <v>200</v>
      </c>
      <c r="J6738" s="62"/>
      <c r="K6738" s="10"/>
      <c r="L6738" s="10">
        <v>20201118</v>
      </c>
      <c r="M6738" s="36" t="str">
        <f t="shared" si="105"/>
        <v>19830203</v>
      </c>
    </row>
    <row r="6739" s="1" customFormat="1" spans="1:13">
      <c r="A6739" s="2">
        <v>2030</v>
      </c>
      <c r="B6739" s="5" t="s">
        <v>4189</v>
      </c>
      <c r="C6739" s="16" t="s">
        <v>4616</v>
      </c>
      <c r="D6739" s="16" t="s">
        <v>4617</v>
      </c>
      <c r="E6739" s="5" t="s">
        <v>15</v>
      </c>
      <c r="F6739" s="5" t="s">
        <v>15</v>
      </c>
      <c r="G6739" s="5" t="s">
        <v>3359</v>
      </c>
      <c r="H6739" s="16">
        <v>500</v>
      </c>
      <c r="I6739" s="16">
        <v>500</v>
      </c>
      <c r="J6739" s="5"/>
      <c r="K6739" s="10"/>
      <c r="L6739" s="10">
        <v>20201118</v>
      </c>
      <c r="M6739" s="36" t="str">
        <f t="shared" si="105"/>
        <v>19830204</v>
      </c>
    </row>
    <row r="6740" s="1" customFormat="1" spans="1:13">
      <c r="A6740" s="2">
        <v>816</v>
      </c>
      <c r="B6740" s="29" t="s">
        <v>1040</v>
      </c>
      <c r="C6740" s="5" t="s">
        <v>2098</v>
      </c>
      <c r="D6740" s="317" t="s">
        <v>2099</v>
      </c>
      <c r="E6740" s="30">
        <v>2020</v>
      </c>
      <c r="F6740" s="30">
        <v>2020</v>
      </c>
      <c r="G6740" s="29" t="s">
        <v>16</v>
      </c>
      <c r="H6740" s="29">
        <v>200</v>
      </c>
      <c r="I6740" s="29">
        <v>200</v>
      </c>
      <c r="J6740" s="32"/>
      <c r="K6740" s="32"/>
      <c r="L6740" s="2" t="s">
        <v>330</v>
      </c>
      <c r="M6740" s="36" t="str">
        <f t="shared" si="105"/>
        <v>19830205</v>
      </c>
    </row>
    <row r="6741" s="1" customFormat="1" spans="1:13">
      <c r="A6741" s="2">
        <v>2033</v>
      </c>
      <c r="B6741" s="5" t="s">
        <v>4189</v>
      </c>
      <c r="C6741" s="16" t="s">
        <v>4621</v>
      </c>
      <c r="D6741" s="16" t="s">
        <v>4622</v>
      </c>
      <c r="E6741" s="5" t="s">
        <v>15</v>
      </c>
      <c r="F6741" s="5" t="s">
        <v>15</v>
      </c>
      <c r="G6741" s="5" t="s">
        <v>3359</v>
      </c>
      <c r="H6741" s="16">
        <v>200</v>
      </c>
      <c r="I6741" s="16">
        <v>200</v>
      </c>
      <c r="J6741" s="5"/>
      <c r="K6741" s="10"/>
      <c r="L6741" s="10">
        <v>20201118</v>
      </c>
      <c r="M6741" s="36" t="str">
        <f t="shared" si="105"/>
        <v>19830205</v>
      </c>
    </row>
    <row r="6742" s="1" customFormat="1" spans="1:13">
      <c r="A6742" s="2">
        <v>8108</v>
      </c>
      <c r="B6742" s="5" t="s">
        <v>15406</v>
      </c>
      <c r="C6742" s="6" t="s">
        <v>15411</v>
      </c>
      <c r="D6742" s="6" t="s">
        <v>15412</v>
      </c>
      <c r="E6742" s="5" t="s">
        <v>15</v>
      </c>
      <c r="F6742" s="5">
        <v>2020</v>
      </c>
      <c r="G6742" s="14" t="s">
        <v>16</v>
      </c>
      <c r="H6742" s="6" t="s">
        <v>2295</v>
      </c>
      <c r="I6742" s="6">
        <v>500</v>
      </c>
      <c r="J6742" s="5"/>
      <c r="K6742" s="10"/>
      <c r="L6742" s="10">
        <v>20201118</v>
      </c>
      <c r="M6742" s="36" t="str">
        <f t="shared" si="105"/>
        <v>19830206</v>
      </c>
    </row>
    <row r="6743" s="1" customFormat="1" spans="1:13">
      <c r="A6743" s="2">
        <v>2502</v>
      </c>
      <c r="B6743" s="5" t="s">
        <v>5328</v>
      </c>
      <c r="C6743" s="16" t="s">
        <v>5538</v>
      </c>
      <c r="D6743" s="16" t="s">
        <v>5539</v>
      </c>
      <c r="E6743" s="5" t="s">
        <v>15</v>
      </c>
      <c r="F6743" s="5" t="s">
        <v>15</v>
      </c>
      <c r="G6743" s="14" t="s">
        <v>16</v>
      </c>
      <c r="H6743" s="6">
        <v>500</v>
      </c>
      <c r="I6743" s="6">
        <v>500</v>
      </c>
      <c r="J6743" s="5"/>
      <c r="K6743" s="5"/>
      <c r="L6743" s="10">
        <v>20201118</v>
      </c>
      <c r="M6743" s="36" t="str">
        <f t="shared" si="105"/>
        <v>19830209</v>
      </c>
    </row>
    <row r="6744" s="1" customFormat="1" spans="1:13">
      <c r="A6744" s="2">
        <v>3030</v>
      </c>
      <c r="B6744" s="6" t="s">
        <v>6075</v>
      </c>
      <c r="C6744" s="6" t="s">
        <v>6583</v>
      </c>
      <c r="D6744" s="6" t="s">
        <v>6584</v>
      </c>
      <c r="E6744" s="5" t="s">
        <v>15</v>
      </c>
      <c r="F6744" s="5">
        <v>2020</v>
      </c>
      <c r="G6744" s="6" t="s">
        <v>16</v>
      </c>
      <c r="H6744" s="6">
        <v>500</v>
      </c>
      <c r="I6744" s="6">
        <v>500</v>
      </c>
      <c r="J6744" s="6"/>
      <c r="K6744" s="10"/>
      <c r="L6744" s="10">
        <v>20201118</v>
      </c>
      <c r="M6744" s="36" t="str">
        <f t="shared" si="105"/>
        <v>19830213</v>
      </c>
    </row>
    <row r="6745" s="1" customFormat="1" spans="1:13">
      <c r="A6745" s="2">
        <v>4998</v>
      </c>
      <c r="B6745" s="6" t="s">
        <v>9954</v>
      </c>
      <c r="C6745" s="60" t="s">
        <v>10134</v>
      </c>
      <c r="D6745" s="60" t="s">
        <v>10135</v>
      </c>
      <c r="E6745" s="5" t="s">
        <v>15</v>
      </c>
      <c r="F6745" s="5" t="s">
        <v>15</v>
      </c>
      <c r="G6745" s="14" t="s">
        <v>16</v>
      </c>
      <c r="H6745" s="6">
        <v>200</v>
      </c>
      <c r="I6745" s="6">
        <v>200</v>
      </c>
      <c r="J6745" s="6"/>
      <c r="K6745" s="6"/>
      <c r="L6745" s="10">
        <v>20201118</v>
      </c>
      <c r="M6745" s="36" t="str">
        <f t="shared" si="105"/>
        <v>19830214</v>
      </c>
    </row>
    <row r="6746" s="1" customFormat="1" spans="1:13">
      <c r="A6746" s="2">
        <v>1277</v>
      </c>
      <c r="B6746" s="5" t="s">
        <v>2469</v>
      </c>
      <c r="C6746" s="9" t="s">
        <v>3136</v>
      </c>
      <c r="D6746" s="9" t="s">
        <v>3137</v>
      </c>
      <c r="E6746" s="5">
        <v>2020</v>
      </c>
      <c r="F6746" s="5">
        <v>2020</v>
      </c>
      <c r="G6746" s="9" t="s">
        <v>2480</v>
      </c>
      <c r="H6746" s="9">
        <v>200</v>
      </c>
      <c r="I6746" s="9">
        <v>200</v>
      </c>
      <c r="J6746" s="5"/>
      <c r="K6746" s="5"/>
      <c r="L6746" s="10">
        <v>20201118</v>
      </c>
      <c r="M6746" s="36" t="str">
        <f t="shared" si="105"/>
        <v>19830215</v>
      </c>
    </row>
    <row r="6747" s="1" customFormat="1" spans="1:13">
      <c r="A6747" s="2">
        <v>2503</v>
      </c>
      <c r="B6747" s="5" t="s">
        <v>5328</v>
      </c>
      <c r="C6747" s="16" t="s">
        <v>5540</v>
      </c>
      <c r="D6747" s="16" t="s">
        <v>5541</v>
      </c>
      <c r="E6747" s="5" t="s">
        <v>15</v>
      </c>
      <c r="F6747" s="5" t="s">
        <v>15</v>
      </c>
      <c r="G6747" s="14" t="s">
        <v>16</v>
      </c>
      <c r="H6747" s="6">
        <v>200</v>
      </c>
      <c r="I6747" s="6">
        <v>200</v>
      </c>
      <c r="J6747" s="5"/>
      <c r="K6747" s="5"/>
      <c r="L6747" s="10">
        <v>20201118</v>
      </c>
      <c r="M6747" s="36" t="str">
        <f t="shared" si="105"/>
        <v>19830215</v>
      </c>
    </row>
    <row r="6748" s="1" customFormat="1" spans="1:13">
      <c r="A6748" s="2">
        <v>4833</v>
      </c>
      <c r="B6748" s="6" t="s">
        <v>9015</v>
      </c>
      <c r="C6748" s="6" t="s">
        <v>9813</v>
      </c>
      <c r="D6748" s="293" t="s">
        <v>9814</v>
      </c>
      <c r="E6748" s="6">
        <v>2020</v>
      </c>
      <c r="F6748" s="6">
        <v>2020</v>
      </c>
      <c r="G6748" s="6" t="s">
        <v>16</v>
      </c>
      <c r="H6748" s="6">
        <v>200</v>
      </c>
      <c r="I6748" s="6">
        <v>200</v>
      </c>
      <c r="J6748" s="6"/>
      <c r="K6748" s="6"/>
      <c r="L6748" s="10">
        <v>20201118</v>
      </c>
      <c r="M6748" s="36" t="str">
        <f t="shared" si="105"/>
        <v>19830218</v>
      </c>
    </row>
    <row r="6749" s="1" customFormat="1" spans="1:13">
      <c r="A6749" s="2">
        <v>7870</v>
      </c>
      <c r="B6749" s="5" t="s">
        <v>15086</v>
      </c>
      <c r="C6749" s="6" t="s">
        <v>15141</v>
      </c>
      <c r="D6749" s="6" t="str">
        <f>"152326198302186869"</f>
        <v>152326198302186869</v>
      </c>
      <c r="E6749" s="5" t="s">
        <v>15</v>
      </c>
      <c r="F6749" s="5">
        <v>2020</v>
      </c>
      <c r="G6749" s="5" t="s">
        <v>16</v>
      </c>
      <c r="H6749" s="5">
        <v>500</v>
      </c>
      <c r="I6749" s="5">
        <v>500</v>
      </c>
      <c r="J6749" s="5"/>
      <c r="K6749" s="5"/>
      <c r="L6749" s="10">
        <v>20201118</v>
      </c>
      <c r="M6749" s="36" t="str">
        <f t="shared" si="105"/>
        <v>19830218</v>
      </c>
    </row>
    <row r="6750" s="1" customFormat="1" spans="1:13">
      <c r="A6750" s="2">
        <v>1278</v>
      </c>
      <c r="B6750" s="5" t="s">
        <v>2469</v>
      </c>
      <c r="C6750" s="9" t="s">
        <v>3138</v>
      </c>
      <c r="D6750" s="9" t="s">
        <v>3139</v>
      </c>
      <c r="E6750" s="5">
        <v>2020</v>
      </c>
      <c r="F6750" s="5">
        <v>2020</v>
      </c>
      <c r="G6750" s="9" t="s">
        <v>2480</v>
      </c>
      <c r="H6750" s="9">
        <v>200</v>
      </c>
      <c r="I6750" s="9">
        <v>200</v>
      </c>
      <c r="J6750" s="5"/>
      <c r="K6750" s="5"/>
      <c r="L6750" s="10">
        <v>20201118</v>
      </c>
      <c r="M6750" s="36" t="str">
        <f t="shared" si="105"/>
        <v>19830220</v>
      </c>
    </row>
    <row r="6751" s="1" customFormat="1" spans="1:13">
      <c r="A6751" s="2">
        <v>1732</v>
      </c>
      <c r="B6751" s="5" t="s">
        <v>3381</v>
      </c>
      <c r="C6751" s="9" t="s">
        <v>4024</v>
      </c>
      <c r="D6751" s="9" t="s">
        <v>4025</v>
      </c>
      <c r="E6751" s="5">
        <v>2020</v>
      </c>
      <c r="F6751" s="5">
        <v>2020</v>
      </c>
      <c r="G6751" s="14" t="s">
        <v>16</v>
      </c>
      <c r="H6751" s="6">
        <v>200</v>
      </c>
      <c r="I6751" s="6">
        <v>200</v>
      </c>
      <c r="J6751" s="5"/>
      <c r="K6751" s="13"/>
      <c r="L6751" s="10">
        <v>20201118</v>
      </c>
      <c r="M6751" s="36" t="str">
        <f t="shared" si="105"/>
        <v>19830223</v>
      </c>
    </row>
    <row r="6752" s="1" customFormat="1" spans="1:13">
      <c r="A6752" s="2">
        <v>2710</v>
      </c>
      <c r="B6752" s="32" t="s">
        <v>5602</v>
      </c>
      <c r="C6752" s="9" t="s">
        <v>5950</v>
      </c>
      <c r="D6752" s="9" t="s">
        <v>5951</v>
      </c>
      <c r="E6752" s="32">
        <v>2020</v>
      </c>
      <c r="F6752" s="32">
        <v>2020</v>
      </c>
      <c r="G6752" s="32" t="s">
        <v>16</v>
      </c>
      <c r="H6752" s="9">
        <v>3000</v>
      </c>
      <c r="I6752" s="9">
        <v>3000</v>
      </c>
      <c r="J6752" s="32"/>
      <c r="K6752" s="52"/>
      <c r="L6752" s="10">
        <v>20201118</v>
      </c>
      <c r="M6752" s="36" t="str">
        <f t="shared" si="105"/>
        <v>19830227</v>
      </c>
    </row>
    <row r="6753" s="1" customFormat="1" spans="1:13">
      <c r="A6753" s="2">
        <v>4874</v>
      </c>
      <c r="B6753" s="6" t="s">
        <v>9015</v>
      </c>
      <c r="C6753" s="6" t="s">
        <v>9891</v>
      </c>
      <c r="D6753" s="293" t="s">
        <v>9892</v>
      </c>
      <c r="E6753" s="6">
        <v>2020</v>
      </c>
      <c r="F6753" s="6">
        <v>2020</v>
      </c>
      <c r="G6753" s="6" t="s">
        <v>16</v>
      </c>
      <c r="H6753" s="6">
        <v>200</v>
      </c>
      <c r="I6753" s="6">
        <v>200</v>
      </c>
      <c r="J6753" s="6"/>
      <c r="K6753" s="6"/>
      <c r="L6753" s="10">
        <v>20201118</v>
      </c>
      <c r="M6753" s="36" t="str">
        <f t="shared" si="105"/>
        <v>19830228</v>
      </c>
    </row>
    <row r="6754" s="1" customFormat="1" spans="1:13">
      <c r="A6754" s="2">
        <v>5017</v>
      </c>
      <c r="B6754" s="6" t="s">
        <v>9954</v>
      </c>
      <c r="C6754" s="6" t="s">
        <v>10169</v>
      </c>
      <c r="D6754" s="6" t="s">
        <v>10170</v>
      </c>
      <c r="E6754" s="5" t="s">
        <v>15</v>
      </c>
      <c r="F6754" s="5" t="s">
        <v>15</v>
      </c>
      <c r="G6754" s="14" t="s">
        <v>16</v>
      </c>
      <c r="H6754" s="6">
        <v>200</v>
      </c>
      <c r="I6754" s="6">
        <v>200</v>
      </c>
      <c r="J6754" s="6"/>
      <c r="K6754" s="6"/>
      <c r="L6754" s="10">
        <v>20201118</v>
      </c>
      <c r="M6754" s="36" t="str">
        <f t="shared" si="105"/>
        <v>19830228</v>
      </c>
    </row>
    <row r="6755" s="1" customFormat="1" spans="1:13">
      <c r="A6755" s="2">
        <v>5062</v>
      </c>
      <c r="B6755" s="6" t="s">
        <v>10242</v>
      </c>
      <c r="C6755" s="9" t="s">
        <v>10261</v>
      </c>
      <c r="D6755" s="9" t="s">
        <v>10262</v>
      </c>
      <c r="E6755" s="5" t="s">
        <v>10250</v>
      </c>
      <c r="F6755" s="5">
        <v>2020</v>
      </c>
      <c r="G6755" s="6" t="s">
        <v>16</v>
      </c>
      <c r="H6755" s="6">
        <v>200</v>
      </c>
      <c r="I6755" s="6">
        <v>200</v>
      </c>
      <c r="J6755" s="6"/>
      <c r="K6755" s="5"/>
      <c r="L6755" s="10">
        <v>20201118</v>
      </c>
      <c r="M6755" s="36" t="str">
        <f t="shared" si="105"/>
        <v>19830228</v>
      </c>
    </row>
    <row r="6756" s="1" customFormat="1" ht="14.25" spans="1:13">
      <c r="A6756" s="2">
        <v>6032</v>
      </c>
      <c r="B6756" s="30" t="s">
        <v>11090</v>
      </c>
      <c r="C6756" s="32" t="s">
        <v>12107</v>
      </c>
      <c r="D6756" s="12" t="s">
        <v>12108</v>
      </c>
      <c r="E6756" s="5" t="s">
        <v>15</v>
      </c>
      <c r="F6756" s="5" t="s">
        <v>10250</v>
      </c>
      <c r="G6756" s="6" t="s">
        <v>16</v>
      </c>
      <c r="H6756" s="32">
        <v>200</v>
      </c>
      <c r="I6756" s="32">
        <v>200</v>
      </c>
      <c r="J6756" s="5"/>
      <c r="K6756" s="48"/>
      <c r="L6756" s="10">
        <v>20201118</v>
      </c>
      <c r="M6756" s="36" t="str">
        <f t="shared" si="105"/>
        <v>19830301</v>
      </c>
    </row>
    <row r="6757" s="1" customFormat="1" spans="1:13">
      <c r="A6757" s="2">
        <v>1733</v>
      </c>
      <c r="B6757" s="5" t="s">
        <v>3381</v>
      </c>
      <c r="C6757" s="9" t="s">
        <v>4026</v>
      </c>
      <c r="D6757" s="9" t="s">
        <v>4027</v>
      </c>
      <c r="E6757" s="5">
        <v>2020</v>
      </c>
      <c r="F6757" s="5">
        <v>2020</v>
      </c>
      <c r="G6757" s="14" t="s">
        <v>16</v>
      </c>
      <c r="H6757" s="6">
        <v>200</v>
      </c>
      <c r="I6757" s="6">
        <v>200</v>
      </c>
      <c r="J6757" s="5"/>
      <c r="K6757" s="13"/>
      <c r="L6757" s="10">
        <v>20201118</v>
      </c>
      <c r="M6757" s="36" t="str">
        <f t="shared" si="105"/>
        <v>19830304</v>
      </c>
    </row>
    <row r="6758" s="1" customFormat="1" spans="1:13">
      <c r="A6758" s="2">
        <v>6495</v>
      </c>
      <c r="B6758" s="5" t="s">
        <v>12263</v>
      </c>
      <c r="C6758" s="5" t="s">
        <v>12993</v>
      </c>
      <c r="D6758" s="5" t="s">
        <v>12994</v>
      </c>
      <c r="E6758" s="5" t="s">
        <v>10250</v>
      </c>
      <c r="F6758" s="5">
        <v>2020</v>
      </c>
      <c r="G6758" s="5" t="s">
        <v>295</v>
      </c>
      <c r="H6758" s="5" t="s">
        <v>2295</v>
      </c>
      <c r="I6758" s="5">
        <v>500</v>
      </c>
      <c r="J6758" s="5"/>
      <c r="K6758" s="5"/>
      <c r="L6758" s="10">
        <v>20201118</v>
      </c>
      <c r="M6758" s="36" t="str">
        <f t="shared" si="105"/>
        <v>19830304</v>
      </c>
    </row>
    <row r="6759" s="1" customFormat="1" spans="1:13">
      <c r="A6759" s="2">
        <v>5030</v>
      </c>
      <c r="B6759" s="6" t="s">
        <v>9954</v>
      </c>
      <c r="C6759" s="6" t="s">
        <v>10193</v>
      </c>
      <c r="D6759" s="6" t="s">
        <v>10194</v>
      </c>
      <c r="E6759" s="5" t="s">
        <v>15</v>
      </c>
      <c r="F6759" s="5" t="s">
        <v>15</v>
      </c>
      <c r="G6759" s="14" t="s">
        <v>16</v>
      </c>
      <c r="H6759" s="6">
        <v>1000</v>
      </c>
      <c r="I6759" s="6">
        <v>1000</v>
      </c>
      <c r="J6759" s="6"/>
      <c r="K6759" s="6"/>
      <c r="L6759" s="10">
        <v>20201118</v>
      </c>
      <c r="M6759" s="36" t="str">
        <f t="shared" si="105"/>
        <v>19830307</v>
      </c>
    </row>
    <row r="6760" s="1" customFormat="1" spans="1:13">
      <c r="A6760" s="2">
        <v>6754</v>
      </c>
      <c r="B6760" s="5" t="s">
        <v>13027</v>
      </c>
      <c r="C6760" s="15" t="s">
        <v>10737</v>
      </c>
      <c r="D6760" s="15" t="s">
        <v>13474</v>
      </c>
      <c r="E6760" s="5">
        <v>2020</v>
      </c>
      <c r="F6760" s="5">
        <v>2020</v>
      </c>
      <c r="G6760" s="14" t="s">
        <v>16</v>
      </c>
      <c r="H6760" s="15">
        <v>200</v>
      </c>
      <c r="I6760" s="15">
        <v>200</v>
      </c>
      <c r="J6760" s="5"/>
      <c r="K6760" s="10"/>
      <c r="L6760" s="10">
        <v>20201118</v>
      </c>
      <c r="M6760" s="36" t="str">
        <f t="shared" si="105"/>
        <v>19830307</v>
      </c>
    </row>
    <row r="6761" s="1" customFormat="1" spans="1:13">
      <c r="A6761" s="2">
        <v>2335</v>
      </c>
      <c r="B6761" s="9" t="s">
        <v>4837</v>
      </c>
      <c r="C6761" s="9" t="s">
        <v>5209</v>
      </c>
      <c r="D6761" s="9" t="s">
        <v>5210</v>
      </c>
      <c r="E6761" s="6" t="s">
        <v>15</v>
      </c>
      <c r="F6761" s="6">
        <v>2020</v>
      </c>
      <c r="G6761" s="9" t="s">
        <v>2480</v>
      </c>
      <c r="H6761" s="9">
        <v>200</v>
      </c>
      <c r="I6761" s="9">
        <v>200</v>
      </c>
      <c r="J6761" s="6"/>
      <c r="K6761" s="10"/>
      <c r="L6761" s="10">
        <v>20201118</v>
      </c>
      <c r="M6761" s="36" t="str">
        <f t="shared" si="105"/>
        <v>19830308</v>
      </c>
    </row>
    <row r="6762" s="1" customFormat="1" spans="1:13">
      <c r="A6762" s="2">
        <v>3298</v>
      </c>
      <c r="B6762" s="5" t="s">
        <v>3375</v>
      </c>
      <c r="C6762" s="6" t="s">
        <v>1345</v>
      </c>
      <c r="D6762" s="6" t="str">
        <f>"152326198303086878"</f>
        <v>152326198303086878</v>
      </c>
      <c r="E6762" s="5" t="s">
        <v>15</v>
      </c>
      <c r="F6762" s="5">
        <v>2020</v>
      </c>
      <c r="G6762" s="14" t="s">
        <v>16</v>
      </c>
      <c r="H6762" s="17">
        <v>200</v>
      </c>
      <c r="I6762" s="17">
        <v>200</v>
      </c>
      <c r="J6762" s="6"/>
      <c r="K6762" s="10"/>
      <c r="L6762" s="10">
        <v>20201118</v>
      </c>
      <c r="M6762" s="36" t="str">
        <f t="shared" si="105"/>
        <v>19830308</v>
      </c>
    </row>
    <row r="6763" s="1" customFormat="1" spans="1:13">
      <c r="A6763" s="2">
        <v>4413</v>
      </c>
      <c r="B6763" s="6" t="s">
        <v>9015</v>
      </c>
      <c r="C6763" s="6" t="s">
        <v>9016</v>
      </c>
      <c r="D6763" s="6" t="s">
        <v>9017</v>
      </c>
      <c r="E6763" s="6">
        <v>2020</v>
      </c>
      <c r="F6763" s="6">
        <v>2020</v>
      </c>
      <c r="G6763" s="10" t="s">
        <v>16</v>
      </c>
      <c r="H6763" s="6">
        <v>200</v>
      </c>
      <c r="I6763" s="6">
        <v>200</v>
      </c>
      <c r="J6763" s="6"/>
      <c r="K6763" s="6"/>
      <c r="L6763" s="10">
        <v>20201118</v>
      </c>
      <c r="M6763" s="36" t="str">
        <f t="shared" si="105"/>
        <v>19830308</v>
      </c>
    </row>
    <row r="6764" s="1" customFormat="1" spans="1:13">
      <c r="A6764" s="2">
        <v>6755</v>
      </c>
      <c r="B6764" s="5" t="s">
        <v>13027</v>
      </c>
      <c r="C6764" s="15" t="s">
        <v>13475</v>
      </c>
      <c r="D6764" s="15" t="s">
        <v>13476</v>
      </c>
      <c r="E6764" s="5">
        <v>2020</v>
      </c>
      <c r="F6764" s="5">
        <v>2020</v>
      </c>
      <c r="G6764" s="14" t="s">
        <v>16</v>
      </c>
      <c r="H6764" s="15">
        <v>200</v>
      </c>
      <c r="I6764" s="15">
        <v>200</v>
      </c>
      <c r="J6764" s="5"/>
      <c r="K6764" s="10"/>
      <c r="L6764" s="10">
        <v>20201118</v>
      </c>
      <c r="M6764" s="36" t="str">
        <f t="shared" si="105"/>
        <v>19830310</v>
      </c>
    </row>
    <row r="6765" s="1" customFormat="1" spans="1:13">
      <c r="A6765" s="2">
        <v>7862</v>
      </c>
      <c r="B6765" s="5" t="s">
        <v>15086</v>
      </c>
      <c r="C6765" s="6" t="s">
        <v>15133</v>
      </c>
      <c r="D6765" s="6" t="str">
        <f>"152301198303166029"</f>
        <v>152301198303166029</v>
      </c>
      <c r="E6765" s="5" t="s">
        <v>15</v>
      </c>
      <c r="F6765" s="5">
        <v>2020</v>
      </c>
      <c r="G6765" s="5" t="s">
        <v>16</v>
      </c>
      <c r="H6765" s="5">
        <v>500</v>
      </c>
      <c r="I6765" s="5">
        <v>500</v>
      </c>
      <c r="J6765" s="5"/>
      <c r="K6765" s="5"/>
      <c r="L6765" s="10">
        <v>20201118</v>
      </c>
      <c r="M6765" s="36" t="str">
        <f t="shared" si="105"/>
        <v>19830316</v>
      </c>
    </row>
    <row r="6766" s="1" customFormat="1" spans="1:13">
      <c r="A6766" s="2">
        <v>40</v>
      </c>
      <c r="B6766" s="31" t="s">
        <v>12</v>
      </c>
      <c r="C6766" s="17" t="s">
        <v>94</v>
      </c>
      <c r="D6766" s="17" t="s">
        <v>95</v>
      </c>
      <c r="E6766" s="3" t="s">
        <v>15</v>
      </c>
      <c r="F6766" s="3" t="s">
        <v>15</v>
      </c>
      <c r="G6766" s="2" t="s">
        <v>16</v>
      </c>
      <c r="H6766" s="17">
        <v>200</v>
      </c>
      <c r="I6766" s="17">
        <v>200</v>
      </c>
      <c r="J6766" s="31"/>
      <c r="K6766" s="17"/>
      <c r="L6766" s="10">
        <v>20201118</v>
      </c>
      <c r="M6766" s="36" t="str">
        <f t="shared" si="105"/>
        <v>19830317</v>
      </c>
    </row>
    <row r="6767" s="1" customFormat="1" spans="1:13">
      <c r="A6767" s="2">
        <v>2009</v>
      </c>
      <c r="B6767" s="5" t="s">
        <v>4189</v>
      </c>
      <c r="C6767" s="16" t="s">
        <v>4575</v>
      </c>
      <c r="D6767" s="16" t="s">
        <v>4576</v>
      </c>
      <c r="E6767" s="5" t="s">
        <v>15</v>
      </c>
      <c r="F6767" s="5" t="s">
        <v>15</v>
      </c>
      <c r="G6767" s="5" t="s">
        <v>3359</v>
      </c>
      <c r="H6767" s="16">
        <v>200</v>
      </c>
      <c r="I6767" s="16">
        <v>200</v>
      </c>
      <c r="J6767" s="5"/>
      <c r="K6767" s="10"/>
      <c r="L6767" s="10">
        <v>20201118</v>
      </c>
      <c r="M6767" s="36" t="str">
        <f t="shared" si="105"/>
        <v>19830319</v>
      </c>
    </row>
    <row r="6768" s="1" customFormat="1" spans="1:13">
      <c r="A6768" s="2">
        <v>7367</v>
      </c>
      <c r="B6768" s="5" t="s">
        <v>13908</v>
      </c>
      <c r="C6768" s="5" t="s">
        <v>5062</v>
      </c>
      <c r="D6768" s="5" t="s">
        <v>14361</v>
      </c>
      <c r="E6768" s="5" t="s">
        <v>15</v>
      </c>
      <c r="F6768" s="5" t="s">
        <v>15</v>
      </c>
      <c r="G6768" s="14" t="s">
        <v>16</v>
      </c>
      <c r="H6768" s="17">
        <v>200</v>
      </c>
      <c r="I6768" s="17">
        <v>200</v>
      </c>
      <c r="J6768" s="5"/>
      <c r="K6768" s="10"/>
      <c r="L6768" s="10">
        <v>20201118</v>
      </c>
      <c r="M6768" s="36" t="str">
        <f t="shared" si="105"/>
        <v>19830319</v>
      </c>
    </row>
    <row r="6769" s="1" customFormat="1" spans="1:13">
      <c r="A6769" s="2">
        <v>840</v>
      </c>
      <c r="B6769" s="29" t="s">
        <v>1040</v>
      </c>
      <c r="C6769" s="29" t="s">
        <v>2168</v>
      </c>
      <c r="D6769" s="29" t="s">
        <v>2169</v>
      </c>
      <c r="E6769" s="30">
        <v>2020</v>
      </c>
      <c r="F6769" s="30">
        <v>2020</v>
      </c>
      <c r="G6769" s="29" t="s">
        <v>16</v>
      </c>
      <c r="H6769" s="29">
        <v>200</v>
      </c>
      <c r="I6769" s="29">
        <v>200</v>
      </c>
      <c r="J6769" s="32"/>
      <c r="K6769" s="32"/>
      <c r="L6769" s="2" t="s">
        <v>330</v>
      </c>
      <c r="M6769" s="36" t="str">
        <f t="shared" si="105"/>
        <v>19830320</v>
      </c>
    </row>
    <row r="6770" s="1" customFormat="1" ht="14.25" spans="1:13">
      <c r="A6770" s="2">
        <v>5425</v>
      </c>
      <c r="B6770" s="33" t="s">
        <v>10535</v>
      </c>
      <c r="C6770" s="34" t="s">
        <v>10954</v>
      </c>
      <c r="D6770" s="34" t="s">
        <v>10955</v>
      </c>
      <c r="E6770" s="35">
        <v>2020</v>
      </c>
      <c r="F6770" s="35">
        <v>2020</v>
      </c>
      <c r="G6770" s="35" t="s">
        <v>16</v>
      </c>
      <c r="H6770" s="34">
        <v>200</v>
      </c>
      <c r="I6770" s="34">
        <v>200</v>
      </c>
      <c r="J6770" s="49"/>
      <c r="K6770" s="10"/>
      <c r="L6770" s="10">
        <v>20201118</v>
      </c>
      <c r="M6770" s="36" t="str">
        <f t="shared" si="105"/>
        <v>19830320</v>
      </c>
    </row>
    <row r="6771" s="1" customFormat="1" spans="1:13">
      <c r="A6771" s="2">
        <v>7452</v>
      </c>
      <c r="B6771" s="5" t="s">
        <v>14402</v>
      </c>
      <c r="C6771" s="5" t="s">
        <v>14525</v>
      </c>
      <c r="D6771" s="5" t="s">
        <v>14526</v>
      </c>
      <c r="E6771" s="5">
        <v>2020</v>
      </c>
      <c r="F6771" s="5">
        <v>2020</v>
      </c>
      <c r="G6771" s="17" t="s">
        <v>16</v>
      </c>
      <c r="H6771" s="5">
        <v>200</v>
      </c>
      <c r="I6771" s="5">
        <v>200</v>
      </c>
      <c r="J6771" s="5"/>
      <c r="K6771" s="10"/>
      <c r="L6771" s="10">
        <v>20201118</v>
      </c>
      <c r="M6771" s="36" t="str">
        <f t="shared" si="105"/>
        <v>19830320</v>
      </c>
    </row>
    <row r="6772" s="1" customFormat="1" spans="1:13">
      <c r="A6772" s="2">
        <v>2035</v>
      </c>
      <c r="B6772" s="5" t="s">
        <v>4189</v>
      </c>
      <c r="C6772" s="16" t="s">
        <v>4625</v>
      </c>
      <c r="D6772" s="16" t="s">
        <v>4626</v>
      </c>
      <c r="E6772" s="5" t="s">
        <v>15</v>
      </c>
      <c r="F6772" s="5" t="s">
        <v>15</v>
      </c>
      <c r="G6772" s="5" t="s">
        <v>3359</v>
      </c>
      <c r="H6772" s="16">
        <v>500</v>
      </c>
      <c r="I6772" s="16">
        <v>500</v>
      </c>
      <c r="J6772" s="5"/>
      <c r="K6772" s="10"/>
      <c r="L6772" s="10">
        <v>20201118</v>
      </c>
      <c r="M6772" s="36" t="str">
        <f t="shared" si="105"/>
        <v>19830321</v>
      </c>
    </row>
    <row r="6773" s="1" customFormat="1" spans="1:13">
      <c r="A6773" s="2">
        <v>2336</v>
      </c>
      <c r="B6773" s="9" t="s">
        <v>4837</v>
      </c>
      <c r="C6773" s="9" t="s">
        <v>5211</v>
      </c>
      <c r="D6773" s="9" t="s">
        <v>5212</v>
      </c>
      <c r="E6773" s="6" t="s">
        <v>15</v>
      </c>
      <c r="F6773" s="6">
        <v>2020</v>
      </c>
      <c r="G6773" s="9" t="s">
        <v>2480</v>
      </c>
      <c r="H6773" s="9">
        <v>200</v>
      </c>
      <c r="I6773" s="9">
        <v>200</v>
      </c>
      <c r="J6773" s="6"/>
      <c r="K6773" s="10"/>
      <c r="L6773" s="10">
        <v>20201118</v>
      </c>
      <c r="M6773" s="36" t="str">
        <f t="shared" si="105"/>
        <v>19830325</v>
      </c>
    </row>
    <row r="6774" s="1" customFormat="1" ht="14.25" spans="1:13">
      <c r="A6774" s="2">
        <v>3042</v>
      </c>
      <c r="B6774" s="6" t="s">
        <v>6075</v>
      </c>
      <c r="C6774" s="25" t="s">
        <v>6607</v>
      </c>
      <c r="D6774" s="26" t="s">
        <v>6608</v>
      </c>
      <c r="E6774" s="5" t="s">
        <v>15</v>
      </c>
      <c r="F6774" s="5">
        <v>2020</v>
      </c>
      <c r="G6774" s="6" t="s">
        <v>16</v>
      </c>
      <c r="H6774" s="6">
        <v>500</v>
      </c>
      <c r="I6774" s="6">
        <v>500</v>
      </c>
      <c r="J6774" s="6"/>
      <c r="K6774" s="10"/>
      <c r="L6774" s="10">
        <v>20201118</v>
      </c>
      <c r="M6774" s="36" t="str">
        <f t="shared" si="105"/>
        <v>19830327</v>
      </c>
    </row>
    <row r="6775" s="1" customFormat="1" spans="1:13">
      <c r="A6775" s="2">
        <v>3165</v>
      </c>
      <c r="B6775" s="3" t="s">
        <v>6671</v>
      </c>
      <c r="C6775" s="9" t="s">
        <v>6845</v>
      </c>
      <c r="D6775" s="9" t="s">
        <v>6846</v>
      </c>
      <c r="E6775" s="3" t="s">
        <v>15</v>
      </c>
      <c r="F6775" s="3" t="s">
        <v>15</v>
      </c>
      <c r="G6775" s="6" t="s">
        <v>3359</v>
      </c>
      <c r="H6775" s="9">
        <v>200</v>
      </c>
      <c r="I6775" s="9">
        <v>200</v>
      </c>
      <c r="J6775" s="6"/>
      <c r="K6775" s="5"/>
      <c r="L6775" s="10">
        <v>20201118</v>
      </c>
      <c r="M6775" s="36" t="str">
        <f t="shared" si="105"/>
        <v>19830329</v>
      </c>
    </row>
    <row r="6776" s="1" customFormat="1" ht="14.25" spans="1:13">
      <c r="A6776" s="2">
        <v>5426</v>
      </c>
      <c r="B6776" s="33" t="s">
        <v>10535</v>
      </c>
      <c r="C6776" s="34" t="s">
        <v>10956</v>
      </c>
      <c r="D6776" s="34" t="s">
        <v>10957</v>
      </c>
      <c r="E6776" s="35">
        <v>2020</v>
      </c>
      <c r="F6776" s="35">
        <v>2020</v>
      </c>
      <c r="G6776" s="35" t="s">
        <v>16</v>
      </c>
      <c r="H6776" s="34">
        <v>200</v>
      </c>
      <c r="I6776" s="34">
        <v>200</v>
      </c>
      <c r="J6776" s="49"/>
      <c r="K6776" s="10"/>
      <c r="L6776" s="10">
        <v>20201118</v>
      </c>
      <c r="M6776" s="36" t="str">
        <f t="shared" si="105"/>
        <v>19830330</v>
      </c>
    </row>
    <row r="6777" s="1" customFormat="1" spans="1:13">
      <c r="A6777" s="2">
        <v>6756</v>
      </c>
      <c r="B6777" s="5" t="s">
        <v>13027</v>
      </c>
      <c r="C6777" s="15" t="s">
        <v>13477</v>
      </c>
      <c r="D6777" s="15" t="s">
        <v>13478</v>
      </c>
      <c r="E6777" s="5">
        <v>2020</v>
      </c>
      <c r="F6777" s="5">
        <v>2020</v>
      </c>
      <c r="G6777" s="14" t="s">
        <v>16</v>
      </c>
      <c r="H6777" s="15">
        <v>200</v>
      </c>
      <c r="I6777" s="15">
        <v>200</v>
      </c>
      <c r="J6777" s="5"/>
      <c r="K6777" s="10"/>
      <c r="L6777" s="10">
        <v>20201118</v>
      </c>
      <c r="M6777" s="36" t="str">
        <f t="shared" si="105"/>
        <v>19830401</v>
      </c>
    </row>
    <row r="6778" s="1" customFormat="1" spans="1:13">
      <c r="A6778" s="2">
        <v>1279</v>
      </c>
      <c r="B6778" s="5" t="s">
        <v>2469</v>
      </c>
      <c r="C6778" s="9" t="s">
        <v>3140</v>
      </c>
      <c r="D6778" s="9" t="s">
        <v>3141</v>
      </c>
      <c r="E6778" s="5">
        <v>2020</v>
      </c>
      <c r="F6778" s="5">
        <v>2020</v>
      </c>
      <c r="G6778" s="9" t="s">
        <v>2480</v>
      </c>
      <c r="H6778" s="9">
        <v>200</v>
      </c>
      <c r="I6778" s="9">
        <v>200</v>
      </c>
      <c r="J6778" s="5"/>
      <c r="K6778" s="5"/>
      <c r="L6778" s="10">
        <v>20201118</v>
      </c>
      <c r="M6778" s="36" t="str">
        <f t="shared" si="105"/>
        <v>19830403</v>
      </c>
    </row>
    <row r="6779" s="1" customFormat="1" spans="1:13">
      <c r="A6779" s="2">
        <v>7356</v>
      </c>
      <c r="B6779" s="5" t="s">
        <v>13908</v>
      </c>
      <c r="C6779" s="5" t="s">
        <v>14342</v>
      </c>
      <c r="D6779" s="5" t="s">
        <v>14343</v>
      </c>
      <c r="E6779" s="5" t="s">
        <v>15</v>
      </c>
      <c r="F6779" s="5" t="s">
        <v>15</v>
      </c>
      <c r="G6779" s="14" t="s">
        <v>16</v>
      </c>
      <c r="H6779" s="17">
        <v>200</v>
      </c>
      <c r="I6779" s="17">
        <v>200</v>
      </c>
      <c r="J6779" s="5"/>
      <c r="K6779" s="10"/>
      <c r="L6779" s="10">
        <v>20201118</v>
      </c>
      <c r="M6779" s="36" t="str">
        <f t="shared" si="105"/>
        <v>19830406</v>
      </c>
    </row>
    <row r="6780" s="1" customFormat="1" spans="1:13">
      <c r="A6780" s="2">
        <v>5504</v>
      </c>
      <c r="B6780" s="30" t="s">
        <v>11090</v>
      </c>
      <c r="C6780" s="30" t="s">
        <v>11103</v>
      </c>
      <c r="D6780" s="30" t="s">
        <v>11104</v>
      </c>
      <c r="E6780" s="5" t="s">
        <v>15</v>
      </c>
      <c r="F6780" s="5" t="s">
        <v>10250</v>
      </c>
      <c r="G6780" s="6" t="s">
        <v>16</v>
      </c>
      <c r="H6780" s="32">
        <v>200</v>
      </c>
      <c r="I6780" s="32">
        <v>200</v>
      </c>
      <c r="J6780" s="6"/>
      <c r="K6780" s="48"/>
      <c r="L6780" s="10">
        <v>20201118</v>
      </c>
      <c r="M6780" s="36" t="str">
        <f t="shared" si="105"/>
        <v>19830407</v>
      </c>
    </row>
    <row r="6781" s="1" customFormat="1" spans="1:13">
      <c r="A6781" s="2">
        <v>3299</v>
      </c>
      <c r="B6781" s="5" t="s">
        <v>3375</v>
      </c>
      <c r="C6781" s="6" t="s">
        <v>7071</v>
      </c>
      <c r="D6781" s="6" t="str">
        <f>"152326198304096867"</f>
        <v>152326198304096867</v>
      </c>
      <c r="E6781" s="5" t="s">
        <v>15</v>
      </c>
      <c r="F6781" s="5">
        <v>2020</v>
      </c>
      <c r="G6781" s="14" t="s">
        <v>16</v>
      </c>
      <c r="H6781" s="17">
        <v>200</v>
      </c>
      <c r="I6781" s="17">
        <v>200</v>
      </c>
      <c r="J6781" s="6"/>
      <c r="K6781" s="10"/>
      <c r="L6781" s="10">
        <v>20201118</v>
      </c>
      <c r="M6781" s="36" t="str">
        <f t="shared" si="105"/>
        <v>19830409</v>
      </c>
    </row>
    <row r="6782" s="1" customFormat="1" spans="1:13">
      <c r="A6782" s="2">
        <v>4367</v>
      </c>
      <c r="B6782" s="9" t="s">
        <v>8515</v>
      </c>
      <c r="C6782" s="9" t="s">
        <v>8923</v>
      </c>
      <c r="D6782" s="9" t="s">
        <v>8924</v>
      </c>
      <c r="E6782" s="5" t="s">
        <v>15</v>
      </c>
      <c r="F6782" s="5">
        <v>2020</v>
      </c>
      <c r="G6782" s="9" t="s">
        <v>2480</v>
      </c>
      <c r="H6782" s="9">
        <v>200</v>
      </c>
      <c r="I6782" s="9">
        <v>200</v>
      </c>
      <c r="J6782" s="9"/>
      <c r="K6782" s="9"/>
      <c r="L6782" s="10">
        <v>20201118</v>
      </c>
      <c r="M6782" s="36" t="str">
        <f t="shared" si="105"/>
        <v>19830412</v>
      </c>
    </row>
    <row r="6783" s="1" customFormat="1" spans="1:13">
      <c r="A6783" s="2">
        <v>48</v>
      </c>
      <c r="B6783" s="31" t="s">
        <v>12</v>
      </c>
      <c r="C6783" s="17" t="s">
        <v>111</v>
      </c>
      <c r="D6783" s="17" t="s">
        <v>112</v>
      </c>
      <c r="E6783" s="3" t="s">
        <v>15</v>
      </c>
      <c r="F6783" s="3" t="s">
        <v>15</v>
      </c>
      <c r="G6783" s="2" t="s">
        <v>16</v>
      </c>
      <c r="H6783" s="17">
        <v>1000</v>
      </c>
      <c r="I6783" s="17">
        <v>1000</v>
      </c>
      <c r="J6783" s="17"/>
      <c r="K6783" s="17"/>
      <c r="L6783" s="10">
        <v>20201118</v>
      </c>
      <c r="M6783" s="36" t="str">
        <f t="shared" si="105"/>
        <v>19830414</v>
      </c>
    </row>
    <row r="6784" s="1" customFormat="1" spans="1:13">
      <c r="A6784" s="2">
        <v>3300</v>
      </c>
      <c r="B6784" s="5" t="s">
        <v>3375</v>
      </c>
      <c r="C6784" s="6" t="s">
        <v>7072</v>
      </c>
      <c r="D6784" s="6" t="str">
        <f>"152326198304146895"</f>
        <v>152326198304146895</v>
      </c>
      <c r="E6784" s="5" t="s">
        <v>15</v>
      </c>
      <c r="F6784" s="5">
        <v>2020</v>
      </c>
      <c r="G6784" s="14" t="s">
        <v>16</v>
      </c>
      <c r="H6784" s="17">
        <v>200</v>
      </c>
      <c r="I6784" s="17">
        <v>200</v>
      </c>
      <c r="J6784" s="6"/>
      <c r="K6784" s="10"/>
      <c r="L6784" s="10">
        <v>20201118</v>
      </c>
      <c r="M6784" s="36" t="str">
        <f t="shared" si="105"/>
        <v>19830414</v>
      </c>
    </row>
    <row r="6785" s="1" customFormat="1" spans="1:13">
      <c r="A6785" s="2">
        <v>3304</v>
      </c>
      <c r="B6785" s="5" t="s">
        <v>3375</v>
      </c>
      <c r="C6785" s="6" t="s">
        <v>7077</v>
      </c>
      <c r="D6785" s="6" t="str">
        <f>"152326198304146879"</f>
        <v>152326198304146879</v>
      </c>
      <c r="E6785" s="5" t="s">
        <v>15</v>
      </c>
      <c r="F6785" s="5">
        <v>2020</v>
      </c>
      <c r="G6785" s="14" t="s">
        <v>16</v>
      </c>
      <c r="H6785" s="17">
        <v>200</v>
      </c>
      <c r="I6785" s="17">
        <v>200</v>
      </c>
      <c r="J6785" s="6"/>
      <c r="K6785" s="10"/>
      <c r="L6785" s="10">
        <v>20201118</v>
      </c>
      <c r="M6785" s="36" t="str">
        <f t="shared" si="105"/>
        <v>19830414</v>
      </c>
    </row>
    <row r="6786" s="1" customFormat="1" spans="1:13">
      <c r="A6786" s="2">
        <v>2711</v>
      </c>
      <c r="B6786" s="32" t="s">
        <v>5602</v>
      </c>
      <c r="C6786" s="9" t="s">
        <v>5952</v>
      </c>
      <c r="D6786" s="9" t="s">
        <v>5953</v>
      </c>
      <c r="E6786" s="32">
        <v>2020</v>
      </c>
      <c r="F6786" s="32">
        <v>2020</v>
      </c>
      <c r="G6786" s="32" t="s">
        <v>16</v>
      </c>
      <c r="H6786" s="9">
        <v>200</v>
      </c>
      <c r="I6786" s="9">
        <v>200</v>
      </c>
      <c r="J6786" s="32"/>
      <c r="K6786" s="52"/>
      <c r="L6786" s="10">
        <v>20201118</v>
      </c>
      <c r="M6786" s="36" t="str">
        <f t="shared" ref="M6786:M6849" si="106">MID(D6786,7,8)</f>
        <v>19830415</v>
      </c>
    </row>
    <row r="6787" s="1" customFormat="1" spans="1:13">
      <c r="A6787" s="2">
        <v>4066</v>
      </c>
      <c r="B6787" s="5" t="s">
        <v>7412</v>
      </c>
      <c r="C6787" s="5" t="s">
        <v>8346</v>
      </c>
      <c r="D6787" s="5" t="s">
        <v>8347</v>
      </c>
      <c r="E6787" s="6">
        <v>2020</v>
      </c>
      <c r="F6787" s="6">
        <v>2020</v>
      </c>
      <c r="G6787" s="5" t="s">
        <v>3359</v>
      </c>
      <c r="H6787" s="5">
        <v>200</v>
      </c>
      <c r="I6787" s="5">
        <v>200</v>
      </c>
      <c r="J6787" s="5"/>
      <c r="K6787" s="5"/>
      <c r="L6787" s="10">
        <v>20201118</v>
      </c>
      <c r="M6787" s="36" t="str">
        <f t="shared" si="106"/>
        <v>19830420</v>
      </c>
    </row>
    <row r="6788" s="1" customFormat="1" spans="1:13">
      <c r="A6788" s="2">
        <v>5189</v>
      </c>
      <c r="B6788" s="6" t="s">
        <v>10242</v>
      </c>
      <c r="C6788" s="9" t="s">
        <v>10500</v>
      </c>
      <c r="D6788" s="89" t="s">
        <v>10501</v>
      </c>
      <c r="E6788" s="5" t="s">
        <v>10250</v>
      </c>
      <c r="F6788" s="5">
        <v>2020</v>
      </c>
      <c r="G6788" s="6" t="s">
        <v>16</v>
      </c>
      <c r="H6788" s="6">
        <v>200</v>
      </c>
      <c r="I6788" s="6">
        <v>200</v>
      </c>
      <c r="J6788" s="6"/>
      <c r="K6788" s="5"/>
      <c r="L6788" s="10">
        <v>20201118</v>
      </c>
      <c r="M6788" s="36" t="str">
        <f t="shared" si="106"/>
        <v>19830421</v>
      </c>
    </row>
    <row r="6789" s="1" customFormat="1" spans="1:13">
      <c r="A6789" s="2">
        <v>1924</v>
      </c>
      <c r="B6789" s="5" t="s">
        <v>4189</v>
      </c>
      <c r="C6789" s="16" t="s">
        <v>4408</v>
      </c>
      <c r="D6789" s="16" t="s">
        <v>4409</v>
      </c>
      <c r="E6789" s="5" t="s">
        <v>15</v>
      </c>
      <c r="F6789" s="5" t="s">
        <v>15</v>
      </c>
      <c r="G6789" s="5" t="s">
        <v>3359</v>
      </c>
      <c r="H6789" s="16">
        <v>500</v>
      </c>
      <c r="I6789" s="16">
        <v>500</v>
      </c>
      <c r="J6789" s="5"/>
      <c r="K6789" s="10"/>
      <c r="L6789" s="10">
        <v>20201118</v>
      </c>
      <c r="M6789" s="36" t="str">
        <f t="shared" si="106"/>
        <v>19830425</v>
      </c>
    </row>
    <row r="6790" s="1" customFormat="1" spans="1:13">
      <c r="A6790" s="2">
        <v>3176</v>
      </c>
      <c r="B6790" s="3" t="s">
        <v>6671</v>
      </c>
      <c r="C6790" s="9" t="s">
        <v>6865</v>
      </c>
      <c r="D6790" s="9" t="s">
        <v>6866</v>
      </c>
      <c r="E6790" s="3" t="s">
        <v>15</v>
      </c>
      <c r="F6790" s="3" t="s">
        <v>15</v>
      </c>
      <c r="G6790" s="6" t="s">
        <v>3359</v>
      </c>
      <c r="H6790" s="9">
        <v>200</v>
      </c>
      <c r="I6790" s="9">
        <v>200</v>
      </c>
      <c r="J6790" s="6"/>
      <c r="K6790" s="5"/>
      <c r="L6790" s="10">
        <v>20201118</v>
      </c>
      <c r="M6790" s="36" t="str">
        <f t="shared" si="106"/>
        <v>19830427</v>
      </c>
    </row>
    <row r="6791" s="1" customFormat="1" spans="1:13">
      <c r="A6791" s="2">
        <v>5916</v>
      </c>
      <c r="B6791" s="30" t="s">
        <v>11090</v>
      </c>
      <c r="C6791" s="30" t="s">
        <v>7147</v>
      </c>
      <c r="D6791" s="30" t="s">
        <v>11882</v>
      </c>
      <c r="E6791" s="5" t="s">
        <v>15</v>
      </c>
      <c r="F6791" s="5" t="s">
        <v>10250</v>
      </c>
      <c r="G6791" s="6" t="s">
        <v>16</v>
      </c>
      <c r="H6791" s="32">
        <v>200</v>
      </c>
      <c r="I6791" s="32">
        <v>200</v>
      </c>
      <c r="J6791" s="6"/>
      <c r="K6791" s="48"/>
      <c r="L6791" s="10">
        <v>20201118</v>
      </c>
      <c r="M6791" s="36" t="str">
        <f t="shared" si="106"/>
        <v>19830428</v>
      </c>
    </row>
    <row r="6792" s="1" customFormat="1" spans="1:13">
      <c r="A6792" s="2">
        <v>5074</v>
      </c>
      <c r="B6792" s="6" t="s">
        <v>10242</v>
      </c>
      <c r="C6792" s="9" t="s">
        <v>10283</v>
      </c>
      <c r="D6792" s="9" t="s">
        <v>10284</v>
      </c>
      <c r="E6792" s="5" t="s">
        <v>10250</v>
      </c>
      <c r="F6792" s="5">
        <v>2020</v>
      </c>
      <c r="G6792" s="6" t="s">
        <v>16</v>
      </c>
      <c r="H6792" s="6">
        <v>200</v>
      </c>
      <c r="I6792" s="6">
        <v>200</v>
      </c>
      <c r="J6792" s="6"/>
      <c r="K6792" s="5"/>
      <c r="L6792" s="10">
        <v>20201118</v>
      </c>
      <c r="M6792" s="36" t="str">
        <f t="shared" si="106"/>
        <v>19830430</v>
      </c>
    </row>
    <row r="6793" s="1" customFormat="1" spans="1:13">
      <c r="A6793" s="2">
        <v>3166</v>
      </c>
      <c r="B6793" s="3" t="s">
        <v>6671</v>
      </c>
      <c r="C6793" s="9" t="s">
        <v>2245</v>
      </c>
      <c r="D6793" s="9" t="s">
        <v>6847</v>
      </c>
      <c r="E6793" s="3" t="s">
        <v>15</v>
      </c>
      <c r="F6793" s="3" t="s">
        <v>15</v>
      </c>
      <c r="G6793" s="6" t="s">
        <v>3359</v>
      </c>
      <c r="H6793" s="9">
        <v>200</v>
      </c>
      <c r="I6793" s="9">
        <v>200</v>
      </c>
      <c r="J6793" s="6"/>
      <c r="K6793" s="5"/>
      <c r="L6793" s="10">
        <v>20201118</v>
      </c>
      <c r="M6793" s="36" t="str">
        <f t="shared" si="106"/>
        <v>19830501</v>
      </c>
    </row>
    <row r="6794" s="1" customFormat="1" spans="1:13">
      <c r="A6794" s="2">
        <v>4769</v>
      </c>
      <c r="B6794" s="6" t="s">
        <v>9015</v>
      </c>
      <c r="C6794" s="6" t="s">
        <v>9692</v>
      </c>
      <c r="D6794" s="6" t="s">
        <v>9693</v>
      </c>
      <c r="E6794" s="6">
        <v>2020</v>
      </c>
      <c r="F6794" s="6">
        <v>2020</v>
      </c>
      <c r="G6794" s="6" t="s">
        <v>16</v>
      </c>
      <c r="H6794" s="6">
        <v>200</v>
      </c>
      <c r="I6794" s="6">
        <v>200</v>
      </c>
      <c r="J6794" s="6"/>
      <c r="K6794" s="6"/>
      <c r="L6794" s="10">
        <v>20201118</v>
      </c>
      <c r="M6794" s="36" t="str">
        <f t="shared" si="106"/>
        <v>19830503</v>
      </c>
    </row>
    <row r="6795" s="1" customFormat="1" ht="14.25" spans="1:13">
      <c r="A6795" s="2">
        <v>5971</v>
      </c>
      <c r="B6795" s="30" t="s">
        <v>11090</v>
      </c>
      <c r="C6795" s="32" t="s">
        <v>11989</v>
      </c>
      <c r="D6795" s="12" t="s">
        <v>11990</v>
      </c>
      <c r="E6795" s="5" t="s">
        <v>15</v>
      </c>
      <c r="F6795" s="5" t="s">
        <v>10250</v>
      </c>
      <c r="G6795" s="6" t="s">
        <v>16</v>
      </c>
      <c r="H6795" s="32">
        <v>200</v>
      </c>
      <c r="I6795" s="32">
        <v>200</v>
      </c>
      <c r="J6795" s="6"/>
      <c r="K6795" s="48"/>
      <c r="L6795" s="10">
        <v>20201118</v>
      </c>
      <c r="M6795" s="36" t="str">
        <f t="shared" si="106"/>
        <v>19830503</v>
      </c>
    </row>
    <row r="6796" s="1" customFormat="1" spans="1:13">
      <c r="A6796" s="2">
        <v>4812</v>
      </c>
      <c r="B6796" s="6" t="s">
        <v>9015</v>
      </c>
      <c r="C6796" s="6" t="s">
        <v>9772</v>
      </c>
      <c r="D6796" s="293" t="s">
        <v>9773</v>
      </c>
      <c r="E6796" s="6">
        <v>2020</v>
      </c>
      <c r="F6796" s="6">
        <v>2020</v>
      </c>
      <c r="G6796" s="6" t="s">
        <v>16</v>
      </c>
      <c r="H6796" s="6">
        <v>200</v>
      </c>
      <c r="I6796" s="6">
        <v>200</v>
      </c>
      <c r="J6796" s="6"/>
      <c r="K6796" s="6"/>
      <c r="L6796" s="10">
        <v>20201118</v>
      </c>
      <c r="M6796" s="36" t="str">
        <f t="shared" si="106"/>
        <v>19830505</v>
      </c>
    </row>
    <row r="6797" s="1" customFormat="1" spans="1:13">
      <c r="A6797" s="2">
        <v>1827</v>
      </c>
      <c r="B6797" s="5" t="s">
        <v>4189</v>
      </c>
      <c r="C6797" s="16" t="s">
        <v>4219</v>
      </c>
      <c r="D6797" s="320" t="s">
        <v>4220</v>
      </c>
      <c r="E6797" s="5" t="s">
        <v>15</v>
      </c>
      <c r="F6797" s="5" t="s">
        <v>15</v>
      </c>
      <c r="G6797" s="5" t="s">
        <v>3359</v>
      </c>
      <c r="H6797" s="16">
        <v>200</v>
      </c>
      <c r="I6797" s="16">
        <v>200</v>
      </c>
      <c r="J6797" s="5"/>
      <c r="K6797" s="10"/>
      <c r="L6797" s="10">
        <v>20201118</v>
      </c>
      <c r="M6797" s="36" t="str">
        <f t="shared" si="106"/>
        <v>19830507</v>
      </c>
    </row>
    <row r="6798" s="1" customFormat="1" spans="1:13">
      <c r="A6798" s="2">
        <v>3231</v>
      </c>
      <c r="B6798" s="3" t="s">
        <v>6671</v>
      </c>
      <c r="C6798" s="9" t="s">
        <v>6967</v>
      </c>
      <c r="D6798" s="9" t="s">
        <v>6968</v>
      </c>
      <c r="E6798" s="3" t="s">
        <v>15</v>
      </c>
      <c r="F6798" s="3" t="s">
        <v>15</v>
      </c>
      <c r="G6798" s="6" t="s">
        <v>3359</v>
      </c>
      <c r="H6798" s="9">
        <v>200</v>
      </c>
      <c r="I6798" s="9">
        <v>200</v>
      </c>
      <c r="J6798" s="6"/>
      <c r="K6798" s="5"/>
      <c r="L6798" s="10">
        <v>20201118</v>
      </c>
      <c r="M6798" s="36" t="str">
        <f t="shared" si="106"/>
        <v>19830507</v>
      </c>
    </row>
    <row r="6799" s="1" customFormat="1" ht="14.25" spans="1:13">
      <c r="A6799" s="2">
        <v>6017</v>
      </c>
      <c r="B6799" s="30" t="s">
        <v>11090</v>
      </c>
      <c r="C6799" s="32" t="s">
        <v>12077</v>
      </c>
      <c r="D6799" s="12" t="s">
        <v>12078</v>
      </c>
      <c r="E6799" s="5" t="s">
        <v>15</v>
      </c>
      <c r="F6799" s="5" t="s">
        <v>10250</v>
      </c>
      <c r="G6799" s="6" t="s">
        <v>16</v>
      </c>
      <c r="H6799" s="32">
        <v>200</v>
      </c>
      <c r="I6799" s="32">
        <v>200</v>
      </c>
      <c r="J6799" s="5"/>
      <c r="K6799" s="48"/>
      <c r="L6799" s="10">
        <v>20201118</v>
      </c>
      <c r="M6799" s="36" t="str">
        <f t="shared" si="106"/>
        <v>19830508</v>
      </c>
    </row>
    <row r="6800" s="1" customFormat="1" ht="14.25" spans="1:13">
      <c r="A6800" s="2">
        <v>5427</v>
      </c>
      <c r="B6800" s="33" t="s">
        <v>10535</v>
      </c>
      <c r="C6800" s="34" t="s">
        <v>10958</v>
      </c>
      <c r="D6800" s="34" t="s">
        <v>10959</v>
      </c>
      <c r="E6800" s="35">
        <v>2020</v>
      </c>
      <c r="F6800" s="35">
        <v>2020</v>
      </c>
      <c r="G6800" s="35" t="s">
        <v>16</v>
      </c>
      <c r="H6800" s="34">
        <v>200</v>
      </c>
      <c r="I6800" s="34">
        <v>200</v>
      </c>
      <c r="J6800" s="49"/>
      <c r="K6800" s="10"/>
      <c r="L6800" s="10">
        <v>20201118</v>
      </c>
      <c r="M6800" s="36" t="str">
        <f t="shared" si="106"/>
        <v>19830516</v>
      </c>
    </row>
    <row r="6801" s="1" customFormat="1" spans="1:13">
      <c r="A6801" s="2">
        <v>5595</v>
      </c>
      <c r="B6801" s="30" t="s">
        <v>11090</v>
      </c>
      <c r="C6801" s="30" t="s">
        <v>11283</v>
      </c>
      <c r="D6801" s="30" t="s">
        <v>11284</v>
      </c>
      <c r="E6801" s="5" t="s">
        <v>15</v>
      </c>
      <c r="F6801" s="5" t="s">
        <v>10250</v>
      </c>
      <c r="G6801" s="6" t="s">
        <v>16</v>
      </c>
      <c r="H6801" s="32">
        <v>200</v>
      </c>
      <c r="I6801" s="32">
        <v>200</v>
      </c>
      <c r="J6801" s="6"/>
      <c r="K6801" s="48"/>
      <c r="L6801" s="10">
        <v>20201118</v>
      </c>
      <c r="M6801" s="36" t="str">
        <f t="shared" si="106"/>
        <v>19830516</v>
      </c>
    </row>
    <row r="6802" s="1" customFormat="1" spans="1:13">
      <c r="A6802" s="2">
        <v>3303</v>
      </c>
      <c r="B6802" s="5" t="s">
        <v>3375</v>
      </c>
      <c r="C6802" s="6" t="s">
        <v>7076</v>
      </c>
      <c r="D6802" s="6" t="str">
        <f>"152326198305186880"</f>
        <v>152326198305186880</v>
      </c>
      <c r="E6802" s="5" t="s">
        <v>15</v>
      </c>
      <c r="F6802" s="5">
        <v>2020</v>
      </c>
      <c r="G6802" s="14" t="s">
        <v>16</v>
      </c>
      <c r="H6802" s="17">
        <v>200</v>
      </c>
      <c r="I6802" s="17">
        <v>200</v>
      </c>
      <c r="J6802" s="6"/>
      <c r="K6802" s="10"/>
      <c r="L6802" s="10">
        <v>20201118</v>
      </c>
      <c r="M6802" s="36" t="str">
        <f t="shared" si="106"/>
        <v>19830518</v>
      </c>
    </row>
    <row r="6803" s="1" customFormat="1" spans="1:13">
      <c r="A6803" s="2">
        <v>2041</v>
      </c>
      <c r="B6803" s="5" t="s">
        <v>4189</v>
      </c>
      <c r="C6803" s="16" t="s">
        <v>4637</v>
      </c>
      <c r="D6803" s="16" t="s">
        <v>4638</v>
      </c>
      <c r="E6803" s="5" t="s">
        <v>15</v>
      </c>
      <c r="F6803" s="5" t="s">
        <v>15</v>
      </c>
      <c r="G6803" s="5" t="s">
        <v>3359</v>
      </c>
      <c r="H6803" s="16">
        <v>200</v>
      </c>
      <c r="I6803" s="16">
        <v>200</v>
      </c>
      <c r="J6803" s="5"/>
      <c r="K6803" s="10"/>
      <c r="L6803" s="10">
        <v>20201118</v>
      </c>
      <c r="M6803" s="36" t="str">
        <f t="shared" si="106"/>
        <v>19830519</v>
      </c>
    </row>
    <row r="6804" s="1" customFormat="1" spans="1:13">
      <c r="A6804" s="2">
        <v>4925</v>
      </c>
      <c r="B6804" s="6" t="s">
        <v>9954</v>
      </c>
      <c r="C6804" s="6" t="s">
        <v>9991</v>
      </c>
      <c r="D6804" s="6" t="s">
        <v>9992</v>
      </c>
      <c r="E6804" s="5" t="s">
        <v>15</v>
      </c>
      <c r="F6804" s="5" t="s">
        <v>15</v>
      </c>
      <c r="G6804" s="14" t="s">
        <v>16</v>
      </c>
      <c r="H6804" s="6">
        <v>200</v>
      </c>
      <c r="I6804" s="6">
        <v>200</v>
      </c>
      <c r="J6804" s="6"/>
      <c r="K6804" s="6"/>
      <c r="L6804" s="10">
        <v>20201118</v>
      </c>
      <c r="M6804" s="36" t="str">
        <f t="shared" si="106"/>
        <v>19830519</v>
      </c>
    </row>
    <row r="6805" s="1" customFormat="1" spans="1:13">
      <c r="A6805" s="2">
        <v>7451</v>
      </c>
      <c r="B6805" s="5" t="s">
        <v>14402</v>
      </c>
      <c r="C6805" s="5" t="s">
        <v>14523</v>
      </c>
      <c r="D6805" s="5" t="s">
        <v>14524</v>
      </c>
      <c r="E6805" s="5">
        <v>2020</v>
      </c>
      <c r="F6805" s="5">
        <v>2020</v>
      </c>
      <c r="G6805" s="17" t="s">
        <v>16</v>
      </c>
      <c r="H6805" s="5">
        <v>200</v>
      </c>
      <c r="I6805" s="5">
        <v>200</v>
      </c>
      <c r="J6805" s="5"/>
      <c r="K6805" s="10"/>
      <c r="L6805" s="10">
        <v>20201118</v>
      </c>
      <c r="M6805" s="36" t="str">
        <f t="shared" si="106"/>
        <v>19830520</v>
      </c>
    </row>
    <row r="6806" s="1" customFormat="1" spans="1:13">
      <c r="A6806" s="2">
        <v>1280</v>
      </c>
      <c r="B6806" s="5" t="s">
        <v>2469</v>
      </c>
      <c r="C6806" s="9" t="s">
        <v>3142</v>
      </c>
      <c r="D6806" s="9" t="s">
        <v>3143</v>
      </c>
      <c r="E6806" s="5">
        <v>2020</v>
      </c>
      <c r="F6806" s="5">
        <v>2020</v>
      </c>
      <c r="G6806" s="9" t="s">
        <v>2480</v>
      </c>
      <c r="H6806" s="9">
        <v>200</v>
      </c>
      <c r="I6806" s="9">
        <v>200</v>
      </c>
      <c r="J6806" s="5"/>
      <c r="K6806" s="5"/>
      <c r="L6806" s="10">
        <v>20201118</v>
      </c>
      <c r="M6806" s="36" t="str">
        <f t="shared" si="106"/>
        <v>19830522</v>
      </c>
    </row>
    <row r="6807" s="1" customFormat="1" spans="1:13">
      <c r="A6807" s="2">
        <v>913</v>
      </c>
      <c r="B6807" s="29" t="s">
        <v>1040</v>
      </c>
      <c r="C6807" s="6" t="s">
        <v>2386</v>
      </c>
      <c r="D6807" s="6" t="s">
        <v>2387</v>
      </c>
      <c r="E6807" s="30">
        <v>2020</v>
      </c>
      <c r="F6807" s="30">
        <v>2020</v>
      </c>
      <c r="G6807" s="29" t="s">
        <v>16</v>
      </c>
      <c r="H6807" s="29">
        <v>200</v>
      </c>
      <c r="I6807" s="29">
        <v>200</v>
      </c>
      <c r="J6807" s="32"/>
      <c r="K6807" s="32"/>
      <c r="L6807" s="14" t="s">
        <v>330</v>
      </c>
      <c r="M6807" s="36" t="str">
        <f t="shared" si="106"/>
        <v>19830523</v>
      </c>
    </row>
    <row r="6808" s="1" customFormat="1" spans="1:13">
      <c r="A6808" s="2">
        <v>2712</v>
      </c>
      <c r="B6808" s="32" t="s">
        <v>5602</v>
      </c>
      <c r="C6808" s="9" t="s">
        <v>5954</v>
      </c>
      <c r="D6808" s="9" t="s">
        <v>5955</v>
      </c>
      <c r="E6808" s="32">
        <v>2020</v>
      </c>
      <c r="F6808" s="32">
        <v>2020</v>
      </c>
      <c r="G6808" s="32" t="s">
        <v>16</v>
      </c>
      <c r="H6808" s="9">
        <v>200</v>
      </c>
      <c r="I6808" s="9">
        <v>200</v>
      </c>
      <c r="J6808" s="32"/>
      <c r="K6808" s="52"/>
      <c r="L6808" s="10">
        <v>20201118</v>
      </c>
      <c r="M6808" s="36" t="str">
        <f t="shared" si="106"/>
        <v>19830528</v>
      </c>
    </row>
    <row r="6809" s="1" customFormat="1" spans="1:13">
      <c r="A6809" s="2">
        <v>2337</v>
      </c>
      <c r="B6809" s="9" t="s">
        <v>4837</v>
      </c>
      <c r="C6809" s="9" t="s">
        <v>5213</v>
      </c>
      <c r="D6809" s="9" t="s">
        <v>5214</v>
      </c>
      <c r="E6809" s="6" t="s">
        <v>15</v>
      </c>
      <c r="F6809" s="6">
        <v>2020</v>
      </c>
      <c r="G6809" s="9" t="s">
        <v>2480</v>
      </c>
      <c r="H6809" s="9">
        <v>200</v>
      </c>
      <c r="I6809" s="9">
        <v>200</v>
      </c>
      <c r="J6809" s="6"/>
      <c r="K6809" s="10"/>
      <c r="L6809" s="10">
        <v>20201118</v>
      </c>
      <c r="M6809" s="36" t="str">
        <f t="shared" si="106"/>
        <v>19830603</v>
      </c>
    </row>
    <row r="6810" s="1" customFormat="1" spans="1:13">
      <c r="A6810" s="2">
        <v>2338</v>
      </c>
      <c r="B6810" s="9" t="s">
        <v>4837</v>
      </c>
      <c r="C6810" s="9" t="s">
        <v>5215</v>
      </c>
      <c r="D6810" s="9" t="s">
        <v>5216</v>
      </c>
      <c r="E6810" s="6" t="s">
        <v>15</v>
      </c>
      <c r="F6810" s="6">
        <v>2020</v>
      </c>
      <c r="G6810" s="9" t="s">
        <v>2480</v>
      </c>
      <c r="H6810" s="9">
        <v>200</v>
      </c>
      <c r="I6810" s="9">
        <v>200</v>
      </c>
      <c r="J6810" s="6"/>
      <c r="K6810" s="10"/>
      <c r="L6810" s="10">
        <v>20201118</v>
      </c>
      <c r="M6810" s="36" t="str">
        <f t="shared" si="106"/>
        <v>19830604</v>
      </c>
    </row>
    <row r="6811" s="1" customFormat="1" spans="1:13">
      <c r="A6811" s="2">
        <v>8091</v>
      </c>
      <c r="B6811" s="5" t="s">
        <v>15086</v>
      </c>
      <c r="C6811" s="6" t="s">
        <v>15376</v>
      </c>
      <c r="D6811" s="293" t="s">
        <v>15377</v>
      </c>
      <c r="E6811" s="5" t="s">
        <v>15</v>
      </c>
      <c r="F6811" s="5">
        <v>2020</v>
      </c>
      <c r="G6811" s="5" t="s">
        <v>189</v>
      </c>
      <c r="H6811" s="6">
        <v>200</v>
      </c>
      <c r="I6811" s="5">
        <v>200</v>
      </c>
      <c r="J6811" s="5"/>
      <c r="K6811" s="5"/>
      <c r="L6811" s="10">
        <v>20201118</v>
      </c>
      <c r="M6811" s="36" t="str">
        <f t="shared" si="106"/>
        <v>19830604</v>
      </c>
    </row>
    <row r="6812" s="1" customFormat="1" spans="1:13">
      <c r="A6812" s="2">
        <v>7864</v>
      </c>
      <c r="B6812" s="5" t="s">
        <v>15086</v>
      </c>
      <c r="C6812" s="6" t="s">
        <v>15135</v>
      </c>
      <c r="D6812" s="6" t="str">
        <f>"152326198306076878"</f>
        <v>152326198306076878</v>
      </c>
      <c r="E6812" s="5" t="s">
        <v>15</v>
      </c>
      <c r="F6812" s="5">
        <v>2020</v>
      </c>
      <c r="G6812" s="5" t="s">
        <v>16</v>
      </c>
      <c r="H6812" s="5">
        <v>200</v>
      </c>
      <c r="I6812" s="5">
        <v>200</v>
      </c>
      <c r="J6812" s="5"/>
      <c r="K6812" s="5"/>
      <c r="L6812" s="10">
        <v>20201118</v>
      </c>
      <c r="M6812" s="36" t="str">
        <f t="shared" si="106"/>
        <v>19830607</v>
      </c>
    </row>
    <row r="6813" s="1" customFormat="1" spans="1:13">
      <c r="A6813" s="2">
        <v>4152</v>
      </c>
      <c r="B6813" s="5" t="s">
        <v>7412</v>
      </c>
      <c r="C6813" s="5" t="s">
        <v>8509</v>
      </c>
      <c r="D6813" s="296" t="s">
        <v>8510</v>
      </c>
      <c r="E6813" s="6">
        <v>2020</v>
      </c>
      <c r="F6813" s="6">
        <v>2020</v>
      </c>
      <c r="G6813" s="5" t="s">
        <v>189</v>
      </c>
      <c r="H6813" s="5">
        <v>200</v>
      </c>
      <c r="I6813" s="5">
        <v>200</v>
      </c>
      <c r="J6813" s="5"/>
      <c r="K6813" s="5"/>
      <c r="L6813" s="10">
        <v>20201118</v>
      </c>
      <c r="M6813" s="36" t="str">
        <f t="shared" si="106"/>
        <v>19830612</v>
      </c>
    </row>
    <row r="6814" s="1" customFormat="1" spans="1:13">
      <c r="A6814" s="2">
        <v>4416</v>
      </c>
      <c r="B6814" s="6" t="s">
        <v>9015</v>
      </c>
      <c r="C6814" s="6" t="s">
        <v>9022</v>
      </c>
      <c r="D6814" s="6" t="s">
        <v>9023</v>
      </c>
      <c r="E6814" s="6">
        <v>2020</v>
      </c>
      <c r="F6814" s="6">
        <v>2020</v>
      </c>
      <c r="G6814" s="6" t="s">
        <v>16</v>
      </c>
      <c r="H6814" s="6">
        <v>200</v>
      </c>
      <c r="I6814" s="6">
        <v>200</v>
      </c>
      <c r="J6814" s="6"/>
      <c r="K6814" s="6"/>
      <c r="L6814" s="10">
        <v>20201118</v>
      </c>
      <c r="M6814" s="36" t="str">
        <f t="shared" si="106"/>
        <v>19830616</v>
      </c>
    </row>
    <row r="6815" s="1" customFormat="1" spans="1:13">
      <c r="A6815" s="2">
        <v>7867</v>
      </c>
      <c r="B6815" s="5" t="s">
        <v>15086</v>
      </c>
      <c r="C6815" s="6" t="s">
        <v>15138</v>
      </c>
      <c r="D6815" s="6" t="str">
        <f>"152326198306166873"</f>
        <v>152326198306166873</v>
      </c>
      <c r="E6815" s="5" t="s">
        <v>15</v>
      </c>
      <c r="F6815" s="5">
        <v>2020</v>
      </c>
      <c r="G6815" s="5" t="s">
        <v>16</v>
      </c>
      <c r="H6815" s="5">
        <v>200</v>
      </c>
      <c r="I6815" s="5">
        <v>200</v>
      </c>
      <c r="J6815" s="5"/>
      <c r="K6815" s="5"/>
      <c r="L6815" s="10">
        <v>20201118</v>
      </c>
      <c r="M6815" s="36" t="str">
        <f t="shared" si="106"/>
        <v>19830616</v>
      </c>
    </row>
    <row r="6816" s="1" customFormat="1" spans="1:13">
      <c r="A6816" s="2">
        <v>1734</v>
      </c>
      <c r="B6816" s="5" t="s">
        <v>3381</v>
      </c>
      <c r="C6816" s="9" t="s">
        <v>4028</v>
      </c>
      <c r="D6816" s="9" t="s">
        <v>4029</v>
      </c>
      <c r="E6816" s="5">
        <v>2020</v>
      </c>
      <c r="F6816" s="5">
        <v>2020</v>
      </c>
      <c r="G6816" s="14" t="s">
        <v>16</v>
      </c>
      <c r="H6816" s="6">
        <v>200</v>
      </c>
      <c r="I6816" s="6">
        <v>200</v>
      </c>
      <c r="J6816" s="5"/>
      <c r="K6816" s="13"/>
      <c r="L6816" s="10">
        <v>20201118</v>
      </c>
      <c r="M6816" s="36" t="str">
        <f t="shared" si="106"/>
        <v>19830617</v>
      </c>
    </row>
    <row r="6817" s="1" customFormat="1" spans="1:13">
      <c r="A6817" s="2">
        <v>8094</v>
      </c>
      <c r="B6817" s="5" t="s">
        <v>15086</v>
      </c>
      <c r="C6817" s="6" t="s">
        <v>15381</v>
      </c>
      <c r="D6817" s="293" t="s">
        <v>15382</v>
      </c>
      <c r="E6817" s="5" t="s">
        <v>15</v>
      </c>
      <c r="F6817" s="5">
        <v>2020</v>
      </c>
      <c r="G6817" s="5" t="s">
        <v>189</v>
      </c>
      <c r="H6817" s="6">
        <v>500</v>
      </c>
      <c r="I6817" s="5">
        <v>500</v>
      </c>
      <c r="J6817" s="5"/>
      <c r="K6817" s="5"/>
      <c r="L6817" s="10">
        <v>20201118</v>
      </c>
      <c r="M6817" s="36" t="str">
        <f t="shared" si="106"/>
        <v>19830618</v>
      </c>
    </row>
    <row r="6818" s="1" customFormat="1" spans="1:13">
      <c r="A6818" s="2">
        <v>1281</v>
      </c>
      <c r="B6818" s="5" t="s">
        <v>2469</v>
      </c>
      <c r="C6818" s="9" t="s">
        <v>3144</v>
      </c>
      <c r="D6818" s="9" t="s">
        <v>3145</v>
      </c>
      <c r="E6818" s="5">
        <v>2020</v>
      </c>
      <c r="F6818" s="5">
        <v>2020</v>
      </c>
      <c r="G6818" s="9" t="s">
        <v>2480</v>
      </c>
      <c r="H6818" s="9">
        <v>200</v>
      </c>
      <c r="I6818" s="9">
        <v>200</v>
      </c>
      <c r="J6818" s="5"/>
      <c r="K6818" s="5"/>
      <c r="L6818" s="10">
        <v>20201118</v>
      </c>
      <c r="M6818" s="36" t="str">
        <f t="shared" si="106"/>
        <v>19830619</v>
      </c>
    </row>
    <row r="6819" s="1" customFormat="1" spans="1:13">
      <c r="A6819" s="2">
        <v>5031</v>
      </c>
      <c r="B6819" s="6" t="s">
        <v>9954</v>
      </c>
      <c r="C6819" s="6" t="s">
        <v>10195</v>
      </c>
      <c r="D6819" s="6" t="s">
        <v>10196</v>
      </c>
      <c r="E6819" s="5" t="s">
        <v>15</v>
      </c>
      <c r="F6819" s="5" t="s">
        <v>15</v>
      </c>
      <c r="G6819" s="14" t="s">
        <v>16</v>
      </c>
      <c r="H6819" s="6">
        <v>1000</v>
      </c>
      <c r="I6819" s="6">
        <v>1000</v>
      </c>
      <c r="J6819" s="6"/>
      <c r="K6819" s="6"/>
      <c r="L6819" s="10">
        <v>20201118</v>
      </c>
      <c r="M6819" s="36" t="str">
        <f t="shared" si="106"/>
        <v>19830619</v>
      </c>
    </row>
    <row r="6820" s="1" customFormat="1" spans="1:13">
      <c r="A6820" s="2">
        <v>2339</v>
      </c>
      <c r="B6820" s="9" t="s">
        <v>4837</v>
      </c>
      <c r="C6820" s="9" t="s">
        <v>5217</v>
      </c>
      <c r="D6820" s="9" t="s">
        <v>5218</v>
      </c>
      <c r="E6820" s="6" t="s">
        <v>15</v>
      </c>
      <c r="F6820" s="6">
        <v>2020</v>
      </c>
      <c r="G6820" s="9" t="s">
        <v>2480</v>
      </c>
      <c r="H6820" s="9">
        <v>200</v>
      </c>
      <c r="I6820" s="9">
        <v>200</v>
      </c>
      <c r="J6820" s="6"/>
      <c r="K6820" s="10"/>
      <c r="L6820" s="10">
        <v>20201118</v>
      </c>
      <c r="M6820" s="36" t="str">
        <f t="shared" si="106"/>
        <v>19830627</v>
      </c>
    </row>
    <row r="6821" s="1" customFormat="1" spans="1:13">
      <c r="A6821" s="2">
        <v>2713</v>
      </c>
      <c r="B6821" s="32" t="s">
        <v>5602</v>
      </c>
      <c r="C6821" s="9" t="s">
        <v>5956</v>
      </c>
      <c r="D6821" s="9" t="s">
        <v>5957</v>
      </c>
      <c r="E6821" s="32">
        <v>2020</v>
      </c>
      <c r="F6821" s="32">
        <v>2020</v>
      </c>
      <c r="G6821" s="32" t="s">
        <v>16</v>
      </c>
      <c r="H6821" s="9">
        <v>200</v>
      </c>
      <c r="I6821" s="9">
        <v>200</v>
      </c>
      <c r="J6821" s="32"/>
      <c r="K6821" s="52"/>
      <c r="L6821" s="10">
        <v>20201118</v>
      </c>
      <c r="M6821" s="36" t="str">
        <f t="shared" si="106"/>
        <v>19830628</v>
      </c>
    </row>
    <row r="6822" s="1" customFormat="1" spans="1:13">
      <c r="A6822" s="2">
        <v>1282</v>
      </c>
      <c r="B6822" s="5" t="s">
        <v>2469</v>
      </c>
      <c r="C6822" s="9" t="s">
        <v>3146</v>
      </c>
      <c r="D6822" s="9" t="s">
        <v>3147</v>
      </c>
      <c r="E6822" s="5">
        <v>2020</v>
      </c>
      <c r="F6822" s="5">
        <v>2020</v>
      </c>
      <c r="G6822" s="9" t="s">
        <v>2480</v>
      </c>
      <c r="H6822" s="9">
        <v>200</v>
      </c>
      <c r="I6822" s="9">
        <v>200</v>
      </c>
      <c r="J6822" s="5"/>
      <c r="K6822" s="5"/>
      <c r="L6822" s="10">
        <v>20201118</v>
      </c>
      <c r="M6822" s="36" t="str">
        <f t="shared" si="106"/>
        <v>19830701</v>
      </c>
    </row>
    <row r="6823" s="1" customFormat="1" spans="1:13">
      <c r="A6823" s="2">
        <v>8098</v>
      </c>
      <c r="B6823" s="5" t="s">
        <v>15086</v>
      </c>
      <c r="C6823" s="6" t="s">
        <v>15389</v>
      </c>
      <c r="D6823" s="293" t="s">
        <v>15390</v>
      </c>
      <c r="E6823" s="5" t="s">
        <v>15</v>
      </c>
      <c r="F6823" s="5">
        <v>2020</v>
      </c>
      <c r="G6823" s="5" t="s">
        <v>189</v>
      </c>
      <c r="H6823" s="6">
        <v>3000</v>
      </c>
      <c r="I6823" s="5">
        <v>3000</v>
      </c>
      <c r="J6823" s="5"/>
      <c r="K6823" s="5"/>
      <c r="L6823" s="10">
        <v>20201118</v>
      </c>
      <c r="M6823" s="36" t="str">
        <f t="shared" si="106"/>
        <v>19830704</v>
      </c>
    </row>
    <row r="6824" s="1" customFormat="1" spans="1:13">
      <c r="A6824" s="2">
        <v>5787</v>
      </c>
      <c r="B6824" s="30" t="s">
        <v>11090</v>
      </c>
      <c r="C6824" s="30" t="s">
        <v>7740</v>
      </c>
      <c r="D6824" s="30" t="s">
        <v>11645</v>
      </c>
      <c r="E6824" s="5" t="s">
        <v>15</v>
      </c>
      <c r="F6824" s="5" t="s">
        <v>10250</v>
      </c>
      <c r="G6824" s="6" t="s">
        <v>16</v>
      </c>
      <c r="H6824" s="32">
        <v>200</v>
      </c>
      <c r="I6824" s="32">
        <v>200</v>
      </c>
      <c r="J6824" s="6" t="s">
        <v>6097</v>
      </c>
      <c r="K6824" s="48"/>
      <c r="L6824" s="10">
        <v>20201118</v>
      </c>
      <c r="M6824" s="36" t="str">
        <f t="shared" si="106"/>
        <v>19830705</v>
      </c>
    </row>
    <row r="6825" s="1" customFormat="1" ht="14.25" spans="1:13">
      <c r="A6825" s="2">
        <v>6094</v>
      </c>
      <c r="B6825" s="30" t="s">
        <v>11090</v>
      </c>
      <c r="C6825" s="32" t="s">
        <v>12226</v>
      </c>
      <c r="D6825" s="12" t="s">
        <v>12227</v>
      </c>
      <c r="E6825" s="5" t="s">
        <v>15</v>
      </c>
      <c r="F6825" s="5" t="s">
        <v>10250</v>
      </c>
      <c r="G6825" s="6" t="s">
        <v>16</v>
      </c>
      <c r="H6825" s="32">
        <v>200</v>
      </c>
      <c r="I6825" s="32">
        <v>200</v>
      </c>
      <c r="J6825" s="5"/>
      <c r="K6825" s="48"/>
      <c r="L6825" s="10">
        <v>20201118</v>
      </c>
      <c r="M6825" s="36" t="str">
        <f t="shared" si="106"/>
        <v>19830706</v>
      </c>
    </row>
    <row r="6826" s="1" customFormat="1" spans="1:13">
      <c r="A6826" s="2">
        <v>5063</v>
      </c>
      <c r="B6826" s="6" t="s">
        <v>10242</v>
      </c>
      <c r="C6826" s="9" t="s">
        <v>10263</v>
      </c>
      <c r="D6826" s="9" t="s">
        <v>10264</v>
      </c>
      <c r="E6826" s="5" t="s">
        <v>10250</v>
      </c>
      <c r="F6826" s="5">
        <v>2020</v>
      </c>
      <c r="G6826" s="6" t="s">
        <v>16</v>
      </c>
      <c r="H6826" s="6">
        <v>200</v>
      </c>
      <c r="I6826" s="6">
        <v>200</v>
      </c>
      <c r="J6826" s="6"/>
      <c r="K6826" s="5"/>
      <c r="L6826" s="10">
        <v>20201118</v>
      </c>
      <c r="M6826" s="36" t="str">
        <f t="shared" si="106"/>
        <v>19830707</v>
      </c>
    </row>
    <row r="6827" s="1" customFormat="1" spans="1:13">
      <c r="A6827" s="2">
        <v>4697</v>
      </c>
      <c r="B6827" s="6" t="s">
        <v>9015</v>
      </c>
      <c r="C6827" s="6" t="s">
        <v>9554</v>
      </c>
      <c r="D6827" s="6" t="s">
        <v>9555</v>
      </c>
      <c r="E6827" s="6">
        <v>2020</v>
      </c>
      <c r="F6827" s="6">
        <v>2020</v>
      </c>
      <c r="G6827" s="6" t="s">
        <v>16</v>
      </c>
      <c r="H6827" s="6">
        <v>200</v>
      </c>
      <c r="I6827" s="6">
        <v>200</v>
      </c>
      <c r="J6827" s="6"/>
      <c r="K6827" s="6"/>
      <c r="L6827" s="10">
        <v>20201118</v>
      </c>
      <c r="M6827" s="36" t="str">
        <f t="shared" si="106"/>
        <v>19830711</v>
      </c>
    </row>
    <row r="6828" s="1" customFormat="1" spans="1:13">
      <c r="A6828" s="2">
        <v>4705</v>
      </c>
      <c r="B6828" s="6" t="s">
        <v>9015</v>
      </c>
      <c r="C6828" s="6" t="s">
        <v>9570</v>
      </c>
      <c r="D6828" s="6" t="s">
        <v>9571</v>
      </c>
      <c r="E6828" s="6">
        <v>2020</v>
      </c>
      <c r="F6828" s="6">
        <v>2020</v>
      </c>
      <c r="G6828" s="6" t="s">
        <v>16</v>
      </c>
      <c r="H6828" s="6">
        <v>200</v>
      </c>
      <c r="I6828" s="6">
        <v>200</v>
      </c>
      <c r="J6828" s="6"/>
      <c r="K6828" s="6"/>
      <c r="L6828" s="10">
        <v>20201118</v>
      </c>
      <c r="M6828" s="36" t="str">
        <f t="shared" si="106"/>
        <v>19830714</v>
      </c>
    </row>
    <row r="6829" s="1" customFormat="1" spans="1:13">
      <c r="A6829" s="2">
        <v>2714</v>
      </c>
      <c r="B6829" s="32" t="s">
        <v>5602</v>
      </c>
      <c r="C6829" s="9" t="s">
        <v>5958</v>
      </c>
      <c r="D6829" s="9" t="s">
        <v>5959</v>
      </c>
      <c r="E6829" s="32">
        <v>2020</v>
      </c>
      <c r="F6829" s="32">
        <v>2020</v>
      </c>
      <c r="G6829" s="32" t="s">
        <v>16</v>
      </c>
      <c r="H6829" s="9">
        <v>200</v>
      </c>
      <c r="I6829" s="9">
        <v>200</v>
      </c>
      <c r="J6829" s="32"/>
      <c r="K6829" s="52"/>
      <c r="L6829" s="10">
        <v>20201118</v>
      </c>
      <c r="M6829" s="36" t="str">
        <f t="shared" si="106"/>
        <v>19830719</v>
      </c>
    </row>
    <row r="6830" s="1" customFormat="1" spans="1:13">
      <c r="A6830" s="2">
        <v>2504</v>
      </c>
      <c r="B6830" s="5" t="s">
        <v>5328</v>
      </c>
      <c r="C6830" s="16" t="s">
        <v>5542</v>
      </c>
      <c r="D6830" s="16" t="s">
        <v>5543</v>
      </c>
      <c r="E6830" s="5" t="s">
        <v>15</v>
      </c>
      <c r="F6830" s="5" t="s">
        <v>15</v>
      </c>
      <c r="G6830" s="14" t="s">
        <v>16</v>
      </c>
      <c r="H6830" s="6">
        <v>200</v>
      </c>
      <c r="I6830" s="6">
        <v>200</v>
      </c>
      <c r="J6830" s="5"/>
      <c r="K6830" s="5"/>
      <c r="L6830" s="10">
        <v>20201118</v>
      </c>
      <c r="M6830" s="36" t="str">
        <f t="shared" si="106"/>
        <v>19830720</v>
      </c>
    </row>
    <row r="6831" s="1" customFormat="1" ht="14.25" spans="1:13">
      <c r="A6831" s="2">
        <v>5428</v>
      </c>
      <c r="B6831" s="33" t="s">
        <v>10535</v>
      </c>
      <c r="C6831" s="34" t="s">
        <v>7098</v>
      </c>
      <c r="D6831" s="34" t="s">
        <v>10960</v>
      </c>
      <c r="E6831" s="35">
        <v>2020</v>
      </c>
      <c r="F6831" s="35">
        <v>2020</v>
      </c>
      <c r="G6831" s="35" t="s">
        <v>16</v>
      </c>
      <c r="H6831" s="34">
        <v>200</v>
      </c>
      <c r="I6831" s="34">
        <v>200</v>
      </c>
      <c r="J6831" s="49"/>
      <c r="K6831" s="10"/>
      <c r="L6831" s="10">
        <v>20201118</v>
      </c>
      <c r="M6831" s="36" t="str">
        <f t="shared" si="106"/>
        <v>19830720</v>
      </c>
    </row>
    <row r="6832" s="1" customFormat="1" spans="1:13">
      <c r="A6832" s="2">
        <v>3177</v>
      </c>
      <c r="B6832" s="3" t="s">
        <v>6671</v>
      </c>
      <c r="C6832" s="9" t="s">
        <v>4713</v>
      </c>
      <c r="D6832" s="9" t="s">
        <v>6867</v>
      </c>
      <c r="E6832" s="3" t="s">
        <v>15</v>
      </c>
      <c r="F6832" s="3" t="s">
        <v>15</v>
      </c>
      <c r="G6832" s="6" t="s">
        <v>3359</v>
      </c>
      <c r="H6832" s="9">
        <v>200</v>
      </c>
      <c r="I6832" s="9">
        <v>200</v>
      </c>
      <c r="J6832" s="6"/>
      <c r="K6832" s="5"/>
      <c r="L6832" s="10">
        <v>20201118</v>
      </c>
      <c r="M6832" s="36" t="str">
        <f t="shared" si="106"/>
        <v>19830724</v>
      </c>
    </row>
    <row r="6833" s="1" customFormat="1" spans="1:13">
      <c r="A6833" s="2">
        <v>4368</v>
      </c>
      <c r="B6833" s="9" t="s">
        <v>8515</v>
      </c>
      <c r="C6833" s="9" t="s">
        <v>8925</v>
      </c>
      <c r="D6833" s="9" t="s">
        <v>8926</v>
      </c>
      <c r="E6833" s="5" t="s">
        <v>15</v>
      </c>
      <c r="F6833" s="5">
        <v>2020</v>
      </c>
      <c r="G6833" s="9" t="s">
        <v>2480</v>
      </c>
      <c r="H6833" s="9">
        <v>200</v>
      </c>
      <c r="I6833" s="9">
        <v>200</v>
      </c>
      <c r="J6833" s="9"/>
      <c r="K6833" s="9"/>
      <c r="L6833" s="10">
        <v>20201118</v>
      </c>
      <c r="M6833" s="36" t="str">
        <f t="shared" si="106"/>
        <v>19830724</v>
      </c>
    </row>
    <row r="6834" s="1" customFormat="1" spans="1:13">
      <c r="A6834" s="2">
        <v>5747</v>
      </c>
      <c r="B6834" s="30" t="s">
        <v>11090</v>
      </c>
      <c r="C6834" s="30" t="s">
        <v>11578</v>
      </c>
      <c r="D6834" s="30" t="s">
        <v>11579</v>
      </c>
      <c r="E6834" s="5" t="s">
        <v>15</v>
      </c>
      <c r="F6834" s="5" t="s">
        <v>10250</v>
      </c>
      <c r="G6834" s="6" t="s">
        <v>16</v>
      </c>
      <c r="H6834" s="32">
        <v>200</v>
      </c>
      <c r="I6834" s="32">
        <v>200</v>
      </c>
      <c r="J6834" s="6"/>
      <c r="K6834" s="48"/>
      <c r="L6834" s="10">
        <v>20201118</v>
      </c>
      <c r="M6834" s="36" t="str">
        <f t="shared" si="106"/>
        <v>19830726</v>
      </c>
    </row>
    <row r="6835" s="1" customFormat="1" spans="1:13">
      <c r="A6835" s="2">
        <v>7217</v>
      </c>
      <c r="B6835" s="5" t="s">
        <v>13908</v>
      </c>
      <c r="C6835" s="5" t="s">
        <v>14080</v>
      </c>
      <c r="D6835" s="5" t="s">
        <v>14081</v>
      </c>
      <c r="E6835" s="5" t="s">
        <v>15</v>
      </c>
      <c r="F6835" s="5" t="s">
        <v>15</v>
      </c>
      <c r="G6835" s="14" t="s">
        <v>16</v>
      </c>
      <c r="H6835" s="17">
        <v>200</v>
      </c>
      <c r="I6835" s="17">
        <v>200</v>
      </c>
      <c r="J6835" s="5"/>
      <c r="K6835" s="10"/>
      <c r="L6835" s="10">
        <v>20201118</v>
      </c>
      <c r="M6835" s="36" t="str">
        <f t="shared" si="106"/>
        <v>19830726</v>
      </c>
    </row>
    <row r="6836" s="1" customFormat="1" spans="1:13">
      <c r="A6836" s="2">
        <v>317</v>
      </c>
      <c r="B6836" s="14" t="s">
        <v>327</v>
      </c>
      <c r="C6836" s="17" t="s">
        <v>839</v>
      </c>
      <c r="D6836" s="306" t="s">
        <v>840</v>
      </c>
      <c r="E6836" s="5">
        <v>2020</v>
      </c>
      <c r="F6836" s="5">
        <v>2020</v>
      </c>
      <c r="G6836" s="14" t="s">
        <v>16</v>
      </c>
      <c r="H6836" s="17">
        <v>200</v>
      </c>
      <c r="I6836" s="17">
        <v>200</v>
      </c>
      <c r="J6836" s="17"/>
      <c r="K6836" s="10"/>
      <c r="L6836" s="2" t="s">
        <v>330</v>
      </c>
      <c r="M6836" s="36" t="str">
        <f t="shared" si="106"/>
        <v>19830728</v>
      </c>
    </row>
    <row r="6837" s="1" customFormat="1" spans="1:13">
      <c r="A6837" s="2">
        <v>5954</v>
      </c>
      <c r="B6837" s="30" t="s">
        <v>11090</v>
      </c>
      <c r="C6837" s="6" t="s">
        <v>11955</v>
      </c>
      <c r="D6837" s="293" t="s">
        <v>11956</v>
      </c>
      <c r="E6837" s="5" t="s">
        <v>15</v>
      </c>
      <c r="F6837" s="5" t="s">
        <v>10250</v>
      </c>
      <c r="G6837" s="6" t="s">
        <v>16</v>
      </c>
      <c r="H6837" s="32">
        <v>200</v>
      </c>
      <c r="I6837" s="32">
        <v>200</v>
      </c>
      <c r="J6837" s="6"/>
      <c r="K6837" s="48"/>
      <c r="L6837" s="10">
        <v>20201118</v>
      </c>
      <c r="M6837" s="36" t="str">
        <f t="shared" si="106"/>
        <v>19830801</v>
      </c>
    </row>
    <row r="6838" s="1" customFormat="1" spans="1:13">
      <c r="A6838" s="2">
        <v>7305</v>
      </c>
      <c r="B6838" s="5" t="s">
        <v>13908</v>
      </c>
      <c r="C6838" s="5" t="s">
        <v>14248</v>
      </c>
      <c r="D6838" s="5" t="s">
        <v>14249</v>
      </c>
      <c r="E6838" s="5" t="s">
        <v>15</v>
      </c>
      <c r="F6838" s="5" t="s">
        <v>15</v>
      </c>
      <c r="G6838" s="14" t="s">
        <v>16</v>
      </c>
      <c r="H6838" s="17">
        <v>200</v>
      </c>
      <c r="I6838" s="17">
        <v>200</v>
      </c>
      <c r="J6838" s="5"/>
      <c r="K6838" s="10"/>
      <c r="L6838" s="10">
        <v>20201118</v>
      </c>
      <c r="M6838" s="36" t="str">
        <f t="shared" si="106"/>
        <v>19830802</v>
      </c>
    </row>
    <row r="6839" s="1" customFormat="1" spans="1:13">
      <c r="A6839" s="2">
        <v>1283</v>
      </c>
      <c r="B6839" s="5" t="s">
        <v>2469</v>
      </c>
      <c r="C6839" s="9" t="s">
        <v>3148</v>
      </c>
      <c r="D6839" s="9" t="s">
        <v>3149</v>
      </c>
      <c r="E6839" s="5">
        <v>2020</v>
      </c>
      <c r="F6839" s="5">
        <v>2020</v>
      </c>
      <c r="G6839" s="9" t="s">
        <v>2480</v>
      </c>
      <c r="H6839" s="9">
        <v>200</v>
      </c>
      <c r="I6839" s="9">
        <v>200</v>
      </c>
      <c r="J6839" s="5"/>
      <c r="K6839" s="5"/>
      <c r="L6839" s="10">
        <v>20201118</v>
      </c>
      <c r="M6839" s="36" t="str">
        <f t="shared" si="106"/>
        <v>19830806</v>
      </c>
    </row>
    <row r="6840" s="1" customFormat="1" spans="1:13">
      <c r="A6840" s="2">
        <v>3081</v>
      </c>
      <c r="B6840" s="3" t="s">
        <v>6671</v>
      </c>
      <c r="C6840" s="9" t="s">
        <v>6688</v>
      </c>
      <c r="D6840" s="9" t="s">
        <v>6689</v>
      </c>
      <c r="E6840" s="3" t="s">
        <v>15</v>
      </c>
      <c r="F6840" s="3" t="s">
        <v>15</v>
      </c>
      <c r="G6840" s="6" t="s">
        <v>3359</v>
      </c>
      <c r="H6840" s="9">
        <v>500</v>
      </c>
      <c r="I6840" s="9">
        <v>500</v>
      </c>
      <c r="J6840" s="6"/>
      <c r="K6840" s="5"/>
      <c r="L6840" s="10">
        <v>20201118</v>
      </c>
      <c r="M6840" s="36" t="str">
        <f t="shared" si="106"/>
        <v>19830806</v>
      </c>
    </row>
    <row r="6841" s="1" customFormat="1" spans="1:13">
      <c r="A6841" s="2">
        <v>6757</v>
      </c>
      <c r="B6841" s="5" t="s">
        <v>13027</v>
      </c>
      <c r="C6841" s="15" t="s">
        <v>13479</v>
      </c>
      <c r="D6841" s="15" t="s">
        <v>13480</v>
      </c>
      <c r="E6841" s="5">
        <v>2020</v>
      </c>
      <c r="F6841" s="5">
        <v>2020</v>
      </c>
      <c r="G6841" s="14" t="s">
        <v>16</v>
      </c>
      <c r="H6841" s="15">
        <v>200</v>
      </c>
      <c r="I6841" s="15">
        <v>200</v>
      </c>
      <c r="J6841" s="5"/>
      <c r="K6841" s="10"/>
      <c r="L6841" s="10">
        <v>20201118</v>
      </c>
      <c r="M6841" s="36" t="str">
        <f t="shared" si="106"/>
        <v>19830806</v>
      </c>
    </row>
    <row r="6842" s="1" customFormat="1" spans="1:13">
      <c r="A6842" s="2">
        <v>2340</v>
      </c>
      <c r="B6842" s="9" t="s">
        <v>4837</v>
      </c>
      <c r="C6842" s="9" t="s">
        <v>5219</v>
      </c>
      <c r="D6842" s="9" t="s">
        <v>5220</v>
      </c>
      <c r="E6842" s="6" t="s">
        <v>15</v>
      </c>
      <c r="F6842" s="6">
        <v>2020</v>
      </c>
      <c r="G6842" s="9" t="s">
        <v>2480</v>
      </c>
      <c r="H6842" s="9">
        <v>200</v>
      </c>
      <c r="I6842" s="9">
        <v>200</v>
      </c>
      <c r="J6842" s="6"/>
      <c r="K6842" s="10"/>
      <c r="L6842" s="10">
        <v>20201118</v>
      </c>
      <c r="M6842" s="36" t="str">
        <f t="shared" si="106"/>
        <v>19830811</v>
      </c>
    </row>
    <row r="6843" s="1" customFormat="1" spans="1:13">
      <c r="A6843" s="2">
        <v>4067</v>
      </c>
      <c r="B6843" s="5" t="s">
        <v>7412</v>
      </c>
      <c r="C6843" s="5" t="s">
        <v>8348</v>
      </c>
      <c r="D6843" s="5" t="s">
        <v>8349</v>
      </c>
      <c r="E6843" s="6">
        <v>2020</v>
      </c>
      <c r="F6843" s="6">
        <v>2020</v>
      </c>
      <c r="G6843" s="5" t="s">
        <v>3359</v>
      </c>
      <c r="H6843" s="5">
        <v>200</v>
      </c>
      <c r="I6843" s="5">
        <v>200</v>
      </c>
      <c r="J6843" s="5"/>
      <c r="K6843" s="5"/>
      <c r="L6843" s="10">
        <v>20201118</v>
      </c>
      <c r="M6843" s="36" t="str">
        <f t="shared" si="106"/>
        <v>19830814</v>
      </c>
    </row>
    <row r="6844" s="1" customFormat="1" spans="1:13">
      <c r="A6844" s="2">
        <v>5172</v>
      </c>
      <c r="B6844" s="6" t="s">
        <v>10242</v>
      </c>
      <c r="C6844" s="9" t="s">
        <v>10468</v>
      </c>
      <c r="D6844" s="9" t="s">
        <v>10469</v>
      </c>
      <c r="E6844" s="5" t="s">
        <v>10250</v>
      </c>
      <c r="F6844" s="5">
        <v>2020</v>
      </c>
      <c r="G6844" s="6" t="s">
        <v>16</v>
      </c>
      <c r="H6844" s="6">
        <v>200</v>
      </c>
      <c r="I6844" s="6">
        <v>200</v>
      </c>
      <c r="J6844" s="6"/>
      <c r="K6844" s="5"/>
      <c r="L6844" s="10">
        <v>20201118</v>
      </c>
      <c r="M6844" s="36" t="str">
        <f t="shared" si="106"/>
        <v>19830817</v>
      </c>
    </row>
    <row r="6845" s="1" customFormat="1" spans="1:13">
      <c r="A6845" s="2">
        <v>2505</v>
      </c>
      <c r="B6845" s="5" t="s">
        <v>5328</v>
      </c>
      <c r="C6845" s="16" t="s">
        <v>5544</v>
      </c>
      <c r="D6845" s="16" t="s">
        <v>5545</v>
      </c>
      <c r="E6845" s="5" t="s">
        <v>15</v>
      </c>
      <c r="F6845" s="5" t="s">
        <v>15</v>
      </c>
      <c r="G6845" s="14" t="s">
        <v>16</v>
      </c>
      <c r="H6845" s="6">
        <v>200</v>
      </c>
      <c r="I6845" s="6">
        <v>200</v>
      </c>
      <c r="J6845" s="5"/>
      <c r="K6845" s="5"/>
      <c r="L6845" s="10">
        <v>20201118</v>
      </c>
      <c r="M6845" s="36" t="str">
        <f t="shared" si="106"/>
        <v>19830821</v>
      </c>
    </row>
    <row r="6846" s="1" customFormat="1" spans="1:13">
      <c r="A6846" s="2">
        <v>5935</v>
      </c>
      <c r="B6846" s="30" t="s">
        <v>11090</v>
      </c>
      <c r="C6846" s="6" t="s">
        <v>8040</v>
      </c>
      <c r="D6846" s="306" t="s">
        <v>11919</v>
      </c>
      <c r="E6846" s="5" t="s">
        <v>15</v>
      </c>
      <c r="F6846" s="5" t="s">
        <v>10250</v>
      </c>
      <c r="G6846" s="6" t="s">
        <v>16</v>
      </c>
      <c r="H6846" s="32">
        <v>500</v>
      </c>
      <c r="I6846" s="32">
        <v>500</v>
      </c>
      <c r="J6846" s="6"/>
      <c r="K6846" s="48"/>
      <c r="L6846" s="10">
        <v>20201118</v>
      </c>
      <c r="M6846" s="36" t="str">
        <f t="shared" si="106"/>
        <v>19830825</v>
      </c>
    </row>
    <row r="6847" s="1" customFormat="1" spans="1:13">
      <c r="A6847" s="2">
        <v>5878</v>
      </c>
      <c r="B6847" s="30" t="s">
        <v>11090</v>
      </c>
      <c r="C6847" s="30" t="s">
        <v>11813</v>
      </c>
      <c r="D6847" s="30" t="s">
        <v>11814</v>
      </c>
      <c r="E6847" s="5" t="s">
        <v>15</v>
      </c>
      <c r="F6847" s="5" t="s">
        <v>10250</v>
      </c>
      <c r="G6847" s="6" t="s">
        <v>16</v>
      </c>
      <c r="H6847" s="32">
        <v>200</v>
      </c>
      <c r="I6847" s="32">
        <v>200</v>
      </c>
      <c r="J6847" s="6"/>
      <c r="K6847" s="48"/>
      <c r="L6847" s="10">
        <v>20201118</v>
      </c>
      <c r="M6847" s="36" t="str">
        <f t="shared" si="106"/>
        <v>19830829</v>
      </c>
    </row>
    <row r="6848" s="1" customFormat="1" spans="1:13">
      <c r="A6848" s="2">
        <v>4068</v>
      </c>
      <c r="B6848" s="5" t="s">
        <v>7412</v>
      </c>
      <c r="C6848" s="5" t="s">
        <v>8350</v>
      </c>
      <c r="D6848" s="5" t="s">
        <v>8351</v>
      </c>
      <c r="E6848" s="6">
        <v>2020</v>
      </c>
      <c r="F6848" s="6">
        <v>2020</v>
      </c>
      <c r="G6848" s="5" t="s">
        <v>3359</v>
      </c>
      <c r="H6848" s="5">
        <v>200</v>
      </c>
      <c r="I6848" s="5">
        <v>200</v>
      </c>
      <c r="J6848" s="5"/>
      <c r="K6848" s="5"/>
      <c r="L6848" s="10">
        <v>20201118</v>
      </c>
      <c r="M6848" s="36" t="str">
        <f t="shared" si="106"/>
        <v>19830902</v>
      </c>
    </row>
    <row r="6849" s="1" customFormat="1" spans="1:13">
      <c r="A6849" s="2">
        <v>861</v>
      </c>
      <c r="B6849" s="29" t="s">
        <v>1040</v>
      </c>
      <c r="C6849" s="6" t="s">
        <v>2230</v>
      </c>
      <c r="D6849" s="6" t="s">
        <v>2231</v>
      </c>
      <c r="E6849" s="30">
        <v>2020</v>
      </c>
      <c r="F6849" s="30">
        <v>2020</v>
      </c>
      <c r="G6849" s="29" t="s">
        <v>16</v>
      </c>
      <c r="H6849" s="6">
        <v>500</v>
      </c>
      <c r="I6849" s="6">
        <v>500</v>
      </c>
      <c r="J6849" s="32"/>
      <c r="K6849" s="32"/>
      <c r="L6849" s="2" t="s">
        <v>330</v>
      </c>
      <c r="M6849" s="36" t="str">
        <f t="shared" si="106"/>
        <v>19830903</v>
      </c>
    </row>
    <row r="6850" s="1" customFormat="1" spans="1:13">
      <c r="A6850" s="2">
        <v>2037</v>
      </c>
      <c r="B6850" s="5" t="s">
        <v>4189</v>
      </c>
      <c r="C6850" s="16" t="s">
        <v>4629</v>
      </c>
      <c r="D6850" s="16" t="s">
        <v>4630</v>
      </c>
      <c r="E6850" s="5" t="s">
        <v>15</v>
      </c>
      <c r="F6850" s="5" t="s">
        <v>15</v>
      </c>
      <c r="G6850" s="5" t="s">
        <v>3359</v>
      </c>
      <c r="H6850" s="16">
        <v>200</v>
      </c>
      <c r="I6850" s="16">
        <v>200</v>
      </c>
      <c r="J6850" s="5"/>
      <c r="K6850" s="10"/>
      <c r="L6850" s="10">
        <v>20201118</v>
      </c>
      <c r="M6850" s="36" t="str">
        <f t="shared" ref="M6850:M6913" si="107">MID(D6850,7,8)</f>
        <v>19830903</v>
      </c>
    </row>
    <row r="6851" s="1" customFormat="1" ht="14.25" spans="1:13">
      <c r="A6851" s="2">
        <v>2991</v>
      </c>
      <c r="B6851" s="6" t="s">
        <v>6075</v>
      </c>
      <c r="C6851" s="25" t="s">
        <v>6507</v>
      </c>
      <c r="D6851" s="26" t="s">
        <v>6508</v>
      </c>
      <c r="E6851" s="5" t="s">
        <v>15</v>
      </c>
      <c r="F6851" s="5">
        <v>2020</v>
      </c>
      <c r="G6851" s="6" t="s">
        <v>16</v>
      </c>
      <c r="H6851" s="6">
        <v>200</v>
      </c>
      <c r="I6851" s="6">
        <v>200</v>
      </c>
      <c r="J6851" s="6"/>
      <c r="K6851" s="10"/>
      <c r="L6851" s="10">
        <v>20201118</v>
      </c>
      <c r="M6851" s="36" t="str">
        <f t="shared" si="107"/>
        <v>19830903</v>
      </c>
    </row>
    <row r="6852" s="1" customFormat="1" spans="1:13">
      <c r="A6852" s="2">
        <v>4369</v>
      </c>
      <c r="B6852" s="9" t="s">
        <v>8515</v>
      </c>
      <c r="C6852" s="9" t="s">
        <v>8927</v>
      </c>
      <c r="D6852" s="9" t="s">
        <v>8928</v>
      </c>
      <c r="E6852" s="5" t="s">
        <v>15</v>
      </c>
      <c r="F6852" s="5">
        <v>2020</v>
      </c>
      <c r="G6852" s="9" t="s">
        <v>2480</v>
      </c>
      <c r="H6852" s="9">
        <v>200</v>
      </c>
      <c r="I6852" s="9">
        <v>200</v>
      </c>
      <c r="J6852" s="9"/>
      <c r="K6852" s="9"/>
      <c r="L6852" s="10">
        <v>20201118</v>
      </c>
      <c r="M6852" s="36" t="str">
        <f t="shared" si="107"/>
        <v>19830903</v>
      </c>
    </row>
    <row r="6853" s="1" customFormat="1" ht="14.25" spans="1:13">
      <c r="A6853" s="2">
        <v>5429</v>
      </c>
      <c r="B6853" s="33" t="s">
        <v>10535</v>
      </c>
      <c r="C6853" s="34" t="s">
        <v>2002</v>
      </c>
      <c r="D6853" s="34" t="s">
        <v>10961</v>
      </c>
      <c r="E6853" s="35">
        <v>2020</v>
      </c>
      <c r="F6853" s="35">
        <v>2020</v>
      </c>
      <c r="G6853" s="35" t="s">
        <v>16</v>
      </c>
      <c r="H6853" s="34">
        <v>200</v>
      </c>
      <c r="I6853" s="34">
        <v>200</v>
      </c>
      <c r="J6853" s="49"/>
      <c r="K6853" s="10"/>
      <c r="L6853" s="10">
        <v>20201118</v>
      </c>
      <c r="M6853" s="36" t="str">
        <f t="shared" si="107"/>
        <v>19830903</v>
      </c>
    </row>
    <row r="6854" s="1" customFormat="1" spans="1:13">
      <c r="A6854" s="2">
        <v>2715</v>
      </c>
      <c r="B6854" s="32" t="s">
        <v>5602</v>
      </c>
      <c r="C6854" s="9" t="s">
        <v>5960</v>
      </c>
      <c r="D6854" s="9" t="s">
        <v>5961</v>
      </c>
      <c r="E6854" s="32">
        <v>2020</v>
      </c>
      <c r="F6854" s="32">
        <v>2020</v>
      </c>
      <c r="G6854" s="32" t="s">
        <v>16</v>
      </c>
      <c r="H6854" s="9">
        <v>200</v>
      </c>
      <c r="I6854" s="9">
        <v>200</v>
      </c>
      <c r="J6854" s="32"/>
      <c r="K6854" s="52"/>
      <c r="L6854" s="10">
        <v>20201118</v>
      </c>
      <c r="M6854" s="36" t="str">
        <f t="shared" si="107"/>
        <v>19830904</v>
      </c>
    </row>
    <row r="6855" s="1" customFormat="1" spans="1:13">
      <c r="A6855" s="2">
        <v>4069</v>
      </c>
      <c r="B6855" s="5" t="s">
        <v>7412</v>
      </c>
      <c r="C6855" s="5" t="s">
        <v>8352</v>
      </c>
      <c r="D6855" s="5" t="s">
        <v>8353</v>
      </c>
      <c r="E6855" s="6">
        <v>2020</v>
      </c>
      <c r="F6855" s="6">
        <v>2020</v>
      </c>
      <c r="G6855" s="5" t="s">
        <v>3359</v>
      </c>
      <c r="H6855" s="5">
        <v>200</v>
      </c>
      <c r="I6855" s="5">
        <v>200</v>
      </c>
      <c r="J6855" s="5"/>
      <c r="K6855" s="5"/>
      <c r="L6855" s="10">
        <v>20201118</v>
      </c>
      <c r="M6855" s="36" t="str">
        <f t="shared" si="107"/>
        <v>19830906</v>
      </c>
    </row>
    <row r="6856" s="1" customFormat="1" spans="1:13">
      <c r="A6856" s="2">
        <v>929</v>
      </c>
      <c r="B6856" s="29" t="s">
        <v>1040</v>
      </c>
      <c r="C6856" s="6" t="s">
        <v>2434</v>
      </c>
      <c r="D6856" s="6" t="s">
        <v>2435</v>
      </c>
      <c r="E6856" s="30">
        <v>2020</v>
      </c>
      <c r="F6856" s="30">
        <v>2020</v>
      </c>
      <c r="G6856" s="29" t="s">
        <v>16</v>
      </c>
      <c r="H6856" s="29">
        <v>200</v>
      </c>
      <c r="I6856" s="29">
        <v>200</v>
      </c>
      <c r="J6856" s="32" t="s">
        <v>1082</v>
      </c>
      <c r="K6856" s="32"/>
      <c r="L6856" s="14" t="s">
        <v>330</v>
      </c>
      <c r="M6856" s="36" t="str">
        <f t="shared" si="107"/>
        <v>19830908</v>
      </c>
    </row>
    <row r="6857" s="1" customFormat="1" spans="1:13">
      <c r="A6857" s="2">
        <v>2716</v>
      </c>
      <c r="B6857" s="32" t="s">
        <v>5602</v>
      </c>
      <c r="C6857" s="9" t="s">
        <v>5962</v>
      </c>
      <c r="D6857" s="9" t="s">
        <v>5963</v>
      </c>
      <c r="E6857" s="32">
        <v>2020</v>
      </c>
      <c r="F6857" s="32">
        <v>2020</v>
      </c>
      <c r="G6857" s="32" t="s">
        <v>16</v>
      </c>
      <c r="H6857" s="9">
        <v>200</v>
      </c>
      <c r="I6857" s="9">
        <v>200</v>
      </c>
      <c r="J6857" s="32"/>
      <c r="K6857" s="52"/>
      <c r="L6857" s="10">
        <v>20201118</v>
      </c>
      <c r="M6857" s="36" t="str">
        <f t="shared" si="107"/>
        <v>19830910</v>
      </c>
    </row>
    <row r="6858" s="1" customFormat="1" ht="14.25" spans="1:13">
      <c r="A6858" s="2">
        <v>5430</v>
      </c>
      <c r="B6858" s="33" t="s">
        <v>10535</v>
      </c>
      <c r="C6858" s="34" t="s">
        <v>10962</v>
      </c>
      <c r="D6858" s="34" t="s">
        <v>10963</v>
      </c>
      <c r="E6858" s="35">
        <v>2020</v>
      </c>
      <c r="F6858" s="35">
        <v>2020</v>
      </c>
      <c r="G6858" s="35" t="s">
        <v>16</v>
      </c>
      <c r="H6858" s="34">
        <v>200</v>
      </c>
      <c r="I6858" s="34">
        <v>200</v>
      </c>
      <c r="J6858" s="49" t="s">
        <v>10667</v>
      </c>
      <c r="K6858" s="10"/>
      <c r="L6858" s="10">
        <v>20201118</v>
      </c>
      <c r="M6858" s="36" t="str">
        <f t="shared" si="107"/>
        <v>19830914</v>
      </c>
    </row>
    <row r="6859" s="1" customFormat="1" spans="1:13">
      <c r="A6859" s="2">
        <v>6401</v>
      </c>
      <c r="B6859" s="5" t="s">
        <v>12263</v>
      </c>
      <c r="C6859" s="5" t="s">
        <v>11397</v>
      </c>
      <c r="D6859" s="5" t="s">
        <v>12811</v>
      </c>
      <c r="E6859" s="5" t="s">
        <v>10250</v>
      </c>
      <c r="F6859" s="5">
        <v>2020</v>
      </c>
      <c r="G6859" s="17" t="s">
        <v>3359</v>
      </c>
      <c r="H6859" s="5" t="s">
        <v>311</v>
      </c>
      <c r="I6859" s="5">
        <v>200</v>
      </c>
      <c r="J6859" s="5"/>
      <c r="K6859" s="5"/>
      <c r="L6859" s="10">
        <v>20201118</v>
      </c>
      <c r="M6859" s="36" t="str">
        <f t="shared" si="107"/>
        <v>19830915</v>
      </c>
    </row>
    <row r="6860" s="1" customFormat="1" spans="1:13">
      <c r="A6860" s="2">
        <v>4370</v>
      </c>
      <c r="B6860" s="9" t="s">
        <v>8515</v>
      </c>
      <c r="C6860" s="9" t="s">
        <v>8929</v>
      </c>
      <c r="D6860" s="9" t="s">
        <v>8930</v>
      </c>
      <c r="E6860" s="5" t="s">
        <v>15</v>
      </c>
      <c r="F6860" s="5">
        <v>2020</v>
      </c>
      <c r="G6860" s="9" t="s">
        <v>2480</v>
      </c>
      <c r="H6860" s="9">
        <v>200</v>
      </c>
      <c r="I6860" s="9">
        <v>200</v>
      </c>
      <c r="J6860" s="9"/>
      <c r="K6860" s="9"/>
      <c r="L6860" s="10">
        <v>20201118</v>
      </c>
      <c r="M6860" s="36" t="str">
        <f t="shared" si="107"/>
        <v>19830916</v>
      </c>
    </row>
    <row r="6861" s="1" customFormat="1" spans="1:13">
      <c r="A6861" s="2">
        <v>7145</v>
      </c>
      <c r="B6861" s="5" t="s">
        <v>13908</v>
      </c>
      <c r="C6861" s="5" t="s">
        <v>13949</v>
      </c>
      <c r="D6861" s="5" t="s">
        <v>13950</v>
      </c>
      <c r="E6861" s="5" t="s">
        <v>15</v>
      </c>
      <c r="F6861" s="5" t="s">
        <v>15</v>
      </c>
      <c r="G6861" s="14" t="s">
        <v>16</v>
      </c>
      <c r="H6861" s="17">
        <v>200</v>
      </c>
      <c r="I6861" s="17">
        <v>200</v>
      </c>
      <c r="J6861" s="5"/>
      <c r="K6861" s="10"/>
      <c r="L6861" s="10">
        <v>20201118</v>
      </c>
      <c r="M6861" s="36" t="str">
        <f t="shared" si="107"/>
        <v>19830916</v>
      </c>
    </row>
    <row r="6862" s="1" customFormat="1" spans="1:13">
      <c r="A6862" s="2">
        <v>7449</v>
      </c>
      <c r="B6862" s="5" t="s">
        <v>14402</v>
      </c>
      <c r="C6862" s="5" t="s">
        <v>14519</v>
      </c>
      <c r="D6862" s="5" t="s">
        <v>14520</v>
      </c>
      <c r="E6862" s="5">
        <v>2020</v>
      </c>
      <c r="F6862" s="5">
        <v>2020</v>
      </c>
      <c r="G6862" s="17" t="s">
        <v>16</v>
      </c>
      <c r="H6862" s="5">
        <v>200</v>
      </c>
      <c r="I6862" s="5">
        <v>200</v>
      </c>
      <c r="J6862" s="5"/>
      <c r="K6862" s="10"/>
      <c r="L6862" s="10">
        <v>20201118</v>
      </c>
      <c r="M6862" s="36" t="str">
        <f t="shared" si="107"/>
        <v>19830918</v>
      </c>
    </row>
    <row r="6863" s="1" customFormat="1" spans="1:13">
      <c r="A6863" s="2">
        <v>4070</v>
      </c>
      <c r="B6863" s="5" t="s">
        <v>7412</v>
      </c>
      <c r="C6863" s="5" t="s">
        <v>7347</v>
      </c>
      <c r="D6863" s="5" t="s">
        <v>8354</v>
      </c>
      <c r="E6863" s="6">
        <v>2020</v>
      </c>
      <c r="F6863" s="6">
        <v>2020</v>
      </c>
      <c r="G6863" s="5" t="s">
        <v>3359</v>
      </c>
      <c r="H6863" s="5">
        <v>200</v>
      </c>
      <c r="I6863" s="5">
        <v>200</v>
      </c>
      <c r="J6863" s="5"/>
      <c r="K6863" s="5"/>
      <c r="L6863" s="10">
        <v>20201118</v>
      </c>
      <c r="M6863" s="36" t="str">
        <f t="shared" si="107"/>
        <v>19830919</v>
      </c>
    </row>
    <row r="6864" s="1" customFormat="1" spans="1:13">
      <c r="A6864" s="2">
        <v>4071</v>
      </c>
      <c r="B6864" s="5" t="s">
        <v>7412</v>
      </c>
      <c r="C6864" s="5" t="s">
        <v>8355</v>
      </c>
      <c r="D6864" s="5" t="s">
        <v>8356</v>
      </c>
      <c r="E6864" s="6">
        <v>2020</v>
      </c>
      <c r="F6864" s="6">
        <v>2020</v>
      </c>
      <c r="G6864" s="5" t="s">
        <v>3359</v>
      </c>
      <c r="H6864" s="5">
        <v>200</v>
      </c>
      <c r="I6864" s="5">
        <v>200</v>
      </c>
      <c r="J6864" s="5"/>
      <c r="K6864" s="5"/>
      <c r="L6864" s="10">
        <v>20201118</v>
      </c>
      <c r="M6864" s="36" t="str">
        <f t="shared" si="107"/>
        <v>19830919</v>
      </c>
    </row>
    <row r="6865" s="1" customFormat="1" spans="1:13">
      <c r="A6865" s="2">
        <v>1284</v>
      </c>
      <c r="B6865" s="5" t="s">
        <v>2469</v>
      </c>
      <c r="C6865" s="9" t="s">
        <v>3150</v>
      </c>
      <c r="D6865" s="9" t="s">
        <v>3151</v>
      </c>
      <c r="E6865" s="5">
        <v>2020</v>
      </c>
      <c r="F6865" s="5">
        <v>2020</v>
      </c>
      <c r="G6865" s="9" t="s">
        <v>2480</v>
      </c>
      <c r="H6865" s="9">
        <v>200</v>
      </c>
      <c r="I6865" s="9">
        <v>200</v>
      </c>
      <c r="J6865" s="5"/>
      <c r="K6865" s="5"/>
      <c r="L6865" s="10">
        <v>20201118</v>
      </c>
      <c r="M6865" s="36" t="str">
        <f t="shared" si="107"/>
        <v>19830921</v>
      </c>
    </row>
    <row r="6866" s="1" customFormat="1" spans="1:13">
      <c r="A6866" s="2">
        <v>1285</v>
      </c>
      <c r="B6866" s="5" t="s">
        <v>2469</v>
      </c>
      <c r="C6866" s="9" t="s">
        <v>3152</v>
      </c>
      <c r="D6866" s="9" t="s">
        <v>3153</v>
      </c>
      <c r="E6866" s="5">
        <v>2020</v>
      </c>
      <c r="F6866" s="5">
        <v>2020</v>
      </c>
      <c r="G6866" s="9" t="s">
        <v>2480</v>
      </c>
      <c r="H6866" s="9">
        <v>200</v>
      </c>
      <c r="I6866" s="9">
        <v>200</v>
      </c>
      <c r="J6866" s="5"/>
      <c r="K6866" s="5"/>
      <c r="L6866" s="10">
        <v>20201118</v>
      </c>
      <c r="M6866" s="36" t="str">
        <f t="shared" si="107"/>
        <v>19830921</v>
      </c>
    </row>
    <row r="6867" s="1" customFormat="1" spans="1:13">
      <c r="A6867" s="2">
        <v>7149</v>
      </c>
      <c r="B6867" s="5" t="s">
        <v>13908</v>
      </c>
      <c r="C6867" s="5" t="s">
        <v>13957</v>
      </c>
      <c r="D6867" s="5" t="s">
        <v>13958</v>
      </c>
      <c r="E6867" s="5" t="s">
        <v>15</v>
      </c>
      <c r="F6867" s="5" t="s">
        <v>15</v>
      </c>
      <c r="G6867" s="14" t="s">
        <v>16</v>
      </c>
      <c r="H6867" s="17">
        <v>200</v>
      </c>
      <c r="I6867" s="17">
        <v>200</v>
      </c>
      <c r="J6867" s="5"/>
      <c r="K6867" s="10"/>
      <c r="L6867" s="10">
        <v>20201118</v>
      </c>
      <c r="M6867" s="36" t="str">
        <f t="shared" si="107"/>
        <v>19830922</v>
      </c>
    </row>
    <row r="6868" s="1" customFormat="1" spans="1:13">
      <c r="A6868" s="2">
        <v>1286</v>
      </c>
      <c r="B6868" s="5" t="s">
        <v>2469</v>
      </c>
      <c r="C6868" s="9" t="s">
        <v>3154</v>
      </c>
      <c r="D6868" s="9" t="s">
        <v>3155</v>
      </c>
      <c r="E6868" s="5">
        <v>2020</v>
      </c>
      <c r="F6868" s="5">
        <v>2020</v>
      </c>
      <c r="G6868" s="9" t="s">
        <v>2480</v>
      </c>
      <c r="H6868" s="9">
        <v>200</v>
      </c>
      <c r="I6868" s="9">
        <v>200</v>
      </c>
      <c r="J6868" s="5"/>
      <c r="K6868" s="5"/>
      <c r="L6868" s="10">
        <v>20201118</v>
      </c>
      <c r="M6868" s="36" t="str">
        <f t="shared" si="107"/>
        <v>19830927</v>
      </c>
    </row>
    <row r="6869" s="1" customFormat="1" spans="1:13">
      <c r="A6869" s="2">
        <v>313</v>
      </c>
      <c r="B6869" s="14" t="s">
        <v>327</v>
      </c>
      <c r="C6869" s="17" t="s">
        <v>827</v>
      </c>
      <c r="D6869" s="17" t="s">
        <v>828</v>
      </c>
      <c r="E6869" s="5">
        <v>2020</v>
      </c>
      <c r="F6869" s="5">
        <v>2020</v>
      </c>
      <c r="G6869" s="14" t="s">
        <v>16</v>
      </c>
      <c r="H6869" s="17">
        <v>200</v>
      </c>
      <c r="I6869" s="17">
        <v>200</v>
      </c>
      <c r="J6869" s="17"/>
      <c r="K6869" s="10"/>
      <c r="L6869" s="2" t="s">
        <v>330</v>
      </c>
      <c r="M6869" s="36" t="str">
        <f t="shared" si="107"/>
        <v>19830928</v>
      </c>
    </row>
    <row r="6870" s="1" customFormat="1" spans="1:13">
      <c r="A6870" s="2">
        <v>2341</v>
      </c>
      <c r="B6870" s="9" t="s">
        <v>4837</v>
      </c>
      <c r="C6870" s="9" t="s">
        <v>5221</v>
      </c>
      <c r="D6870" s="9" t="s">
        <v>5222</v>
      </c>
      <c r="E6870" s="6" t="s">
        <v>15</v>
      </c>
      <c r="F6870" s="6">
        <v>2020</v>
      </c>
      <c r="G6870" s="9" t="s">
        <v>2480</v>
      </c>
      <c r="H6870" s="9">
        <v>200</v>
      </c>
      <c r="I6870" s="9">
        <v>200</v>
      </c>
      <c r="J6870" s="6"/>
      <c r="K6870" s="10"/>
      <c r="L6870" s="10">
        <v>20201118</v>
      </c>
      <c r="M6870" s="36" t="str">
        <f t="shared" si="107"/>
        <v>19830929</v>
      </c>
    </row>
    <row r="6871" s="1" customFormat="1" spans="1:13">
      <c r="A6871" s="2">
        <v>7865</v>
      </c>
      <c r="B6871" s="5" t="s">
        <v>15086</v>
      </c>
      <c r="C6871" s="6" t="s">
        <v>13577</v>
      </c>
      <c r="D6871" s="6" t="str">
        <f>"152326198309306907"</f>
        <v>152326198309306907</v>
      </c>
      <c r="E6871" s="5" t="s">
        <v>15</v>
      </c>
      <c r="F6871" s="5">
        <v>2020</v>
      </c>
      <c r="G6871" s="5" t="s">
        <v>16</v>
      </c>
      <c r="H6871" s="5">
        <v>200</v>
      </c>
      <c r="I6871" s="5">
        <v>200</v>
      </c>
      <c r="J6871" s="5"/>
      <c r="K6871" s="5"/>
      <c r="L6871" s="10">
        <v>20201118</v>
      </c>
      <c r="M6871" s="36" t="str">
        <f t="shared" si="107"/>
        <v>19830930</v>
      </c>
    </row>
    <row r="6872" s="1" customFormat="1" spans="1:13">
      <c r="A6872" s="2">
        <v>345</v>
      </c>
      <c r="B6872" s="14" t="s">
        <v>327</v>
      </c>
      <c r="C6872" s="17" t="s">
        <v>922</v>
      </c>
      <c r="D6872" s="306" t="s">
        <v>923</v>
      </c>
      <c r="E6872" s="5">
        <v>2020</v>
      </c>
      <c r="F6872" s="5">
        <v>2020</v>
      </c>
      <c r="G6872" s="14" t="s">
        <v>16</v>
      </c>
      <c r="H6872" s="17">
        <v>200</v>
      </c>
      <c r="I6872" s="17">
        <v>200</v>
      </c>
      <c r="J6872" s="17"/>
      <c r="K6872" s="10"/>
      <c r="L6872" s="2" t="s">
        <v>330</v>
      </c>
      <c r="M6872" s="36" t="str">
        <f t="shared" si="107"/>
        <v>19831001</v>
      </c>
    </row>
    <row r="6873" s="1" customFormat="1" spans="1:13">
      <c r="A6873" s="2">
        <v>6758</v>
      </c>
      <c r="B6873" s="5" t="s">
        <v>13027</v>
      </c>
      <c r="C6873" s="15" t="s">
        <v>8542</v>
      </c>
      <c r="D6873" s="15" t="s">
        <v>13481</v>
      </c>
      <c r="E6873" s="5">
        <v>2020</v>
      </c>
      <c r="F6873" s="5">
        <v>2020</v>
      </c>
      <c r="G6873" s="14" t="s">
        <v>16</v>
      </c>
      <c r="H6873" s="15">
        <v>200</v>
      </c>
      <c r="I6873" s="15">
        <v>200</v>
      </c>
      <c r="J6873" s="5"/>
      <c r="K6873" s="10"/>
      <c r="L6873" s="10">
        <v>20201118</v>
      </c>
      <c r="M6873" s="36" t="str">
        <f t="shared" si="107"/>
        <v>19831001</v>
      </c>
    </row>
    <row r="6874" s="1" customFormat="1" spans="1:13">
      <c r="A6874" s="2">
        <v>7866</v>
      </c>
      <c r="B6874" s="5" t="s">
        <v>15086</v>
      </c>
      <c r="C6874" s="6" t="s">
        <v>15136</v>
      </c>
      <c r="D6874" s="6" t="s">
        <v>15137</v>
      </c>
      <c r="E6874" s="5" t="s">
        <v>15</v>
      </c>
      <c r="F6874" s="5">
        <v>2020</v>
      </c>
      <c r="G6874" s="5" t="s">
        <v>16</v>
      </c>
      <c r="H6874" s="5">
        <v>200</v>
      </c>
      <c r="I6874" s="5">
        <v>200</v>
      </c>
      <c r="J6874" s="5" t="s">
        <v>5625</v>
      </c>
      <c r="K6874" s="5"/>
      <c r="L6874" s="10">
        <v>20201118</v>
      </c>
      <c r="M6874" s="36" t="str">
        <f t="shared" si="107"/>
        <v>19831001</v>
      </c>
    </row>
    <row r="6875" s="1" customFormat="1" spans="1:13">
      <c r="A6875" s="2">
        <v>2106</v>
      </c>
      <c r="B6875" s="5" t="s">
        <v>4189</v>
      </c>
      <c r="C6875" s="9" t="s">
        <v>4763</v>
      </c>
      <c r="D6875" s="9" t="s">
        <v>4764</v>
      </c>
      <c r="E6875" s="5" t="s">
        <v>15</v>
      </c>
      <c r="F6875" s="5" t="s">
        <v>15</v>
      </c>
      <c r="G6875" s="5" t="s">
        <v>3359</v>
      </c>
      <c r="H6875" s="16">
        <v>200</v>
      </c>
      <c r="I6875" s="16">
        <v>200</v>
      </c>
      <c r="J6875" s="5"/>
      <c r="K6875" s="10"/>
      <c r="L6875" s="10">
        <v>20201118</v>
      </c>
      <c r="M6875" s="36" t="str">
        <f t="shared" si="107"/>
        <v>19831002</v>
      </c>
    </row>
    <row r="6876" s="1" customFormat="1" spans="1:13">
      <c r="A6876" s="2">
        <v>307</v>
      </c>
      <c r="B6876" s="14" t="s">
        <v>327</v>
      </c>
      <c r="C6876" s="17" t="s">
        <v>809</v>
      </c>
      <c r="D6876" s="306" t="s">
        <v>810</v>
      </c>
      <c r="E6876" s="5">
        <v>2020</v>
      </c>
      <c r="F6876" s="5">
        <v>2020</v>
      </c>
      <c r="G6876" s="14" t="s">
        <v>16</v>
      </c>
      <c r="H6876" s="17">
        <v>200</v>
      </c>
      <c r="I6876" s="17">
        <v>200</v>
      </c>
      <c r="J6876" s="17"/>
      <c r="K6876" s="10"/>
      <c r="L6876" s="2" t="s">
        <v>330</v>
      </c>
      <c r="M6876" s="36" t="str">
        <f t="shared" si="107"/>
        <v>19831003</v>
      </c>
    </row>
    <row r="6877" s="1" customFormat="1" spans="1:13">
      <c r="A6877" s="2">
        <v>3213</v>
      </c>
      <c r="B6877" s="3" t="s">
        <v>6671</v>
      </c>
      <c r="C6877" s="9" t="s">
        <v>6933</v>
      </c>
      <c r="D6877" s="9" t="s">
        <v>6934</v>
      </c>
      <c r="E6877" s="3" t="s">
        <v>15</v>
      </c>
      <c r="F6877" s="3" t="s">
        <v>15</v>
      </c>
      <c r="G6877" s="6" t="s">
        <v>3359</v>
      </c>
      <c r="H6877" s="9">
        <v>200</v>
      </c>
      <c r="I6877" s="9">
        <v>200</v>
      </c>
      <c r="J6877" s="6"/>
      <c r="K6877" s="5"/>
      <c r="L6877" s="10">
        <v>20201118</v>
      </c>
      <c r="M6877" s="36" t="str">
        <f t="shared" si="107"/>
        <v>19831003</v>
      </c>
    </row>
    <row r="6878" s="1" customFormat="1" spans="1:13">
      <c r="A6878" s="2">
        <v>6759</v>
      </c>
      <c r="B6878" s="5" t="s">
        <v>13027</v>
      </c>
      <c r="C6878" s="15" t="s">
        <v>13482</v>
      </c>
      <c r="D6878" s="15" t="s">
        <v>13483</v>
      </c>
      <c r="E6878" s="5">
        <v>2020</v>
      </c>
      <c r="F6878" s="5">
        <v>2020</v>
      </c>
      <c r="G6878" s="14" t="s">
        <v>16</v>
      </c>
      <c r="H6878" s="15">
        <v>200</v>
      </c>
      <c r="I6878" s="15">
        <v>200</v>
      </c>
      <c r="J6878" s="5" t="s">
        <v>13322</v>
      </c>
      <c r="K6878" s="10"/>
      <c r="L6878" s="10">
        <v>20201118</v>
      </c>
      <c r="M6878" s="36" t="str">
        <f t="shared" si="107"/>
        <v>19831003</v>
      </c>
    </row>
    <row r="6879" s="1" customFormat="1" spans="1:13">
      <c r="A6879" s="2">
        <v>346</v>
      </c>
      <c r="B6879" s="14" t="s">
        <v>327</v>
      </c>
      <c r="C6879" s="17" t="s">
        <v>925</v>
      </c>
      <c r="D6879" s="306" t="s">
        <v>926</v>
      </c>
      <c r="E6879" s="5">
        <v>2020</v>
      </c>
      <c r="F6879" s="5">
        <v>2020</v>
      </c>
      <c r="G6879" s="14" t="s">
        <v>16</v>
      </c>
      <c r="H6879" s="17">
        <v>200</v>
      </c>
      <c r="I6879" s="17">
        <v>200</v>
      </c>
      <c r="J6879" s="17"/>
      <c r="K6879" s="10"/>
      <c r="L6879" s="14" t="s">
        <v>330</v>
      </c>
      <c r="M6879" s="36" t="str">
        <f t="shared" si="107"/>
        <v>19831005</v>
      </c>
    </row>
    <row r="6880" s="1" customFormat="1" spans="1:13">
      <c r="A6880" s="2">
        <v>8207</v>
      </c>
      <c r="B6880" s="5" t="s">
        <v>15406</v>
      </c>
      <c r="C6880" s="6" t="s">
        <v>15597</v>
      </c>
      <c r="D6880" s="6" t="s">
        <v>15598</v>
      </c>
      <c r="E6880" s="5" t="s">
        <v>15</v>
      </c>
      <c r="F6880" s="5">
        <v>2020</v>
      </c>
      <c r="G6880" s="14" t="s">
        <v>16</v>
      </c>
      <c r="H6880" s="6" t="s">
        <v>311</v>
      </c>
      <c r="I6880" s="6">
        <v>200</v>
      </c>
      <c r="J6880" s="5"/>
      <c r="K6880" s="10"/>
      <c r="L6880" s="10">
        <v>20201118</v>
      </c>
      <c r="M6880" s="36" t="str">
        <f t="shared" si="107"/>
        <v>19831005</v>
      </c>
    </row>
    <row r="6881" s="1" customFormat="1" ht="14.25" spans="1:13">
      <c r="A6881" s="2">
        <v>5431</v>
      </c>
      <c r="B6881" s="33" t="s">
        <v>10535</v>
      </c>
      <c r="C6881" s="34" t="s">
        <v>10964</v>
      </c>
      <c r="D6881" s="64" t="s">
        <v>10965</v>
      </c>
      <c r="E6881" s="35">
        <v>2020</v>
      </c>
      <c r="F6881" s="35">
        <v>2020</v>
      </c>
      <c r="G6881" s="35" t="s">
        <v>16</v>
      </c>
      <c r="H6881" s="34">
        <v>200</v>
      </c>
      <c r="I6881" s="34">
        <v>200</v>
      </c>
      <c r="J6881" s="49"/>
      <c r="K6881" s="10"/>
      <c r="L6881" s="10">
        <v>20201118</v>
      </c>
      <c r="M6881" s="36" t="str">
        <f t="shared" si="107"/>
        <v>19831006</v>
      </c>
    </row>
    <row r="6882" s="1" customFormat="1" ht="14.25" spans="1:13">
      <c r="A6882" s="2">
        <v>2945</v>
      </c>
      <c r="B6882" s="6" t="s">
        <v>6075</v>
      </c>
      <c r="C6882" s="25" t="s">
        <v>6417</v>
      </c>
      <c r="D6882" s="26" t="s">
        <v>6418</v>
      </c>
      <c r="E6882" s="5" t="s">
        <v>15</v>
      </c>
      <c r="F6882" s="5">
        <v>2020</v>
      </c>
      <c r="G6882" s="6" t="s">
        <v>16</v>
      </c>
      <c r="H6882" s="6">
        <v>200</v>
      </c>
      <c r="I6882" s="6">
        <v>200</v>
      </c>
      <c r="J6882" s="6"/>
      <c r="K6882" s="10"/>
      <c r="L6882" s="10">
        <v>20201118</v>
      </c>
      <c r="M6882" s="36" t="str">
        <f t="shared" si="107"/>
        <v>19831010</v>
      </c>
    </row>
    <row r="6883" s="1" customFormat="1" spans="1:13">
      <c r="A6883" s="2">
        <v>3172</v>
      </c>
      <c r="B6883" s="3" t="s">
        <v>6671</v>
      </c>
      <c r="C6883" s="9" t="s">
        <v>6857</v>
      </c>
      <c r="D6883" s="287" t="s">
        <v>6858</v>
      </c>
      <c r="E6883" s="3" t="s">
        <v>15</v>
      </c>
      <c r="F6883" s="3" t="s">
        <v>15</v>
      </c>
      <c r="G6883" s="6" t="s">
        <v>3359</v>
      </c>
      <c r="H6883" s="9">
        <v>200</v>
      </c>
      <c r="I6883" s="9">
        <v>200</v>
      </c>
      <c r="J6883" s="6"/>
      <c r="K6883" s="5"/>
      <c r="L6883" s="10">
        <v>20201118</v>
      </c>
      <c r="M6883" s="36" t="str">
        <f t="shared" si="107"/>
        <v>19831010</v>
      </c>
    </row>
    <row r="6884" s="1" customFormat="1" spans="1:13">
      <c r="A6884" s="2">
        <v>3302</v>
      </c>
      <c r="B6884" s="5" t="s">
        <v>3375</v>
      </c>
      <c r="C6884" s="6" t="s">
        <v>7075</v>
      </c>
      <c r="D6884" s="6" t="str">
        <f>"152326198310106945"</f>
        <v>152326198310106945</v>
      </c>
      <c r="E6884" s="5" t="s">
        <v>15</v>
      </c>
      <c r="F6884" s="5">
        <v>2020</v>
      </c>
      <c r="G6884" s="14" t="s">
        <v>16</v>
      </c>
      <c r="H6884" s="17">
        <v>200</v>
      </c>
      <c r="I6884" s="17">
        <v>200</v>
      </c>
      <c r="J6884" s="6"/>
      <c r="K6884" s="10"/>
      <c r="L6884" s="10">
        <v>20201118</v>
      </c>
      <c r="M6884" s="36" t="str">
        <f t="shared" si="107"/>
        <v>19831010</v>
      </c>
    </row>
    <row r="6885" s="1" customFormat="1" spans="1:13">
      <c r="A6885" s="2">
        <v>4371</v>
      </c>
      <c r="B6885" s="9" t="s">
        <v>8515</v>
      </c>
      <c r="C6885" s="9" t="s">
        <v>8931</v>
      </c>
      <c r="D6885" s="9" t="s">
        <v>8932</v>
      </c>
      <c r="E6885" s="5" t="s">
        <v>15</v>
      </c>
      <c r="F6885" s="5">
        <v>2020</v>
      </c>
      <c r="G6885" s="9" t="s">
        <v>2480</v>
      </c>
      <c r="H6885" s="9">
        <v>500</v>
      </c>
      <c r="I6885" s="9">
        <v>500</v>
      </c>
      <c r="J6885" s="9"/>
      <c r="K6885" s="9"/>
      <c r="L6885" s="10">
        <v>20201118</v>
      </c>
      <c r="M6885" s="36" t="str">
        <f t="shared" si="107"/>
        <v>19831012</v>
      </c>
    </row>
    <row r="6886" s="1" customFormat="1" spans="1:13">
      <c r="A6886" s="2">
        <v>1832</v>
      </c>
      <c r="B6886" s="5" t="s">
        <v>4189</v>
      </c>
      <c r="C6886" s="16" t="s">
        <v>4229</v>
      </c>
      <c r="D6886" s="16" t="s">
        <v>4230</v>
      </c>
      <c r="E6886" s="5" t="s">
        <v>15</v>
      </c>
      <c r="F6886" s="5" t="s">
        <v>15</v>
      </c>
      <c r="G6886" s="5" t="s">
        <v>3359</v>
      </c>
      <c r="H6886" s="16">
        <v>200</v>
      </c>
      <c r="I6886" s="16">
        <v>200</v>
      </c>
      <c r="J6886" s="5"/>
      <c r="K6886" s="10"/>
      <c r="L6886" s="10">
        <v>20201118</v>
      </c>
      <c r="M6886" s="36" t="str">
        <f t="shared" si="107"/>
        <v>19831013</v>
      </c>
    </row>
    <row r="6887" s="1" customFormat="1" spans="1:13">
      <c r="A6887" s="2">
        <v>6760</v>
      </c>
      <c r="B6887" s="5" t="s">
        <v>13027</v>
      </c>
      <c r="C6887" s="15" t="s">
        <v>13484</v>
      </c>
      <c r="D6887" s="15" t="s">
        <v>13485</v>
      </c>
      <c r="E6887" s="5">
        <v>2020</v>
      </c>
      <c r="F6887" s="5">
        <v>2020</v>
      </c>
      <c r="G6887" s="14" t="s">
        <v>16</v>
      </c>
      <c r="H6887" s="15">
        <v>200</v>
      </c>
      <c r="I6887" s="15">
        <v>200</v>
      </c>
      <c r="J6887" s="5"/>
      <c r="K6887" s="10"/>
      <c r="L6887" s="10">
        <v>20201118</v>
      </c>
      <c r="M6887" s="36" t="str">
        <f t="shared" si="107"/>
        <v>19831013</v>
      </c>
    </row>
    <row r="6888" s="1" customFormat="1" ht="14.25" spans="1:13">
      <c r="A6888" s="2">
        <v>5432</v>
      </c>
      <c r="B6888" s="33" t="s">
        <v>10535</v>
      </c>
      <c r="C6888" s="34" t="s">
        <v>10966</v>
      </c>
      <c r="D6888" s="34" t="s">
        <v>10967</v>
      </c>
      <c r="E6888" s="35">
        <v>2020</v>
      </c>
      <c r="F6888" s="35">
        <v>2020</v>
      </c>
      <c r="G6888" s="35" t="s">
        <v>16</v>
      </c>
      <c r="H6888" s="34">
        <v>200</v>
      </c>
      <c r="I6888" s="34">
        <v>200</v>
      </c>
      <c r="J6888" s="49"/>
      <c r="K6888" s="10"/>
      <c r="L6888" s="10">
        <v>20201118</v>
      </c>
      <c r="M6888" s="36" t="str">
        <f t="shared" si="107"/>
        <v>19831017</v>
      </c>
    </row>
    <row r="6889" s="1" customFormat="1" spans="1:13">
      <c r="A6889" s="2">
        <v>4598</v>
      </c>
      <c r="B6889" s="6" t="s">
        <v>9015</v>
      </c>
      <c r="C6889" s="6" t="s">
        <v>9368</v>
      </c>
      <c r="D6889" s="6" t="s">
        <v>9369</v>
      </c>
      <c r="E6889" s="6">
        <v>2020</v>
      </c>
      <c r="F6889" s="6">
        <v>2020</v>
      </c>
      <c r="G6889" s="6" t="s">
        <v>16</v>
      </c>
      <c r="H6889" s="6">
        <v>200</v>
      </c>
      <c r="I6889" s="6">
        <v>200</v>
      </c>
      <c r="J6889" s="6"/>
      <c r="K6889" s="6"/>
      <c r="L6889" s="10">
        <v>20201118</v>
      </c>
      <c r="M6889" s="36" t="str">
        <f t="shared" si="107"/>
        <v>19831019</v>
      </c>
    </row>
    <row r="6890" s="1" customFormat="1" spans="1:13">
      <c r="A6890" s="2">
        <v>5173</v>
      </c>
      <c r="B6890" s="6" t="s">
        <v>10242</v>
      </c>
      <c r="C6890" s="9" t="s">
        <v>10470</v>
      </c>
      <c r="D6890" s="9" t="s">
        <v>10471</v>
      </c>
      <c r="E6890" s="5" t="s">
        <v>10250</v>
      </c>
      <c r="F6890" s="5">
        <v>2020</v>
      </c>
      <c r="G6890" s="6" t="s">
        <v>16</v>
      </c>
      <c r="H6890" s="6">
        <v>200</v>
      </c>
      <c r="I6890" s="6">
        <v>200</v>
      </c>
      <c r="J6890" s="6"/>
      <c r="K6890" s="5"/>
      <c r="L6890" s="10">
        <v>20201118</v>
      </c>
      <c r="M6890" s="36" t="str">
        <f t="shared" si="107"/>
        <v>19831021</v>
      </c>
    </row>
    <row r="6891" s="1" customFormat="1" ht="14.25" spans="1:13">
      <c r="A6891" s="2">
        <v>7651</v>
      </c>
      <c r="B6891" s="5" t="s">
        <v>14875</v>
      </c>
      <c r="C6891" s="51" t="s">
        <v>14891</v>
      </c>
      <c r="D6891" s="24" t="str">
        <f>"152326198310227122"</f>
        <v>152326198310227122</v>
      </c>
      <c r="E6891" s="6" t="s">
        <v>15</v>
      </c>
      <c r="F6891" s="6">
        <v>2020</v>
      </c>
      <c r="G6891" s="24" t="s">
        <v>14877</v>
      </c>
      <c r="H6891" s="6">
        <v>200</v>
      </c>
      <c r="I6891" s="6">
        <v>200</v>
      </c>
      <c r="J6891" s="6"/>
      <c r="K6891" s="10"/>
      <c r="L6891" s="10">
        <v>20201118</v>
      </c>
      <c r="M6891" s="36" t="str">
        <f t="shared" si="107"/>
        <v>19831022</v>
      </c>
    </row>
    <row r="6892" s="1" customFormat="1" spans="1:13">
      <c r="A6892" s="2">
        <v>4636</v>
      </c>
      <c r="B6892" s="6" t="s">
        <v>9015</v>
      </c>
      <c r="C6892" s="6" t="s">
        <v>9439</v>
      </c>
      <c r="D6892" s="6" t="s">
        <v>9440</v>
      </c>
      <c r="E6892" s="6">
        <v>2020</v>
      </c>
      <c r="F6892" s="6">
        <v>2020</v>
      </c>
      <c r="G6892" s="6" t="s">
        <v>16</v>
      </c>
      <c r="H6892" s="6">
        <v>200</v>
      </c>
      <c r="I6892" s="6">
        <v>200</v>
      </c>
      <c r="J6892" s="6"/>
      <c r="K6892" s="6"/>
      <c r="L6892" s="10">
        <v>20201118</v>
      </c>
      <c r="M6892" s="36" t="str">
        <f t="shared" si="107"/>
        <v>19831025</v>
      </c>
    </row>
    <row r="6893" s="1" customFormat="1" spans="1:13">
      <c r="A6893" s="2">
        <v>2506</v>
      </c>
      <c r="B6893" s="5" t="s">
        <v>5328</v>
      </c>
      <c r="C6893" s="16" t="s">
        <v>5546</v>
      </c>
      <c r="D6893" s="16" t="s">
        <v>5547</v>
      </c>
      <c r="E6893" s="5" t="s">
        <v>15</v>
      </c>
      <c r="F6893" s="5" t="s">
        <v>15</v>
      </c>
      <c r="G6893" s="14" t="s">
        <v>16</v>
      </c>
      <c r="H6893" s="6">
        <v>200</v>
      </c>
      <c r="I6893" s="6">
        <v>200</v>
      </c>
      <c r="J6893" s="5"/>
      <c r="K6893" s="5"/>
      <c r="L6893" s="10">
        <v>20201118</v>
      </c>
      <c r="M6893" s="36" t="str">
        <f t="shared" si="107"/>
        <v>19831028</v>
      </c>
    </row>
    <row r="6894" s="1" customFormat="1" ht="14.25" spans="1:13">
      <c r="A6894" s="2">
        <v>5433</v>
      </c>
      <c r="B6894" s="33" t="s">
        <v>10535</v>
      </c>
      <c r="C6894" s="34" t="s">
        <v>10968</v>
      </c>
      <c r="D6894" s="34" t="s">
        <v>10969</v>
      </c>
      <c r="E6894" s="35">
        <v>2020</v>
      </c>
      <c r="F6894" s="35">
        <v>2020</v>
      </c>
      <c r="G6894" s="35" t="s">
        <v>16</v>
      </c>
      <c r="H6894" s="34">
        <v>200</v>
      </c>
      <c r="I6894" s="34">
        <v>200</v>
      </c>
      <c r="J6894" s="49"/>
      <c r="K6894" s="10"/>
      <c r="L6894" s="10">
        <v>20201118</v>
      </c>
      <c r="M6894" s="36" t="str">
        <f t="shared" si="107"/>
        <v>19831028</v>
      </c>
    </row>
    <row r="6895" s="1" customFormat="1" ht="14.25" spans="1:13">
      <c r="A6895" s="2">
        <v>5434</v>
      </c>
      <c r="B6895" s="33" t="s">
        <v>10535</v>
      </c>
      <c r="C6895" s="34" t="s">
        <v>10970</v>
      </c>
      <c r="D6895" s="34" t="s">
        <v>10971</v>
      </c>
      <c r="E6895" s="35">
        <v>2020</v>
      </c>
      <c r="F6895" s="35">
        <v>2020</v>
      </c>
      <c r="G6895" s="35" t="s">
        <v>16</v>
      </c>
      <c r="H6895" s="34">
        <v>500</v>
      </c>
      <c r="I6895" s="34">
        <v>500</v>
      </c>
      <c r="J6895" s="49"/>
      <c r="K6895" s="10"/>
      <c r="L6895" s="10">
        <v>20201118</v>
      </c>
      <c r="M6895" s="36" t="str">
        <f t="shared" si="107"/>
        <v>19831029</v>
      </c>
    </row>
    <row r="6896" s="1" customFormat="1" spans="1:13">
      <c r="A6896" s="2">
        <v>5933</v>
      </c>
      <c r="B6896" s="30" t="s">
        <v>11090</v>
      </c>
      <c r="C6896" s="6" t="s">
        <v>11915</v>
      </c>
      <c r="D6896" s="306" t="s">
        <v>11916</v>
      </c>
      <c r="E6896" s="5" t="s">
        <v>15</v>
      </c>
      <c r="F6896" s="5" t="s">
        <v>10250</v>
      </c>
      <c r="G6896" s="6" t="s">
        <v>16</v>
      </c>
      <c r="H6896" s="32">
        <v>200</v>
      </c>
      <c r="I6896" s="32">
        <v>200</v>
      </c>
      <c r="J6896" s="6"/>
      <c r="K6896" s="48"/>
      <c r="L6896" s="10">
        <v>20201118</v>
      </c>
      <c r="M6896" s="36" t="str">
        <f t="shared" si="107"/>
        <v>19831101</v>
      </c>
    </row>
    <row r="6897" s="1" customFormat="1" ht="14.25" spans="1:13">
      <c r="A6897" s="2">
        <v>5435</v>
      </c>
      <c r="B6897" s="33" t="s">
        <v>10535</v>
      </c>
      <c r="C6897" s="34" t="s">
        <v>10972</v>
      </c>
      <c r="D6897" s="34" t="s">
        <v>10973</v>
      </c>
      <c r="E6897" s="35">
        <v>2020</v>
      </c>
      <c r="F6897" s="35">
        <v>2020</v>
      </c>
      <c r="G6897" s="35" t="s">
        <v>16</v>
      </c>
      <c r="H6897" s="34">
        <v>200</v>
      </c>
      <c r="I6897" s="34">
        <v>200</v>
      </c>
      <c r="J6897" s="49"/>
      <c r="K6897" s="10"/>
      <c r="L6897" s="10">
        <v>20201118</v>
      </c>
      <c r="M6897" s="36" t="str">
        <f t="shared" si="107"/>
        <v>19831102</v>
      </c>
    </row>
    <row r="6898" s="1" customFormat="1" spans="1:13">
      <c r="A6898" s="2">
        <v>8109</v>
      </c>
      <c r="B6898" s="5" t="s">
        <v>15406</v>
      </c>
      <c r="C6898" s="6" t="s">
        <v>13494</v>
      </c>
      <c r="D6898" s="6" t="s">
        <v>15413</v>
      </c>
      <c r="E6898" s="5" t="s">
        <v>15</v>
      </c>
      <c r="F6898" s="5">
        <v>2020</v>
      </c>
      <c r="G6898" s="14" t="s">
        <v>16</v>
      </c>
      <c r="H6898" s="6" t="s">
        <v>2295</v>
      </c>
      <c r="I6898" s="6">
        <v>500</v>
      </c>
      <c r="J6898" s="5"/>
      <c r="K6898" s="10"/>
      <c r="L6898" s="10">
        <v>20201118</v>
      </c>
      <c r="M6898" s="36" t="str">
        <f t="shared" si="107"/>
        <v>19831103</v>
      </c>
    </row>
    <row r="6899" s="1" customFormat="1" spans="1:13">
      <c r="A6899" s="2">
        <v>862</v>
      </c>
      <c r="B6899" s="29" t="s">
        <v>1040</v>
      </c>
      <c r="C6899" s="6" t="s">
        <v>2233</v>
      </c>
      <c r="D6899" s="6" t="s">
        <v>2234</v>
      </c>
      <c r="E6899" s="30">
        <v>2020</v>
      </c>
      <c r="F6899" s="30">
        <v>2020</v>
      </c>
      <c r="G6899" s="29" t="s">
        <v>16</v>
      </c>
      <c r="H6899" s="6">
        <v>500</v>
      </c>
      <c r="I6899" s="6">
        <v>500</v>
      </c>
      <c r="J6899" s="32"/>
      <c r="K6899" s="32"/>
      <c r="L6899" s="14" t="s">
        <v>330</v>
      </c>
      <c r="M6899" s="36" t="str">
        <f t="shared" si="107"/>
        <v>19831108</v>
      </c>
    </row>
    <row r="6900" s="1" customFormat="1" spans="1:13">
      <c r="A6900" s="2">
        <v>4914</v>
      </c>
      <c r="B6900" s="6" t="s">
        <v>9954</v>
      </c>
      <c r="C6900" s="53" t="s">
        <v>9969</v>
      </c>
      <c r="D6900" s="53" t="s">
        <v>9970</v>
      </c>
      <c r="E6900" s="5" t="s">
        <v>15</v>
      </c>
      <c r="F6900" s="5" t="s">
        <v>15</v>
      </c>
      <c r="G6900" s="14" t="s">
        <v>16</v>
      </c>
      <c r="H6900" s="6">
        <v>200</v>
      </c>
      <c r="I6900" s="6">
        <v>200</v>
      </c>
      <c r="J6900" s="6"/>
      <c r="K6900" s="6"/>
      <c r="L6900" s="10">
        <v>20201118</v>
      </c>
      <c r="M6900" s="36" t="str">
        <f t="shared" si="107"/>
        <v>19831108</v>
      </c>
    </row>
    <row r="6901" s="1" customFormat="1" spans="1:13">
      <c r="A6901" s="2">
        <v>2032</v>
      </c>
      <c r="B6901" s="5" t="s">
        <v>4189</v>
      </c>
      <c r="C6901" s="16" t="s">
        <v>1106</v>
      </c>
      <c r="D6901" s="16" t="s">
        <v>4620</v>
      </c>
      <c r="E6901" s="5" t="s">
        <v>15</v>
      </c>
      <c r="F6901" s="5" t="s">
        <v>15</v>
      </c>
      <c r="G6901" s="5" t="s">
        <v>3359</v>
      </c>
      <c r="H6901" s="16">
        <v>1000</v>
      </c>
      <c r="I6901" s="16">
        <v>1000</v>
      </c>
      <c r="J6901" s="5"/>
      <c r="K6901" s="10"/>
      <c r="L6901" s="10">
        <v>20201118</v>
      </c>
      <c r="M6901" s="36" t="str">
        <f t="shared" si="107"/>
        <v>19831112</v>
      </c>
    </row>
    <row r="6902" s="1" customFormat="1" spans="1:13">
      <c r="A6902" s="2">
        <v>2717</v>
      </c>
      <c r="B6902" s="32" t="s">
        <v>5602</v>
      </c>
      <c r="C6902" s="9" t="s">
        <v>5964</v>
      </c>
      <c r="D6902" s="9" t="s">
        <v>5965</v>
      </c>
      <c r="E6902" s="32">
        <v>2020</v>
      </c>
      <c r="F6902" s="32">
        <v>2020</v>
      </c>
      <c r="G6902" s="32" t="s">
        <v>16</v>
      </c>
      <c r="H6902" s="9">
        <v>200</v>
      </c>
      <c r="I6902" s="9">
        <v>200</v>
      </c>
      <c r="J6902" s="32"/>
      <c r="K6902" s="52"/>
      <c r="L6902" s="10">
        <v>20201118</v>
      </c>
      <c r="M6902" s="36" t="str">
        <f t="shared" si="107"/>
        <v>19831112</v>
      </c>
    </row>
    <row r="6903" s="1" customFormat="1" spans="1:13">
      <c r="A6903" s="2">
        <v>7136</v>
      </c>
      <c r="B6903" s="5" t="s">
        <v>13908</v>
      </c>
      <c r="C6903" s="5" t="s">
        <v>13931</v>
      </c>
      <c r="D6903" s="5" t="s">
        <v>13932</v>
      </c>
      <c r="E6903" s="5" t="s">
        <v>15</v>
      </c>
      <c r="F6903" s="5" t="s">
        <v>15</v>
      </c>
      <c r="G6903" s="14" t="s">
        <v>16</v>
      </c>
      <c r="H6903" s="17">
        <v>200</v>
      </c>
      <c r="I6903" s="17">
        <v>200</v>
      </c>
      <c r="J6903" s="5"/>
      <c r="K6903" s="10"/>
      <c r="L6903" s="10">
        <v>20201118</v>
      </c>
      <c r="M6903" s="36" t="str">
        <f t="shared" si="107"/>
        <v>19831113</v>
      </c>
    </row>
    <row r="6904" s="1" customFormat="1" ht="14.25" spans="1:13">
      <c r="A6904" s="2">
        <v>7654</v>
      </c>
      <c r="B6904" s="5" t="s">
        <v>14875</v>
      </c>
      <c r="C6904" s="51" t="s">
        <v>14894</v>
      </c>
      <c r="D6904" s="24" t="s">
        <v>14895</v>
      </c>
      <c r="E6904" s="6" t="s">
        <v>15</v>
      </c>
      <c r="F6904" s="6">
        <v>2020</v>
      </c>
      <c r="G6904" s="24" t="s">
        <v>14877</v>
      </c>
      <c r="H6904" s="6">
        <v>200</v>
      </c>
      <c r="I6904" s="6">
        <v>200</v>
      </c>
      <c r="J6904" s="6"/>
      <c r="K6904" s="10"/>
      <c r="L6904" s="10">
        <v>20201118</v>
      </c>
      <c r="M6904" s="36" t="str">
        <f t="shared" si="107"/>
        <v>19831115</v>
      </c>
    </row>
    <row r="6905" s="1" customFormat="1" spans="1:13">
      <c r="A6905" s="2">
        <v>2990</v>
      </c>
      <c r="B6905" s="6" t="s">
        <v>6075</v>
      </c>
      <c r="C6905" s="6" t="s">
        <v>6505</v>
      </c>
      <c r="D6905" s="63" t="s">
        <v>6506</v>
      </c>
      <c r="E6905" s="5" t="s">
        <v>15</v>
      </c>
      <c r="F6905" s="5">
        <v>2020</v>
      </c>
      <c r="G6905" s="6" t="s">
        <v>16</v>
      </c>
      <c r="H6905" s="6">
        <v>200</v>
      </c>
      <c r="I6905" s="6">
        <v>200</v>
      </c>
      <c r="J6905" s="6"/>
      <c r="K6905" s="10"/>
      <c r="L6905" s="10">
        <v>20201118</v>
      </c>
      <c r="M6905" s="36" t="str">
        <f t="shared" si="107"/>
        <v>19831116</v>
      </c>
    </row>
    <row r="6906" s="1" customFormat="1" spans="1:13">
      <c r="A6906" s="2">
        <v>823</v>
      </c>
      <c r="B6906" s="29" t="s">
        <v>1040</v>
      </c>
      <c r="C6906" s="5" t="s">
        <v>2118</v>
      </c>
      <c r="D6906" s="317" t="s">
        <v>2119</v>
      </c>
      <c r="E6906" s="30">
        <v>2020</v>
      </c>
      <c r="F6906" s="30">
        <v>2020</v>
      </c>
      <c r="G6906" s="29" t="s">
        <v>16</v>
      </c>
      <c r="H6906" s="29">
        <v>200</v>
      </c>
      <c r="I6906" s="29">
        <v>200</v>
      </c>
      <c r="J6906" s="32"/>
      <c r="K6906" s="32"/>
      <c r="L6906" s="2" t="s">
        <v>330</v>
      </c>
      <c r="M6906" s="36" t="str">
        <f t="shared" si="107"/>
        <v>19831118</v>
      </c>
    </row>
    <row r="6907" s="1" customFormat="1" spans="1:13">
      <c r="A6907" s="2">
        <v>5661</v>
      </c>
      <c r="B6907" s="30" t="s">
        <v>11090</v>
      </c>
      <c r="C6907" s="30" t="s">
        <v>11407</v>
      </c>
      <c r="D6907" s="30" t="s">
        <v>11408</v>
      </c>
      <c r="E6907" s="5" t="s">
        <v>15</v>
      </c>
      <c r="F6907" s="5" t="s">
        <v>10250</v>
      </c>
      <c r="G6907" s="6" t="s">
        <v>16</v>
      </c>
      <c r="H6907" s="32">
        <v>200</v>
      </c>
      <c r="I6907" s="32">
        <v>200</v>
      </c>
      <c r="J6907" s="6"/>
      <c r="K6907" s="48"/>
      <c r="L6907" s="10">
        <v>20201118</v>
      </c>
      <c r="M6907" s="36" t="str">
        <f t="shared" si="107"/>
        <v>19831118</v>
      </c>
    </row>
    <row r="6908" s="1" customFormat="1" spans="1:13">
      <c r="A6908" s="2">
        <v>2039</v>
      </c>
      <c r="B6908" s="5" t="s">
        <v>4189</v>
      </c>
      <c r="C6908" s="16" t="s">
        <v>4633</v>
      </c>
      <c r="D6908" s="16" t="s">
        <v>4634</v>
      </c>
      <c r="E6908" s="5" t="s">
        <v>15</v>
      </c>
      <c r="F6908" s="5" t="s">
        <v>15</v>
      </c>
      <c r="G6908" s="5" t="s">
        <v>3359</v>
      </c>
      <c r="H6908" s="16">
        <v>200</v>
      </c>
      <c r="I6908" s="16">
        <v>200</v>
      </c>
      <c r="J6908" s="5"/>
      <c r="K6908" s="10"/>
      <c r="L6908" s="10">
        <v>20201118</v>
      </c>
      <c r="M6908" s="36" t="str">
        <f t="shared" si="107"/>
        <v>19831119</v>
      </c>
    </row>
    <row r="6909" s="1" customFormat="1" spans="1:13">
      <c r="A6909" s="2">
        <v>4372</v>
      </c>
      <c r="B6909" s="9" t="s">
        <v>8515</v>
      </c>
      <c r="C6909" s="9" t="s">
        <v>8933</v>
      </c>
      <c r="D6909" s="9" t="s">
        <v>8934</v>
      </c>
      <c r="E6909" s="5" t="s">
        <v>15</v>
      </c>
      <c r="F6909" s="5">
        <v>2020</v>
      </c>
      <c r="G6909" s="9" t="s">
        <v>2480</v>
      </c>
      <c r="H6909" s="9">
        <v>200</v>
      </c>
      <c r="I6909" s="9">
        <v>200</v>
      </c>
      <c r="J6909" s="9"/>
      <c r="K6909" s="9"/>
      <c r="L6909" s="10">
        <v>20201118</v>
      </c>
      <c r="M6909" s="36" t="str">
        <f t="shared" si="107"/>
        <v>19831119</v>
      </c>
    </row>
    <row r="6910" s="1" customFormat="1" spans="1:13">
      <c r="A6910" s="2">
        <v>6817</v>
      </c>
      <c r="B6910" s="5" t="s">
        <v>13533</v>
      </c>
      <c r="C6910" s="32" t="s">
        <v>13569</v>
      </c>
      <c r="D6910" s="32" t="str">
        <f>"152326198311217137"</f>
        <v>152326198311217137</v>
      </c>
      <c r="E6910" s="5">
        <v>2020</v>
      </c>
      <c r="F6910" s="5">
        <v>2020</v>
      </c>
      <c r="G6910" s="9" t="s">
        <v>2480</v>
      </c>
      <c r="H6910" s="32">
        <v>200</v>
      </c>
      <c r="I6910" s="32">
        <v>200</v>
      </c>
      <c r="J6910" s="32"/>
      <c r="K6910" s="10"/>
      <c r="L6910" s="10">
        <v>20201118</v>
      </c>
      <c r="M6910" s="36" t="str">
        <f t="shared" si="107"/>
        <v>19831121</v>
      </c>
    </row>
    <row r="6911" s="1" customFormat="1" spans="1:13">
      <c r="A6911" s="2">
        <v>292</v>
      </c>
      <c r="B6911" s="14" t="s">
        <v>327</v>
      </c>
      <c r="C6911" s="17" t="s">
        <v>763</v>
      </c>
      <c r="D6911" s="306" t="s">
        <v>764</v>
      </c>
      <c r="E6911" s="5">
        <v>2020</v>
      </c>
      <c r="F6911" s="5">
        <v>2020</v>
      </c>
      <c r="G6911" s="14" t="s">
        <v>16</v>
      </c>
      <c r="H6911" s="17">
        <v>500</v>
      </c>
      <c r="I6911" s="17">
        <v>500</v>
      </c>
      <c r="J6911" s="17"/>
      <c r="K6911" s="10"/>
      <c r="L6911" s="14" t="s">
        <v>330</v>
      </c>
      <c r="M6911" s="36" t="str">
        <f t="shared" si="107"/>
        <v>19831125</v>
      </c>
    </row>
    <row r="6912" s="1" customFormat="1" spans="1:13">
      <c r="A6912" s="2">
        <v>4373</v>
      </c>
      <c r="B6912" s="9" t="s">
        <v>8515</v>
      </c>
      <c r="C6912" s="9" t="s">
        <v>8935</v>
      </c>
      <c r="D6912" s="9" t="s">
        <v>8936</v>
      </c>
      <c r="E6912" s="5" t="s">
        <v>15</v>
      </c>
      <c r="F6912" s="5">
        <v>2020</v>
      </c>
      <c r="G6912" s="9" t="s">
        <v>2480</v>
      </c>
      <c r="H6912" s="9">
        <v>200</v>
      </c>
      <c r="I6912" s="9">
        <v>200</v>
      </c>
      <c r="J6912" s="9"/>
      <c r="K6912" s="9"/>
      <c r="L6912" s="10">
        <v>20201118</v>
      </c>
      <c r="M6912" s="36" t="str">
        <f t="shared" si="107"/>
        <v>19831125</v>
      </c>
    </row>
    <row r="6913" s="1" customFormat="1" spans="1:13">
      <c r="A6913" s="2">
        <v>4399</v>
      </c>
      <c r="B6913" s="9" t="s">
        <v>8515</v>
      </c>
      <c r="C6913" s="6" t="s">
        <v>8985</v>
      </c>
      <c r="D6913" s="293" t="s">
        <v>8986</v>
      </c>
      <c r="E6913" s="5" t="s">
        <v>15</v>
      </c>
      <c r="F6913" s="5">
        <v>2020</v>
      </c>
      <c r="G6913" s="6" t="s">
        <v>295</v>
      </c>
      <c r="H6913" s="9">
        <v>200</v>
      </c>
      <c r="I6913" s="9">
        <v>200</v>
      </c>
      <c r="J6913" s="6"/>
      <c r="K6913" s="6"/>
      <c r="L6913" s="10">
        <v>20201118</v>
      </c>
      <c r="M6913" s="36" t="str">
        <f t="shared" si="107"/>
        <v>19831128</v>
      </c>
    </row>
    <row r="6914" s="1" customFormat="1" spans="1:13">
      <c r="A6914" s="2">
        <v>4797</v>
      </c>
      <c r="B6914" s="6" t="s">
        <v>9015</v>
      </c>
      <c r="C6914" s="6" t="s">
        <v>9744</v>
      </c>
      <c r="D6914" s="6" t="s">
        <v>9745</v>
      </c>
      <c r="E6914" s="6">
        <v>2020</v>
      </c>
      <c r="F6914" s="6">
        <v>2020</v>
      </c>
      <c r="G6914" s="6" t="s">
        <v>16</v>
      </c>
      <c r="H6914" s="6">
        <v>200</v>
      </c>
      <c r="I6914" s="6">
        <v>200</v>
      </c>
      <c r="J6914" s="6"/>
      <c r="K6914" s="6"/>
      <c r="L6914" s="10">
        <v>20201118</v>
      </c>
      <c r="M6914" s="36" t="str">
        <f t="shared" ref="M6914:M6977" si="108">MID(D6914,7,8)</f>
        <v>19831129</v>
      </c>
    </row>
    <row r="6915" s="1" customFormat="1" spans="1:13">
      <c r="A6915" s="2">
        <v>314</v>
      </c>
      <c r="B6915" s="14" t="s">
        <v>327</v>
      </c>
      <c r="C6915" s="17" t="s">
        <v>830</v>
      </c>
      <c r="D6915" s="306" t="s">
        <v>831</v>
      </c>
      <c r="E6915" s="5">
        <v>2020</v>
      </c>
      <c r="F6915" s="5">
        <v>2020</v>
      </c>
      <c r="G6915" s="14" t="s">
        <v>16</v>
      </c>
      <c r="H6915" s="17">
        <v>200</v>
      </c>
      <c r="I6915" s="17">
        <v>200</v>
      </c>
      <c r="J6915" s="17"/>
      <c r="K6915" s="10"/>
      <c r="L6915" s="14" t="s">
        <v>330</v>
      </c>
      <c r="M6915" s="36" t="str">
        <f t="shared" si="108"/>
        <v>19831201</v>
      </c>
    </row>
    <row r="6916" s="1" customFormat="1" spans="1:13">
      <c r="A6916" s="2">
        <v>4793</v>
      </c>
      <c r="B6916" s="6" t="s">
        <v>9015</v>
      </c>
      <c r="C6916" s="6" t="s">
        <v>9736</v>
      </c>
      <c r="D6916" s="6" t="s">
        <v>9737</v>
      </c>
      <c r="E6916" s="6">
        <v>2020</v>
      </c>
      <c r="F6916" s="6">
        <v>2020</v>
      </c>
      <c r="G6916" s="6" t="s">
        <v>16</v>
      </c>
      <c r="H6916" s="6">
        <v>200</v>
      </c>
      <c r="I6916" s="6">
        <v>200</v>
      </c>
      <c r="J6916" s="6"/>
      <c r="K6916" s="6"/>
      <c r="L6916" s="10">
        <v>20201118</v>
      </c>
      <c r="M6916" s="36" t="str">
        <f t="shared" si="108"/>
        <v>19831201</v>
      </c>
    </row>
    <row r="6917" s="1" customFormat="1" spans="1:13">
      <c r="A6917" s="2">
        <v>5501</v>
      </c>
      <c r="B6917" s="30" t="s">
        <v>11090</v>
      </c>
      <c r="C6917" s="30" t="s">
        <v>11097</v>
      </c>
      <c r="D6917" s="30" t="s">
        <v>11098</v>
      </c>
      <c r="E6917" s="5" t="s">
        <v>15</v>
      </c>
      <c r="F6917" s="5" t="s">
        <v>10250</v>
      </c>
      <c r="G6917" s="6" t="s">
        <v>16</v>
      </c>
      <c r="H6917" s="32">
        <v>200</v>
      </c>
      <c r="I6917" s="32">
        <v>200</v>
      </c>
      <c r="J6917" s="6"/>
      <c r="K6917" s="48"/>
      <c r="L6917" s="10">
        <v>20201118</v>
      </c>
      <c r="M6917" s="36" t="str">
        <f t="shared" si="108"/>
        <v>19831201</v>
      </c>
    </row>
    <row r="6918" s="1" customFormat="1" spans="1:13">
      <c r="A6918" s="2">
        <v>7868</v>
      </c>
      <c r="B6918" s="5" t="s">
        <v>15086</v>
      </c>
      <c r="C6918" s="6" t="s">
        <v>15139</v>
      </c>
      <c r="D6918" s="6" t="str">
        <f>"152326198312026869"</f>
        <v>152326198312026869</v>
      </c>
      <c r="E6918" s="5" t="s">
        <v>15</v>
      </c>
      <c r="F6918" s="5">
        <v>2020</v>
      </c>
      <c r="G6918" s="5" t="s">
        <v>16</v>
      </c>
      <c r="H6918" s="5">
        <v>200</v>
      </c>
      <c r="I6918" s="5">
        <v>200</v>
      </c>
      <c r="J6918" s="5"/>
      <c r="K6918" s="5"/>
      <c r="L6918" s="10">
        <v>20201118</v>
      </c>
      <c r="M6918" s="36" t="str">
        <f t="shared" si="108"/>
        <v>19831202</v>
      </c>
    </row>
    <row r="6919" s="1" customFormat="1" spans="1:13">
      <c r="A6919" s="2">
        <v>7869</v>
      </c>
      <c r="B6919" s="5" t="s">
        <v>15086</v>
      </c>
      <c r="C6919" s="6" t="s">
        <v>15140</v>
      </c>
      <c r="D6919" s="6" t="str">
        <f>"152326198312026877"</f>
        <v>152326198312026877</v>
      </c>
      <c r="E6919" s="5" t="s">
        <v>15</v>
      </c>
      <c r="F6919" s="5">
        <v>2020</v>
      </c>
      <c r="G6919" s="5" t="s">
        <v>16</v>
      </c>
      <c r="H6919" s="5">
        <v>500</v>
      </c>
      <c r="I6919" s="5">
        <v>500</v>
      </c>
      <c r="J6919" s="5"/>
      <c r="K6919" s="5"/>
      <c r="L6919" s="10">
        <v>20201118</v>
      </c>
      <c r="M6919" s="36" t="str">
        <f t="shared" si="108"/>
        <v>19831202</v>
      </c>
    </row>
    <row r="6920" s="1" customFormat="1" spans="1:13">
      <c r="A6920" s="2">
        <v>2342</v>
      </c>
      <c r="B6920" s="9" t="s">
        <v>4837</v>
      </c>
      <c r="C6920" s="9" t="s">
        <v>5223</v>
      </c>
      <c r="D6920" s="9" t="s">
        <v>5224</v>
      </c>
      <c r="E6920" s="6" t="s">
        <v>15</v>
      </c>
      <c r="F6920" s="6">
        <v>2020</v>
      </c>
      <c r="G6920" s="9" t="s">
        <v>2480</v>
      </c>
      <c r="H6920" s="9">
        <v>200</v>
      </c>
      <c r="I6920" s="9">
        <v>200</v>
      </c>
      <c r="J6920" s="6"/>
      <c r="K6920" s="10"/>
      <c r="L6920" s="10">
        <v>20201118</v>
      </c>
      <c r="M6920" s="36" t="str">
        <f t="shared" si="108"/>
        <v>19831203</v>
      </c>
    </row>
    <row r="6921" s="1" customFormat="1" spans="1:13">
      <c r="A6921" s="2">
        <v>2507</v>
      </c>
      <c r="B6921" s="5" t="s">
        <v>5328</v>
      </c>
      <c r="C6921" s="16" t="s">
        <v>5548</v>
      </c>
      <c r="D6921" s="16" t="s">
        <v>5549</v>
      </c>
      <c r="E6921" s="5" t="s">
        <v>15</v>
      </c>
      <c r="F6921" s="5" t="s">
        <v>15</v>
      </c>
      <c r="G6921" s="14" t="s">
        <v>16</v>
      </c>
      <c r="H6921" s="6">
        <v>200</v>
      </c>
      <c r="I6921" s="6">
        <v>200</v>
      </c>
      <c r="J6921" s="5"/>
      <c r="K6921" s="5"/>
      <c r="L6921" s="10">
        <v>20201118</v>
      </c>
      <c r="M6921" s="36" t="str">
        <f t="shared" si="108"/>
        <v>19831204</v>
      </c>
    </row>
    <row r="6922" s="1" customFormat="1" spans="1:13">
      <c r="A6922" s="2">
        <v>4072</v>
      </c>
      <c r="B6922" s="5" t="s">
        <v>7412</v>
      </c>
      <c r="C6922" s="5" t="s">
        <v>8357</v>
      </c>
      <c r="D6922" s="5" t="s">
        <v>8358</v>
      </c>
      <c r="E6922" s="6">
        <v>2020</v>
      </c>
      <c r="F6922" s="6">
        <v>2020</v>
      </c>
      <c r="G6922" s="5" t="s">
        <v>3359</v>
      </c>
      <c r="H6922" s="5">
        <v>200</v>
      </c>
      <c r="I6922" s="5">
        <v>200</v>
      </c>
      <c r="J6922" s="5"/>
      <c r="K6922" s="5"/>
      <c r="L6922" s="10">
        <v>20201118</v>
      </c>
      <c r="M6922" s="36" t="str">
        <f t="shared" si="108"/>
        <v>19831205</v>
      </c>
    </row>
    <row r="6923" s="1" customFormat="1" spans="1:13">
      <c r="A6923" s="2">
        <v>4761</v>
      </c>
      <c r="B6923" s="6" t="s">
        <v>9015</v>
      </c>
      <c r="C6923" s="6" t="s">
        <v>9676</v>
      </c>
      <c r="D6923" s="6" t="s">
        <v>9677</v>
      </c>
      <c r="E6923" s="6">
        <v>2020</v>
      </c>
      <c r="F6923" s="6">
        <v>2020</v>
      </c>
      <c r="G6923" s="6" t="s">
        <v>16</v>
      </c>
      <c r="H6923" s="6">
        <v>200</v>
      </c>
      <c r="I6923" s="6">
        <v>200</v>
      </c>
      <c r="J6923" s="6"/>
      <c r="K6923" s="6"/>
      <c r="L6923" s="10">
        <v>20201118</v>
      </c>
      <c r="M6923" s="36" t="str">
        <f t="shared" si="108"/>
        <v>19831207</v>
      </c>
    </row>
    <row r="6924" s="1" customFormat="1" spans="1:13">
      <c r="A6924" s="2">
        <v>8191</v>
      </c>
      <c r="B6924" s="5" t="s">
        <v>15406</v>
      </c>
      <c r="C6924" s="6" t="s">
        <v>15568</v>
      </c>
      <c r="D6924" s="293" t="s">
        <v>15569</v>
      </c>
      <c r="E6924" s="5" t="s">
        <v>15</v>
      </c>
      <c r="F6924" s="5">
        <v>2020</v>
      </c>
      <c r="G6924" s="14" t="s">
        <v>16</v>
      </c>
      <c r="H6924" s="6">
        <v>200</v>
      </c>
      <c r="I6924" s="6">
        <v>200</v>
      </c>
      <c r="J6924" s="5"/>
      <c r="K6924" s="10"/>
      <c r="L6924" s="10">
        <v>20201118</v>
      </c>
      <c r="M6924" s="36" t="str">
        <f t="shared" si="108"/>
        <v>19831207</v>
      </c>
    </row>
    <row r="6925" s="1" customFormat="1" ht="14.25" spans="1:13">
      <c r="A6925" s="2">
        <v>5436</v>
      </c>
      <c r="B6925" s="33" t="s">
        <v>10535</v>
      </c>
      <c r="C6925" s="34" t="s">
        <v>5287</v>
      </c>
      <c r="D6925" s="34" t="s">
        <v>10974</v>
      </c>
      <c r="E6925" s="35">
        <v>2020</v>
      </c>
      <c r="F6925" s="35">
        <v>2020</v>
      </c>
      <c r="G6925" s="35" t="s">
        <v>16</v>
      </c>
      <c r="H6925" s="34">
        <v>200</v>
      </c>
      <c r="I6925" s="34">
        <v>200</v>
      </c>
      <c r="J6925" s="49"/>
      <c r="K6925" s="10"/>
      <c r="L6925" s="10">
        <v>20201118</v>
      </c>
      <c r="M6925" s="36" t="str">
        <f t="shared" si="108"/>
        <v>19831208</v>
      </c>
    </row>
    <row r="6926" s="1" customFormat="1" spans="1:13">
      <c r="A6926" s="2">
        <v>5718</v>
      </c>
      <c r="B6926" s="30" t="s">
        <v>11090</v>
      </c>
      <c r="C6926" s="30" t="s">
        <v>11521</v>
      </c>
      <c r="D6926" s="30" t="s">
        <v>11522</v>
      </c>
      <c r="E6926" s="5" t="s">
        <v>15</v>
      </c>
      <c r="F6926" s="5" t="s">
        <v>10250</v>
      </c>
      <c r="G6926" s="6" t="s">
        <v>16</v>
      </c>
      <c r="H6926" s="32">
        <v>200</v>
      </c>
      <c r="I6926" s="32">
        <v>200</v>
      </c>
      <c r="J6926" s="6"/>
      <c r="K6926" s="48"/>
      <c r="L6926" s="10">
        <v>20201118</v>
      </c>
      <c r="M6926" s="36" t="str">
        <f t="shared" si="108"/>
        <v>19831208</v>
      </c>
    </row>
    <row r="6927" s="1" customFormat="1" ht="14.25" spans="1:13">
      <c r="A6927" s="2">
        <v>5437</v>
      </c>
      <c r="B6927" s="33" t="s">
        <v>10535</v>
      </c>
      <c r="C6927" s="34" t="s">
        <v>10975</v>
      </c>
      <c r="D6927" s="34" t="s">
        <v>10976</v>
      </c>
      <c r="E6927" s="35">
        <v>2020</v>
      </c>
      <c r="F6927" s="35">
        <v>2020</v>
      </c>
      <c r="G6927" s="35" t="s">
        <v>16</v>
      </c>
      <c r="H6927" s="34">
        <v>200</v>
      </c>
      <c r="I6927" s="34">
        <v>200</v>
      </c>
      <c r="J6927" s="49"/>
      <c r="K6927" s="10"/>
      <c r="L6927" s="10">
        <v>20201118</v>
      </c>
      <c r="M6927" s="36" t="str">
        <f t="shared" si="108"/>
        <v>19831213</v>
      </c>
    </row>
    <row r="6928" s="1" customFormat="1" spans="1:13">
      <c r="A6928" s="2">
        <v>5199</v>
      </c>
      <c r="B6928" s="6" t="s">
        <v>10242</v>
      </c>
      <c r="C6928" s="16" t="s">
        <v>10519</v>
      </c>
      <c r="D6928" s="16" t="s">
        <v>10520</v>
      </c>
      <c r="E6928" s="5" t="s">
        <v>10250</v>
      </c>
      <c r="F6928" s="5">
        <v>2020</v>
      </c>
      <c r="G6928" s="6" t="s">
        <v>16</v>
      </c>
      <c r="H6928" s="6">
        <v>200</v>
      </c>
      <c r="I6928" s="6">
        <v>200</v>
      </c>
      <c r="J6928" s="6"/>
      <c r="K6928" s="5"/>
      <c r="L6928" s="10">
        <v>20201118</v>
      </c>
      <c r="M6928" s="36" t="str">
        <f t="shared" si="108"/>
        <v>19831214</v>
      </c>
    </row>
    <row r="6929" s="1" customFormat="1" ht="14.25" spans="1:13">
      <c r="A6929" s="2">
        <v>5438</v>
      </c>
      <c r="B6929" s="33" t="s">
        <v>10535</v>
      </c>
      <c r="C6929" s="34" t="s">
        <v>10977</v>
      </c>
      <c r="D6929" s="34" t="s">
        <v>10978</v>
      </c>
      <c r="E6929" s="35">
        <v>2020</v>
      </c>
      <c r="F6929" s="35">
        <v>2020</v>
      </c>
      <c r="G6929" s="35" t="s">
        <v>16</v>
      </c>
      <c r="H6929" s="34">
        <v>200</v>
      </c>
      <c r="I6929" s="34">
        <v>200</v>
      </c>
      <c r="J6929" s="49"/>
      <c r="K6929" s="10"/>
      <c r="L6929" s="10">
        <v>20201118</v>
      </c>
      <c r="M6929" s="36" t="str">
        <f t="shared" si="108"/>
        <v>19831215</v>
      </c>
    </row>
    <row r="6930" s="1" customFormat="1" spans="1:13">
      <c r="A6930" s="2">
        <v>5174</v>
      </c>
      <c r="B6930" s="6" t="s">
        <v>10242</v>
      </c>
      <c r="C6930" s="9" t="s">
        <v>10472</v>
      </c>
      <c r="D6930" s="9" t="s">
        <v>10473</v>
      </c>
      <c r="E6930" s="5" t="s">
        <v>10250</v>
      </c>
      <c r="F6930" s="5">
        <v>2020</v>
      </c>
      <c r="G6930" s="6" t="s">
        <v>16</v>
      </c>
      <c r="H6930" s="6">
        <v>200</v>
      </c>
      <c r="I6930" s="6">
        <v>200</v>
      </c>
      <c r="J6930" s="6"/>
      <c r="K6930" s="5"/>
      <c r="L6930" s="10">
        <v>20201118</v>
      </c>
      <c r="M6930" s="36" t="str">
        <f t="shared" si="108"/>
        <v>19831217</v>
      </c>
    </row>
    <row r="6931" s="1" customFormat="1" spans="1:13">
      <c r="A6931" s="2">
        <v>1287</v>
      </c>
      <c r="B6931" s="5" t="s">
        <v>2469</v>
      </c>
      <c r="C6931" s="9" t="s">
        <v>3156</v>
      </c>
      <c r="D6931" s="9" t="s">
        <v>3157</v>
      </c>
      <c r="E6931" s="5">
        <v>2020</v>
      </c>
      <c r="F6931" s="5">
        <v>2020</v>
      </c>
      <c r="G6931" s="9" t="s">
        <v>2480</v>
      </c>
      <c r="H6931" s="9">
        <v>200</v>
      </c>
      <c r="I6931" s="9">
        <v>200</v>
      </c>
      <c r="J6931" s="5"/>
      <c r="K6931" s="5"/>
      <c r="L6931" s="10">
        <v>20201118</v>
      </c>
      <c r="M6931" s="36" t="str">
        <f t="shared" si="108"/>
        <v>19831219</v>
      </c>
    </row>
    <row r="6932" s="1" customFormat="1" spans="1:13">
      <c r="A6932" s="2">
        <v>4771</v>
      </c>
      <c r="B6932" s="6" t="s">
        <v>9015</v>
      </c>
      <c r="C6932" s="6" t="s">
        <v>9696</v>
      </c>
      <c r="D6932" s="6" t="s">
        <v>9697</v>
      </c>
      <c r="E6932" s="6">
        <v>2020</v>
      </c>
      <c r="F6932" s="6">
        <v>2020</v>
      </c>
      <c r="G6932" s="6" t="s">
        <v>16</v>
      </c>
      <c r="H6932" s="6">
        <v>200</v>
      </c>
      <c r="I6932" s="6">
        <v>200</v>
      </c>
      <c r="J6932" s="6"/>
      <c r="K6932" s="6"/>
      <c r="L6932" s="10">
        <v>20201118</v>
      </c>
      <c r="M6932" s="36" t="str">
        <f t="shared" si="108"/>
        <v>19831219</v>
      </c>
    </row>
    <row r="6933" s="1" customFormat="1" spans="1:13">
      <c r="A6933" s="2">
        <v>6501</v>
      </c>
      <c r="B6933" s="5" t="s">
        <v>12263</v>
      </c>
      <c r="C6933" s="5" t="s">
        <v>13004</v>
      </c>
      <c r="D6933" s="5" t="s">
        <v>13005</v>
      </c>
      <c r="E6933" s="5" t="s">
        <v>15</v>
      </c>
      <c r="F6933" s="5">
        <v>2020</v>
      </c>
      <c r="G6933" s="5" t="s">
        <v>295</v>
      </c>
      <c r="H6933" s="5">
        <v>200</v>
      </c>
      <c r="I6933" s="5">
        <v>200</v>
      </c>
      <c r="J6933" s="5"/>
      <c r="K6933" s="5"/>
      <c r="L6933" s="10">
        <v>20201118</v>
      </c>
      <c r="M6933" s="36" t="str">
        <f t="shared" si="108"/>
        <v>19831220</v>
      </c>
    </row>
    <row r="6934" s="1" customFormat="1" spans="1:13">
      <c r="A6934" s="2">
        <v>4966</v>
      </c>
      <c r="B6934" s="6" t="s">
        <v>9954</v>
      </c>
      <c r="C6934" s="53" t="s">
        <v>10072</v>
      </c>
      <c r="D6934" s="53" t="s">
        <v>10073</v>
      </c>
      <c r="E6934" s="5" t="s">
        <v>15</v>
      </c>
      <c r="F6934" s="5" t="s">
        <v>15</v>
      </c>
      <c r="G6934" s="14" t="s">
        <v>16</v>
      </c>
      <c r="H6934" s="6" t="s">
        <v>4178</v>
      </c>
      <c r="I6934" s="6">
        <v>3000</v>
      </c>
      <c r="J6934" s="6"/>
      <c r="K6934" s="6"/>
      <c r="L6934" s="10">
        <v>20201118</v>
      </c>
      <c r="M6934" s="36" t="str">
        <f t="shared" si="108"/>
        <v>19831221</v>
      </c>
    </row>
    <row r="6935" s="1" customFormat="1" spans="1:13">
      <c r="A6935" s="2">
        <v>7076</v>
      </c>
      <c r="B6935" s="5" t="s">
        <v>13533</v>
      </c>
      <c r="C6935" s="32" t="s">
        <v>13823</v>
      </c>
      <c r="D6935" s="32" t="s">
        <v>13824</v>
      </c>
      <c r="E6935" s="5">
        <v>2020</v>
      </c>
      <c r="F6935" s="5">
        <v>2020</v>
      </c>
      <c r="G6935" s="9" t="s">
        <v>2480</v>
      </c>
      <c r="H6935" s="32">
        <v>200</v>
      </c>
      <c r="I6935" s="32">
        <v>200</v>
      </c>
      <c r="J6935" s="62"/>
      <c r="K6935" s="10"/>
      <c r="L6935" s="10">
        <v>20201118</v>
      </c>
      <c r="M6935" s="36" t="str">
        <f t="shared" si="108"/>
        <v>19831223</v>
      </c>
    </row>
    <row r="6936" s="1" customFormat="1" spans="1:13">
      <c r="A6936" s="2">
        <v>785</v>
      </c>
      <c r="B6936" s="29" t="s">
        <v>1040</v>
      </c>
      <c r="C6936" s="5" t="s">
        <v>2005</v>
      </c>
      <c r="D6936" s="317" t="s">
        <v>2006</v>
      </c>
      <c r="E6936" s="30">
        <v>2020</v>
      </c>
      <c r="F6936" s="30">
        <v>2020</v>
      </c>
      <c r="G6936" s="29" t="s">
        <v>16</v>
      </c>
      <c r="H6936" s="29">
        <v>700</v>
      </c>
      <c r="I6936" s="29">
        <v>700</v>
      </c>
      <c r="J6936" s="32"/>
      <c r="K6936" s="32"/>
      <c r="L6936" s="14" t="s">
        <v>330</v>
      </c>
      <c r="M6936" s="36" t="str">
        <f t="shared" si="108"/>
        <v>19840101</v>
      </c>
    </row>
    <row r="6937" s="1" customFormat="1" ht="14.25" spans="1:13">
      <c r="A6937" s="2">
        <v>2886</v>
      </c>
      <c r="B6937" s="6" t="s">
        <v>6075</v>
      </c>
      <c r="C6937" s="25" t="s">
        <v>6301</v>
      </c>
      <c r="D6937" s="26" t="s">
        <v>6302</v>
      </c>
      <c r="E6937" s="5" t="s">
        <v>15</v>
      </c>
      <c r="F6937" s="5">
        <v>2020</v>
      </c>
      <c r="G6937" s="6" t="s">
        <v>16</v>
      </c>
      <c r="H6937" s="6">
        <v>200</v>
      </c>
      <c r="I6937" s="6">
        <v>200</v>
      </c>
      <c r="J6937" s="6"/>
      <c r="K6937" s="10"/>
      <c r="L6937" s="10">
        <v>20201118</v>
      </c>
      <c r="M6937" s="36" t="str">
        <f t="shared" si="108"/>
        <v>19840101</v>
      </c>
    </row>
    <row r="6938" s="1" customFormat="1" spans="1:13">
      <c r="A6938" s="2">
        <v>7142</v>
      </c>
      <c r="B6938" s="5" t="s">
        <v>13908</v>
      </c>
      <c r="C6938" s="5" t="s">
        <v>13943</v>
      </c>
      <c r="D6938" s="5" t="s">
        <v>13944</v>
      </c>
      <c r="E6938" s="5" t="s">
        <v>15</v>
      </c>
      <c r="F6938" s="5" t="s">
        <v>15</v>
      </c>
      <c r="G6938" s="14" t="s">
        <v>16</v>
      </c>
      <c r="H6938" s="17">
        <v>200</v>
      </c>
      <c r="I6938" s="17">
        <v>200</v>
      </c>
      <c r="J6938" s="5"/>
      <c r="K6938" s="10"/>
      <c r="L6938" s="10">
        <v>20201118</v>
      </c>
      <c r="M6938" s="36" t="str">
        <f t="shared" si="108"/>
        <v>19840103</v>
      </c>
    </row>
    <row r="6939" s="1" customFormat="1" spans="1:13">
      <c r="A6939" s="2">
        <v>2718</v>
      </c>
      <c r="B6939" s="32" t="s">
        <v>5602</v>
      </c>
      <c r="C6939" s="9" t="s">
        <v>5966</v>
      </c>
      <c r="D6939" s="9" t="s">
        <v>5967</v>
      </c>
      <c r="E6939" s="32">
        <v>2020</v>
      </c>
      <c r="F6939" s="32">
        <v>2020</v>
      </c>
      <c r="G6939" s="32" t="s">
        <v>16</v>
      </c>
      <c r="H6939" s="9">
        <v>200</v>
      </c>
      <c r="I6939" s="9">
        <v>200</v>
      </c>
      <c r="J6939" s="32"/>
      <c r="K6939" s="52"/>
      <c r="L6939" s="10">
        <v>20201118</v>
      </c>
      <c r="M6939" s="36" t="str">
        <f t="shared" si="108"/>
        <v>19840104</v>
      </c>
    </row>
    <row r="6940" s="1" customFormat="1" spans="1:13">
      <c r="A6940" s="2">
        <v>3232</v>
      </c>
      <c r="B6940" s="3" t="s">
        <v>6671</v>
      </c>
      <c r="C6940" s="9" t="s">
        <v>6969</v>
      </c>
      <c r="D6940" s="9" t="s">
        <v>6970</v>
      </c>
      <c r="E6940" s="3" t="s">
        <v>15</v>
      </c>
      <c r="F6940" s="3" t="s">
        <v>15</v>
      </c>
      <c r="G6940" s="6" t="s">
        <v>3359</v>
      </c>
      <c r="H6940" s="9">
        <v>200</v>
      </c>
      <c r="I6940" s="9">
        <v>200</v>
      </c>
      <c r="J6940" s="6"/>
      <c r="K6940" s="5"/>
      <c r="L6940" s="10">
        <v>20201118</v>
      </c>
      <c r="M6940" s="36" t="str">
        <f t="shared" si="108"/>
        <v>19840107</v>
      </c>
    </row>
    <row r="6941" s="1" customFormat="1" ht="14.25" spans="1:13">
      <c r="A6941" s="2">
        <v>5439</v>
      </c>
      <c r="B6941" s="33" t="s">
        <v>10535</v>
      </c>
      <c r="C6941" s="34" t="s">
        <v>10979</v>
      </c>
      <c r="D6941" s="34" t="s">
        <v>10980</v>
      </c>
      <c r="E6941" s="35">
        <v>2020</v>
      </c>
      <c r="F6941" s="35">
        <v>2020</v>
      </c>
      <c r="G6941" s="35" t="s">
        <v>16</v>
      </c>
      <c r="H6941" s="34">
        <v>200</v>
      </c>
      <c r="I6941" s="34">
        <v>200</v>
      </c>
      <c r="J6941" s="49"/>
      <c r="K6941" s="10"/>
      <c r="L6941" s="10">
        <v>20201118</v>
      </c>
      <c r="M6941" s="36" t="str">
        <f t="shared" si="108"/>
        <v>19840107</v>
      </c>
    </row>
    <row r="6942" s="1" customFormat="1" spans="1:13">
      <c r="A6942" s="2">
        <v>7317</v>
      </c>
      <c r="B6942" s="5" t="s">
        <v>13908</v>
      </c>
      <c r="C6942" s="5" t="s">
        <v>14270</v>
      </c>
      <c r="D6942" s="5" t="s">
        <v>14271</v>
      </c>
      <c r="E6942" s="5" t="s">
        <v>15</v>
      </c>
      <c r="F6942" s="5" t="s">
        <v>15</v>
      </c>
      <c r="G6942" s="14" t="s">
        <v>16</v>
      </c>
      <c r="H6942" s="17">
        <v>1000</v>
      </c>
      <c r="I6942" s="17">
        <v>1000</v>
      </c>
      <c r="J6942" s="5"/>
      <c r="K6942" s="10"/>
      <c r="L6942" s="10">
        <v>20201118</v>
      </c>
      <c r="M6942" s="36" t="str">
        <f t="shared" si="108"/>
        <v>19840110</v>
      </c>
    </row>
    <row r="6943" s="1" customFormat="1" spans="1:13">
      <c r="A6943" s="2">
        <v>2025</v>
      </c>
      <c r="B6943" s="5" t="s">
        <v>4189</v>
      </c>
      <c r="C6943" s="16" t="s">
        <v>4607</v>
      </c>
      <c r="D6943" s="16" t="s">
        <v>4608</v>
      </c>
      <c r="E6943" s="5" t="s">
        <v>15</v>
      </c>
      <c r="F6943" s="5" t="s">
        <v>15</v>
      </c>
      <c r="G6943" s="5" t="s">
        <v>3359</v>
      </c>
      <c r="H6943" s="16">
        <v>200</v>
      </c>
      <c r="I6943" s="16">
        <v>200</v>
      </c>
      <c r="J6943" s="5"/>
      <c r="K6943" s="10"/>
      <c r="L6943" s="10">
        <v>20201118</v>
      </c>
      <c r="M6943" s="36" t="str">
        <f t="shared" si="108"/>
        <v>19840111</v>
      </c>
    </row>
    <row r="6944" s="1" customFormat="1" spans="1:13">
      <c r="A6944" s="2">
        <v>1288</v>
      </c>
      <c r="B6944" s="5" t="s">
        <v>2469</v>
      </c>
      <c r="C6944" s="9" t="s">
        <v>3158</v>
      </c>
      <c r="D6944" s="9" t="s">
        <v>3159</v>
      </c>
      <c r="E6944" s="5">
        <v>2020</v>
      </c>
      <c r="F6944" s="5">
        <v>2020</v>
      </c>
      <c r="G6944" s="9" t="s">
        <v>2480</v>
      </c>
      <c r="H6944" s="9">
        <v>200</v>
      </c>
      <c r="I6944" s="9">
        <v>200</v>
      </c>
      <c r="J6944" s="5"/>
      <c r="K6944" s="5"/>
      <c r="L6944" s="10">
        <v>20201118</v>
      </c>
      <c r="M6944" s="36" t="str">
        <f t="shared" si="108"/>
        <v>19840114</v>
      </c>
    </row>
    <row r="6945" s="1" customFormat="1" spans="1:13">
      <c r="A6945" s="2">
        <v>2124</v>
      </c>
      <c r="B6945" s="5" t="s">
        <v>4189</v>
      </c>
      <c r="C6945" s="9" t="s">
        <v>4798</v>
      </c>
      <c r="D6945" s="9" t="s">
        <v>4799</v>
      </c>
      <c r="E6945" s="5" t="s">
        <v>15</v>
      </c>
      <c r="F6945" s="5" t="s">
        <v>15</v>
      </c>
      <c r="G6945" s="5" t="s">
        <v>3359</v>
      </c>
      <c r="H6945" s="16">
        <v>200</v>
      </c>
      <c r="I6945" s="16">
        <v>200</v>
      </c>
      <c r="J6945" s="5"/>
      <c r="K6945" s="10"/>
      <c r="L6945" s="10">
        <v>20201118</v>
      </c>
      <c r="M6945" s="36" t="str">
        <f t="shared" si="108"/>
        <v>19840119</v>
      </c>
    </row>
    <row r="6946" s="1" customFormat="1" spans="1:13">
      <c r="A6946" s="2">
        <v>7607</v>
      </c>
      <c r="B6946" s="5" t="s">
        <v>14402</v>
      </c>
      <c r="C6946" s="5" t="s">
        <v>14812</v>
      </c>
      <c r="D6946" s="5" t="s">
        <v>14813</v>
      </c>
      <c r="E6946" s="5">
        <v>2020</v>
      </c>
      <c r="F6946" s="5">
        <v>2020</v>
      </c>
      <c r="G6946" s="17" t="s">
        <v>16</v>
      </c>
      <c r="H6946" s="5">
        <v>500</v>
      </c>
      <c r="I6946" s="5">
        <v>500</v>
      </c>
      <c r="J6946" s="5"/>
      <c r="K6946" s="10"/>
      <c r="L6946" s="10">
        <v>20201118</v>
      </c>
      <c r="M6946" s="36" t="str">
        <f t="shared" si="108"/>
        <v>19840120</v>
      </c>
    </row>
    <row r="6947" s="1" customFormat="1" spans="1:13">
      <c r="A6947" s="2">
        <v>8134</v>
      </c>
      <c r="B6947" s="5" t="s">
        <v>15406</v>
      </c>
      <c r="C6947" s="6" t="s">
        <v>15461</v>
      </c>
      <c r="D6947" s="6" t="s">
        <v>15462</v>
      </c>
      <c r="E6947" s="5" t="s">
        <v>15</v>
      </c>
      <c r="F6947" s="5">
        <v>2020</v>
      </c>
      <c r="G6947" s="14" t="s">
        <v>16</v>
      </c>
      <c r="H6947" s="6">
        <v>200</v>
      </c>
      <c r="I6947" s="6">
        <v>200</v>
      </c>
      <c r="J6947" s="5"/>
      <c r="K6947" s="10"/>
      <c r="L6947" s="10">
        <v>20201118</v>
      </c>
      <c r="M6947" s="36" t="str">
        <f t="shared" si="108"/>
        <v>19840122</v>
      </c>
    </row>
    <row r="6948" s="1" customFormat="1" spans="1:13">
      <c r="A6948" s="2">
        <v>5175</v>
      </c>
      <c r="B6948" s="6" t="s">
        <v>10242</v>
      </c>
      <c r="C6948" s="9" t="s">
        <v>10474</v>
      </c>
      <c r="D6948" s="9" t="s">
        <v>10475</v>
      </c>
      <c r="E6948" s="5" t="s">
        <v>10250</v>
      </c>
      <c r="F6948" s="5">
        <v>2020</v>
      </c>
      <c r="G6948" s="6" t="s">
        <v>16</v>
      </c>
      <c r="H6948" s="6">
        <v>1000</v>
      </c>
      <c r="I6948" s="6">
        <v>1000</v>
      </c>
      <c r="J6948" s="6"/>
      <c r="K6948" s="5"/>
      <c r="L6948" s="10">
        <v>20201118</v>
      </c>
      <c r="M6948" s="36" t="str">
        <f t="shared" si="108"/>
        <v>19840124</v>
      </c>
    </row>
    <row r="6949" s="1" customFormat="1" spans="1:13">
      <c r="A6949" s="2">
        <v>3235</v>
      </c>
      <c r="B6949" s="3" t="s">
        <v>6671</v>
      </c>
      <c r="C6949" s="9" t="s">
        <v>6974</v>
      </c>
      <c r="D6949" s="9" t="s">
        <v>6975</v>
      </c>
      <c r="E6949" s="3" t="s">
        <v>15</v>
      </c>
      <c r="F6949" s="3" t="s">
        <v>15</v>
      </c>
      <c r="G6949" s="6" t="s">
        <v>3359</v>
      </c>
      <c r="H6949" s="9">
        <v>200</v>
      </c>
      <c r="I6949" s="9">
        <v>200</v>
      </c>
      <c r="J6949" s="6"/>
      <c r="K6949" s="5"/>
      <c r="L6949" s="10">
        <v>20201118</v>
      </c>
      <c r="M6949" s="36" t="str">
        <f t="shared" si="108"/>
        <v>19840128</v>
      </c>
    </row>
    <row r="6950" s="1" customFormat="1" spans="1:13">
      <c r="A6950" s="2">
        <v>4597</v>
      </c>
      <c r="B6950" s="6" t="s">
        <v>9015</v>
      </c>
      <c r="C6950" s="6" t="s">
        <v>9366</v>
      </c>
      <c r="D6950" s="6" t="s">
        <v>9367</v>
      </c>
      <c r="E6950" s="6">
        <v>2020</v>
      </c>
      <c r="F6950" s="6">
        <v>2020</v>
      </c>
      <c r="G6950" s="6" t="s">
        <v>16</v>
      </c>
      <c r="H6950" s="6">
        <v>200</v>
      </c>
      <c r="I6950" s="6">
        <v>200</v>
      </c>
      <c r="J6950" s="6"/>
      <c r="K6950" s="6"/>
      <c r="L6950" s="10">
        <v>20201118</v>
      </c>
      <c r="M6950" s="36" t="str">
        <f t="shared" si="108"/>
        <v>19840202</v>
      </c>
    </row>
    <row r="6951" s="1" customFormat="1" ht="14.25" spans="1:13">
      <c r="A6951" s="2">
        <v>7649</v>
      </c>
      <c r="B6951" s="5" t="s">
        <v>14875</v>
      </c>
      <c r="C6951" s="51" t="s">
        <v>14889</v>
      </c>
      <c r="D6951" s="24" t="str">
        <f>"152326198402036884"</f>
        <v>152326198402036884</v>
      </c>
      <c r="E6951" s="6" t="s">
        <v>15</v>
      </c>
      <c r="F6951" s="6">
        <v>2020</v>
      </c>
      <c r="G6951" s="24" t="s">
        <v>14877</v>
      </c>
      <c r="H6951" s="6">
        <v>200</v>
      </c>
      <c r="I6951" s="6">
        <v>200</v>
      </c>
      <c r="J6951" s="6"/>
      <c r="K6951" s="10"/>
      <c r="L6951" s="10">
        <v>20201118</v>
      </c>
      <c r="M6951" s="36" t="str">
        <f t="shared" si="108"/>
        <v>19840203</v>
      </c>
    </row>
    <row r="6952" s="1" customFormat="1" spans="1:13">
      <c r="A6952" s="2">
        <v>4374</v>
      </c>
      <c r="B6952" s="9" t="s">
        <v>8515</v>
      </c>
      <c r="C6952" s="9" t="s">
        <v>8937</v>
      </c>
      <c r="D6952" s="9" t="s">
        <v>8938</v>
      </c>
      <c r="E6952" s="5" t="s">
        <v>15</v>
      </c>
      <c r="F6952" s="5">
        <v>2020</v>
      </c>
      <c r="G6952" s="9" t="s">
        <v>2480</v>
      </c>
      <c r="H6952" s="9">
        <v>200</v>
      </c>
      <c r="I6952" s="9">
        <v>200</v>
      </c>
      <c r="J6952" s="9"/>
      <c r="K6952" s="9"/>
      <c r="L6952" s="10">
        <v>20201118</v>
      </c>
      <c r="M6952" s="36" t="str">
        <f t="shared" si="108"/>
        <v>19840205</v>
      </c>
    </row>
    <row r="6953" s="1" customFormat="1" spans="1:13">
      <c r="A6953" s="2">
        <v>2402</v>
      </c>
      <c r="B6953" s="5" t="s">
        <v>5328</v>
      </c>
      <c r="C6953" s="16" t="s">
        <v>5345</v>
      </c>
      <c r="D6953" s="16" t="s">
        <v>5346</v>
      </c>
      <c r="E6953" s="5" t="s">
        <v>15</v>
      </c>
      <c r="F6953" s="5" t="s">
        <v>15</v>
      </c>
      <c r="G6953" s="14" t="s">
        <v>16</v>
      </c>
      <c r="H6953" s="6">
        <v>200</v>
      </c>
      <c r="I6953" s="6">
        <v>200</v>
      </c>
      <c r="J6953" s="5"/>
      <c r="K6953" s="5"/>
      <c r="L6953" s="10">
        <v>20201118</v>
      </c>
      <c r="M6953" s="36" t="str">
        <f t="shared" si="108"/>
        <v>19840206</v>
      </c>
    </row>
    <row r="6954" s="1" customFormat="1" spans="1:13">
      <c r="A6954" s="2">
        <v>6814</v>
      </c>
      <c r="B6954" s="5" t="s">
        <v>13533</v>
      </c>
      <c r="C6954" s="32" t="s">
        <v>13566</v>
      </c>
      <c r="D6954" s="32" t="str">
        <f>"152326198402077125"</f>
        <v>152326198402077125</v>
      </c>
      <c r="E6954" s="5">
        <v>2020</v>
      </c>
      <c r="F6954" s="5">
        <v>2020</v>
      </c>
      <c r="G6954" s="9" t="s">
        <v>2480</v>
      </c>
      <c r="H6954" s="32">
        <v>200</v>
      </c>
      <c r="I6954" s="32">
        <v>200</v>
      </c>
      <c r="J6954" s="32"/>
      <c r="K6954" s="10"/>
      <c r="L6954" s="10">
        <v>20201118</v>
      </c>
      <c r="M6954" s="36" t="str">
        <f t="shared" si="108"/>
        <v>19840207</v>
      </c>
    </row>
    <row r="6955" s="1" customFormat="1" spans="1:13">
      <c r="A6955" s="2">
        <v>7446</v>
      </c>
      <c r="B6955" s="5" t="s">
        <v>14402</v>
      </c>
      <c r="C6955" s="5" t="s">
        <v>14513</v>
      </c>
      <c r="D6955" s="5" t="s">
        <v>14514</v>
      </c>
      <c r="E6955" s="5">
        <v>2020</v>
      </c>
      <c r="F6955" s="5">
        <v>2020</v>
      </c>
      <c r="G6955" s="17" t="s">
        <v>16</v>
      </c>
      <c r="H6955" s="5">
        <v>300</v>
      </c>
      <c r="I6955" s="5">
        <v>300</v>
      </c>
      <c r="J6955" s="5"/>
      <c r="K6955" s="10"/>
      <c r="L6955" s="10">
        <v>20201118</v>
      </c>
      <c r="M6955" s="36" t="str">
        <f t="shared" si="108"/>
        <v>19840207</v>
      </c>
    </row>
    <row r="6956" s="1" customFormat="1" spans="1:13">
      <c r="A6956" s="2">
        <v>2508</v>
      </c>
      <c r="B6956" s="5" t="s">
        <v>5328</v>
      </c>
      <c r="C6956" s="16" t="s">
        <v>5550</v>
      </c>
      <c r="D6956" s="16" t="s">
        <v>5551</v>
      </c>
      <c r="E6956" s="5" t="s">
        <v>15</v>
      </c>
      <c r="F6956" s="5" t="s">
        <v>15</v>
      </c>
      <c r="G6956" s="14" t="s">
        <v>16</v>
      </c>
      <c r="H6956" s="6">
        <v>200</v>
      </c>
      <c r="I6956" s="6">
        <v>200</v>
      </c>
      <c r="J6956" s="5"/>
      <c r="K6956" s="5"/>
      <c r="L6956" s="10">
        <v>20201118</v>
      </c>
      <c r="M6956" s="36" t="str">
        <f t="shared" si="108"/>
        <v>19840210</v>
      </c>
    </row>
    <row r="6957" s="1" customFormat="1" spans="1:13">
      <c r="A6957" s="2">
        <v>7604</v>
      </c>
      <c r="B6957" s="5" t="s">
        <v>14402</v>
      </c>
      <c r="C6957" s="5" t="s">
        <v>14807</v>
      </c>
      <c r="D6957" s="5" t="s">
        <v>14808</v>
      </c>
      <c r="E6957" s="5">
        <v>2020</v>
      </c>
      <c r="F6957" s="5">
        <v>2020</v>
      </c>
      <c r="G6957" s="17" t="s">
        <v>16</v>
      </c>
      <c r="H6957" s="5">
        <v>200</v>
      </c>
      <c r="I6957" s="5">
        <v>200</v>
      </c>
      <c r="J6957" s="5"/>
      <c r="K6957" s="10"/>
      <c r="L6957" s="10">
        <v>20201118</v>
      </c>
      <c r="M6957" s="36" t="str">
        <f t="shared" si="108"/>
        <v>19840210</v>
      </c>
    </row>
    <row r="6958" s="1" customFormat="1" ht="14.25" spans="1:13">
      <c r="A6958" s="2">
        <v>5440</v>
      </c>
      <c r="B6958" s="33" t="s">
        <v>10535</v>
      </c>
      <c r="C6958" s="34" t="s">
        <v>10981</v>
      </c>
      <c r="D6958" s="34" t="s">
        <v>10982</v>
      </c>
      <c r="E6958" s="35">
        <v>2020</v>
      </c>
      <c r="F6958" s="35">
        <v>2020</v>
      </c>
      <c r="G6958" s="35" t="s">
        <v>16</v>
      </c>
      <c r="H6958" s="34">
        <v>200</v>
      </c>
      <c r="I6958" s="34">
        <v>200</v>
      </c>
      <c r="J6958" s="49"/>
      <c r="K6958" s="10"/>
      <c r="L6958" s="10">
        <v>20201118</v>
      </c>
      <c r="M6958" s="36" t="str">
        <f t="shared" si="108"/>
        <v>19840211</v>
      </c>
    </row>
    <row r="6959" s="1" customFormat="1" spans="1:13">
      <c r="A6959" s="2">
        <v>3293</v>
      </c>
      <c r="B6959" s="5" t="s">
        <v>3375</v>
      </c>
      <c r="C6959" s="6" t="s">
        <v>7067</v>
      </c>
      <c r="D6959" s="6" t="str">
        <f>"152326198402126898"</f>
        <v>152326198402126898</v>
      </c>
      <c r="E6959" s="5" t="s">
        <v>15</v>
      </c>
      <c r="F6959" s="5">
        <v>2020</v>
      </c>
      <c r="G6959" s="14" t="s">
        <v>16</v>
      </c>
      <c r="H6959" s="17">
        <v>200</v>
      </c>
      <c r="I6959" s="17">
        <v>200</v>
      </c>
      <c r="J6959" s="6"/>
      <c r="K6959" s="10"/>
      <c r="L6959" s="10">
        <v>20201118</v>
      </c>
      <c r="M6959" s="36" t="str">
        <f t="shared" si="108"/>
        <v>19840212</v>
      </c>
    </row>
    <row r="6960" s="1" customFormat="1" spans="1:13">
      <c r="A6960" s="2">
        <v>5791</v>
      </c>
      <c r="B6960" s="30" t="s">
        <v>11090</v>
      </c>
      <c r="C6960" s="30" t="s">
        <v>11652</v>
      </c>
      <c r="D6960" s="30" t="s">
        <v>11653</v>
      </c>
      <c r="E6960" s="5" t="s">
        <v>15</v>
      </c>
      <c r="F6960" s="5" t="s">
        <v>10250</v>
      </c>
      <c r="G6960" s="6" t="s">
        <v>16</v>
      </c>
      <c r="H6960" s="32">
        <v>200</v>
      </c>
      <c r="I6960" s="32">
        <v>200</v>
      </c>
      <c r="J6960" s="6"/>
      <c r="K6960" s="48"/>
      <c r="L6960" s="10">
        <v>20201118</v>
      </c>
      <c r="M6960" s="36" t="str">
        <f t="shared" si="108"/>
        <v>19840213</v>
      </c>
    </row>
    <row r="6961" s="1" customFormat="1" spans="1:13">
      <c r="A6961" s="2">
        <v>7854</v>
      </c>
      <c r="B6961" s="5" t="s">
        <v>15086</v>
      </c>
      <c r="C6961" s="6" t="s">
        <v>15125</v>
      </c>
      <c r="D6961" s="6" t="str">
        <f>"152326198402146960"</f>
        <v>152326198402146960</v>
      </c>
      <c r="E6961" s="5" t="s">
        <v>15</v>
      </c>
      <c r="F6961" s="5">
        <v>2020</v>
      </c>
      <c r="G6961" s="5" t="s">
        <v>16</v>
      </c>
      <c r="H6961" s="5">
        <v>200</v>
      </c>
      <c r="I6961" s="5">
        <v>200</v>
      </c>
      <c r="J6961" s="5"/>
      <c r="K6961" s="5"/>
      <c r="L6961" s="10">
        <v>20201118</v>
      </c>
      <c r="M6961" s="36" t="str">
        <f t="shared" si="108"/>
        <v>19840214</v>
      </c>
    </row>
    <row r="6962" s="1" customFormat="1" ht="14.25" spans="1:13">
      <c r="A6962" s="2">
        <v>5441</v>
      </c>
      <c r="B6962" s="33" t="s">
        <v>10535</v>
      </c>
      <c r="C6962" s="34" t="s">
        <v>5133</v>
      </c>
      <c r="D6962" s="34" t="s">
        <v>10983</v>
      </c>
      <c r="E6962" s="35">
        <v>2020</v>
      </c>
      <c r="F6962" s="35">
        <v>2020</v>
      </c>
      <c r="G6962" s="35" t="s">
        <v>16</v>
      </c>
      <c r="H6962" s="34">
        <v>200</v>
      </c>
      <c r="I6962" s="34">
        <v>200</v>
      </c>
      <c r="J6962" s="49"/>
      <c r="K6962" s="10"/>
      <c r="L6962" s="10">
        <v>20201118</v>
      </c>
      <c r="M6962" s="36" t="str">
        <f t="shared" si="108"/>
        <v>19840215</v>
      </c>
    </row>
    <row r="6963" s="1" customFormat="1" spans="1:13">
      <c r="A6963" s="2">
        <v>3553</v>
      </c>
      <c r="B6963" s="5" t="s">
        <v>3375</v>
      </c>
      <c r="C6963" s="5" t="s">
        <v>7376</v>
      </c>
      <c r="D6963" s="296" t="s">
        <v>7377</v>
      </c>
      <c r="E6963" s="5" t="s">
        <v>15</v>
      </c>
      <c r="F6963" s="5">
        <v>2020</v>
      </c>
      <c r="G6963" s="14" t="s">
        <v>16</v>
      </c>
      <c r="H6963" s="5">
        <v>300</v>
      </c>
      <c r="I6963" s="5">
        <v>300</v>
      </c>
      <c r="J6963" s="5"/>
      <c r="K6963" s="10"/>
      <c r="L6963" s="10">
        <v>20201118</v>
      </c>
      <c r="M6963" s="36" t="str">
        <f t="shared" si="108"/>
        <v>19840217</v>
      </c>
    </row>
    <row r="6964" s="1" customFormat="1" ht="14.25" spans="1:13">
      <c r="A6964" s="2">
        <v>5964</v>
      </c>
      <c r="B6964" s="30" t="s">
        <v>11090</v>
      </c>
      <c r="C6964" s="32" t="s">
        <v>11975</v>
      </c>
      <c r="D6964" s="12" t="s">
        <v>11976</v>
      </c>
      <c r="E6964" s="5" t="s">
        <v>15</v>
      </c>
      <c r="F6964" s="5" t="s">
        <v>10250</v>
      </c>
      <c r="G6964" s="6" t="s">
        <v>16</v>
      </c>
      <c r="H6964" s="32">
        <v>200</v>
      </c>
      <c r="I6964" s="32">
        <v>200</v>
      </c>
      <c r="J6964" s="6"/>
      <c r="K6964" s="48"/>
      <c r="L6964" s="10">
        <v>20201118</v>
      </c>
      <c r="M6964" s="36" t="str">
        <f t="shared" si="108"/>
        <v>19840217</v>
      </c>
    </row>
    <row r="6965" s="1" customFormat="1" spans="1:13">
      <c r="A6965" s="2">
        <v>6287</v>
      </c>
      <c r="B6965" s="5" t="s">
        <v>12263</v>
      </c>
      <c r="C6965" s="5" t="s">
        <v>212</v>
      </c>
      <c r="D6965" s="5" t="s">
        <v>12595</v>
      </c>
      <c r="E6965" s="5" t="s">
        <v>10250</v>
      </c>
      <c r="F6965" s="5">
        <v>2020</v>
      </c>
      <c r="G6965" s="17" t="s">
        <v>3359</v>
      </c>
      <c r="H6965" s="5">
        <v>200</v>
      </c>
      <c r="I6965" s="5">
        <v>200</v>
      </c>
      <c r="J6965" s="5"/>
      <c r="K6965" s="5"/>
      <c r="L6965" s="10">
        <v>20201118</v>
      </c>
      <c r="M6965" s="36" t="str">
        <f t="shared" si="108"/>
        <v>19840217</v>
      </c>
    </row>
    <row r="6966" s="1" customFormat="1" spans="1:13">
      <c r="A6966" s="2">
        <v>6761</v>
      </c>
      <c r="B6966" s="5" t="s">
        <v>13027</v>
      </c>
      <c r="C6966" s="15" t="s">
        <v>13486</v>
      </c>
      <c r="D6966" s="15" t="s">
        <v>13487</v>
      </c>
      <c r="E6966" s="5">
        <v>2020</v>
      </c>
      <c r="F6966" s="5">
        <v>2020</v>
      </c>
      <c r="G6966" s="14" t="s">
        <v>16</v>
      </c>
      <c r="H6966" s="15">
        <v>200</v>
      </c>
      <c r="I6966" s="15">
        <v>200</v>
      </c>
      <c r="J6966" s="5"/>
      <c r="K6966" s="10"/>
      <c r="L6966" s="10">
        <v>20201118</v>
      </c>
      <c r="M6966" s="36" t="str">
        <f t="shared" si="108"/>
        <v>19840217</v>
      </c>
    </row>
    <row r="6967" s="1" customFormat="1" spans="1:13">
      <c r="A6967" s="2">
        <v>6810</v>
      </c>
      <c r="B6967" s="5" t="s">
        <v>13533</v>
      </c>
      <c r="C6967" s="32" t="s">
        <v>13562</v>
      </c>
      <c r="D6967" s="32" t="str">
        <f>"152326198402177118"</f>
        <v>152326198402177118</v>
      </c>
      <c r="E6967" s="5">
        <v>2020</v>
      </c>
      <c r="F6967" s="5">
        <v>2020</v>
      </c>
      <c r="G6967" s="9" t="s">
        <v>2480</v>
      </c>
      <c r="H6967" s="32">
        <v>200</v>
      </c>
      <c r="I6967" s="32">
        <v>200</v>
      </c>
      <c r="J6967" s="32"/>
      <c r="K6967" s="10"/>
      <c r="L6967" s="10">
        <v>20201118</v>
      </c>
      <c r="M6967" s="36" t="str">
        <f t="shared" si="108"/>
        <v>19840217</v>
      </c>
    </row>
    <row r="6968" s="1" customFormat="1" spans="1:13">
      <c r="A6968" s="2">
        <v>5517</v>
      </c>
      <c r="B6968" s="30" t="s">
        <v>11090</v>
      </c>
      <c r="C6968" s="30" t="s">
        <v>11129</v>
      </c>
      <c r="D6968" s="30" t="s">
        <v>11130</v>
      </c>
      <c r="E6968" s="5" t="s">
        <v>15</v>
      </c>
      <c r="F6968" s="5" t="s">
        <v>10250</v>
      </c>
      <c r="G6968" s="6" t="s">
        <v>16</v>
      </c>
      <c r="H6968" s="32">
        <v>500</v>
      </c>
      <c r="I6968" s="32">
        <v>500</v>
      </c>
      <c r="J6968" s="6"/>
      <c r="K6968" s="48"/>
      <c r="L6968" s="10">
        <v>20201118</v>
      </c>
      <c r="M6968" s="36" t="str">
        <f t="shared" si="108"/>
        <v>19840218</v>
      </c>
    </row>
    <row r="6969" s="1" customFormat="1" spans="1:13">
      <c r="A6969" s="2">
        <v>4147</v>
      </c>
      <c r="B6969" s="5" t="s">
        <v>7412</v>
      </c>
      <c r="C6969" s="5" t="s">
        <v>8500</v>
      </c>
      <c r="D6969" s="296" t="s">
        <v>8501</v>
      </c>
      <c r="E6969" s="6">
        <v>2020</v>
      </c>
      <c r="F6969" s="6">
        <v>2020</v>
      </c>
      <c r="G6969" s="5" t="s">
        <v>189</v>
      </c>
      <c r="H6969" s="5">
        <v>500</v>
      </c>
      <c r="I6969" s="5">
        <v>500</v>
      </c>
      <c r="J6969" s="5"/>
      <c r="K6969" s="5"/>
      <c r="L6969" s="10">
        <v>20201118</v>
      </c>
      <c r="M6969" s="36" t="str">
        <f t="shared" si="108"/>
        <v>19840220</v>
      </c>
    </row>
    <row r="6970" s="1" customFormat="1" spans="1:13">
      <c r="A6970" s="2">
        <v>6414</v>
      </c>
      <c r="B6970" s="5" t="s">
        <v>12263</v>
      </c>
      <c r="C6970" s="5" t="s">
        <v>12835</v>
      </c>
      <c r="D6970" s="5" t="s">
        <v>12836</v>
      </c>
      <c r="E6970" s="5" t="s">
        <v>10250</v>
      </c>
      <c r="F6970" s="5">
        <v>2020</v>
      </c>
      <c r="G6970" s="17" t="s">
        <v>3359</v>
      </c>
      <c r="H6970" s="5" t="s">
        <v>2295</v>
      </c>
      <c r="I6970" s="5">
        <v>500</v>
      </c>
      <c r="J6970" s="5"/>
      <c r="K6970" s="5"/>
      <c r="L6970" s="10">
        <v>20201118</v>
      </c>
      <c r="M6970" s="36" t="str">
        <f t="shared" si="108"/>
        <v>19840224</v>
      </c>
    </row>
    <row r="6971" s="1" customFormat="1" spans="1:13">
      <c r="A6971" s="2">
        <v>6349</v>
      </c>
      <c r="B6971" s="5" t="s">
        <v>12263</v>
      </c>
      <c r="C6971" s="5" t="s">
        <v>12714</v>
      </c>
      <c r="D6971" s="5" t="s">
        <v>12715</v>
      </c>
      <c r="E6971" s="5" t="s">
        <v>10250</v>
      </c>
      <c r="F6971" s="5">
        <v>2020</v>
      </c>
      <c r="G6971" s="17" t="s">
        <v>3359</v>
      </c>
      <c r="H6971" s="5" t="s">
        <v>2295</v>
      </c>
      <c r="I6971" s="5">
        <v>500</v>
      </c>
      <c r="J6971" s="5"/>
      <c r="K6971" s="5"/>
      <c r="L6971" s="10">
        <v>20201118</v>
      </c>
      <c r="M6971" s="36" t="str">
        <f t="shared" si="108"/>
        <v>19840226</v>
      </c>
    </row>
    <row r="6972" s="1" customFormat="1" ht="14.25" spans="1:13">
      <c r="A6972" s="2">
        <v>2973</v>
      </c>
      <c r="B6972" s="6" t="s">
        <v>6075</v>
      </c>
      <c r="C6972" s="25" t="s">
        <v>6471</v>
      </c>
      <c r="D6972" s="26" t="s">
        <v>6472</v>
      </c>
      <c r="E6972" s="5" t="s">
        <v>15</v>
      </c>
      <c r="F6972" s="5">
        <v>2020</v>
      </c>
      <c r="G6972" s="6" t="s">
        <v>16</v>
      </c>
      <c r="H6972" s="6">
        <v>200</v>
      </c>
      <c r="I6972" s="6">
        <v>200</v>
      </c>
      <c r="J6972" s="6"/>
      <c r="K6972" s="10"/>
      <c r="L6972" s="10">
        <v>20201118</v>
      </c>
      <c r="M6972" s="36" t="str">
        <f t="shared" si="108"/>
        <v>19840227</v>
      </c>
    </row>
    <row r="6973" s="1" customFormat="1" spans="1:13">
      <c r="A6973" s="2">
        <v>2019</v>
      </c>
      <c r="B6973" s="5" t="s">
        <v>4189</v>
      </c>
      <c r="C6973" s="16" t="s">
        <v>4595</v>
      </c>
      <c r="D6973" s="16" t="s">
        <v>4596</v>
      </c>
      <c r="E6973" s="5" t="s">
        <v>15</v>
      </c>
      <c r="F6973" s="5" t="s">
        <v>15</v>
      </c>
      <c r="G6973" s="5" t="s">
        <v>3359</v>
      </c>
      <c r="H6973" s="16">
        <v>200</v>
      </c>
      <c r="I6973" s="16">
        <v>200</v>
      </c>
      <c r="J6973" s="5"/>
      <c r="K6973" s="10"/>
      <c r="L6973" s="10">
        <v>20201118</v>
      </c>
      <c r="M6973" s="36" t="str">
        <f t="shared" si="108"/>
        <v>19840228</v>
      </c>
    </row>
    <row r="6974" s="1" customFormat="1" spans="1:13">
      <c r="A6974" s="2">
        <v>7621</v>
      </c>
      <c r="B6974" s="5" t="s">
        <v>14402</v>
      </c>
      <c r="C6974" s="5" t="s">
        <v>14839</v>
      </c>
      <c r="D6974" s="5" t="s">
        <v>14840</v>
      </c>
      <c r="E6974" s="5">
        <v>2020</v>
      </c>
      <c r="F6974" s="5">
        <v>2020</v>
      </c>
      <c r="G6974" s="17" t="s">
        <v>16</v>
      </c>
      <c r="H6974" s="5">
        <v>200</v>
      </c>
      <c r="I6974" s="5">
        <v>200</v>
      </c>
      <c r="J6974" s="5"/>
      <c r="K6974" s="10"/>
      <c r="L6974" s="10">
        <v>20201118</v>
      </c>
      <c r="M6974" s="36" t="str">
        <f t="shared" si="108"/>
        <v>19840304</v>
      </c>
    </row>
    <row r="6975" s="1" customFormat="1" spans="1:13">
      <c r="A6975" s="2">
        <v>4791</v>
      </c>
      <c r="B6975" s="6" t="s">
        <v>9015</v>
      </c>
      <c r="C6975" s="6" t="s">
        <v>9732</v>
      </c>
      <c r="D6975" s="6" t="s">
        <v>9733</v>
      </c>
      <c r="E6975" s="6">
        <v>2020</v>
      </c>
      <c r="F6975" s="6">
        <v>2020</v>
      </c>
      <c r="G6975" s="6" t="s">
        <v>16</v>
      </c>
      <c r="H6975" s="6">
        <v>200</v>
      </c>
      <c r="I6975" s="6">
        <v>200</v>
      </c>
      <c r="J6975" s="6"/>
      <c r="K6975" s="6"/>
      <c r="L6975" s="10">
        <v>20201118</v>
      </c>
      <c r="M6975" s="36" t="str">
        <f t="shared" si="108"/>
        <v>19840306</v>
      </c>
    </row>
    <row r="6976" s="1" customFormat="1" spans="1:13">
      <c r="A6976" s="2">
        <v>1289</v>
      </c>
      <c r="B6976" s="5" t="s">
        <v>2469</v>
      </c>
      <c r="C6976" s="9" t="s">
        <v>1438</v>
      </c>
      <c r="D6976" s="9" t="s">
        <v>3160</v>
      </c>
      <c r="E6976" s="5">
        <v>2020</v>
      </c>
      <c r="F6976" s="5">
        <v>2020</v>
      </c>
      <c r="G6976" s="9" t="s">
        <v>2480</v>
      </c>
      <c r="H6976" s="9">
        <v>200</v>
      </c>
      <c r="I6976" s="9">
        <v>200</v>
      </c>
      <c r="J6976" s="5"/>
      <c r="K6976" s="5"/>
      <c r="L6976" s="10">
        <v>20201118</v>
      </c>
      <c r="M6976" s="36" t="str">
        <f t="shared" si="108"/>
        <v>19840307</v>
      </c>
    </row>
    <row r="6977" s="1" customFormat="1" spans="1:13">
      <c r="A6977" s="2">
        <v>7860</v>
      </c>
      <c r="B6977" s="5" t="s">
        <v>15086</v>
      </c>
      <c r="C6977" s="6" t="s">
        <v>15131</v>
      </c>
      <c r="D6977" s="6" t="str">
        <f>"152326198403166883"</f>
        <v>152326198403166883</v>
      </c>
      <c r="E6977" s="5" t="s">
        <v>15</v>
      </c>
      <c r="F6977" s="5">
        <v>2020</v>
      </c>
      <c r="G6977" s="5" t="s">
        <v>16</v>
      </c>
      <c r="H6977" s="5">
        <v>200</v>
      </c>
      <c r="I6977" s="5">
        <v>200</v>
      </c>
      <c r="J6977" s="5"/>
      <c r="K6977" s="5"/>
      <c r="L6977" s="10">
        <v>20201118</v>
      </c>
      <c r="M6977" s="36" t="str">
        <f t="shared" si="108"/>
        <v>19840316</v>
      </c>
    </row>
    <row r="6978" s="1" customFormat="1" spans="1:13">
      <c r="A6978" s="2">
        <v>2719</v>
      </c>
      <c r="B6978" s="32" t="s">
        <v>5602</v>
      </c>
      <c r="C6978" s="9" t="s">
        <v>5968</v>
      </c>
      <c r="D6978" s="9" t="s">
        <v>5969</v>
      </c>
      <c r="E6978" s="32">
        <v>2020</v>
      </c>
      <c r="F6978" s="32">
        <v>2020</v>
      </c>
      <c r="G6978" s="32" t="s">
        <v>16</v>
      </c>
      <c r="H6978" s="9">
        <v>200</v>
      </c>
      <c r="I6978" s="9">
        <v>200</v>
      </c>
      <c r="J6978" s="32" t="s">
        <v>5625</v>
      </c>
      <c r="K6978" s="52"/>
      <c r="L6978" s="10">
        <v>20201118</v>
      </c>
      <c r="M6978" s="36" t="str">
        <f t="shared" ref="M6978:M7041" si="109">MID(D6978,7,8)</f>
        <v>19840317</v>
      </c>
    </row>
    <row r="6979" s="1" customFormat="1" spans="1:13">
      <c r="A6979" s="2">
        <v>892</v>
      </c>
      <c r="B6979" s="29" t="s">
        <v>1040</v>
      </c>
      <c r="C6979" s="6" t="s">
        <v>2323</v>
      </c>
      <c r="D6979" s="6" t="s">
        <v>2324</v>
      </c>
      <c r="E6979" s="30">
        <v>2020</v>
      </c>
      <c r="F6979" s="30">
        <v>2020</v>
      </c>
      <c r="G6979" s="29" t="s">
        <v>16</v>
      </c>
      <c r="H6979" s="29">
        <v>200</v>
      </c>
      <c r="I6979" s="29">
        <v>200</v>
      </c>
      <c r="J6979" s="32"/>
      <c r="K6979" s="32"/>
      <c r="L6979" s="14" t="s">
        <v>330</v>
      </c>
      <c r="M6979" s="36" t="str">
        <f t="shared" si="109"/>
        <v>19840318</v>
      </c>
    </row>
    <row r="6980" s="1" customFormat="1" ht="14.25" spans="1:13">
      <c r="A6980" s="2">
        <v>6001</v>
      </c>
      <c r="B6980" s="30" t="s">
        <v>11090</v>
      </c>
      <c r="C6980" s="32" t="s">
        <v>12045</v>
      </c>
      <c r="D6980" s="12" t="s">
        <v>12046</v>
      </c>
      <c r="E6980" s="5" t="s">
        <v>15</v>
      </c>
      <c r="F6980" s="5" t="s">
        <v>10250</v>
      </c>
      <c r="G6980" s="6" t="s">
        <v>16</v>
      </c>
      <c r="H6980" s="32">
        <v>200</v>
      </c>
      <c r="I6980" s="32">
        <v>200</v>
      </c>
      <c r="J6980" s="5"/>
      <c r="K6980" s="48"/>
      <c r="L6980" s="10">
        <v>20201118</v>
      </c>
      <c r="M6980" s="36" t="str">
        <f t="shared" si="109"/>
        <v>19840319</v>
      </c>
    </row>
    <row r="6981" s="1" customFormat="1" spans="1:13">
      <c r="A6981" s="2">
        <v>5054</v>
      </c>
      <c r="B6981" s="6" t="s">
        <v>10242</v>
      </c>
      <c r="C6981" s="9" t="s">
        <v>10243</v>
      </c>
      <c r="D6981" s="9" t="s">
        <v>10244</v>
      </c>
      <c r="E6981" s="5" t="s">
        <v>10245</v>
      </c>
      <c r="F6981" s="5">
        <v>2020</v>
      </c>
      <c r="G6981" s="6" t="s">
        <v>16</v>
      </c>
      <c r="H6981" s="6">
        <v>200</v>
      </c>
      <c r="I6981" s="6">
        <v>200</v>
      </c>
      <c r="J6981" s="6"/>
      <c r="K6981" s="5"/>
      <c r="L6981" s="10">
        <v>20201118</v>
      </c>
      <c r="M6981" s="36" t="str">
        <f t="shared" si="109"/>
        <v>19840320</v>
      </c>
    </row>
    <row r="6982" s="1" customFormat="1" spans="1:13">
      <c r="A6982" s="2">
        <v>7856</v>
      </c>
      <c r="B6982" s="5" t="s">
        <v>15086</v>
      </c>
      <c r="C6982" s="6" t="s">
        <v>15127</v>
      </c>
      <c r="D6982" s="6" t="s">
        <v>15128</v>
      </c>
      <c r="E6982" s="5" t="s">
        <v>15</v>
      </c>
      <c r="F6982" s="5">
        <v>2020</v>
      </c>
      <c r="G6982" s="5" t="s">
        <v>16</v>
      </c>
      <c r="H6982" s="5">
        <v>200</v>
      </c>
      <c r="I6982" s="5">
        <v>200</v>
      </c>
      <c r="J6982" s="5"/>
      <c r="K6982" s="5"/>
      <c r="L6982" s="10">
        <v>20201118</v>
      </c>
      <c r="M6982" s="36" t="str">
        <f t="shared" si="109"/>
        <v>19840320</v>
      </c>
    </row>
    <row r="6983" s="1" customFormat="1" spans="1:13">
      <c r="A6983" s="2">
        <v>7141</v>
      </c>
      <c r="B6983" s="5" t="s">
        <v>13908</v>
      </c>
      <c r="C6983" s="5" t="s">
        <v>13941</v>
      </c>
      <c r="D6983" s="5" t="s">
        <v>13942</v>
      </c>
      <c r="E6983" s="5" t="s">
        <v>15</v>
      </c>
      <c r="F6983" s="5" t="s">
        <v>15</v>
      </c>
      <c r="G6983" s="14" t="s">
        <v>16</v>
      </c>
      <c r="H6983" s="17">
        <v>200</v>
      </c>
      <c r="I6983" s="17">
        <v>200</v>
      </c>
      <c r="J6983" s="5"/>
      <c r="K6983" s="10"/>
      <c r="L6983" s="10">
        <v>20201118</v>
      </c>
      <c r="M6983" s="36" t="str">
        <f t="shared" si="109"/>
        <v>19840322</v>
      </c>
    </row>
    <row r="6984" s="1" customFormat="1" spans="1:13">
      <c r="A6984" s="2">
        <v>1290</v>
      </c>
      <c r="B6984" s="5" t="s">
        <v>2469</v>
      </c>
      <c r="C6984" s="9" t="s">
        <v>3161</v>
      </c>
      <c r="D6984" s="9" t="s">
        <v>3162</v>
      </c>
      <c r="E6984" s="5">
        <v>2020</v>
      </c>
      <c r="F6984" s="5">
        <v>2020</v>
      </c>
      <c r="G6984" s="9" t="s">
        <v>2480</v>
      </c>
      <c r="H6984" s="9">
        <v>200</v>
      </c>
      <c r="I6984" s="9">
        <v>200</v>
      </c>
      <c r="J6984" s="5"/>
      <c r="K6984" s="5"/>
      <c r="L6984" s="10">
        <v>20201118</v>
      </c>
      <c r="M6984" s="36" t="str">
        <f t="shared" si="109"/>
        <v>19840323</v>
      </c>
    </row>
    <row r="6985" s="1" customFormat="1" spans="1:13">
      <c r="A6985" s="2">
        <v>2040</v>
      </c>
      <c r="B6985" s="5" t="s">
        <v>4189</v>
      </c>
      <c r="C6985" s="16" t="s">
        <v>4635</v>
      </c>
      <c r="D6985" s="16" t="s">
        <v>4636</v>
      </c>
      <c r="E6985" s="5" t="s">
        <v>15</v>
      </c>
      <c r="F6985" s="5" t="s">
        <v>15</v>
      </c>
      <c r="G6985" s="5" t="s">
        <v>3359</v>
      </c>
      <c r="H6985" s="16">
        <v>200</v>
      </c>
      <c r="I6985" s="16">
        <v>200</v>
      </c>
      <c r="J6985" s="5"/>
      <c r="K6985" s="10"/>
      <c r="L6985" s="10">
        <v>20201118</v>
      </c>
      <c r="M6985" s="36" t="str">
        <f t="shared" si="109"/>
        <v>19840323</v>
      </c>
    </row>
    <row r="6986" s="1" customFormat="1" spans="1:13">
      <c r="A6986" s="2">
        <v>2720</v>
      </c>
      <c r="B6986" s="32" t="s">
        <v>5602</v>
      </c>
      <c r="C6986" s="9" t="s">
        <v>5970</v>
      </c>
      <c r="D6986" s="9" t="s">
        <v>5971</v>
      </c>
      <c r="E6986" s="32">
        <v>2020</v>
      </c>
      <c r="F6986" s="32">
        <v>2020</v>
      </c>
      <c r="G6986" s="32" t="s">
        <v>16</v>
      </c>
      <c r="H6986" s="9">
        <v>200</v>
      </c>
      <c r="I6986" s="9">
        <v>200</v>
      </c>
      <c r="J6986" s="32"/>
      <c r="K6986" s="52"/>
      <c r="L6986" s="10">
        <v>20201118</v>
      </c>
      <c r="M6986" s="36" t="str">
        <f t="shared" si="109"/>
        <v>19840325</v>
      </c>
    </row>
    <row r="6987" s="1" customFormat="1" spans="1:13">
      <c r="A6987" s="2">
        <v>786</v>
      </c>
      <c r="B6987" s="29" t="s">
        <v>1040</v>
      </c>
      <c r="C6987" s="5" t="s">
        <v>2008</v>
      </c>
      <c r="D6987" s="317" t="s">
        <v>2009</v>
      </c>
      <c r="E6987" s="30">
        <v>2020</v>
      </c>
      <c r="F6987" s="30">
        <v>2020</v>
      </c>
      <c r="G6987" s="29" t="s">
        <v>16</v>
      </c>
      <c r="H6987" s="29">
        <v>700</v>
      </c>
      <c r="I6987" s="29">
        <v>700</v>
      </c>
      <c r="J6987" s="32"/>
      <c r="K6987" s="32"/>
      <c r="L6987" s="2" t="s">
        <v>330</v>
      </c>
      <c r="M6987" s="36" t="str">
        <f t="shared" si="109"/>
        <v>19840402</v>
      </c>
    </row>
    <row r="6988" s="1" customFormat="1" spans="1:13">
      <c r="A6988" s="2">
        <v>3214</v>
      </c>
      <c r="B6988" s="3" t="s">
        <v>6671</v>
      </c>
      <c r="C6988" s="9" t="s">
        <v>6935</v>
      </c>
      <c r="D6988" s="9" t="s">
        <v>6936</v>
      </c>
      <c r="E6988" s="3" t="s">
        <v>15</v>
      </c>
      <c r="F6988" s="3" t="s">
        <v>15</v>
      </c>
      <c r="G6988" s="6" t="s">
        <v>3359</v>
      </c>
      <c r="H6988" s="9">
        <v>200</v>
      </c>
      <c r="I6988" s="9">
        <v>200</v>
      </c>
      <c r="J6988" s="6"/>
      <c r="K6988" s="5"/>
      <c r="L6988" s="10">
        <v>20201118</v>
      </c>
      <c r="M6988" s="36" t="str">
        <f t="shared" si="109"/>
        <v>19840403</v>
      </c>
    </row>
    <row r="6989" s="1" customFormat="1" ht="14.25" spans="1:13">
      <c r="A6989" s="2">
        <v>6027</v>
      </c>
      <c r="B6989" s="30" t="s">
        <v>11090</v>
      </c>
      <c r="C6989" s="32" t="s">
        <v>12097</v>
      </c>
      <c r="D6989" s="12" t="s">
        <v>12098</v>
      </c>
      <c r="E6989" s="5" t="s">
        <v>15</v>
      </c>
      <c r="F6989" s="5" t="s">
        <v>10250</v>
      </c>
      <c r="G6989" s="6" t="s">
        <v>16</v>
      </c>
      <c r="H6989" s="32">
        <v>200</v>
      </c>
      <c r="I6989" s="32">
        <v>200</v>
      </c>
      <c r="J6989" s="5"/>
      <c r="K6989" s="48"/>
      <c r="L6989" s="10">
        <v>20201118</v>
      </c>
      <c r="M6989" s="36" t="str">
        <f t="shared" si="109"/>
        <v>19840405</v>
      </c>
    </row>
    <row r="6990" s="1" customFormat="1" spans="1:13">
      <c r="A6990" s="2">
        <v>868</v>
      </c>
      <c r="B6990" s="29" t="s">
        <v>1040</v>
      </c>
      <c r="C6990" s="6" t="s">
        <v>2251</v>
      </c>
      <c r="D6990" s="6" t="s">
        <v>2252</v>
      </c>
      <c r="E6990" s="30">
        <v>2020</v>
      </c>
      <c r="F6990" s="30">
        <v>2020</v>
      </c>
      <c r="G6990" s="29" t="s">
        <v>16</v>
      </c>
      <c r="H6990" s="6">
        <v>500</v>
      </c>
      <c r="I6990" s="6">
        <v>500</v>
      </c>
      <c r="J6990" s="32"/>
      <c r="K6990" s="32"/>
      <c r="L6990" s="2" t="s">
        <v>330</v>
      </c>
      <c r="M6990" s="36" t="str">
        <f t="shared" si="109"/>
        <v>19840409</v>
      </c>
    </row>
    <row r="6991" s="1" customFormat="1" ht="14.25" spans="1:13">
      <c r="A6991" s="2">
        <v>6093</v>
      </c>
      <c r="B6991" s="30" t="s">
        <v>11090</v>
      </c>
      <c r="C6991" s="32" t="s">
        <v>12224</v>
      </c>
      <c r="D6991" s="12" t="s">
        <v>12225</v>
      </c>
      <c r="E6991" s="5" t="s">
        <v>15</v>
      </c>
      <c r="F6991" s="5" t="s">
        <v>10250</v>
      </c>
      <c r="G6991" s="6" t="s">
        <v>16</v>
      </c>
      <c r="H6991" s="32">
        <v>200</v>
      </c>
      <c r="I6991" s="32">
        <v>200</v>
      </c>
      <c r="J6991" s="5"/>
      <c r="K6991" s="48"/>
      <c r="L6991" s="10">
        <v>20201118</v>
      </c>
      <c r="M6991" s="36" t="str">
        <f t="shared" si="109"/>
        <v>19840412</v>
      </c>
    </row>
    <row r="6992" s="1" customFormat="1" spans="1:13">
      <c r="A6992" s="2">
        <v>7444</v>
      </c>
      <c r="B6992" s="5" t="s">
        <v>14402</v>
      </c>
      <c r="C6992" s="5" t="s">
        <v>14509</v>
      </c>
      <c r="D6992" s="5" t="s">
        <v>14510</v>
      </c>
      <c r="E6992" s="5">
        <v>2020</v>
      </c>
      <c r="F6992" s="5">
        <v>2020</v>
      </c>
      <c r="G6992" s="17" t="s">
        <v>16</v>
      </c>
      <c r="H6992" s="5">
        <v>200</v>
      </c>
      <c r="I6992" s="5">
        <v>200</v>
      </c>
      <c r="J6992" s="5"/>
      <c r="K6992" s="10"/>
      <c r="L6992" s="10">
        <v>20201118</v>
      </c>
      <c r="M6992" s="36" t="str">
        <f t="shared" si="109"/>
        <v>19840418</v>
      </c>
    </row>
    <row r="6993" s="1" customFormat="1" spans="1:13">
      <c r="A6993" s="2">
        <v>1291</v>
      </c>
      <c r="B6993" s="5" t="s">
        <v>2469</v>
      </c>
      <c r="C6993" s="9" t="s">
        <v>3163</v>
      </c>
      <c r="D6993" s="9" t="s">
        <v>3164</v>
      </c>
      <c r="E6993" s="5">
        <v>2020</v>
      </c>
      <c r="F6993" s="5">
        <v>2020</v>
      </c>
      <c r="G6993" s="9" t="s">
        <v>2480</v>
      </c>
      <c r="H6993" s="9">
        <v>200</v>
      </c>
      <c r="I6993" s="9">
        <v>200</v>
      </c>
      <c r="J6993" s="5"/>
      <c r="K6993" s="5"/>
      <c r="L6993" s="10">
        <v>20201118</v>
      </c>
      <c r="M6993" s="36" t="str">
        <f t="shared" si="109"/>
        <v>19840420</v>
      </c>
    </row>
    <row r="6994" s="1" customFormat="1" spans="1:13">
      <c r="A6994" s="2">
        <v>5075</v>
      </c>
      <c r="B6994" s="6" t="s">
        <v>10242</v>
      </c>
      <c r="C6994" s="9" t="s">
        <v>10285</v>
      </c>
      <c r="D6994" s="9" t="s">
        <v>10286</v>
      </c>
      <c r="E6994" s="5" t="s">
        <v>10250</v>
      </c>
      <c r="F6994" s="5">
        <v>2020</v>
      </c>
      <c r="G6994" s="6" t="s">
        <v>16</v>
      </c>
      <c r="H6994" s="6">
        <v>200</v>
      </c>
      <c r="I6994" s="6">
        <v>200</v>
      </c>
      <c r="J6994" s="6"/>
      <c r="K6994" s="5"/>
      <c r="L6994" s="10">
        <v>20201118</v>
      </c>
      <c r="M6994" s="36" t="str">
        <f t="shared" si="109"/>
        <v>19840420</v>
      </c>
    </row>
    <row r="6995" s="1" customFormat="1" spans="1:13">
      <c r="A6995" s="2">
        <v>6816</v>
      </c>
      <c r="B6995" s="5" t="s">
        <v>13533</v>
      </c>
      <c r="C6995" s="32" t="s">
        <v>13568</v>
      </c>
      <c r="D6995" s="32" t="str">
        <f>"152326198404207122"</f>
        <v>152326198404207122</v>
      </c>
      <c r="E6995" s="5">
        <v>2020</v>
      </c>
      <c r="F6995" s="5">
        <v>2020</v>
      </c>
      <c r="G6995" s="9" t="s">
        <v>2480</v>
      </c>
      <c r="H6995" s="32">
        <v>200</v>
      </c>
      <c r="I6995" s="32">
        <v>200</v>
      </c>
      <c r="J6995" s="32"/>
      <c r="K6995" s="10"/>
      <c r="L6995" s="10">
        <v>20201118</v>
      </c>
      <c r="M6995" s="36" t="str">
        <f t="shared" si="109"/>
        <v>19840420</v>
      </c>
    </row>
    <row r="6996" s="1" customFormat="1" spans="1:13">
      <c r="A6996" s="2">
        <v>8128</v>
      </c>
      <c r="B6996" s="5" t="s">
        <v>15406</v>
      </c>
      <c r="C6996" s="6" t="s">
        <v>15449</v>
      </c>
      <c r="D6996" s="6" t="s">
        <v>15450</v>
      </c>
      <c r="E6996" s="5" t="s">
        <v>15</v>
      </c>
      <c r="F6996" s="5">
        <v>2020</v>
      </c>
      <c r="G6996" s="14" t="s">
        <v>16</v>
      </c>
      <c r="H6996" s="6" t="s">
        <v>2295</v>
      </c>
      <c r="I6996" s="6">
        <v>500</v>
      </c>
      <c r="J6996" s="5"/>
      <c r="K6996" s="10"/>
      <c r="L6996" s="10">
        <v>20201118</v>
      </c>
      <c r="M6996" s="36" t="str">
        <f t="shared" si="109"/>
        <v>19840424</v>
      </c>
    </row>
    <row r="6997" s="1" customFormat="1" spans="1:13">
      <c r="A6997" s="2">
        <v>4073</v>
      </c>
      <c r="B6997" s="5" t="s">
        <v>7412</v>
      </c>
      <c r="C6997" s="5" t="s">
        <v>8359</v>
      </c>
      <c r="D6997" s="5" t="s">
        <v>8360</v>
      </c>
      <c r="E6997" s="6">
        <v>2020</v>
      </c>
      <c r="F6997" s="6">
        <v>2020</v>
      </c>
      <c r="G6997" s="5" t="s">
        <v>3359</v>
      </c>
      <c r="H6997" s="5">
        <v>200</v>
      </c>
      <c r="I6997" s="5">
        <v>200</v>
      </c>
      <c r="J6997" s="5"/>
      <c r="K6997" s="5"/>
      <c r="L6997" s="10">
        <v>20201118</v>
      </c>
      <c r="M6997" s="36" t="str">
        <f t="shared" si="109"/>
        <v>19840426</v>
      </c>
    </row>
    <row r="6998" s="1" customFormat="1" ht="14.25" spans="1:13">
      <c r="A6998" s="2">
        <v>7647</v>
      </c>
      <c r="B6998" s="5" t="s">
        <v>14875</v>
      </c>
      <c r="C6998" s="51" t="s">
        <v>4579</v>
      </c>
      <c r="D6998" s="24" t="str">
        <f>"152325198404272024"</f>
        <v>152325198404272024</v>
      </c>
      <c r="E6998" s="6" t="s">
        <v>15</v>
      </c>
      <c r="F6998" s="6">
        <v>2020</v>
      </c>
      <c r="G6998" s="24" t="s">
        <v>14877</v>
      </c>
      <c r="H6998" s="6">
        <v>200</v>
      </c>
      <c r="I6998" s="6">
        <v>200</v>
      </c>
      <c r="J6998" s="6"/>
      <c r="K6998" s="10"/>
      <c r="L6998" s="10">
        <v>20201118</v>
      </c>
      <c r="M6998" s="36" t="str">
        <f t="shared" si="109"/>
        <v>19840427</v>
      </c>
    </row>
    <row r="6999" s="1" customFormat="1" spans="1:13">
      <c r="A6999" s="2">
        <v>4938</v>
      </c>
      <c r="B6999" s="6" t="s">
        <v>9954</v>
      </c>
      <c r="C6999" s="32" t="s">
        <v>10017</v>
      </c>
      <c r="D6999" s="32" t="s">
        <v>10018</v>
      </c>
      <c r="E6999" s="5" t="s">
        <v>15</v>
      </c>
      <c r="F6999" s="5" t="s">
        <v>15</v>
      </c>
      <c r="G6999" s="14" t="s">
        <v>16</v>
      </c>
      <c r="H6999" s="6">
        <v>500</v>
      </c>
      <c r="I6999" s="6">
        <v>500</v>
      </c>
      <c r="J6999" s="6"/>
      <c r="K6999" s="6"/>
      <c r="L6999" s="10">
        <v>20201118</v>
      </c>
      <c r="M6999" s="36" t="str">
        <f t="shared" si="109"/>
        <v>19840428</v>
      </c>
    </row>
    <row r="7000" s="1" customFormat="1" spans="1:13">
      <c r="A7000" s="2">
        <v>2343</v>
      </c>
      <c r="B7000" s="9" t="s">
        <v>4837</v>
      </c>
      <c r="C7000" s="9" t="s">
        <v>5225</v>
      </c>
      <c r="D7000" s="9" t="s">
        <v>5226</v>
      </c>
      <c r="E7000" s="6" t="s">
        <v>15</v>
      </c>
      <c r="F7000" s="6">
        <v>2020</v>
      </c>
      <c r="G7000" s="9" t="s">
        <v>2480</v>
      </c>
      <c r="H7000" s="9">
        <v>200</v>
      </c>
      <c r="I7000" s="9">
        <v>200</v>
      </c>
      <c r="J7000" s="6"/>
      <c r="K7000" s="10"/>
      <c r="L7000" s="10">
        <v>20201118</v>
      </c>
      <c r="M7000" s="36" t="str">
        <f t="shared" si="109"/>
        <v>19840504</v>
      </c>
    </row>
    <row r="7001" s="1" customFormat="1" spans="1:13">
      <c r="A7001" s="2">
        <v>4375</v>
      </c>
      <c r="B7001" s="9" t="s">
        <v>8515</v>
      </c>
      <c r="C7001" s="9" t="s">
        <v>8939</v>
      </c>
      <c r="D7001" s="9" t="s">
        <v>8940</v>
      </c>
      <c r="E7001" s="5" t="s">
        <v>15</v>
      </c>
      <c r="F7001" s="5">
        <v>2020</v>
      </c>
      <c r="G7001" s="9" t="s">
        <v>2480</v>
      </c>
      <c r="H7001" s="9">
        <v>200</v>
      </c>
      <c r="I7001" s="9">
        <v>200</v>
      </c>
      <c r="J7001" s="9"/>
      <c r="K7001" s="9"/>
      <c r="L7001" s="10">
        <v>20201118</v>
      </c>
      <c r="M7001" s="36" t="str">
        <f t="shared" si="109"/>
        <v>19840504</v>
      </c>
    </row>
    <row r="7002" s="1" customFormat="1" spans="1:13">
      <c r="A7002" s="2">
        <v>925</v>
      </c>
      <c r="B7002" s="29" t="s">
        <v>1040</v>
      </c>
      <c r="C7002" s="6" t="s">
        <v>2422</v>
      </c>
      <c r="D7002" s="6" t="s">
        <v>2423</v>
      </c>
      <c r="E7002" s="30">
        <v>2020</v>
      </c>
      <c r="F7002" s="30">
        <v>2020</v>
      </c>
      <c r="G7002" s="29" t="s">
        <v>16</v>
      </c>
      <c r="H7002" s="6">
        <v>500</v>
      </c>
      <c r="I7002" s="6">
        <v>500</v>
      </c>
      <c r="J7002" s="32"/>
      <c r="K7002" s="32"/>
      <c r="L7002" s="14" t="s">
        <v>330</v>
      </c>
      <c r="M7002" s="36" t="str">
        <f t="shared" si="109"/>
        <v>19840506</v>
      </c>
    </row>
    <row r="7003" s="1" customFormat="1" spans="1:13">
      <c r="A7003" s="2">
        <v>1864</v>
      </c>
      <c r="B7003" s="5" t="s">
        <v>4189</v>
      </c>
      <c r="C7003" s="16" t="s">
        <v>4292</v>
      </c>
      <c r="D7003" s="16" t="s">
        <v>4293</v>
      </c>
      <c r="E7003" s="5" t="s">
        <v>15</v>
      </c>
      <c r="F7003" s="5" t="s">
        <v>15</v>
      </c>
      <c r="G7003" s="5" t="s">
        <v>3359</v>
      </c>
      <c r="H7003" s="16">
        <v>300</v>
      </c>
      <c r="I7003" s="16">
        <v>300</v>
      </c>
      <c r="J7003" s="5"/>
      <c r="K7003" s="10"/>
      <c r="L7003" s="10">
        <v>20201118</v>
      </c>
      <c r="M7003" s="36" t="str">
        <f t="shared" si="109"/>
        <v>19840512</v>
      </c>
    </row>
    <row r="7004" s="1" customFormat="1" spans="1:13">
      <c r="A7004" s="2">
        <v>767</v>
      </c>
      <c r="B7004" s="29" t="s">
        <v>1040</v>
      </c>
      <c r="C7004" s="5" t="s">
        <v>1951</v>
      </c>
      <c r="D7004" s="317" t="s">
        <v>1952</v>
      </c>
      <c r="E7004" s="30">
        <v>2020</v>
      </c>
      <c r="F7004" s="30">
        <v>2020</v>
      </c>
      <c r="G7004" s="29" t="s">
        <v>16</v>
      </c>
      <c r="H7004" s="29">
        <v>200</v>
      </c>
      <c r="I7004" s="29">
        <v>200</v>
      </c>
      <c r="J7004" s="32"/>
      <c r="K7004" s="32"/>
      <c r="L7004" s="2" t="s">
        <v>330</v>
      </c>
      <c r="M7004" s="36" t="str">
        <f t="shared" si="109"/>
        <v>19840515</v>
      </c>
    </row>
    <row r="7005" s="1" customFormat="1" spans="1:13">
      <c r="A7005" s="2">
        <v>701</v>
      </c>
      <c r="B7005" s="29" t="s">
        <v>1040</v>
      </c>
      <c r="C7005" s="5" t="s">
        <v>1755</v>
      </c>
      <c r="D7005" s="5" t="s">
        <v>1756</v>
      </c>
      <c r="E7005" s="30">
        <v>2020</v>
      </c>
      <c r="F7005" s="30">
        <v>2020</v>
      </c>
      <c r="G7005" s="29" t="s">
        <v>16</v>
      </c>
      <c r="H7005" s="29">
        <v>200</v>
      </c>
      <c r="I7005" s="29">
        <v>200</v>
      </c>
      <c r="J7005" s="29"/>
      <c r="K7005" s="54"/>
      <c r="L7005" s="14" t="s">
        <v>330</v>
      </c>
      <c r="M7005" s="36" t="str">
        <f t="shared" si="109"/>
        <v>19840517</v>
      </c>
    </row>
    <row r="7006" s="1" customFormat="1" ht="14.25" spans="1:13">
      <c r="A7006" s="2">
        <v>3021</v>
      </c>
      <c r="B7006" s="6" t="s">
        <v>6075</v>
      </c>
      <c r="C7006" s="25" t="s">
        <v>6565</v>
      </c>
      <c r="D7006" s="26" t="s">
        <v>6566</v>
      </c>
      <c r="E7006" s="5" t="s">
        <v>15</v>
      </c>
      <c r="F7006" s="5">
        <v>2020</v>
      </c>
      <c r="G7006" s="6" t="s">
        <v>16</v>
      </c>
      <c r="H7006" s="6">
        <v>200</v>
      </c>
      <c r="I7006" s="6">
        <v>200</v>
      </c>
      <c r="J7006" s="6" t="s">
        <v>6097</v>
      </c>
      <c r="K7006" s="10"/>
      <c r="L7006" s="10">
        <v>20201118</v>
      </c>
      <c r="M7006" s="36" t="str">
        <f t="shared" si="109"/>
        <v>19840519</v>
      </c>
    </row>
    <row r="7007" s="1" customFormat="1" spans="1:13">
      <c r="A7007" s="2">
        <v>7855</v>
      </c>
      <c r="B7007" s="5" t="s">
        <v>15086</v>
      </c>
      <c r="C7007" s="6" t="s">
        <v>15126</v>
      </c>
      <c r="D7007" s="6" t="str">
        <f>"152326198405196883"</f>
        <v>152326198405196883</v>
      </c>
      <c r="E7007" s="5" t="s">
        <v>15</v>
      </c>
      <c r="F7007" s="5">
        <v>2020</v>
      </c>
      <c r="G7007" s="5" t="s">
        <v>16</v>
      </c>
      <c r="H7007" s="5">
        <v>500</v>
      </c>
      <c r="I7007" s="5">
        <v>500</v>
      </c>
      <c r="J7007" s="5"/>
      <c r="K7007" s="5"/>
      <c r="L7007" s="10">
        <v>20201118</v>
      </c>
      <c r="M7007" s="36" t="str">
        <f t="shared" si="109"/>
        <v>19840519</v>
      </c>
    </row>
    <row r="7008" s="1" customFormat="1" spans="1:13">
      <c r="A7008" s="2">
        <v>3531</v>
      </c>
      <c r="B7008" s="5" t="s">
        <v>3375</v>
      </c>
      <c r="C7008" s="5" t="s">
        <v>7333</v>
      </c>
      <c r="D7008" s="296" t="s">
        <v>7334</v>
      </c>
      <c r="E7008" s="5" t="s">
        <v>15</v>
      </c>
      <c r="F7008" s="5">
        <v>2020</v>
      </c>
      <c r="G7008" s="14" t="s">
        <v>16</v>
      </c>
      <c r="H7008" s="5">
        <v>1000</v>
      </c>
      <c r="I7008" s="5">
        <v>1000</v>
      </c>
      <c r="J7008" s="5"/>
      <c r="K7008" s="10"/>
      <c r="L7008" s="10">
        <v>20201118</v>
      </c>
      <c r="M7008" s="36" t="str">
        <f t="shared" si="109"/>
        <v>19840520</v>
      </c>
    </row>
    <row r="7009" s="1" customFormat="1" spans="1:13">
      <c r="A7009" s="2">
        <v>298</v>
      </c>
      <c r="B7009" s="14" t="s">
        <v>327</v>
      </c>
      <c r="C7009" s="17" t="s">
        <v>782</v>
      </c>
      <c r="D7009" s="306" t="s">
        <v>783</v>
      </c>
      <c r="E7009" s="5">
        <v>2020</v>
      </c>
      <c r="F7009" s="5">
        <v>2020</v>
      </c>
      <c r="G7009" s="14" t="s">
        <v>16</v>
      </c>
      <c r="H7009" s="17">
        <v>200</v>
      </c>
      <c r="I7009" s="17">
        <v>200</v>
      </c>
      <c r="J7009" s="17"/>
      <c r="K7009" s="10"/>
      <c r="L7009" s="14" t="s">
        <v>330</v>
      </c>
      <c r="M7009" s="36" t="str">
        <f t="shared" si="109"/>
        <v>19840526</v>
      </c>
    </row>
    <row r="7010" s="1" customFormat="1" spans="1:13">
      <c r="A7010" s="2">
        <v>6812</v>
      </c>
      <c r="B7010" s="5" t="s">
        <v>13533</v>
      </c>
      <c r="C7010" s="32" t="s">
        <v>13564</v>
      </c>
      <c r="D7010" s="32" t="str">
        <f>"152326198405277114"</f>
        <v>152326198405277114</v>
      </c>
      <c r="E7010" s="5">
        <v>2020</v>
      </c>
      <c r="F7010" s="5">
        <v>2020</v>
      </c>
      <c r="G7010" s="9" t="s">
        <v>2480</v>
      </c>
      <c r="H7010" s="32">
        <v>200</v>
      </c>
      <c r="I7010" s="32">
        <v>200</v>
      </c>
      <c r="J7010" s="32"/>
      <c r="K7010" s="10"/>
      <c r="L7010" s="10">
        <v>20201118</v>
      </c>
      <c r="M7010" s="36" t="str">
        <f t="shared" si="109"/>
        <v>19840527</v>
      </c>
    </row>
    <row r="7011" s="1" customFormat="1" spans="1:13">
      <c r="A7011" s="2">
        <v>3237</v>
      </c>
      <c r="B7011" s="3" t="s">
        <v>6671</v>
      </c>
      <c r="C7011" s="9" t="s">
        <v>6978</v>
      </c>
      <c r="D7011" s="9" t="s">
        <v>6979</v>
      </c>
      <c r="E7011" s="3" t="s">
        <v>15</v>
      </c>
      <c r="F7011" s="3" t="s">
        <v>15</v>
      </c>
      <c r="G7011" s="6" t="s">
        <v>3359</v>
      </c>
      <c r="H7011" s="9">
        <v>200</v>
      </c>
      <c r="I7011" s="9">
        <v>200</v>
      </c>
      <c r="J7011" s="6"/>
      <c r="K7011" s="5"/>
      <c r="L7011" s="10">
        <v>20201118</v>
      </c>
      <c r="M7011" s="36" t="str">
        <f t="shared" si="109"/>
        <v>19840528</v>
      </c>
    </row>
    <row r="7012" s="1" customFormat="1" spans="1:13">
      <c r="A7012" s="2">
        <v>1292</v>
      </c>
      <c r="B7012" s="5" t="s">
        <v>2469</v>
      </c>
      <c r="C7012" s="9" t="s">
        <v>3165</v>
      </c>
      <c r="D7012" s="9" t="s">
        <v>3166</v>
      </c>
      <c r="E7012" s="5">
        <v>2020</v>
      </c>
      <c r="F7012" s="5">
        <v>2020</v>
      </c>
      <c r="G7012" s="9" t="s">
        <v>2480</v>
      </c>
      <c r="H7012" s="9">
        <v>200</v>
      </c>
      <c r="I7012" s="9">
        <v>200</v>
      </c>
      <c r="J7012" s="5"/>
      <c r="K7012" s="5"/>
      <c r="L7012" s="10">
        <v>20201118</v>
      </c>
      <c r="M7012" s="36" t="str">
        <f t="shared" si="109"/>
        <v>19840529</v>
      </c>
    </row>
    <row r="7013" s="1" customFormat="1" spans="1:13">
      <c r="A7013" s="2">
        <v>2043</v>
      </c>
      <c r="B7013" s="5" t="s">
        <v>4189</v>
      </c>
      <c r="C7013" s="16" t="s">
        <v>4641</v>
      </c>
      <c r="D7013" s="16" t="s">
        <v>4642</v>
      </c>
      <c r="E7013" s="5" t="s">
        <v>15</v>
      </c>
      <c r="F7013" s="5" t="s">
        <v>15</v>
      </c>
      <c r="G7013" s="5" t="s">
        <v>3359</v>
      </c>
      <c r="H7013" s="16">
        <v>200</v>
      </c>
      <c r="I7013" s="16">
        <v>200</v>
      </c>
      <c r="J7013" s="5"/>
      <c r="K7013" s="10"/>
      <c r="L7013" s="10">
        <v>20201118</v>
      </c>
      <c r="M7013" s="36" t="str">
        <f t="shared" si="109"/>
        <v>19840529</v>
      </c>
    </row>
    <row r="7014" s="1" customFormat="1" spans="1:13">
      <c r="A7014" s="2">
        <v>6813</v>
      </c>
      <c r="B7014" s="5" t="s">
        <v>13533</v>
      </c>
      <c r="C7014" s="32" t="s">
        <v>13565</v>
      </c>
      <c r="D7014" s="32" t="str">
        <f>"152326198405297115"</f>
        <v>152326198405297115</v>
      </c>
      <c r="E7014" s="5">
        <v>2020</v>
      </c>
      <c r="F7014" s="5">
        <v>2020</v>
      </c>
      <c r="G7014" s="9" t="s">
        <v>2480</v>
      </c>
      <c r="H7014" s="32">
        <v>200</v>
      </c>
      <c r="I7014" s="32">
        <v>200</v>
      </c>
      <c r="J7014" s="62"/>
      <c r="K7014" s="10"/>
      <c r="L7014" s="10">
        <v>20201118</v>
      </c>
      <c r="M7014" s="36" t="str">
        <f t="shared" si="109"/>
        <v>19840529</v>
      </c>
    </row>
    <row r="7015" s="1" customFormat="1" spans="1:13">
      <c r="A7015" s="2">
        <v>2016</v>
      </c>
      <c r="B7015" s="5" t="s">
        <v>4189</v>
      </c>
      <c r="C7015" s="16" t="s">
        <v>4589</v>
      </c>
      <c r="D7015" s="16" t="s">
        <v>4590</v>
      </c>
      <c r="E7015" s="5" t="s">
        <v>15</v>
      </c>
      <c r="F7015" s="5" t="s">
        <v>15</v>
      </c>
      <c r="G7015" s="5" t="s">
        <v>3359</v>
      </c>
      <c r="H7015" s="16">
        <v>200</v>
      </c>
      <c r="I7015" s="16">
        <v>200</v>
      </c>
      <c r="J7015" s="5"/>
      <c r="K7015" s="10"/>
      <c r="L7015" s="10">
        <v>20201118</v>
      </c>
      <c r="M7015" s="36" t="str">
        <f t="shared" si="109"/>
        <v>19840601</v>
      </c>
    </row>
    <row r="7016" s="1" customFormat="1" spans="1:13">
      <c r="A7016" s="2">
        <v>5553</v>
      </c>
      <c r="B7016" s="30" t="s">
        <v>11090</v>
      </c>
      <c r="C7016" s="30" t="s">
        <v>9865</v>
      </c>
      <c r="D7016" s="30" t="s">
        <v>11202</v>
      </c>
      <c r="E7016" s="5" t="s">
        <v>15</v>
      </c>
      <c r="F7016" s="5" t="s">
        <v>10250</v>
      </c>
      <c r="G7016" s="6" t="s">
        <v>16</v>
      </c>
      <c r="H7016" s="32">
        <v>200</v>
      </c>
      <c r="I7016" s="32">
        <v>200</v>
      </c>
      <c r="J7016" s="6"/>
      <c r="K7016" s="48"/>
      <c r="L7016" s="10">
        <v>20201118</v>
      </c>
      <c r="M7016" s="36" t="str">
        <f t="shared" si="109"/>
        <v>19840601</v>
      </c>
    </row>
    <row r="7017" s="1" customFormat="1" ht="14.25" spans="1:13">
      <c r="A7017" s="2">
        <v>5442</v>
      </c>
      <c r="B7017" s="33" t="s">
        <v>10535</v>
      </c>
      <c r="C7017" s="34" t="s">
        <v>1456</v>
      </c>
      <c r="D7017" s="34" t="s">
        <v>10984</v>
      </c>
      <c r="E7017" s="35">
        <v>2020</v>
      </c>
      <c r="F7017" s="35">
        <v>2020</v>
      </c>
      <c r="G7017" s="35" t="s">
        <v>16</v>
      </c>
      <c r="H7017" s="34">
        <v>200</v>
      </c>
      <c r="I7017" s="34">
        <v>200</v>
      </c>
      <c r="J7017" s="49"/>
      <c r="K7017" s="10"/>
      <c r="L7017" s="10">
        <v>20201118</v>
      </c>
      <c r="M7017" s="36" t="str">
        <f t="shared" si="109"/>
        <v>19840605</v>
      </c>
    </row>
    <row r="7018" s="1" customFormat="1" spans="1:13">
      <c r="A7018" s="2">
        <v>4074</v>
      </c>
      <c r="B7018" s="5" t="s">
        <v>7412</v>
      </c>
      <c r="C7018" s="5" t="s">
        <v>8361</v>
      </c>
      <c r="D7018" s="5" t="s">
        <v>8362</v>
      </c>
      <c r="E7018" s="6">
        <v>2020</v>
      </c>
      <c r="F7018" s="6">
        <v>2020</v>
      </c>
      <c r="G7018" s="5" t="s">
        <v>3359</v>
      </c>
      <c r="H7018" s="5">
        <v>200</v>
      </c>
      <c r="I7018" s="5">
        <v>200</v>
      </c>
      <c r="J7018" s="5"/>
      <c r="K7018" s="5"/>
      <c r="L7018" s="10">
        <v>20201118</v>
      </c>
      <c r="M7018" s="36" t="str">
        <f t="shared" si="109"/>
        <v>19840609</v>
      </c>
    </row>
    <row r="7019" s="1" customFormat="1" spans="1:13">
      <c r="A7019" s="2">
        <v>4146</v>
      </c>
      <c r="B7019" s="5" t="s">
        <v>7412</v>
      </c>
      <c r="C7019" s="5" t="s">
        <v>8498</v>
      </c>
      <c r="D7019" s="296" t="s">
        <v>8499</v>
      </c>
      <c r="E7019" s="6">
        <v>2020</v>
      </c>
      <c r="F7019" s="6">
        <v>2020</v>
      </c>
      <c r="G7019" s="5" t="s">
        <v>189</v>
      </c>
      <c r="H7019" s="5">
        <v>500</v>
      </c>
      <c r="I7019" s="5">
        <v>500</v>
      </c>
      <c r="J7019" s="5"/>
      <c r="K7019" s="5"/>
      <c r="L7019" s="10">
        <v>20201118</v>
      </c>
      <c r="M7019" s="36" t="str">
        <f t="shared" si="109"/>
        <v>19840612</v>
      </c>
    </row>
    <row r="7020" s="1" customFormat="1" spans="1:13">
      <c r="A7020" s="2">
        <v>2721</v>
      </c>
      <c r="B7020" s="32" t="s">
        <v>5602</v>
      </c>
      <c r="C7020" s="9" t="s">
        <v>5972</v>
      </c>
      <c r="D7020" s="9" t="s">
        <v>5973</v>
      </c>
      <c r="E7020" s="32">
        <v>2020</v>
      </c>
      <c r="F7020" s="32">
        <v>2020</v>
      </c>
      <c r="G7020" s="32" t="s">
        <v>16</v>
      </c>
      <c r="H7020" s="9">
        <v>200</v>
      </c>
      <c r="I7020" s="9">
        <v>200</v>
      </c>
      <c r="J7020" s="32"/>
      <c r="K7020" s="52"/>
      <c r="L7020" s="10">
        <v>20201118</v>
      </c>
      <c r="M7020" s="36" t="str">
        <f t="shared" si="109"/>
        <v>19840617</v>
      </c>
    </row>
    <row r="7021" s="1" customFormat="1" ht="14.25" spans="1:13">
      <c r="A7021" s="2">
        <v>2970</v>
      </c>
      <c r="B7021" s="6" t="s">
        <v>6075</v>
      </c>
      <c r="C7021" s="25" t="s">
        <v>6465</v>
      </c>
      <c r="D7021" s="26" t="s">
        <v>6466</v>
      </c>
      <c r="E7021" s="5" t="s">
        <v>15</v>
      </c>
      <c r="F7021" s="5">
        <v>2020</v>
      </c>
      <c r="G7021" s="6" t="s">
        <v>16</v>
      </c>
      <c r="H7021" s="6">
        <v>200</v>
      </c>
      <c r="I7021" s="6">
        <v>200</v>
      </c>
      <c r="J7021" s="6"/>
      <c r="K7021" s="10"/>
      <c r="L7021" s="10">
        <v>20201118</v>
      </c>
      <c r="M7021" s="36" t="str">
        <f t="shared" si="109"/>
        <v>19840621</v>
      </c>
    </row>
    <row r="7022" s="1" customFormat="1" spans="1:13">
      <c r="A7022" s="2">
        <v>3125</v>
      </c>
      <c r="B7022" s="3" t="s">
        <v>6671</v>
      </c>
      <c r="C7022" s="9" t="s">
        <v>6771</v>
      </c>
      <c r="D7022" s="9" t="s">
        <v>6772</v>
      </c>
      <c r="E7022" s="3" t="s">
        <v>15</v>
      </c>
      <c r="F7022" s="3" t="s">
        <v>15</v>
      </c>
      <c r="G7022" s="6" t="s">
        <v>3359</v>
      </c>
      <c r="H7022" s="9">
        <v>200</v>
      </c>
      <c r="I7022" s="9">
        <v>200</v>
      </c>
      <c r="J7022" s="6"/>
      <c r="K7022" s="5"/>
      <c r="L7022" s="10">
        <v>20201118</v>
      </c>
      <c r="M7022" s="36" t="str">
        <f t="shared" si="109"/>
        <v>19840623</v>
      </c>
    </row>
    <row r="7023" s="1" customFormat="1" spans="1:13">
      <c r="A7023" s="2">
        <v>39</v>
      </c>
      <c r="B7023" s="31" t="s">
        <v>12</v>
      </c>
      <c r="C7023" s="17" t="s">
        <v>92</v>
      </c>
      <c r="D7023" s="17" t="s">
        <v>93</v>
      </c>
      <c r="E7023" s="3" t="s">
        <v>15</v>
      </c>
      <c r="F7023" s="3" t="s">
        <v>15</v>
      </c>
      <c r="G7023" s="2" t="s">
        <v>16</v>
      </c>
      <c r="H7023" s="17">
        <v>200</v>
      </c>
      <c r="I7023" s="17">
        <v>200</v>
      </c>
      <c r="J7023" s="31"/>
      <c r="K7023" s="17"/>
      <c r="L7023" s="10">
        <v>20201118</v>
      </c>
      <c r="M7023" s="36" t="str">
        <f t="shared" si="109"/>
        <v>19840624</v>
      </c>
    </row>
    <row r="7024" s="1" customFormat="1" ht="14.25" spans="1:13">
      <c r="A7024" s="2">
        <v>7648</v>
      </c>
      <c r="B7024" s="5" t="s">
        <v>14875</v>
      </c>
      <c r="C7024" s="51" t="s">
        <v>14888</v>
      </c>
      <c r="D7024" s="24" t="str">
        <f>"152326198406277116"</f>
        <v>152326198406277116</v>
      </c>
      <c r="E7024" s="6" t="s">
        <v>15</v>
      </c>
      <c r="F7024" s="6">
        <v>2020</v>
      </c>
      <c r="G7024" s="24" t="s">
        <v>14877</v>
      </c>
      <c r="H7024" s="6">
        <v>200</v>
      </c>
      <c r="I7024" s="6">
        <v>200</v>
      </c>
      <c r="J7024" s="6"/>
      <c r="K7024" s="10"/>
      <c r="L7024" s="10">
        <v>20201118</v>
      </c>
      <c r="M7024" s="36" t="str">
        <f t="shared" si="109"/>
        <v>19840627</v>
      </c>
    </row>
    <row r="7025" s="1" customFormat="1" spans="1:13">
      <c r="A7025" s="2">
        <v>8190</v>
      </c>
      <c r="B7025" s="5" t="s">
        <v>15406</v>
      </c>
      <c r="C7025" s="6" t="s">
        <v>15566</v>
      </c>
      <c r="D7025" s="6" t="s">
        <v>15567</v>
      </c>
      <c r="E7025" s="5" t="s">
        <v>15</v>
      </c>
      <c r="F7025" s="5">
        <v>2020</v>
      </c>
      <c r="G7025" s="14" t="s">
        <v>16</v>
      </c>
      <c r="H7025" s="6">
        <v>1000</v>
      </c>
      <c r="I7025" s="6">
        <v>1000</v>
      </c>
      <c r="J7025" s="5"/>
      <c r="K7025" s="10"/>
      <c r="L7025" s="10">
        <v>20201118</v>
      </c>
      <c r="M7025" s="36" t="str">
        <f t="shared" si="109"/>
        <v>19840627</v>
      </c>
    </row>
    <row r="7026" s="1" customFormat="1" ht="14.25" spans="1:13">
      <c r="A7026" s="2">
        <v>5443</v>
      </c>
      <c r="B7026" s="33" t="s">
        <v>10535</v>
      </c>
      <c r="C7026" s="34" t="s">
        <v>10985</v>
      </c>
      <c r="D7026" s="34" t="s">
        <v>10986</v>
      </c>
      <c r="E7026" s="35">
        <v>2020</v>
      </c>
      <c r="F7026" s="35">
        <v>2020</v>
      </c>
      <c r="G7026" s="35" t="s">
        <v>16</v>
      </c>
      <c r="H7026" s="34">
        <v>200</v>
      </c>
      <c r="I7026" s="34">
        <v>200</v>
      </c>
      <c r="J7026" s="49"/>
      <c r="K7026" s="10"/>
      <c r="L7026" s="10">
        <v>20201118</v>
      </c>
      <c r="M7026" s="36" t="str">
        <f t="shared" si="109"/>
        <v>19840628</v>
      </c>
    </row>
    <row r="7027" s="1" customFormat="1" spans="1:13">
      <c r="A7027" s="2">
        <v>893</v>
      </c>
      <c r="B7027" s="29" t="s">
        <v>1040</v>
      </c>
      <c r="C7027" s="6" t="s">
        <v>2326</v>
      </c>
      <c r="D7027" s="6" t="s">
        <v>2327</v>
      </c>
      <c r="E7027" s="30">
        <v>2020</v>
      </c>
      <c r="F7027" s="30">
        <v>2020</v>
      </c>
      <c r="G7027" s="29" t="s">
        <v>16</v>
      </c>
      <c r="H7027" s="29">
        <v>200</v>
      </c>
      <c r="I7027" s="29">
        <v>200</v>
      </c>
      <c r="J7027" s="32"/>
      <c r="K7027" s="32"/>
      <c r="L7027" s="2" t="s">
        <v>330</v>
      </c>
      <c r="M7027" s="36" t="str">
        <f t="shared" si="109"/>
        <v>19840705</v>
      </c>
    </row>
    <row r="7028" s="1" customFormat="1" spans="1:13">
      <c r="A7028" s="2">
        <v>2064</v>
      </c>
      <c r="B7028" s="5" t="s">
        <v>4189</v>
      </c>
      <c r="C7028" s="16" t="s">
        <v>4682</v>
      </c>
      <c r="D7028" s="16" t="s">
        <v>4683</v>
      </c>
      <c r="E7028" s="5" t="s">
        <v>15</v>
      </c>
      <c r="F7028" s="5" t="s">
        <v>15</v>
      </c>
      <c r="G7028" s="5" t="s">
        <v>3359</v>
      </c>
      <c r="H7028" s="16">
        <v>500</v>
      </c>
      <c r="I7028" s="16">
        <v>500</v>
      </c>
      <c r="J7028" s="5"/>
      <c r="K7028" s="10"/>
      <c r="L7028" s="10">
        <v>20201118</v>
      </c>
      <c r="M7028" s="36" t="str">
        <f t="shared" si="109"/>
        <v>19840705</v>
      </c>
    </row>
    <row r="7029" s="1" customFormat="1" spans="1:13">
      <c r="A7029" s="2">
        <v>5002</v>
      </c>
      <c r="B7029" s="6" t="s">
        <v>9954</v>
      </c>
      <c r="C7029" s="6" t="s">
        <v>10142</v>
      </c>
      <c r="D7029" s="6" t="s">
        <v>10143</v>
      </c>
      <c r="E7029" s="5" t="s">
        <v>15</v>
      </c>
      <c r="F7029" s="5" t="s">
        <v>15</v>
      </c>
      <c r="G7029" s="14" t="s">
        <v>16</v>
      </c>
      <c r="H7029" s="6">
        <v>1000</v>
      </c>
      <c r="I7029" s="6">
        <v>1000</v>
      </c>
      <c r="J7029" s="6"/>
      <c r="K7029" s="6"/>
      <c r="L7029" s="10">
        <v>20201118</v>
      </c>
      <c r="M7029" s="36" t="str">
        <f t="shared" si="109"/>
        <v>19840712</v>
      </c>
    </row>
    <row r="7030" s="1" customFormat="1" spans="1:13">
      <c r="A7030" s="2">
        <v>5009</v>
      </c>
      <c r="B7030" s="6" t="s">
        <v>9954</v>
      </c>
      <c r="C7030" s="53" t="s">
        <v>10154</v>
      </c>
      <c r="D7030" s="53" t="s">
        <v>10155</v>
      </c>
      <c r="E7030" s="5" t="s">
        <v>15</v>
      </c>
      <c r="F7030" s="5" t="s">
        <v>15</v>
      </c>
      <c r="G7030" s="14" t="s">
        <v>16</v>
      </c>
      <c r="H7030" s="6">
        <v>200</v>
      </c>
      <c r="I7030" s="6">
        <v>200</v>
      </c>
      <c r="J7030" s="6"/>
      <c r="K7030" s="6"/>
      <c r="L7030" s="10">
        <v>20201118</v>
      </c>
      <c r="M7030" s="36" t="str">
        <f t="shared" si="109"/>
        <v>19840714</v>
      </c>
    </row>
    <row r="7031" s="1" customFormat="1" spans="1:13">
      <c r="A7031" s="2">
        <v>5579</v>
      </c>
      <c r="B7031" s="30" t="s">
        <v>11090</v>
      </c>
      <c r="C7031" s="30" t="s">
        <v>11252</v>
      </c>
      <c r="D7031" s="30" t="s">
        <v>11253</v>
      </c>
      <c r="E7031" s="5" t="s">
        <v>15</v>
      </c>
      <c r="F7031" s="5" t="s">
        <v>10250</v>
      </c>
      <c r="G7031" s="6" t="s">
        <v>16</v>
      </c>
      <c r="H7031" s="32">
        <v>200</v>
      </c>
      <c r="I7031" s="32">
        <v>200</v>
      </c>
      <c r="J7031" s="6"/>
      <c r="K7031" s="48"/>
      <c r="L7031" s="10">
        <v>20201118</v>
      </c>
      <c r="M7031" s="36" t="str">
        <f t="shared" si="109"/>
        <v>19840714</v>
      </c>
    </row>
    <row r="7032" s="1" customFormat="1" spans="1:13">
      <c r="A7032" s="2">
        <v>1293</v>
      </c>
      <c r="B7032" s="5" t="s">
        <v>2469</v>
      </c>
      <c r="C7032" s="9" t="s">
        <v>3167</v>
      </c>
      <c r="D7032" s="9" t="s">
        <v>3168</v>
      </c>
      <c r="E7032" s="5">
        <v>2020</v>
      </c>
      <c r="F7032" s="5">
        <v>2020</v>
      </c>
      <c r="G7032" s="9" t="s">
        <v>2480</v>
      </c>
      <c r="H7032" s="9">
        <v>200</v>
      </c>
      <c r="I7032" s="9">
        <v>200</v>
      </c>
      <c r="J7032" s="5"/>
      <c r="K7032" s="5"/>
      <c r="L7032" s="10">
        <v>20201118</v>
      </c>
      <c r="M7032" s="36" t="str">
        <f t="shared" si="109"/>
        <v>19840716</v>
      </c>
    </row>
    <row r="7033" s="1" customFormat="1" spans="1:13">
      <c r="A7033" s="2">
        <v>3236</v>
      </c>
      <c r="B7033" s="3" t="s">
        <v>6671</v>
      </c>
      <c r="C7033" s="9" t="s">
        <v>6976</v>
      </c>
      <c r="D7033" s="9" t="s">
        <v>6977</v>
      </c>
      <c r="E7033" s="3" t="s">
        <v>15</v>
      </c>
      <c r="F7033" s="3" t="s">
        <v>15</v>
      </c>
      <c r="G7033" s="6" t="s">
        <v>3359</v>
      </c>
      <c r="H7033" s="9">
        <v>200</v>
      </c>
      <c r="I7033" s="9">
        <v>200</v>
      </c>
      <c r="J7033" s="6"/>
      <c r="K7033" s="5"/>
      <c r="L7033" s="10">
        <v>20201118</v>
      </c>
      <c r="M7033" s="36" t="str">
        <f t="shared" si="109"/>
        <v>19840718</v>
      </c>
    </row>
    <row r="7034" s="1" customFormat="1" spans="1:13">
      <c r="A7034" s="2">
        <v>5757</v>
      </c>
      <c r="B7034" s="30" t="s">
        <v>11090</v>
      </c>
      <c r="C7034" s="30" t="s">
        <v>11595</v>
      </c>
      <c r="D7034" s="30" t="s">
        <v>11596</v>
      </c>
      <c r="E7034" s="5" t="s">
        <v>15</v>
      </c>
      <c r="F7034" s="5" t="s">
        <v>10250</v>
      </c>
      <c r="G7034" s="6" t="s">
        <v>16</v>
      </c>
      <c r="H7034" s="32">
        <v>200</v>
      </c>
      <c r="I7034" s="32">
        <v>200</v>
      </c>
      <c r="J7034" s="6"/>
      <c r="K7034" s="48"/>
      <c r="L7034" s="10">
        <v>20201118</v>
      </c>
      <c r="M7034" s="36" t="str">
        <f t="shared" si="109"/>
        <v>19840720</v>
      </c>
    </row>
    <row r="7035" s="1" customFormat="1" spans="1:13">
      <c r="A7035" s="2">
        <v>7269</v>
      </c>
      <c r="B7035" s="5" t="s">
        <v>13908</v>
      </c>
      <c r="C7035" s="5" t="s">
        <v>14180</v>
      </c>
      <c r="D7035" s="5" t="s">
        <v>14181</v>
      </c>
      <c r="E7035" s="5" t="s">
        <v>15</v>
      </c>
      <c r="F7035" s="5" t="s">
        <v>15</v>
      </c>
      <c r="G7035" s="14" t="s">
        <v>16</v>
      </c>
      <c r="H7035" s="17">
        <v>200</v>
      </c>
      <c r="I7035" s="17">
        <v>200</v>
      </c>
      <c r="J7035" s="5"/>
      <c r="K7035" s="10"/>
      <c r="L7035" s="10">
        <v>20201118</v>
      </c>
      <c r="M7035" s="36" t="str">
        <f t="shared" si="109"/>
        <v>19840720</v>
      </c>
    </row>
    <row r="7036" s="1" customFormat="1" spans="1:13">
      <c r="A7036" s="2">
        <v>843</v>
      </c>
      <c r="B7036" s="29" t="s">
        <v>1040</v>
      </c>
      <c r="C7036" s="29" t="s">
        <v>2177</v>
      </c>
      <c r="D7036" s="29" t="s">
        <v>2178</v>
      </c>
      <c r="E7036" s="30">
        <v>2020</v>
      </c>
      <c r="F7036" s="30">
        <v>2020</v>
      </c>
      <c r="G7036" s="29" t="s">
        <v>16</v>
      </c>
      <c r="H7036" s="29">
        <v>200</v>
      </c>
      <c r="I7036" s="29">
        <v>200</v>
      </c>
      <c r="J7036" s="32"/>
      <c r="K7036" s="32"/>
      <c r="L7036" s="14" t="s">
        <v>330</v>
      </c>
      <c r="M7036" s="36" t="str">
        <f t="shared" si="109"/>
        <v>19840724</v>
      </c>
    </row>
    <row r="7037" s="1" customFormat="1" spans="1:13">
      <c r="A7037" s="2">
        <v>4075</v>
      </c>
      <c r="B7037" s="5" t="s">
        <v>7412</v>
      </c>
      <c r="C7037" s="5" t="s">
        <v>1164</v>
      </c>
      <c r="D7037" s="5" t="s">
        <v>8363</v>
      </c>
      <c r="E7037" s="6">
        <v>2020</v>
      </c>
      <c r="F7037" s="6">
        <v>2020</v>
      </c>
      <c r="G7037" s="5" t="s">
        <v>3359</v>
      </c>
      <c r="H7037" s="5">
        <v>200</v>
      </c>
      <c r="I7037" s="5">
        <v>200</v>
      </c>
      <c r="J7037" s="5"/>
      <c r="K7037" s="5"/>
      <c r="L7037" s="10">
        <v>20201118</v>
      </c>
      <c r="M7037" s="36" t="str">
        <f t="shared" si="109"/>
        <v>19840801</v>
      </c>
    </row>
    <row r="7038" s="1" customFormat="1" spans="1:13">
      <c r="A7038" s="2">
        <v>7857</v>
      </c>
      <c r="B7038" s="5" t="s">
        <v>15086</v>
      </c>
      <c r="C7038" s="6" t="s">
        <v>15129</v>
      </c>
      <c r="D7038" s="6" t="str">
        <f>"152326198408016884"</f>
        <v>152326198408016884</v>
      </c>
      <c r="E7038" s="5" t="s">
        <v>15</v>
      </c>
      <c r="F7038" s="5">
        <v>2020</v>
      </c>
      <c r="G7038" s="5" t="s">
        <v>16</v>
      </c>
      <c r="H7038" s="5">
        <v>200</v>
      </c>
      <c r="I7038" s="5">
        <v>200</v>
      </c>
      <c r="J7038" s="5"/>
      <c r="K7038" s="5"/>
      <c r="L7038" s="10">
        <v>20201118</v>
      </c>
      <c r="M7038" s="36" t="str">
        <f t="shared" si="109"/>
        <v>19840801</v>
      </c>
    </row>
    <row r="7039" s="1" customFormat="1" spans="1:13">
      <c r="A7039" s="2">
        <v>4625</v>
      </c>
      <c r="B7039" s="6" t="s">
        <v>9015</v>
      </c>
      <c r="C7039" s="6" t="s">
        <v>9418</v>
      </c>
      <c r="D7039" s="6" t="s">
        <v>9419</v>
      </c>
      <c r="E7039" s="6">
        <v>2020</v>
      </c>
      <c r="F7039" s="6">
        <v>2020</v>
      </c>
      <c r="G7039" s="6" t="s">
        <v>16</v>
      </c>
      <c r="H7039" s="6">
        <v>200</v>
      </c>
      <c r="I7039" s="6">
        <v>200</v>
      </c>
      <c r="J7039" s="6"/>
      <c r="K7039" s="6"/>
      <c r="L7039" s="10">
        <v>20201118</v>
      </c>
      <c r="M7039" s="36" t="str">
        <f t="shared" si="109"/>
        <v>19840805</v>
      </c>
    </row>
    <row r="7040" s="1" customFormat="1" ht="14.25" spans="1:13">
      <c r="A7040" s="2">
        <v>5444</v>
      </c>
      <c r="B7040" s="33" t="s">
        <v>10535</v>
      </c>
      <c r="C7040" s="34" t="s">
        <v>10987</v>
      </c>
      <c r="D7040" s="34" t="s">
        <v>10988</v>
      </c>
      <c r="E7040" s="35">
        <v>2020</v>
      </c>
      <c r="F7040" s="35">
        <v>2020</v>
      </c>
      <c r="G7040" s="35" t="s">
        <v>16</v>
      </c>
      <c r="H7040" s="34">
        <v>200</v>
      </c>
      <c r="I7040" s="34">
        <v>200</v>
      </c>
      <c r="J7040" s="49"/>
      <c r="K7040" s="10"/>
      <c r="L7040" s="10">
        <v>20201118</v>
      </c>
      <c r="M7040" s="36" t="str">
        <f t="shared" si="109"/>
        <v>19840806</v>
      </c>
    </row>
    <row r="7041" s="1" customFormat="1" spans="1:13">
      <c r="A7041" s="2">
        <v>276</v>
      </c>
      <c r="B7041" s="14" t="s">
        <v>327</v>
      </c>
      <c r="C7041" s="17" t="s">
        <v>714</v>
      </c>
      <c r="D7041" s="306" t="s">
        <v>715</v>
      </c>
      <c r="E7041" s="5">
        <v>2020</v>
      </c>
      <c r="F7041" s="5">
        <v>2020</v>
      </c>
      <c r="G7041" s="14" t="s">
        <v>16</v>
      </c>
      <c r="H7041" s="17">
        <v>200</v>
      </c>
      <c r="I7041" s="17">
        <v>200</v>
      </c>
      <c r="J7041" s="17"/>
      <c r="K7041" s="10"/>
      <c r="L7041" s="14" t="s">
        <v>330</v>
      </c>
      <c r="M7041" s="36" t="str">
        <f t="shared" si="109"/>
        <v>19840807</v>
      </c>
    </row>
    <row r="7042" s="1" customFormat="1" spans="1:13">
      <c r="A7042" s="2">
        <v>1294</v>
      </c>
      <c r="B7042" s="5" t="s">
        <v>2469</v>
      </c>
      <c r="C7042" s="9" t="s">
        <v>3169</v>
      </c>
      <c r="D7042" s="9" t="s">
        <v>3170</v>
      </c>
      <c r="E7042" s="5">
        <v>2020</v>
      </c>
      <c r="F7042" s="5">
        <v>2020</v>
      </c>
      <c r="G7042" s="9" t="s">
        <v>2480</v>
      </c>
      <c r="H7042" s="9">
        <v>200</v>
      </c>
      <c r="I7042" s="9">
        <v>200</v>
      </c>
      <c r="J7042" s="5"/>
      <c r="K7042" s="5"/>
      <c r="L7042" s="10">
        <v>20201118</v>
      </c>
      <c r="M7042" s="36" t="str">
        <f t="shared" ref="M7042:M7105" si="110">MID(D7042,7,8)</f>
        <v>19840811</v>
      </c>
    </row>
    <row r="7043" s="1" customFormat="1" spans="1:13">
      <c r="A7043" s="2">
        <v>5176</v>
      </c>
      <c r="B7043" s="6" t="s">
        <v>10242</v>
      </c>
      <c r="C7043" s="9" t="s">
        <v>10476</v>
      </c>
      <c r="D7043" s="9" t="s">
        <v>10477</v>
      </c>
      <c r="E7043" s="5" t="s">
        <v>10250</v>
      </c>
      <c r="F7043" s="5">
        <v>2020</v>
      </c>
      <c r="G7043" s="6" t="s">
        <v>16</v>
      </c>
      <c r="H7043" s="6">
        <v>200</v>
      </c>
      <c r="I7043" s="6">
        <v>200</v>
      </c>
      <c r="J7043" s="6"/>
      <c r="K7043" s="5"/>
      <c r="L7043" s="10">
        <v>20201118</v>
      </c>
      <c r="M7043" s="36" t="str">
        <f t="shared" si="110"/>
        <v>19840812</v>
      </c>
    </row>
    <row r="7044" s="1" customFormat="1" spans="1:13">
      <c r="A7044" s="2">
        <v>2046</v>
      </c>
      <c r="B7044" s="5" t="s">
        <v>4189</v>
      </c>
      <c r="C7044" s="16" t="s">
        <v>228</v>
      </c>
      <c r="D7044" s="16" t="s">
        <v>4647</v>
      </c>
      <c r="E7044" s="5" t="s">
        <v>15</v>
      </c>
      <c r="F7044" s="5" t="s">
        <v>15</v>
      </c>
      <c r="G7044" s="5" t="s">
        <v>3359</v>
      </c>
      <c r="H7044" s="16">
        <v>200</v>
      </c>
      <c r="I7044" s="16">
        <v>200</v>
      </c>
      <c r="J7044" s="5"/>
      <c r="K7044" s="10"/>
      <c r="L7044" s="10">
        <v>20201118</v>
      </c>
      <c r="M7044" s="36" t="str">
        <f t="shared" si="110"/>
        <v>19840814</v>
      </c>
    </row>
    <row r="7045" s="1" customFormat="1" spans="1:13">
      <c r="A7045" s="2">
        <v>4076</v>
      </c>
      <c r="B7045" s="5" t="s">
        <v>7412</v>
      </c>
      <c r="C7045" s="5" t="s">
        <v>8364</v>
      </c>
      <c r="D7045" s="5" t="s">
        <v>8365</v>
      </c>
      <c r="E7045" s="6">
        <v>2020</v>
      </c>
      <c r="F7045" s="6">
        <v>2020</v>
      </c>
      <c r="G7045" s="5" t="s">
        <v>3359</v>
      </c>
      <c r="H7045" s="5">
        <v>200</v>
      </c>
      <c r="I7045" s="5">
        <v>200</v>
      </c>
      <c r="J7045" s="5"/>
      <c r="K7045" s="5"/>
      <c r="L7045" s="10">
        <v>20201118</v>
      </c>
      <c r="M7045" s="36" t="str">
        <f t="shared" si="110"/>
        <v>19840816</v>
      </c>
    </row>
    <row r="7046" s="1" customFormat="1" spans="1:13">
      <c r="A7046" s="2">
        <v>5771</v>
      </c>
      <c r="B7046" s="30" t="s">
        <v>11090</v>
      </c>
      <c r="C7046" s="30" t="s">
        <v>11617</v>
      </c>
      <c r="D7046" s="30" t="s">
        <v>11618</v>
      </c>
      <c r="E7046" s="5" t="s">
        <v>15</v>
      </c>
      <c r="F7046" s="5" t="s">
        <v>10250</v>
      </c>
      <c r="G7046" s="6" t="s">
        <v>16</v>
      </c>
      <c r="H7046" s="32">
        <v>200</v>
      </c>
      <c r="I7046" s="32">
        <v>200</v>
      </c>
      <c r="J7046" s="6"/>
      <c r="K7046" s="48"/>
      <c r="L7046" s="10">
        <v>20201118</v>
      </c>
      <c r="M7046" s="36" t="str">
        <f t="shared" si="110"/>
        <v>19840823</v>
      </c>
    </row>
    <row r="7047" s="1" customFormat="1" spans="1:13">
      <c r="A7047" s="2">
        <v>4851</v>
      </c>
      <c r="B7047" s="6" t="s">
        <v>9015</v>
      </c>
      <c r="C7047" s="6" t="s">
        <v>2550</v>
      </c>
      <c r="D7047" s="6" t="s">
        <v>9846</v>
      </c>
      <c r="E7047" s="6">
        <v>2020</v>
      </c>
      <c r="F7047" s="6">
        <v>2020</v>
      </c>
      <c r="G7047" s="6" t="s">
        <v>16</v>
      </c>
      <c r="H7047" s="6">
        <v>200</v>
      </c>
      <c r="I7047" s="6">
        <v>200</v>
      </c>
      <c r="J7047" s="6"/>
      <c r="K7047" s="6"/>
      <c r="L7047" s="10">
        <v>20201118</v>
      </c>
      <c r="M7047" s="36" t="str">
        <f t="shared" si="110"/>
        <v>19840827</v>
      </c>
    </row>
    <row r="7048" s="1" customFormat="1" spans="1:13">
      <c r="A7048" s="2">
        <v>1295</v>
      </c>
      <c r="B7048" s="5" t="s">
        <v>2469</v>
      </c>
      <c r="C7048" s="9" t="s">
        <v>3171</v>
      </c>
      <c r="D7048" s="9" t="s">
        <v>3172</v>
      </c>
      <c r="E7048" s="5">
        <v>2020</v>
      </c>
      <c r="F7048" s="5">
        <v>2020</v>
      </c>
      <c r="G7048" s="9" t="s">
        <v>2480</v>
      </c>
      <c r="H7048" s="9">
        <v>200</v>
      </c>
      <c r="I7048" s="9">
        <v>200</v>
      </c>
      <c r="J7048" s="5"/>
      <c r="K7048" s="5"/>
      <c r="L7048" s="10">
        <v>20201118</v>
      </c>
      <c r="M7048" s="36" t="str">
        <f t="shared" si="110"/>
        <v>19840902</v>
      </c>
    </row>
    <row r="7049" s="1" customFormat="1" ht="14.25" spans="1:13">
      <c r="A7049" s="2">
        <v>5963</v>
      </c>
      <c r="B7049" s="30" t="s">
        <v>11090</v>
      </c>
      <c r="C7049" s="32" t="s">
        <v>11973</v>
      </c>
      <c r="D7049" s="12" t="s">
        <v>11974</v>
      </c>
      <c r="E7049" s="5" t="s">
        <v>15</v>
      </c>
      <c r="F7049" s="5" t="s">
        <v>10250</v>
      </c>
      <c r="G7049" s="6" t="s">
        <v>16</v>
      </c>
      <c r="H7049" s="32">
        <v>200</v>
      </c>
      <c r="I7049" s="32">
        <v>200</v>
      </c>
      <c r="J7049" s="6"/>
      <c r="K7049" s="48"/>
      <c r="L7049" s="10">
        <v>20201118</v>
      </c>
      <c r="M7049" s="36" t="str">
        <f t="shared" si="110"/>
        <v>19840903</v>
      </c>
    </row>
    <row r="7050" s="1" customFormat="1" spans="1:13">
      <c r="A7050" s="2">
        <v>5204</v>
      </c>
      <c r="B7050" s="6" t="s">
        <v>10242</v>
      </c>
      <c r="C7050" s="9" t="s">
        <v>4414</v>
      </c>
      <c r="D7050" s="287" t="s">
        <v>10528</v>
      </c>
      <c r="E7050" s="5" t="s">
        <v>10250</v>
      </c>
      <c r="F7050" s="5">
        <v>2020</v>
      </c>
      <c r="G7050" s="6" t="s">
        <v>295</v>
      </c>
      <c r="H7050" s="6">
        <v>200</v>
      </c>
      <c r="I7050" s="6">
        <v>200</v>
      </c>
      <c r="J7050" s="6"/>
      <c r="K7050" s="5"/>
      <c r="L7050" s="10">
        <v>20201118</v>
      </c>
      <c r="M7050" s="36" t="str">
        <f t="shared" si="110"/>
        <v>19840907</v>
      </c>
    </row>
    <row r="7051" s="1" customFormat="1" ht="14.25" spans="1:13">
      <c r="A7051" s="2">
        <v>2767</v>
      </c>
      <c r="B7051" s="32" t="s">
        <v>5602</v>
      </c>
      <c r="C7051" s="32" t="s">
        <v>6061</v>
      </c>
      <c r="D7051" s="85" t="s">
        <v>6062</v>
      </c>
      <c r="E7051" s="32">
        <v>2020</v>
      </c>
      <c r="F7051" s="32">
        <v>2020</v>
      </c>
      <c r="G7051" s="32" t="s">
        <v>16</v>
      </c>
      <c r="H7051" s="9">
        <v>200</v>
      </c>
      <c r="I7051" s="9">
        <v>200</v>
      </c>
      <c r="J7051" s="32"/>
      <c r="K7051" s="52"/>
      <c r="L7051" s="10">
        <v>20201118</v>
      </c>
      <c r="M7051" s="36" t="str">
        <f t="shared" si="110"/>
        <v>19840909</v>
      </c>
    </row>
    <row r="7052" s="1" customFormat="1" spans="1:13">
      <c r="A7052" s="2">
        <v>5636</v>
      </c>
      <c r="B7052" s="30" t="s">
        <v>11090</v>
      </c>
      <c r="C7052" s="30" t="s">
        <v>11360</v>
      </c>
      <c r="D7052" s="30" t="s">
        <v>11361</v>
      </c>
      <c r="E7052" s="5" t="s">
        <v>15</v>
      </c>
      <c r="F7052" s="5" t="s">
        <v>10250</v>
      </c>
      <c r="G7052" s="6" t="s">
        <v>16</v>
      </c>
      <c r="H7052" s="32">
        <v>200</v>
      </c>
      <c r="I7052" s="32">
        <v>200</v>
      </c>
      <c r="J7052" s="6"/>
      <c r="K7052" s="48"/>
      <c r="L7052" s="10">
        <v>20201118</v>
      </c>
      <c r="M7052" s="36" t="str">
        <f t="shared" si="110"/>
        <v>19840909</v>
      </c>
    </row>
    <row r="7053" s="1" customFormat="1" spans="1:13">
      <c r="A7053" s="2">
        <v>7441</v>
      </c>
      <c r="B7053" s="5" t="s">
        <v>14402</v>
      </c>
      <c r="C7053" s="5" t="s">
        <v>14503</v>
      </c>
      <c r="D7053" s="5" t="s">
        <v>14504</v>
      </c>
      <c r="E7053" s="5">
        <v>2020</v>
      </c>
      <c r="F7053" s="5">
        <v>2020</v>
      </c>
      <c r="G7053" s="17" t="s">
        <v>16</v>
      </c>
      <c r="H7053" s="5">
        <v>200</v>
      </c>
      <c r="I7053" s="5">
        <v>200</v>
      </c>
      <c r="J7053" s="5"/>
      <c r="K7053" s="10"/>
      <c r="L7053" s="10">
        <v>20201118</v>
      </c>
      <c r="M7053" s="36" t="str">
        <f t="shared" si="110"/>
        <v>19840909</v>
      </c>
    </row>
    <row r="7054" s="1" customFormat="1" spans="1:13">
      <c r="A7054" s="2">
        <v>4554</v>
      </c>
      <c r="B7054" s="6" t="s">
        <v>9015</v>
      </c>
      <c r="C7054" s="6" t="s">
        <v>9287</v>
      </c>
      <c r="D7054" s="6" t="s">
        <v>9288</v>
      </c>
      <c r="E7054" s="6">
        <v>2020</v>
      </c>
      <c r="F7054" s="6">
        <v>2020</v>
      </c>
      <c r="G7054" s="6" t="s">
        <v>16</v>
      </c>
      <c r="H7054" s="6">
        <v>200</v>
      </c>
      <c r="I7054" s="6">
        <v>200</v>
      </c>
      <c r="J7054" s="6"/>
      <c r="K7054" s="6"/>
      <c r="L7054" s="10">
        <v>20201118</v>
      </c>
      <c r="M7054" s="36" t="str">
        <f t="shared" si="110"/>
        <v>19840911</v>
      </c>
    </row>
    <row r="7055" s="1" customFormat="1" spans="1:13">
      <c r="A7055" s="2">
        <v>852</v>
      </c>
      <c r="B7055" s="29" t="s">
        <v>1040</v>
      </c>
      <c r="C7055" s="6" t="s">
        <v>2203</v>
      </c>
      <c r="D7055" s="6" t="s">
        <v>2204</v>
      </c>
      <c r="E7055" s="30">
        <v>2020</v>
      </c>
      <c r="F7055" s="30">
        <v>2020</v>
      </c>
      <c r="G7055" s="29" t="s">
        <v>16</v>
      </c>
      <c r="H7055" s="29">
        <v>200</v>
      </c>
      <c r="I7055" s="29">
        <v>200</v>
      </c>
      <c r="J7055" s="32"/>
      <c r="K7055" s="32"/>
      <c r="L7055" s="14" t="s">
        <v>330</v>
      </c>
      <c r="M7055" s="36" t="str">
        <f t="shared" si="110"/>
        <v>19840913</v>
      </c>
    </row>
    <row r="7056" s="1" customFormat="1" spans="1:13">
      <c r="A7056" s="2">
        <v>5200</v>
      </c>
      <c r="B7056" s="6" t="s">
        <v>10242</v>
      </c>
      <c r="C7056" s="9" t="s">
        <v>10521</v>
      </c>
      <c r="D7056" s="9" t="s">
        <v>10522</v>
      </c>
      <c r="E7056" s="5" t="s">
        <v>10250</v>
      </c>
      <c r="F7056" s="5">
        <v>2020</v>
      </c>
      <c r="G7056" s="6" t="s">
        <v>16</v>
      </c>
      <c r="H7056" s="6">
        <v>200</v>
      </c>
      <c r="I7056" s="6">
        <v>200</v>
      </c>
      <c r="J7056" s="6"/>
      <c r="K7056" s="5"/>
      <c r="L7056" s="10">
        <v>20201118</v>
      </c>
      <c r="M7056" s="36" t="str">
        <f t="shared" si="110"/>
        <v>19840922</v>
      </c>
    </row>
    <row r="7057" s="1" customFormat="1" spans="1:13">
      <c r="A7057" s="2">
        <v>7612</v>
      </c>
      <c r="B7057" s="5" t="s">
        <v>14402</v>
      </c>
      <c r="C7057" s="5" t="s">
        <v>14822</v>
      </c>
      <c r="D7057" s="5" t="s">
        <v>14823</v>
      </c>
      <c r="E7057" s="5">
        <v>2020</v>
      </c>
      <c r="F7057" s="5">
        <v>2020</v>
      </c>
      <c r="G7057" s="17" t="s">
        <v>16</v>
      </c>
      <c r="H7057" s="5">
        <v>200</v>
      </c>
      <c r="I7057" s="5">
        <v>200</v>
      </c>
      <c r="J7057" s="5"/>
      <c r="K7057" s="10"/>
      <c r="L7057" s="10">
        <v>20201118</v>
      </c>
      <c r="M7057" s="36" t="str">
        <f t="shared" si="110"/>
        <v>19840925</v>
      </c>
    </row>
    <row r="7058" s="1" customFormat="1" ht="14.25" spans="1:13">
      <c r="A7058" s="2">
        <v>6098</v>
      </c>
      <c r="B7058" s="30" t="s">
        <v>11090</v>
      </c>
      <c r="C7058" s="32" t="s">
        <v>12233</v>
      </c>
      <c r="D7058" s="12" t="s">
        <v>12234</v>
      </c>
      <c r="E7058" s="5" t="s">
        <v>15</v>
      </c>
      <c r="F7058" s="5" t="s">
        <v>10250</v>
      </c>
      <c r="G7058" s="6" t="s">
        <v>16</v>
      </c>
      <c r="H7058" s="32">
        <v>200</v>
      </c>
      <c r="I7058" s="32">
        <v>200</v>
      </c>
      <c r="J7058" s="5"/>
      <c r="K7058" s="48"/>
      <c r="L7058" s="10">
        <v>20201118</v>
      </c>
      <c r="M7058" s="36" t="str">
        <f t="shared" si="110"/>
        <v>19840928</v>
      </c>
    </row>
    <row r="7059" s="1" customFormat="1" spans="1:13">
      <c r="A7059" s="2">
        <v>2344</v>
      </c>
      <c r="B7059" s="9" t="s">
        <v>4837</v>
      </c>
      <c r="C7059" s="9" t="s">
        <v>5227</v>
      </c>
      <c r="D7059" s="9" t="s">
        <v>5228</v>
      </c>
      <c r="E7059" s="6" t="s">
        <v>15</v>
      </c>
      <c r="F7059" s="6">
        <v>2020</v>
      </c>
      <c r="G7059" s="9" t="s">
        <v>2480</v>
      </c>
      <c r="H7059" s="9">
        <v>200</v>
      </c>
      <c r="I7059" s="9">
        <v>200</v>
      </c>
      <c r="J7059" s="6"/>
      <c r="K7059" s="10"/>
      <c r="L7059" s="10">
        <v>20201118</v>
      </c>
      <c r="M7059" s="36" t="str">
        <f t="shared" si="110"/>
        <v>19840929</v>
      </c>
    </row>
    <row r="7060" s="1" customFormat="1" spans="1:13">
      <c r="A7060" s="2">
        <v>5064</v>
      </c>
      <c r="B7060" s="6" t="s">
        <v>10242</v>
      </c>
      <c r="C7060" s="9" t="s">
        <v>10265</v>
      </c>
      <c r="D7060" s="9" t="s">
        <v>10266</v>
      </c>
      <c r="E7060" s="5" t="s">
        <v>10250</v>
      </c>
      <c r="F7060" s="5">
        <v>2020</v>
      </c>
      <c r="G7060" s="6" t="s">
        <v>16</v>
      </c>
      <c r="H7060" s="6">
        <v>200</v>
      </c>
      <c r="I7060" s="6">
        <v>200</v>
      </c>
      <c r="J7060" s="6"/>
      <c r="K7060" s="5"/>
      <c r="L7060" s="10">
        <v>20201118</v>
      </c>
      <c r="M7060" s="36" t="str">
        <f t="shared" si="110"/>
        <v>19840929</v>
      </c>
    </row>
    <row r="7061" s="1" customFormat="1" spans="1:13">
      <c r="A7061" s="2">
        <v>7341</v>
      </c>
      <c r="B7061" s="5" t="s">
        <v>13908</v>
      </c>
      <c r="C7061" s="5" t="s">
        <v>14051</v>
      </c>
      <c r="D7061" s="5" t="s">
        <v>14314</v>
      </c>
      <c r="E7061" s="5" t="s">
        <v>15</v>
      </c>
      <c r="F7061" s="5" t="s">
        <v>15</v>
      </c>
      <c r="G7061" s="14" t="s">
        <v>16</v>
      </c>
      <c r="H7061" s="17">
        <v>200</v>
      </c>
      <c r="I7061" s="17">
        <v>200</v>
      </c>
      <c r="J7061" s="5"/>
      <c r="K7061" s="10"/>
      <c r="L7061" s="10">
        <v>20201118</v>
      </c>
      <c r="M7061" s="36" t="str">
        <f t="shared" si="110"/>
        <v>19840929</v>
      </c>
    </row>
    <row r="7062" s="1" customFormat="1" spans="1:13">
      <c r="A7062" s="2">
        <v>316</v>
      </c>
      <c r="B7062" s="14" t="s">
        <v>327</v>
      </c>
      <c r="C7062" s="17" t="s">
        <v>836</v>
      </c>
      <c r="D7062" s="306" t="s">
        <v>837</v>
      </c>
      <c r="E7062" s="5">
        <v>2020</v>
      </c>
      <c r="F7062" s="5">
        <v>2020</v>
      </c>
      <c r="G7062" s="14" t="s">
        <v>16</v>
      </c>
      <c r="H7062" s="17">
        <v>200</v>
      </c>
      <c r="I7062" s="17">
        <v>200</v>
      </c>
      <c r="J7062" s="17"/>
      <c r="K7062" s="10"/>
      <c r="L7062" s="14" t="s">
        <v>330</v>
      </c>
      <c r="M7062" s="36" t="str">
        <f t="shared" si="110"/>
        <v>19840930</v>
      </c>
    </row>
    <row r="7063" s="1" customFormat="1" spans="1:13">
      <c r="A7063" s="2">
        <v>2048</v>
      </c>
      <c r="B7063" s="5" t="s">
        <v>4189</v>
      </c>
      <c r="C7063" s="16" t="s">
        <v>4650</v>
      </c>
      <c r="D7063" s="16" t="s">
        <v>4651</v>
      </c>
      <c r="E7063" s="5" t="s">
        <v>15</v>
      </c>
      <c r="F7063" s="5" t="s">
        <v>15</v>
      </c>
      <c r="G7063" s="5" t="s">
        <v>3359</v>
      </c>
      <c r="H7063" s="16">
        <v>200</v>
      </c>
      <c r="I7063" s="16">
        <v>200</v>
      </c>
      <c r="J7063" s="5"/>
      <c r="K7063" s="10"/>
      <c r="L7063" s="10">
        <v>20201118</v>
      </c>
      <c r="M7063" s="36" t="str">
        <f t="shared" si="110"/>
        <v>19841001</v>
      </c>
    </row>
    <row r="7064" s="1" customFormat="1" ht="14.25" spans="1:13">
      <c r="A7064" s="2">
        <v>3260</v>
      </c>
      <c r="B7064" s="3" t="s">
        <v>6671</v>
      </c>
      <c r="C7064" s="57" t="s">
        <v>7023</v>
      </c>
      <c r="D7064" s="20" t="s">
        <v>7024</v>
      </c>
      <c r="E7064" s="6" t="s">
        <v>15</v>
      </c>
      <c r="F7064" s="5" t="s">
        <v>15</v>
      </c>
      <c r="G7064" s="6" t="s">
        <v>295</v>
      </c>
      <c r="H7064" s="6" t="s">
        <v>311</v>
      </c>
      <c r="I7064" s="6">
        <v>200</v>
      </c>
      <c r="J7064" s="5"/>
      <c r="K7064" s="39"/>
      <c r="L7064" s="10">
        <v>20201118</v>
      </c>
      <c r="M7064" s="36" t="str">
        <f t="shared" si="110"/>
        <v>19841001</v>
      </c>
    </row>
    <row r="7065" s="1" customFormat="1" ht="14.25" spans="1:13">
      <c r="A7065" s="2">
        <v>5445</v>
      </c>
      <c r="B7065" s="33" t="s">
        <v>10535</v>
      </c>
      <c r="C7065" s="34" t="s">
        <v>10989</v>
      </c>
      <c r="D7065" s="64" t="s">
        <v>10990</v>
      </c>
      <c r="E7065" s="35">
        <v>2020</v>
      </c>
      <c r="F7065" s="35">
        <v>2020</v>
      </c>
      <c r="G7065" s="35" t="s">
        <v>16</v>
      </c>
      <c r="H7065" s="34">
        <v>200</v>
      </c>
      <c r="I7065" s="34">
        <v>200</v>
      </c>
      <c r="J7065" s="49"/>
      <c r="K7065" s="10"/>
      <c r="L7065" s="10">
        <v>20201118</v>
      </c>
      <c r="M7065" s="36" t="str">
        <f t="shared" si="110"/>
        <v>19841002</v>
      </c>
    </row>
    <row r="7066" s="1" customFormat="1" spans="1:13">
      <c r="A7066" s="2">
        <v>3294</v>
      </c>
      <c r="B7066" s="5" t="s">
        <v>3375</v>
      </c>
      <c r="C7066" s="6" t="s">
        <v>7068</v>
      </c>
      <c r="D7066" s="6" t="str">
        <f>"152326198410057124"</f>
        <v>152326198410057124</v>
      </c>
      <c r="E7066" s="5" t="s">
        <v>15</v>
      </c>
      <c r="F7066" s="5">
        <v>2020</v>
      </c>
      <c r="G7066" s="14" t="s">
        <v>16</v>
      </c>
      <c r="H7066" s="17">
        <v>200</v>
      </c>
      <c r="I7066" s="17">
        <v>200</v>
      </c>
      <c r="J7066" s="6"/>
      <c r="K7066" s="10"/>
      <c r="L7066" s="10">
        <v>20201118</v>
      </c>
      <c r="M7066" s="36" t="str">
        <f t="shared" si="110"/>
        <v>19841005</v>
      </c>
    </row>
    <row r="7067" s="1" customFormat="1" spans="1:13">
      <c r="A7067" s="2">
        <v>4376</v>
      </c>
      <c r="B7067" s="9" t="s">
        <v>8515</v>
      </c>
      <c r="C7067" s="9" t="s">
        <v>8941</v>
      </c>
      <c r="D7067" s="9" t="s">
        <v>8942</v>
      </c>
      <c r="E7067" s="5" t="s">
        <v>15</v>
      </c>
      <c r="F7067" s="5">
        <v>2020</v>
      </c>
      <c r="G7067" s="9" t="s">
        <v>2480</v>
      </c>
      <c r="H7067" s="9">
        <v>200</v>
      </c>
      <c r="I7067" s="9">
        <v>200</v>
      </c>
      <c r="J7067" s="9"/>
      <c r="K7067" s="9"/>
      <c r="L7067" s="10">
        <v>20201118</v>
      </c>
      <c r="M7067" s="36" t="str">
        <f t="shared" si="110"/>
        <v>19841005</v>
      </c>
    </row>
    <row r="7068" s="1" customFormat="1" spans="1:13">
      <c r="A7068" s="2">
        <v>1806</v>
      </c>
      <c r="B7068" s="5" t="s">
        <v>3381</v>
      </c>
      <c r="C7068" s="9" t="s">
        <v>3060</v>
      </c>
      <c r="D7068" s="9" t="s">
        <v>4175</v>
      </c>
      <c r="E7068" s="5">
        <v>2020</v>
      </c>
      <c r="F7068" s="5">
        <v>2020</v>
      </c>
      <c r="G7068" s="5" t="s">
        <v>189</v>
      </c>
      <c r="H7068" s="6">
        <v>200</v>
      </c>
      <c r="I7068" s="6">
        <v>200</v>
      </c>
      <c r="J7068" s="5"/>
      <c r="K7068" s="13"/>
      <c r="L7068" s="10">
        <v>20201118</v>
      </c>
      <c r="M7068" s="36" t="str">
        <f t="shared" si="110"/>
        <v>19841006</v>
      </c>
    </row>
    <row r="7069" s="1" customFormat="1" ht="14.25" spans="1:13">
      <c r="A7069" s="2">
        <v>2994</v>
      </c>
      <c r="B7069" s="6" t="s">
        <v>6075</v>
      </c>
      <c r="C7069" s="25" t="s">
        <v>6513</v>
      </c>
      <c r="D7069" s="26" t="s">
        <v>6514</v>
      </c>
      <c r="E7069" s="5" t="s">
        <v>15</v>
      </c>
      <c r="F7069" s="5">
        <v>2020</v>
      </c>
      <c r="G7069" s="6" t="s">
        <v>16</v>
      </c>
      <c r="H7069" s="6">
        <v>200</v>
      </c>
      <c r="I7069" s="6">
        <v>200</v>
      </c>
      <c r="J7069" s="6"/>
      <c r="K7069" s="10"/>
      <c r="L7069" s="10">
        <v>20201118</v>
      </c>
      <c r="M7069" s="36" t="str">
        <f t="shared" si="110"/>
        <v>19841006</v>
      </c>
    </row>
    <row r="7070" s="1" customFormat="1" spans="1:13">
      <c r="A7070" s="2">
        <v>3295</v>
      </c>
      <c r="B7070" s="5" t="s">
        <v>3375</v>
      </c>
      <c r="C7070" s="6" t="s">
        <v>7069</v>
      </c>
      <c r="D7070" s="6" t="str">
        <f>"152326198410066899"</f>
        <v>152326198410066899</v>
      </c>
      <c r="E7070" s="5" t="s">
        <v>15</v>
      </c>
      <c r="F7070" s="5">
        <v>2020</v>
      </c>
      <c r="G7070" s="14" t="s">
        <v>16</v>
      </c>
      <c r="H7070" s="17">
        <v>200</v>
      </c>
      <c r="I7070" s="17">
        <v>200</v>
      </c>
      <c r="J7070" s="6"/>
      <c r="K7070" s="10"/>
      <c r="L7070" s="10">
        <v>20201118</v>
      </c>
      <c r="M7070" s="36" t="str">
        <f t="shared" si="110"/>
        <v>19841006</v>
      </c>
    </row>
    <row r="7071" s="1" customFormat="1" ht="14.25" spans="1:13">
      <c r="A7071" s="2">
        <v>6028</v>
      </c>
      <c r="B7071" s="30" t="s">
        <v>11090</v>
      </c>
      <c r="C7071" s="32" t="s">
        <v>12099</v>
      </c>
      <c r="D7071" s="12" t="s">
        <v>12100</v>
      </c>
      <c r="E7071" s="5" t="s">
        <v>15</v>
      </c>
      <c r="F7071" s="5" t="s">
        <v>10250</v>
      </c>
      <c r="G7071" s="6" t="s">
        <v>16</v>
      </c>
      <c r="H7071" s="32">
        <v>200</v>
      </c>
      <c r="I7071" s="32">
        <v>200</v>
      </c>
      <c r="J7071" s="5"/>
      <c r="K7071" s="48"/>
      <c r="L7071" s="10">
        <v>20201118</v>
      </c>
      <c r="M7071" s="36" t="str">
        <f t="shared" si="110"/>
        <v>19841006</v>
      </c>
    </row>
    <row r="7072" s="1" customFormat="1" spans="1:13">
      <c r="A7072" s="2">
        <v>4077</v>
      </c>
      <c r="B7072" s="5" t="s">
        <v>7412</v>
      </c>
      <c r="C7072" s="5" t="s">
        <v>8366</v>
      </c>
      <c r="D7072" s="5" t="s">
        <v>8367</v>
      </c>
      <c r="E7072" s="6">
        <v>2020</v>
      </c>
      <c r="F7072" s="6">
        <v>2020</v>
      </c>
      <c r="G7072" s="5" t="s">
        <v>3359</v>
      </c>
      <c r="H7072" s="5">
        <v>200</v>
      </c>
      <c r="I7072" s="5">
        <v>200</v>
      </c>
      <c r="J7072" s="5"/>
      <c r="K7072" s="5"/>
      <c r="L7072" s="10">
        <v>20201118</v>
      </c>
      <c r="M7072" s="36" t="str">
        <f t="shared" si="110"/>
        <v>19841008</v>
      </c>
    </row>
    <row r="7073" s="1" customFormat="1" spans="1:13">
      <c r="A7073" s="2">
        <v>5527</v>
      </c>
      <c r="B7073" s="30" t="s">
        <v>11090</v>
      </c>
      <c r="C7073" s="30" t="s">
        <v>11150</v>
      </c>
      <c r="D7073" s="30" t="s">
        <v>11151</v>
      </c>
      <c r="E7073" s="5" t="s">
        <v>15</v>
      </c>
      <c r="F7073" s="5" t="s">
        <v>10250</v>
      </c>
      <c r="G7073" s="6" t="s">
        <v>16</v>
      </c>
      <c r="H7073" s="32">
        <v>200</v>
      </c>
      <c r="I7073" s="32">
        <v>200</v>
      </c>
      <c r="J7073" s="6" t="s">
        <v>6097</v>
      </c>
      <c r="K7073" s="48"/>
      <c r="L7073" s="10">
        <v>20201118</v>
      </c>
      <c r="M7073" s="36" t="str">
        <f t="shared" si="110"/>
        <v>19841008</v>
      </c>
    </row>
    <row r="7074" s="1" customFormat="1" spans="1:13">
      <c r="A7074" s="2">
        <v>6350</v>
      </c>
      <c r="B7074" s="5" t="s">
        <v>12263</v>
      </c>
      <c r="C7074" s="5" t="s">
        <v>12716</v>
      </c>
      <c r="D7074" s="5" t="s">
        <v>12717</v>
      </c>
      <c r="E7074" s="5" t="s">
        <v>10250</v>
      </c>
      <c r="F7074" s="5">
        <v>2020</v>
      </c>
      <c r="G7074" s="17" t="s">
        <v>3359</v>
      </c>
      <c r="H7074" s="5" t="s">
        <v>2295</v>
      </c>
      <c r="I7074" s="5">
        <v>500</v>
      </c>
      <c r="J7074" s="5"/>
      <c r="K7074" s="5"/>
      <c r="L7074" s="10">
        <v>20201118</v>
      </c>
      <c r="M7074" s="36" t="str">
        <f t="shared" si="110"/>
        <v>19841008</v>
      </c>
    </row>
    <row r="7075" s="1" customFormat="1" spans="1:13">
      <c r="A7075" s="2">
        <v>7216</v>
      </c>
      <c r="B7075" s="5" t="s">
        <v>13908</v>
      </c>
      <c r="C7075" s="5" t="s">
        <v>14078</v>
      </c>
      <c r="D7075" s="5" t="s">
        <v>14079</v>
      </c>
      <c r="E7075" s="5" t="s">
        <v>15</v>
      </c>
      <c r="F7075" s="5" t="s">
        <v>15</v>
      </c>
      <c r="G7075" s="14" t="s">
        <v>16</v>
      </c>
      <c r="H7075" s="17">
        <v>200</v>
      </c>
      <c r="I7075" s="17">
        <v>200</v>
      </c>
      <c r="J7075" s="5"/>
      <c r="K7075" s="10"/>
      <c r="L7075" s="10">
        <v>20201118</v>
      </c>
      <c r="M7075" s="36" t="str">
        <f t="shared" si="110"/>
        <v>19841008</v>
      </c>
    </row>
    <row r="7076" s="1" customFormat="1" spans="1:13">
      <c r="A7076" s="2">
        <v>1296</v>
      </c>
      <c r="B7076" s="5" t="s">
        <v>2469</v>
      </c>
      <c r="C7076" s="9" t="s">
        <v>3173</v>
      </c>
      <c r="D7076" s="9" t="s">
        <v>3174</v>
      </c>
      <c r="E7076" s="5">
        <v>2020</v>
      </c>
      <c r="F7076" s="5">
        <v>2020</v>
      </c>
      <c r="G7076" s="9" t="s">
        <v>2480</v>
      </c>
      <c r="H7076" s="9">
        <v>200</v>
      </c>
      <c r="I7076" s="9">
        <v>200</v>
      </c>
      <c r="J7076" s="5"/>
      <c r="K7076" s="5"/>
      <c r="L7076" s="10">
        <v>20201118</v>
      </c>
      <c r="M7076" s="36" t="str">
        <f t="shared" si="110"/>
        <v>19841010</v>
      </c>
    </row>
    <row r="7077" s="1" customFormat="1" spans="1:13">
      <c r="A7077" s="2">
        <v>2722</v>
      </c>
      <c r="B7077" s="32" t="s">
        <v>5602</v>
      </c>
      <c r="C7077" s="9" t="s">
        <v>5974</v>
      </c>
      <c r="D7077" s="9" t="s">
        <v>5975</v>
      </c>
      <c r="E7077" s="32">
        <v>2020</v>
      </c>
      <c r="F7077" s="32">
        <v>2020</v>
      </c>
      <c r="G7077" s="32" t="s">
        <v>16</v>
      </c>
      <c r="H7077" s="9">
        <v>200</v>
      </c>
      <c r="I7077" s="9">
        <v>200</v>
      </c>
      <c r="J7077" s="32"/>
      <c r="K7077" s="52"/>
      <c r="L7077" s="10">
        <v>20201118</v>
      </c>
      <c r="M7077" s="36" t="str">
        <f t="shared" si="110"/>
        <v>19841010</v>
      </c>
    </row>
    <row r="7078" s="1" customFormat="1" spans="1:13">
      <c r="A7078" s="2">
        <v>6809</v>
      </c>
      <c r="B7078" s="5" t="s">
        <v>13533</v>
      </c>
      <c r="C7078" s="32" t="s">
        <v>12228</v>
      </c>
      <c r="D7078" s="32" t="s">
        <v>13561</v>
      </c>
      <c r="E7078" s="5">
        <v>2020</v>
      </c>
      <c r="F7078" s="5">
        <v>2020</v>
      </c>
      <c r="G7078" s="9" t="s">
        <v>2480</v>
      </c>
      <c r="H7078" s="32">
        <v>200</v>
      </c>
      <c r="I7078" s="32">
        <v>200</v>
      </c>
      <c r="J7078" s="32"/>
      <c r="K7078" s="10"/>
      <c r="L7078" s="10">
        <v>20201118</v>
      </c>
      <c r="M7078" s="36" t="str">
        <f t="shared" si="110"/>
        <v>19841010</v>
      </c>
    </row>
    <row r="7079" s="1" customFormat="1" spans="1:13">
      <c r="A7079" s="2">
        <v>7168</v>
      </c>
      <c r="B7079" s="5" t="s">
        <v>13908</v>
      </c>
      <c r="C7079" s="5" t="s">
        <v>13992</v>
      </c>
      <c r="D7079" s="5" t="s">
        <v>13993</v>
      </c>
      <c r="E7079" s="5" t="s">
        <v>15</v>
      </c>
      <c r="F7079" s="5" t="s">
        <v>15</v>
      </c>
      <c r="G7079" s="14" t="s">
        <v>16</v>
      </c>
      <c r="H7079" s="17">
        <v>200</v>
      </c>
      <c r="I7079" s="17">
        <v>200</v>
      </c>
      <c r="J7079" s="5"/>
      <c r="K7079" s="10"/>
      <c r="L7079" s="10">
        <v>20201118</v>
      </c>
      <c r="M7079" s="36" t="str">
        <f t="shared" si="110"/>
        <v>19841010</v>
      </c>
    </row>
    <row r="7080" s="1" customFormat="1" spans="1:13">
      <c r="A7080" s="2">
        <v>4946</v>
      </c>
      <c r="B7080" s="6" t="s">
        <v>9954</v>
      </c>
      <c r="C7080" s="3" t="s">
        <v>10033</v>
      </c>
      <c r="D7080" s="3" t="s">
        <v>10034</v>
      </c>
      <c r="E7080" s="5" t="s">
        <v>15</v>
      </c>
      <c r="F7080" s="5" t="s">
        <v>15</v>
      </c>
      <c r="G7080" s="14" t="s">
        <v>16</v>
      </c>
      <c r="H7080" s="6">
        <v>500</v>
      </c>
      <c r="I7080" s="6">
        <v>500</v>
      </c>
      <c r="J7080" s="6"/>
      <c r="K7080" s="6"/>
      <c r="L7080" s="10">
        <v>20201118</v>
      </c>
      <c r="M7080" s="36" t="str">
        <f t="shared" si="110"/>
        <v>19841011</v>
      </c>
    </row>
    <row r="7081" s="1" customFormat="1" spans="1:13">
      <c r="A7081" s="2">
        <v>915</v>
      </c>
      <c r="B7081" s="29" t="s">
        <v>1040</v>
      </c>
      <c r="C7081" s="6" t="s">
        <v>2392</v>
      </c>
      <c r="D7081" s="6" t="s">
        <v>2393</v>
      </c>
      <c r="E7081" s="30">
        <v>2020</v>
      </c>
      <c r="F7081" s="30">
        <v>2020</v>
      </c>
      <c r="G7081" s="29" t="s">
        <v>16</v>
      </c>
      <c r="H7081" s="29">
        <v>200</v>
      </c>
      <c r="I7081" s="29">
        <v>200</v>
      </c>
      <c r="J7081" s="32"/>
      <c r="K7081" s="32"/>
      <c r="L7081" s="14" t="s">
        <v>330</v>
      </c>
      <c r="M7081" s="36" t="str">
        <f t="shared" si="110"/>
        <v>19841012</v>
      </c>
    </row>
    <row r="7082" s="1" customFormat="1" spans="1:13">
      <c r="A7082" s="2">
        <v>1735</v>
      </c>
      <c r="B7082" s="5" t="s">
        <v>3381</v>
      </c>
      <c r="C7082" s="9" t="s">
        <v>4030</v>
      </c>
      <c r="D7082" s="9" t="s">
        <v>4031</v>
      </c>
      <c r="E7082" s="5">
        <v>2020</v>
      </c>
      <c r="F7082" s="5">
        <v>2020</v>
      </c>
      <c r="G7082" s="14" t="s">
        <v>16</v>
      </c>
      <c r="H7082" s="6">
        <v>500</v>
      </c>
      <c r="I7082" s="6">
        <v>500</v>
      </c>
      <c r="J7082" s="5"/>
      <c r="K7082" s="13"/>
      <c r="L7082" s="10">
        <v>20201118</v>
      </c>
      <c r="M7082" s="36" t="str">
        <f t="shared" si="110"/>
        <v>19841012</v>
      </c>
    </row>
    <row r="7083" s="1" customFormat="1" spans="1:13">
      <c r="A7083" s="2">
        <v>3238</v>
      </c>
      <c r="B7083" s="3" t="s">
        <v>6671</v>
      </c>
      <c r="C7083" s="9" t="s">
        <v>6980</v>
      </c>
      <c r="D7083" s="9" t="s">
        <v>6981</v>
      </c>
      <c r="E7083" s="3" t="s">
        <v>15</v>
      </c>
      <c r="F7083" s="3" t="s">
        <v>15</v>
      </c>
      <c r="G7083" s="6" t="s">
        <v>3359</v>
      </c>
      <c r="H7083" s="9">
        <v>200</v>
      </c>
      <c r="I7083" s="9">
        <v>200</v>
      </c>
      <c r="J7083" s="6"/>
      <c r="K7083" s="5"/>
      <c r="L7083" s="10">
        <v>20201118</v>
      </c>
      <c r="M7083" s="36" t="str">
        <f t="shared" si="110"/>
        <v>19841012</v>
      </c>
    </row>
    <row r="7084" s="1" customFormat="1" spans="1:13">
      <c r="A7084" s="2">
        <v>7448</v>
      </c>
      <c r="B7084" s="5" t="s">
        <v>14402</v>
      </c>
      <c r="C7084" s="5" t="s">
        <v>14517</v>
      </c>
      <c r="D7084" s="5" t="s">
        <v>14518</v>
      </c>
      <c r="E7084" s="5">
        <v>2020</v>
      </c>
      <c r="F7084" s="5">
        <v>2020</v>
      </c>
      <c r="G7084" s="17" t="s">
        <v>16</v>
      </c>
      <c r="H7084" s="5">
        <v>200</v>
      </c>
      <c r="I7084" s="5">
        <v>200</v>
      </c>
      <c r="J7084" s="5"/>
      <c r="K7084" s="10"/>
      <c r="L7084" s="10">
        <v>20201118</v>
      </c>
      <c r="M7084" s="36" t="str">
        <f t="shared" si="110"/>
        <v>19841013</v>
      </c>
    </row>
    <row r="7085" s="1" customFormat="1" spans="1:13">
      <c r="A7085" s="2">
        <v>7859</v>
      </c>
      <c r="B7085" s="5" t="s">
        <v>15086</v>
      </c>
      <c r="C7085" s="6" t="s">
        <v>15130</v>
      </c>
      <c r="D7085" s="6" t="str">
        <f>"152326198410136885"</f>
        <v>152326198410136885</v>
      </c>
      <c r="E7085" s="5" t="s">
        <v>15</v>
      </c>
      <c r="F7085" s="5">
        <v>2020</v>
      </c>
      <c r="G7085" s="5" t="s">
        <v>16</v>
      </c>
      <c r="H7085" s="5">
        <v>500</v>
      </c>
      <c r="I7085" s="5">
        <v>500</v>
      </c>
      <c r="J7085" s="5"/>
      <c r="K7085" s="5"/>
      <c r="L7085" s="10">
        <v>20201118</v>
      </c>
      <c r="M7085" s="36" t="str">
        <f t="shared" si="110"/>
        <v>19841013</v>
      </c>
    </row>
    <row r="7086" s="1" customFormat="1" spans="1:13">
      <c r="A7086" s="2">
        <v>1820</v>
      </c>
      <c r="B7086" s="5" t="s">
        <v>4189</v>
      </c>
      <c r="C7086" s="16" t="s">
        <v>4205</v>
      </c>
      <c r="D7086" s="16" t="s">
        <v>4206</v>
      </c>
      <c r="E7086" s="5" t="s">
        <v>15</v>
      </c>
      <c r="F7086" s="5" t="s">
        <v>15</v>
      </c>
      <c r="G7086" s="5" t="s">
        <v>3359</v>
      </c>
      <c r="H7086" s="16">
        <v>200</v>
      </c>
      <c r="I7086" s="16">
        <v>200</v>
      </c>
      <c r="J7086" s="5"/>
      <c r="K7086" s="10"/>
      <c r="L7086" s="10">
        <v>20201118</v>
      </c>
      <c r="M7086" s="36" t="str">
        <f t="shared" si="110"/>
        <v>19841014</v>
      </c>
    </row>
    <row r="7087" s="1" customFormat="1" spans="1:13">
      <c r="A7087" s="2">
        <v>3296</v>
      </c>
      <c r="B7087" s="5" t="s">
        <v>3375</v>
      </c>
      <c r="C7087" s="6" t="s">
        <v>7070</v>
      </c>
      <c r="D7087" s="6" t="str">
        <f>"152326198410155349"</f>
        <v>152326198410155349</v>
      </c>
      <c r="E7087" s="5" t="s">
        <v>15</v>
      </c>
      <c r="F7087" s="5">
        <v>2020</v>
      </c>
      <c r="G7087" s="14" t="s">
        <v>16</v>
      </c>
      <c r="H7087" s="17">
        <v>200</v>
      </c>
      <c r="I7087" s="17">
        <v>200</v>
      </c>
      <c r="J7087" s="6"/>
      <c r="K7087" s="10"/>
      <c r="L7087" s="10">
        <v>20201118</v>
      </c>
      <c r="M7087" s="36" t="str">
        <f t="shared" si="110"/>
        <v>19841015</v>
      </c>
    </row>
    <row r="7088" s="1" customFormat="1" spans="1:13">
      <c r="A7088" s="2">
        <v>7445</v>
      </c>
      <c r="B7088" s="5" t="s">
        <v>14402</v>
      </c>
      <c r="C7088" s="5" t="s">
        <v>14511</v>
      </c>
      <c r="D7088" s="5" t="s">
        <v>14512</v>
      </c>
      <c r="E7088" s="5">
        <v>2020</v>
      </c>
      <c r="F7088" s="5">
        <v>2020</v>
      </c>
      <c r="G7088" s="17" t="s">
        <v>16</v>
      </c>
      <c r="H7088" s="5">
        <v>200</v>
      </c>
      <c r="I7088" s="5">
        <v>200</v>
      </c>
      <c r="J7088" s="5"/>
      <c r="K7088" s="10"/>
      <c r="L7088" s="10">
        <v>20201118</v>
      </c>
      <c r="M7088" s="36" t="str">
        <f t="shared" si="110"/>
        <v>19841017</v>
      </c>
    </row>
    <row r="7089" s="1" customFormat="1" spans="1:13">
      <c r="A7089" s="2">
        <v>7447</v>
      </c>
      <c r="B7089" s="5" t="s">
        <v>14402</v>
      </c>
      <c r="C7089" s="5" t="s">
        <v>14515</v>
      </c>
      <c r="D7089" s="5" t="s">
        <v>14516</v>
      </c>
      <c r="E7089" s="5">
        <v>2020</v>
      </c>
      <c r="F7089" s="5">
        <v>2020</v>
      </c>
      <c r="G7089" s="17" t="s">
        <v>16</v>
      </c>
      <c r="H7089" s="5">
        <v>200</v>
      </c>
      <c r="I7089" s="5">
        <v>200</v>
      </c>
      <c r="J7089" s="5"/>
      <c r="K7089" s="10"/>
      <c r="L7089" s="10">
        <v>20201118</v>
      </c>
      <c r="M7089" s="36" t="str">
        <f t="shared" si="110"/>
        <v>19841017</v>
      </c>
    </row>
    <row r="7090" s="1" customFormat="1" spans="1:13">
      <c r="A7090" s="2">
        <v>808</v>
      </c>
      <c r="B7090" s="29" t="s">
        <v>1040</v>
      </c>
      <c r="C7090" s="5" t="s">
        <v>2074</v>
      </c>
      <c r="D7090" s="317" t="s">
        <v>2075</v>
      </c>
      <c r="E7090" s="30">
        <v>2020</v>
      </c>
      <c r="F7090" s="30">
        <v>2020</v>
      </c>
      <c r="G7090" s="29" t="s">
        <v>16</v>
      </c>
      <c r="H7090" s="29">
        <v>200</v>
      </c>
      <c r="I7090" s="29">
        <v>200</v>
      </c>
      <c r="J7090" s="32"/>
      <c r="K7090" s="32"/>
      <c r="L7090" s="14" t="s">
        <v>330</v>
      </c>
      <c r="M7090" s="36" t="str">
        <f t="shared" si="110"/>
        <v>19841019</v>
      </c>
    </row>
    <row r="7091" s="1" customFormat="1" spans="1:13">
      <c r="A7091" s="2">
        <v>914</v>
      </c>
      <c r="B7091" s="29" t="s">
        <v>1040</v>
      </c>
      <c r="C7091" s="6" t="s">
        <v>2389</v>
      </c>
      <c r="D7091" s="6" t="s">
        <v>2390</v>
      </c>
      <c r="E7091" s="30">
        <v>2020</v>
      </c>
      <c r="F7091" s="30">
        <v>2020</v>
      </c>
      <c r="G7091" s="29" t="s">
        <v>16</v>
      </c>
      <c r="H7091" s="29">
        <v>200</v>
      </c>
      <c r="I7091" s="29">
        <v>200</v>
      </c>
      <c r="J7091" s="32"/>
      <c r="K7091" s="32"/>
      <c r="L7091" s="2" t="s">
        <v>330</v>
      </c>
      <c r="M7091" s="36" t="str">
        <f t="shared" si="110"/>
        <v>19841019</v>
      </c>
    </row>
    <row r="7092" s="1" customFormat="1" spans="1:13">
      <c r="A7092" s="2">
        <v>77</v>
      </c>
      <c r="B7092" s="3" t="s">
        <v>12</v>
      </c>
      <c r="C7092" s="3" t="s">
        <v>169</v>
      </c>
      <c r="D7092" s="3" t="s">
        <v>170</v>
      </c>
      <c r="E7092" s="3" t="s">
        <v>15</v>
      </c>
      <c r="F7092" s="3" t="s">
        <v>15</v>
      </c>
      <c r="G7092" s="2" t="s">
        <v>16</v>
      </c>
      <c r="H7092" s="3">
        <v>200</v>
      </c>
      <c r="I7092" s="3">
        <v>200</v>
      </c>
      <c r="J7092" s="3"/>
      <c r="K7092" s="3"/>
      <c r="L7092" s="10">
        <v>20201118</v>
      </c>
      <c r="M7092" s="36" t="str">
        <f t="shared" si="110"/>
        <v>19841020</v>
      </c>
    </row>
    <row r="7093" s="1" customFormat="1" spans="1:13">
      <c r="A7093" s="2">
        <v>432</v>
      </c>
      <c r="B7093" s="29" t="s">
        <v>1040</v>
      </c>
      <c r="C7093" s="29" t="s">
        <v>1140</v>
      </c>
      <c r="D7093" s="29" t="s">
        <v>1141</v>
      </c>
      <c r="E7093" s="30">
        <v>2020</v>
      </c>
      <c r="F7093" s="30">
        <v>2020</v>
      </c>
      <c r="G7093" s="29" t="s">
        <v>16</v>
      </c>
      <c r="H7093" s="29">
        <v>200</v>
      </c>
      <c r="I7093" s="29">
        <v>200</v>
      </c>
      <c r="J7093" s="29"/>
      <c r="K7093" s="47"/>
      <c r="L7093" s="2" t="s">
        <v>330</v>
      </c>
      <c r="M7093" s="36" t="str">
        <f t="shared" si="110"/>
        <v>19841020</v>
      </c>
    </row>
    <row r="7094" s="1" customFormat="1" spans="1:13">
      <c r="A7094" s="2">
        <v>2723</v>
      </c>
      <c r="B7094" s="32" t="s">
        <v>5602</v>
      </c>
      <c r="C7094" s="9" t="s">
        <v>5976</v>
      </c>
      <c r="D7094" s="9" t="s">
        <v>5977</v>
      </c>
      <c r="E7094" s="32">
        <v>2020</v>
      </c>
      <c r="F7094" s="32">
        <v>2020</v>
      </c>
      <c r="G7094" s="32" t="s">
        <v>16</v>
      </c>
      <c r="H7094" s="9">
        <v>200</v>
      </c>
      <c r="I7094" s="9">
        <v>200</v>
      </c>
      <c r="J7094" s="32"/>
      <c r="K7094" s="52"/>
      <c r="L7094" s="10">
        <v>20201118</v>
      </c>
      <c r="M7094" s="36" t="str">
        <f t="shared" si="110"/>
        <v>19841020</v>
      </c>
    </row>
    <row r="7095" s="1" customFormat="1" spans="1:13">
      <c r="A7095" s="2">
        <v>3540</v>
      </c>
      <c r="B7095" s="5" t="s">
        <v>3375</v>
      </c>
      <c r="C7095" s="5" t="s">
        <v>6417</v>
      </c>
      <c r="D7095" s="296" t="s">
        <v>7351</v>
      </c>
      <c r="E7095" s="5" t="s">
        <v>15</v>
      </c>
      <c r="F7095" s="5">
        <v>2020</v>
      </c>
      <c r="G7095" s="14" t="s">
        <v>16</v>
      </c>
      <c r="H7095" s="5">
        <v>200</v>
      </c>
      <c r="I7095" s="5">
        <v>200</v>
      </c>
      <c r="J7095" s="5"/>
      <c r="K7095" s="10"/>
      <c r="L7095" s="10">
        <v>20201118</v>
      </c>
      <c r="M7095" s="36" t="str">
        <f t="shared" si="110"/>
        <v>19841020</v>
      </c>
    </row>
    <row r="7096" s="1" customFormat="1" spans="1:13">
      <c r="A7096" s="2">
        <v>5032</v>
      </c>
      <c r="B7096" s="6" t="s">
        <v>9954</v>
      </c>
      <c r="C7096" s="60" t="s">
        <v>10197</v>
      </c>
      <c r="D7096" s="60" t="s">
        <v>10198</v>
      </c>
      <c r="E7096" s="5" t="s">
        <v>15</v>
      </c>
      <c r="F7096" s="5" t="s">
        <v>15</v>
      </c>
      <c r="G7096" s="14" t="s">
        <v>16</v>
      </c>
      <c r="H7096" s="6">
        <v>200</v>
      </c>
      <c r="I7096" s="6">
        <v>200</v>
      </c>
      <c r="J7096" s="6"/>
      <c r="K7096" s="6"/>
      <c r="L7096" s="10">
        <v>20201118</v>
      </c>
      <c r="M7096" s="36" t="str">
        <f t="shared" si="110"/>
        <v>19841020</v>
      </c>
    </row>
    <row r="7097" s="1" customFormat="1" spans="1:13">
      <c r="A7097" s="2">
        <v>3297</v>
      </c>
      <c r="B7097" s="5" t="s">
        <v>3375</v>
      </c>
      <c r="C7097" s="6" t="s">
        <v>922</v>
      </c>
      <c r="D7097" s="6" t="str">
        <f>"152324198410213825"</f>
        <v>152324198410213825</v>
      </c>
      <c r="E7097" s="5" t="s">
        <v>15</v>
      </c>
      <c r="F7097" s="5">
        <v>2020</v>
      </c>
      <c r="G7097" s="14" t="s">
        <v>16</v>
      </c>
      <c r="H7097" s="17">
        <v>500</v>
      </c>
      <c r="I7097" s="17">
        <v>500</v>
      </c>
      <c r="J7097" s="6"/>
      <c r="K7097" s="10"/>
      <c r="L7097" s="10">
        <v>20201118</v>
      </c>
      <c r="M7097" s="36" t="str">
        <f t="shared" si="110"/>
        <v>19841021</v>
      </c>
    </row>
    <row r="7098" s="1" customFormat="1" spans="1:13">
      <c r="A7098" s="2">
        <v>4779</v>
      </c>
      <c r="B7098" s="6" t="s">
        <v>9015</v>
      </c>
      <c r="C7098" s="6" t="s">
        <v>9709</v>
      </c>
      <c r="D7098" s="6" t="s">
        <v>9710</v>
      </c>
      <c r="E7098" s="6">
        <v>2020</v>
      </c>
      <c r="F7098" s="6">
        <v>2020</v>
      </c>
      <c r="G7098" s="6" t="s">
        <v>16</v>
      </c>
      <c r="H7098" s="6">
        <v>200</v>
      </c>
      <c r="I7098" s="6">
        <v>200</v>
      </c>
      <c r="J7098" s="6"/>
      <c r="K7098" s="6"/>
      <c r="L7098" s="10">
        <v>20201118</v>
      </c>
      <c r="M7098" s="36" t="str">
        <f t="shared" si="110"/>
        <v>19841021</v>
      </c>
    </row>
    <row r="7099" s="1" customFormat="1" spans="1:13">
      <c r="A7099" s="2">
        <v>1297</v>
      </c>
      <c r="B7099" s="5" t="s">
        <v>2469</v>
      </c>
      <c r="C7099" s="9" t="s">
        <v>3175</v>
      </c>
      <c r="D7099" s="9" t="s">
        <v>3176</v>
      </c>
      <c r="E7099" s="5">
        <v>2020</v>
      </c>
      <c r="F7099" s="5">
        <v>2020</v>
      </c>
      <c r="G7099" s="9" t="s">
        <v>2480</v>
      </c>
      <c r="H7099" s="9">
        <v>200</v>
      </c>
      <c r="I7099" s="9">
        <v>200</v>
      </c>
      <c r="J7099" s="5"/>
      <c r="K7099" s="5"/>
      <c r="L7099" s="10">
        <v>20201118</v>
      </c>
      <c r="M7099" s="36" t="str">
        <f t="shared" si="110"/>
        <v>19841022</v>
      </c>
    </row>
    <row r="7100" s="1" customFormat="1" spans="1:13">
      <c r="A7100" s="2">
        <v>2050</v>
      </c>
      <c r="B7100" s="5" t="s">
        <v>4189</v>
      </c>
      <c r="C7100" s="16" t="s">
        <v>4654</v>
      </c>
      <c r="D7100" s="16" t="s">
        <v>4655</v>
      </c>
      <c r="E7100" s="5" t="s">
        <v>15</v>
      </c>
      <c r="F7100" s="5" t="s">
        <v>15</v>
      </c>
      <c r="G7100" s="5" t="s">
        <v>3359</v>
      </c>
      <c r="H7100" s="16">
        <v>500</v>
      </c>
      <c r="I7100" s="16">
        <v>500</v>
      </c>
      <c r="J7100" s="5"/>
      <c r="K7100" s="10"/>
      <c r="L7100" s="10">
        <v>20201118</v>
      </c>
      <c r="M7100" s="36" t="str">
        <f t="shared" si="110"/>
        <v>19841022</v>
      </c>
    </row>
    <row r="7101" s="1" customFormat="1" spans="1:13">
      <c r="A7101" s="2">
        <v>2107</v>
      </c>
      <c r="B7101" s="5" t="s">
        <v>4189</v>
      </c>
      <c r="C7101" s="9" t="s">
        <v>4765</v>
      </c>
      <c r="D7101" s="9" t="s">
        <v>4766</v>
      </c>
      <c r="E7101" s="5" t="s">
        <v>15</v>
      </c>
      <c r="F7101" s="5" t="s">
        <v>15</v>
      </c>
      <c r="G7101" s="5" t="s">
        <v>3359</v>
      </c>
      <c r="H7101" s="16">
        <v>200</v>
      </c>
      <c r="I7101" s="16">
        <v>200</v>
      </c>
      <c r="J7101" s="5"/>
      <c r="K7101" s="10"/>
      <c r="L7101" s="10">
        <v>20201118</v>
      </c>
      <c r="M7101" s="36" t="str">
        <f t="shared" si="110"/>
        <v>19841022</v>
      </c>
    </row>
    <row r="7102" s="1" customFormat="1" spans="1:13">
      <c r="A7102" s="2">
        <v>7443</v>
      </c>
      <c r="B7102" s="5" t="s">
        <v>14402</v>
      </c>
      <c r="C7102" s="5" t="s">
        <v>14507</v>
      </c>
      <c r="D7102" s="5" t="s">
        <v>14508</v>
      </c>
      <c r="E7102" s="5">
        <v>2020</v>
      </c>
      <c r="F7102" s="5">
        <v>2020</v>
      </c>
      <c r="G7102" s="17" t="s">
        <v>16</v>
      </c>
      <c r="H7102" s="5">
        <v>200</v>
      </c>
      <c r="I7102" s="5">
        <v>200</v>
      </c>
      <c r="J7102" s="5"/>
      <c r="K7102" s="10"/>
      <c r="L7102" s="10">
        <v>20201118</v>
      </c>
      <c r="M7102" s="36" t="str">
        <f t="shared" si="110"/>
        <v>19841024</v>
      </c>
    </row>
    <row r="7103" s="1" customFormat="1" spans="1:13">
      <c r="A7103" s="2">
        <v>730</v>
      </c>
      <c r="B7103" s="29" t="s">
        <v>1040</v>
      </c>
      <c r="C7103" s="5" t="s">
        <v>1840</v>
      </c>
      <c r="D7103" s="317" t="s">
        <v>1841</v>
      </c>
      <c r="E7103" s="30">
        <v>2020</v>
      </c>
      <c r="F7103" s="30">
        <v>2020</v>
      </c>
      <c r="G7103" s="29" t="s">
        <v>16</v>
      </c>
      <c r="H7103" s="29">
        <v>200</v>
      </c>
      <c r="I7103" s="29">
        <v>200</v>
      </c>
      <c r="J7103" s="29"/>
      <c r="K7103" s="54"/>
      <c r="L7103" s="2" t="s">
        <v>330</v>
      </c>
      <c r="M7103" s="36" t="str">
        <f t="shared" si="110"/>
        <v>19841025</v>
      </c>
    </row>
    <row r="7104" s="1" customFormat="1" spans="1:13">
      <c r="A7104" s="2">
        <v>7326</v>
      </c>
      <c r="B7104" s="5" t="s">
        <v>13908</v>
      </c>
      <c r="C7104" s="5" t="s">
        <v>14287</v>
      </c>
      <c r="D7104" s="5" t="s">
        <v>14288</v>
      </c>
      <c r="E7104" s="5" t="s">
        <v>15</v>
      </c>
      <c r="F7104" s="5" t="s">
        <v>15</v>
      </c>
      <c r="G7104" s="14" t="s">
        <v>16</v>
      </c>
      <c r="H7104" s="17">
        <v>200</v>
      </c>
      <c r="I7104" s="17">
        <v>200</v>
      </c>
      <c r="J7104" s="5"/>
      <c r="K7104" s="10"/>
      <c r="L7104" s="10">
        <v>20201118</v>
      </c>
      <c r="M7104" s="36" t="str">
        <f t="shared" si="110"/>
        <v>19841025</v>
      </c>
    </row>
    <row r="7105" s="1" customFormat="1" spans="1:13">
      <c r="A7105" s="2">
        <v>2345</v>
      </c>
      <c r="B7105" s="9" t="s">
        <v>4837</v>
      </c>
      <c r="C7105" s="9" t="s">
        <v>5229</v>
      </c>
      <c r="D7105" s="9" t="s">
        <v>5230</v>
      </c>
      <c r="E7105" s="6" t="s">
        <v>15</v>
      </c>
      <c r="F7105" s="6">
        <v>2020</v>
      </c>
      <c r="G7105" s="9" t="s">
        <v>2480</v>
      </c>
      <c r="H7105" s="9">
        <v>200</v>
      </c>
      <c r="I7105" s="9">
        <v>200</v>
      </c>
      <c r="J7105" s="6"/>
      <c r="K7105" s="10"/>
      <c r="L7105" s="10">
        <v>20201118</v>
      </c>
      <c r="M7105" s="36" t="str">
        <f t="shared" si="110"/>
        <v>19841027</v>
      </c>
    </row>
    <row r="7106" s="1" customFormat="1" spans="1:13">
      <c r="A7106" s="2">
        <v>133</v>
      </c>
      <c r="B7106" s="3" t="s">
        <v>12</v>
      </c>
      <c r="C7106" s="3" t="s">
        <v>282</v>
      </c>
      <c r="D7106" s="3" t="s">
        <v>283</v>
      </c>
      <c r="E7106" s="3" t="s">
        <v>15</v>
      </c>
      <c r="F7106" s="3" t="s">
        <v>15</v>
      </c>
      <c r="G7106" s="3" t="s">
        <v>189</v>
      </c>
      <c r="H7106" s="3">
        <v>200</v>
      </c>
      <c r="I7106" s="3">
        <v>200</v>
      </c>
      <c r="J7106" s="3"/>
      <c r="K7106" s="3"/>
      <c r="L7106" s="10">
        <v>20201118</v>
      </c>
      <c r="M7106" s="36" t="str">
        <f t="shared" ref="M7106:M7169" si="111">MID(D7106,7,8)</f>
        <v>19841028</v>
      </c>
    </row>
    <row r="7107" s="1" customFormat="1" spans="1:13">
      <c r="A7107" s="2">
        <v>4377</v>
      </c>
      <c r="B7107" s="9" t="s">
        <v>8515</v>
      </c>
      <c r="C7107" s="9" t="s">
        <v>8943</v>
      </c>
      <c r="D7107" s="9" t="s">
        <v>8944</v>
      </c>
      <c r="E7107" s="5" t="s">
        <v>15</v>
      </c>
      <c r="F7107" s="5">
        <v>2020</v>
      </c>
      <c r="G7107" s="9" t="s">
        <v>2480</v>
      </c>
      <c r="H7107" s="9">
        <v>200</v>
      </c>
      <c r="I7107" s="9">
        <v>200</v>
      </c>
      <c r="J7107" s="9"/>
      <c r="K7107" s="9"/>
      <c r="L7107" s="10">
        <v>20201118</v>
      </c>
      <c r="M7107" s="36" t="str">
        <f t="shared" si="111"/>
        <v>19841028</v>
      </c>
    </row>
    <row r="7108" s="1" customFormat="1" spans="1:13">
      <c r="A7108" s="2">
        <v>4650</v>
      </c>
      <c r="B7108" s="6" t="s">
        <v>9015</v>
      </c>
      <c r="C7108" s="6" t="s">
        <v>9464</v>
      </c>
      <c r="D7108" s="6" t="s">
        <v>9465</v>
      </c>
      <c r="E7108" s="6">
        <v>2020</v>
      </c>
      <c r="F7108" s="6">
        <v>2020</v>
      </c>
      <c r="G7108" s="6" t="s">
        <v>16</v>
      </c>
      <c r="H7108" s="6">
        <v>200</v>
      </c>
      <c r="I7108" s="6">
        <v>200</v>
      </c>
      <c r="J7108" s="6"/>
      <c r="K7108" s="6"/>
      <c r="L7108" s="10">
        <v>20201118</v>
      </c>
      <c r="M7108" s="36" t="str">
        <f t="shared" si="111"/>
        <v>19841028</v>
      </c>
    </row>
    <row r="7109" s="1" customFormat="1" spans="1:13">
      <c r="A7109" s="2">
        <v>1298</v>
      </c>
      <c r="B7109" s="5" t="s">
        <v>2469</v>
      </c>
      <c r="C7109" s="9" t="s">
        <v>3177</v>
      </c>
      <c r="D7109" s="9" t="s">
        <v>3178</v>
      </c>
      <c r="E7109" s="5">
        <v>2020</v>
      </c>
      <c r="F7109" s="5">
        <v>2020</v>
      </c>
      <c r="G7109" s="9" t="s">
        <v>2480</v>
      </c>
      <c r="H7109" s="9">
        <v>200</v>
      </c>
      <c r="I7109" s="9">
        <v>200</v>
      </c>
      <c r="J7109" s="5"/>
      <c r="K7109" s="5"/>
      <c r="L7109" s="10">
        <v>20201118</v>
      </c>
      <c r="M7109" s="36" t="str">
        <f t="shared" si="111"/>
        <v>19841030</v>
      </c>
    </row>
    <row r="7110" s="1" customFormat="1" spans="1:13">
      <c r="A7110" s="2">
        <v>2027</v>
      </c>
      <c r="B7110" s="5" t="s">
        <v>4189</v>
      </c>
      <c r="C7110" s="16" t="s">
        <v>4611</v>
      </c>
      <c r="D7110" s="16" t="s">
        <v>4612</v>
      </c>
      <c r="E7110" s="5" t="s">
        <v>15</v>
      </c>
      <c r="F7110" s="5" t="s">
        <v>15</v>
      </c>
      <c r="G7110" s="5" t="s">
        <v>3359</v>
      </c>
      <c r="H7110" s="16">
        <v>500</v>
      </c>
      <c r="I7110" s="16">
        <v>500</v>
      </c>
      <c r="J7110" s="5"/>
      <c r="K7110" s="10"/>
      <c r="L7110" s="10">
        <v>20201118</v>
      </c>
      <c r="M7110" s="36" t="str">
        <f t="shared" si="111"/>
        <v>19841103</v>
      </c>
    </row>
    <row r="7111" s="1" customFormat="1" spans="1:13">
      <c r="A7111" s="2">
        <v>47</v>
      </c>
      <c r="B7111" s="31" t="s">
        <v>12</v>
      </c>
      <c r="C7111" s="17" t="s">
        <v>109</v>
      </c>
      <c r="D7111" s="17" t="s">
        <v>110</v>
      </c>
      <c r="E7111" s="3" t="s">
        <v>15</v>
      </c>
      <c r="F7111" s="3" t="s">
        <v>15</v>
      </c>
      <c r="G7111" s="2" t="s">
        <v>16</v>
      </c>
      <c r="H7111" s="17">
        <v>200</v>
      </c>
      <c r="I7111" s="17">
        <v>200</v>
      </c>
      <c r="J7111" s="17"/>
      <c r="K7111" s="17"/>
      <c r="L7111" s="10">
        <v>20201118</v>
      </c>
      <c r="M7111" s="36" t="str">
        <f t="shared" si="111"/>
        <v>19841106</v>
      </c>
    </row>
    <row r="7112" s="1" customFormat="1" spans="1:13">
      <c r="A7112" s="2">
        <v>4078</v>
      </c>
      <c r="B7112" s="5" t="s">
        <v>7412</v>
      </c>
      <c r="C7112" s="5" t="s">
        <v>8368</v>
      </c>
      <c r="D7112" s="5" t="s">
        <v>8369</v>
      </c>
      <c r="E7112" s="6">
        <v>2020</v>
      </c>
      <c r="F7112" s="6">
        <v>2020</v>
      </c>
      <c r="G7112" s="5" t="s">
        <v>3359</v>
      </c>
      <c r="H7112" s="5">
        <v>200</v>
      </c>
      <c r="I7112" s="5">
        <v>200</v>
      </c>
      <c r="J7112" s="5"/>
      <c r="K7112" s="5"/>
      <c r="L7112" s="10">
        <v>20201118</v>
      </c>
      <c r="M7112" s="36" t="str">
        <f t="shared" si="111"/>
        <v>19841106</v>
      </c>
    </row>
    <row r="7113" s="1" customFormat="1" spans="1:13">
      <c r="A7113" s="2">
        <v>7126</v>
      </c>
      <c r="B7113" s="5" t="s">
        <v>13908</v>
      </c>
      <c r="C7113" s="5" t="s">
        <v>13912</v>
      </c>
      <c r="D7113" s="5" t="s">
        <v>13913</v>
      </c>
      <c r="E7113" s="5" t="s">
        <v>15</v>
      </c>
      <c r="F7113" s="5" t="s">
        <v>15</v>
      </c>
      <c r="G7113" s="14" t="s">
        <v>16</v>
      </c>
      <c r="H7113" s="17">
        <v>200</v>
      </c>
      <c r="I7113" s="17">
        <v>200</v>
      </c>
      <c r="J7113" s="5"/>
      <c r="K7113" s="10"/>
      <c r="L7113" s="10">
        <v>20201118</v>
      </c>
      <c r="M7113" s="36" t="str">
        <f t="shared" si="111"/>
        <v>19841107</v>
      </c>
    </row>
    <row r="7114" s="1" customFormat="1" ht="14.25" spans="1:13">
      <c r="A7114" s="2">
        <v>5984</v>
      </c>
      <c r="B7114" s="30" t="s">
        <v>11090</v>
      </c>
      <c r="C7114" s="32" t="s">
        <v>12014</v>
      </c>
      <c r="D7114" s="12" t="s">
        <v>12015</v>
      </c>
      <c r="E7114" s="5" t="s">
        <v>15</v>
      </c>
      <c r="F7114" s="5" t="s">
        <v>10250</v>
      </c>
      <c r="G7114" s="6" t="s">
        <v>16</v>
      </c>
      <c r="H7114" s="32">
        <v>200</v>
      </c>
      <c r="I7114" s="32">
        <v>200</v>
      </c>
      <c r="J7114" s="6"/>
      <c r="K7114" s="48"/>
      <c r="L7114" s="10">
        <v>20201118</v>
      </c>
      <c r="M7114" s="36" t="str">
        <f t="shared" si="111"/>
        <v>19841108</v>
      </c>
    </row>
    <row r="7115" s="1" customFormat="1" spans="1:13">
      <c r="A7115" s="2">
        <v>377</v>
      </c>
      <c r="B7115" s="14" t="s">
        <v>327</v>
      </c>
      <c r="C7115" s="3" t="s">
        <v>1018</v>
      </c>
      <c r="D7115" s="3" t="s">
        <v>1019</v>
      </c>
      <c r="E7115" s="5">
        <v>2020</v>
      </c>
      <c r="F7115" s="5">
        <v>2020</v>
      </c>
      <c r="G7115" s="17" t="s">
        <v>1007</v>
      </c>
      <c r="H7115" s="17">
        <v>200</v>
      </c>
      <c r="I7115" s="17">
        <v>200</v>
      </c>
      <c r="J7115" s="3"/>
      <c r="K7115" s="10"/>
      <c r="L7115" s="2" t="s">
        <v>330</v>
      </c>
      <c r="M7115" s="36" t="str">
        <f t="shared" si="111"/>
        <v>19841111</v>
      </c>
    </row>
    <row r="7116" s="1" customFormat="1" spans="1:13">
      <c r="A7116" s="2">
        <v>696</v>
      </c>
      <c r="B7116" s="29" t="s">
        <v>1040</v>
      </c>
      <c r="C7116" s="5" t="s">
        <v>1740</v>
      </c>
      <c r="D7116" s="5" t="s">
        <v>1741</v>
      </c>
      <c r="E7116" s="30">
        <v>2020</v>
      </c>
      <c r="F7116" s="30">
        <v>2020</v>
      </c>
      <c r="G7116" s="29" t="s">
        <v>16</v>
      </c>
      <c r="H7116" s="29">
        <v>500</v>
      </c>
      <c r="I7116" s="29">
        <v>500</v>
      </c>
      <c r="J7116" s="29"/>
      <c r="K7116" s="54"/>
      <c r="L7116" s="14" t="s">
        <v>330</v>
      </c>
      <c r="M7116" s="36" t="str">
        <f t="shared" si="111"/>
        <v>19841111</v>
      </c>
    </row>
    <row r="7117" s="1" customFormat="1" spans="1:13">
      <c r="A7117" s="2">
        <v>7861</v>
      </c>
      <c r="B7117" s="5" t="s">
        <v>15086</v>
      </c>
      <c r="C7117" s="6" t="s">
        <v>15132</v>
      </c>
      <c r="D7117" s="6" t="str">
        <f>"152326198411176918"</f>
        <v>152326198411176918</v>
      </c>
      <c r="E7117" s="5" t="s">
        <v>15</v>
      </c>
      <c r="F7117" s="5">
        <v>2020</v>
      </c>
      <c r="G7117" s="5" t="s">
        <v>16</v>
      </c>
      <c r="H7117" s="5">
        <v>200</v>
      </c>
      <c r="I7117" s="5">
        <v>200</v>
      </c>
      <c r="J7117" s="5"/>
      <c r="K7117" s="5"/>
      <c r="L7117" s="10">
        <v>20201118</v>
      </c>
      <c r="M7117" s="36" t="str">
        <f t="shared" si="111"/>
        <v>19841117</v>
      </c>
    </row>
    <row r="7118" s="1" customFormat="1" spans="1:13">
      <c r="A7118" s="2">
        <v>2509</v>
      </c>
      <c r="B7118" s="5" t="s">
        <v>5328</v>
      </c>
      <c r="C7118" s="16" t="s">
        <v>5552</v>
      </c>
      <c r="D7118" s="16" t="s">
        <v>5553</v>
      </c>
      <c r="E7118" s="5" t="s">
        <v>15</v>
      </c>
      <c r="F7118" s="5" t="s">
        <v>15</v>
      </c>
      <c r="G7118" s="14" t="s">
        <v>16</v>
      </c>
      <c r="H7118" s="6">
        <v>200</v>
      </c>
      <c r="I7118" s="6">
        <v>200</v>
      </c>
      <c r="J7118" s="5"/>
      <c r="K7118" s="5"/>
      <c r="L7118" s="10">
        <v>20201118</v>
      </c>
      <c r="M7118" s="36" t="str">
        <f t="shared" si="111"/>
        <v>19841118</v>
      </c>
    </row>
    <row r="7119" s="1" customFormat="1" spans="1:13">
      <c r="A7119" s="2">
        <v>5177</v>
      </c>
      <c r="B7119" s="6" t="s">
        <v>10242</v>
      </c>
      <c r="C7119" s="9" t="s">
        <v>10355</v>
      </c>
      <c r="D7119" s="9" t="s">
        <v>10478</v>
      </c>
      <c r="E7119" s="5" t="s">
        <v>10250</v>
      </c>
      <c r="F7119" s="5">
        <v>2020</v>
      </c>
      <c r="G7119" s="6" t="s">
        <v>16</v>
      </c>
      <c r="H7119" s="6">
        <v>200</v>
      </c>
      <c r="I7119" s="6">
        <v>200</v>
      </c>
      <c r="J7119" s="6"/>
      <c r="K7119" s="5"/>
      <c r="L7119" s="10">
        <v>20201118</v>
      </c>
      <c r="M7119" s="36" t="str">
        <f t="shared" si="111"/>
        <v>19841118</v>
      </c>
    </row>
    <row r="7120" s="1" customFormat="1" spans="1:13">
      <c r="A7120" s="2">
        <v>4955</v>
      </c>
      <c r="B7120" s="6" t="s">
        <v>9954</v>
      </c>
      <c r="C7120" s="60" t="s">
        <v>10050</v>
      </c>
      <c r="D7120" s="60" t="s">
        <v>10051</v>
      </c>
      <c r="E7120" s="5" t="s">
        <v>15</v>
      </c>
      <c r="F7120" s="5" t="s">
        <v>15</v>
      </c>
      <c r="G7120" s="14" t="s">
        <v>16</v>
      </c>
      <c r="H7120" s="6">
        <v>200</v>
      </c>
      <c r="I7120" s="6">
        <v>200</v>
      </c>
      <c r="J7120" s="6"/>
      <c r="K7120" s="6"/>
      <c r="L7120" s="10">
        <v>20201118</v>
      </c>
      <c r="M7120" s="36" t="str">
        <f t="shared" si="111"/>
        <v>19841119</v>
      </c>
    </row>
    <row r="7121" s="1" customFormat="1" spans="1:13">
      <c r="A7121" s="2">
        <v>4079</v>
      </c>
      <c r="B7121" s="5" t="s">
        <v>7412</v>
      </c>
      <c r="C7121" s="5" t="s">
        <v>8370</v>
      </c>
      <c r="D7121" s="5" t="s">
        <v>8371</v>
      </c>
      <c r="E7121" s="6">
        <v>2020</v>
      </c>
      <c r="F7121" s="6">
        <v>2020</v>
      </c>
      <c r="G7121" s="5" t="s">
        <v>3359</v>
      </c>
      <c r="H7121" s="5">
        <v>200</v>
      </c>
      <c r="I7121" s="5">
        <v>200</v>
      </c>
      <c r="J7121" s="5"/>
      <c r="K7121" s="5"/>
      <c r="L7121" s="10">
        <v>20201118</v>
      </c>
      <c r="M7121" s="36" t="str">
        <f t="shared" si="111"/>
        <v>19841123</v>
      </c>
    </row>
    <row r="7122" s="1" customFormat="1" spans="1:13">
      <c r="A7122" s="2">
        <v>7858</v>
      </c>
      <c r="B7122" s="5" t="s">
        <v>15086</v>
      </c>
      <c r="C7122" s="6" t="s">
        <v>8720</v>
      </c>
      <c r="D7122" s="6" t="str">
        <f>"152326198411256889"</f>
        <v>152326198411256889</v>
      </c>
      <c r="E7122" s="5" t="s">
        <v>15</v>
      </c>
      <c r="F7122" s="5">
        <v>2020</v>
      </c>
      <c r="G7122" s="5" t="s">
        <v>16</v>
      </c>
      <c r="H7122" s="5">
        <v>200</v>
      </c>
      <c r="I7122" s="5">
        <v>200</v>
      </c>
      <c r="J7122" s="5"/>
      <c r="K7122" s="5"/>
      <c r="L7122" s="10">
        <v>20201118</v>
      </c>
      <c r="M7122" s="36" t="str">
        <f t="shared" si="111"/>
        <v>19841125</v>
      </c>
    </row>
    <row r="7123" s="1" customFormat="1" spans="1:13">
      <c r="A7123" s="2">
        <v>4758</v>
      </c>
      <c r="B7123" s="6" t="s">
        <v>9015</v>
      </c>
      <c r="C7123" s="6" t="s">
        <v>9670</v>
      </c>
      <c r="D7123" s="6" t="s">
        <v>9671</v>
      </c>
      <c r="E7123" s="6">
        <v>2020</v>
      </c>
      <c r="F7123" s="6">
        <v>2020</v>
      </c>
      <c r="G7123" s="6" t="s">
        <v>16</v>
      </c>
      <c r="H7123" s="6">
        <v>200</v>
      </c>
      <c r="I7123" s="6">
        <v>200</v>
      </c>
      <c r="J7123" s="6"/>
      <c r="K7123" s="6"/>
      <c r="L7123" s="10">
        <v>20201118</v>
      </c>
      <c r="M7123" s="36" t="str">
        <f t="shared" si="111"/>
        <v>19841126</v>
      </c>
    </row>
    <row r="7124" s="1" customFormat="1" spans="1:13">
      <c r="A7124" s="2">
        <v>4080</v>
      </c>
      <c r="B7124" s="5" t="s">
        <v>7412</v>
      </c>
      <c r="C7124" s="5" t="s">
        <v>8372</v>
      </c>
      <c r="D7124" s="5" t="s">
        <v>8373</v>
      </c>
      <c r="E7124" s="6">
        <v>2020</v>
      </c>
      <c r="F7124" s="6">
        <v>2020</v>
      </c>
      <c r="G7124" s="5" t="s">
        <v>3359</v>
      </c>
      <c r="H7124" s="5">
        <v>200</v>
      </c>
      <c r="I7124" s="5">
        <v>200</v>
      </c>
      <c r="J7124" s="5" t="s">
        <v>1242</v>
      </c>
      <c r="K7124" s="5"/>
      <c r="L7124" s="10">
        <v>20201118</v>
      </c>
      <c r="M7124" s="36" t="str">
        <f t="shared" si="111"/>
        <v>19841127</v>
      </c>
    </row>
    <row r="7125" s="1" customFormat="1" spans="1:13">
      <c r="A7125" s="2">
        <v>85</v>
      </c>
      <c r="B7125" s="3" t="s">
        <v>12</v>
      </c>
      <c r="C7125" s="6" t="s">
        <v>185</v>
      </c>
      <c r="D7125" s="6" t="s">
        <v>186</v>
      </c>
      <c r="E7125" s="3" t="s">
        <v>15</v>
      </c>
      <c r="F7125" s="3" t="s">
        <v>15</v>
      </c>
      <c r="G7125" s="2" t="s">
        <v>16</v>
      </c>
      <c r="H7125" s="3">
        <v>300</v>
      </c>
      <c r="I7125" s="3">
        <v>300</v>
      </c>
      <c r="J7125" s="3"/>
      <c r="K7125" s="3"/>
      <c r="L7125" s="10">
        <v>20201118</v>
      </c>
      <c r="M7125" s="36" t="str">
        <f t="shared" si="111"/>
        <v>19841128</v>
      </c>
    </row>
    <row r="7126" s="1" customFormat="1" spans="1:13">
      <c r="A7126" s="2">
        <v>878</v>
      </c>
      <c r="B7126" s="29" t="s">
        <v>1040</v>
      </c>
      <c r="C7126" s="6" t="s">
        <v>2281</v>
      </c>
      <c r="D7126" s="6" t="s">
        <v>2282</v>
      </c>
      <c r="E7126" s="30">
        <v>2020</v>
      </c>
      <c r="F7126" s="30">
        <v>2020</v>
      </c>
      <c r="G7126" s="29" t="s">
        <v>16</v>
      </c>
      <c r="H7126" s="29">
        <v>200</v>
      </c>
      <c r="I7126" s="29">
        <v>200</v>
      </c>
      <c r="J7126" s="32"/>
      <c r="K7126" s="32"/>
      <c r="L7126" s="14" t="s">
        <v>330</v>
      </c>
      <c r="M7126" s="36" t="str">
        <f t="shared" si="111"/>
        <v>19841128</v>
      </c>
    </row>
    <row r="7127" s="1" customFormat="1" spans="1:13">
      <c r="A7127" s="2">
        <v>5953</v>
      </c>
      <c r="B7127" s="30" t="s">
        <v>11090</v>
      </c>
      <c r="C7127" s="6" t="s">
        <v>11953</v>
      </c>
      <c r="D7127" s="293" t="s">
        <v>11954</v>
      </c>
      <c r="E7127" s="5" t="s">
        <v>15</v>
      </c>
      <c r="F7127" s="5" t="s">
        <v>10250</v>
      </c>
      <c r="G7127" s="6" t="s">
        <v>16</v>
      </c>
      <c r="H7127" s="32">
        <v>200</v>
      </c>
      <c r="I7127" s="32">
        <v>200</v>
      </c>
      <c r="J7127" s="6"/>
      <c r="K7127" s="48"/>
      <c r="L7127" s="10">
        <v>20201118</v>
      </c>
      <c r="M7127" s="36" t="str">
        <f t="shared" si="111"/>
        <v>19841203</v>
      </c>
    </row>
    <row r="7128" s="1" customFormat="1" spans="1:13">
      <c r="A7128" s="2">
        <v>4898</v>
      </c>
      <c r="B7128" s="6" t="s">
        <v>9015</v>
      </c>
      <c r="C7128" s="6" t="s">
        <v>9934</v>
      </c>
      <c r="D7128" s="6" t="s">
        <v>9935</v>
      </c>
      <c r="E7128" s="6">
        <v>2020</v>
      </c>
      <c r="F7128" s="6">
        <v>2020</v>
      </c>
      <c r="G7128" s="6" t="s">
        <v>189</v>
      </c>
      <c r="H7128" s="6">
        <v>200</v>
      </c>
      <c r="I7128" s="6">
        <v>200</v>
      </c>
      <c r="J7128" s="6"/>
      <c r="K7128" s="6"/>
      <c r="L7128" s="10">
        <v>20201118</v>
      </c>
      <c r="M7128" s="36" t="str">
        <f t="shared" si="111"/>
        <v>19841205</v>
      </c>
    </row>
    <row r="7129" s="1" customFormat="1" spans="1:13">
      <c r="A7129" s="2">
        <v>6811</v>
      </c>
      <c r="B7129" s="5" t="s">
        <v>13533</v>
      </c>
      <c r="C7129" s="32" t="s">
        <v>13563</v>
      </c>
      <c r="D7129" s="32" t="str">
        <f>"152326198412087140"</f>
        <v>152326198412087140</v>
      </c>
      <c r="E7129" s="5">
        <v>2020</v>
      </c>
      <c r="F7129" s="5">
        <v>2020</v>
      </c>
      <c r="G7129" s="9" t="s">
        <v>2480</v>
      </c>
      <c r="H7129" s="32">
        <v>200</v>
      </c>
      <c r="I7129" s="32">
        <v>200</v>
      </c>
      <c r="J7129" s="62"/>
      <c r="K7129" s="10"/>
      <c r="L7129" s="10">
        <v>20201118</v>
      </c>
      <c r="M7129" s="36" t="str">
        <f t="shared" si="111"/>
        <v>19841208</v>
      </c>
    </row>
    <row r="7130" s="1" customFormat="1" ht="14.25" spans="1:13">
      <c r="A7130" s="2">
        <v>5967</v>
      </c>
      <c r="B7130" s="30" t="s">
        <v>11090</v>
      </c>
      <c r="C7130" s="32" t="s">
        <v>11981</v>
      </c>
      <c r="D7130" s="12" t="s">
        <v>11982</v>
      </c>
      <c r="E7130" s="5" t="s">
        <v>15</v>
      </c>
      <c r="F7130" s="5" t="s">
        <v>10250</v>
      </c>
      <c r="G7130" s="6" t="s">
        <v>16</v>
      </c>
      <c r="H7130" s="32">
        <v>200</v>
      </c>
      <c r="I7130" s="32">
        <v>200</v>
      </c>
      <c r="J7130" s="6"/>
      <c r="K7130" s="48"/>
      <c r="L7130" s="10">
        <v>20201118</v>
      </c>
      <c r="M7130" s="36" t="str">
        <f t="shared" si="111"/>
        <v>19841210</v>
      </c>
    </row>
    <row r="7131" s="1" customFormat="1" spans="1:13">
      <c r="A7131" s="2">
        <v>7218</v>
      </c>
      <c r="B7131" s="5" t="s">
        <v>13908</v>
      </c>
      <c r="C7131" s="5" t="s">
        <v>14082</v>
      </c>
      <c r="D7131" s="5" t="s">
        <v>14083</v>
      </c>
      <c r="E7131" s="5" t="s">
        <v>15</v>
      </c>
      <c r="F7131" s="5" t="s">
        <v>15</v>
      </c>
      <c r="G7131" s="14" t="s">
        <v>16</v>
      </c>
      <c r="H7131" s="17">
        <v>200</v>
      </c>
      <c r="I7131" s="17">
        <v>200</v>
      </c>
      <c r="J7131" s="5"/>
      <c r="K7131" s="10"/>
      <c r="L7131" s="10">
        <v>20201118</v>
      </c>
      <c r="M7131" s="36" t="str">
        <f t="shared" si="111"/>
        <v>19841212</v>
      </c>
    </row>
    <row r="7132" s="1" customFormat="1" spans="1:13">
      <c r="A7132" s="2">
        <v>4798</v>
      </c>
      <c r="B7132" s="6" t="s">
        <v>9015</v>
      </c>
      <c r="C7132" s="6" t="s">
        <v>3163</v>
      </c>
      <c r="D7132" s="6" t="s">
        <v>9746</v>
      </c>
      <c r="E7132" s="6">
        <v>2020</v>
      </c>
      <c r="F7132" s="6">
        <v>2020</v>
      </c>
      <c r="G7132" s="6" t="s">
        <v>16</v>
      </c>
      <c r="H7132" s="6">
        <v>200</v>
      </c>
      <c r="I7132" s="6">
        <v>200</v>
      </c>
      <c r="J7132" s="6"/>
      <c r="K7132" s="6"/>
      <c r="L7132" s="10">
        <v>20201118</v>
      </c>
      <c r="M7132" s="36" t="str">
        <f t="shared" si="111"/>
        <v>19841213</v>
      </c>
    </row>
    <row r="7133" s="1" customFormat="1" spans="1:13">
      <c r="A7133" s="2">
        <v>7442</v>
      </c>
      <c r="B7133" s="5" t="s">
        <v>14402</v>
      </c>
      <c r="C7133" s="5" t="s">
        <v>14505</v>
      </c>
      <c r="D7133" s="5" t="s">
        <v>14506</v>
      </c>
      <c r="E7133" s="5">
        <v>2020</v>
      </c>
      <c r="F7133" s="5">
        <v>2020</v>
      </c>
      <c r="G7133" s="17" t="s">
        <v>16</v>
      </c>
      <c r="H7133" s="5">
        <v>200</v>
      </c>
      <c r="I7133" s="5">
        <v>200</v>
      </c>
      <c r="J7133" s="5"/>
      <c r="K7133" s="10"/>
      <c r="L7133" s="10">
        <v>20201118</v>
      </c>
      <c r="M7133" s="36" t="str">
        <f t="shared" si="111"/>
        <v>19841213</v>
      </c>
    </row>
    <row r="7134" s="1" customFormat="1" ht="14.25" spans="1:13">
      <c r="A7134" s="2">
        <v>5446</v>
      </c>
      <c r="B7134" s="33" t="s">
        <v>10535</v>
      </c>
      <c r="C7134" s="34" t="s">
        <v>10991</v>
      </c>
      <c r="D7134" s="34" t="s">
        <v>10992</v>
      </c>
      <c r="E7134" s="35">
        <v>2020</v>
      </c>
      <c r="F7134" s="35">
        <v>2020</v>
      </c>
      <c r="G7134" s="35" t="s">
        <v>16</v>
      </c>
      <c r="H7134" s="34">
        <v>200</v>
      </c>
      <c r="I7134" s="34">
        <v>200</v>
      </c>
      <c r="J7134" s="49"/>
      <c r="K7134" s="10"/>
      <c r="L7134" s="10">
        <v>20201118</v>
      </c>
      <c r="M7134" s="36" t="str">
        <f t="shared" si="111"/>
        <v>19841215</v>
      </c>
    </row>
    <row r="7135" s="1" customFormat="1" ht="14.25" spans="1:13">
      <c r="A7135" s="2">
        <v>5447</v>
      </c>
      <c r="B7135" s="33" t="s">
        <v>10535</v>
      </c>
      <c r="C7135" s="34" t="s">
        <v>10993</v>
      </c>
      <c r="D7135" s="34" t="s">
        <v>10994</v>
      </c>
      <c r="E7135" s="35">
        <v>2020</v>
      </c>
      <c r="F7135" s="35">
        <v>2020</v>
      </c>
      <c r="G7135" s="35" t="s">
        <v>16</v>
      </c>
      <c r="H7135" s="34">
        <v>200</v>
      </c>
      <c r="I7135" s="34">
        <v>200</v>
      </c>
      <c r="J7135" s="49"/>
      <c r="K7135" s="10"/>
      <c r="L7135" s="10">
        <v>20201118</v>
      </c>
      <c r="M7135" s="36" t="str">
        <f t="shared" si="111"/>
        <v>19841215</v>
      </c>
    </row>
    <row r="7136" s="1" customFormat="1" spans="1:13">
      <c r="A7136" s="2">
        <v>4751</v>
      </c>
      <c r="B7136" s="6" t="s">
        <v>9015</v>
      </c>
      <c r="C7136" s="6" t="s">
        <v>9657</v>
      </c>
      <c r="D7136" s="6" t="s">
        <v>9658</v>
      </c>
      <c r="E7136" s="6">
        <v>2020</v>
      </c>
      <c r="F7136" s="6">
        <v>2020</v>
      </c>
      <c r="G7136" s="6" t="s">
        <v>16</v>
      </c>
      <c r="H7136" s="6">
        <v>200</v>
      </c>
      <c r="I7136" s="6">
        <v>200</v>
      </c>
      <c r="J7136" s="6"/>
      <c r="K7136" s="6"/>
      <c r="L7136" s="10">
        <v>20201118</v>
      </c>
      <c r="M7136" s="36" t="str">
        <f t="shared" si="111"/>
        <v>19841216</v>
      </c>
    </row>
    <row r="7137" s="1" customFormat="1" spans="1:13">
      <c r="A7137" s="2">
        <v>1794</v>
      </c>
      <c r="B7137" s="5" t="s">
        <v>3381</v>
      </c>
      <c r="C7137" s="9" t="s">
        <v>4150</v>
      </c>
      <c r="D7137" s="9" t="s">
        <v>4151</v>
      </c>
      <c r="E7137" s="5">
        <v>2020</v>
      </c>
      <c r="F7137" s="5">
        <v>2020</v>
      </c>
      <c r="G7137" s="5" t="s">
        <v>189</v>
      </c>
      <c r="H7137" s="6">
        <v>200</v>
      </c>
      <c r="I7137" s="6">
        <v>200</v>
      </c>
      <c r="J7137" s="5"/>
      <c r="K7137" s="13"/>
      <c r="L7137" s="10">
        <v>20201118</v>
      </c>
      <c r="M7137" s="36" t="str">
        <f t="shared" si="111"/>
        <v>19841218</v>
      </c>
    </row>
    <row r="7138" s="1" customFormat="1" spans="1:13">
      <c r="A7138" s="2">
        <v>2346</v>
      </c>
      <c r="B7138" s="9" t="s">
        <v>4837</v>
      </c>
      <c r="C7138" s="9" t="s">
        <v>5231</v>
      </c>
      <c r="D7138" s="9" t="s">
        <v>5232</v>
      </c>
      <c r="E7138" s="6" t="s">
        <v>15</v>
      </c>
      <c r="F7138" s="6">
        <v>2020</v>
      </c>
      <c r="G7138" s="9" t="s">
        <v>2480</v>
      </c>
      <c r="H7138" s="9">
        <v>200</v>
      </c>
      <c r="I7138" s="9">
        <v>200</v>
      </c>
      <c r="J7138" s="6"/>
      <c r="K7138" s="10"/>
      <c r="L7138" s="10">
        <v>20201118</v>
      </c>
      <c r="M7138" s="36" t="str">
        <f t="shared" si="111"/>
        <v>19841219</v>
      </c>
    </row>
    <row r="7139" s="1" customFormat="1" spans="1:13">
      <c r="A7139" s="2">
        <v>5936</v>
      </c>
      <c r="B7139" s="30" t="s">
        <v>11090</v>
      </c>
      <c r="C7139" s="6" t="s">
        <v>11920</v>
      </c>
      <c r="D7139" s="306" t="s">
        <v>11921</v>
      </c>
      <c r="E7139" s="5" t="s">
        <v>15</v>
      </c>
      <c r="F7139" s="5" t="s">
        <v>10250</v>
      </c>
      <c r="G7139" s="6" t="s">
        <v>16</v>
      </c>
      <c r="H7139" s="32">
        <v>500</v>
      </c>
      <c r="I7139" s="32">
        <v>500</v>
      </c>
      <c r="J7139" s="6"/>
      <c r="K7139" s="48"/>
      <c r="L7139" s="10">
        <v>20201118</v>
      </c>
      <c r="M7139" s="36" t="str">
        <f t="shared" si="111"/>
        <v>19841222</v>
      </c>
    </row>
    <row r="7140" s="1" customFormat="1" spans="1:13">
      <c r="A7140" s="2">
        <v>4604</v>
      </c>
      <c r="B7140" s="6" t="s">
        <v>9015</v>
      </c>
      <c r="C7140" s="6" t="s">
        <v>4343</v>
      </c>
      <c r="D7140" s="6" t="s">
        <v>9379</v>
      </c>
      <c r="E7140" s="6">
        <v>2020</v>
      </c>
      <c r="F7140" s="6">
        <v>2020</v>
      </c>
      <c r="G7140" s="6" t="s">
        <v>16</v>
      </c>
      <c r="H7140" s="6">
        <v>200</v>
      </c>
      <c r="I7140" s="6">
        <v>200</v>
      </c>
      <c r="J7140" s="6"/>
      <c r="K7140" s="6"/>
      <c r="L7140" s="10">
        <v>20201118</v>
      </c>
      <c r="M7140" s="36" t="str">
        <f t="shared" si="111"/>
        <v>19841224</v>
      </c>
    </row>
    <row r="7141" s="1" customFormat="1" spans="1:13">
      <c r="A7141" s="2">
        <v>891</v>
      </c>
      <c r="B7141" s="29" t="s">
        <v>1040</v>
      </c>
      <c r="C7141" s="6" t="s">
        <v>2320</v>
      </c>
      <c r="D7141" s="6" t="s">
        <v>2321</v>
      </c>
      <c r="E7141" s="30">
        <v>2020</v>
      </c>
      <c r="F7141" s="30">
        <v>2020</v>
      </c>
      <c r="G7141" s="29" t="s">
        <v>16</v>
      </c>
      <c r="H7141" s="29">
        <v>200</v>
      </c>
      <c r="I7141" s="29">
        <v>200</v>
      </c>
      <c r="J7141" s="32"/>
      <c r="K7141" s="32"/>
      <c r="L7141" s="2" t="s">
        <v>330</v>
      </c>
      <c r="M7141" s="36" t="str">
        <f t="shared" si="111"/>
        <v>19841226</v>
      </c>
    </row>
    <row r="7142" s="1" customFormat="1" spans="1:13">
      <c r="A7142" s="2">
        <v>6815</v>
      </c>
      <c r="B7142" s="5" t="s">
        <v>13533</v>
      </c>
      <c r="C7142" s="32" t="s">
        <v>13567</v>
      </c>
      <c r="D7142" s="32" t="str">
        <f>"152326198412277120"</f>
        <v>152326198412277120</v>
      </c>
      <c r="E7142" s="5">
        <v>2020</v>
      </c>
      <c r="F7142" s="5">
        <v>2020</v>
      </c>
      <c r="G7142" s="9" t="s">
        <v>2480</v>
      </c>
      <c r="H7142" s="32">
        <v>200</v>
      </c>
      <c r="I7142" s="32">
        <v>200</v>
      </c>
      <c r="J7142" s="32"/>
      <c r="K7142" s="10"/>
      <c r="L7142" s="10">
        <v>20201118</v>
      </c>
      <c r="M7142" s="36" t="str">
        <f t="shared" si="111"/>
        <v>19841227</v>
      </c>
    </row>
    <row r="7143" s="1" customFormat="1" spans="1:13">
      <c r="A7143" s="2">
        <v>2051</v>
      </c>
      <c r="B7143" s="5" t="s">
        <v>4189</v>
      </c>
      <c r="C7143" s="16" t="s">
        <v>4656</v>
      </c>
      <c r="D7143" s="16" t="s">
        <v>4657</v>
      </c>
      <c r="E7143" s="5" t="s">
        <v>15</v>
      </c>
      <c r="F7143" s="5" t="s">
        <v>15</v>
      </c>
      <c r="G7143" s="5" t="s">
        <v>3359</v>
      </c>
      <c r="H7143" s="16">
        <v>500</v>
      </c>
      <c r="I7143" s="16">
        <v>500</v>
      </c>
      <c r="J7143" s="5"/>
      <c r="K7143" s="10"/>
      <c r="L7143" s="10">
        <v>20201118</v>
      </c>
      <c r="M7143" s="36" t="str">
        <f t="shared" si="111"/>
        <v>19841229</v>
      </c>
    </row>
    <row r="7144" s="1" customFormat="1" spans="1:13">
      <c r="A7144" s="2">
        <v>308</v>
      </c>
      <c r="B7144" s="14" t="s">
        <v>327</v>
      </c>
      <c r="C7144" s="17" t="s">
        <v>812</v>
      </c>
      <c r="D7144" s="306" t="s">
        <v>813</v>
      </c>
      <c r="E7144" s="5">
        <v>2020</v>
      </c>
      <c r="F7144" s="5">
        <v>2020</v>
      </c>
      <c r="G7144" s="14" t="s">
        <v>16</v>
      </c>
      <c r="H7144" s="17">
        <v>200</v>
      </c>
      <c r="I7144" s="17">
        <v>200</v>
      </c>
      <c r="J7144" s="17"/>
      <c r="K7144" s="10"/>
      <c r="L7144" s="14" t="s">
        <v>330</v>
      </c>
      <c r="M7144" s="36" t="str">
        <f t="shared" si="111"/>
        <v>19841230</v>
      </c>
    </row>
    <row r="7145" s="1" customFormat="1" ht="14.25" spans="1:13">
      <c r="A7145" s="2">
        <v>7645</v>
      </c>
      <c r="B7145" s="5" t="s">
        <v>14875</v>
      </c>
      <c r="C7145" s="51" t="s">
        <v>14885</v>
      </c>
      <c r="D7145" s="24" t="s">
        <v>14886</v>
      </c>
      <c r="E7145" s="6" t="s">
        <v>15</v>
      </c>
      <c r="F7145" s="6">
        <v>2020</v>
      </c>
      <c r="G7145" s="24" t="s">
        <v>14877</v>
      </c>
      <c r="H7145" s="6">
        <v>200</v>
      </c>
      <c r="I7145" s="6">
        <v>200</v>
      </c>
      <c r="J7145" s="6" t="s">
        <v>5331</v>
      </c>
      <c r="K7145" s="10"/>
      <c r="L7145" s="10">
        <v>20201118</v>
      </c>
      <c r="M7145" s="36" t="str">
        <f t="shared" si="111"/>
        <v>19850101</v>
      </c>
    </row>
    <row r="7146" s="1" customFormat="1" spans="1:13">
      <c r="A7146" s="2">
        <v>1299</v>
      </c>
      <c r="B7146" s="5" t="s">
        <v>2469</v>
      </c>
      <c r="C7146" s="9" t="s">
        <v>3179</v>
      </c>
      <c r="D7146" s="9" t="s">
        <v>3180</v>
      </c>
      <c r="E7146" s="5">
        <v>2020</v>
      </c>
      <c r="F7146" s="5">
        <v>2020</v>
      </c>
      <c r="G7146" s="9" t="s">
        <v>2480</v>
      </c>
      <c r="H7146" s="9">
        <v>200</v>
      </c>
      <c r="I7146" s="9">
        <v>200</v>
      </c>
      <c r="J7146" s="5"/>
      <c r="K7146" s="5"/>
      <c r="L7146" s="10">
        <v>20201118</v>
      </c>
      <c r="M7146" s="36" t="str">
        <f t="shared" si="111"/>
        <v>19850108</v>
      </c>
    </row>
    <row r="7147" s="1" customFormat="1" spans="1:13">
      <c r="A7147" s="2">
        <v>5659</v>
      </c>
      <c r="B7147" s="30" t="s">
        <v>11090</v>
      </c>
      <c r="C7147" s="30" t="s">
        <v>8312</v>
      </c>
      <c r="D7147" s="30" t="s">
        <v>11404</v>
      </c>
      <c r="E7147" s="5" t="s">
        <v>15</v>
      </c>
      <c r="F7147" s="5" t="s">
        <v>10250</v>
      </c>
      <c r="G7147" s="6" t="s">
        <v>16</v>
      </c>
      <c r="H7147" s="32">
        <v>200</v>
      </c>
      <c r="I7147" s="32">
        <v>200</v>
      </c>
      <c r="J7147" s="6"/>
      <c r="K7147" s="48"/>
      <c r="L7147" s="10">
        <v>20201118</v>
      </c>
      <c r="M7147" s="36" t="str">
        <f t="shared" si="111"/>
        <v>19850108</v>
      </c>
    </row>
    <row r="7148" s="1" customFormat="1" spans="1:13">
      <c r="A7148" s="2">
        <v>4378</v>
      </c>
      <c r="B7148" s="9" t="s">
        <v>8515</v>
      </c>
      <c r="C7148" s="9" t="s">
        <v>7964</v>
      </c>
      <c r="D7148" s="9" t="s">
        <v>8945</v>
      </c>
      <c r="E7148" s="5" t="s">
        <v>15</v>
      </c>
      <c r="F7148" s="5">
        <v>2020</v>
      </c>
      <c r="G7148" s="9" t="s">
        <v>2480</v>
      </c>
      <c r="H7148" s="9">
        <v>200</v>
      </c>
      <c r="I7148" s="9">
        <v>200</v>
      </c>
      <c r="J7148" s="9"/>
      <c r="K7148" s="9"/>
      <c r="L7148" s="10">
        <v>20201118</v>
      </c>
      <c r="M7148" s="36" t="str">
        <f t="shared" si="111"/>
        <v>19850110</v>
      </c>
    </row>
    <row r="7149" s="1" customFormat="1" spans="1:13">
      <c r="A7149" s="2">
        <v>7435</v>
      </c>
      <c r="B7149" s="5" t="s">
        <v>14402</v>
      </c>
      <c r="C7149" s="5" t="s">
        <v>14491</v>
      </c>
      <c r="D7149" s="5" t="s">
        <v>14492</v>
      </c>
      <c r="E7149" s="5">
        <v>2020</v>
      </c>
      <c r="F7149" s="5">
        <v>2020</v>
      </c>
      <c r="G7149" s="17" t="s">
        <v>16</v>
      </c>
      <c r="H7149" s="5">
        <v>200</v>
      </c>
      <c r="I7149" s="5">
        <v>200</v>
      </c>
      <c r="J7149" s="5"/>
      <c r="K7149" s="10"/>
      <c r="L7149" s="10">
        <v>20201118</v>
      </c>
      <c r="M7149" s="36" t="str">
        <f t="shared" si="111"/>
        <v>19850116</v>
      </c>
    </row>
    <row r="7150" s="1" customFormat="1" spans="1:13">
      <c r="A7150" s="2">
        <v>2047</v>
      </c>
      <c r="B7150" s="5" t="s">
        <v>4189</v>
      </c>
      <c r="C7150" s="16" t="s">
        <v>4648</v>
      </c>
      <c r="D7150" s="16" t="s">
        <v>4649</v>
      </c>
      <c r="E7150" s="5" t="s">
        <v>15</v>
      </c>
      <c r="F7150" s="5" t="s">
        <v>15</v>
      </c>
      <c r="G7150" s="5" t="s">
        <v>3359</v>
      </c>
      <c r="H7150" s="16">
        <v>200</v>
      </c>
      <c r="I7150" s="16">
        <v>200</v>
      </c>
      <c r="J7150" s="5"/>
      <c r="K7150" s="10"/>
      <c r="L7150" s="10">
        <v>20201118</v>
      </c>
      <c r="M7150" s="36" t="str">
        <f t="shared" si="111"/>
        <v>19850117</v>
      </c>
    </row>
    <row r="7151" s="1" customFormat="1" spans="1:13">
      <c r="A7151" s="2">
        <v>867</v>
      </c>
      <c r="B7151" s="29" t="s">
        <v>1040</v>
      </c>
      <c r="C7151" s="6" t="s">
        <v>2248</v>
      </c>
      <c r="D7151" s="6" t="s">
        <v>2249</v>
      </c>
      <c r="E7151" s="30">
        <v>2020</v>
      </c>
      <c r="F7151" s="30">
        <v>2020</v>
      </c>
      <c r="G7151" s="29" t="s">
        <v>16</v>
      </c>
      <c r="H7151" s="6">
        <v>500</v>
      </c>
      <c r="I7151" s="6">
        <v>500</v>
      </c>
      <c r="J7151" s="32"/>
      <c r="K7151" s="32"/>
      <c r="L7151" s="2" t="s">
        <v>330</v>
      </c>
      <c r="M7151" s="36" t="str">
        <f t="shared" si="111"/>
        <v>19850118</v>
      </c>
    </row>
    <row r="7152" s="1" customFormat="1" ht="108" spans="1:13">
      <c r="A7152" s="2">
        <v>3571</v>
      </c>
      <c r="B7152" s="5" t="s">
        <v>3375</v>
      </c>
      <c r="C7152" s="5" t="s">
        <v>3376</v>
      </c>
      <c r="D7152" s="5" t="s">
        <v>3377</v>
      </c>
      <c r="E7152" s="17">
        <v>2020</v>
      </c>
      <c r="F7152" s="5" t="s">
        <v>15</v>
      </c>
      <c r="G7152" s="14" t="s">
        <v>16</v>
      </c>
      <c r="H7152" s="5">
        <v>200</v>
      </c>
      <c r="I7152" s="5">
        <v>200</v>
      </c>
      <c r="J7152" s="10"/>
      <c r="K7152" s="91" t="s">
        <v>7410</v>
      </c>
      <c r="L7152" s="10">
        <v>20201118</v>
      </c>
      <c r="M7152" s="36" t="str">
        <f t="shared" si="111"/>
        <v>19850118</v>
      </c>
    </row>
    <row r="7153" s="1" customFormat="1" spans="1:13">
      <c r="A7153" s="2">
        <v>939</v>
      </c>
      <c r="B7153" s="29" t="s">
        <v>1040</v>
      </c>
      <c r="C7153" s="29" t="s">
        <v>2466</v>
      </c>
      <c r="D7153" s="29" t="s">
        <v>2467</v>
      </c>
      <c r="E7153" s="30">
        <v>2020</v>
      </c>
      <c r="F7153" s="30">
        <v>2020</v>
      </c>
      <c r="G7153" s="29" t="s">
        <v>16</v>
      </c>
      <c r="H7153" s="29">
        <v>200</v>
      </c>
      <c r="I7153" s="29">
        <v>200</v>
      </c>
      <c r="J7153" s="32"/>
      <c r="K7153" s="32"/>
      <c r="L7153" s="14" t="s">
        <v>330</v>
      </c>
      <c r="M7153" s="36" t="str">
        <f t="shared" si="111"/>
        <v>19850119</v>
      </c>
    </row>
    <row r="7154" s="1" customFormat="1" spans="1:13">
      <c r="A7154" s="2">
        <v>4379</v>
      </c>
      <c r="B7154" s="9" t="s">
        <v>8515</v>
      </c>
      <c r="C7154" s="9" t="s">
        <v>8946</v>
      </c>
      <c r="D7154" s="9" t="s">
        <v>8947</v>
      </c>
      <c r="E7154" s="5" t="s">
        <v>15</v>
      </c>
      <c r="F7154" s="5">
        <v>2020</v>
      </c>
      <c r="G7154" s="9" t="s">
        <v>2480</v>
      </c>
      <c r="H7154" s="9">
        <v>200</v>
      </c>
      <c r="I7154" s="9">
        <v>200</v>
      </c>
      <c r="J7154" s="9"/>
      <c r="K7154" s="9"/>
      <c r="L7154" s="10">
        <v>20201118</v>
      </c>
      <c r="M7154" s="36" t="str">
        <f t="shared" si="111"/>
        <v>19850120</v>
      </c>
    </row>
    <row r="7155" s="1" customFormat="1" spans="1:13">
      <c r="A7155" s="2">
        <v>1300</v>
      </c>
      <c r="B7155" s="5" t="s">
        <v>2469</v>
      </c>
      <c r="C7155" s="9" t="s">
        <v>3181</v>
      </c>
      <c r="D7155" s="9" t="s">
        <v>3182</v>
      </c>
      <c r="E7155" s="5">
        <v>2020</v>
      </c>
      <c r="F7155" s="5">
        <v>2020</v>
      </c>
      <c r="G7155" s="9" t="s">
        <v>2480</v>
      </c>
      <c r="H7155" s="9">
        <v>200</v>
      </c>
      <c r="I7155" s="9">
        <v>200</v>
      </c>
      <c r="J7155" s="5"/>
      <c r="K7155" s="5"/>
      <c r="L7155" s="10">
        <v>20201118</v>
      </c>
      <c r="M7155" s="36" t="str">
        <f t="shared" si="111"/>
        <v>19850122</v>
      </c>
    </row>
    <row r="7156" s="1" customFormat="1" ht="14.25" spans="1:13">
      <c r="A7156" s="2">
        <v>2860</v>
      </c>
      <c r="B7156" s="6" t="s">
        <v>6075</v>
      </c>
      <c r="C7156" s="25" t="s">
        <v>6249</v>
      </c>
      <c r="D7156" s="26" t="s">
        <v>6250</v>
      </c>
      <c r="E7156" s="5" t="s">
        <v>15</v>
      </c>
      <c r="F7156" s="5">
        <v>2020</v>
      </c>
      <c r="G7156" s="6" t="s">
        <v>16</v>
      </c>
      <c r="H7156" s="6">
        <v>200</v>
      </c>
      <c r="I7156" s="6">
        <v>200</v>
      </c>
      <c r="J7156" s="6"/>
      <c r="K7156" s="10"/>
      <c r="L7156" s="10">
        <v>20201118</v>
      </c>
      <c r="M7156" s="36" t="str">
        <f t="shared" si="111"/>
        <v>19850127</v>
      </c>
    </row>
    <row r="7157" s="1" customFormat="1" spans="1:13">
      <c r="A7157" s="2">
        <v>4880</v>
      </c>
      <c r="B7157" s="6" t="s">
        <v>9015</v>
      </c>
      <c r="C7157" s="6" t="s">
        <v>9902</v>
      </c>
      <c r="D7157" s="293" t="s">
        <v>9903</v>
      </c>
      <c r="E7157" s="6">
        <v>2020</v>
      </c>
      <c r="F7157" s="6">
        <v>2020</v>
      </c>
      <c r="G7157" s="6" t="s">
        <v>16</v>
      </c>
      <c r="H7157" s="6">
        <v>200</v>
      </c>
      <c r="I7157" s="6">
        <v>200</v>
      </c>
      <c r="J7157" s="6"/>
      <c r="K7157" s="6"/>
      <c r="L7157" s="10">
        <v>20201118</v>
      </c>
      <c r="M7157" s="36" t="str">
        <f t="shared" si="111"/>
        <v>19850204</v>
      </c>
    </row>
    <row r="7158" s="1" customFormat="1" spans="1:13">
      <c r="A7158" s="2">
        <v>5202</v>
      </c>
      <c r="B7158" s="6" t="s">
        <v>10242</v>
      </c>
      <c r="C7158" s="9" t="s">
        <v>3036</v>
      </c>
      <c r="D7158" s="287" t="s">
        <v>10525</v>
      </c>
      <c r="E7158" s="5" t="s">
        <v>10250</v>
      </c>
      <c r="F7158" s="5">
        <v>2020</v>
      </c>
      <c r="G7158" s="6" t="s">
        <v>295</v>
      </c>
      <c r="H7158" s="6">
        <v>200</v>
      </c>
      <c r="I7158" s="6">
        <v>200</v>
      </c>
      <c r="J7158" s="6"/>
      <c r="K7158" s="5"/>
      <c r="L7158" s="10">
        <v>20201118</v>
      </c>
      <c r="M7158" s="36" t="str">
        <f t="shared" si="111"/>
        <v>19850209</v>
      </c>
    </row>
    <row r="7159" s="1" customFormat="1" spans="1:13">
      <c r="A7159" s="2">
        <v>2044</v>
      </c>
      <c r="B7159" s="5" t="s">
        <v>4189</v>
      </c>
      <c r="C7159" s="16" t="s">
        <v>4643</v>
      </c>
      <c r="D7159" s="16" t="s">
        <v>4644</v>
      </c>
      <c r="E7159" s="5" t="s">
        <v>15</v>
      </c>
      <c r="F7159" s="5" t="s">
        <v>15</v>
      </c>
      <c r="G7159" s="5" t="s">
        <v>3359</v>
      </c>
      <c r="H7159" s="16">
        <v>200</v>
      </c>
      <c r="I7159" s="16">
        <v>200</v>
      </c>
      <c r="J7159" s="5"/>
      <c r="K7159" s="10"/>
      <c r="L7159" s="10">
        <v>20201118</v>
      </c>
      <c r="M7159" s="36" t="str">
        <f t="shared" si="111"/>
        <v>19850210</v>
      </c>
    </row>
    <row r="7160" s="1" customFormat="1" spans="1:13">
      <c r="A7160" s="2">
        <v>7440</v>
      </c>
      <c r="B7160" s="5" t="s">
        <v>14402</v>
      </c>
      <c r="C7160" s="5" t="s">
        <v>14501</v>
      </c>
      <c r="D7160" s="5" t="s">
        <v>14502</v>
      </c>
      <c r="E7160" s="5">
        <v>2020</v>
      </c>
      <c r="F7160" s="5">
        <v>2020</v>
      </c>
      <c r="G7160" s="17" t="s">
        <v>16</v>
      </c>
      <c r="H7160" s="5">
        <v>200</v>
      </c>
      <c r="I7160" s="5">
        <v>200</v>
      </c>
      <c r="J7160" s="5"/>
      <c r="K7160" s="10"/>
      <c r="L7160" s="10">
        <v>20201118</v>
      </c>
      <c r="M7160" s="36" t="str">
        <f t="shared" si="111"/>
        <v>19850212</v>
      </c>
    </row>
    <row r="7161" s="1" customFormat="1" spans="1:13">
      <c r="A7161" s="2">
        <v>1736</v>
      </c>
      <c r="B7161" s="5" t="s">
        <v>3381</v>
      </c>
      <c r="C7161" s="9" t="s">
        <v>4032</v>
      </c>
      <c r="D7161" s="9" t="s">
        <v>4033</v>
      </c>
      <c r="E7161" s="5">
        <v>2020</v>
      </c>
      <c r="F7161" s="5">
        <v>2020</v>
      </c>
      <c r="G7161" s="14" t="s">
        <v>16</v>
      </c>
      <c r="H7161" s="6">
        <v>200</v>
      </c>
      <c r="I7161" s="6">
        <v>200</v>
      </c>
      <c r="J7161" s="5"/>
      <c r="K7161" s="13"/>
      <c r="L7161" s="10">
        <v>20201118</v>
      </c>
      <c r="M7161" s="36" t="str">
        <f t="shared" si="111"/>
        <v>19850213</v>
      </c>
    </row>
    <row r="7162" s="1" customFormat="1" spans="1:13">
      <c r="A7162" s="2">
        <v>2724</v>
      </c>
      <c r="B7162" s="32" t="s">
        <v>5602</v>
      </c>
      <c r="C7162" s="9" t="s">
        <v>5978</v>
      </c>
      <c r="D7162" s="9" t="s">
        <v>5979</v>
      </c>
      <c r="E7162" s="32">
        <v>2020</v>
      </c>
      <c r="F7162" s="32">
        <v>2020</v>
      </c>
      <c r="G7162" s="32" t="s">
        <v>16</v>
      </c>
      <c r="H7162" s="9">
        <v>200</v>
      </c>
      <c r="I7162" s="9">
        <v>200</v>
      </c>
      <c r="J7162" s="32"/>
      <c r="K7162" s="52"/>
      <c r="L7162" s="10">
        <v>20201118</v>
      </c>
      <c r="M7162" s="36" t="str">
        <f t="shared" si="111"/>
        <v>19850213</v>
      </c>
    </row>
    <row r="7163" s="1" customFormat="1" ht="14.25" spans="1:13">
      <c r="A7163" s="2">
        <v>5448</v>
      </c>
      <c r="B7163" s="33" t="s">
        <v>10535</v>
      </c>
      <c r="C7163" s="34" t="s">
        <v>10995</v>
      </c>
      <c r="D7163" s="34" t="s">
        <v>10996</v>
      </c>
      <c r="E7163" s="35">
        <v>2020</v>
      </c>
      <c r="F7163" s="35">
        <v>2020</v>
      </c>
      <c r="G7163" s="35" t="s">
        <v>16</v>
      </c>
      <c r="H7163" s="34">
        <v>200</v>
      </c>
      <c r="I7163" s="34">
        <v>200</v>
      </c>
      <c r="J7163" s="49"/>
      <c r="K7163" s="10"/>
      <c r="L7163" s="10">
        <v>20201118</v>
      </c>
      <c r="M7163" s="36" t="str">
        <f t="shared" si="111"/>
        <v>19850214</v>
      </c>
    </row>
    <row r="7164" s="1" customFormat="1" spans="1:13">
      <c r="A7164" s="2">
        <v>7434</v>
      </c>
      <c r="B7164" s="5" t="s">
        <v>14402</v>
      </c>
      <c r="C7164" s="5" t="s">
        <v>14489</v>
      </c>
      <c r="D7164" s="5" t="s">
        <v>14490</v>
      </c>
      <c r="E7164" s="5">
        <v>2020</v>
      </c>
      <c r="F7164" s="5">
        <v>2020</v>
      </c>
      <c r="G7164" s="17" t="s">
        <v>16</v>
      </c>
      <c r="H7164" s="5">
        <v>200</v>
      </c>
      <c r="I7164" s="5">
        <v>200</v>
      </c>
      <c r="J7164" s="5" t="s">
        <v>108</v>
      </c>
      <c r="K7164" s="10"/>
      <c r="L7164" s="10">
        <v>20201118</v>
      </c>
      <c r="M7164" s="36" t="str">
        <f t="shared" si="111"/>
        <v>19850216</v>
      </c>
    </row>
    <row r="7165" s="1" customFormat="1" spans="1:13">
      <c r="A7165" s="2">
        <v>783</v>
      </c>
      <c r="B7165" s="29" t="s">
        <v>1040</v>
      </c>
      <c r="C7165" s="5" t="s">
        <v>1999</v>
      </c>
      <c r="D7165" s="317" t="s">
        <v>2000</v>
      </c>
      <c r="E7165" s="30">
        <v>2020</v>
      </c>
      <c r="F7165" s="30">
        <v>2020</v>
      </c>
      <c r="G7165" s="29" t="s">
        <v>16</v>
      </c>
      <c r="H7165" s="29">
        <v>200</v>
      </c>
      <c r="I7165" s="29">
        <v>200</v>
      </c>
      <c r="J7165" s="32"/>
      <c r="K7165" s="32"/>
      <c r="L7165" s="2" t="s">
        <v>330</v>
      </c>
      <c r="M7165" s="36" t="str">
        <f t="shared" si="111"/>
        <v>19850220</v>
      </c>
    </row>
    <row r="7166" s="1" customFormat="1" spans="1:13">
      <c r="A7166" s="2">
        <v>2347</v>
      </c>
      <c r="B7166" s="9" t="s">
        <v>4837</v>
      </c>
      <c r="C7166" s="9" t="s">
        <v>5233</v>
      </c>
      <c r="D7166" s="9" t="s">
        <v>5234</v>
      </c>
      <c r="E7166" s="6" t="s">
        <v>15</v>
      </c>
      <c r="F7166" s="6">
        <v>2020</v>
      </c>
      <c r="G7166" s="9" t="s">
        <v>2480</v>
      </c>
      <c r="H7166" s="9">
        <v>200</v>
      </c>
      <c r="I7166" s="9">
        <v>200</v>
      </c>
      <c r="J7166" s="6"/>
      <c r="K7166" s="10"/>
      <c r="L7166" s="10">
        <v>20201118</v>
      </c>
      <c r="M7166" s="36" t="str">
        <f t="shared" si="111"/>
        <v>19850220</v>
      </c>
    </row>
    <row r="7167" s="1" customFormat="1" spans="1:13">
      <c r="A7167" s="2">
        <v>2510</v>
      </c>
      <c r="B7167" s="5" t="s">
        <v>5328</v>
      </c>
      <c r="C7167" s="16" t="s">
        <v>5554</v>
      </c>
      <c r="D7167" s="16" t="s">
        <v>5555</v>
      </c>
      <c r="E7167" s="5" t="s">
        <v>15</v>
      </c>
      <c r="F7167" s="5" t="s">
        <v>15</v>
      </c>
      <c r="G7167" s="14" t="s">
        <v>16</v>
      </c>
      <c r="H7167" s="6">
        <v>200</v>
      </c>
      <c r="I7167" s="6">
        <v>200</v>
      </c>
      <c r="J7167" s="5"/>
      <c r="K7167" s="5"/>
      <c r="L7167" s="10">
        <v>20201118</v>
      </c>
      <c r="M7167" s="36" t="str">
        <f t="shared" si="111"/>
        <v>19850221</v>
      </c>
    </row>
    <row r="7168" s="1" customFormat="1" spans="1:13">
      <c r="A7168" s="2">
        <v>7077</v>
      </c>
      <c r="B7168" s="5" t="s">
        <v>13533</v>
      </c>
      <c r="C7168" s="32" t="s">
        <v>13825</v>
      </c>
      <c r="D7168" s="32" t="s">
        <v>13826</v>
      </c>
      <c r="E7168" s="5">
        <v>2020</v>
      </c>
      <c r="F7168" s="5">
        <v>2020</v>
      </c>
      <c r="G7168" s="9" t="s">
        <v>2480</v>
      </c>
      <c r="H7168" s="32">
        <v>200</v>
      </c>
      <c r="I7168" s="32">
        <v>200</v>
      </c>
      <c r="J7168" s="62"/>
      <c r="K7168" s="10"/>
      <c r="L7168" s="10">
        <v>20201118</v>
      </c>
      <c r="M7168" s="36" t="str">
        <f t="shared" si="111"/>
        <v>19850221</v>
      </c>
    </row>
    <row r="7169" s="1" customFormat="1" spans="1:13">
      <c r="A7169" s="2">
        <v>1301</v>
      </c>
      <c r="B7169" s="5" t="s">
        <v>2469</v>
      </c>
      <c r="C7169" s="9" t="s">
        <v>3183</v>
      </c>
      <c r="D7169" s="9" t="s">
        <v>3184</v>
      </c>
      <c r="E7169" s="5">
        <v>2020</v>
      </c>
      <c r="F7169" s="5">
        <v>2020</v>
      </c>
      <c r="G7169" s="9" t="s">
        <v>2480</v>
      </c>
      <c r="H7169" s="9">
        <v>200</v>
      </c>
      <c r="I7169" s="9">
        <v>200</v>
      </c>
      <c r="J7169" s="5"/>
      <c r="K7169" s="5"/>
      <c r="L7169" s="10">
        <v>20201118</v>
      </c>
      <c r="M7169" s="36" t="str">
        <f t="shared" si="111"/>
        <v>19850222</v>
      </c>
    </row>
    <row r="7170" s="1" customFormat="1" spans="1:13">
      <c r="A7170" s="2">
        <v>2511</v>
      </c>
      <c r="B7170" s="5" t="s">
        <v>5328</v>
      </c>
      <c r="C7170" s="16" t="s">
        <v>5556</v>
      </c>
      <c r="D7170" s="16" t="s">
        <v>5557</v>
      </c>
      <c r="E7170" s="5" t="s">
        <v>15</v>
      </c>
      <c r="F7170" s="5" t="s">
        <v>15</v>
      </c>
      <c r="G7170" s="14" t="s">
        <v>16</v>
      </c>
      <c r="H7170" s="6">
        <v>200</v>
      </c>
      <c r="I7170" s="6">
        <v>200</v>
      </c>
      <c r="J7170" s="5"/>
      <c r="K7170" s="5"/>
      <c r="L7170" s="10">
        <v>20201118</v>
      </c>
      <c r="M7170" s="36" t="str">
        <f t="shared" ref="M7170:M7233" si="112">MID(D7170,7,8)</f>
        <v>19850222</v>
      </c>
    </row>
    <row r="7171" s="1" customFormat="1" spans="1:13">
      <c r="A7171" s="2">
        <v>4965</v>
      </c>
      <c r="B7171" s="6" t="s">
        <v>9954</v>
      </c>
      <c r="C7171" s="60" t="s">
        <v>10070</v>
      </c>
      <c r="D7171" s="60" t="s">
        <v>10071</v>
      </c>
      <c r="E7171" s="5" t="s">
        <v>15</v>
      </c>
      <c r="F7171" s="5" t="s">
        <v>15</v>
      </c>
      <c r="G7171" s="14" t="s">
        <v>16</v>
      </c>
      <c r="H7171" s="6" t="s">
        <v>4178</v>
      </c>
      <c r="I7171" s="6">
        <v>3000</v>
      </c>
      <c r="J7171" s="6"/>
      <c r="K7171" s="6"/>
      <c r="L7171" s="10">
        <v>20201118</v>
      </c>
      <c r="M7171" s="36" t="str">
        <f t="shared" si="112"/>
        <v>19850225</v>
      </c>
    </row>
    <row r="7172" s="1" customFormat="1" spans="1:13">
      <c r="A7172" s="2">
        <v>2052</v>
      </c>
      <c r="B7172" s="5" t="s">
        <v>4189</v>
      </c>
      <c r="C7172" s="16" t="s">
        <v>4658</v>
      </c>
      <c r="D7172" s="16" t="s">
        <v>4659</v>
      </c>
      <c r="E7172" s="5" t="s">
        <v>15</v>
      </c>
      <c r="F7172" s="5" t="s">
        <v>15</v>
      </c>
      <c r="G7172" s="5" t="s">
        <v>3359</v>
      </c>
      <c r="H7172" s="16">
        <v>500</v>
      </c>
      <c r="I7172" s="16">
        <v>500</v>
      </c>
      <c r="J7172" s="5"/>
      <c r="K7172" s="10"/>
      <c r="L7172" s="10">
        <v>20201118</v>
      </c>
      <c r="M7172" s="36" t="str">
        <f t="shared" si="112"/>
        <v>19850226</v>
      </c>
    </row>
    <row r="7173" s="1" customFormat="1" spans="1:13">
      <c r="A7173" s="2">
        <v>4081</v>
      </c>
      <c r="B7173" s="5" t="s">
        <v>7412</v>
      </c>
      <c r="C7173" s="5" t="s">
        <v>8374</v>
      </c>
      <c r="D7173" s="5" t="s">
        <v>8375</v>
      </c>
      <c r="E7173" s="6">
        <v>2020</v>
      </c>
      <c r="F7173" s="6">
        <v>2020</v>
      </c>
      <c r="G7173" s="5" t="s">
        <v>3359</v>
      </c>
      <c r="H7173" s="5">
        <v>200</v>
      </c>
      <c r="I7173" s="5">
        <v>200</v>
      </c>
      <c r="J7173" s="5"/>
      <c r="K7173" s="5"/>
      <c r="L7173" s="10">
        <v>20201118</v>
      </c>
      <c r="M7173" s="36" t="str">
        <f t="shared" si="112"/>
        <v>19850227</v>
      </c>
    </row>
    <row r="7174" s="1" customFormat="1" ht="14.25" spans="1:13">
      <c r="A7174" s="2">
        <v>5969</v>
      </c>
      <c r="B7174" s="30" t="s">
        <v>11090</v>
      </c>
      <c r="C7174" s="32" t="s">
        <v>11985</v>
      </c>
      <c r="D7174" s="12" t="s">
        <v>11986</v>
      </c>
      <c r="E7174" s="5" t="s">
        <v>15</v>
      </c>
      <c r="F7174" s="5" t="s">
        <v>10250</v>
      </c>
      <c r="G7174" s="6" t="s">
        <v>16</v>
      </c>
      <c r="H7174" s="32">
        <v>200</v>
      </c>
      <c r="I7174" s="32">
        <v>200</v>
      </c>
      <c r="J7174" s="6"/>
      <c r="K7174" s="48"/>
      <c r="L7174" s="10">
        <v>20201118</v>
      </c>
      <c r="M7174" s="36" t="str">
        <f t="shared" si="112"/>
        <v>19850227</v>
      </c>
    </row>
    <row r="7175" s="1" customFormat="1" spans="1:13">
      <c r="A7175" s="2">
        <v>1302</v>
      </c>
      <c r="B7175" s="5" t="s">
        <v>2469</v>
      </c>
      <c r="C7175" s="9" t="s">
        <v>3185</v>
      </c>
      <c r="D7175" s="9" t="s">
        <v>3186</v>
      </c>
      <c r="E7175" s="5">
        <v>2020</v>
      </c>
      <c r="F7175" s="5">
        <v>2020</v>
      </c>
      <c r="G7175" s="9" t="s">
        <v>2480</v>
      </c>
      <c r="H7175" s="9">
        <v>200</v>
      </c>
      <c r="I7175" s="9">
        <v>200</v>
      </c>
      <c r="J7175" s="5"/>
      <c r="K7175" s="5"/>
      <c r="L7175" s="10">
        <v>20201118</v>
      </c>
      <c r="M7175" s="36" t="str">
        <f t="shared" si="112"/>
        <v>19850228</v>
      </c>
    </row>
    <row r="7176" s="1" customFormat="1" spans="1:13">
      <c r="A7176" s="2">
        <v>5949</v>
      </c>
      <c r="B7176" s="30" t="s">
        <v>11090</v>
      </c>
      <c r="C7176" s="6" t="s">
        <v>11945</v>
      </c>
      <c r="D7176" s="293" t="s">
        <v>11946</v>
      </c>
      <c r="E7176" s="5" t="s">
        <v>15</v>
      </c>
      <c r="F7176" s="5" t="s">
        <v>10250</v>
      </c>
      <c r="G7176" s="6" t="s">
        <v>16</v>
      </c>
      <c r="H7176" s="32">
        <v>200</v>
      </c>
      <c r="I7176" s="32">
        <v>200</v>
      </c>
      <c r="J7176" s="6"/>
      <c r="K7176" s="48"/>
      <c r="L7176" s="10">
        <v>20201118</v>
      </c>
      <c r="M7176" s="36" t="str">
        <f t="shared" si="112"/>
        <v>19850228</v>
      </c>
    </row>
    <row r="7177" s="1" customFormat="1" spans="1:13">
      <c r="A7177" s="2">
        <v>2053</v>
      </c>
      <c r="B7177" s="5" t="s">
        <v>4189</v>
      </c>
      <c r="C7177" s="16" t="s">
        <v>4660</v>
      </c>
      <c r="D7177" s="16" t="s">
        <v>4661</v>
      </c>
      <c r="E7177" s="5" t="s">
        <v>15</v>
      </c>
      <c r="F7177" s="5" t="s">
        <v>15</v>
      </c>
      <c r="G7177" s="5" t="s">
        <v>3359</v>
      </c>
      <c r="H7177" s="16">
        <v>500</v>
      </c>
      <c r="I7177" s="16">
        <v>500</v>
      </c>
      <c r="J7177" s="5"/>
      <c r="K7177" s="10"/>
      <c r="L7177" s="10">
        <v>20201118</v>
      </c>
      <c r="M7177" s="36" t="str">
        <f t="shared" si="112"/>
        <v>19850306</v>
      </c>
    </row>
    <row r="7178" s="1" customFormat="1" ht="14.25" spans="1:13">
      <c r="A7178" s="2">
        <v>5449</v>
      </c>
      <c r="B7178" s="33" t="s">
        <v>10535</v>
      </c>
      <c r="C7178" s="34" t="s">
        <v>10997</v>
      </c>
      <c r="D7178" s="34" t="s">
        <v>10998</v>
      </c>
      <c r="E7178" s="35">
        <v>2020</v>
      </c>
      <c r="F7178" s="35">
        <v>2020</v>
      </c>
      <c r="G7178" s="35" t="s">
        <v>16</v>
      </c>
      <c r="H7178" s="34">
        <v>200</v>
      </c>
      <c r="I7178" s="34">
        <v>200</v>
      </c>
      <c r="J7178" s="49"/>
      <c r="K7178" s="10"/>
      <c r="L7178" s="10">
        <v>20201118</v>
      </c>
      <c r="M7178" s="36" t="str">
        <f t="shared" si="112"/>
        <v>19850306</v>
      </c>
    </row>
    <row r="7179" s="1" customFormat="1" spans="1:13">
      <c r="A7179" s="2">
        <v>4591</v>
      </c>
      <c r="B7179" s="6" t="s">
        <v>9015</v>
      </c>
      <c r="C7179" s="6" t="s">
        <v>9357</v>
      </c>
      <c r="D7179" s="6" t="s">
        <v>9358</v>
      </c>
      <c r="E7179" s="6">
        <v>2020</v>
      </c>
      <c r="F7179" s="6">
        <v>2020</v>
      </c>
      <c r="G7179" s="6" t="s">
        <v>16</v>
      </c>
      <c r="H7179" s="6">
        <v>200</v>
      </c>
      <c r="I7179" s="6">
        <v>200</v>
      </c>
      <c r="J7179" s="6"/>
      <c r="K7179" s="6"/>
      <c r="L7179" s="10">
        <v>20201118</v>
      </c>
      <c r="M7179" s="36" t="str">
        <f t="shared" si="112"/>
        <v>19850308</v>
      </c>
    </row>
    <row r="7180" s="1" customFormat="1" ht="14.25" spans="1:13">
      <c r="A7180" s="2">
        <v>7646</v>
      </c>
      <c r="B7180" s="5" t="s">
        <v>14875</v>
      </c>
      <c r="C7180" s="51" t="s">
        <v>14887</v>
      </c>
      <c r="D7180" s="24" t="str">
        <f>"152326198503097125"</f>
        <v>152326198503097125</v>
      </c>
      <c r="E7180" s="6" t="s">
        <v>15</v>
      </c>
      <c r="F7180" s="6">
        <v>2020</v>
      </c>
      <c r="G7180" s="24" t="s">
        <v>14877</v>
      </c>
      <c r="H7180" s="6">
        <v>200</v>
      </c>
      <c r="I7180" s="6">
        <v>200</v>
      </c>
      <c r="J7180" s="6"/>
      <c r="K7180" s="10"/>
      <c r="L7180" s="10">
        <v>20201118</v>
      </c>
      <c r="M7180" s="36" t="str">
        <f t="shared" si="112"/>
        <v>19850309</v>
      </c>
    </row>
    <row r="7181" s="1" customFormat="1" spans="1:13">
      <c r="A7181" s="2">
        <v>2725</v>
      </c>
      <c r="B7181" s="32" t="s">
        <v>5602</v>
      </c>
      <c r="C7181" s="9" t="s">
        <v>5980</v>
      </c>
      <c r="D7181" s="9" t="s">
        <v>5981</v>
      </c>
      <c r="E7181" s="32">
        <v>2020</v>
      </c>
      <c r="F7181" s="32">
        <v>2020</v>
      </c>
      <c r="G7181" s="32" t="s">
        <v>16</v>
      </c>
      <c r="H7181" s="9">
        <v>200</v>
      </c>
      <c r="I7181" s="9">
        <v>200</v>
      </c>
      <c r="J7181" s="32"/>
      <c r="K7181" s="52"/>
      <c r="L7181" s="10">
        <v>20201118</v>
      </c>
      <c r="M7181" s="36" t="str">
        <f t="shared" si="112"/>
        <v>19850311</v>
      </c>
    </row>
    <row r="7182" s="1" customFormat="1" spans="1:13">
      <c r="A7182" s="2">
        <v>2512</v>
      </c>
      <c r="B7182" s="5" t="s">
        <v>5328</v>
      </c>
      <c r="C7182" s="16" t="s">
        <v>5558</v>
      </c>
      <c r="D7182" s="16" t="s">
        <v>5559</v>
      </c>
      <c r="E7182" s="5" t="s">
        <v>15</v>
      </c>
      <c r="F7182" s="5" t="s">
        <v>15</v>
      </c>
      <c r="G7182" s="14" t="s">
        <v>16</v>
      </c>
      <c r="H7182" s="6">
        <v>200</v>
      </c>
      <c r="I7182" s="6">
        <v>200</v>
      </c>
      <c r="J7182" s="5"/>
      <c r="K7182" s="5"/>
      <c r="L7182" s="10">
        <v>20201118</v>
      </c>
      <c r="M7182" s="36" t="str">
        <f t="shared" si="112"/>
        <v>19850315</v>
      </c>
    </row>
    <row r="7183" s="1" customFormat="1" spans="1:13">
      <c r="A7183" s="2">
        <v>826</v>
      </c>
      <c r="B7183" s="29" t="s">
        <v>1040</v>
      </c>
      <c r="C7183" s="5" t="s">
        <v>2127</v>
      </c>
      <c r="D7183" s="317" t="s">
        <v>2128</v>
      </c>
      <c r="E7183" s="30">
        <v>2020</v>
      </c>
      <c r="F7183" s="30">
        <v>2020</v>
      </c>
      <c r="G7183" s="29" t="s">
        <v>16</v>
      </c>
      <c r="H7183" s="29">
        <v>200</v>
      </c>
      <c r="I7183" s="29">
        <v>200</v>
      </c>
      <c r="J7183" s="32"/>
      <c r="K7183" s="32"/>
      <c r="L7183" s="2" t="s">
        <v>330</v>
      </c>
      <c r="M7183" s="36" t="str">
        <f t="shared" si="112"/>
        <v>19850320</v>
      </c>
    </row>
    <row r="7184" s="1" customFormat="1" ht="14.25" spans="1:13">
      <c r="A7184" s="2">
        <v>5493</v>
      </c>
      <c r="B7184" s="33" t="s">
        <v>10535</v>
      </c>
      <c r="C7184" s="55" t="s">
        <v>11079</v>
      </c>
      <c r="D7184" s="55" t="s">
        <v>11080</v>
      </c>
      <c r="E7184" s="35">
        <v>2020</v>
      </c>
      <c r="F7184" s="35">
        <v>2020</v>
      </c>
      <c r="G7184" s="35" t="s">
        <v>16</v>
      </c>
      <c r="H7184" s="55">
        <v>200</v>
      </c>
      <c r="I7184" s="55">
        <v>200</v>
      </c>
      <c r="J7184" s="49"/>
      <c r="K7184" s="10"/>
      <c r="L7184" s="10">
        <v>20201118</v>
      </c>
      <c r="M7184" s="36" t="str">
        <f t="shared" si="112"/>
        <v>19850320</v>
      </c>
    </row>
    <row r="7185" s="1" customFormat="1" spans="1:13">
      <c r="A7185" s="2">
        <v>6762</v>
      </c>
      <c r="B7185" s="5" t="s">
        <v>13027</v>
      </c>
      <c r="C7185" s="15" t="s">
        <v>13488</v>
      </c>
      <c r="D7185" s="15" t="s">
        <v>13489</v>
      </c>
      <c r="E7185" s="5">
        <v>2020</v>
      </c>
      <c r="F7185" s="5">
        <v>2020</v>
      </c>
      <c r="G7185" s="14" t="s">
        <v>16</v>
      </c>
      <c r="H7185" s="15">
        <v>200</v>
      </c>
      <c r="I7185" s="15">
        <v>200</v>
      </c>
      <c r="J7185" s="5" t="s">
        <v>13322</v>
      </c>
      <c r="K7185" s="10"/>
      <c r="L7185" s="10">
        <v>20201118</v>
      </c>
      <c r="M7185" s="36" t="str">
        <f t="shared" si="112"/>
        <v>19850320</v>
      </c>
    </row>
    <row r="7186" s="1" customFormat="1" spans="1:13">
      <c r="A7186" s="2">
        <v>7852</v>
      </c>
      <c r="B7186" s="5" t="s">
        <v>15086</v>
      </c>
      <c r="C7186" s="6" t="s">
        <v>15123</v>
      </c>
      <c r="D7186" s="6" t="str">
        <f>"152326198503206870"</f>
        <v>152326198503206870</v>
      </c>
      <c r="E7186" s="5" t="s">
        <v>15</v>
      </c>
      <c r="F7186" s="5">
        <v>2020</v>
      </c>
      <c r="G7186" s="5" t="s">
        <v>16</v>
      </c>
      <c r="H7186" s="5">
        <v>200</v>
      </c>
      <c r="I7186" s="5">
        <v>200</v>
      </c>
      <c r="J7186" s="5"/>
      <c r="K7186" s="5"/>
      <c r="L7186" s="10">
        <v>20201118</v>
      </c>
      <c r="M7186" s="36" t="str">
        <f t="shared" si="112"/>
        <v>19850320</v>
      </c>
    </row>
    <row r="7187" s="1" customFormat="1" spans="1:13">
      <c r="A7187" s="2">
        <v>3290</v>
      </c>
      <c r="B7187" s="5" t="s">
        <v>3375</v>
      </c>
      <c r="C7187" s="6" t="s">
        <v>7064</v>
      </c>
      <c r="D7187" s="6" t="str">
        <f>"152326198503216884"</f>
        <v>152326198503216884</v>
      </c>
      <c r="E7187" s="5" t="s">
        <v>15</v>
      </c>
      <c r="F7187" s="5">
        <v>2020</v>
      </c>
      <c r="G7187" s="14" t="s">
        <v>16</v>
      </c>
      <c r="H7187" s="17">
        <v>1000</v>
      </c>
      <c r="I7187" s="17">
        <v>1000</v>
      </c>
      <c r="J7187" s="6"/>
      <c r="K7187" s="10"/>
      <c r="L7187" s="10">
        <v>20201118</v>
      </c>
      <c r="M7187" s="36" t="str">
        <f t="shared" si="112"/>
        <v>19850321</v>
      </c>
    </row>
    <row r="7188" s="1" customFormat="1" spans="1:13">
      <c r="A7188" s="2">
        <v>2726</v>
      </c>
      <c r="B7188" s="32" t="s">
        <v>5602</v>
      </c>
      <c r="C7188" s="9" t="s">
        <v>5982</v>
      </c>
      <c r="D7188" s="9" t="s">
        <v>5983</v>
      </c>
      <c r="E7188" s="32">
        <v>2020</v>
      </c>
      <c r="F7188" s="32">
        <v>2020</v>
      </c>
      <c r="G7188" s="32" t="s">
        <v>16</v>
      </c>
      <c r="H7188" s="9">
        <v>200</v>
      </c>
      <c r="I7188" s="9">
        <v>200</v>
      </c>
      <c r="J7188" s="32"/>
      <c r="K7188" s="52"/>
      <c r="L7188" s="10">
        <v>20201118</v>
      </c>
      <c r="M7188" s="36" t="str">
        <f t="shared" si="112"/>
        <v>19850322</v>
      </c>
    </row>
    <row r="7189" s="1" customFormat="1" spans="1:13">
      <c r="A7189" s="2">
        <v>2727</v>
      </c>
      <c r="B7189" s="32" t="s">
        <v>5602</v>
      </c>
      <c r="C7189" s="9" t="s">
        <v>5984</v>
      </c>
      <c r="D7189" s="9" t="s">
        <v>5985</v>
      </c>
      <c r="E7189" s="32">
        <v>2020</v>
      </c>
      <c r="F7189" s="32">
        <v>2020</v>
      </c>
      <c r="G7189" s="32" t="s">
        <v>16</v>
      </c>
      <c r="H7189" s="9">
        <v>200</v>
      </c>
      <c r="I7189" s="9">
        <v>200</v>
      </c>
      <c r="J7189" s="32"/>
      <c r="K7189" s="52"/>
      <c r="L7189" s="10">
        <v>20201118</v>
      </c>
      <c r="M7189" s="36" t="str">
        <f t="shared" si="112"/>
        <v>19850328</v>
      </c>
    </row>
    <row r="7190" s="1" customFormat="1" spans="1:13">
      <c r="A7190" s="2">
        <v>7611</v>
      </c>
      <c r="B7190" s="5" t="s">
        <v>14402</v>
      </c>
      <c r="C7190" s="5" t="s">
        <v>14820</v>
      </c>
      <c r="D7190" s="5" t="s">
        <v>14821</v>
      </c>
      <c r="E7190" s="5">
        <v>2020</v>
      </c>
      <c r="F7190" s="5">
        <v>2020</v>
      </c>
      <c r="G7190" s="17" t="s">
        <v>189</v>
      </c>
      <c r="H7190" s="5">
        <v>200</v>
      </c>
      <c r="I7190" s="5">
        <v>200</v>
      </c>
      <c r="J7190" s="5"/>
      <c r="K7190" s="10"/>
      <c r="L7190" s="10">
        <v>20201118</v>
      </c>
      <c r="M7190" s="36" t="str">
        <f t="shared" si="112"/>
        <v>19850401</v>
      </c>
    </row>
    <row r="7191" s="1" customFormat="1" spans="1:13">
      <c r="A7191" s="2">
        <v>5505</v>
      </c>
      <c r="B7191" s="30" t="s">
        <v>11090</v>
      </c>
      <c r="C7191" s="30" t="s">
        <v>11105</v>
      </c>
      <c r="D7191" s="30" t="s">
        <v>11106</v>
      </c>
      <c r="E7191" s="5" t="s">
        <v>15</v>
      </c>
      <c r="F7191" s="5" t="s">
        <v>10250</v>
      </c>
      <c r="G7191" s="6" t="s">
        <v>16</v>
      </c>
      <c r="H7191" s="32">
        <v>200</v>
      </c>
      <c r="I7191" s="32">
        <v>200</v>
      </c>
      <c r="J7191" s="6"/>
      <c r="K7191" s="48"/>
      <c r="L7191" s="10">
        <v>20201118</v>
      </c>
      <c r="M7191" s="36" t="str">
        <f t="shared" si="112"/>
        <v>19850404</v>
      </c>
    </row>
    <row r="7192" s="1" customFormat="1" spans="1:13">
      <c r="A7192" s="2">
        <v>5193</v>
      </c>
      <c r="B7192" s="6" t="s">
        <v>10242</v>
      </c>
      <c r="C7192" s="9" t="s">
        <v>10507</v>
      </c>
      <c r="D7192" s="89" t="s">
        <v>10508</v>
      </c>
      <c r="E7192" s="5" t="s">
        <v>10250</v>
      </c>
      <c r="F7192" s="5">
        <v>2020</v>
      </c>
      <c r="G7192" s="6" t="s">
        <v>16</v>
      </c>
      <c r="H7192" s="6">
        <v>200</v>
      </c>
      <c r="I7192" s="6">
        <v>200</v>
      </c>
      <c r="J7192" s="6"/>
      <c r="K7192" s="5"/>
      <c r="L7192" s="10">
        <v>20201118</v>
      </c>
      <c r="M7192" s="36" t="str">
        <f t="shared" si="112"/>
        <v>19850405</v>
      </c>
    </row>
    <row r="7193" s="1" customFormat="1" spans="1:13">
      <c r="A7193" s="2">
        <v>3218</v>
      </c>
      <c r="B7193" s="3" t="s">
        <v>6671</v>
      </c>
      <c r="C7193" s="9" t="s">
        <v>4607</v>
      </c>
      <c r="D7193" s="9" t="s">
        <v>6943</v>
      </c>
      <c r="E7193" s="3" t="s">
        <v>15</v>
      </c>
      <c r="F7193" s="3" t="s">
        <v>15</v>
      </c>
      <c r="G7193" s="6" t="s">
        <v>3359</v>
      </c>
      <c r="H7193" s="9">
        <v>200</v>
      </c>
      <c r="I7193" s="9">
        <v>200</v>
      </c>
      <c r="J7193" s="6"/>
      <c r="K7193" s="5"/>
      <c r="L7193" s="10">
        <v>20201118</v>
      </c>
      <c r="M7193" s="36" t="str">
        <f t="shared" si="112"/>
        <v>19850407</v>
      </c>
    </row>
    <row r="7194" s="1" customFormat="1" ht="14.25" spans="1:13">
      <c r="A7194" s="2">
        <v>6004</v>
      </c>
      <c r="B7194" s="30" t="s">
        <v>11090</v>
      </c>
      <c r="C7194" s="32" t="s">
        <v>12051</v>
      </c>
      <c r="D7194" s="12" t="s">
        <v>12052</v>
      </c>
      <c r="E7194" s="5" t="s">
        <v>15</v>
      </c>
      <c r="F7194" s="5" t="s">
        <v>10250</v>
      </c>
      <c r="G7194" s="6" t="s">
        <v>16</v>
      </c>
      <c r="H7194" s="32">
        <v>200</v>
      </c>
      <c r="I7194" s="32">
        <v>200</v>
      </c>
      <c r="J7194" s="5"/>
      <c r="K7194" s="48"/>
      <c r="L7194" s="10">
        <v>20201118</v>
      </c>
      <c r="M7194" s="36" t="str">
        <f t="shared" si="112"/>
        <v>19850407</v>
      </c>
    </row>
    <row r="7195" s="1" customFormat="1" spans="1:13">
      <c r="A7195" s="2">
        <v>911</v>
      </c>
      <c r="B7195" s="29" t="s">
        <v>1040</v>
      </c>
      <c r="C7195" s="6" t="s">
        <v>2380</v>
      </c>
      <c r="D7195" s="6" t="s">
        <v>2381</v>
      </c>
      <c r="E7195" s="30">
        <v>2020</v>
      </c>
      <c r="F7195" s="30">
        <v>2020</v>
      </c>
      <c r="G7195" s="29" t="s">
        <v>16</v>
      </c>
      <c r="H7195" s="29">
        <v>200</v>
      </c>
      <c r="I7195" s="29">
        <v>200</v>
      </c>
      <c r="J7195" s="32"/>
      <c r="K7195" s="32"/>
      <c r="L7195" s="14" t="s">
        <v>330</v>
      </c>
      <c r="M7195" s="36" t="str">
        <f t="shared" si="112"/>
        <v>19850423</v>
      </c>
    </row>
    <row r="7196" s="1" customFormat="1" spans="1:13">
      <c r="A7196" s="2">
        <v>4553</v>
      </c>
      <c r="B7196" s="6" t="s">
        <v>9015</v>
      </c>
      <c r="C7196" s="6" t="s">
        <v>9285</v>
      </c>
      <c r="D7196" s="6" t="s">
        <v>9286</v>
      </c>
      <c r="E7196" s="6">
        <v>2020</v>
      </c>
      <c r="F7196" s="6">
        <v>2020</v>
      </c>
      <c r="G7196" s="6" t="s">
        <v>16</v>
      </c>
      <c r="H7196" s="6">
        <v>200</v>
      </c>
      <c r="I7196" s="6">
        <v>200</v>
      </c>
      <c r="J7196" s="6"/>
      <c r="K7196" s="6"/>
      <c r="L7196" s="10">
        <v>20201118</v>
      </c>
      <c r="M7196" s="36" t="str">
        <f t="shared" si="112"/>
        <v>19850425</v>
      </c>
    </row>
    <row r="7197" s="1" customFormat="1" ht="14.25" spans="1:13">
      <c r="A7197" s="2">
        <v>5450</v>
      </c>
      <c r="B7197" s="33" t="s">
        <v>10535</v>
      </c>
      <c r="C7197" s="34" t="s">
        <v>10999</v>
      </c>
      <c r="D7197" s="34" t="s">
        <v>11000</v>
      </c>
      <c r="E7197" s="35">
        <v>2020</v>
      </c>
      <c r="F7197" s="35">
        <v>2020</v>
      </c>
      <c r="G7197" s="35" t="s">
        <v>16</v>
      </c>
      <c r="H7197" s="34">
        <v>200</v>
      </c>
      <c r="I7197" s="34">
        <v>200</v>
      </c>
      <c r="J7197" s="49"/>
      <c r="K7197" s="10"/>
      <c r="L7197" s="10">
        <v>20201118</v>
      </c>
      <c r="M7197" s="36" t="str">
        <f t="shared" si="112"/>
        <v>19850426</v>
      </c>
    </row>
    <row r="7198" s="1" customFormat="1" spans="1:13">
      <c r="A7198" s="2">
        <v>2348</v>
      </c>
      <c r="B7198" s="9" t="s">
        <v>4837</v>
      </c>
      <c r="C7198" s="9" t="s">
        <v>5235</v>
      </c>
      <c r="D7198" s="9" t="s">
        <v>5236</v>
      </c>
      <c r="E7198" s="6" t="s">
        <v>15</v>
      </c>
      <c r="F7198" s="6">
        <v>2020</v>
      </c>
      <c r="G7198" s="9" t="s">
        <v>2480</v>
      </c>
      <c r="H7198" s="9">
        <v>200</v>
      </c>
      <c r="I7198" s="9">
        <v>200</v>
      </c>
      <c r="J7198" s="6"/>
      <c r="K7198" s="10"/>
      <c r="L7198" s="10">
        <v>20201118</v>
      </c>
      <c r="M7198" s="36" t="str">
        <f t="shared" si="112"/>
        <v>19850427</v>
      </c>
    </row>
    <row r="7199" s="1" customFormat="1" spans="1:13">
      <c r="A7199" s="2">
        <v>134</v>
      </c>
      <c r="B7199" s="3" t="s">
        <v>12</v>
      </c>
      <c r="C7199" s="3" t="s">
        <v>284</v>
      </c>
      <c r="D7199" s="3" t="s">
        <v>285</v>
      </c>
      <c r="E7199" s="3" t="s">
        <v>15</v>
      </c>
      <c r="F7199" s="3" t="s">
        <v>15</v>
      </c>
      <c r="G7199" s="3" t="s">
        <v>189</v>
      </c>
      <c r="H7199" s="3">
        <v>200</v>
      </c>
      <c r="I7199" s="3">
        <v>200</v>
      </c>
      <c r="J7199" s="3"/>
      <c r="K7199" s="3"/>
      <c r="L7199" s="10">
        <v>20201118</v>
      </c>
      <c r="M7199" s="36" t="str">
        <f t="shared" si="112"/>
        <v>19850502</v>
      </c>
    </row>
    <row r="7200" s="1" customFormat="1" spans="1:13">
      <c r="A7200" s="2">
        <v>3565</v>
      </c>
      <c r="B7200" s="5" t="s">
        <v>3375</v>
      </c>
      <c r="C7200" s="5" t="s">
        <v>7399</v>
      </c>
      <c r="D7200" s="296" t="s">
        <v>7400</v>
      </c>
      <c r="E7200" s="5" t="s">
        <v>15</v>
      </c>
      <c r="F7200" s="5">
        <v>2020</v>
      </c>
      <c r="G7200" s="14" t="s">
        <v>16</v>
      </c>
      <c r="H7200" s="5">
        <v>200</v>
      </c>
      <c r="I7200" s="5">
        <v>200</v>
      </c>
      <c r="J7200" s="5"/>
      <c r="K7200" s="10"/>
      <c r="L7200" s="10">
        <v>20201118</v>
      </c>
      <c r="M7200" s="36" t="str">
        <f t="shared" si="112"/>
        <v>19850502</v>
      </c>
    </row>
    <row r="7201" s="1" customFormat="1" spans="1:13">
      <c r="A7201" s="2">
        <v>2054</v>
      </c>
      <c r="B7201" s="5" t="s">
        <v>4189</v>
      </c>
      <c r="C7201" s="16" t="s">
        <v>4662</v>
      </c>
      <c r="D7201" s="16" t="s">
        <v>4663</v>
      </c>
      <c r="E7201" s="5" t="s">
        <v>15</v>
      </c>
      <c r="F7201" s="5" t="s">
        <v>15</v>
      </c>
      <c r="G7201" s="5" t="s">
        <v>3359</v>
      </c>
      <c r="H7201" s="16">
        <v>200</v>
      </c>
      <c r="I7201" s="16">
        <v>200</v>
      </c>
      <c r="J7201" s="5"/>
      <c r="K7201" s="10"/>
      <c r="L7201" s="10">
        <v>20201118</v>
      </c>
      <c r="M7201" s="36" t="str">
        <f t="shared" si="112"/>
        <v>19850504</v>
      </c>
    </row>
    <row r="7202" s="1" customFormat="1" spans="1:13">
      <c r="A7202" s="2">
        <v>4897</v>
      </c>
      <c r="B7202" s="6" t="s">
        <v>9015</v>
      </c>
      <c r="C7202" s="6" t="s">
        <v>7198</v>
      </c>
      <c r="D7202" s="293" t="s">
        <v>9933</v>
      </c>
      <c r="E7202" s="6">
        <v>2020</v>
      </c>
      <c r="F7202" s="6">
        <v>2020</v>
      </c>
      <c r="G7202" s="6" t="s">
        <v>189</v>
      </c>
      <c r="H7202" s="6">
        <v>1000</v>
      </c>
      <c r="I7202" s="6">
        <v>1000</v>
      </c>
      <c r="J7202" s="6"/>
      <c r="K7202" s="6"/>
      <c r="L7202" s="10">
        <v>20201118</v>
      </c>
      <c r="M7202" s="36" t="str">
        <f t="shared" si="112"/>
        <v>19850506</v>
      </c>
    </row>
    <row r="7203" s="1" customFormat="1" spans="1:13">
      <c r="A7203" s="2">
        <v>7847</v>
      </c>
      <c r="B7203" s="5" t="s">
        <v>15086</v>
      </c>
      <c r="C7203" s="6" t="s">
        <v>15118</v>
      </c>
      <c r="D7203" s="6" t="str">
        <f>"152326198505076870"</f>
        <v>152326198505076870</v>
      </c>
      <c r="E7203" s="5" t="s">
        <v>15</v>
      </c>
      <c r="F7203" s="5">
        <v>2020</v>
      </c>
      <c r="G7203" s="5" t="s">
        <v>16</v>
      </c>
      <c r="H7203" s="5">
        <v>200</v>
      </c>
      <c r="I7203" s="5">
        <v>200</v>
      </c>
      <c r="J7203" s="5"/>
      <c r="K7203" s="5"/>
      <c r="L7203" s="10">
        <v>20201118</v>
      </c>
      <c r="M7203" s="36" t="str">
        <f t="shared" si="112"/>
        <v>19850507</v>
      </c>
    </row>
    <row r="7204" s="1" customFormat="1" spans="1:13">
      <c r="A7204" s="2">
        <v>378</v>
      </c>
      <c r="B7204" s="14" t="s">
        <v>327</v>
      </c>
      <c r="C7204" s="3" t="s">
        <v>1021</v>
      </c>
      <c r="D7204" s="3" t="s">
        <v>1022</v>
      </c>
      <c r="E7204" s="5">
        <v>2020</v>
      </c>
      <c r="F7204" s="5">
        <v>2020</v>
      </c>
      <c r="G7204" s="3" t="s">
        <v>1007</v>
      </c>
      <c r="H7204" s="17">
        <v>200</v>
      </c>
      <c r="I7204" s="17">
        <v>200</v>
      </c>
      <c r="J7204" s="3"/>
      <c r="K7204" s="10"/>
      <c r="L7204" s="14" t="s">
        <v>330</v>
      </c>
      <c r="M7204" s="36" t="str">
        <f t="shared" si="112"/>
        <v>19850509</v>
      </c>
    </row>
    <row r="7205" s="1" customFormat="1" spans="1:13">
      <c r="A7205" s="2">
        <v>2057</v>
      </c>
      <c r="B7205" s="5" t="s">
        <v>4189</v>
      </c>
      <c r="C7205" s="16" t="s">
        <v>4668</v>
      </c>
      <c r="D7205" s="16" t="s">
        <v>4669</v>
      </c>
      <c r="E7205" s="5" t="s">
        <v>15</v>
      </c>
      <c r="F7205" s="5" t="s">
        <v>15</v>
      </c>
      <c r="G7205" s="5" t="s">
        <v>3359</v>
      </c>
      <c r="H7205" s="16">
        <v>200</v>
      </c>
      <c r="I7205" s="16">
        <v>200</v>
      </c>
      <c r="J7205" s="5"/>
      <c r="K7205" s="10"/>
      <c r="L7205" s="10">
        <v>20201118</v>
      </c>
      <c r="M7205" s="36" t="str">
        <f t="shared" si="112"/>
        <v>19850511</v>
      </c>
    </row>
    <row r="7206" s="1" customFormat="1" spans="1:13">
      <c r="A7206" s="2">
        <v>2728</v>
      </c>
      <c r="B7206" s="32" t="s">
        <v>5602</v>
      </c>
      <c r="C7206" s="9" t="s">
        <v>5986</v>
      </c>
      <c r="D7206" s="9" t="s">
        <v>5987</v>
      </c>
      <c r="E7206" s="32">
        <v>2020</v>
      </c>
      <c r="F7206" s="32">
        <v>2020</v>
      </c>
      <c r="G7206" s="32" t="s">
        <v>16</v>
      </c>
      <c r="H7206" s="9">
        <v>200</v>
      </c>
      <c r="I7206" s="9">
        <v>200</v>
      </c>
      <c r="J7206" s="32"/>
      <c r="K7206" s="52"/>
      <c r="L7206" s="10">
        <v>20201118</v>
      </c>
      <c r="M7206" s="36" t="str">
        <f t="shared" si="112"/>
        <v>19850511</v>
      </c>
    </row>
    <row r="7207" s="1" customFormat="1" spans="1:13">
      <c r="A7207" s="2">
        <v>7279</v>
      </c>
      <c r="B7207" s="5" t="s">
        <v>13908</v>
      </c>
      <c r="C7207" s="5" t="s">
        <v>14198</v>
      </c>
      <c r="D7207" s="5" t="s">
        <v>14199</v>
      </c>
      <c r="E7207" s="5" t="s">
        <v>15</v>
      </c>
      <c r="F7207" s="5" t="s">
        <v>15</v>
      </c>
      <c r="G7207" s="14" t="s">
        <v>16</v>
      </c>
      <c r="H7207" s="17">
        <v>200</v>
      </c>
      <c r="I7207" s="17">
        <v>200</v>
      </c>
      <c r="J7207" s="5"/>
      <c r="K7207" s="10"/>
      <c r="L7207" s="10">
        <v>20201118</v>
      </c>
      <c r="M7207" s="36" t="str">
        <f t="shared" si="112"/>
        <v>19850518</v>
      </c>
    </row>
    <row r="7208" s="1" customFormat="1" spans="1:13">
      <c r="A7208" s="2">
        <v>7194</v>
      </c>
      <c r="B7208" s="5" t="s">
        <v>13908</v>
      </c>
      <c r="C7208" s="5" t="s">
        <v>922</v>
      </c>
      <c r="D7208" s="5" t="s">
        <v>14038</v>
      </c>
      <c r="E7208" s="5" t="s">
        <v>15</v>
      </c>
      <c r="F7208" s="5" t="s">
        <v>15</v>
      </c>
      <c r="G7208" s="14" t="s">
        <v>16</v>
      </c>
      <c r="H7208" s="17">
        <v>200</v>
      </c>
      <c r="I7208" s="17">
        <v>200</v>
      </c>
      <c r="J7208" s="5"/>
      <c r="K7208" s="10"/>
      <c r="L7208" s="10">
        <v>20201118</v>
      </c>
      <c r="M7208" s="36" t="str">
        <f t="shared" si="112"/>
        <v>19850520</v>
      </c>
    </row>
    <row r="7209" s="1" customFormat="1" spans="1:13">
      <c r="A7209" s="2">
        <v>7850</v>
      </c>
      <c r="B7209" s="5" t="s">
        <v>15086</v>
      </c>
      <c r="C7209" s="6" t="s">
        <v>15121</v>
      </c>
      <c r="D7209" s="6" t="str">
        <f>"152326198505206874"</f>
        <v>152326198505206874</v>
      </c>
      <c r="E7209" s="5" t="s">
        <v>15</v>
      </c>
      <c r="F7209" s="5">
        <v>2020</v>
      </c>
      <c r="G7209" s="5" t="s">
        <v>16</v>
      </c>
      <c r="H7209" s="5">
        <v>500</v>
      </c>
      <c r="I7209" s="5">
        <v>500</v>
      </c>
      <c r="J7209" s="5"/>
      <c r="K7209" s="5"/>
      <c r="L7209" s="10">
        <v>20201118</v>
      </c>
      <c r="M7209" s="36" t="str">
        <f t="shared" si="112"/>
        <v>19850520</v>
      </c>
    </row>
    <row r="7210" s="1" customFormat="1" spans="1:13">
      <c r="A7210" s="2">
        <v>847</v>
      </c>
      <c r="B7210" s="29" t="s">
        <v>1040</v>
      </c>
      <c r="C7210" s="29" t="s">
        <v>2188</v>
      </c>
      <c r="D7210" s="29" t="s">
        <v>2189</v>
      </c>
      <c r="E7210" s="30">
        <v>2020</v>
      </c>
      <c r="F7210" s="30">
        <v>2020</v>
      </c>
      <c r="G7210" s="29" t="s">
        <v>16</v>
      </c>
      <c r="H7210" s="29">
        <v>200</v>
      </c>
      <c r="I7210" s="29">
        <v>200</v>
      </c>
      <c r="J7210" s="32"/>
      <c r="K7210" s="32"/>
      <c r="L7210" s="2" t="s">
        <v>330</v>
      </c>
      <c r="M7210" s="36" t="str">
        <f t="shared" si="112"/>
        <v>19850524</v>
      </c>
    </row>
    <row r="7211" s="1" customFormat="1" spans="1:13">
      <c r="A7211" s="2">
        <v>5178</v>
      </c>
      <c r="B7211" s="6" t="s">
        <v>10242</v>
      </c>
      <c r="C7211" s="9" t="s">
        <v>10479</v>
      </c>
      <c r="D7211" s="9" t="s">
        <v>10480</v>
      </c>
      <c r="E7211" s="5" t="s">
        <v>10250</v>
      </c>
      <c r="F7211" s="5">
        <v>2020</v>
      </c>
      <c r="G7211" s="6" t="s">
        <v>16</v>
      </c>
      <c r="H7211" s="6">
        <v>200</v>
      </c>
      <c r="I7211" s="6">
        <v>200</v>
      </c>
      <c r="J7211" s="6"/>
      <c r="K7211" s="5"/>
      <c r="L7211" s="10">
        <v>20201118</v>
      </c>
      <c r="M7211" s="36" t="str">
        <f t="shared" si="112"/>
        <v>19850525</v>
      </c>
    </row>
    <row r="7212" s="1" customFormat="1" ht="14.25" spans="1:13">
      <c r="A7212" s="2">
        <v>6051</v>
      </c>
      <c r="B7212" s="30" t="s">
        <v>11090</v>
      </c>
      <c r="C7212" s="32" t="s">
        <v>12145</v>
      </c>
      <c r="D7212" s="12" t="s">
        <v>12146</v>
      </c>
      <c r="E7212" s="5" t="s">
        <v>15</v>
      </c>
      <c r="F7212" s="5" t="s">
        <v>10250</v>
      </c>
      <c r="G7212" s="6" t="s">
        <v>16</v>
      </c>
      <c r="H7212" s="32">
        <v>200</v>
      </c>
      <c r="I7212" s="32">
        <v>200</v>
      </c>
      <c r="J7212" s="5"/>
      <c r="K7212" s="48"/>
      <c r="L7212" s="10">
        <v>20201118</v>
      </c>
      <c r="M7212" s="36" t="str">
        <f t="shared" si="112"/>
        <v>19850527</v>
      </c>
    </row>
    <row r="7213" s="1" customFormat="1" spans="1:13">
      <c r="A7213" s="2">
        <v>4637</v>
      </c>
      <c r="B7213" s="6" t="s">
        <v>9015</v>
      </c>
      <c r="C7213" s="6" t="s">
        <v>9441</v>
      </c>
      <c r="D7213" s="6" t="s">
        <v>9442</v>
      </c>
      <c r="E7213" s="6">
        <v>2020</v>
      </c>
      <c r="F7213" s="6">
        <v>2020</v>
      </c>
      <c r="G7213" s="6" t="s">
        <v>16</v>
      </c>
      <c r="H7213" s="6">
        <v>200</v>
      </c>
      <c r="I7213" s="6">
        <v>200</v>
      </c>
      <c r="J7213" s="6"/>
      <c r="K7213" s="6"/>
      <c r="L7213" s="10">
        <v>20201118</v>
      </c>
      <c r="M7213" s="36" t="str">
        <f t="shared" si="112"/>
        <v>19850528</v>
      </c>
    </row>
    <row r="7214" s="1" customFormat="1" ht="14.25" spans="1:13">
      <c r="A7214" s="2">
        <v>3008</v>
      </c>
      <c r="B7214" s="6" t="s">
        <v>6075</v>
      </c>
      <c r="C7214" s="25" t="s">
        <v>272</v>
      </c>
      <c r="D7214" s="26" t="s">
        <v>6541</v>
      </c>
      <c r="E7214" s="5" t="s">
        <v>15</v>
      </c>
      <c r="F7214" s="5">
        <v>2020</v>
      </c>
      <c r="G7214" s="6" t="s">
        <v>16</v>
      </c>
      <c r="H7214" s="6">
        <v>200</v>
      </c>
      <c r="I7214" s="6">
        <v>200</v>
      </c>
      <c r="J7214" s="6"/>
      <c r="K7214" s="10"/>
      <c r="L7214" s="10">
        <v>20201118</v>
      </c>
      <c r="M7214" s="36" t="str">
        <f t="shared" si="112"/>
        <v>19850601</v>
      </c>
    </row>
    <row r="7215" s="1" customFormat="1" spans="1:13">
      <c r="A7215" s="2">
        <v>6806</v>
      </c>
      <c r="B7215" s="5" t="s">
        <v>13533</v>
      </c>
      <c r="C7215" s="32" t="s">
        <v>13558</v>
      </c>
      <c r="D7215" s="32" t="str">
        <f>"152326198506047123"</f>
        <v>152326198506047123</v>
      </c>
      <c r="E7215" s="5">
        <v>2020</v>
      </c>
      <c r="F7215" s="5">
        <v>2020</v>
      </c>
      <c r="G7215" s="9" t="s">
        <v>2480</v>
      </c>
      <c r="H7215" s="32">
        <v>200</v>
      </c>
      <c r="I7215" s="32">
        <v>200</v>
      </c>
      <c r="J7215" s="32"/>
      <c r="K7215" s="10"/>
      <c r="L7215" s="10">
        <v>20201118</v>
      </c>
      <c r="M7215" s="36" t="str">
        <f t="shared" si="112"/>
        <v>19850604</v>
      </c>
    </row>
    <row r="7216" s="1" customFormat="1" spans="1:13">
      <c r="A7216" s="2">
        <v>7090</v>
      </c>
      <c r="B7216" s="5" t="s">
        <v>13533</v>
      </c>
      <c r="C7216" s="32" t="s">
        <v>13849</v>
      </c>
      <c r="D7216" s="32" t="s">
        <v>13850</v>
      </c>
      <c r="E7216" s="5">
        <v>2020</v>
      </c>
      <c r="F7216" s="5">
        <v>2020</v>
      </c>
      <c r="G7216" s="9" t="s">
        <v>2480</v>
      </c>
      <c r="H7216" s="32">
        <v>1000</v>
      </c>
      <c r="I7216" s="32">
        <v>1000</v>
      </c>
      <c r="J7216" s="32"/>
      <c r="K7216" s="10"/>
      <c r="L7216" s="10">
        <v>20201118</v>
      </c>
      <c r="M7216" s="36" t="str">
        <f t="shared" si="112"/>
        <v>19850605</v>
      </c>
    </row>
    <row r="7217" s="1" customFormat="1" spans="1:13">
      <c r="A7217" s="2">
        <v>7853</v>
      </c>
      <c r="B7217" s="5" t="s">
        <v>15086</v>
      </c>
      <c r="C7217" s="6" t="s">
        <v>15124</v>
      </c>
      <c r="D7217" s="6" t="str">
        <f>"152326198506066877"</f>
        <v>152326198506066877</v>
      </c>
      <c r="E7217" s="5" t="s">
        <v>15</v>
      </c>
      <c r="F7217" s="5">
        <v>2020</v>
      </c>
      <c r="G7217" s="5" t="s">
        <v>16</v>
      </c>
      <c r="H7217" s="5">
        <v>200</v>
      </c>
      <c r="I7217" s="5">
        <v>200</v>
      </c>
      <c r="J7217" s="5"/>
      <c r="K7217" s="5"/>
      <c r="L7217" s="10">
        <v>20201118</v>
      </c>
      <c r="M7217" s="36" t="str">
        <f t="shared" si="112"/>
        <v>19850606</v>
      </c>
    </row>
    <row r="7218" s="1" customFormat="1" spans="1:13">
      <c r="A7218" s="2">
        <v>6323</v>
      </c>
      <c r="B7218" s="5" t="s">
        <v>12263</v>
      </c>
      <c r="C7218" s="5" t="s">
        <v>12663</v>
      </c>
      <c r="D7218" s="5" t="s">
        <v>12664</v>
      </c>
      <c r="E7218" s="5" t="s">
        <v>10250</v>
      </c>
      <c r="F7218" s="5">
        <v>2020</v>
      </c>
      <c r="G7218" s="17" t="s">
        <v>3359</v>
      </c>
      <c r="H7218" s="5" t="s">
        <v>311</v>
      </c>
      <c r="I7218" s="5">
        <v>200</v>
      </c>
      <c r="J7218" s="5"/>
      <c r="K7218" s="5"/>
      <c r="L7218" s="10">
        <v>20201118</v>
      </c>
      <c r="M7218" s="36" t="str">
        <f t="shared" si="112"/>
        <v>19850607</v>
      </c>
    </row>
    <row r="7219" s="1" customFormat="1" spans="1:13">
      <c r="A7219" s="2">
        <v>5669</v>
      </c>
      <c r="B7219" s="30" t="s">
        <v>11090</v>
      </c>
      <c r="C7219" s="30" t="s">
        <v>11423</v>
      </c>
      <c r="D7219" s="30" t="s">
        <v>11424</v>
      </c>
      <c r="E7219" s="5" t="s">
        <v>15</v>
      </c>
      <c r="F7219" s="5" t="s">
        <v>10250</v>
      </c>
      <c r="G7219" s="6" t="s">
        <v>16</v>
      </c>
      <c r="H7219" s="32">
        <v>200</v>
      </c>
      <c r="I7219" s="32">
        <v>200</v>
      </c>
      <c r="J7219" s="6"/>
      <c r="K7219" s="48"/>
      <c r="L7219" s="10">
        <v>20201118</v>
      </c>
      <c r="M7219" s="36" t="str">
        <f t="shared" si="112"/>
        <v>19850608</v>
      </c>
    </row>
    <row r="7220" s="1" customFormat="1" spans="1:13">
      <c r="A7220" s="2">
        <v>2729</v>
      </c>
      <c r="B7220" s="32" t="s">
        <v>5602</v>
      </c>
      <c r="C7220" s="9" t="s">
        <v>5988</v>
      </c>
      <c r="D7220" s="9" t="s">
        <v>5989</v>
      </c>
      <c r="E7220" s="32">
        <v>2020</v>
      </c>
      <c r="F7220" s="32">
        <v>2020</v>
      </c>
      <c r="G7220" s="32" t="s">
        <v>16</v>
      </c>
      <c r="H7220" s="9">
        <v>200</v>
      </c>
      <c r="I7220" s="9">
        <v>200</v>
      </c>
      <c r="J7220" s="32"/>
      <c r="K7220" s="52"/>
      <c r="L7220" s="10">
        <v>20201118</v>
      </c>
      <c r="M7220" s="36" t="str">
        <f t="shared" si="112"/>
        <v>19850609</v>
      </c>
    </row>
    <row r="7221" s="1" customFormat="1" spans="1:13">
      <c r="A7221" s="2">
        <v>6805</v>
      </c>
      <c r="B7221" s="5" t="s">
        <v>13533</v>
      </c>
      <c r="C7221" s="32" t="s">
        <v>13557</v>
      </c>
      <c r="D7221" s="32" t="str">
        <f>"152326198506097120"</f>
        <v>152326198506097120</v>
      </c>
      <c r="E7221" s="5">
        <v>2020</v>
      </c>
      <c r="F7221" s="5">
        <v>2020</v>
      </c>
      <c r="G7221" s="9" t="s">
        <v>2480</v>
      </c>
      <c r="H7221" s="32">
        <v>200</v>
      </c>
      <c r="I7221" s="32">
        <v>200</v>
      </c>
      <c r="J7221" s="32"/>
      <c r="K7221" s="10"/>
      <c r="L7221" s="10">
        <v>20201118</v>
      </c>
      <c r="M7221" s="36" t="str">
        <f t="shared" si="112"/>
        <v>19850609</v>
      </c>
    </row>
    <row r="7222" s="1" customFormat="1" spans="1:13">
      <c r="A7222" s="2">
        <v>6807</v>
      </c>
      <c r="B7222" s="5" t="s">
        <v>13533</v>
      </c>
      <c r="C7222" s="32" t="s">
        <v>13559</v>
      </c>
      <c r="D7222" s="32" t="str">
        <f>"152326198506147124"</f>
        <v>152326198506147124</v>
      </c>
      <c r="E7222" s="5">
        <v>2020</v>
      </c>
      <c r="F7222" s="5">
        <v>2020</v>
      </c>
      <c r="G7222" s="9" t="s">
        <v>2480</v>
      </c>
      <c r="H7222" s="32">
        <v>200</v>
      </c>
      <c r="I7222" s="32">
        <v>200</v>
      </c>
      <c r="J7222" s="32"/>
      <c r="K7222" s="10"/>
      <c r="L7222" s="10">
        <v>20201118</v>
      </c>
      <c r="M7222" s="36" t="str">
        <f t="shared" si="112"/>
        <v>19850614</v>
      </c>
    </row>
    <row r="7223" s="1" customFormat="1" spans="1:13">
      <c r="A7223" s="2">
        <v>474</v>
      </c>
      <c r="B7223" s="29" t="s">
        <v>1040</v>
      </c>
      <c r="C7223" s="29" t="s">
        <v>1224</v>
      </c>
      <c r="D7223" s="29" t="s">
        <v>1225</v>
      </c>
      <c r="E7223" s="30">
        <v>2020</v>
      </c>
      <c r="F7223" s="30">
        <v>2020</v>
      </c>
      <c r="G7223" s="29" t="s">
        <v>16</v>
      </c>
      <c r="H7223" s="29">
        <v>200</v>
      </c>
      <c r="I7223" s="29">
        <v>200</v>
      </c>
      <c r="J7223" s="29"/>
      <c r="K7223" s="47"/>
      <c r="L7223" s="2" t="s">
        <v>330</v>
      </c>
      <c r="M7223" s="36" t="str">
        <f t="shared" si="112"/>
        <v>19850626</v>
      </c>
    </row>
    <row r="7224" s="1" customFormat="1" spans="1:13">
      <c r="A7224" s="2">
        <v>516</v>
      </c>
      <c r="B7224" s="29" t="s">
        <v>1040</v>
      </c>
      <c r="C7224" s="29" t="s">
        <v>1309</v>
      </c>
      <c r="D7224" s="29" t="s">
        <v>1310</v>
      </c>
      <c r="E7224" s="30">
        <v>2020</v>
      </c>
      <c r="F7224" s="30">
        <v>2020</v>
      </c>
      <c r="G7224" s="29" t="s">
        <v>16</v>
      </c>
      <c r="H7224" s="29">
        <v>200</v>
      </c>
      <c r="I7224" s="29">
        <v>200</v>
      </c>
      <c r="J7224" s="29"/>
      <c r="K7224" s="47"/>
      <c r="L7224" s="2" t="s">
        <v>330</v>
      </c>
      <c r="M7224" s="36" t="str">
        <f t="shared" si="112"/>
        <v>19850626</v>
      </c>
    </row>
    <row r="7225" s="1" customFormat="1" spans="1:13">
      <c r="A7225" s="2">
        <v>3209</v>
      </c>
      <c r="B7225" s="3" t="s">
        <v>6671</v>
      </c>
      <c r="C7225" s="9" t="s">
        <v>6925</v>
      </c>
      <c r="D7225" s="9" t="s">
        <v>6926</v>
      </c>
      <c r="E7225" s="3" t="s">
        <v>15</v>
      </c>
      <c r="F7225" s="3" t="s">
        <v>15</v>
      </c>
      <c r="G7225" s="6" t="s">
        <v>3359</v>
      </c>
      <c r="H7225" s="9">
        <v>200</v>
      </c>
      <c r="I7225" s="9">
        <v>200</v>
      </c>
      <c r="J7225" s="6"/>
      <c r="K7225" s="5"/>
      <c r="L7225" s="10">
        <v>20201118</v>
      </c>
      <c r="M7225" s="36" t="str">
        <f t="shared" si="112"/>
        <v>19850710</v>
      </c>
    </row>
    <row r="7226" s="1" customFormat="1" spans="1:13">
      <c r="A7226" s="2">
        <v>2349</v>
      </c>
      <c r="B7226" s="9" t="s">
        <v>4837</v>
      </c>
      <c r="C7226" s="9" t="s">
        <v>5237</v>
      </c>
      <c r="D7226" s="9" t="s">
        <v>5238</v>
      </c>
      <c r="E7226" s="6" t="s">
        <v>15</v>
      </c>
      <c r="F7226" s="6">
        <v>2020</v>
      </c>
      <c r="G7226" s="9" t="s">
        <v>2480</v>
      </c>
      <c r="H7226" s="9">
        <v>200</v>
      </c>
      <c r="I7226" s="9">
        <v>200</v>
      </c>
      <c r="J7226" s="6"/>
      <c r="K7226" s="10"/>
      <c r="L7226" s="10">
        <v>20201118</v>
      </c>
      <c r="M7226" s="36" t="str">
        <f t="shared" si="112"/>
        <v>19850714</v>
      </c>
    </row>
    <row r="7227" s="1" customFormat="1" spans="1:13">
      <c r="A7227" s="2">
        <v>3289</v>
      </c>
      <c r="B7227" s="5" t="s">
        <v>3375</v>
      </c>
      <c r="C7227" s="6" t="s">
        <v>7063</v>
      </c>
      <c r="D7227" s="6" t="str">
        <f>"152326198507146895"</f>
        <v>152326198507146895</v>
      </c>
      <c r="E7227" s="5" t="s">
        <v>15</v>
      </c>
      <c r="F7227" s="5">
        <v>2020</v>
      </c>
      <c r="G7227" s="14" t="s">
        <v>16</v>
      </c>
      <c r="H7227" s="17">
        <v>200</v>
      </c>
      <c r="I7227" s="17">
        <v>200</v>
      </c>
      <c r="J7227" s="6"/>
      <c r="K7227" s="10"/>
      <c r="L7227" s="10">
        <v>20201118</v>
      </c>
      <c r="M7227" s="36" t="str">
        <f t="shared" si="112"/>
        <v>19850714</v>
      </c>
    </row>
    <row r="7228" s="1" customFormat="1" spans="1:13">
      <c r="A7228" s="2">
        <v>6503</v>
      </c>
      <c r="B7228" s="5" t="s">
        <v>12263</v>
      </c>
      <c r="C7228" s="5" t="s">
        <v>13008</v>
      </c>
      <c r="D7228" s="5" t="s">
        <v>13009</v>
      </c>
      <c r="E7228" s="5" t="s">
        <v>15</v>
      </c>
      <c r="F7228" s="5">
        <v>2020</v>
      </c>
      <c r="G7228" s="5" t="s">
        <v>295</v>
      </c>
      <c r="H7228" s="5" t="s">
        <v>2295</v>
      </c>
      <c r="I7228" s="5">
        <v>500</v>
      </c>
      <c r="J7228" s="5"/>
      <c r="K7228" s="5"/>
      <c r="L7228" s="10">
        <v>20201118</v>
      </c>
      <c r="M7228" s="36" t="str">
        <f t="shared" si="112"/>
        <v>19850716</v>
      </c>
    </row>
    <row r="7229" s="1" customFormat="1" spans="1:13">
      <c r="A7229" s="2">
        <v>629</v>
      </c>
      <c r="B7229" s="29" t="s">
        <v>1040</v>
      </c>
      <c r="C7229" s="29" t="s">
        <v>1540</v>
      </c>
      <c r="D7229" s="29" t="s">
        <v>1541</v>
      </c>
      <c r="E7229" s="30">
        <v>2020</v>
      </c>
      <c r="F7229" s="30">
        <v>2020</v>
      </c>
      <c r="G7229" s="29" t="s">
        <v>16</v>
      </c>
      <c r="H7229" s="29">
        <v>200</v>
      </c>
      <c r="I7229" s="29">
        <v>200</v>
      </c>
      <c r="J7229" s="29"/>
      <c r="K7229" s="47"/>
      <c r="L7229" s="2" t="s">
        <v>330</v>
      </c>
      <c r="M7229" s="36" t="str">
        <f t="shared" si="112"/>
        <v>19850717</v>
      </c>
    </row>
    <row r="7230" s="1" customFormat="1" spans="1:13">
      <c r="A7230" s="2">
        <v>1303</v>
      </c>
      <c r="B7230" s="5" t="s">
        <v>2469</v>
      </c>
      <c r="C7230" s="9" t="s">
        <v>2532</v>
      </c>
      <c r="D7230" s="9" t="s">
        <v>3187</v>
      </c>
      <c r="E7230" s="5">
        <v>2020</v>
      </c>
      <c r="F7230" s="5">
        <v>2020</v>
      </c>
      <c r="G7230" s="9" t="s">
        <v>2480</v>
      </c>
      <c r="H7230" s="9">
        <v>200</v>
      </c>
      <c r="I7230" s="9">
        <v>200</v>
      </c>
      <c r="J7230" s="5"/>
      <c r="K7230" s="5"/>
      <c r="L7230" s="10">
        <v>20201118</v>
      </c>
      <c r="M7230" s="36" t="str">
        <f t="shared" si="112"/>
        <v>19850720</v>
      </c>
    </row>
    <row r="7231" s="1" customFormat="1" spans="1:13">
      <c r="A7231" s="2">
        <v>4380</v>
      </c>
      <c r="B7231" s="9" t="s">
        <v>8515</v>
      </c>
      <c r="C7231" s="9" t="s">
        <v>8948</v>
      </c>
      <c r="D7231" s="9" t="s">
        <v>8949</v>
      </c>
      <c r="E7231" s="5" t="s">
        <v>15</v>
      </c>
      <c r="F7231" s="5">
        <v>2020</v>
      </c>
      <c r="G7231" s="9" t="s">
        <v>2480</v>
      </c>
      <c r="H7231" s="9">
        <v>200</v>
      </c>
      <c r="I7231" s="9">
        <v>200</v>
      </c>
      <c r="J7231" s="9"/>
      <c r="K7231" s="9"/>
      <c r="L7231" s="10">
        <v>20201118</v>
      </c>
      <c r="M7231" s="36" t="str">
        <f t="shared" si="112"/>
        <v>19850724</v>
      </c>
    </row>
    <row r="7232" s="1" customFormat="1" spans="1:13">
      <c r="A7232" s="2">
        <v>7437</v>
      </c>
      <c r="B7232" s="5" t="s">
        <v>14402</v>
      </c>
      <c r="C7232" s="5" t="s">
        <v>14495</v>
      </c>
      <c r="D7232" s="5" t="s">
        <v>14496</v>
      </c>
      <c r="E7232" s="5">
        <v>2020</v>
      </c>
      <c r="F7232" s="5">
        <v>2020</v>
      </c>
      <c r="G7232" s="17" t="s">
        <v>16</v>
      </c>
      <c r="H7232" s="5">
        <v>200</v>
      </c>
      <c r="I7232" s="5">
        <v>200</v>
      </c>
      <c r="J7232" s="5"/>
      <c r="K7232" s="10"/>
      <c r="L7232" s="10">
        <v>20201118</v>
      </c>
      <c r="M7232" s="36" t="str">
        <f t="shared" si="112"/>
        <v>19850725</v>
      </c>
    </row>
    <row r="7233" s="1" customFormat="1" spans="1:13">
      <c r="A7233" s="2">
        <v>356</v>
      </c>
      <c r="B7233" s="14" t="s">
        <v>327</v>
      </c>
      <c r="C7233" s="17" t="s">
        <v>955</v>
      </c>
      <c r="D7233" s="306" t="s">
        <v>956</v>
      </c>
      <c r="E7233" s="5">
        <v>2020</v>
      </c>
      <c r="F7233" s="5">
        <v>2020</v>
      </c>
      <c r="G7233" s="14" t="s">
        <v>16</v>
      </c>
      <c r="H7233" s="17">
        <v>200</v>
      </c>
      <c r="I7233" s="17">
        <v>200</v>
      </c>
      <c r="J7233" s="17"/>
      <c r="K7233" s="10"/>
      <c r="L7233" s="14" t="s">
        <v>330</v>
      </c>
      <c r="M7233" s="36" t="str">
        <f t="shared" si="112"/>
        <v>19850730</v>
      </c>
    </row>
    <row r="7234" s="1" customFormat="1" ht="14.25" spans="1:13">
      <c r="A7234" s="2">
        <v>5451</v>
      </c>
      <c r="B7234" s="33" t="s">
        <v>10535</v>
      </c>
      <c r="C7234" s="34" t="s">
        <v>11001</v>
      </c>
      <c r="D7234" s="34" t="s">
        <v>11002</v>
      </c>
      <c r="E7234" s="35">
        <v>2020</v>
      </c>
      <c r="F7234" s="35">
        <v>2020</v>
      </c>
      <c r="G7234" s="35" t="s">
        <v>16</v>
      </c>
      <c r="H7234" s="34">
        <v>200</v>
      </c>
      <c r="I7234" s="34">
        <v>200</v>
      </c>
      <c r="J7234" s="49"/>
      <c r="K7234" s="10"/>
      <c r="L7234" s="10">
        <v>20201118</v>
      </c>
      <c r="M7234" s="36" t="str">
        <f t="shared" ref="M7234:M7297" si="113">MID(D7234,7,8)</f>
        <v>19850801</v>
      </c>
    </row>
    <row r="7235" s="1" customFormat="1" spans="1:13">
      <c r="A7235" s="2">
        <v>841</v>
      </c>
      <c r="B7235" s="29" t="s">
        <v>1040</v>
      </c>
      <c r="C7235" s="29" t="s">
        <v>2171</v>
      </c>
      <c r="D7235" s="29" t="s">
        <v>2172</v>
      </c>
      <c r="E7235" s="30">
        <v>2020</v>
      </c>
      <c r="F7235" s="30">
        <v>2020</v>
      </c>
      <c r="G7235" s="29" t="s">
        <v>16</v>
      </c>
      <c r="H7235" s="29">
        <v>200</v>
      </c>
      <c r="I7235" s="29">
        <v>200</v>
      </c>
      <c r="J7235" s="32"/>
      <c r="K7235" s="32"/>
      <c r="L7235" s="14" t="s">
        <v>330</v>
      </c>
      <c r="M7235" s="36" t="str">
        <f t="shared" si="113"/>
        <v>19850802</v>
      </c>
    </row>
    <row r="7236" s="1" customFormat="1" spans="1:13">
      <c r="A7236" s="2">
        <v>2038</v>
      </c>
      <c r="B7236" s="5" t="s">
        <v>4189</v>
      </c>
      <c r="C7236" s="16" t="s">
        <v>4631</v>
      </c>
      <c r="D7236" s="16" t="s">
        <v>4632</v>
      </c>
      <c r="E7236" s="5" t="s">
        <v>15</v>
      </c>
      <c r="F7236" s="5" t="s">
        <v>15</v>
      </c>
      <c r="G7236" s="5" t="s">
        <v>3359</v>
      </c>
      <c r="H7236" s="16">
        <v>200</v>
      </c>
      <c r="I7236" s="16">
        <v>200</v>
      </c>
      <c r="J7236" s="5"/>
      <c r="K7236" s="10"/>
      <c r="L7236" s="10">
        <v>20201118</v>
      </c>
      <c r="M7236" s="36" t="str">
        <f t="shared" si="113"/>
        <v>19850805</v>
      </c>
    </row>
    <row r="7237" s="1" customFormat="1" spans="1:13">
      <c r="A7237" s="2">
        <v>4082</v>
      </c>
      <c r="B7237" s="5" t="s">
        <v>7412</v>
      </c>
      <c r="C7237" s="5" t="s">
        <v>8376</v>
      </c>
      <c r="D7237" s="5" t="s">
        <v>8377</v>
      </c>
      <c r="E7237" s="6">
        <v>2020</v>
      </c>
      <c r="F7237" s="6">
        <v>2020</v>
      </c>
      <c r="G7237" s="5" t="s">
        <v>3359</v>
      </c>
      <c r="H7237" s="5">
        <v>200</v>
      </c>
      <c r="I7237" s="5">
        <v>200</v>
      </c>
      <c r="J7237" s="5"/>
      <c r="K7237" s="5"/>
      <c r="L7237" s="10">
        <v>20201118</v>
      </c>
      <c r="M7237" s="36" t="str">
        <f t="shared" si="113"/>
        <v>19850805</v>
      </c>
    </row>
    <row r="7238" s="1" customFormat="1" spans="1:13">
      <c r="A7238" s="2">
        <v>7438</v>
      </c>
      <c r="B7238" s="5" t="s">
        <v>14402</v>
      </c>
      <c r="C7238" s="5" t="s">
        <v>14497</v>
      </c>
      <c r="D7238" s="5" t="s">
        <v>14498</v>
      </c>
      <c r="E7238" s="5">
        <v>2020</v>
      </c>
      <c r="F7238" s="5">
        <v>2020</v>
      </c>
      <c r="G7238" s="17" t="s">
        <v>16</v>
      </c>
      <c r="H7238" s="5">
        <v>500</v>
      </c>
      <c r="I7238" s="5">
        <v>500</v>
      </c>
      <c r="J7238" s="5"/>
      <c r="K7238" s="10"/>
      <c r="L7238" s="10">
        <v>20201118</v>
      </c>
      <c r="M7238" s="36" t="str">
        <f t="shared" si="113"/>
        <v>19850808</v>
      </c>
    </row>
    <row r="7239" s="1" customFormat="1" spans="1:13">
      <c r="A7239" s="2">
        <v>7851</v>
      </c>
      <c r="B7239" s="5" t="s">
        <v>15086</v>
      </c>
      <c r="C7239" s="6" t="s">
        <v>15122</v>
      </c>
      <c r="D7239" s="6" t="str">
        <f>"152326198508116874"</f>
        <v>152326198508116874</v>
      </c>
      <c r="E7239" s="5" t="s">
        <v>15</v>
      </c>
      <c r="F7239" s="5">
        <v>2020</v>
      </c>
      <c r="G7239" s="5" t="s">
        <v>16</v>
      </c>
      <c r="H7239" s="5">
        <v>200</v>
      </c>
      <c r="I7239" s="5">
        <v>200</v>
      </c>
      <c r="J7239" s="5"/>
      <c r="K7239" s="5"/>
      <c r="L7239" s="10">
        <v>20201118</v>
      </c>
      <c r="M7239" s="36" t="str">
        <f t="shared" si="113"/>
        <v>19850811</v>
      </c>
    </row>
    <row r="7240" s="1" customFormat="1" ht="14.25" spans="1:13">
      <c r="A7240" s="2">
        <v>5452</v>
      </c>
      <c r="B7240" s="33" t="s">
        <v>10535</v>
      </c>
      <c r="C7240" s="34" t="s">
        <v>11003</v>
      </c>
      <c r="D7240" s="34" t="s">
        <v>11004</v>
      </c>
      <c r="E7240" s="35">
        <v>2020</v>
      </c>
      <c r="F7240" s="35">
        <v>2020</v>
      </c>
      <c r="G7240" s="35" t="s">
        <v>16</v>
      </c>
      <c r="H7240" s="34">
        <v>200</v>
      </c>
      <c r="I7240" s="34">
        <v>200</v>
      </c>
      <c r="J7240" s="49"/>
      <c r="K7240" s="10"/>
      <c r="L7240" s="10">
        <v>20201118</v>
      </c>
      <c r="M7240" s="36" t="str">
        <f t="shared" si="113"/>
        <v>19850815</v>
      </c>
    </row>
    <row r="7241" s="1" customFormat="1" spans="1:13">
      <c r="A7241" s="2">
        <v>4083</v>
      </c>
      <c r="B7241" s="5" t="s">
        <v>7412</v>
      </c>
      <c r="C7241" s="5" t="s">
        <v>8378</v>
      </c>
      <c r="D7241" s="5" t="s">
        <v>8379</v>
      </c>
      <c r="E7241" s="6">
        <v>2020</v>
      </c>
      <c r="F7241" s="6">
        <v>2020</v>
      </c>
      <c r="G7241" s="5" t="s">
        <v>3359</v>
      </c>
      <c r="H7241" s="5">
        <v>200</v>
      </c>
      <c r="I7241" s="5">
        <v>200</v>
      </c>
      <c r="J7241" s="5"/>
      <c r="K7241" s="5"/>
      <c r="L7241" s="10">
        <v>20201118</v>
      </c>
      <c r="M7241" s="36" t="str">
        <f t="shared" si="113"/>
        <v>19850819</v>
      </c>
    </row>
    <row r="7242" s="1" customFormat="1" spans="1:13">
      <c r="A7242" s="2">
        <v>7205</v>
      </c>
      <c r="B7242" s="5" t="s">
        <v>13908</v>
      </c>
      <c r="C7242" s="5" t="s">
        <v>14059</v>
      </c>
      <c r="D7242" s="5" t="s">
        <v>14060</v>
      </c>
      <c r="E7242" s="5" t="s">
        <v>15</v>
      </c>
      <c r="F7242" s="5" t="s">
        <v>15</v>
      </c>
      <c r="G7242" s="14" t="s">
        <v>16</v>
      </c>
      <c r="H7242" s="17">
        <v>500</v>
      </c>
      <c r="I7242" s="17">
        <v>500</v>
      </c>
      <c r="J7242" s="5"/>
      <c r="K7242" s="10"/>
      <c r="L7242" s="10">
        <v>20201118</v>
      </c>
      <c r="M7242" s="36" t="str">
        <f t="shared" si="113"/>
        <v>19850819</v>
      </c>
    </row>
    <row r="7243" s="1" customFormat="1" spans="1:13">
      <c r="A7243" s="2">
        <v>2350</v>
      </c>
      <c r="B7243" s="9" t="s">
        <v>4837</v>
      </c>
      <c r="C7243" s="9" t="s">
        <v>5239</v>
      </c>
      <c r="D7243" s="9" t="s">
        <v>5240</v>
      </c>
      <c r="E7243" s="6" t="s">
        <v>15</v>
      </c>
      <c r="F7243" s="6">
        <v>2020</v>
      </c>
      <c r="G7243" s="9" t="s">
        <v>2480</v>
      </c>
      <c r="H7243" s="9">
        <v>200</v>
      </c>
      <c r="I7243" s="9">
        <v>200</v>
      </c>
      <c r="J7243" s="6"/>
      <c r="K7243" s="10"/>
      <c r="L7243" s="10">
        <v>20201118</v>
      </c>
      <c r="M7243" s="36" t="str">
        <f t="shared" si="113"/>
        <v>19850820</v>
      </c>
    </row>
    <row r="7244" s="1" customFormat="1" ht="14.25" spans="1:13">
      <c r="A7244" s="2">
        <v>6002</v>
      </c>
      <c r="B7244" s="30" t="s">
        <v>11090</v>
      </c>
      <c r="C7244" s="32" t="s">
        <v>12047</v>
      </c>
      <c r="D7244" s="12" t="s">
        <v>12048</v>
      </c>
      <c r="E7244" s="5" t="s">
        <v>15</v>
      </c>
      <c r="F7244" s="5" t="s">
        <v>10250</v>
      </c>
      <c r="G7244" s="6" t="s">
        <v>16</v>
      </c>
      <c r="H7244" s="32">
        <v>200</v>
      </c>
      <c r="I7244" s="32">
        <v>200</v>
      </c>
      <c r="J7244" s="5"/>
      <c r="K7244" s="48"/>
      <c r="L7244" s="10">
        <v>20201118</v>
      </c>
      <c r="M7244" s="36" t="str">
        <f t="shared" si="113"/>
        <v>19850820</v>
      </c>
    </row>
    <row r="7245" s="1" customFormat="1" spans="1:13">
      <c r="A7245" s="2">
        <v>4795</v>
      </c>
      <c r="B7245" s="6" t="s">
        <v>9015</v>
      </c>
      <c r="C7245" s="6" t="s">
        <v>9740</v>
      </c>
      <c r="D7245" s="6" t="s">
        <v>9741</v>
      </c>
      <c r="E7245" s="6">
        <v>2020</v>
      </c>
      <c r="F7245" s="6">
        <v>2020</v>
      </c>
      <c r="G7245" s="6" t="s">
        <v>16</v>
      </c>
      <c r="H7245" s="6">
        <v>200</v>
      </c>
      <c r="I7245" s="6">
        <v>200</v>
      </c>
      <c r="J7245" s="6"/>
      <c r="K7245" s="6"/>
      <c r="L7245" s="10">
        <v>20201118</v>
      </c>
      <c r="M7245" s="36" t="str">
        <f t="shared" si="113"/>
        <v>19850821</v>
      </c>
    </row>
    <row r="7246" s="1" customFormat="1" spans="1:13">
      <c r="A7246" s="2">
        <v>896</v>
      </c>
      <c r="B7246" s="29" t="s">
        <v>1040</v>
      </c>
      <c r="C7246" s="6" t="s">
        <v>2335</v>
      </c>
      <c r="D7246" s="6" t="s">
        <v>2336</v>
      </c>
      <c r="E7246" s="30">
        <v>2020</v>
      </c>
      <c r="F7246" s="30">
        <v>2020</v>
      </c>
      <c r="G7246" s="29" t="s">
        <v>16</v>
      </c>
      <c r="H7246" s="29">
        <v>200</v>
      </c>
      <c r="I7246" s="29">
        <v>200</v>
      </c>
      <c r="J7246" s="32"/>
      <c r="K7246" s="32"/>
      <c r="L7246" s="2" t="s">
        <v>330</v>
      </c>
      <c r="M7246" s="36" t="str">
        <f t="shared" si="113"/>
        <v>19850901</v>
      </c>
    </row>
    <row r="7247" s="1" customFormat="1" spans="1:13">
      <c r="A7247" s="2">
        <v>5950</v>
      </c>
      <c r="B7247" s="30" t="s">
        <v>11090</v>
      </c>
      <c r="C7247" s="6" t="s">
        <v>11947</v>
      </c>
      <c r="D7247" s="293" t="s">
        <v>11948</v>
      </c>
      <c r="E7247" s="5" t="s">
        <v>15</v>
      </c>
      <c r="F7247" s="5" t="s">
        <v>10250</v>
      </c>
      <c r="G7247" s="6" t="s">
        <v>16</v>
      </c>
      <c r="H7247" s="32">
        <v>200</v>
      </c>
      <c r="I7247" s="32">
        <v>200</v>
      </c>
      <c r="J7247" s="6"/>
      <c r="K7247" s="48"/>
      <c r="L7247" s="10">
        <v>20201118</v>
      </c>
      <c r="M7247" s="36" t="str">
        <f t="shared" si="113"/>
        <v>19850904</v>
      </c>
    </row>
    <row r="7248" s="1" customFormat="1" spans="1:13">
      <c r="A7248" s="2">
        <v>6808</v>
      </c>
      <c r="B7248" s="5" t="s">
        <v>13533</v>
      </c>
      <c r="C7248" s="32" t="s">
        <v>13560</v>
      </c>
      <c r="D7248" s="32" t="str">
        <f>"152326198509047129"</f>
        <v>152326198509047129</v>
      </c>
      <c r="E7248" s="5">
        <v>2020</v>
      </c>
      <c r="F7248" s="5">
        <v>2020</v>
      </c>
      <c r="G7248" s="9" t="s">
        <v>2480</v>
      </c>
      <c r="H7248" s="32">
        <v>200</v>
      </c>
      <c r="I7248" s="32">
        <v>200</v>
      </c>
      <c r="J7248" s="32"/>
      <c r="K7248" s="10"/>
      <c r="L7248" s="10">
        <v>20201118</v>
      </c>
      <c r="M7248" s="36" t="str">
        <f t="shared" si="113"/>
        <v>19850904</v>
      </c>
    </row>
    <row r="7249" s="1" customFormat="1" spans="1:13">
      <c r="A7249" s="2">
        <v>4084</v>
      </c>
      <c r="B7249" s="5" t="s">
        <v>7412</v>
      </c>
      <c r="C7249" s="5" t="s">
        <v>8380</v>
      </c>
      <c r="D7249" s="5" t="s">
        <v>8381</v>
      </c>
      <c r="E7249" s="6">
        <v>2020</v>
      </c>
      <c r="F7249" s="6">
        <v>2020</v>
      </c>
      <c r="G7249" s="5" t="s">
        <v>3359</v>
      </c>
      <c r="H7249" s="5">
        <v>200</v>
      </c>
      <c r="I7249" s="5">
        <v>200</v>
      </c>
      <c r="J7249" s="5"/>
      <c r="K7249" s="5"/>
      <c r="L7249" s="10">
        <v>20201118</v>
      </c>
      <c r="M7249" s="36" t="str">
        <f t="shared" si="113"/>
        <v>19850906</v>
      </c>
    </row>
    <row r="7250" s="1" customFormat="1" spans="1:13">
      <c r="A7250" s="2">
        <v>2513</v>
      </c>
      <c r="B7250" s="5" t="s">
        <v>5328</v>
      </c>
      <c r="C7250" s="16" t="s">
        <v>5560</v>
      </c>
      <c r="D7250" s="16" t="s">
        <v>5561</v>
      </c>
      <c r="E7250" s="5" t="s">
        <v>15</v>
      </c>
      <c r="F7250" s="5" t="s">
        <v>15</v>
      </c>
      <c r="G7250" s="14" t="s">
        <v>16</v>
      </c>
      <c r="H7250" s="6">
        <v>200</v>
      </c>
      <c r="I7250" s="6">
        <v>200</v>
      </c>
      <c r="J7250" s="5"/>
      <c r="K7250" s="5"/>
      <c r="L7250" s="10">
        <v>20201118</v>
      </c>
      <c r="M7250" s="36" t="str">
        <f t="shared" si="113"/>
        <v>19850907</v>
      </c>
    </row>
    <row r="7251" s="1" customFormat="1" spans="1:13">
      <c r="A7251" s="2">
        <v>4792</v>
      </c>
      <c r="B7251" s="6" t="s">
        <v>9015</v>
      </c>
      <c r="C7251" s="6" t="s">
        <v>9734</v>
      </c>
      <c r="D7251" s="6" t="s">
        <v>9735</v>
      </c>
      <c r="E7251" s="6">
        <v>2020</v>
      </c>
      <c r="F7251" s="6">
        <v>2020</v>
      </c>
      <c r="G7251" s="6" t="s">
        <v>16</v>
      </c>
      <c r="H7251" s="6">
        <v>200</v>
      </c>
      <c r="I7251" s="6">
        <v>200</v>
      </c>
      <c r="J7251" s="6"/>
      <c r="K7251" s="6"/>
      <c r="L7251" s="10">
        <v>20201118</v>
      </c>
      <c r="M7251" s="36" t="str">
        <f t="shared" si="113"/>
        <v>19850908</v>
      </c>
    </row>
    <row r="7252" s="1" customFormat="1" spans="1:13">
      <c r="A7252" s="2">
        <v>2351</v>
      </c>
      <c r="B7252" s="9" t="s">
        <v>4837</v>
      </c>
      <c r="C7252" s="9" t="s">
        <v>5241</v>
      </c>
      <c r="D7252" s="9" t="s">
        <v>5242</v>
      </c>
      <c r="E7252" s="6" t="s">
        <v>15</v>
      </c>
      <c r="F7252" s="6">
        <v>2020</v>
      </c>
      <c r="G7252" s="9" t="s">
        <v>2480</v>
      </c>
      <c r="H7252" s="9">
        <v>200</v>
      </c>
      <c r="I7252" s="9">
        <v>200</v>
      </c>
      <c r="J7252" s="6"/>
      <c r="K7252" s="10"/>
      <c r="L7252" s="10">
        <v>20201118</v>
      </c>
      <c r="M7252" s="36" t="str">
        <f t="shared" si="113"/>
        <v>19850910</v>
      </c>
    </row>
    <row r="7253" s="1" customFormat="1" spans="1:13">
      <c r="A7253" s="2">
        <v>2352</v>
      </c>
      <c r="B7253" s="9" t="s">
        <v>4837</v>
      </c>
      <c r="C7253" s="9" t="s">
        <v>5243</v>
      </c>
      <c r="D7253" s="9" t="s">
        <v>5244</v>
      </c>
      <c r="E7253" s="6" t="s">
        <v>15</v>
      </c>
      <c r="F7253" s="6">
        <v>2020</v>
      </c>
      <c r="G7253" s="9" t="s">
        <v>2480</v>
      </c>
      <c r="H7253" s="9">
        <v>200</v>
      </c>
      <c r="I7253" s="9">
        <v>200</v>
      </c>
      <c r="J7253" s="6"/>
      <c r="K7253" s="10"/>
      <c r="L7253" s="10">
        <v>20201118</v>
      </c>
      <c r="M7253" s="36" t="str">
        <f t="shared" si="113"/>
        <v>19850910</v>
      </c>
    </row>
    <row r="7254" s="1" customFormat="1" spans="1:13">
      <c r="A7254" s="2">
        <v>4085</v>
      </c>
      <c r="B7254" s="5" t="s">
        <v>7412</v>
      </c>
      <c r="C7254" s="5" t="s">
        <v>8382</v>
      </c>
      <c r="D7254" s="5" t="s">
        <v>8383</v>
      </c>
      <c r="E7254" s="6">
        <v>2020</v>
      </c>
      <c r="F7254" s="6">
        <v>2020</v>
      </c>
      <c r="G7254" s="5" t="s">
        <v>3359</v>
      </c>
      <c r="H7254" s="5">
        <v>500</v>
      </c>
      <c r="I7254" s="5">
        <v>500</v>
      </c>
      <c r="J7254" s="5"/>
      <c r="K7254" s="5"/>
      <c r="L7254" s="10">
        <v>20201118</v>
      </c>
      <c r="M7254" s="36" t="str">
        <f t="shared" si="113"/>
        <v>19850913</v>
      </c>
    </row>
    <row r="7255" s="1" customFormat="1" spans="1:13">
      <c r="A7255" s="2">
        <v>7849</v>
      </c>
      <c r="B7255" s="5" t="s">
        <v>15086</v>
      </c>
      <c r="C7255" s="6" t="s">
        <v>15120</v>
      </c>
      <c r="D7255" s="6" t="str">
        <f>"152326198509156886"</f>
        <v>152326198509156886</v>
      </c>
      <c r="E7255" s="5" t="s">
        <v>15</v>
      </c>
      <c r="F7255" s="5">
        <v>2020</v>
      </c>
      <c r="G7255" s="5" t="s">
        <v>16</v>
      </c>
      <c r="H7255" s="5">
        <v>200</v>
      </c>
      <c r="I7255" s="5">
        <v>200</v>
      </c>
      <c r="J7255" s="5"/>
      <c r="K7255" s="5"/>
      <c r="L7255" s="10">
        <v>20201118</v>
      </c>
      <c r="M7255" s="36" t="str">
        <f t="shared" si="113"/>
        <v>19850915</v>
      </c>
    </row>
    <row r="7256" s="1" customFormat="1" spans="1:13">
      <c r="A7256" s="2">
        <v>7848</v>
      </c>
      <c r="B7256" s="5" t="s">
        <v>15086</v>
      </c>
      <c r="C7256" s="6" t="s">
        <v>15119</v>
      </c>
      <c r="D7256" s="6" t="str">
        <f>"152326198509166902"</f>
        <v>152326198509166902</v>
      </c>
      <c r="E7256" s="5" t="s">
        <v>15</v>
      </c>
      <c r="F7256" s="5">
        <v>2020</v>
      </c>
      <c r="G7256" s="5" t="s">
        <v>16</v>
      </c>
      <c r="H7256" s="5">
        <v>200</v>
      </c>
      <c r="I7256" s="5">
        <v>200</v>
      </c>
      <c r="J7256" s="5"/>
      <c r="K7256" s="5"/>
      <c r="L7256" s="10">
        <v>20201118</v>
      </c>
      <c r="M7256" s="36" t="str">
        <f t="shared" si="113"/>
        <v>19850916</v>
      </c>
    </row>
    <row r="7257" s="1" customFormat="1" ht="14.25" spans="1:13">
      <c r="A7257" s="2">
        <v>2861</v>
      </c>
      <c r="B7257" s="6" t="s">
        <v>6075</v>
      </c>
      <c r="C7257" s="25" t="s">
        <v>6251</v>
      </c>
      <c r="D7257" s="26" t="s">
        <v>6252</v>
      </c>
      <c r="E7257" s="5" t="s">
        <v>15</v>
      </c>
      <c r="F7257" s="5">
        <v>2020</v>
      </c>
      <c r="G7257" s="6" t="s">
        <v>16</v>
      </c>
      <c r="H7257" s="6">
        <v>200</v>
      </c>
      <c r="I7257" s="6">
        <v>200</v>
      </c>
      <c r="J7257" s="6"/>
      <c r="K7257" s="10"/>
      <c r="L7257" s="10">
        <v>20201118</v>
      </c>
      <c r="M7257" s="36" t="str">
        <f t="shared" si="113"/>
        <v>19850928</v>
      </c>
    </row>
    <row r="7258" s="1" customFormat="1" spans="1:13">
      <c r="A7258" s="2">
        <v>4755</v>
      </c>
      <c r="B7258" s="6" t="s">
        <v>9015</v>
      </c>
      <c r="C7258" s="6" t="s">
        <v>9664</v>
      </c>
      <c r="D7258" s="6" t="s">
        <v>9665</v>
      </c>
      <c r="E7258" s="6">
        <v>2020</v>
      </c>
      <c r="F7258" s="6">
        <v>2020</v>
      </c>
      <c r="G7258" s="6" t="s">
        <v>16</v>
      </c>
      <c r="H7258" s="6">
        <v>200</v>
      </c>
      <c r="I7258" s="6">
        <v>200</v>
      </c>
      <c r="J7258" s="6"/>
      <c r="K7258" s="6"/>
      <c r="L7258" s="10">
        <v>20201118</v>
      </c>
      <c r="M7258" s="36" t="str">
        <f t="shared" si="113"/>
        <v>19850928</v>
      </c>
    </row>
    <row r="7259" s="1" customFormat="1" spans="1:13">
      <c r="A7259" s="2">
        <v>863</v>
      </c>
      <c r="B7259" s="29" t="s">
        <v>1040</v>
      </c>
      <c r="C7259" s="6" t="s">
        <v>2236</v>
      </c>
      <c r="D7259" s="6" t="s">
        <v>2237</v>
      </c>
      <c r="E7259" s="30">
        <v>2020</v>
      </c>
      <c r="F7259" s="30">
        <v>2020</v>
      </c>
      <c r="G7259" s="29" t="s">
        <v>16</v>
      </c>
      <c r="H7259" s="29">
        <v>200</v>
      </c>
      <c r="I7259" s="29">
        <v>200</v>
      </c>
      <c r="J7259" s="32"/>
      <c r="K7259" s="32"/>
      <c r="L7259" s="2" t="s">
        <v>330</v>
      </c>
      <c r="M7259" s="36" t="str">
        <f t="shared" si="113"/>
        <v>19850929</v>
      </c>
    </row>
    <row r="7260" s="1" customFormat="1" spans="1:13">
      <c r="A7260" s="2">
        <v>7436</v>
      </c>
      <c r="B7260" s="5" t="s">
        <v>14402</v>
      </c>
      <c r="C7260" s="5" t="s">
        <v>14493</v>
      </c>
      <c r="D7260" s="5" t="s">
        <v>14494</v>
      </c>
      <c r="E7260" s="5">
        <v>2020</v>
      </c>
      <c r="F7260" s="5">
        <v>2020</v>
      </c>
      <c r="G7260" s="17" t="s">
        <v>16</v>
      </c>
      <c r="H7260" s="5">
        <v>200</v>
      </c>
      <c r="I7260" s="5">
        <v>200</v>
      </c>
      <c r="J7260" s="5"/>
      <c r="K7260" s="10"/>
      <c r="L7260" s="10">
        <v>20201118</v>
      </c>
      <c r="M7260" s="36" t="str">
        <f t="shared" si="113"/>
        <v>19850929</v>
      </c>
    </row>
    <row r="7261" s="1" customFormat="1" spans="1:13">
      <c r="A7261" s="2">
        <v>6763</v>
      </c>
      <c r="B7261" s="5" t="s">
        <v>13027</v>
      </c>
      <c r="C7261" s="15" t="s">
        <v>13490</v>
      </c>
      <c r="D7261" s="15" t="s">
        <v>13491</v>
      </c>
      <c r="E7261" s="5">
        <v>2020</v>
      </c>
      <c r="F7261" s="5">
        <v>2020</v>
      </c>
      <c r="G7261" s="14" t="s">
        <v>16</v>
      </c>
      <c r="H7261" s="15">
        <v>200</v>
      </c>
      <c r="I7261" s="15">
        <v>200</v>
      </c>
      <c r="J7261" s="5"/>
      <c r="K7261" s="10"/>
      <c r="L7261" s="10">
        <v>20201118</v>
      </c>
      <c r="M7261" s="36" t="str">
        <f t="shared" si="113"/>
        <v>19851002</v>
      </c>
    </row>
    <row r="7262" s="1" customFormat="1" spans="1:13">
      <c r="A7262" s="2">
        <v>2353</v>
      </c>
      <c r="B7262" s="9" t="s">
        <v>4837</v>
      </c>
      <c r="C7262" s="9" t="s">
        <v>5245</v>
      </c>
      <c r="D7262" s="9" t="s">
        <v>5246</v>
      </c>
      <c r="E7262" s="6" t="s">
        <v>15</v>
      </c>
      <c r="F7262" s="6">
        <v>2020</v>
      </c>
      <c r="G7262" s="9" t="s">
        <v>2480</v>
      </c>
      <c r="H7262" s="9">
        <v>200</v>
      </c>
      <c r="I7262" s="9">
        <v>200</v>
      </c>
      <c r="J7262" s="6"/>
      <c r="K7262" s="10"/>
      <c r="L7262" s="10">
        <v>20201118</v>
      </c>
      <c r="M7262" s="36" t="str">
        <f t="shared" si="113"/>
        <v>19851004</v>
      </c>
    </row>
    <row r="7263" s="1" customFormat="1" ht="14.25" spans="1:13">
      <c r="A7263" s="2">
        <v>5453</v>
      </c>
      <c r="B7263" s="33" t="s">
        <v>10535</v>
      </c>
      <c r="C7263" s="34" t="s">
        <v>11005</v>
      </c>
      <c r="D7263" s="64" t="s">
        <v>11006</v>
      </c>
      <c r="E7263" s="35">
        <v>2020</v>
      </c>
      <c r="F7263" s="35">
        <v>2020</v>
      </c>
      <c r="G7263" s="35" t="s">
        <v>16</v>
      </c>
      <c r="H7263" s="34">
        <v>500</v>
      </c>
      <c r="I7263" s="34">
        <v>500</v>
      </c>
      <c r="J7263" s="49"/>
      <c r="K7263" s="10"/>
      <c r="L7263" s="10">
        <v>20201118</v>
      </c>
      <c r="M7263" s="36" t="str">
        <f t="shared" si="113"/>
        <v>19851005</v>
      </c>
    </row>
    <row r="7264" s="1" customFormat="1" ht="14.25" spans="1:13">
      <c r="A7264" s="2">
        <v>2872</v>
      </c>
      <c r="B7264" s="6" t="s">
        <v>6075</v>
      </c>
      <c r="C7264" s="25" t="s">
        <v>6273</v>
      </c>
      <c r="D7264" s="26" t="s">
        <v>6274</v>
      </c>
      <c r="E7264" s="5" t="s">
        <v>15</v>
      </c>
      <c r="F7264" s="5">
        <v>2020</v>
      </c>
      <c r="G7264" s="6" t="s">
        <v>16</v>
      </c>
      <c r="H7264" s="6">
        <v>500</v>
      </c>
      <c r="I7264" s="6">
        <v>500</v>
      </c>
      <c r="J7264" s="6" t="s">
        <v>6097</v>
      </c>
      <c r="K7264" s="10"/>
      <c r="L7264" s="10">
        <v>20201118</v>
      </c>
      <c r="M7264" s="36" t="str">
        <f t="shared" si="113"/>
        <v>19851006</v>
      </c>
    </row>
    <row r="7265" s="1" customFormat="1" spans="1:13">
      <c r="A7265" s="2">
        <v>3292</v>
      </c>
      <c r="B7265" s="5" t="s">
        <v>3375</v>
      </c>
      <c r="C7265" s="6" t="s">
        <v>7066</v>
      </c>
      <c r="D7265" s="6" t="str">
        <f>"152326198510066909"</f>
        <v>152326198510066909</v>
      </c>
      <c r="E7265" s="5" t="s">
        <v>15</v>
      </c>
      <c r="F7265" s="5">
        <v>2020</v>
      </c>
      <c r="G7265" s="14" t="s">
        <v>16</v>
      </c>
      <c r="H7265" s="17">
        <v>200</v>
      </c>
      <c r="I7265" s="17">
        <v>200</v>
      </c>
      <c r="J7265" s="6"/>
      <c r="K7265" s="10"/>
      <c r="L7265" s="10">
        <v>20201118</v>
      </c>
      <c r="M7265" s="36" t="str">
        <f t="shared" si="113"/>
        <v>19851006</v>
      </c>
    </row>
    <row r="7266" s="1" customFormat="1" ht="14.25" spans="1:13">
      <c r="A7266" s="2">
        <v>5454</v>
      </c>
      <c r="B7266" s="33" t="s">
        <v>10535</v>
      </c>
      <c r="C7266" s="34" t="s">
        <v>11007</v>
      </c>
      <c r="D7266" s="64" t="s">
        <v>11008</v>
      </c>
      <c r="E7266" s="35">
        <v>2020</v>
      </c>
      <c r="F7266" s="35">
        <v>2020</v>
      </c>
      <c r="G7266" s="35" t="s">
        <v>16</v>
      </c>
      <c r="H7266" s="34">
        <v>200</v>
      </c>
      <c r="I7266" s="34">
        <v>200</v>
      </c>
      <c r="J7266" s="49"/>
      <c r="K7266" s="10"/>
      <c r="L7266" s="10">
        <v>20201118</v>
      </c>
      <c r="M7266" s="36" t="str">
        <f t="shared" si="113"/>
        <v>19851006</v>
      </c>
    </row>
    <row r="7267" s="1" customFormat="1" spans="1:13">
      <c r="A7267" s="2">
        <v>3288</v>
      </c>
      <c r="B7267" s="5" t="s">
        <v>3375</v>
      </c>
      <c r="C7267" s="6" t="s">
        <v>7062</v>
      </c>
      <c r="D7267" s="6" t="str">
        <f>"152326198510076904"</f>
        <v>152326198510076904</v>
      </c>
      <c r="E7267" s="5" t="s">
        <v>15</v>
      </c>
      <c r="F7267" s="5">
        <v>2020</v>
      </c>
      <c r="G7267" s="14" t="s">
        <v>16</v>
      </c>
      <c r="H7267" s="17">
        <v>200</v>
      </c>
      <c r="I7267" s="17">
        <v>200</v>
      </c>
      <c r="J7267" s="6"/>
      <c r="K7267" s="10"/>
      <c r="L7267" s="10">
        <v>20201118</v>
      </c>
      <c r="M7267" s="36" t="str">
        <f t="shared" si="113"/>
        <v>19851007</v>
      </c>
    </row>
    <row r="7268" s="1" customFormat="1" spans="1:13">
      <c r="A7268" s="2">
        <v>926</v>
      </c>
      <c r="B7268" s="29" t="s">
        <v>1040</v>
      </c>
      <c r="C7268" s="6" t="s">
        <v>2425</v>
      </c>
      <c r="D7268" s="6" t="s">
        <v>2426</v>
      </c>
      <c r="E7268" s="30">
        <v>2020</v>
      </c>
      <c r="F7268" s="30">
        <v>2020</v>
      </c>
      <c r="G7268" s="29" t="s">
        <v>16</v>
      </c>
      <c r="H7268" s="6" t="s">
        <v>2295</v>
      </c>
      <c r="I7268" s="6">
        <v>500</v>
      </c>
      <c r="J7268" s="32"/>
      <c r="K7268" s="32"/>
      <c r="L7268" s="2" t="s">
        <v>330</v>
      </c>
      <c r="M7268" s="36" t="str">
        <f t="shared" si="113"/>
        <v>19851010</v>
      </c>
    </row>
    <row r="7269" s="1" customFormat="1" spans="1:13">
      <c r="A7269" s="2">
        <v>1923</v>
      </c>
      <c r="B7269" s="5" t="s">
        <v>4189</v>
      </c>
      <c r="C7269" s="16" t="s">
        <v>4406</v>
      </c>
      <c r="D7269" s="16" t="s">
        <v>4407</v>
      </c>
      <c r="E7269" s="5" t="s">
        <v>15</v>
      </c>
      <c r="F7269" s="5" t="s">
        <v>15</v>
      </c>
      <c r="G7269" s="5" t="s">
        <v>3359</v>
      </c>
      <c r="H7269" s="16">
        <v>500</v>
      </c>
      <c r="I7269" s="16">
        <v>500</v>
      </c>
      <c r="J7269" s="5"/>
      <c r="K7269" s="10"/>
      <c r="L7269" s="10">
        <v>20201118</v>
      </c>
      <c r="M7269" s="36" t="str">
        <f t="shared" si="113"/>
        <v>19851012</v>
      </c>
    </row>
    <row r="7270" s="1" customFormat="1" spans="1:13">
      <c r="A7270" s="2">
        <v>3217</v>
      </c>
      <c r="B7270" s="3" t="s">
        <v>6671</v>
      </c>
      <c r="C7270" s="9" t="s">
        <v>6941</v>
      </c>
      <c r="D7270" s="9" t="s">
        <v>6942</v>
      </c>
      <c r="E7270" s="3" t="s">
        <v>15</v>
      </c>
      <c r="F7270" s="3" t="s">
        <v>15</v>
      </c>
      <c r="G7270" s="6" t="s">
        <v>3359</v>
      </c>
      <c r="H7270" s="9">
        <v>200</v>
      </c>
      <c r="I7270" s="9">
        <v>200</v>
      </c>
      <c r="J7270" s="6"/>
      <c r="K7270" s="5"/>
      <c r="L7270" s="10">
        <v>20201118</v>
      </c>
      <c r="M7270" s="36" t="str">
        <f t="shared" si="113"/>
        <v>19851017</v>
      </c>
    </row>
    <row r="7271" s="1" customFormat="1" spans="1:13">
      <c r="A7271" s="2">
        <v>7439</v>
      </c>
      <c r="B7271" s="5" t="s">
        <v>14402</v>
      </c>
      <c r="C7271" s="5" t="s">
        <v>14499</v>
      </c>
      <c r="D7271" s="5" t="s">
        <v>14500</v>
      </c>
      <c r="E7271" s="5">
        <v>2020</v>
      </c>
      <c r="F7271" s="5">
        <v>2020</v>
      </c>
      <c r="G7271" s="17" t="s">
        <v>16</v>
      </c>
      <c r="H7271" s="5">
        <v>200</v>
      </c>
      <c r="I7271" s="5">
        <v>200</v>
      </c>
      <c r="J7271" s="5"/>
      <c r="K7271" s="10"/>
      <c r="L7271" s="10">
        <v>20201118</v>
      </c>
      <c r="M7271" s="36" t="str">
        <f t="shared" si="113"/>
        <v>19851019</v>
      </c>
    </row>
    <row r="7272" s="1" customFormat="1" spans="1:13">
      <c r="A7272" s="2">
        <v>753</v>
      </c>
      <c r="B7272" s="29" t="s">
        <v>1040</v>
      </c>
      <c r="C7272" s="5" t="s">
        <v>1909</v>
      </c>
      <c r="D7272" s="317" t="s">
        <v>1910</v>
      </c>
      <c r="E7272" s="30">
        <v>2020</v>
      </c>
      <c r="F7272" s="30">
        <v>2020</v>
      </c>
      <c r="G7272" s="29" t="s">
        <v>16</v>
      </c>
      <c r="H7272" s="29">
        <v>200</v>
      </c>
      <c r="I7272" s="29">
        <v>200</v>
      </c>
      <c r="J7272" s="32"/>
      <c r="K7272" s="32"/>
      <c r="L7272" s="2" t="s">
        <v>330</v>
      </c>
      <c r="M7272" s="36" t="str">
        <f t="shared" si="113"/>
        <v>19851022</v>
      </c>
    </row>
    <row r="7273" s="1" customFormat="1" spans="1:13">
      <c r="A7273" s="2">
        <v>2058</v>
      </c>
      <c r="B7273" s="5" t="s">
        <v>4189</v>
      </c>
      <c r="C7273" s="16" t="s">
        <v>4670</v>
      </c>
      <c r="D7273" s="16" t="s">
        <v>4671</v>
      </c>
      <c r="E7273" s="5" t="s">
        <v>15</v>
      </c>
      <c r="F7273" s="5" t="s">
        <v>15</v>
      </c>
      <c r="G7273" s="5" t="s">
        <v>3359</v>
      </c>
      <c r="H7273" s="16">
        <v>200</v>
      </c>
      <c r="I7273" s="16">
        <v>200</v>
      </c>
      <c r="J7273" s="5"/>
      <c r="K7273" s="10"/>
      <c r="L7273" s="10">
        <v>20201118</v>
      </c>
      <c r="M7273" s="36" t="str">
        <f t="shared" si="113"/>
        <v>19851025</v>
      </c>
    </row>
    <row r="7274" s="1" customFormat="1" spans="1:13">
      <c r="A7274" s="2">
        <v>4086</v>
      </c>
      <c r="B7274" s="5" t="s">
        <v>7412</v>
      </c>
      <c r="C7274" s="5" t="s">
        <v>4823</v>
      </c>
      <c r="D7274" s="5" t="s">
        <v>8384</v>
      </c>
      <c r="E7274" s="6">
        <v>2020</v>
      </c>
      <c r="F7274" s="6">
        <v>2020</v>
      </c>
      <c r="G7274" s="5" t="s">
        <v>3359</v>
      </c>
      <c r="H7274" s="5">
        <v>200</v>
      </c>
      <c r="I7274" s="5">
        <v>200</v>
      </c>
      <c r="J7274" s="5"/>
      <c r="K7274" s="5"/>
      <c r="L7274" s="10">
        <v>20201118</v>
      </c>
      <c r="M7274" s="36" t="str">
        <f t="shared" si="113"/>
        <v>19851025</v>
      </c>
    </row>
    <row r="7275" s="1" customFormat="1" spans="1:13">
      <c r="A7275" s="2">
        <v>2059</v>
      </c>
      <c r="B7275" s="5" t="s">
        <v>4189</v>
      </c>
      <c r="C7275" s="16" t="s">
        <v>4672</v>
      </c>
      <c r="D7275" s="16" t="s">
        <v>4673</v>
      </c>
      <c r="E7275" s="5" t="s">
        <v>15</v>
      </c>
      <c r="F7275" s="5" t="s">
        <v>15</v>
      </c>
      <c r="G7275" s="5" t="s">
        <v>3359</v>
      </c>
      <c r="H7275" s="16">
        <v>200</v>
      </c>
      <c r="I7275" s="16">
        <v>200</v>
      </c>
      <c r="J7275" s="5"/>
      <c r="K7275" s="10"/>
      <c r="L7275" s="10">
        <v>20201118</v>
      </c>
      <c r="M7275" s="36" t="str">
        <f t="shared" si="113"/>
        <v>19851102</v>
      </c>
    </row>
    <row r="7276" s="1" customFormat="1" spans="1:13">
      <c r="A7276" s="2">
        <v>5985</v>
      </c>
      <c r="B7276" s="30" t="s">
        <v>11090</v>
      </c>
      <c r="C7276" s="32" t="s">
        <v>12016</v>
      </c>
      <c r="D7276" s="3" t="s">
        <v>12017</v>
      </c>
      <c r="E7276" s="5" t="s">
        <v>15</v>
      </c>
      <c r="F7276" s="5" t="s">
        <v>10250</v>
      </c>
      <c r="G7276" s="6" t="s">
        <v>16</v>
      </c>
      <c r="H7276" s="32">
        <v>200</v>
      </c>
      <c r="I7276" s="32">
        <v>200</v>
      </c>
      <c r="J7276" s="6"/>
      <c r="K7276" s="48"/>
      <c r="L7276" s="10">
        <v>20201118</v>
      </c>
      <c r="M7276" s="36" t="str">
        <f t="shared" si="113"/>
        <v>19851103</v>
      </c>
    </row>
    <row r="7277" s="1" customFormat="1" spans="1:13">
      <c r="A7277" s="2">
        <v>4752</v>
      </c>
      <c r="B7277" s="6" t="s">
        <v>9015</v>
      </c>
      <c r="C7277" s="6" t="s">
        <v>9659</v>
      </c>
      <c r="D7277" s="6" t="s">
        <v>9660</v>
      </c>
      <c r="E7277" s="6">
        <v>2020</v>
      </c>
      <c r="F7277" s="6">
        <v>2020</v>
      </c>
      <c r="G7277" s="6" t="s">
        <v>16</v>
      </c>
      <c r="H7277" s="6">
        <v>200</v>
      </c>
      <c r="I7277" s="6">
        <v>200</v>
      </c>
      <c r="J7277" s="6"/>
      <c r="K7277" s="6"/>
      <c r="L7277" s="10">
        <v>20201118</v>
      </c>
      <c r="M7277" s="36" t="str">
        <f t="shared" si="113"/>
        <v>19851104</v>
      </c>
    </row>
    <row r="7278" s="1" customFormat="1" spans="1:13">
      <c r="A7278" s="2">
        <v>697</v>
      </c>
      <c r="B7278" s="29" t="s">
        <v>1040</v>
      </c>
      <c r="C7278" s="5" t="s">
        <v>1743</v>
      </c>
      <c r="D7278" s="5" t="s">
        <v>1744</v>
      </c>
      <c r="E7278" s="30">
        <v>2020</v>
      </c>
      <c r="F7278" s="30">
        <v>2020</v>
      </c>
      <c r="G7278" s="29" t="s">
        <v>16</v>
      </c>
      <c r="H7278" s="29">
        <v>200</v>
      </c>
      <c r="I7278" s="29">
        <v>200</v>
      </c>
      <c r="J7278" s="29"/>
      <c r="K7278" s="54"/>
      <c r="L7278" s="2" t="s">
        <v>330</v>
      </c>
      <c r="M7278" s="36" t="str">
        <f t="shared" si="113"/>
        <v>19851105</v>
      </c>
    </row>
    <row r="7279" s="1" customFormat="1" spans="1:13">
      <c r="A7279" s="2">
        <v>1304</v>
      </c>
      <c r="B7279" s="5" t="s">
        <v>2469</v>
      </c>
      <c r="C7279" s="9" t="s">
        <v>3188</v>
      </c>
      <c r="D7279" s="9" t="s">
        <v>3189</v>
      </c>
      <c r="E7279" s="5">
        <v>2020</v>
      </c>
      <c r="F7279" s="5">
        <v>2020</v>
      </c>
      <c r="G7279" s="9" t="s">
        <v>2480</v>
      </c>
      <c r="H7279" s="9">
        <v>200</v>
      </c>
      <c r="I7279" s="9">
        <v>200</v>
      </c>
      <c r="J7279" s="5"/>
      <c r="K7279" s="5"/>
      <c r="L7279" s="10">
        <v>20201118</v>
      </c>
      <c r="M7279" s="36" t="str">
        <f t="shared" si="113"/>
        <v>19851108</v>
      </c>
    </row>
    <row r="7280" s="1" customFormat="1" spans="1:13">
      <c r="A7280" s="2">
        <v>6514</v>
      </c>
      <c r="B7280" s="5" t="s">
        <v>13027</v>
      </c>
      <c r="C7280" s="15" t="s">
        <v>13028</v>
      </c>
      <c r="D7280" s="15" t="s">
        <v>13029</v>
      </c>
      <c r="E7280" s="5">
        <v>2020</v>
      </c>
      <c r="F7280" s="5">
        <v>2020</v>
      </c>
      <c r="G7280" s="14" t="s">
        <v>16</v>
      </c>
      <c r="H7280" s="15">
        <v>200</v>
      </c>
      <c r="I7280" s="15">
        <v>200</v>
      </c>
      <c r="J7280" s="17"/>
      <c r="K7280" s="10"/>
      <c r="L7280" s="10">
        <v>20201118</v>
      </c>
      <c r="M7280" s="36" t="str">
        <f t="shared" si="113"/>
        <v>19851110</v>
      </c>
    </row>
    <row r="7281" s="1" customFormat="1" spans="1:13">
      <c r="A7281" s="2">
        <v>8095</v>
      </c>
      <c r="B7281" s="5" t="s">
        <v>15086</v>
      </c>
      <c r="C7281" s="6" t="s">
        <v>15383</v>
      </c>
      <c r="D7281" s="293" t="s">
        <v>15384</v>
      </c>
      <c r="E7281" s="5" t="s">
        <v>15</v>
      </c>
      <c r="F7281" s="5">
        <v>2020</v>
      </c>
      <c r="G7281" s="5" t="s">
        <v>189</v>
      </c>
      <c r="H7281" s="6">
        <v>500</v>
      </c>
      <c r="I7281" s="5">
        <v>500</v>
      </c>
      <c r="J7281" s="5"/>
      <c r="K7281" s="5"/>
      <c r="L7281" s="10">
        <v>20201118</v>
      </c>
      <c r="M7281" s="36" t="str">
        <f t="shared" si="113"/>
        <v>19851113</v>
      </c>
    </row>
    <row r="7282" s="1" customFormat="1" spans="1:13">
      <c r="A7282" s="2">
        <v>518</v>
      </c>
      <c r="B7282" s="29" t="s">
        <v>1040</v>
      </c>
      <c r="C7282" s="29" t="s">
        <v>1313</v>
      </c>
      <c r="D7282" s="29" t="s">
        <v>1314</v>
      </c>
      <c r="E7282" s="30">
        <v>2020</v>
      </c>
      <c r="F7282" s="30">
        <v>2020</v>
      </c>
      <c r="G7282" s="29" t="s">
        <v>16</v>
      </c>
      <c r="H7282" s="29">
        <v>200</v>
      </c>
      <c r="I7282" s="29">
        <v>200</v>
      </c>
      <c r="J7282" s="29"/>
      <c r="K7282" s="47"/>
      <c r="L7282" s="2" t="s">
        <v>330</v>
      </c>
      <c r="M7282" s="36" t="str">
        <f t="shared" si="113"/>
        <v>19851119</v>
      </c>
    </row>
    <row r="7283" s="1" customFormat="1" ht="14.25" spans="1:13">
      <c r="A7283" s="2">
        <v>5968</v>
      </c>
      <c r="B7283" s="30" t="s">
        <v>11090</v>
      </c>
      <c r="C7283" s="32" t="s">
        <v>11983</v>
      </c>
      <c r="D7283" s="12" t="s">
        <v>11984</v>
      </c>
      <c r="E7283" s="5" t="s">
        <v>15</v>
      </c>
      <c r="F7283" s="5" t="s">
        <v>10250</v>
      </c>
      <c r="G7283" s="6" t="s">
        <v>16</v>
      </c>
      <c r="H7283" s="32">
        <v>200</v>
      </c>
      <c r="I7283" s="32">
        <v>200</v>
      </c>
      <c r="J7283" s="6"/>
      <c r="K7283" s="48"/>
      <c r="L7283" s="10">
        <v>20201118</v>
      </c>
      <c r="M7283" s="36" t="str">
        <f t="shared" si="113"/>
        <v>19851119</v>
      </c>
    </row>
    <row r="7284" s="1" customFormat="1" spans="1:13">
      <c r="A7284" s="2">
        <v>4381</v>
      </c>
      <c r="B7284" s="9" t="s">
        <v>8515</v>
      </c>
      <c r="C7284" s="9" t="s">
        <v>8950</v>
      </c>
      <c r="D7284" s="9" t="s">
        <v>8951</v>
      </c>
      <c r="E7284" s="5" t="s">
        <v>15</v>
      </c>
      <c r="F7284" s="5">
        <v>2020</v>
      </c>
      <c r="G7284" s="9" t="s">
        <v>2480</v>
      </c>
      <c r="H7284" s="9">
        <v>200</v>
      </c>
      <c r="I7284" s="9">
        <v>200</v>
      </c>
      <c r="J7284" s="9"/>
      <c r="K7284" s="9"/>
      <c r="L7284" s="10">
        <v>20201118</v>
      </c>
      <c r="M7284" s="36" t="str">
        <f t="shared" si="113"/>
        <v>19851122</v>
      </c>
    </row>
    <row r="7285" s="1" customFormat="1" spans="1:13">
      <c r="A7285" s="2">
        <v>2104</v>
      </c>
      <c r="B7285" s="5" t="s">
        <v>4189</v>
      </c>
      <c r="C7285" s="9" t="s">
        <v>4759</v>
      </c>
      <c r="D7285" s="9" t="s">
        <v>4760</v>
      </c>
      <c r="E7285" s="5" t="s">
        <v>15</v>
      </c>
      <c r="F7285" s="5" t="s">
        <v>15</v>
      </c>
      <c r="G7285" s="5" t="s">
        <v>3359</v>
      </c>
      <c r="H7285" s="16">
        <v>200</v>
      </c>
      <c r="I7285" s="16">
        <v>200</v>
      </c>
      <c r="J7285" s="5"/>
      <c r="K7285" s="10"/>
      <c r="L7285" s="10">
        <v>20201118</v>
      </c>
      <c r="M7285" s="36" t="str">
        <f t="shared" si="113"/>
        <v>19851123</v>
      </c>
    </row>
    <row r="7286" s="1" customFormat="1" spans="1:13">
      <c r="A7286" s="2">
        <v>3291</v>
      </c>
      <c r="B7286" s="5" t="s">
        <v>3375</v>
      </c>
      <c r="C7286" s="6" t="s">
        <v>7065</v>
      </c>
      <c r="D7286" s="6" t="str">
        <f>"152326198512036877"</f>
        <v>152326198512036877</v>
      </c>
      <c r="E7286" s="5" t="s">
        <v>15</v>
      </c>
      <c r="F7286" s="5">
        <v>2020</v>
      </c>
      <c r="G7286" s="14" t="s">
        <v>16</v>
      </c>
      <c r="H7286" s="17">
        <v>200</v>
      </c>
      <c r="I7286" s="17">
        <v>200</v>
      </c>
      <c r="J7286" s="6"/>
      <c r="K7286" s="10"/>
      <c r="L7286" s="10">
        <v>20201118</v>
      </c>
      <c r="M7286" s="36" t="str">
        <f t="shared" si="113"/>
        <v>19851203</v>
      </c>
    </row>
    <row r="7287" s="1" customFormat="1" ht="14.25" spans="1:13">
      <c r="A7287" s="2">
        <v>5455</v>
      </c>
      <c r="B7287" s="33" t="s">
        <v>10535</v>
      </c>
      <c r="C7287" s="34" t="s">
        <v>3150</v>
      </c>
      <c r="D7287" s="34" t="s">
        <v>11009</v>
      </c>
      <c r="E7287" s="35">
        <v>2020</v>
      </c>
      <c r="F7287" s="35">
        <v>2020</v>
      </c>
      <c r="G7287" s="35" t="s">
        <v>16</v>
      </c>
      <c r="H7287" s="34">
        <v>200</v>
      </c>
      <c r="I7287" s="34">
        <v>200</v>
      </c>
      <c r="J7287" s="49" t="s">
        <v>10667</v>
      </c>
      <c r="K7287" s="10"/>
      <c r="L7287" s="10">
        <v>20201118</v>
      </c>
      <c r="M7287" s="36" t="str">
        <f t="shared" si="113"/>
        <v>19851204</v>
      </c>
    </row>
    <row r="7288" s="1" customFormat="1" spans="1:13">
      <c r="A7288" s="2">
        <v>7109</v>
      </c>
      <c r="B7288" s="5" t="s">
        <v>13533</v>
      </c>
      <c r="C7288" s="5" t="s">
        <v>13879</v>
      </c>
      <c r="D7288" s="5" t="s">
        <v>13880</v>
      </c>
      <c r="E7288" s="5">
        <v>2020</v>
      </c>
      <c r="F7288" s="5">
        <v>2020</v>
      </c>
      <c r="G7288" s="9" t="s">
        <v>2480</v>
      </c>
      <c r="H7288" s="32">
        <v>200</v>
      </c>
      <c r="I7288" s="32">
        <v>200</v>
      </c>
      <c r="J7288" s="32"/>
      <c r="K7288" s="10"/>
      <c r="L7288" s="10">
        <v>20201118</v>
      </c>
      <c r="M7288" s="36" t="str">
        <f t="shared" si="113"/>
        <v>19851204</v>
      </c>
    </row>
    <row r="7289" s="1" customFormat="1" spans="1:13">
      <c r="A7289" s="2">
        <v>7606</v>
      </c>
      <c r="B7289" s="5" t="s">
        <v>14402</v>
      </c>
      <c r="C7289" s="5" t="s">
        <v>14810</v>
      </c>
      <c r="D7289" s="5" t="s">
        <v>14811</v>
      </c>
      <c r="E7289" s="5">
        <v>2020</v>
      </c>
      <c r="F7289" s="5">
        <v>2020</v>
      </c>
      <c r="G7289" s="17" t="s">
        <v>16</v>
      </c>
      <c r="H7289" s="5">
        <v>200</v>
      </c>
      <c r="I7289" s="5">
        <v>200</v>
      </c>
      <c r="J7289" s="5"/>
      <c r="K7289" s="10"/>
      <c r="L7289" s="10">
        <v>20201118</v>
      </c>
      <c r="M7289" s="36" t="str">
        <f t="shared" si="113"/>
        <v>19851208</v>
      </c>
    </row>
    <row r="7290" s="1" customFormat="1" spans="1:13">
      <c r="A7290" s="2">
        <v>376</v>
      </c>
      <c r="B7290" s="14" t="s">
        <v>327</v>
      </c>
      <c r="C7290" s="3" t="s">
        <v>1015</v>
      </c>
      <c r="D7290" s="3" t="s">
        <v>1016</v>
      </c>
      <c r="E7290" s="5">
        <v>2020</v>
      </c>
      <c r="F7290" s="5">
        <v>2020</v>
      </c>
      <c r="G7290" s="17" t="s">
        <v>1007</v>
      </c>
      <c r="H7290" s="17">
        <v>500</v>
      </c>
      <c r="I7290" s="17">
        <v>500</v>
      </c>
      <c r="J7290" s="3"/>
      <c r="K7290" s="10"/>
      <c r="L7290" s="14" t="s">
        <v>330</v>
      </c>
      <c r="M7290" s="36" t="str">
        <f t="shared" si="113"/>
        <v>19851210</v>
      </c>
    </row>
    <row r="7291" s="1" customFormat="1" ht="14.25" spans="1:13">
      <c r="A7291" s="2">
        <v>2874</v>
      </c>
      <c r="B7291" s="6" t="s">
        <v>6075</v>
      </c>
      <c r="C7291" s="25" t="s">
        <v>6277</v>
      </c>
      <c r="D7291" s="26" t="s">
        <v>6278</v>
      </c>
      <c r="E7291" s="5" t="s">
        <v>15</v>
      </c>
      <c r="F7291" s="5">
        <v>2020</v>
      </c>
      <c r="G7291" s="6" t="s">
        <v>16</v>
      </c>
      <c r="H7291" s="6">
        <v>200</v>
      </c>
      <c r="I7291" s="6">
        <v>200</v>
      </c>
      <c r="J7291" s="6" t="s">
        <v>6097</v>
      </c>
      <c r="K7291" s="10"/>
      <c r="L7291" s="10">
        <v>20201118</v>
      </c>
      <c r="M7291" s="36" t="str">
        <f t="shared" si="113"/>
        <v>19851214</v>
      </c>
    </row>
    <row r="7292" s="1" customFormat="1" spans="1:13">
      <c r="A7292" s="2">
        <v>2730</v>
      </c>
      <c r="B7292" s="32" t="s">
        <v>5602</v>
      </c>
      <c r="C7292" s="9" t="s">
        <v>5990</v>
      </c>
      <c r="D7292" s="9" t="s">
        <v>5991</v>
      </c>
      <c r="E7292" s="32">
        <v>2020</v>
      </c>
      <c r="F7292" s="32">
        <v>2020</v>
      </c>
      <c r="G7292" s="32" t="s">
        <v>16</v>
      </c>
      <c r="H7292" s="9">
        <v>200</v>
      </c>
      <c r="I7292" s="9">
        <v>200</v>
      </c>
      <c r="J7292" s="32"/>
      <c r="K7292" s="52"/>
      <c r="L7292" s="10">
        <v>20201118</v>
      </c>
      <c r="M7292" s="36" t="str">
        <f t="shared" si="113"/>
        <v>19851215</v>
      </c>
    </row>
    <row r="7293" s="1" customFormat="1" spans="1:13">
      <c r="A7293" s="2">
        <v>5937</v>
      </c>
      <c r="B7293" s="30" t="s">
        <v>11090</v>
      </c>
      <c r="C7293" s="6" t="s">
        <v>11922</v>
      </c>
      <c r="D7293" s="306" t="s">
        <v>11923</v>
      </c>
      <c r="E7293" s="5" t="s">
        <v>15</v>
      </c>
      <c r="F7293" s="5" t="s">
        <v>10250</v>
      </c>
      <c r="G7293" s="6" t="s">
        <v>16</v>
      </c>
      <c r="H7293" s="32">
        <v>200</v>
      </c>
      <c r="I7293" s="32">
        <v>200</v>
      </c>
      <c r="J7293" s="6"/>
      <c r="K7293" s="48"/>
      <c r="L7293" s="10">
        <v>20201118</v>
      </c>
      <c r="M7293" s="36" t="str">
        <f t="shared" si="113"/>
        <v>19851221</v>
      </c>
    </row>
    <row r="7294" s="1" customFormat="1" spans="1:13">
      <c r="A7294" s="2">
        <v>7318</v>
      </c>
      <c r="B7294" s="5" t="s">
        <v>13908</v>
      </c>
      <c r="C7294" s="5" t="s">
        <v>14272</v>
      </c>
      <c r="D7294" s="5" t="s">
        <v>14273</v>
      </c>
      <c r="E7294" s="5" t="s">
        <v>15</v>
      </c>
      <c r="F7294" s="5" t="s">
        <v>15</v>
      </c>
      <c r="G7294" s="14" t="s">
        <v>16</v>
      </c>
      <c r="H7294" s="17">
        <v>1000</v>
      </c>
      <c r="I7294" s="17">
        <v>1000</v>
      </c>
      <c r="J7294" s="5"/>
      <c r="K7294" s="10"/>
      <c r="L7294" s="10">
        <v>20201118</v>
      </c>
      <c r="M7294" s="36" t="str">
        <f t="shared" si="113"/>
        <v>19851221</v>
      </c>
    </row>
    <row r="7295" s="1" customFormat="1" spans="1:13">
      <c r="A7295" s="2">
        <v>1305</v>
      </c>
      <c r="B7295" s="5" t="s">
        <v>2469</v>
      </c>
      <c r="C7295" s="9" t="s">
        <v>3190</v>
      </c>
      <c r="D7295" s="9" t="s">
        <v>3191</v>
      </c>
      <c r="E7295" s="5">
        <v>2020</v>
      </c>
      <c r="F7295" s="5">
        <v>2020</v>
      </c>
      <c r="G7295" s="9" t="s">
        <v>2480</v>
      </c>
      <c r="H7295" s="9">
        <v>200</v>
      </c>
      <c r="I7295" s="9">
        <v>200</v>
      </c>
      <c r="J7295" s="5"/>
      <c r="K7295" s="5"/>
      <c r="L7295" s="10">
        <v>20201118</v>
      </c>
      <c r="M7295" s="36" t="str">
        <f t="shared" si="113"/>
        <v>19851222</v>
      </c>
    </row>
    <row r="7296" s="1" customFormat="1" spans="1:13">
      <c r="A7296" s="2">
        <v>2055</v>
      </c>
      <c r="B7296" s="5" t="s">
        <v>4189</v>
      </c>
      <c r="C7296" s="16" t="s">
        <v>4664</v>
      </c>
      <c r="D7296" s="16" t="s">
        <v>4665</v>
      </c>
      <c r="E7296" s="5" t="s">
        <v>15</v>
      </c>
      <c r="F7296" s="5" t="s">
        <v>15</v>
      </c>
      <c r="G7296" s="5" t="s">
        <v>3359</v>
      </c>
      <c r="H7296" s="16">
        <v>200</v>
      </c>
      <c r="I7296" s="16">
        <v>200</v>
      </c>
      <c r="J7296" s="5"/>
      <c r="K7296" s="10"/>
      <c r="L7296" s="10">
        <v>20201118</v>
      </c>
      <c r="M7296" s="36" t="str">
        <f t="shared" si="113"/>
        <v>19851228</v>
      </c>
    </row>
    <row r="7297" s="1" customFormat="1" ht="14.25" spans="1:13">
      <c r="A7297" s="2">
        <v>3022</v>
      </c>
      <c r="B7297" s="6" t="s">
        <v>6075</v>
      </c>
      <c r="C7297" s="25" t="s">
        <v>6567</v>
      </c>
      <c r="D7297" s="26" t="s">
        <v>6568</v>
      </c>
      <c r="E7297" s="5" t="s">
        <v>15</v>
      </c>
      <c r="F7297" s="5">
        <v>2020</v>
      </c>
      <c r="G7297" s="6" t="s">
        <v>16</v>
      </c>
      <c r="H7297" s="6">
        <v>200</v>
      </c>
      <c r="I7297" s="6">
        <v>200</v>
      </c>
      <c r="J7297" s="6" t="s">
        <v>6097</v>
      </c>
      <c r="K7297" s="10"/>
      <c r="L7297" s="10">
        <v>20201118</v>
      </c>
      <c r="M7297" s="36" t="str">
        <f t="shared" si="113"/>
        <v>19851228</v>
      </c>
    </row>
    <row r="7298" s="1" customFormat="1" spans="1:13">
      <c r="A7298" s="2">
        <v>1306</v>
      </c>
      <c r="B7298" s="5" t="s">
        <v>2469</v>
      </c>
      <c r="C7298" s="9" t="s">
        <v>3192</v>
      </c>
      <c r="D7298" s="9" t="s">
        <v>3193</v>
      </c>
      <c r="E7298" s="5">
        <v>2020</v>
      </c>
      <c r="F7298" s="5">
        <v>2020</v>
      </c>
      <c r="G7298" s="9" t="s">
        <v>2480</v>
      </c>
      <c r="H7298" s="9">
        <v>200</v>
      </c>
      <c r="I7298" s="9">
        <v>200</v>
      </c>
      <c r="J7298" s="5"/>
      <c r="K7298" s="5"/>
      <c r="L7298" s="10">
        <v>20201118</v>
      </c>
      <c r="M7298" s="36" t="str">
        <f t="shared" ref="M7298:M7361" si="114">MID(D7298,7,8)</f>
        <v>19860102</v>
      </c>
    </row>
    <row r="7299" s="1" customFormat="1" spans="1:13">
      <c r="A7299" s="2">
        <v>3286</v>
      </c>
      <c r="B7299" s="5" t="s">
        <v>3375</v>
      </c>
      <c r="C7299" s="6" t="s">
        <v>7060</v>
      </c>
      <c r="D7299" s="6" t="str">
        <f>"152326198601036887"</f>
        <v>152326198601036887</v>
      </c>
      <c r="E7299" s="5" t="s">
        <v>15</v>
      </c>
      <c r="F7299" s="5">
        <v>2020</v>
      </c>
      <c r="G7299" s="14" t="s">
        <v>16</v>
      </c>
      <c r="H7299" s="17">
        <v>200</v>
      </c>
      <c r="I7299" s="17">
        <v>200</v>
      </c>
      <c r="J7299" s="6"/>
      <c r="K7299" s="10"/>
      <c r="L7299" s="10">
        <v>20201118</v>
      </c>
      <c r="M7299" s="36" t="str">
        <f t="shared" si="114"/>
        <v>19860103</v>
      </c>
    </row>
    <row r="7300" s="1" customFormat="1" spans="1:13">
      <c r="A7300" s="2">
        <v>5026</v>
      </c>
      <c r="B7300" s="6" t="s">
        <v>9954</v>
      </c>
      <c r="C7300" s="60" t="s">
        <v>4351</v>
      </c>
      <c r="D7300" s="60" t="s">
        <v>10186</v>
      </c>
      <c r="E7300" s="5" t="s">
        <v>15</v>
      </c>
      <c r="F7300" s="5" t="s">
        <v>15</v>
      </c>
      <c r="G7300" s="14" t="s">
        <v>16</v>
      </c>
      <c r="H7300" s="6">
        <v>500</v>
      </c>
      <c r="I7300" s="6">
        <v>500</v>
      </c>
      <c r="J7300" s="6"/>
      <c r="K7300" s="6"/>
      <c r="L7300" s="10">
        <v>20201118</v>
      </c>
      <c r="M7300" s="36" t="str">
        <f t="shared" si="114"/>
        <v>19860104</v>
      </c>
    </row>
    <row r="7301" s="1" customFormat="1" spans="1:13">
      <c r="A7301" s="2">
        <v>2354</v>
      </c>
      <c r="B7301" s="9" t="s">
        <v>4837</v>
      </c>
      <c r="C7301" s="9" t="s">
        <v>5247</v>
      </c>
      <c r="D7301" s="9" t="s">
        <v>5248</v>
      </c>
      <c r="E7301" s="6" t="s">
        <v>15</v>
      </c>
      <c r="F7301" s="6">
        <v>2020</v>
      </c>
      <c r="G7301" s="9" t="s">
        <v>2480</v>
      </c>
      <c r="H7301" s="9">
        <v>200</v>
      </c>
      <c r="I7301" s="9">
        <v>200</v>
      </c>
      <c r="J7301" s="6"/>
      <c r="K7301" s="10"/>
      <c r="L7301" s="10">
        <v>20201118</v>
      </c>
      <c r="M7301" s="36" t="str">
        <f t="shared" si="114"/>
        <v>19860106</v>
      </c>
    </row>
    <row r="7302" s="1" customFormat="1" ht="14.25" spans="1:13">
      <c r="A7302" s="2">
        <v>5456</v>
      </c>
      <c r="B7302" s="33" t="s">
        <v>10535</v>
      </c>
      <c r="C7302" s="34" t="s">
        <v>11010</v>
      </c>
      <c r="D7302" s="34" t="s">
        <v>11011</v>
      </c>
      <c r="E7302" s="35">
        <v>2020</v>
      </c>
      <c r="F7302" s="35">
        <v>2020</v>
      </c>
      <c r="G7302" s="35" t="s">
        <v>16</v>
      </c>
      <c r="H7302" s="34">
        <v>200</v>
      </c>
      <c r="I7302" s="34">
        <v>200</v>
      </c>
      <c r="J7302" s="49"/>
      <c r="K7302" s="10"/>
      <c r="L7302" s="10">
        <v>20201118</v>
      </c>
      <c r="M7302" s="36" t="str">
        <f t="shared" si="114"/>
        <v>19860108</v>
      </c>
    </row>
    <row r="7303" s="1" customFormat="1" spans="1:13">
      <c r="A7303" s="2">
        <v>1737</v>
      </c>
      <c r="B7303" s="5" t="s">
        <v>3381</v>
      </c>
      <c r="C7303" s="9" t="s">
        <v>4034</v>
      </c>
      <c r="D7303" s="9" t="s">
        <v>4035</v>
      </c>
      <c r="E7303" s="5">
        <v>2020</v>
      </c>
      <c r="F7303" s="5">
        <v>2020</v>
      </c>
      <c r="G7303" s="14" t="s">
        <v>16</v>
      </c>
      <c r="H7303" s="6">
        <v>200</v>
      </c>
      <c r="I7303" s="6">
        <v>200</v>
      </c>
      <c r="J7303" s="5"/>
      <c r="K7303" s="13"/>
      <c r="L7303" s="10">
        <v>20201118</v>
      </c>
      <c r="M7303" s="36" t="str">
        <f t="shared" si="114"/>
        <v>19860110</v>
      </c>
    </row>
    <row r="7304" s="1" customFormat="1" spans="1:13">
      <c r="A7304" s="2">
        <v>2049</v>
      </c>
      <c r="B7304" s="5" t="s">
        <v>4189</v>
      </c>
      <c r="C7304" s="16" t="s">
        <v>4652</v>
      </c>
      <c r="D7304" s="16" t="s">
        <v>4653</v>
      </c>
      <c r="E7304" s="5" t="s">
        <v>15</v>
      </c>
      <c r="F7304" s="5" t="s">
        <v>15</v>
      </c>
      <c r="G7304" s="5" t="s">
        <v>3359</v>
      </c>
      <c r="H7304" s="16">
        <v>200</v>
      </c>
      <c r="I7304" s="16">
        <v>200</v>
      </c>
      <c r="J7304" s="5"/>
      <c r="K7304" s="10"/>
      <c r="L7304" s="10">
        <v>20201118</v>
      </c>
      <c r="M7304" s="36" t="str">
        <f t="shared" si="114"/>
        <v>19860110</v>
      </c>
    </row>
    <row r="7305" s="1" customFormat="1" spans="1:13">
      <c r="A7305" s="2">
        <v>1307</v>
      </c>
      <c r="B7305" s="5" t="s">
        <v>2469</v>
      </c>
      <c r="C7305" s="9" t="s">
        <v>3194</v>
      </c>
      <c r="D7305" s="9" t="s">
        <v>3195</v>
      </c>
      <c r="E7305" s="5">
        <v>2020</v>
      </c>
      <c r="F7305" s="5">
        <v>2020</v>
      </c>
      <c r="G7305" s="9" t="s">
        <v>2480</v>
      </c>
      <c r="H7305" s="9">
        <v>200</v>
      </c>
      <c r="I7305" s="9">
        <v>200</v>
      </c>
      <c r="J7305" s="5"/>
      <c r="K7305" s="5"/>
      <c r="L7305" s="10">
        <v>20201118</v>
      </c>
      <c r="M7305" s="36" t="str">
        <f t="shared" si="114"/>
        <v>19860111</v>
      </c>
    </row>
    <row r="7306" s="1" customFormat="1" spans="1:13">
      <c r="A7306" s="2">
        <v>3551</v>
      </c>
      <c r="B7306" s="5" t="s">
        <v>3375</v>
      </c>
      <c r="C7306" s="5" t="s">
        <v>7372</v>
      </c>
      <c r="D7306" s="296" t="s">
        <v>7373</v>
      </c>
      <c r="E7306" s="5" t="s">
        <v>15</v>
      </c>
      <c r="F7306" s="5">
        <v>2020</v>
      </c>
      <c r="G7306" s="14" t="s">
        <v>16</v>
      </c>
      <c r="H7306" s="5">
        <v>200</v>
      </c>
      <c r="I7306" s="5">
        <v>200</v>
      </c>
      <c r="J7306" s="5"/>
      <c r="K7306" s="10"/>
      <c r="L7306" s="10">
        <v>20201118</v>
      </c>
      <c r="M7306" s="36" t="str">
        <f t="shared" si="114"/>
        <v>19860112</v>
      </c>
    </row>
    <row r="7307" s="1" customFormat="1" spans="1:13">
      <c r="A7307" s="2">
        <v>1308</v>
      </c>
      <c r="B7307" s="5" t="s">
        <v>2469</v>
      </c>
      <c r="C7307" s="9" t="s">
        <v>3196</v>
      </c>
      <c r="D7307" s="9" t="s">
        <v>3197</v>
      </c>
      <c r="E7307" s="5">
        <v>2020</v>
      </c>
      <c r="F7307" s="5">
        <v>2020</v>
      </c>
      <c r="G7307" s="9" t="s">
        <v>2480</v>
      </c>
      <c r="H7307" s="9">
        <v>200</v>
      </c>
      <c r="I7307" s="9">
        <v>200</v>
      </c>
      <c r="J7307" s="5"/>
      <c r="K7307" s="5"/>
      <c r="L7307" s="10">
        <v>20201118</v>
      </c>
      <c r="M7307" s="36" t="str">
        <f t="shared" si="114"/>
        <v>19860114</v>
      </c>
    </row>
    <row r="7308" s="1" customFormat="1" spans="1:13">
      <c r="A7308" s="2">
        <v>788</v>
      </c>
      <c r="B7308" s="29" t="s">
        <v>1040</v>
      </c>
      <c r="C7308" s="5" t="s">
        <v>2014</v>
      </c>
      <c r="D7308" s="317" t="s">
        <v>2015</v>
      </c>
      <c r="E7308" s="30">
        <v>2020</v>
      </c>
      <c r="F7308" s="30">
        <v>2020</v>
      </c>
      <c r="G7308" s="29" t="s">
        <v>16</v>
      </c>
      <c r="H7308" s="29">
        <v>200</v>
      </c>
      <c r="I7308" s="29">
        <v>200</v>
      </c>
      <c r="J7308" s="32"/>
      <c r="K7308" s="32"/>
      <c r="L7308" s="2" t="s">
        <v>330</v>
      </c>
      <c r="M7308" s="36" t="str">
        <f t="shared" si="114"/>
        <v>19860126</v>
      </c>
    </row>
    <row r="7309" s="1" customFormat="1" spans="1:13">
      <c r="A7309" s="2">
        <v>2355</v>
      </c>
      <c r="B7309" s="9" t="s">
        <v>4837</v>
      </c>
      <c r="C7309" s="9" t="s">
        <v>5249</v>
      </c>
      <c r="D7309" s="9" t="s">
        <v>5250</v>
      </c>
      <c r="E7309" s="6" t="s">
        <v>15</v>
      </c>
      <c r="F7309" s="6">
        <v>2020</v>
      </c>
      <c r="G7309" s="9" t="s">
        <v>2480</v>
      </c>
      <c r="H7309" s="9">
        <v>200</v>
      </c>
      <c r="I7309" s="9">
        <v>200</v>
      </c>
      <c r="J7309" s="6"/>
      <c r="K7309" s="10"/>
      <c r="L7309" s="10">
        <v>20201118</v>
      </c>
      <c r="M7309" s="36" t="str">
        <f t="shared" si="114"/>
        <v>19860127</v>
      </c>
    </row>
    <row r="7310" s="1" customFormat="1" spans="1:13">
      <c r="A7310" s="2">
        <v>7433</v>
      </c>
      <c r="B7310" s="5" t="s">
        <v>14402</v>
      </c>
      <c r="C7310" s="5" t="s">
        <v>14487</v>
      </c>
      <c r="D7310" s="5" t="s">
        <v>14488</v>
      </c>
      <c r="E7310" s="5">
        <v>2020</v>
      </c>
      <c r="F7310" s="5">
        <v>2020</v>
      </c>
      <c r="G7310" s="17" t="s">
        <v>16</v>
      </c>
      <c r="H7310" s="5">
        <v>200</v>
      </c>
      <c r="I7310" s="5">
        <v>200</v>
      </c>
      <c r="J7310" s="5"/>
      <c r="K7310" s="10"/>
      <c r="L7310" s="10">
        <v>20201118</v>
      </c>
      <c r="M7310" s="36" t="str">
        <f t="shared" si="114"/>
        <v>19860127</v>
      </c>
    </row>
    <row r="7311" s="1" customFormat="1" spans="1:13">
      <c r="A7311" s="2">
        <v>769</v>
      </c>
      <c r="B7311" s="29" t="s">
        <v>1040</v>
      </c>
      <c r="C7311" s="5" t="s">
        <v>1957</v>
      </c>
      <c r="D7311" s="317" t="s">
        <v>1958</v>
      </c>
      <c r="E7311" s="30">
        <v>2020</v>
      </c>
      <c r="F7311" s="30">
        <v>2020</v>
      </c>
      <c r="G7311" s="29" t="s">
        <v>16</v>
      </c>
      <c r="H7311" s="29">
        <v>200</v>
      </c>
      <c r="I7311" s="29">
        <v>200</v>
      </c>
      <c r="J7311" s="32"/>
      <c r="K7311" s="32"/>
      <c r="L7311" s="2" t="s">
        <v>330</v>
      </c>
      <c r="M7311" s="36" t="str">
        <f t="shared" si="114"/>
        <v>19860129</v>
      </c>
    </row>
    <row r="7312" s="1" customFormat="1" spans="1:13">
      <c r="A7312" s="2">
        <v>745</v>
      </c>
      <c r="B7312" s="29" t="s">
        <v>1040</v>
      </c>
      <c r="C7312" s="5" t="s">
        <v>1885</v>
      </c>
      <c r="D7312" s="317" t="s">
        <v>1886</v>
      </c>
      <c r="E7312" s="30">
        <v>2020</v>
      </c>
      <c r="F7312" s="30">
        <v>2020</v>
      </c>
      <c r="G7312" s="29" t="s">
        <v>16</v>
      </c>
      <c r="H7312" s="29">
        <v>200</v>
      </c>
      <c r="I7312" s="29">
        <v>200</v>
      </c>
      <c r="J7312" s="32"/>
      <c r="K7312" s="32"/>
      <c r="L7312" s="14" t="s">
        <v>330</v>
      </c>
      <c r="M7312" s="36" t="str">
        <f t="shared" si="114"/>
        <v>19860201</v>
      </c>
    </row>
    <row r="7313" s="1" customFormat="1" spans="1:13">
      <c r="A7313" s="2">
        <v>4878</v>
      </c>
      <c r="B7313" s="6" t="s">
        <v>9015</v>
      </c>
      <c r="C7313" s="6" t="s">
        <v>9898</v>
      </c>
      <c r="D7313" s="293" t="s">
        <v>9899</v>
      </c>
      <c r="E7313" s="6">
        <v>2020</v>
      </c>
      <c r="F7313" s="6">
        <v>2020</v>
      </c>
      <c r="G7313" s="6" t="s">
        <v>16</v>
      </c>
      <c r="H7313" s="6">
        <v>200</v>
      </c>
      <c r="I7313" s="6">
        <v>200</v>
      </c>
      <c r="J7313" s="6"/>
      <c r="K7313" s="6"/>
      <c r="L7313" s="10">
        <v>20201118</v>
      </c>
      <c r="M7313" s="36" t="str">
        <f t="shared" si="114"/>
        <v>19860202</v>
      </c>
    </row>
    <row r="7314" s="1" customFormat="1" spans="1:13">
      <c r="A7314" s="2">
        <v>2356</v>
      </c>
      <c r="B7314" s="9" t="s">
        <v>4837</v>
      </c>
      <c r="C7314" s="9" t="s">
        <v>5251</v>
      </c>
      <c r="D7314" s="9" t="s">
        <v>5252</v>
      </c>
      <c r="E7314" s="6" t="s">
        <v>15</v>
      </c>
      <c r="F7314" s="6">
        <v>2020</v>
      </c>
      <c r="G7314" s="9" t="s">
        <v>2480</v>
      </c>
      <c r="H7314" s="9">
        <v>300</v>
      </c>
      <c r="I7314" s="9">
        <v>300</v>
      </c>
      <c r="J7314" s="6"/>
      <c r="K7314" s="10"/>
      <c r="L7314" s="10">
        <v>20201118</v>
      </c>
      <c r="M7314" s="36" t="str">
        <f t="shared" si="114"/>
        <v>19860206</v>
      </c>
    </row>
    <row r="7315" s="1" customFormat="1" ht="14.25" spans="1:13">
      <c r="A7315" s="2">
        <v>2894</v>
      </c>
      <c r="B7315" s="6" t="s">
        <v>6075</v>
      </c>
      <c r="C7315" s="25" t="s">
        <v>6316</v>
      </c>
      <c r="D7315" s="26" t="s">
        <v>6317</v>
      </c>
      <c r="E7315" s="5" t="s">
        <v>15</v>
      </c>
      <c r="F7315" s="5">
        <v>2020</v>
      </c>
      <c r="G7315" s="6" t="s">
        <v>16</v>
      </c>
      <c r="H7315" s="6">
        <v>200</v>
      </c>
      <c r="I7315" s="6">
        <v>200</v>
      </c>
      <c r="J7315" s="6"/>
      <c r="K7315" s="10"/>
      <c r="L7315" s="10">
        <v>20201118</v>
      </c>
      <c r="M7315" s="36" t="str">
        <f t="shared" si="114"/>
        <v>19860209</v>
      </c>
    </row>
    <row r="7316" s="1" customFormat="1" spans="1:13">
      <c r="A7316" s="2">
        <v>2514</v>
      </c>
      <c r="B7316" s="5" t="s">
        <v>5328</v>
      </c>
      <c r="C7316" s="16" t="s">
        <v>5562</v>
      </c>
      <c r="D7316" s="16" t="s">
        <v>5563</v>
      </c>
      <c r="E7316" s="5" t="s">
        <v>15</v>
      </c>
      <c r="F7316" s="5" t="s">
        <v>15</v>
      </c>
      <c r="G7316" s="14" t="s">
        <v>16</v>
      </c>
      <c r="H7316" s="6">
        <v>200</v>
      </c>
      <c r="I7316" s="6">
        <v>200</v>
      </c>
      <c r="J7316" s="5"/>
      <c r="K7316" s="5"/>
      <c r="L7316" s="10">
        <v>20201118</v>
      </c>
      <c r="M7316" s="36" t="str">
        <f t="shared" si="114"/>
        <v>19860210</v>
      </c>
    </row>
    <row r="7317" s="1" customFormat="1" spans="1:13">
      <c r="A7317" s="2">
        <v>2731</v>
      </c>
      <c r="B7317" s="32" t="s">
        <v>5602</v>
      </c>
      <c r="C7317" s="9" t="s">
        <v>5992</v>
      </c>
      <c r="D7317" s="9" t="s">
        <v>5993</v>
      </c>
      <c r="E7317" s="32">
        <v>2020</v>
      </c>
      <c r="F7317" s="32">
        <v>2020</v>
      </c>
      <c r="G7317" s="32" t="s">
        <v>16</v>
      </c>
      <c r="H7317" s="9">
        <v>200</v>
      </c>
      <c r="I7317" s="9">
        <v>200</v>
      </c>
      <c r="J7317" s="32"/>
      <c r="K7317" s="52"/>
      <c r="L7317" s="10">
        <v>20201118</v>
      </c>
      <c r="M7317" s="36" t="str">
        <f t="shared" si="114"/>
        <v>19860214</v>
      </c>
    </row>
    <row r="7318" s="1" customFormat="1" spans="1:13">
      <c r="A7318" s="2">
        <v>7431</v>
      </c>
      <c r="B7318" s="5" t="s">
        <v>14402</v>
      </c>
      <c r="C7318" s="5" t="s">
        <v>14483</v>
      </c>
      <c r="D7318" s="5" t="s">
        <v>14484</v>
      </c>
      <c r="E7318" s="5">
        <v>2020</v>
      </c>
      <c r="F7318" s="5">
        <v>2020</v>
      </c>
      <c r="G7318" s="17" t="s">
        <v>16</v>
      </c>
      <c r="H7318" s="5">
        <v>200</v>
      </c>
      <c r="I7318" s="5">
        <v>200</v>
      </c>
      <c r="J7318" s="5"/>
      <c r="K7318" s="10"/>
      <c r="L7318" s="10">
        <v>20201118</v>
      </c>
      <c r="M7318" s="36" t="str">
        <f t="shared" si="114"/>
        <v>19860214</v>
      </c>
    </row>
    <row r="7319" s="1" customFormat="1" spans="1:13">
      <c r="A7319" s="2">
        <v>4789</v>
      </c>
      <c r="B7319" s="6" t="s">
        <v>9015</v>
      </c>
      <c r="C7319" s="6" t="s">
        <v>9729</v>
      </c>
      <c r="D7319" s="6" t="s">
        <v>9730</v>
      </c>
      <c r="E7319" s="6">
        <v>2020</v>
      </c>
      <c r="F7319" s="6">
        <v>2020</v>
      </c>
      <c r="G7319" s="6" t="s">
        <v>16</v>
      </c>
      <c r="H7319" s="6">
        <v>200</v>
      </c>
      <c r="I7319" s="6">
        <v>200</v>
      </c>
      <c r="J7319" s="6"/>
      <c r="K7319" s="6"/>
      <c r="L7319" s="10">
        <v>20201118</v>
      </c>
      <c r="M7319" s="36" t="str">
        <f t="shared" si="114"/>
        <v>19860218</v>
      </c>
    </row>
    <row r="7320" s="1" customFormat="1" spans="1:13">
      <c r="A7320" s="2">
        <v>5179</v>
      </c>
      <c r="B7320" s="6" t="s">
        <v>10242</v>
      </c>
      <c r="C7320" s="9" t="s">
        <v>10481</v>
      </c>
      <c r="D7320" s="9" t="s">
        <v>10482</v>
      </c>
      <c r="E7320" s="5" t="s">
        <v>10250</v>
      </c>
      <c r="F7320" s="5">
        <v>2020</v>
      </c>
      <c r="G7320" s="6" t="s">
        <v>16</v>
      </c>
      <c r="H7320" s="6">
        <v>200</v>
      </c>
      <c r="I7320" s="6">
        <v>200</v>
      </c>
      <c r="J7320" s="6"/>
      <c r="K7320" s="5"/>
      <c r="L7320" s="10">
        <v>20201118</v>
      </c>
      <c r="M7320" s="36" t="str">
        <f t="shared" si="114"/>
        <v>19860218</v>
      </c>
    </row>
    <row r="7321" s="1" customFormat="1" spans="1:13">
      <c r="A7321" s="2">
        <v>460</v>
      </c>
      <c r="B7321" s="29" t="s">
        <v>1040</v>
      </c>
      <c r="C7321" s="29" t="s">
        <v>1196</v>
      </c>
      <c r="D7321" s="29" t="s">
        <v>1197</v>
      </c>
      <c r="E7321" s="30">
        <v>2020</v>
      </c>
      <c r="F7321" s="30">
        <v>2020</v>
      </c>
      <c r="G7321" s="29" t="s">
        <v>16</v>
      </c>
      <c r="H7321" s="29">
        <v>200</v>
      </c>
      <c r="I7321" s="29">
        <v>200</v>
      </c>
      <c r="J7321" s="29"/>
      <c r="K7321" s="47"/>
      <c r="L7321" s="2" t="s">
        <v>330</v>
      </c>
      <c r="M7321" s="36" t="str">
        <f t="shared" si="114"/>
        <v>19860219</v>
      </c>
    </row>
    <row r="7322" s="1" customFormat="1" spans="1:13">
      <c r="A7322" s="2">
        <v>7622</v>
      </c>
      <c r="B7322" s="62" t="s">
        <v>14402</v>
      </c>
      <c r="C7322" s="62" t="s">
        <v>14841</v>
      </c>
      <c r="D7322" s="62" t="s">
        <v>14842</v>
      </c>
      <c r="E7322" s="62">
        <v>2020</v>
      </c>
      <c r="F7322" s="62">
        <v>2020</v>
      </c>
      <c r="G7322" s="3" t="s">
        <v>16</v>
      </c>
      <c r="H7322" s="62">
        <v>200</v>
      </c>
      <c r="I7322" s="62">
        <v>200</v>
      </c>
      <c r="J7322" s="62"/>
      <c r="K7322" s="10"/>
      <c r="L7322" s="10">
        <v>20201118</v>
      </c>
      <c r="M7322" s="36" t="str">
        <f t="shared" si="114"/>
        <v>19860221</v>
      </c>
    </row>
    <row r="7323" s="1" customFormat="1" spans="1:13">
      <c r="A7323" s="2">
        <v>5885</v>
      </c>
      <c r="B7323" s="30" t="s">
        <v>11090</v>
      </c>
      <c r="C7323" s="30" t="s">
        <v>11823</v>
      </c>
      <c r="D7323" s="30" t="s">
        <v>11824</v>
      </c>
      <c r="E7323" s="5" t="s">
        <v>15</v>
      </c>
      <c r="F7323" s="5" t="s">
        <v>10250</v>
      </c>
      <c r="G7323" s="6" t="s">
        <v>16</v>
      </c>
      <c r="H7323" s="32">
        <v>200</v>
      </c>
      <c r="I7323" s="32">
        <v>200</v>
      </c>
      <c r="J7323" s="6"/>
      <c r="K7323" s="48"/>
      <c r="L7323" s="10">
        <v>20201118</v>
      </c>
      <c r="M7323" s="36" t="str">
        <f t="shared" si="114"/>
        <v>19860226</v>
      </c>
    </row>
    <row r="7324" s="1" customFormat="1" spans="1:13">
      <c r="A7324" s="2">
        <v>771</v>
      </c>
      <c r="B7324" s="29" t="s">
        <v>1040</v>
      </c>
      <c r="C7324" s="5" t="s">
        <v>1963</v>
      </c>
      <c r="D7324" s="317" t="s">
        <v>1964</v>
      </c>
      <c r="E7324" s="30">
        <v>2020</v>
      </c>
      <c r="F7324" s="30">
        <v>2020</v>
      </c>
      <c r="G7324" s="29" t="s">
        <v>16</v>
      </c>
      <c r="H7324" s="29">
        <v>200</v>
      </c>
      <c r="I7324" s="29">
        <v>200</v>
      </c>
      <c r="J7324" s="32"/>
      <c r="K7324" s="32"/>
      <c r="L7324" s="14" t="s">
        <v>330</v>
      </c>
      <c r="M7324" s="36" t="str">
        <f t="shared" si="114"/>
        <v>19860228</v>
      </c>
    </row>
    <row r="7325" s="1" customFormat="1" ht="14.25" spans="1:13">
      <c r="A7325" s="2">
        <v>5457</v>
      </c>
      <c r="B7325" s="33" t="s">
        <v>10535</v>
      </c>
      <c r="C7325" s="34" t="s">
        <v>11012</v>
      </c>
      <c r="D7325" s="34" t="s">
        <v>11013</v>
      </c>
      <c r="E7325" s="35">
        <v>2020</v>
      </c>
      <c r="F7325" s="35">
        <v>2020</v>
      </c>
      <c r="G7325" s="35" t="s">
        <v>16</v>
      </c>
      <c r="H7325" s="34">
        <v>200</v>
      </c>
      <c r="I7325" s="34">
        <v>200</v>
      </c>
      <c r="J7325" s="49"/>
      <c r="K7325" s="10"/>
      <c r="L7325" s="10">
        <v>20201118</v>
      </c>
      <c r="M7325" s="36" t="str">
        <f t="shared" si="114"/>
        <v>19860302</v>
      </c>
    </row>
    <row r="7326" s="1" customFormat="1" spans="1:13">
      <c r="A7326" s="2">
        <v>3285</v>
      </c>
      <c r="B7326" s="5" t="s">
        <v>3375</v>
      </c>
      <c r="C7326" s="6" t="s">
        <v>7059</v>
      </c>
      <c r="D7326" s="6" t="str">
        <f>"152326198603046886"</f>
        <v>152326198603046886</v>
      </c>
      <c r="E7326" s="5" t="s">
        <v>15</v>
      </c>
      <c r="F7326" s="5">
        <v>2020</v>
      </c>
      <c r="G7326" s="14" t="s">
        <v>16</v>
      </c>
      <c r="H7326" s="17">
        <v>200</v>
      </c>
      <c r="I7326" s="17">
        <v>200</v>
      </c>
      <c r="J7326" s="6"/>
      <c r="K7326" s="10"/>
      <c r="L7326" s="10">
        <v>20201118</v>
      </c>
      <c r="M7326" s="36" t="str">
        <f t="shared" si="114"/>
        <v>19860304</v>
      </c>
    </row>
    <row r="7327" s="1" customFormat="1" spans="1:13">
      <c r="A7327" s="2">
        <v>205</v>
      </c>
      <c r="B7327" s="14" t="s">
        <v>327</v>
      </c>
      <c r="C7327" s="14" t="s">
        <v>503</v>
      </c>
      <c r="D7327" s="14" t="s">
        <v>504</v>
      </c>
      <c r="E7327" s="5">
        <v>2020</v>
      </c>
      <c r="F7327" s="5">
        <v>2020</v>
      </c>
      <c r="G7327" s="14" t="s">
        <v>16</v>
      </c>
      <c r="H7327" s="14">
        <v>200</v>
      </c>
      <c r="I7327" s="14">
        <v>200</v>
      </c>
      <c r="J7327" s="14"/>
      <c r="K7327" s="10"/>
      <c r="L7327" s="2" t="s">
        <v>330</v>
      </c>
      <c r="M7327" s="36" t="str">
        <f t="shared" si="114"/>
        <v>19860305</v>
      </c>
    </row>
    <row r="7328" s="1" customFormat="1" spans="1:13">
      <c r="A7328" s="2">
        <v>853</v>
      </c>
      <c r="B7328" s="29" t="s">
        <v>1040</v>
      </c>
      <c r="C7328" s="6" t="s">
        <v>2206</v>
      </c>
      <c r="D7328" s="6" t="s">
        <v>2207</v>
      </c>
      <c r="E7328" s="30">
        <v>2020</v>
      </c>
      <c r="F7328" s="30">
        <v>2020</v>
      </c>
      <c r="G7328" s="29" t="s">
        <v>16</v>
      </c>
      <c r="H7328" s="29">
        <v>200</v>
      </c>
      <c r="I7328" s="29">
        <v>200</v>
      </c>
      <c r="J7328" s="32"/>
      <c r="K7328" s="32"/>
      <c r="L7328" s="2" t="s">
        <v>330</v>
      </c>
      <c r="M7328" s="36" t="str">
        <f t="shared" si="114"/>
        <v>19860310</v>
      </c>
    </row>
    <row r="7329" s="1" customFormat="1" spans="1:13">
      <c r="A7329" s="2">
        <v>5180</v>
      </c>
      <c r="B7329" s="6" t="s">
        <v>10242</v>
      </c>
      <c r="C7329" s="9" t="s">
        <v>10483</v>
      </c>
      <c r="D7329" s="9" t="s">
        <v>10484</v>
      </c>
      <c r="E7329" s="5" t="s">
        <v>10250</v>
      </c>
      <c r="F7329" s="5">
        <v>2020</v>
      </c>
      <c r="G7329" s="6" t="s">
        <v>16</v>
      </c>
      <c r="H7329" s="6">
        <v>200</v>
      </c>
      <c r="I7329" s="6">
        <v>200</v>
      </c>
      <c r="J7329" s="6"/>
      <c r="K7329" s="5"/>
      <c r="L7329" s="10">
        <v>20201118</v>
      </c>
      <c r="M7329" s="36" t="str">
        <f t="shared" si="114"/>
        <v>19860310</v>
      </c>
    </row>
    <row r="7330" s="1" customFormat="1" spans="1:13">
      <c r="A7330" s="2">
        <v>6764</v>
      </c>
      <c r="B7330" s="5" t="s">
        <v>13027</v>
      </c>
      <c r="C7330" s="15" t="s">
        <v>13492</v>
      </c>
      <c r="D7330" s="15" t="s">
        <v>13493</v>
      </c>
      <c r="E7330" s="5">
        <v>2020</v>
      </c>
      <c r="F7330" s="5">
        <v>2020</v>
      </c>
      <c r="G7330" s="14" t="s">
        <v>16</v>
      </c>
      <c r="H7330" s="15">
        <v>200</v>
      </c>
      <c r="I7330" s="15">
        <v>200</v>
      </c>
      <c r="J7330" s="5"/>
      <c r="K7330" s="10"/>
      <c r="L7330" s="10">
        <v>20201118</v>
      </c>
      <c r="M7330" s="36" t="str">
        <f t="shared" si="114"/>
        <v>19860310</v>
      </c>
    </row>
    <row r="7331" s="1" customFormat="1" spans="1:13">
      <c r="A7331" s="2">
        <v>343</v>
      </c>
      <c r="B7331" s="14" t="s">
        <v>327</v>
      </c>
      <c r="C7331" s="17" t="s">
        <v>917</v>
      </c>
      <c r="D7331" s="306" t="s">
        <v>918</v>
      </c>
      <c r="E7331" s="5">
        <v>2020</v>
      </c>
      <c r="F7331" s="5">
        <v>2020</v>
      </c>
      <c r="G7331" s="14" t="s">
        <v>16</v>
      </c>
      <c r="H7331" s="17">
        <v>200</v>
      </c>
      <c r="I7331" s="17">
        <v>200</v>
      </c>
      <c r="J7331" s="17"/>
      <c r="K7331" s="10"/>
      <c r="L7331" s="2" t="s">
        <v>330</v>
      </c>
      <c r="M7331" s="36" t="str">
        <f t="shared" si="114"/>
        <v>19860312</v>
      </c>
    </row>
    <row r="7332" s="1" customFormat="1" spans="1:13">
      <c r="A7332" s="2">
        <v>4807</v>
      </c>
      <c r="B7332" s="6" t="s">
        <v>9015</v>
      </c>
      <c r="C7332" s="6" t="s">
        <v>9762</v>
      </c>
      <c r="D7332" s="6" t="s">
        <v>9763</v>
      </c>
      <c r="E7332" s="6">
        <v>2020</v>
      </c>
      <c r="F7332" s="6">
        <v>2020</v>
      </c>
      <c r="G7332" s="6" t="s">
        <v>16</v>
      </c>
      <c r="H7332" s="6">
        <v>200</v>
      </c>
      <c r="I7332" s="6">
        <v>200</v>
      </c>
      <c r="J7332" s="6"/>
      <c r="K7332" s="6"/>
      <c r="L7332" s="10">
        <v>20201118</v>
      </c>
      <c r="M7332" s="36" t="str">
        <f t="shared" si="114"/>
        <v>19860312</v>
      </c>
    </row>
    <row r="7333" s="1" customFormat="1" spans="1:13">
      <c r="A7333" s="2">
        <v>7846</v>
      </c>
      <c r="B7333" s="5" t="s">
        <v>15086</v>
      </c>
      <c r="C7333" s="6" t="s">
        <v>15117</v>
      </c>
      <c r="D7333" s="6" t="str">
        <f>"152326198603166888"</f>
        <v>152326198603166888</v>
      </c>
      <c r="E7333" s="5" t="s">
        <v>15</v>
      </c>
      <c r="F7333" s="5">
        <v>2020</v>
      </c>
      <c r="G7333" s="5" t="s">
        <v>16</v>
      </c>
      <c r="H7333" s="5">
        <v>200</v>
      </c>
      <c r="I7333" s="5">
        <v>200</v>
      </c>
      <c r="J7333" s="5"/>
      <c r="K7333" s="5"/>
      <c r="L7333" s="10">
        <v>20201118</v>
      </c>
      <c r="M7333" s="36" t="str">
        <f t="shared" si="114"/>
        <v>19860316</v>
      </c>
    </row>
    <row r="7334" s="1" customFormat="1" spans="1:13">
      <c r="A7334" s="2">
        <v>4842</v>
      </c>
      <c r="B7334" s="6" t="s">
        <v>9015</v>
      </c>
      <c r="C7334" s="6" t="s">
        <v>8901</v>
      </c>
      <c r="D7334" s="293" t="s">
        <v>9829</v>
      </c>
      <c r="E7334" s="6">
        <v>2020</v>
      </c>
      <c r="F7334" s="6">
        <v>2020</v>
      </c>
      <c r="G7334" s="6" t="s">
        <v>16</v>
      </c>
      <c r="H7334" s="6">
        <v>200</v>
      </c>
      <c r="I7334" s="6">
        <v>200</v>
      </c>
      <c r="J7334" s="6"/>
      <c r="K7334" s="6"/>
      <c r="L7334" s="10">
        <v>20201118</v>
      </c>
      <c r="M7334" s="36" t="str">
        <f t="shared" si="114"/>
        <v>19860318</v>
      </c>
    </row>
    <row r="7335" s="1" customFormat="1" spans="1:13">
      <c r="A7335" s="2">
        <v>448</v>
      </c>
      <c r="B7335" s="29" t="s">
        <v>1040</v>
      </c>
      <c r="C7335" s="29" t="s">
        <v>1172</v>
      </c>
      <c r="D7335" s="29" t="s">
        <v>1173</v>
      </c>
      <c r="E7335" s="30">
        <v>2020</v>
      </c>
      <c r="F7335" s="30">
        <v>2020</v>
      </c>
      <c r="G7335" s="29" t="s">
        <v>16</v>
      </c>
      <c r="H7335" s="29">
        <v>200</v>
      </c>
      <c r="I7335" s="29">
        <v>200</v>
      </c>
      <c r="J7335" s="29"/>
      <c r="K7335" s="47"/>
      <c r="L7335" s="2" t="s">
        <v>330</v>
      </c>
      <c r="M7335" s="36" t="str">
        <f t="shared" si="114"/>
        <v>19860319</v>
      </c>
    </row>
    <row r="7336" s="1" customFormat="1" spans="1:13">
      <c r="A7336" s="2">
        <v>1309</v>
      </c>
      <c r="B7336" s="5" t="s">
        <v>2469</v>
      </c>
      <c r="C7336" s="9" t="s">
        <v>3198</v>
      </c>
      <c r="D7336" s="9" t="s">
        <v>3199</v>
      </c>
      <c r="E7336" s="5">
        <v>2020</v>
      </c>
      <c r="F7336" s="5">
        <v>2020</v>
      </c>
      <c r="G7336" s="9" t="s">
        <v>2480</v>
      </c>
      <c r="H7336" s="9">
        <v>200</v>
      </c>
      <c r="I7336" s="9">
        <v>200</v>
      </c>
      <c r="J7336" s="5"/>
      <c r="K7336" s="5"/>
      <c r="L7336" s="10">
        <v>20201118</v>
      </c>
      <c r="M7336" s="36" t="str">
        <f t="shared" si="114"/>
        <v>19860322</v>
      </c>
    </row>
    <row r="7337" s="1" customFormat="1" spans="1:13">
      <c r="A7337" s="2">
        <v>5560</v>
      </c>
      <c r="B7337" s="30" t="s">
        <v>11090</v>
      </c>
      <c r="C7337" s="30" t="s">
        <v>11215</v>
      </c>
      <c r="D7337" s="30" t="s">
        <v>11216</v>
      </c>
      <c r="E7337" s="5" t="s">
        <v>15</v>
      </c>
      <c r="F7337" s="5" t="s">
        <v>10250</v>
      </c>
      <c r="G7337" s="6" t="s">
        <v>16</v>
      </c>
      <c r="H7337" s="32">
        <v>200</v>
      </c>
      <c r="I7337" s="32">
        <v>200</v>
      </c>
      <c r="J7337" s="6"/>
      <c r="K7337" s="48"/>
      <c r="L7337" s="10">
        <v>20201118</v>
      </c>
      <c r="M7337" s="36" t="str">
        <f t="shared" si="114"/>
        <v>19860322</v>
      </c>
    </row>
    <row r="7338" s="1" customFormat="1" spans="1:13">
      <c r="A7338" s="2">
        <v>2515</v>
      </c>
      <c r="B7338" s="5" t="s">
        <v>5328</v>
      </c>
      <c r="C7338" s="16" t="s">
        <v>5564</v>
      </c>
      <c r="D7338" s="16" t="s">
        <v>5565</v>
      </c>
      <c r="E7338" s="5" t="s">
        <v>15</v>
      </c>
      <c r="F7338" s="5" t="s">
        <v>15</v>
      </c>
      <c r="G7338" s="14" t="s">
        <v>16</v>
      </c>
      <c r="H7338" s="6">
        <v>200</v>
      </c>
      <c r="I7338" s="6">
        <v>200</v>
      </c>
      <c r="J7338" s="5"/>
      <c r="K7338" s="5"/>
      <c r="L7338" s="10">
        <v>20201118</v>
      </c>
      <c r="M7338" s="36" t="str">
        <f t="shared" si="114"/>
        <v>19860325</v>
      </c>
    </row>
    <row r="7339" s="1" customFormat="1" spans="1:13">
      <c r="A7339" s="2">
        <v>1405</v>
      </c>
      <c r="B7339" s="5" t="s">
        <v>2469</v>
      </c>
      <c r="C7339" s="9" t="s">
        <v>3372</v>
      </c>
      <c r="D7339" s="5" t="s">
        <v>3373</v>
      </c>
      <c r="E7339" s="5">
        <v>2020</v>
      </c>
      <c r="F7339" s="5">
        <v>2020</v>
      </c>
      <c r="G7339" s="9" t="s">
        <v>2480</v>
      </c>
      <c r="H7339" s="9">
        <v>200</v>
      </c>
      <c r="I7339" s="5">
        <v>200</v>
      </c>
      <c r="J7339" s="5"/>
      <c r="K7339" s="5"/>
      <c r="L7339" s="10">
        <v>20201118</v>
      </c>
      <c r="M7339" s="36" t="str">
        <f t="shared" si="114"/>
        <v>19860327</v>
      </c>
    </row>
    <row r="7340" s="1" customFormat="1" spans="1:13">
      <c r="A7340" s="2">
        <v>6377</v>
      </c>
      <c r="B7340" s="5" t="s">
        <v>12263</v>
      </c>
      <c r="C7340" s="5" t="s">
        <v>12767</v>
      </c>
      <c r="D7340" s="5" t="s">
        <v>12768</v>
      </c>
      <c r="E7340" s="5" t="s">
        <v>10250</v>
      </c>
      <c r="F7340" s="5">
        <v>2020</v>
      </c>
      <c r="G7340" s="17" t="s">
        <v>3359</v>
      </c>
      <c r="H7340" s="5" t="s">
        <v>311</v>
      </c>
      <c r="I7340" s="5">
        <v>200</v>
      </c>
      <c r="J7340" s="5"/>
      <c r="K7340" s="5"/>
      <c r="L7340" s="10">
        <v>20201118</v>
      </c>
      <c r="M7340" s="36" t="str">
        <f t="shared" si="114"/>
        <v>19860401</v>
      </c>
    </row>
    <row r="7341" s="1" customFormat="1" spans="1:13">
      <c r="A7341" s="2">
        <v>906</v>
      </c>
      <c r="B7341" s="29" t="s">
        <v>1040</v>
      </c>
      <c r="C7341" s="6" t="s">
        <v>2365</v>
      </c>
      <c r="D7341" s="6" t="s">
        <v>2366</v>
      </c>
      <c r="E7341" s="30">
        <v>2020</v>
      </c>
      <c r="F7341" s="30">
        <v>2020</v>
      </c>
      <c r="G7341" s="29" t="s">
        <v>16</v>
      </c>
      <c r="H7341" s="6">
        <v>500</v>
      </c>
      <c r="I7341" s="6">
        <v>500</v>
      </c>
      <c r="J7341" s="32"/>
      <c r="K7341" s="32"/>
      <c r="L7341" s="14" t="s">
        <v>330</v>
      </c>
      <c r="M7341" s="36" t="str">
        <f t="shared" si="114"/>
        <v>19860402</v>
      </c>
    </row>
    <row r="7342" s="1" customFormat="1" spans="1:13">
      <c r="A7342" s="2">
        <v>3287</v>
      </c>
      <c r="B7342" s="5" t="s">
        <v>3375</v>
      </c>
      <c r="C7342" s="6" t="s">
        <v>7061</v>
      </c>
      <c r="D7342" s="6" t="str">
        <f>"152326198604056875"</f>
        <v>152326198604056875</v>
      </c>
      <c r="E7342" s="5" t="s">
        <v>15</v>
      </c>
      <c r="F7342" s="5">
        <v>2020</v>
      </c>
      <c r="G7342" s="14" t="s">
        <v>16</v>
      </c>
      <c r="H7342" s="17">
        <v>200</v>
      </c>
      <c r="I7342" s="17">
        <v>200</v>
      </c>
      <c r="J7342" s="6"/>
      <c r="K7342" s="10"/>
      <c r="L7342" s="10">
        <v>20201118</v>
      </c>
      <c r="M7342" s="36" t="str">
        <f t="shared" si="114"/>
        <v>19860405</v>
      </c>
    </row>
    <row r="7343" s="1" customFormat="1" spans="1:13">
      <c r="A7343" s="2">
        <v>2732</v>
      </c>
      <c r="B7343" s="32" t="s">
        <v>5602</v>
      </c>
      <c r="C7343" s="9" t="s">
        <v>5994</v>
      </c>
      <c r="D7343" s="9" t="s">
        <v>5995</v>
      </c>
      <c r="E7343" s="32">
        <v>2020</v>
      </c>
      <c r="F7343" s="32">
        <v>2020</v>
      </c>
      <c r="G7343" s="32" t="s">
        <v>16</v>
      </c>
      <c r="H7343" s="9">
        <v>200</v>
      </c>
      <c r="I7343" s="9">
        <v>200</v>
      </c>
      <c r="J7343" s="32"/>
      <c r="K7343" s="52"/>
      <c r="L7343" s="10">
        <v>20201118</v>
      </c>
      <c r="M7343" s="36" t="str">
        <f t="shared" si="114"/>
        <v>19860408</v>
      </c>
    </row>
    <row r="7344" s="1" customFormat="1" ht="14.25" spans="1:13">
      <c r="A7344" s="2">
        <v>5458</v>
      </c>
      <c r="B7344" s="33" t="s">
        <v>10535</v>
      </c>
      <c r="C7344" s="34" t="s">
        <v>11014</v>
      </c>
      <c r="D7344" s="34" t="s">
        <v>11015</v>
      </c>
      <c r="E7344" s="35">
        <v>2020</v>
      </c>
      <c r="F7344" s="35">
        <v>2020</v>
      </c>
      <c r="G7344" s="35" t="s">
        <v>16</v>
      </c>
      <c r="H7344" s="34">
        <v>200</v>
      </c>
      <c r="I7344" s="34">
        <v>200</v>
      </c>
      <c r="J7344" s="49"/>
      <c r="K7344" s="10"/>
      <c r="L7344" s="10">
        <v>20201118</v>
      </c>
      <c r="M7344" s="36" t="str">
        <f t="shared" si="114"/>
        <v>19860412</v>
      </c>
    </row>
    <row r="7345" s="1" customFormat="1" spans="1:13">
      <c r="A7345" s="2">
        <v>910</v>
      </c>
      <c r="B7345" s="29" t="s">
        <v>1040</v>
      </c>
      <c r="C7345" s="6" t="s">
        <v>2377</v>
      </c>
      <c r="D7345" s="6" t="s">
        <v>2378</v>
      </c>
      <c r="E7345" s="30">
        <v>2020</v>
      </c>
      <c r="F7345" s="30">
        <v>2020</v>
      </c>
      <c r="G7345" s="29" t="s">
        <v>16</v>
      </c>
      <c r="H7345" s="6">
        <v>300</v>
      </c>
      <c r="I7345" s="6">
        <v>300</v>
      </c>
      <c r="J7345" s="32"/>
      <c r="K7345" s="32"/>
      <c r="L7345" s="2" t="s">
        <v>330</v>
      </c>
      <c r="M7345" s="36" t="str">
        <f t="shared" si="114"/>
        <v>19860418</v>
      </c>
    </row>
    <row r="7346" s="1" customFormat="1" spans="1:13">
      <c r="A7346" s="2">
        <v>2357</v>
      </c>
      <c r="B7346" s="9" t="s">
        <v>4837</v>
      </c>
      <c r="C7346" s="9" t="s">
        <v>5253</v>
      </c>
      <c r="D7346" s="9" t="s">
        <v>5254</v>
      </c>
      <c r="E7346" s="6" t="s">
        <v>15</v>
      </c>
      <c r="F7346" s="6">
        <v>2020</v>
      </c>
      <c r="G7346" s="9" t="s">
        <v>2480</v>
      </c>
      <c r="H7346" s="9">
        <v>200</v>
      </c>
      <c r="I7346" s="9">
        <v>200</v>
      </c>
      <c r="J7346" s="6"/>
      <c r="K7346" s="10"/>
      <c r="L7346" s="10">
        <v>20201118</v>
      </c>
      <c r="M7346" s="36" t="str">
        <f t="shared" si="114"/>
        <v>19860419</v>
      </c>
    </row>
    <row r="7347" s="1" customFormat="1" spans="1:13">
      <c r="A7347" s="2">
        <v>2358</v>
      </c>
      <c r="B7347" s="9" t="s">
        <v>4837</v>
      </c>
      <c r="C7347" s="9" t="s">
        <v>5255</v>
      </c>
      <c r="D7347" s="9" t="s">
        <v>5256</v>
      </c>
      <c r="E7347" s="6" t="s">
        <v>15</v>
      </c>
      <c r="F7347" s="6">
        <v>2020</v>
      </c>
      <c r="G7347" s="9" t="s">
        <v>2480</v>
      </c>
      <c r="H7347" s="9">
        <v>200</v>
      </c>
      <c r="I7347" s="9">
        <v>200</v>
      </c>
      <c r="J7347" s="6"/>
      <c r="K7347" s="10"/>
      <c r="L7347" s="10">
        <v>20201118</v>
      </c>
      <c r="M7347" s="36" t="str">
        <f t="shared" si="114"/>
        <v>19860423</v>
      </c>
    </row>
    <row r="7348" s="1" customFormat="1" spans="1:13">
      <c r="A7348" s="2">
        <v>2061</v>
      </c>
      <c r="B7348" s="5" t="s">
        <v>4189</v>
      </c>
      <c r="C7348" s="16" t="s">
        <v>4676</v>
      </c>
      <c r="D7348" s="16" t="s">
        <v>4677</v>
      </c>
      <c r="E7348" s="5" t="s">
        <v>15</v>
      </c>
      <c r="F7348" s="5" t="s">
        <v>15</v>
      </c>
      <c r="G7348" s="5" t="s">
        <v>3359</v>
      </c>
      <c r="H7348" s="16">
        <v>200</v>
      </c>
      <c r="I7348" s="16">
        <v>200</v>
      </c>
      <c r="J7348" s="5"/>
      <c r="K7348" s="10"/>
      <c r="L7348" s="10">
        <v>20201118</v>
      </c>
      <c r="M7348" s="36" t="str">
        <f t="shared" si="114"/>
        <v>19860424</v>
      </c>
    </row>
    <row r="7349" s="1" customFormat="1" spans="1:13">
      <c r="A7349" s="2">
        <v>1310</v>
      </c>
      <c r="B7349" s="5" t="s">
        <v>2469</v>
      </c>
      <c r="C7349" s="9" t="s">
        <v>3200</v>
      </c>
      <c r="D7349" s="9" t="s">
        <v>3201</v>
      </c>
      <c r="E7349" s="5">
        <v>2020</v>
      </c>
      <c r="F7349" s="5">
        <v>2020</v>
      </c>
      <c r="G7349" s="9" t="s">
        <v>2480</v>
      </c>
      <c r="H7349" s="9">
        <v>200</v>
      </c>
      <c r="I7349" s="9">
        <v>200</v>
      </c>
      <c r="J7349" s="5"/>
      <c r="K7349" s="5"/>
      <c r="L7349" s="10">
        <v>20201118</v>
      </c>
      <c r="M7349" s="36" t="str">
        <f t="shared" si="114"/>
        <v>19860505</v>
      </c>
    </row>
    <row r="7350" s="1" customFormat="1" spans="1:13">
      <c r="A7350" s="2">
        <v>2062</v>
      </c>
      <c r="B7350" s="5" t="s">
        <v>4189</v>
      </c>
      <c r="C7350" s="16" t="s">
        <v>4678</v>
      </c>
      <c r="D7350" s="16" t="s">
        <v>4679</v>
      </c>
      <c r="E7350" s="5" t="s">
        <v>15</v>
      </c>
      <c r="F7350" s="5" t="s">
        <v>15</v>
      </c>
      <c r="G7350" s="5" t="s">
        <v>3359</v>
      </c>
      <c r="H7350" s="16">
        <v>200</v>
      </c>
      <c r="I7350" s="16">
        <v>200</v>
      </c>
      <c r="J7350" s="5"/>
      <c r="K7350" s="10"/>
      <c r="L7350" s="10">
        <v>20201118</v>
      </c>
      <c r="M7350" s="36" t="str">
        <f t="shared" si="114"/>
        <v>19860508</v>
      </c>
    </row>
    <row r="7351" s="1" customFormat="1" spans="1:13">
      <c r="A7351" s="2">
        <v>4087</v>
      </c>
      <c r="B7351" s="5" t="s">
        <v>7412</v>
      </c>
      <c r="C7351" s="5" t="s">
        <v>8385</v>
      </c>
      <c r="D7351" s="5" t="s">
        <v>8386</v>
      </c>
      <c r="E7351" s="6">
        <v>2020</v>
      </c>
      <c r="F7351" s="6">
        <v>2020</v>
      </c>
      <c r="G7351" s="5" t="s">
        <v>3359</v>
      </c>
      <c r="H7351" s="5">
        <v>200</v>
      </c>
      <c r="I7351" s="5">
        <v>200</v>
      </c>
      <c r="J7351" s="5"/>
      <c r="K7351" s="5"/>
      <c r="L7351" s="10">
        <v>20201118</v>
      </c>
      <c r="M7351" s="36" t="str">
        <f t="shared" si="114"/>
        <v>19860518</v>
      </c>
    </row>
    <row r="7352" s="1" customFormat="1" spans="1:13">
      <c r="A7352" s="2">
        <v>1311</v>
      </c>
      <c r="B7352" s="5" t="s">
        <v>2469</v>
      </c>
      <c r="C7352" s="9" t="s">
        <v>3202</v>
      </c>
      <c r="D7352" s="9" t="s">
        <v>3203</v>
      </c>
      <c r="E7352" s="5">
        <v>2020</v>
      </c>
      <c r="F7352" s="5">
        <v>2020</v>
      </c>
      <c r="G7352" s="9" t="s">
        <v>2480</v>
      </c>
      <c r="H7352" s="9">
        <v>200</v>
      </c>
      <c r="I7352" s="9">
        <v>200</v>
      </c>
      <c r="J7352" s="5"/>
      <c r="K7352" s="5"/>
      <c r="L7352" s="10">
        <v>20201118</v>
      </c>
      <c r="M7352" s="36" t="str">
        <f t="shared" si="114"/>
        <v>19860521</v>
      </c>
    </row>
    <row r="7353" s="1" customFormat="1" spans="1:13">
      <c r="A7353" s="2">
        <v>6765</v>
      </c>
      <c r="B7353" s="5" t="s">
        <v>13027</v>
      </c>
      <c r="C7353" s="15" t="s">
        <v>13494</v>
      </c>
      <c r="D7353" s="15" t="s">
        <v>13495</v>
      </c>
      <c r="E7353" s="5">
        <v>2020</v>
      </c>
      <c r="F7353" s="5">
        <v>2020</v>
      </c>
      <c r="G7353" s="14" t="s">
        <v>16</v>
      </c>
      <c r="H7353" s="15">
        <v>200</v>
      </c>
      <c r="I7353" s="15">
        <v>200</v>
      </c>
      <c r="J7353" s="5"/>
      <c r="K7353" s="10"/>
      <c r="L7353" s="10">
        <v>20201118</v>
      </c>
      <c r="M7353" s="36" t="str">
        <f t="shared" si="114"/>
        <v>19860523</v>
      </c>
    </row>
    <row r="7354" s="1" customFormat="1" spans="1:13">
      <c r="A7354" s="2">
        <v>1833</v>
      </c>
      <c r="B7354" s="5" t="s">
        <v>4189</v>
      </c>
      <c r="C7354" s="16" t="s">
        <v>4231</v>
      </c>
      <c r="D7354" s="16" t="s">
        <v>4232</v>
      </c>
      <c r="E7354" s="5" t="s">
        <v>15</v>
      </c>
      <c r="F7354" s="5" t="s">
        <v>15</v>
      </c>
      <c r="G7354" s="5" t="s">
        <v>3359</v>
      </c>
      <c r="H7354" s="16">
        <v>200</v>
      </c>
      <c r="I7354" s="16">
        <v>200</v>
      </c>
      <c r="J7354" s="5"/>
      <c r="K7354" s="10"/>
      <c r="L7354" s="10">
        <v>20201118</v>
      </c>
      <c r="M7354" s="36" t="str">
        <f t="shared" si="114"/>
        <v>19860530</v>
      </c>
    </row>
    <row r="7355" s="1" customFormat="1" spans="1:13">
      <c r="A7355" s="2">
        <v>1865</v>
      </c>
      <c r="B7355" s="5" t="s">
        <v>4189</v>
      </c>
      <c r="C7355" s="16" t="s">
        <v>4294</v>
      </c>
      <c r="D7355" s="16" t="s">
        <v>4295</v>
      </c>
      <c r="E7355" s="5" t="s">
        <v>15</v>
      </c>
      <c r="F7355" s="5" t="s">
        <v>15</v>
      </c>
      <c r="G7355" s="5" t="s">
        <v>3359</v>
      </c>
      <c r="H7355" s="16">
        <v>300</v>
      </c>
      <c r="I7355" s="16">
        <v>300</v>
      </c>
      <c r="J7355" s="5"/>
      <c r="K7355" s="10"/>
      <c r="L7355" s="10">
        <v>20201118</v>
      </c>
      <c r="M7355" s="36" t="str">
        <f t="shared" si="114"/>
        <v>19860602</v>
      </c>
    </row>
    <row r="7356" s="1" customFormat="1" spans="1:13">
      <c r="A7356" s="2">
        <v>5542</v>
      </c>
      <c r="B7356" s="30" t="s">
        <v>11090</v>
      </c>
      <c r="C7356" s="30" t="s">
        <v>11180</v>
      </c>
      <c r="D7356" s="30" t="s">
        <v>11181</v>
      </c>
      <c r="E7356" s="5" t="s">
        <v>15</v>
      </c>
      <c r="F7356" s="5" t="s">
        <v>10250</v>
      </c>
      <c r="G7356" s="6" t="s">
        <v>16</v>
      </c>
      <c r="H7356" s="32">
        <v>200</v>
      </c>
      <c r="I7356" s="32">
        <v>200</v>
      </c>
      <c r="J7356" s="6" t="s">
        <v>6097</v>
      </c>
      <c r="K7356" s="48"/>
      <c r="L7356" s="10">
        <v>20201118</v>
      </c>
      <c r="M7356" s="36" t="str">
        <f t="shared" si="114"/>
        <v>19860606</v>
      </c>
    </row>
    <row r="7357" s="1" customFormat="1" ht="14.25" spans="1:13">
      <c r="A7357" s="2">
        <v>5970</v>
      </c>
      <c r="B7357" s="30" t="s">
        <v>11090</v>
      </c>
      <c r="C7357" s="32" t="s">
        <v>11987</v>
      </c>
      <c r="D7357" s="12" t="s">
        <v>11988</v>
      </c>
      <c r="E7357" s="5" t="s">
        <v>15</v>
      </c>
      <c r="F7357" s="5" t="s">
        <v>10250</v>
      </c>
      <c r="G7357" s="6" t="s">
        <v>16</v>
      </c>
      <c r="H7357" s="32">
        <v>200</v>
      </c>
      <c r="I7357" s="32">
        <v>200</v>
      </c>
      <c r="J7357" s="6"/>
      <c r="K7357" s="48"/>
      <c r="L7357" s="10">
        <v>20201118</v>
      </c>
      <c r="M7357" s="36" t="str">
        <f t="shared" si="114"/>
        <v>19860611</v>
      </c>
    </row>
    <row r="7358" s="1" customFormat="1" spans="1:13">
      <c r="A7358" s="2">
        <v>813</v>
      </c>
      <c r="B7358" s="29" t="s">
        <v>1040</v>
      </c>
      <c r="C7358" s="5" t="s">
        <v>2089</v>
      </c>
      <c r="D7358" s="317" t="s">
        <v>2090</v>
      </c>
      <c r="E7358" s="30">
        <v>2020</v>
      </c>
      <c r="F7358" s="30">
        <v>2020</v>
      </c>
      <c r="G7358" s="29" t="s">
        <v>16</v>
      </c>
      <c r="H7358" s="29">
        <v>200</v>
      </c>
      <c r="I7358" s="29">
        <v>200</v>
      </c>
      <c r="J7358" s="32"/>
      <c r="K7358" s="32"/>
      <c r="L7358" s="14" t="s">
        <v>330</v>
      </c>
      <c r="M7358" s="36" t="str">
        <f t="shared" si="114"/>
        <v>19860613</v>
      </c>
    </row>
    <row r="7359" s="1" customFormat="1" spans="1:13">
      <c r="A7359" s="2">
        <v>4796</v>
      </c>
      <c r="B7359" s="6" t="s">
        <v>9015</v>
      </c>
      <c r="C7359" s="6" t="s">
        <v>9742</v>
      </c>
      <c r="D7359" s="6" t="s">
        <v>9743</v>
      </c>
      <c r="E7359" s="6">
        <v>2020</v>
      </c>
      <c r="F7359" s="6">
        <v>2020</v>
      </c>
      <c r="G7359" s="6" t="s">
        <v>16</v>
      </c>
      <c r="H7359" s="6">
        <v>200</v>
      </c>
      <c r="I7359" s="6">
        <v>200</v>
      </c>
      <c r="J7359" s="6"/>
      <c r="K7359" s="6"/>
      <c r="L7359" s="10">
        <v>20201118</v>
      </c>
      <c r="M7359" s="36" t="str">
        <f t="shared" si="114"/>
        <v>19860619</v>
      </c>
    </row>
    <row r="7360" s="1" customFormat="1" spans="1:13">
      <c r="A7360" s="2">
        <v>7074</v>
      </c>
      <c r="B7360" s="5" t="s">
        <v>13533</v>
      </c>
      <c r="C7360" s="32" t="s">
        <v>13819</v>
      </c>
      <c r="D7360" s="32" t="s">
        <v>13820</v>
      </c>
      <c r="E7360" s="5">
        <v>2020</v>
      </c>
      <c r="F7360" s="5">
        <v>2020</v>
      </c>
      <c r="G7360" s="9" t="s">
        <v>2480</v>
      </c>
      <c r="H7360" s="32">
        <v>200</v>
      </c>
      <c r="I7360" s="32">
        <v>200</v>
      </c>
      <c r="J7360" s="62"/>
      <c r="K7360" s="10"/>
      <c r="L7360" s="10">
        <v>20201118</v>
      </c>
      <c r="M7360" s="36" t="str">
        <f t="shared" si="114"/>
        <v>19860619</v>
      </c>
    </row>
    <row r="7361" s="1" customFormat="1" spans="1:13">
      <c r="A7361" s="2">
        <v>4088</v>
      </c>
      <c r="B7361" s="5" t="s">
        <v>7412</v>
      </c>
      <c r="C7361" s="5" t="s">
        <v>8387</v>
      </c>
      <c r="D7361" s="5" t="s">
        <v>8388</v>
      </c>
      <c r="E7361" s="6">
        <v>2020</v>
      </c>
      <c r="F7361" s="6">
        <v>2020</v>
      </c>
      <c r="G7361" s="5" t="s">
        <v>3359</v>
      </c>
      <c r="H7361" s="5">
        <v>200</v>
      </c>
      <c r="I7361" s="5">
        <v>200</v>
      </c>
      <c r="J7361" s="5"/>
      <c r="K7361" s="5"/>
      <c r="L7361" s="10">
        <v>20201118</v>
      </c>
      <c r="M7361" s="36" t="str">
        <f t="shared" si="114"/>
        <v>19860622</v>
      </c>
    </row>
    <row r="7362" s="1" customFormat="1" ht="14.25" spans="1:13">
      <c r="A7362" s="2">
        <v>5459</v>
      </c>
      <c r="B7362" s="33" t="s">
        <v>10535</v>
      </c>
      <c r="C7362" s="34" t="s">
        <v>11016</v>
      </c>
      <c r="D7362" s="34" t="s">
        <v>11017</v>
      </c>
      <c r="E7362" s="35">
        <v>2020</v>
      </c>
      <c r="F7362" s="35">
        <v>2020</v>
      </c>
      <c r="G7362" s="35" t="s">
        <v>16</v>
      </c>
      <c r="H7362" s="34">
        <v>200</v>
      </c>
      <c r="I7362" s="34">
        <v>200</v>
      </c>
      <c r="J7362" s="49"/>
      <c r="K7362" s="10"/>
      <c r="L7362" s="10">
        <v>20201118</v>
      </c>
      <c r="M7362" s="36" t="str">
        <f t="shared" ref="M7362:M7425" si="115">MID(D7362,7,8)</f>
        <v>19860624</v>
      </c>
    </row>
    <row r="7363" s="1" customFormat="1" spans="1:13">
      <c r="A7363" s="2">
        <v>7430</v>
      </c>
      <c r="B7363" s="62" t="s">
        <v>14402</v>
      </c>
      <c r="C7363" s="62" t="s">
        <v>5345</v>
      </c>
      <c r="D7363" s="62" t="s">
        <v>14482</v>
      </c>
      <c r="E7363" s="62">
        <v>2020</v>
      </c>
      <c r="F7363" s="62">
        <v>2020</v>
      </c>
      <c r="G7363" s="3" t="s">
        <v>16</v>
      </c>
      <c r="H7363" s="62">
        <v>200</v>
      </c>
      <c r="I7363" s="62">
        <v>200</v>
      </c>
      <c r="J7363" s="62"/>
      <c r="K7363" s="10"/>
      <c r="L7363" s="10">
        <v>20201118</v>
      </c>
      <c r="M7363" s="36" t="str">
        <f t="shared" si="115"/>
        <v>19860625</v>
      </c>
    </row>
    <row r="7364" s="1" customFormat="1" ht="14.25" spans="1:13">
      <c r="A7364" s="2">
        <v>5958</v>
      </c>
      <c r="B7364" s="30" t="s">
        <v>11090</v>
      </c>
      <c r="C7364" s="32" t="s">
        <v>11963</v>
      </c>
      <c r="D7364" s="12" t="s">
        <v>11964</v>
      </c>
      <c r="E7364" s="5" t="s">
        <v>15</v>
      </c>
      <c r="F7364" s="5" t="s">
        <v>10250</v>
      </c>
      <c r="G7364" s="6" t="s">
        <v>16</v>
      </c>
      <c r="H7364" s="32">
        <v>200</v>
      </c>
      <c r="I7364" s="32">
        <v>200</v>
      </c>
      <c r="J7364" s="6" t="s">
        <v>11317</v>
      </c>
      <c r="K7364" s="48"/>
      <c r="L7364" s="10">
        <v>20201118</v>
      </c>
      <c r="M7364" s="36" t="str">
        <f t="shared" si="115"/>
        <v>19860704</v>
      </c>
    </row>
    <row r="7365" s="1" customFormat="1" spans="1:13">
      <c r="A7365" s="2">
        <v>2031</v>
      </c>
      <c r="B7365" s="5" t="s">
        <v>4189</v>
      </c>
      <c r="C7365" s="16" t="s">
        <v>4618</v>
      </c>
      <c r="D7365" s="16" t="s">
        <v>4619</v>
      </c>
      <c r="E7365" s="5" t="s">
        <v>15</v>
      </c>
      <c r="F7365" s="5" t="s">
        <v>15</v>
      </c>
      <c r="G7365" s="5" t="s">
        <v>3359</v>
      </c>
      <c r="H7365" s="16">
        <v>200</v>
      </c>
      <c r="I7365" s="16">
        <v>200</v>
      </c>
      <c r="J7365" s="5"/>
      <c r="K7365" s="10"/>
      <c r="L7365" s="10">
        <v>20201118</v>
      </c>
      <c r="M7365" s="36" t="str">
        <f t="shared" si="115"/>
        <v>19860706</v>
      </c>
    </row>
    <row r="7366" s="1" customFormat="1" spans="1:13">
      <c r="A7366" s="2">
        <v>1312</v>
      </c>
      <c r="B7366" s="5" t="s">
        <v>2469</v>
      </c>
      <c r="C7366" s="9" t="s">
        <v>3204</v>
      </c>
      <c r="D7366" s="9" t="s">
        <v>3205</v>
      </c>
      <c r="E7366" s="5">
        <v>2020</v>
      </c>
      <c r="F7366" s="5">
        <v>2020</v>
      </c>
      <c r="G7366" s="9" t="s">
        <v>2480</v>
      </c>
      <c r="H7366" s="9">
        <v>200</v>
      </c>
      <c r="I7366" s="9">
        <v>200</v>
      </c>
      <c r="J7366" s="5"/>
      <c r="K7366" s="5"/>
      <c r="L7366" s="10">
        <v>20201118</v>
      </c>
      <c r="M7366" s="36" t="str">
        <f t="shared" si="115"/>
        <v>19860710</v>
      </c>
    </row>
    <row r="7367" s="1" customFormat="1" spans="1:13">
      <c r="A7367" s="2">
        <v>2063</v>
      </c>
      <c r="B7367" s="5" t="s">
        <v>4189</v>
      </c>
      <c r="C7367" s="16" t="s">
        <v>4680</v>
      </c>
      <c r="D7367" s="16" t="s">
        <v>4681</v>
      </c>
      <c r="E7367" s="5" t="s">
        <v>15</v>
      </c>
      <c r="F7367" s="5" t="s">
        <v>15</v>
      </c>
      <c r="G7367" s="5" t="s">
        <v>3359</v>
      </c>
      <c r="H7367" s="16">
        <v>500</v>
      </c>
      <c r="I7367" s="16">
        <v>500</v>
      </c>
      <c r="J7367" s="5"/>
      <c r="K7367" s="10"/>
      <c r="L7367" s="10">
        <v>20201118</v>
      </c>
      <c r="M7367" s="36" t="str">
        <f t="shared" si="115"/>
        <v>19860711</v>
      </c>
    </row>
    <row r="7368" s="1" customFormat="1" spans="1:13">
      <c r="A7368" s="2">
        <v>7427</v>
      </c>
      <c r="B7368" s="5" t="s">
        <v>14402</v>
      </c>
      <c r="C7368" s="5" t="s">
        <v>14476</v>
      </c>
      <c r="D7368" s="5" t="s">
        <v>14477</v>
      </c>
      <c r="E7368" s="5">
        <v>2020</v>
      </c>
      <c r="F7368" s="5">
        <v>2020</v>
      </c>
      <c r="G7368" s="17" t="s">
        <v>16</v>
      </c>
      <c r="H7368" s="5">
        <v>200</v>
      </c>
      <c r="I7368" s="5">
        <v>200</v>
      </c>
      <c r="J7368" s="5"/>
      <c r="K7368" s="10"/>
      <c r="L7368" s="10">
        <v>20201118</v>
      </c>
      <c r="M7368" s="36" t="str">
        <f t="shared" si="115"/>
        <v>19860712</v>
      </c>
    </row>
    <row r="7369" s="1" customFormat="1" spans="1:13">
      <c r="A7369" s="2">
        <v>774</v>
      </c>
      <c r="B7369" s="29" t="s">
        <v>1040</v>
      </c>
      <c r="C7369" s="5" t="s">
        <v>1972</v>
      </c>
      <c r="D7369" s="317" t="s">
        <v>1973</v>
      </c>
      <c r="E7369" s="30">
        <v>2020</v>
      </c>
      <c r="F7369" s="30">
        <v>2020</v>
      </c>
      <c r="G7369" s="29" t="s">
        <v>16</v>
      </c>
      <c r="H7369" s="29">
        <v>200</v>
      </c>
      <c r="I7369" s="29">
        <v>200</v>
      </c>
      <c r="J7369" s="32"/>
      <c r="K7369" s="32"/>
      <c r="L7369" s="2" t="s">
        <v>330</v>
      </c>
      <c r="M7369" s="36" t="str">
        <f t="shared" si="115"/>
        <v>19860713</v>
      </c>
    </row>
    <row r="7370" s="1" customFormat="1" spans="1:13">
      <c r="A7370" s="2">
        <v>4841</v>
      </c>
      <c r="B7370" s="6" t="s">
        <v>9015</v>
      </c>
      <c r="C7370" s="6" t="s">
        <v>9827</v>
      </c>
      <c r="D7370" s="293" t="s">
        <v>9828</v>
      </c>
      <c r="E7370" s="6">
        <v>2020</v>
      </c>
      <c r="F7370" s="6">
        <v>2020</v>
      </c>
      <c r="G7370" s="6" t="s">
        <v>16</v>
      </c>
      <c r="H7370" s="6">
        <v>200</v>
      </c>
      <c r="I7370" s="6">
        <v>200</v>
      </c>
      <c r="J7370" s="6"/>
      <c r="K7370" s="6"/>
      <c r="L7370" s="10">
        <v>20201118</v>
      </c>
      <c r="M7370" s="36" t="str">
        <f t="shared" si="115"/>
        <v>19860714</v>
      </c>
    </row>
    <row r="7371" s="1" customFormat="1" spans="1:13">
      <c r="A7371" s="2">
        <v>4808</v>
      </c>
      <c r="B7371" s="6" t="s">
        <v>9015</v>
      </c>
      <c r="C7371" s="6" t="s">
        <v>9764</v>
      </c>
      <c r="D7371" s="6" t="s">
        <v>9765</v>
      </c>
      <c r="E7371" s="6">
        <v>2020</v>
      </c>
      <c r="F7371" s="6">
        <v>2020</v>
      </c>
      <c r="G7371" s="6" t="s">
        <v>16</v>
      </c>
      <c r="H7371" s="6">
        <v>200</v>
      </c>
      <c r="I7371" s="6">
        <v>200</v>
      </c>
      <c r="J7371" s="6"/>
      <c r="K7371" s="6"/>
      <c r="L7371" s="10">
        <v>20201118</v>
      </c>
      <c r="M7371" s="36" t="str">
        <f t="shared" si="115"/>
        <v>19860716</v>
      </c>
    </row>
    <row r="7372" s="1" customFormat="1" ht="14.25" spans="1:13">
      <c r="A7372" s="2">
        <v>5460</v>
      </c>
      <c r="B7372" s="33" t="s">
        <v>10535</v>
      </c>
      <c r="C7372" s="34" t="s">
        <v>11018</v>
      </c>
      <c r="D7372" s="34" t="s">
        <v>11019</v>
      </c>
      <c r="E7372" s="35">
        <v>2020</v>
      </c>
      <c r="F7372" s="35">
        <v>2020</v>
      </c>
      <c r="G7372" s="35" t="s">
        <v>16</v>
      </c>
      <c r="H7372" s="34">
        <v>200</v>
      </c>
      <c r="I7372" s="34">
        <v>200</v>
      </c>
      <c r="J7372" s="49"/>
      <c r="K7372" s="10"/>
      <c r="L7372" s="10">
        <v>20201118</v>
      </c>
      <c r="M7372" s="36" t="str">
        <f t="shared" si="115"/>
        <v>19860717</v>
      </c>
    </row>
    <row r="7373" s="1" customFormat="1" spans="1:13">
      <c r="A7373" s="2">
        <v>1313</v>
      </c>
      <c r="B7373" s="5" t="s">
        <v>2469</v>
      </c>
      <c r="C7373" s="9" t="s">
        <v>3206</v>
      </c>
      <c r="D7373" s="9" t="s">
        <v>3207</v>
      </c>
      <c r="E7373" s="5">
        <v>2020</v>
      </c>
      <c r="F7373" s="5">
        <v>2020</v>
      </c>
      <c r="G7373" s="9" t="s">
        <v>2480</v>
      </c>
      <c r="H7373" s="9">
        <v>200</v>
      </c>
      <c r="I7373" s="9">
        <v>200</v>
      </c>
      <c r="J7373" s="5"/>
      <c r="K7373" s="5"/>
      <c r="L7373" s="10">
        <v>20201118</v>
      </c>
      <c r="M7373" s="36" t="str">
        <f t="shared" si="115"/>
        <v>19860721</v>
      </c>
    </row>
    <row r="7374" s="1" customFormat="1" spans="1:13">
      <c r="A7374" s="2">
        <v>809</v>
      </c>
      <c r="B7374" s="29" t="s">
        <v>1040</v>
      </c>
      <c r="C7374" s="5" t="s">
        <v>2077</v>
      </c>
      <c r="D7374" s="317" t="s">
        <v>2078</v>
      </c>
      <c r="E7374" s="30">
        <v>2020</v>
      </c>
      <c r="F7374" s="30">
        <v>2020</v>
      </c>
      <c r="G7374" s="29" t="s">
        <v>16</v>
      </c>
      <c r="H7374" s="29">
        <v>200</v>
      </c>
      <c r="I7374" s="29">
        <v>200</v>
      </c>
      <c r="J7374" s="32"/>
      <c r="K7374" s="32"/>
      <c r="L7374" s="2" t="s">
        <v>330</v>
      </c>
      <c r="M7374" s="36" t="str">
        <f t="shared" si="115"/>
        <v>19860722</v>
      </c>
    </row>
    <row r="7375" s="1" customFormat="1" spans="1:13">
      <c r="A7375" s="2">
        <v>2733</v>
      </c>
      <c r="B7375" s="32" t="s">
        <v>5602</v>
      </c>
      <c r="C7375" s="9" t="s">
        <v>5996</v>
      </c>
      <c r="D7375" s="9" t="s">
        <v>5997</v>
      </c>
      <c r="E7375" s="32">
        <v>2020</v>
      </c>
      <c r="F7375" s="32">
        <v>2020</v>
      </c>
      <c r="G7375" s="32" t="s">
        <v>16</v>
      </c>
      <c r="H7375" s="9">
        <v>200</v>
      </c>
      <c r="I7375" s="9">
        <v>200</v>
      </c>
      <c r="J7375" s="32"/>
      <c r="K7375" s="52"/>
      <c r="L7375" s="10">
        <v>20201118</v>
      </c>
      <c r="M7375" s="36" t="str">
        <f t="shared" si="115"/>
        <v>19860722</v>
      </c>
    </row>
    <row r="7376" s="1" customFormat="1" spans="1:13">
      <c r="A7376" s="2">
        <v>4089</v>
      </c>
      <c r="B7376" s="5" t="s">
        <v>7412</v>
      </c>
      <c r="C7376" s="5" t="s">
        <v>8389</v>
      </c>
      <c r="D7376" s="5" t="s">
        <v>8390</v>
      </c>
      <c r="E7376" s="6">
        <v>2020</v>
      </c>
      <c r="F7376" s="6">
        <v>2020</v>
      </c>
      <c r="G7376" s="5" t="s">
        <v>3359</v>
      </c>
      <c r="H7376" s="5">
        <v>200</v>
      </c>
      <c r="I7376" s="5">
        <v>200</v>
      </c>
      <c r="J7376" s="5"/>
      <c r="K7376" s="5"/>
      <c r="L7376" s="10">
        <v>20201118</v>
      </c>
      <c r="M7376" s="36" t="str">
        <f t="shared" si="115"/>
        <v>19860725</v>
      </c>
    </row>
    <row r="7377" s="1" customFormat="1" spans="1:13">
      <c r="A7377" s="2">
        <v>511</v>
      </c>
      <c r="B7377" s="29" t="s">
        <v>1040</v>
      </c>
      <c r="C7377" s="29" t="s">
        <v>1299</v>
      </c>
      <c r="D7377" s="29" t="s">
        <v>1300</v>
      </c>
      <c r="E7377" s="30">
        <v>2020</v>
      </c>
      <c r="F7377" s="30">
        <v>2020</v>
      </c>
      <c r="G7377" s="29" t="s">
        <v>16</v>
      </c>
      <c r="H7377" s="29">
        <v>200</v>
      </c>
      <c r="I7377" s="29">
        <v>200</v>
      </c>
      <c r="J7377" s="29"/>
      <c r="K7377" s="47"/>
      <c r="L7377" s="14" t="s">
        <v>330</v>
      </c>
      <c r="M7377" s="36" t="str">
        <f t="shared" si="115"/>
        <v>19860729</v>
      </c>
    </row>
    <row r="7378" s="1" customFormat="1" spans="1:13">
      <c r="A7378" s="2">
        <v>2734</v>
      </c>
      <c r="B7378" s="32" t="s">
        <v>5602</v>
      </c>
      <c r="C7378" s="9" t="s">
        <v>5998</v>
      </c>
      <c r="D7378" s="9" t="s">
        <v>5999</v>
      </c>
      <c r="E7378" s="32">
        <v>2020</v>
      </c>
      <c r="F7378" s="32">
        <v>2020</v>
      </c>
      <c r="G7378" s="32" t="s">
        <v>16</v>
      </c>
      <c r="H7378" s="9">
        <v>200</v>
      </c>
      <c r="I7378" s="9">
        <v>200</v>
      </c>
      <c r="J7378" s="32"/>
      <c r="K7378" s="52"/>
      <c r="L7378" s="10">
        <v>20201118</v>
      </c>
      <c r="M7378" s="36" t="str">
        <f t="shared" si="115"/>
        <v>19860730</v>
      </c>
    </row>
    <row r="7379" s="1" customFormat="1" spans="1:13">
      <c r="A7379" s="2">
        <v>1738</v>
      </c>
      <c r="B7379" s="5" t="s">
        <v>3381</v>
      </c>
      <c r="C7379" s="9" t="s">
        <v>4036</v>
      </c>
      <c r="D7379" s="9" t="s">
        <v>4037</v>
      </c>
      <c r="E7379" s="5">
        <v>2020</v>
      </c>
      <c r="F7379" s="5">
        <v>2020</v>
      </c>
      <c r="G7379" s="14" t="s">
        <v>16</v>
      </c>
      <c r="H7379" s="6">
        <v>200</v>
      </c>
      <c r="I7379" s="6">
        <v>200</v>
      </c>
      <c r="J7379" s="5"/>
      <c r="K7379" s="13"/>
      <c r="L7379" s="10">
        <v>20201118</v>
      </c>
      <c r="M7379" s="36" t="str">
        <f t="shared" si="115"/>
        <v>19860807</v>
      </c>
    </row>
    <row r="7380" s="1" customFormat="1" spans="1:13">
      <c r="A7380" s="2">
        <v>4090</v>
      </c>
      <c r="B7380" s="5" t="s">
        <v>7412</v>
      </c>
      <c r="C7380" s="5" t="s">
        <v>8391</v>
      </c>
      <c r="D7380" s="5" t="s">
        <v>8392</v>
      </c>
      <c r="E7380" s="6">
        <v>2020</v>
      </c>
      <c r="F7380" s="6">
        <v>2020</v>
      </c>
      <c r="G7380" s="5" t="s">
        <v>3359</v>
      </c>
      <c r="H7380" s="5">
        <v>200</v>
      </c>
      <c r="I7380" s="5">
        <v>200</v>
      </c>
      <c r="J7380" s="5"/>
      <c r="K7380" s="5"/>
      <c r="L7380" s="10">
        <v>20201118</v>
      </c>
      <c r="M7380" s="36" t="str">
        <f t="shared" si="115"/>
        <v>19860808</v>
      </c>
    </row>
    <row r="7381" s="1" customFormat="1" spans="1:13">
      <c r="A7381" s="2">
        <v>7845</v>
      </c>
      <c r="B7381" s="5" t="s">
        <v>15086</v>
      </c>
      <c r="C7381" s="6" t="s">
        <v>15116</v>
      </c>
      <c r="D7381" s="6" t="str">
        <f>"152326198608086879"</f>
        <v>152326198608086879</v>
      </c>
      <c r="E7381" s="5" t="s">
        <v>15</v>
      </c>
      <c r="F7381" s="5">
        <v>2020</v>
      </c>
      <c r="G7381" s="5" t="s">
        <v>16</v>
      </c>
      <c r="H7381" s="5">
        <v>200</v>
      </c>
      <c r="I7381" s="5">
        <v>200</v>
      </c>
      <c r="J7381" s="5"/>
      <c r="K7381" s="5"/>
      <c r="L7381" s="10">
        <v>20201118</v>
      </c>
      <c r="M7381" s="36" t="str">
        <f t="shared" si="115"/>
        <v>19860808</v>
      </c>
    </row>
    <row r="7382" s="1" customFormat="1" spans="1:13">
      <c r="A7382" s="2">
        <v>7158</v>
      </c>
      <c r="B7382" s="5" t="s">
        <v>13908</v>
      </c>
      <c r="C7382" s="5" t="s">
        <v>13974</v>
      </c>
      <c r="D7382" s="5" t="s">
        <v>13975</v>
      </c>
      <c r="E7382" s="5" t="s">
        <v>15</v>
      </c>
      <c r="F7382" s="5" t="s">
        <v>15</v>
      </c>
      <c r="G7382" s="14" t="s">
        <v>16</v>
      </c>
      <c r="H7382" s="17">
        <v>200</v>
      </c>
      <c r="I7382" s="17">
        <v>200</v>
      </c>
      <c r="J7382" s="5"/>
      <c r="K7382" s="10"/>
      <c r="L7382" s="10">
        <v>20201118</v>
      </c>
      <c r="M7382" s="36" t="str">
        <f t="shared" si="115"/>
        <v>19860811</v>
      </c>
    </row>
    <row r="7383" s="1" customFormat="1" spans="1:13">
      <c r="A7383" s="2">
        <v>473</v>
      </c>
      <c r="B7383" s="29" t="s">
        <v>1040</v>
      </c>
      <c r="C7383" s="29" t="s">
        <v>1222</v>
      </c>
      <c r="D7383" s="29" t="s">
        <v>1223</v>
      </c>
      <c r="E7383" s="30">
        <v>2020</v>
      </c>
      <c r="F7383" s="30">
        <v>2020</v>
      </c>
      <c r="G7383" s="29" t="s">
        <v>16</v>
      </c>
      <c r="H7383" s="29">
        <v>200</v>
      </c>
      <c r="I7383" s="29">
        <v>200</v>
      </c>
      <c r="J7383" s="29"/>
      <c r="K7383" s="47"/>
      <c r="L7383" s="14" t="s">
        <v>330</v>
      </c>
      <c r="M7383" s="36" t="str">
        <f t="shared" si="115"/>
        <v>19860825</v>
      </c>
    </row>
    <row r="7384" s="1" customFormat="1" spans="1:13">
      <c r="A7384" s="2">
        <v>270</v>
      </c>
      <c r="B7384" s="14" t="s">
        <v>327</v>
      </c>
      <c r="C7384" s="17" t="s">
        <v>696</v>
      </c>
      <c r="D7384" s="306" t="s">
        <v>697</v>
      </c>
      <c r="E7384" s="5">
        <v>2020</v>
      </c>
      <c r="F7384" s="5">
        <v>2020</v>
      </c>
      <c r="G7384" s="14" t="s">
        <v>16</v>
      </c>
      <c r="H7384" s="17">
        <v>200</v>
      </c>
      <c r="I7384" s="17">
        <v>200</v>
      </c>
      <c r="J7384" s="92"/>
      <c r="K7384" s="10"/>
      <c r="L7384" s="14" t="s">
        <v>330</v>
      </c>
      <c r="M7384" s="36" t="str">
        <f t="shared" si="115"/>
        <v>19860827</v>
      </c>
    </row>
    <row r="7385" s="1" customFormat="1" spans="1:13">
      <c r="A7385" s="2">
        <v>1739</v>
      </c>
      <c r="B7385" s="5" t="s">
        <v>3381</v>
      </c>
      <c r="C7385" s="9" t="s">
        <v>4038</v>
      </c>
      <c r="D7385" s="9" t="s">
        <v>4039</v>
      </c>
      <c r="E7385" s="5">
        <v>2020</v>
      </c>
      <c r="F7385" s="5">
        <v>2020</v>
      </c>
      <c r="G7385" s="14" t="s">
        <v>16</v>
      </c>
      <c r="H7385" s="6">
        <v>200</v>
      </c>
      <c r="I7385" s="6">
        <v>200</v>
      </c>
      <c r="J7385" s="5"/>
      <c r="K7385" s="13"/>
      <c r="L7385" s="10">
        <v>20201118</v>
      </c>
      <c r="M7385" s="36" t="str">
        <f t="shared" si="115"/>
        <v>19860902</v>
      </c>
    </row>
    <row r="7386" s="1" customFormat="1" spans="1:13">
      <c r="A7386" s="2">
        <v>4091</v>
      </c>
      <c r="B7386" s="5" t="s">
        <v>7412</v>
      </c>
      <c r="C7386" s="5" t="s">
        <v>8393</v>
      </c>
      <c r="D7386" s="5" t="s">
        <v>8394</v>
      </c>
      <c r="E7386" s="6">
        <v>2020</v>
      </c>
      <c r="F7386" s="6">
        <v>2020</v>
      </c>
      <c r="G7386" s="5" t="s">
        <v>3359</v>
      </c>
      <c r="H7386" s="5">
        <v>200</v>
      </c>
      <c r="I7386" s="5">
        <v>200</v>
      </c>
      <c r="J7386" s="5"/>
      <c r="K7386" s="5"/>
      <c r="L7386" s="10">
        <v>20201118</v>
      </c>
      <c r="M7386" s="36" t="str">
        <f t="shared" si="115"/>
        <v>19860905</v>
      </c>
    </row>
    <row r="7387" s="1" customFormat="1" spans="1:13">
      <c r="A7387" s="2">
        <v>4754</v>
      </c>
      <c r="B7387" s="6" t="s">
        <v>9015</v>
      </c>
      <c r="C7387" s="6" t="s">
        <v>3601</v>
      </c>
      <c r="D7387" s="6" t="s">
        <v>9663</v>
      </c>
      <c r="E7387" s="6">
        <v>2020</v>
      </c>
      <c r="F7387" s="6">
        <v>2020</v>
      </c>
      <c r="G7387" s="6" t="s">
        <v>16</v>
      </c>
      <c r="H7387" s="6">
        <v>200</v>
      </c>
      <c r="I7387" s="6">
        <v>200</v>
      </c>
      <c r="J7387" s="6"/>
      <c r="K7387" s="6"/>
      <c r="L7387" s="10">
        <v>20201118</v>
      </c>
      <c r="M7387" s="36" t="str">
        <f t="shared" si="115"/>
        <v>19860906</v>
      </c>
    </row>
    <row r="7388" s="1" customFormat="1" spans="1:13">
      <c r="A7388" s="2">
        <v>6376</v>
      </c>
      <c r="B7388" s="5" t="s">
        <v>12263</v>
      </c>
      <c r="C7388" s="5" t="s">
        <v>12765</v>
      </c>
      <c r="D7388" s="5" t="s">
        <v>12766</v>
      </c>
      <c r="E7388" s="5" t="s">
        <v>10250</v>
      </c>
      <c r="F7388" s="5">
        <v>2020</v>
      </c>
      <c r="G7388" s="17" t="s">
        <v>3359</v>
      </c>
      <c r="H7388" s="5" t="s">
        <v>311</v>
      </c>
      <c r="I7388" s="5">
        <v>200</v>
      </c>
      <c r="J7388" s="5"/>
      <c r="K7388" s="5"/>
      <c r="L7388" s="10">
        <v>20201118</v>
      </c>
      <c r="M7388" s="36" t="str">
        <f t="shared" si="115"/>
        <v>19860906</v>
      </c>
    </row>
    <row r="7389" s="1" customFormat="1" spans="1:13">
      <c r="A7389" s="2">
        <v>5498</v>
      </c>
      <c r="B7389" s="30" t="s">
        <v>11090</v>
      </c>
      <c r="C7389" s="30" t="s">
        <v>11091</v>
      </c>
      <c r="D7389" s="30" t="s">
        <v>11092</v>
      </c>
      <c r="E7389" s="5" t="s">
        <v>15</v>
      </c>
      <c r="F7389" s="5" t="s">
        <v>10245</v>
      </c>
      <c r="G7389" s="6" t="s">
        <v>16</v>
      </c>
      <c r="H7389" s="32">
        <v>200</v>
      </c>
      <c r="I7389" s="32">
        <v>200</v>
      </c>
      <c r="J7389" s="6"/>
      <c r="K7389" s="48"/>
      <c r="L7389" s="10">
        <v>20201118</v>
      </c>
      <c r="M7389" s="36" t="str">
        <f t="shared" si="115"/>
        <v>19860907</v>
      </c>
    </row>
    <row r="7390" s="1" customFormat="1" spans="1:13">
      <c r="A7390" s="2">
        <v>7610</v>
      </c>
      <c r="B7390" s="5" t="s">
        <v>14402</v>
      </c>
      <c r="C7390" s="5" t="s">
        <v>14818</v>
      </c>
      <c r="D7390" s="5" t="s">
        <v>14819</v>
      </c>
      <c r="E7390" s="5">
        <v>2020</v>
      </c>
      <c r="F7390" s="5">
        <v>2020</v>
      </c>
      <c r="G7390" s="17" t="s">
        <v>189</v>
      </c>
      <c r="H7390" s="5">
        <v>200</v>
      </c>
      <c r="I7390" s="5">
        <v>200</v>
      </c>
      <c r="J7390" s="5"/>
      <c r="K7390" s="10"/>
      <c r="L7390" s="10">
        <v>20201118</v>
      </c>
      <c r="M7390" s="36" t="str">
        <f t="shared" si="115"/>
        <v>19860911</v>
      </c>
    </row>
    <row r="7391" s="1" customFormat="1" spans="1:13">
      <c r="A7391" s="2">
        <v>879</v>
      </c>
      <c r="B7391" s="29" t="s">
        <v>1040</v>
      </c>
      <c r="C7391" s="6" t="s">
        <v>2284</v>
      </c>
      <c r="D7391" s="6" t="s">
        <v>2285</v>
      </c>
      <c r="E7391" s="30">
        <v>2020</v>
      </c>
      <c r="F7391" s="30">
        <v>2020</v>
      </c>
      <c r="G7391" s="29" t="s">
        <v>16</v>
      </c>
      <c r="H7391" s="29">
        <v>200</v>
      </c>
      <c r="I7391" s="29">
        <v>200</v>
      </c>
      <c r="J7391" s="32" t="s">
        <v>1082</v>
      </c>
      <c r="K7391" s="32"/>
      <c r="L7391" s="2" t="s">
        <v>330</v>
      </c>
      <c r="M7391" s="36" t="str">
        <f t="shared" si="115"/>
        <v>19860913</v>
      </c>
    </row>
    <row r="7392" s="1" customFormat="1" spans="1:13">
      <c r="A7392" s="2">
        <v>7613</v>
      </c>
      <c r="B7392" s="5" t="s">
        <v>14402</v>
      </c>
      <c r="C7392" s="5" t="s">
        <v>14824</v>
      </c>
      <c r="D7392" s="5" t="s">
        <v>14825</v>
      </c>
      <c r="E7392" s="5">
        <v>2020</v>
      </c>
      <c r="F7392" s="5">
        <v>2020</v>
      </c>
      <c r="G7392" s="17" t="s">
        <v>16</v>
      </c>
      <c r="H7392" s="5">
        <v>200</v>
      </c>
      <c r="I7392" s="5">
        <v>200</v>
      </c>
      <c r="J7392" s="5"/>
      <c r="K7392" s="10"/>
      <c r="L7392" s="10">
        <v>20201118</v>
      </c>
      <c r="M7392" s="36" t="str">
        <f t="shared" si="115"/>
        <v>19860914</v>
      </c>
    </row>
    <row r="7393" s="1" customFormat="1" spans="1:13">
      <c r="A7393" s="2">
        <v>2735</v>
      </c>
      <c r="B7393" s="32" t="s">
        <v>5602</v>
      </c>
      <c r="C7393" s="9" t="s">
        <v>6000</v>
      </c>
      <c r="D7393" s="9" t="s">
        <v>6001</v>
      </c>
      <c r="E7393" s="32">
        <v>2020</v>
      </c>
      <c r="F7393" s="32">
        <v>2020</v>
      </c>
      <c r="G7393" s="32" t="s">
        <v>16</v>
      </c>
      <c r="H7393" s="9">
        <v>200</v>
      </c>
      <c r="I7393" s="9">
        <v>200</v>
      </c>
      <c r="J7393" s="32"/>
      <c r="K7393" s="52"/>
      <c r="L7393" s="10">
        <v>20201118</v>
      </c>
      <c r="M7393" s="36" t="str">
        <f t="shared" si="115"/>
        <v>19860918</v>
      </c>
    </row>
    <row r="7394" s="1" customFormat="1" spans="1:13">
      <c r="A7394" s="2">
        <v>4382</v>
      </c>
      <c r="B7394" s="9" t="s">
        <v>8515</v>
      </c>
      <c r="C7394" s="9" t="s">
        <v>8952</v>
      </c>
      <c r="D7394" s="9" t="s">
        <v>8953</v>
      </c>
      <c r="E7394" s="5" t="s">
        <v>15</v>
      </c>
      <c r="F7394" s="5">
        <v>2020</v>
      </c>
      <c r="G7394" s="9" t="s">
        <v>2480</v>
      </c>
      <c r="H7394" s="9">
        <v>200</v>
      </c>
      <c r="I7394" s="9">
        <v>200</v>
      </c>
      <c r="J7394" s="9"/>
      <c r="K7394" s="9"/>
      <c r="L7394" s="10">
        <v>20201118</v>
      </c>
      <c r="M7394" s="36" t="str">
        <f t="shared" si="115"/>
        <v>19860918</v>
      </c>
    </row>
    <row r="7395" s="1" customFormat="1" spans="1:13">
      <c r="A7395" s="2">
        <v>4092</v>
      </c>
      <c r="B7395" s="5" t="s">
        <v>7412</v>
      </c>
      <c r="C7395" s="5" t="s">
        <v>8395</v>
      </c>
      <c r="D7395" s="5" t="s">
        <v>8396</v>
      </c>
      <c r="E7395" s="6">
        <v>2020</v>
      </c>
      <c r="F7395" s="6">
        <v>2020</v>
      </c>
      <c r="G7395" s="5" t="s">
        <v>3359</v>
      </c>
      <c r="H7395" s="5">
        <v>200</v>
      </c>
      <c r="I7395" s="5">
        <v>200</v>
      </c>
      <c r="J7395" s="5"/>
      <c r="K7395" s="5"/>
      <c r="L7395" s="10">
        <v>20201118</v>
      </c>
      <c r="M7395" s="36" t="str">
        <f t="shared" si="115"/>
        <v>19860920</v>
      </c>
    </row>
    <row r="7396" s="1" customFormat="1" spans="1:13">
      <c r="A7396" s="2">
        <v>7323</v>
      </c>
      <c r="B7396" s="5" t="s">
        <v>13908</v>
      </c>
      <c r="C7396" s="5" t="s">
        <v>2500</v>
      </c>
      <c r="D7396" s="5" t="s">
        <v>14282</v>
      </c>
      <c r="E7396" s="5" t="s">
        <v>15</v>
      </c>
      <c r="F7396" s="5" t="s">
        <v>15</v>
      </c>
      <c r="G7396" s="14" t="s">
        <v>16</v>
      </c>
      <c r="H7396" s="17">
        <v>200</v>
      </c>
      <c r="I7396" s="17">
        <v>200</v>
      </c>
      <c r="J7396" s="5"/>
      <c r="K7396" s="10"/>
      <c r="L7396" s="10">
        <v>20201118</v>
      </c>
      <c r="M7396" s="36" t="str">
        <f t="shared" si="115"/>
        <v>19860921</v>
      </c>
    </row>
    <row r="7397" s="1" customFormat="1" spans="1:13">
      <c r="A7397" s="2">
        <v>7432</v>
      </c>
      <c r="B7397" s="5" t="s">
        <v>14402</v>
      </c>
      <c r="C7397" s="5" t="s">
        <v>14485</v>
      </c>
      <c r="D7397" s="5" t="s">
        <v>14486</v>
      </c>
      <c r="E7397" s="5">
        <v>2020</v>
      </c>
      <c r="F7397" s="5">
        <v>2020</v>
      </c>
      <c r="G7397" s="17" t="s">
        <v>16</v>
      </c>
      <c r="H7397" s="5">
        <v>200</v>
      </c>
      <c r="I7397" s="5">
        <v>200</v>
      </c>
      <c r="J7397" s="5"/>
      <c r="K7397" s="10"/>
      <c r="L7397" s="10">
        <v>20201118</v>
      </c>
      <c r="M7397" s="36" t="str">
        <f t="shared" si="115"/>
        <v>19860924</v>
      </c>
    </row>
    <row r="7398" s="1" customFormat="1" spans="1:13">
      <c r="A7398" s="2">
        <v>5014</v>
      </c>
      <c r="B7398" s="6" t="s">
        <v>9954</v>
      </c>
      <c r="C7398" s="6" t="s">
        <v>10163</v>
      </c>
      <c r="D7398" s="6" t="s">
        <v>10164</v>
      </c>
      <c r="E7398" s="5" t="s">
        <v>15</v>
      </c>
      <c r="F7398" s="5" t="s">
        <v>15</v>
      </c>
      <c r="G7398" s="14" t="s">
        <v>16</v>
      </c>
      <c r="H7398" s="6">
        <v>200</v>
      </c>
      <c r="I7398" s="6">
        <v>200</v>
      </c>
      <c r="J7398" s="6"/>
      <c r="K7398" s="6"/>
      <c r="L7398" s="10">
        <v>20201118</v>
      </c>
      <c r="M7398" s="36" t="str">
        <f t="shared" si="115"/>
        <v>19860925</v>
      </c>
    </row>
    <row r="7399" s="1" customFormat="1" spans="1:13">
      <c r="A7399" s="2">
        <v>6802</v>
      </c>
      <c r="B7399" s="5" t="s">
        <v>13533</v>
      </c>
      <c r="C7399" s="32" t="s">
        <v>13555</v>
      </c>
      <c r="D7399" s="32" t="str">
        <f>"152326198609277116"</f>
        <v>152326198609277116</v>
      </c>
      <c r="E7399" s="5">
        <v>2020</v>
      </c>
      <c r="F7399" s="5">
        <v>2020</v>
      </c>
      <c r="G7399" s="9" t="s">
        <v>2480</v>
      </c>
      <c r="H7399" s="32">
        <v>200</v>
      </c>
      <c r="I7399" s="32">
        <v>200</v>
      </c>
      <c r="J7399" s="32"/>
      <c r="K7399" s="10"/>
      <c r="L7399" s="10">
        <v>20201118</v>
      </c>
      <c r="M7399" s="36" t="str">
        <f t="shared" si="115"/>
        <v>19860927</v>
      </c>
    </row>
    <row r="7400" s="1" customFormat="1" spans="1:13">
      <c r="A7400" s="2">
        <v>7428</v>
      </c>
      <c r="B7400" s="5" t="s">
        <v>14402</v>
      </c>
      <c r="C7400" s="5" t="s">
        <v>14478</v>
      </c>
      <c r="D7400" s="5" t="s">
        <v>14479</v>
      </c>
      <c r="E7400" s="5">
        <v>2020</v>
      </c>
      <c r="F7400" s="5">
        <v>2020</v>
      </c>
      <c r="G7400" s="17" t="s">
        <v>16</v>
      </c>
      <c r="H7400" s="5">
        <v>200</v>
      </c>
      <c r="I7400" s="5">
        <v>200</v>
      </c>
      <c r="J7400" s="5" t="s">
        <v>749</v>
      </c>
      <c r="K7400" s="10"/>
      <c r="L7400" s="10">
        <v>20201118</v>
      </c>
      <c r="M7400" s="36" t="str">
        <f t="shared" si="115"/>
        <v>19861001</v>
      </c>
    </row>
    <row r="7401" s="1" customFormat="1" spans="1:13">
      <c r="A7401" s="2">
        <v>4093</v>
      </c>
      <c r="B7401" s="5" t="s">
        <v>7412</v>
      </c>
      <c r="C7401" s="5" t="s">
        <v>8397</v>
      </c>
      <c r="D7401" s="5" t="s">
        <v>8398</v>
      </c>
      <c r="E7401" s="6">
        <v>2020</v>
      </c>
      <c r="F7401" s="6">
        <v>2020</v>
      </c>
      <c r="G7401" s="5" t="s">
        <v>3359</v>
      </c>
      <c r="H7401" s="5">
        <v>200</v>
      </c>
      <c r="I7401" s="5">
        <v>200</v>
      </c>
      <c r="J7401" s="5"/>
      <c r="K7401" s="5"/>
      <c r="L7401" s="10">
        <v>20201118</v>
      </c>
      <c r="M7401" s="36" t="str">
        <f t="shared" si="115"/>
        <v>19861007</v>
      </c>
    </row>
    <row r="7402" s="1" customFormat="1" ht="14.25" spans="1:13">
      <c r="A7402" s="2">
        <v>5461</v>
      </c>
      <c r="B7402" s="33" t="s">
        <v>10535</v>
      </c>
      <c r="C7402" s="34" t="s">
        <v>11020</v>
      </c>
      <c r="D7402" s="64" t="s">
        <v>11021</v>
      </c>
      <c r="E7402" s="35">
        <v>2020</v>
      </c>
      <c r="F7402" s="35">
        <v>2020</v>
      </c>
      <c r="G7402" s="35" t="s">
        <v>16</v>
      </c>
      <c r="H7402" s="34">
        <v>200</v>
      </c>
      <c r="I7402" s="34">
        <v>200</v>
      </c>
      <c r="J7402" s="49"/>
      <c r="K7402" s="10"/>
      <c r="L7402" s="10">
        <v>20201118</v>
      </c>
      <c r="M7402" s="36" t="str">
        <f t="shared" si="115"/>
        <v>19861008</v>
      </c>
    </row>
    <row r="7403" s="1" customFormat="1" spans="1:13">
      <c r="A7403" s="2">
        <v>6803</v>
      </c>
      <c r="B7403" s="5" t="s">
        <v>13533</v>
      </c>
      <c r="C7403" s="32" t="s">
        <v>13556</v>
      </c>
      <c r="D7403" s="32" t="str">
        <f>"152326198610087133"</f>
        <v>152326198610087133</v>
      </c>
      <c r="E7403" s="5">
        <v>2020</v>
      </c>
      <c r="F7403" s="5">
        <v>2020</v>
      </c>
      <c r="G7403" s="9" t="s">
        <v>2480</v>
      </c>
      <c r="H7403" s="32">
        <v>200</v>
      </c>
      <c r="I7403" s="32">
        <v>200</v>
      </c>
      <c r="J7403" s="32"/>
      <c r="K7403" s="10"/>
      <c r="L7403" s="10">
        <v>20201118</v>
      </c>
      <c r="M7403" s="36" t="str">
        <f t="shared" si="115"/>
        <v>19861008</v>
      </c>
    </row>
    <row r="7404" s="1" customFormat="1" spans="1:13">
      <c r="A7404" s="2">
        <v>318</v>
      </c>
      <c r="B7404" s="14" t="s">
        <v>327</v>
      </c>
      <c r="C7404" s="17" t="s">
        <v>842</v>
      </c>
      <c r="D7404" s="306" t="s">
        <v>843</v>
      </c>
      <c r="E7404" s="5">
        <v>2020</v>
      </c>
      <c r="F7404" s="5">
        <v>2020</v>
      </c>
      <c r="G7404" s="14" t="s">
        <v>16</v>
      </c>
      <c r="H7404" s="17">
        <v>200</v>
      </c>
      <c r="I7404" s="17">
        <v>200</v>
      </c>
      <c r="J7404" s="17"/>
      <c r="K7404" s="10"/>
      <c r="L7404" s="14" t="s">
        <v>330</v>
      </c>
      <c r="M7404" s="36" t="str">
        <f t="shared" si="115"/>
        <v>19861009</v>
      </c>
    </row>
    <row r="7405" s="1" customFormat="1" spans="1:13">
      <c r="A7405" s="2">
        <v>4383</v>
      </c>
      <c r="B7405" s="9" t="s">
        <v>8515</v>
      </c>
      <c r="C7405" s="9" t="s">
        <v>8954</v>
      </c>
      <c r="D7405" s="9" t="s">
        <v>8955</v>
      </c>
      <c r="E7405" s="5" t="s">
        <v>15</v>
      </c>
      <c r="F7405" s="5">
        <v>2020</v>
      </c>
      <c r="G7405" s="9" t="s">
        <v>2480</v>
      </c>
      <c r="H7405" s="9">
        <v>200</v>
      </c>
      <c r="I7405" s="9">
        <v>200</v>
      </c>
      <c r="J7405" s="9"/>
      <c r="K7405" s="9"/>
      <c r="L7405" s="10">
        <v>20201118</v>
      </c>
      <c r="M7405" s="36" t="str">
        <f t="shared" si="115"/>
        <v>19861011</v>
      </c>
    </row>
    <row r="7406" s="1" customFormat="1" spans="1:13">
      <c r="A7406" s="2">
        <v>1314</v>
      </c>
      <c r="B7406" s="5" t="s">
        <v>2469</v>
      </c>
      <c r="C7406" s="9" t="s">
        <v>3208</v>
      </c>
      <c r="D7406" s="9" t="s">
        <v>3209</v>
      </c>
      <c r="E7406" s="5">
        <v>2020</v>
      </c>
      <c r="F7406" s="5">
        <v>2020</v>
      </c>
      <c r="G7406" s="9" t="s">
        <v>2480</v>
      </c>
      <c r="H7406" s="9">
        <v>200</v>
      </c>
      <c r="I7406" s="9">
        <v>200</v>
      </c>
      <c r="J7406" s="5"/>
      <c r="K7406" s="5"/>
      <c r="L7406" s="10">
        <v>20201118</v>
      </c>
      <c r="M7406" s="36" t="str">
        <f t="shared" si="115"/>
        <v>19861015</v>
      </c>
    </row>
    <row r="7407" s="1" customFormat="1" ht="14.25" spans="1:13">
      <c r="A7407" s="2">
        <v>3016</v>
      </c>
      <c r="B7407" s="6" t="s">
        <v>6075</v>
      </c>
      <c r="C7407" s="25" t="s">
        <v>6556</v>
      </c>
      <c r="D7407" s="26" t="s">
        <v>6557</v>
      </c>
      <c r="E7407" s="5" t="s">
        <v>15</v>
      </c>
      <c r="F7407" s="5">
        <v>2020</v>
      </c>
      <c r="G7407" s="6" t="s">
        <v>16</v>
      </c>
      <c r="H7407" s="6">
        <v>200</v>
      </c>
      <c r="I7407" s="6">
        <v>200</v>
      </c>
      <c r="J7407" s="6" t="s">
        <v>6097</v>
      </c>
      <c r="K7407" s="10"/>
      <c r="L7407" s="10">
        <v>20201118</v>
      </c>
      <c r="M7407" s="36" t="str">
        <f t="shared" si="115"/>
        <v>19861016</v>
      </c>
    </row>
    <row r="7408" s="1" customFormat="1" spans="1:13">
      <c r="A7408" s="2">
        <v>2736</v>
      </c>
      <c r="B7408" s="32" t="s">
        <v>5602</v>
      </c>
      <c r="C7408" s="9" t="s">
        <v>6002</v>
      </c>
      <c r="D7408" s="9" t="s">
        <v>6003</v>
      </c>
      <c r="E7408" s="32">
        <v>2020</v>
      </c>
      <c r="F7408" s="32">
        <v>2020</v>
      </c>
      <c r="G7408" s="32" t="s">
        <v>16</v>
      </c>
      <c r="H7408" s="9">
        <v>200</v>
      </c>
      <c r="I7408" s="9">
        <v>200</v>
      </c>
      <c r="J7408" s="32"/>
      <c r="K7408" s="52"/>
      <c r="L7408" s="10">
        <v>20201118</v>
      </c>
      <c r="M7408" s="36" t="str">
        <f t="shared" si="115"/>
        <v>19861022</v>
      </c>
    </row>
    <row r="7409" s="1" customFormat="1" spans="1:13">
      <c r="A7409" s="2">
        <v>4788</v>
      </c>
      <c r="B7409" s="6" t="s">
        <v>9015</v>
      </c>
      <c r="C7409" s="6" t="s">
        <v>9727</v>
      </c>
      <c r="D7409" s="6" t="s">
        <v>9728</v>
      </c>
      <c r="E7409" s="6">
        <v>2020</v>
      </c>
      <c r="F7409" s="6">
        <v>2020</v>
      </c>
      <c r="G7409" s="6" t="s">
        <v>16</v>
      </c>
      <c r="H7409" s="6">
        <v>200</v>
      </c>
      <c r="I7409" s="6">
        <v>200</v>
      </c>
      <c r="J7409" s="6"/>
      <c r="K7409" s="6"/>
      <c r="L7409" s="10">
        <v>20201118</v>
      </c>
      <c r="M7409" s="36" t="str">
        <f t="shared" si="115"/>
        <v>19861023</v>
      </c>
    </row>
    <row r="7410" s="1" customFormat="1" spans="1:13">
      <c r="A7410" s="2">
        <v>140</v>
      </c>
      <c r="B7410" s="3" t="s">
        <v>12</v>
      </c>
      <c r="C7410" s="3" t="s">
        <v>300</v>
      </c>
      <c r="D7410" s="3" t="s">
        <v>301</v>
      </c>
      <c r="E7410" s="3" t="s">
        <v>15</v>
      </c>
      <c r="F7410" s="3" t="s">
        <v>15</v>
      </c>
      <c r="G7410" s="3" t="s">
        <v>295</v>
      </c>
      <c r="H7410" s="3">
        <v>500</v>
      </c>
      <c r="I7410" s="3">
        <v>500</v>
      </c>
      <c r="J7410" s="3"/>
      <c r="K7410" s="3"/>
      <c r="L7410" s="10">
        <v>20201118</v>
      </c>
      <c r="M7410" s="36" t="str">
        <f t="shared" si="115"/>
        <v>19861102</v>
      </c>
    </row>
    <row r="7411" s="1" customFormat="1" spans="1:13">
      <c r="A7411" s="2">
        <v>905</v>
      </c>
      <c r="B7411" s="29" t="s">
        <v>1040</v>
      </c>
      <c r="C7411" s="6" t="s">
        <v>2362</v>
      </c>
      <c r="D7411" s="6" t="s">
        <v>2363</v>
      </c>
      <c r="E7411" s="30">
        <v>2020</v>
      </c>
      <c r="F7411" s="30">
        <v>2020</v>
      </c>
      <c r="G7411" s="29" t="s">
        <v>16</v>
      </c>
      <c r="H7411" s="29">
        <v>200</v>
      </c>
      <c r="I7411" s="29">
        <v>200</v>
      </c>
      <c r="J7411" s="32"/>
      <c r="K7411" s="32"/>
      <c r="L7411" s="2" t="s">
        <v>330</v>
      </c>
      <c r="M7411" s="36" t="str">
        <f t="shared" si="115"/>
        <v>19861104</v>
      </c>
    </row>
    <row r="7412" s="1" customFormat="1" ht="14.25" spans="1:13">
      <c r="A7412" s="2">
        <v>5462</v>
      </c>
      <c r="B7412" s="33" t="s">
        <v>10535</v>
      </c>
      <c r="C7412" s="34" t="s">
        <v>11022</v>
      </c>
      <c r="D7412" s="34" t="s">
        <v>11023</v>
      </c>
      <c r="E7412" s="35">
        <v>2020</v>
      </c>
      <c r="F7412" s="35">
        <v>2020</v>
      </c>
      <c r="G7412" s="35" t="s">
        <v>16</v>
      </c>
      <c r="H7412" s="34">
        <v>200</v>
      </c>
      <c r="I7412" s="34">
        <v>200</v>
      </c>
      <c r="J7412" s="49"/>
      <c r="K7412" s="10"/>
      <c r="L7412" s="10">
        <v>20201118</v>
      </c>
      <c r="M7412" s="36" t="str">
        <f t="shared" si="115"/>
        <v>19861104</v>
      </c>
    </row>
    <row r="7413" s="1" customFormat="1" spans="1:13">
      <c r="A7413" s="2">
        <v>4094</v>
      </c>
      <c r="B7413" s="5" t="s">
        <v>7412</v>
      </c>
      <c r="C7413" s="5" t="s">
        <v>8399</v>
      </c>
      <c r="D7413" s="5" t="s">
        <v>8400</v>
      </c>
      <c r="E7413" s="6">
        <v>2020</v>
      </c>
      <c r="F7413" s="6">
        <v>2020</v>
      </c>
      <c r="G7413" s="5" t="s">
        <v>3359</v>
      </c>
      <c r="H7413" s="5">
        <v>200</v>
      </c>
      <c r="I7413" s="5">
        <v>200</v>
      </c>
      <c r="J7413" s="5"/>
      <c r="K7413" s="5"/>
      <c r="L7413" s="10">
        <v>20201118</v>
      </c>
      <c r="M7413" s="36" t="str">
        <f t="shared" si="115"/>
        <v>19861105</v>
      </c>
    </row>
    <row r="7414" s="1" customFormat="1" spans="1:13">
      <c r="A7414" s="2">
        <v>7127</v>
      </c>
      <c r="B7414" s="5" t="s">
        <v>13908</v>
      </c>
      <c r="C7414" s="5" t="s">
        <v>13914</v>
      </c>
      <c r="D7414" s="5" t="s">
        <v>13915</v>
      </c>
      <c r="E7414" s="5" t="s">
        <v>15</v>
      </c>
      <c r="F7414" s="5" t="s">
        <v>15</v>
      </c>
      <c r="G7414" s="14" t="s">
        <v>16</v>
      </c>
      <c r="H7414" s="17">
        <v>200</v>
      </c>
      <c r="I7414" s="17">
        <v>200</v>
      </c>
      <c r="J7414" s="5"/>
      <c r="K7414" s="10"/>
      <c r="L7414" s="10">
        <v>20201118</v>
      </c>
      <c r="M7414" s="36" t="str">
        <f t="shared" si="115"/>
        <v>19861108</v>
      </c>
    </row>
    <row r="7415" s="1" customFormat="1" spans="1:13">
      <c r="A7415" s="2">
        <v>907</v>
      </c>
      <c r="B7415" s="29" t="s">
        <v>1040</v>
      </c>
      <c r="C7415" s="6" t="s">
        <v>2368</v>
      </c>
      <c r="D7415" s="6" t="s">
        <v>2369</v>
      </c>
      <c r="E7415" s="30">
        <v>2020</v>
      </c>
      <c r="F7415" s="30">
        <v>2020</v>
      </c>
      <c r="G7415" s="29" t="s">
        <v>16</v>
      </c>
      <c r="H7415" s="6">
        <v>500</v>
      </c>
      <c r="I7415" s="6">
        <v>500</v>
      </c>
      <c r="J7415" s="32"/>
      <c r="K7415" s="32"/>
      <c r="L7415" s="2" t="s">
        <v>330</v>
      </c>
      <c r="M7415" s="36" t="str">
        <f t="shared" si="115"/>
        <v>19861109</v>
      </c>
    </row>
    <row r="7416" s="1" customFormat="1" spans="1:13">
      <c r="A7416" s="2">
        <v>4712</v>
      </c>
      <c r="B7416" s="6" t="s">
        <v>9015</v>
      </c>
      <c r="C7416" s="6" t="s">
        <v>9584</v>
      </c>
      <c r="D7416" s="6" t="s">
        <v>9585</v>
      </c>
      <c r="E7416" s="6">
        <v>2020</v>
      </c>
      <c r="F7416" s="6">
        <v>2020</v>
      </c>
      <c r="G7416" s="6" t="s">
        <v>16</v>
      </c>
      <c r="H7416" s="6">
        <v>200</v>
      </c>
      <c r="I7416" s="6">
        <v>200</v>
      </c>
      <c r="J7416" s="6"/>
      <c r="K7416" s="6"/>
      <c r="L7416" s="10">
        <v>20201118</v>
      </c>
      <c r="M7416" s="36" t="str">
        <f t="shared" si="115"/>
        <v>19861109</v>
      </c>
    </row>
    <row r="7417" s="1" customFormat="1" spans="1:13">
      <c r="A7417" s="2">
        <v>6189</v>
      </c>
      <c r="B7417" s="5" t="s">
        <v>12263</v>
      </c>
      <c r="C7417" s="5" t="s">
        <v>12407</v>
      </c>
      <c r="D7417" s="5" t="s">
        <v>12408</v>
      </c>
      <c r="E7417" s="5" t="s">
        <v>10250</v>
      </c>
      <c r="F7417" s="5">
        <v>2020</v>
      </c>
      <c r="G7417" s="17" t="s">
        <v>3359</v>
      </c>
      <c r="H7417" s="5">
        <v>200</v>
      </c>
      <c r="I7417" s="5">
        <v>200</v>
      </c>
      <c r="J7417" s="5"/>
      <c r="K7417" s="5"/>
      <c r="L7417" s="10">
        <v>20201118</v>
      </c>
      <c r="M7417" s="36" t="str">
        <f t="shared" si="115"/>
        <v>19861109</v>
      </c>
    </row>
    <row r="7418" s="1" customFormat="1" spans="1:13">
      <c r="A7418" s="2">
        <v>1315</v>
      </c>
      <c r="B7418" s="5" t="s">
        <v>2469</v>
      </c>
      <c r="C7418" s="9" t="s">
        <v>3210</v>
      </c>
      <c r="D7418" s="9" t="s">
        <v>3211</v>
      </c>
      <c r="E7418" s="5">
        <v>2020</v>
      </c>
      <c r="F7418" s="5">
        <v>2020</v>
      </c>
      <c r="G7418" s="9" t="s">
        <v>2480</v>
      </c>
      <c r="H7418" s="9">
        <v>200</v>
      </c>
      <c r="I7418" s="9">
        <v>200</v>
      </c>
      <c r="J7418" s="5"/>
      <c r="K7418" s="5"/>
      <c r="L7418" s="10">
        <v>20201118</v>
      </c>
      <c r="M7418" s="36" t="str">
        <f t="shared" si="115"/>
        <v>19861112</v>
      </c>
    </row>
    <row r="7419" s="1" customFormat="1" spans="1:13">
      <c r="A7419" s="2">
        <v>2125</v>
      </c>
      <c r="B7419" s="5" t="s">
        <v>4189</v>
      </c>
      <c r="C7419" s="9" t="s">
        <v>4800</v>
      </c>
      <c r="D7419" s="9" t="s">
        <v>4801</v>
      </c>
      <c r="E7419" s="5" t="s">
        <v>15</v>
      </c>
      <c r="F7419" s="5" t="s">
        <v>15</v>
      </c>
      <c r="G7419" s="5" t="s">
        <v>3359</v>
      </c>
      <c r="H7419" s="16">
        <v>200</v>
      </c>
      <c r="I7419" s="16">
        <v>200</v>
      </c>
      <c r="J7419" s="5"/>
      <c r="K7419" s="10"/>
      <c r="L7419" s="10">
        <v>20201118</v>
      </c>
      <c r="M7419" s="36" t="str">
        <f t="shared" si="115"/>
        <v>19861112</v>
      </c>
    </row>
    <row r="7420" s="1" customFormat="1" ht="14.25" spans="1:13">
      <c r="A7420" s="2">
        <v>5463</v>
      </c>
      <c r="B7420" s="33" t="s">
        <v>10535</v>
      </c>
      <c r="C7420" s="34" t="s">
        <v>11024</v>
      </c>
      <c r="D7420" s="34" t="s">
        <v>11025</v>
      </c>
      <c r="E7420" s="35">
        <v>2020</v>
      </c>
      <c r="F7420" s="35">
        <v>2020</v>
      </c>
      <c r="G7420" s="35" t="s">
        <v>16</v>
      </c>
      <c r="H7420" s="34">
        <v>500</v>
      </c>
      <c r="I7420" s="34">
        <v>500</v>
      </c>
      <c r="J7420" s="49"/>
      <c r="K7420" s="10"/>
      <c r="L7420" s="10">
        <v>20201118</v>
      </c>
      <c r="M7420" s="36" t="str">
        <f t="shared" si="115"/>
        <v>19861116</v>
      </c>
    </row>
    <row r="7421" s="1" customFormat="1" spans="1:13">
      <c r="A7421" s="2">
        <v>2359</v>
      </c>
      <c r="B7421" s="9" t="s">
        <v>4837</v>
      </c>
      <c r="C7421" s="9" t="s">
        <v>5257</v>
      </c>
      <c r="D7421" s="9" t="s">
        <v>5258</v>
      </c>
      <c r="E7421" s="6" t="s">
        <v>15</v>
      </c>
      <c r="F7421" s="6">
        <v>2020</v>
      </c>
      <c r="G7421" s="9" t="s">
        <v>2480</v>
      </c>
      <c r="H7421" s="9">
        <v>200</v>
      </c>
      <c r="I7421" s="9">
        <v>200</v>
      </c>
      <c r="J7421" s="6"/>
      <c r="K7421" s="10"/>
      <c r="L7421" s="10">
        <v>20201118</v>
      </c>
      <c r="M7421" s="36" t="str">
        <f t="shared" si="115"/>
        <v>19861121</v>
      </c>
    </row>
    <row r="7422" s="1" customFormat="1" spans="1:13">
      <c r="A7422" s="2">
        <v>4884</v>
      </c>
      <c r="B7422" s="6" t="s">
        <v>9015</v>
      </c>
      <c r="C7422" s="6" t="s">
        <v>9910</v>
      </c>
      <c r="D7422" s="293" t="s">
        <v>9911</v>
      </c>
      <c r="E7422" s="6">
        <v>2020</v>
      </c>
      <c r="F7422" s="6">
        <v>2020</v>
      </c>
      <c r="G7422" s="6" t="s">
        <v>189</v>
      </c>
      <c r="H7422" s="6">
        <v>200</v>
      </c>
      <c r="I7422" s="6">
        <v>200</v>
      </c>
      <c r="J7422" s="6"/>
      <c r="K7422" s="6"/>
      <c r="L7422" s="10">
        <v>20201118</v>
      </c>
      <c r="M7422" s="36" t="str">
        <f t="shared" si="115"/>
        <v>19861122</v>
      </c>
    </row>
    <row r="7423" s="1" customFormat="1" spans="1:13">
      <c r="A7423" s="2">
        <v>6766</v>
      </c>
      <c r="B7423" s="5" t="s">
        <v>13027</v>
      </c>
      <c r="C7423" s="15" t="s">
        <v>13496</v>
      </c>
      <c r="D7423" s="15" t="s">
        <v>13497</v>
      </c>
      <c r="E7423" s="5">
        <v>2020</v>
      </c>
      <c r="F7423" s="5">
        <v>2020</v>
      </c>
      <c r="G7423" s="14" t="s">
        <v>16</v>
      </c>
      <c r="H7423" s="15">
        <v>200</v>
      </c>
      <c r="I7423" s="15">
        <v>200</v>
      </c>
      <c r="J7423" s="5"/>
      <c r="K7423" s="10"/>
      <c r="L7423" s="10">
        <v>20201118</v>
      </c>
      <c r="M7423" s="36" t="str">
        <f t="shared" si="115"/>
        <v>19861124</v>
      </c>
    </row>
    <row r="7424" s="1" customFormat="1" spans="1:13">
      <c r="A7424" s="2">
        <v>519</v>
      </c>
      <c r="B7424" s="29" t="s">
        <v>1040</v>
      </c>
      <c r="C7424" s="29" t="s">
        <v>1315</v>
      </c>
      <c r="D7424" s="29" t="s">
        <v>1316</v>
      </c>
      <c r="E7424" s="30">
        <v>2020</v>
      </c>
      <c r="F7424" s="30">
        <v>2020</v>
      </c>
      <c r="G7424" s="29" t="s">
        <v>16</v>
      </c>
      <c r="H7424" s="29">
        <v>200</v>
      </c>
      <c r="I7424" s="29">
        <v>200</v>
      </c>
      <c r="J7424" s="29"/>
      <c r="K7424" s="47"/>
      <c r="L7424" s="14" t="s">
        <v>330</v>
      </c>
      <c r="M7424" s="36" t="str">
        <f t="shared" si="115"/>
        <v>19861126</v>
      </c>
    </row>
    <row r="7425" s="1" customFormat="1" spans="1:13">
      <c r="A7425" s="2">
        <v>7327</v>
      </c>
      <c r="B7425" s="5" t="s">
        <v>13908</v>
      </c>
      <c r="C7425" s="11" t="s">
        <v>11975</v>
      </c>
      <c r="D7425" s="5" t="s">
        <v>14289</v>
      </c>
      <c r="E7425" s="5" t="s">
        <v>15</v>
      </c>
      <c r="F7425" s="5" t="s">
        <v>15</v>
      </c>
      <c r="G7425" s="14" t="s">
        <v>16</v>
      </c>
      <c r="H7425" s="17">
        <v>200</v>
      </c>
      <c r="I7425" s="17">
        <v>200</v>
      </c>
      <c r="J7425" s="5"/>
      <c r="K7425" s="10"/>
      <c r="L7425" s="10">
        <v>20201118</v>
      </c>
      <c r="M7425" s="36" t="str">
        <f t="shared" si="115"/>
        <v>19861129</v>
      </c>
    </row>
    <row r="7426" s="1" customFormat="1" spans="1:13">
      <c r="A7426" s="2">
        <v>4095</v>
      </c>
      <c r="B7426" s="5" t="s">
        <v>7412</v>
      </c>
      <c r="C7426" s="5" t="s">
        <v>8401</v>
      </c>
      <c r="D7426" s="5" t="s">
        <v>8402</v>
      </c>
      <c r="E7426" s="6">
        <v>2020</v>
      </c>
      <c r="F7426" s="6">
        <v>2020</v>
      </c>
      <c r="G7426" s="5" t="s">
        <v>3359</v>
      </c>
      <c r="H7426" s="5">
        <v>200</v>
      </c>
      <c r="I7426" s="5">
        <v>200</v>
      </c>
      <c r="J7426" s="5"/>
      <c r="K7426" s="5"/>
      <c r="L7426" s="10">
        <v>20201118</v>
      </c>
      <c r="M7426" s="36" t="str">
        <f t="shared" ref="M7426:M7489" si="116">MID(D7426,7,8)</f>
        <v>19861201</v>
      </c>
    </row>
    <row r="7427" s="1" customFormat="1" spans="1:13">
      <c r="A7427" s="2">
        <v>4601</v>
      </c>
      <c r="B7427" s="6" t="s">
        <v>9015</v>
      </c>
      <c r="C7427" s="6" t="s">
        <v>9374</v>
      </c>
      <c r="D7427" s="6" t="s">
        <v>9375</v>
      </c>
      <c r="E7427" s="6">
        <v>2020</v>
      </c>
      <c r="F7427" s="6">
        <v>2020</v>
      </c>
      <c r="G7427" s="6" t="s">
        <v>16</v>
      </c>
      <c r="H7427" s="6">
        <v>200</v>
      </c>
      <c r="I7427" s="6">
        <v>200</v>
      </c>
      <c r="J7427" s="6"/>
      <c r="K7427" s="6"/>
      <c r="L7427" s="10">
        <v>20201118</v>
      </c>
      <c r="M7427" s="36" t="str">
        <f t="shared" si="116"/>
        <v>19861204</v>
      </c>
    </row>
    <row r="7428" s="1" customFormat="1" spans="1:13">
      <c r="A7428" s="2">
        <v>3539</v>
      </c>
      <c r="B7428" s="5" t="s">
        <v>3375</v>
      </c>
      <c r="C7428" s="5" t="s">
        <v>7349</v>
      </c>
      <c r="D7428" s="296" t="s">
        <v>7350</v>
      </c>
      <c r="E7428" s="5" t="s">
        <v>15</v>
      </c>
      <c r="F7428" s="5">
        <v>2020</v>
      </c>
      <c r="G7428" s="14" t="s">
        <v>16</v>
      </c>
      <c r="H7428" s="5">
        <v>200</v>
      </c>
      <c r="I7428" s="5">
        <v>200</v>
      </c>
      <c r="J7428" s="5"/>
      <c r="K7428" s="10"/>
      <c r="L7428" s="10">
        <v>20201118</v>
      </c>
      <c r="M7428" s="36" t="str">
        <f t="shared" si="116"/>
        <v>19861205</v>
      </c>
    </row>
    <row r="7429" s="1" customFormat="1" ht="14.25" spans="1:13">
      <c r="A7429" s="2">
        <v>6066</v>
      </c>
      <c r="B7429" s="30" t="s">
        <v>11090</v>
      </c>
      <c r="C7429" s="32" t="s">
        <v>12174</v>
      </c>
      <c r="D7429" s="12" t="s">
        <v>12175</v>
      </c>
      <c r="E7429" s="5" t="s">
        <v>15</v>
      </c>
      <c r="F7429" s="5" t="s">
        <v>10250</v>
      </c>
      <c r="G7429" s="6" t="s">
        <v>16</v>
      </c>
      <c r="H7429" s="32">
        <v>200</v>
      </c>
      <c r="I7429" s="32">
        <v>200</v>
      </c>
      <c r="J7429" s="5"/>
      <c r="K7429" s="48"/>
      <c r="L7429" s="10">
        <v>20201118</v>
      </c>
      <c r="M7429" s="36" t="str">
        <f t="shared" si="116"/>
        <v>19861210</v>
      </c>
    </row>
    <row r="7430" s="1" customFormat="1" spans="1:13">
      <c r="A7430" s="2">
        <v>4096</v>
      </c>
      <c r="B7430" s="5" t="s">
        <v>7412</v>
      </c>
      <c r="C7430" s="5" t="s">
        <v>8403</v>
      </c>
      <c r="D7430" s="5" t="s">
        <v>8404</v>
      </c>
      <c r="E7430" s="6">
        <v>2020</v>
      </c>
      <c r="F7430" s="6">
        <v>2020</v>
      </c>
      <c r="G7430" s="5" t="s">
        <v>3359</v>
      </c>
      <c r="H7430" s="5">
        <v>500</v>
      </c>
      <c r="I7430" s="5">
        <v>500</v>
      </c>
      <c r="J7430" s="5"/>
      <c r="K7430" s="5"/>
      <c r="L7430" s="10">
        <v>20201118</v>
      </c>
      <c r="M7430" s="36" t="str">
        <f t="shared" si="116"/>
        <v>19861212</v>
      </c>
    </row>
    <row r="7431" s="1" customFormat="1" spans="1:13">
      <c r="A7431" s="2">
        <v>6804</v>
      </c>
      <c r="B7431" s="5" t="s">
        <v>13533</v>
      </c>
      <c r="C7431" s="32" t="s">
        <v>5842</v>
      </c>
      <c r="D7431" s="32" t="str">
        <f>"152326198612127127"</f>
        <v>152326198612127127</v>
      </c>
      <c r="E7431" s="5">
        <v>2020</v>
      </c>
      <c r="F7431" s="5">
        <v>2020</v>
      </c>
      <c r="G7431" s="9" t="s">
        <v>2480</v>
      </c>
      <c r="H7431" s="32">
        <v>200</v>
      </c>
      <c r="I7431" s="32">
        <v>200</v>
      </c>
      <c r="J7431" s="32"/>
      <c r="K7431" s="10"/>
      <c r="L7431" s="10">
        <v>20201118</v>
      </c>
      <c r="M7431" s="36" t="str">
        <f t="shared" si="116"/>
        <v>19861212</v>
      </c>
    </row>
    <row r="7432" s="1" customFormat="1" spans="1:13">
      <c r="A7432" s="2">
        <v>4097</v>
      </c>
      <c r="B7432" s="5" t="s">
        <v>7412</v>
      </c>
      <c r="C7432" s="5" t="s">
        <v>8405</v>
      </c>
      <c r="D7432" s="5" t="s">
        <v>8406</v>
      </c>
      <c r="E7432" s="6">
        <v>2020</v>
      </c>
      <c r="F7432" s="6">
        <v>2020</v>
      </c>
      <c r="G7432" s="5" t="s">
        <v>3359</v>
      </c>
      <c r="H7432" s="5">
        <v>200</v>
      </c>
      <c r="I7432" s="5">
        <v>200</v>
      </c>
      <c r="J7432" s="5"/>
      <c r="K7432" s="5"/>
      <c r="L7432" s="10">
        <v>20201118</v>
      </c>
      <c r="M7432" s="36" t="str">
        <f t="shared" si="116"/>
        <v>19861213</v>
      </c>
    </row>
    <row r="7433" s="1" customFormat="1" spans="1:13">
      <c r="A7433" s="2">
        <v>1316</v>
      </c>
      <c r="B7433" s="5" t="s">
        <v>2469</v>
      </c>
      <c r="C7433" s="9" t="s">
        <v>3212</v>
      </c>
      <c r="D7433" s="9" t="s">
        <v>3213</v>
      </c>
      <c r="E7433" s="5">
        <v>2020</v>
      </c>
      <c r="F7433" s="5">
        <v>2020</v>
      </c>
      <c r="G7433" s="9" t="s">
        <v>2480</v>
      </c>
      <c r="H7433" s="9">
        <v>500</v>
      </c>
      <c r="I7433" s="9">
        <v>500</v>
      </c>
      <c r="J7433" s="5"/>
      <c r="K7433" s="5"/>
      <c r="L7433" s="10">
        <v>20201118</v>
      </c>
      <c r="M7433" s="36" t="str">
        <f t="shared" si="116"/>
        <v>19861214</v>
      </c>
    </row>
    <row r="7434" s="1" customFormat="1" spans="1:13">
      <c r="A7434" s="2">
        <v>2394</v>
      </c>
      <c r="B7434" s="5" t="s">
        <v>5328</v>
      </c>
      <c r="C7434" s="16" t="s">
        <v>5329</v>
      </c>
      <c r="D7434" s="16" t="s">
        <v>5330</v>
      </c>
      <c r="E7434" s="5" t="s">
        <v>15</v>
      </c>
      <c r="F7434" s="5" t="s">
        <v>15</v>
      </c>
      <c r="G7434" s="14" t="s">
        <v>16</v>
      </c>
      <c r="H7434" s="6">
        <v>200</v>
      </c>
      <c r="I7434" s="6">
        <v>200</v>
      </c>
      <c r="J7434" s="17" t="s">
        <v>5331</v>
      </c>
      <c r="K7434" s="5"/>
      <c r="L7434" s="10">
        <v>20201118</v>
      </c>
      <c r="M7434" s="36" t="str">
        <f t="shared" si="116"/>
        <v>19861214</v>
      </c>
    </row>
    <row r="7435" s="1" customFormat="1" spans="1:13">
      <c r="A7435" s="2">
        <v>342</v>
      </c>
      <c r="B7435" s="14" t="s">
        <v>327</v>
      </c>
      <c r="C7435" s="17" t="s">
        <v>914</v>
      </c>
      <c r="D7435" s="306" t="s">
        <v>915</v>
      </c>
      <c r="E7435" s="5">
        <v>2020</v>
      </c>
      <c r="F7435" s="5">
        <v>2020</v>
      </c>
      <c r="G7435" s="14" t="s">
        <v>16</v>
      </c>
      <c r="H7435" s="17">
        <v>200</v>
      </c>
      <c r="I7435" s="17">
        <v>200</v>
      </c>
      <c r="J7435" s="17"/>
      <c r="K7435" s="10"/>
      <c r="L7435" s="14" t="s">
        <v>330</v>
      </c>
      <c r="M7435" s="36" t="str">
        <f t="shared" si="116"/>
        <v>19861215</v>
      </c>
    </row>
    <row r="7436" s="1" customFormat="1" spans="1:13">
      <c r="A7436" s="2">
        <v>6780</v>
      </c>
      <c r="B7436" s="5" t="s">
        <v>13027</v>
      </c>
      <c r="C7436" s="15" t="s">
        <v>13520</v>
      </c>
      <c r="D7436" s="16" t="s">
        <v>13521</v>
      </c>
      <c r="E7436" s="5">
        <v>2020</v>
      </c>
      <c r="F7436" s="5">
        <v>2020</v>
      </c>
      <c r="G7436" s="14" t="s">
        <v>295</v>
      </c>
      <c r="H7436" s="15">
        <v>200</v>
      </c>
      <c r="I7436" s="15">
        <v>200</v>
      </c>
      <c r="J7436" s="5"/>
      <c r="K7436" s="10"/>
      <c r="L7436" s="10">
        <v>20201118</v>
      </c>
      <c r="M7436" s="36" t="str">
        <f t="shared" si="116"/>
        <v>19861217</v>
      </c>
    </row>
    <row r="7437" s="1" customFormat="1" spans="1:13">
      <c r="A7437" s="2">
        <v>2360</v>
      </c>
      <c r="B7437" s="9" t="s">
        <v>4837</v>
      </c>
      <c r="C7437" s="9" t="s">
        <v>5259</v>
      </c>
      <c r="D7437" s="9" t="s">
        <v>5260</v>
      </c>
      <c r="E7437" s="6" t="s">
        <v>15</v>
      </c>
      <c r="F7437" s="6">
        <v>2020</v>
      </c>
      <c r="G7437" s="9" t="s">
        <v>2480</v>
      </c>
      <c r="H7437" s="9">
        <v>200</v>
      </c>
      <c r="I7437" s="9">
        <v>200</v>
      </c>
      <c r="J7437" s="6"/>
      <c r="K7437" s="10"/>
      <c r="L7437" s="10">
        <v>20201118</v>
      </c>
      <c r="M7437" s="36" t="str">
        <f t="shared" si="116"/>
        <v>19861221</v>
      </c>
    </row>
    <row r="7438" s="1" customFormat="1" spans="1:13">
      <c r="A7438" s="2">
        <v>7429</v>
      </c>
      <c r="B7438" s="5" t="s">
        <v>14402</v>
      </c>
      <c r="C7438" s="5" t="s">
        <v>14480</v>
      </c>
      <c r="D7438" s="5" t="s">
        <v>14481</v>
      </c>
      <c r="E7438" s="5">
        <v>2020</v>
      </c>
      <c r="F7438" s="5">
        <v>2020</v>
      </c>
      <c r="G7438" s="17" t="s">
        <v>16</v>
      </c>
      <c r="H7438" s="5">
        <v>200</v>
      </c>
      <c r="I7438" s="5">
        <v>200</v>
      </c>
      <c r="J7438" s="5"/>
      <c r="K7438" s="10"/>
      <c r="L7438" s="10">
        <v>20201118</v>
      </c>
      <c r="M7438" s="36" t="str">
        <f t="shared" si="116"/>
        <v>19861228</v>
      </c>
    </row>
    <row r="7439" s="1" customFormat="1" spans="1:13">
      <c r="A7439" s="2">
        <v>1317</v>
      </c>
      <c r="B7439" s="5" t="s">
        <v>2469</v>
      </c>
      <c r="C7439" s="9" t="s">
        <v>3214</v>
      </c>
      <c r="D7439" s="9" t="s">
        <v>3215</v>
      </c>
      <c r="E7439" s="5">
        <v>2020</v>
      </c>
      <c r="F7439" s="5">
        <v>2020</v>
      </c>
      <c r="G7439" s="9" t="s">
        <v>2480</v>
      </c>
      <c r="H7439" s="9">
        <v>200</v>
      </c>
      <c r="I7439" s="9">
        <v>200</v>
      </c>
      <c r="J7439" s="5"/>
      <c r="K7439" s="5"/>
      <c r="L7439" s="10">
        <v>20201118</v>
      </c>
      <c r="M7439" s="36" t="str">
        <f t="shared" si="116"/>
        <v>19861229</v>
      </c>
    </row>
    <row r="7440" s="1" customFormat="1" ht="14.25" spans="1:13">
      <c r="A7440" s="2">
        <v>5978</v>
      </c>
      <c r="B7440" s="30" t="s">
        <v>11090</v>
      </c>
      <c r="C7440" s="32" t="s">
        <v>12002</v>
      </c>
      <c r="D7440" s="12" t="s">
        <v>12003</v>
      </c>
      <c r="E7440" s="5" t="s">
        <v>15</v>
      </c>
      <c r="F7440" s="5" t="s">
        <v>10250</v>
      </c>
      <c r="G7440" s="6" t="s">
        <v>16</v>
      </c>
      <c r="H7440" s="32">
        <v>200</v>
      </c>
      <c r="I7440" s="32">
        <v>200</v>
      </c>
      <c r="J7440" s="6"/>
      <c r="K7440" s="48"/>
      <c r="L7440" s="10">
        <v>20201118</v>
      </c>
      <c r="M7440" s="36" t="str">
        <f t="shared" si="116"/>
        <v>19870102</v>
      </c>
    </row>
    <row r="7441" s="1" customFormat="1" spans="1:13">
      <c r="A7441" s="2">
        <v>2737</v>
      </c>
      <c r="B7441" s="32" t="s">
        <v>5602</v>
      </c>
      <c r="C7441" s="9" t="s">
        <v>6004</v>
      </c>
      <c r="D7441" s="9" t="s">
        <v>6005</v>
      </c>
      <c r="E7441" s="32">
        <v>2020</v>
      </c>
      <c r="F7441" s="32">
        <v>2020</v>
      </c>
      <c r="G7441" s="32" t="s">
        <v>16</v>
      </c>
      <c r="H7441" s="9">
        <v>200</v>
      </c>
      <c r="I7441" s="9">
        <v>200</v>
      </c>
      <c r="J7441" s="32"/>
      <c r="K7441" s="52"/>
      <c r="L7441" s="10">
        <v>20201118</v>
      </c>
      <c r="M7441" s="36" t="str">
        <f t="shared" si="116"/>
        <v>19870104</v>
      </c>
    </row>
    <row r="7442" s="1" customFormat="1" spans="1:13">
      <c r="A7442" s="2">
        <v>900</v>
      </c>
      <c r="B7442" s="29" t="s">
        <v>1040</v>
      </c>
      <c r="C7442" s="6" t="s">
        <v>2347</v>
      </c>
      <c r="D7442" s="6" t="s">
        <v>2348</v>
      </c>
      <c r="E7442" s="30">
        <v>2020</v>
      </c>
      <c r="F7442" s="30">
        <v>2020</v>
      </c>
      <c r="G7442" s="29" t="s">
        <v>16</v>
      </c>
      <c r="H7442" s="29">
        <v>200</v>
      </c>
      <c r="I7442" s="29">
        <v>200</v>
      </c>
      <c r="J7442" s="32"/>
      <c r="K7442" s="32"/>
      <c r="L7442" s="2" t="s">
        <v>330</v>
      </c>
      <c r="M7442" s="36" t="str">
        <f t="shared" si="116"/>
        <v>19870105</v>
      </c>
    </row>
    <row r="7443" s="1" customFormat="1" spans="1:13">
      <c r="A7443" s="2">
        <v>2361</v>
      </c>
      <c r="B7443" s="9" t="s">
        <v>4837</v>
      </c>
      <c r="C7443" s="9" t="s">
        <v>5261</v>
      </c>
      <c r="D7443" s="9" t="s">
        <v>5262</v>
      </c>
      <c r="E7443" s="6" t="s">
        <v>15</v>
      </c>
      <c r="F7443" s="6">
        <v>2020</v>
      </c>
      <c r="G7443" s="9" t="s">
        <v>2480</v>
      </c>
      <c r="H7443" s="9">
        <v>200</v>
      </c>
      <c r="I7443" s="9">
        <v>200</v>
      </c>
      <c r="J7443" s="6"/>
      <c r="K7443" s="10"/>
      <c r="L7443" s="10">
        <v>20201118</v>
      </c>
      <c r="M7443" s="36" t="str">
        <f t="shared" si="116"/>
        <v>19870108</v>
      </c>
    </row>
    <row r="7444" s="1" customFormat="1" spans="1:13">
      <c r="A7444" s="2">
        <v>7195</v>
      </c>
      <c r="B7444" s="5" t="s">
        <v>13908</v>
      </c>
      <c r="C7444" s="5" t="s">
        <v>14039</v>
      </c>
      <c r="D7444" s="5" t="s">
        <v>14040</v>
      </c>
      <c r="E7444" s="5" t="s">
        <v>15</v>
      </c>
      <c r="F7444" s="5" t="s">
        <v>15</v>
      </c>
      <c r="G7444" s="14" t="s">
        <v>16</v>
      </c>
      <c r="H7444" s="17">
        <v>200</v>
      </c>
      <c r="I7444" s="17">
        <v>200</v>
      </c>
      <c r="J7444" s="5"/>
      <c r="K7444" s="10"/>
      <c r="L7444" s="10">
        <v>20201118</v>
      </c>
      <c r="M7444" s="36" t="str">
        <f t="shared" si="116"/>
        <v>19870113</v>
      </c>
    </row>
    <row r="7445" s="1" customFormat="1" spans="1:13">
      <c r="A7445" s="2">
        <v>4862</v>
      </c>
      <c r="B7445" s="6" t="s">
        <v>9015</v>
      </c>
      <c r="C7445" s="6" t="s">
        <v>9867</v>
      </c>
      <c r="D7445" s="293" t="s">
        <v>9868</v>
      </c>
      <c r="E7445" s="6">
        <v>2020</v>
      </c>
      <c r="F7445" s="6">
        <v>2020</v>
      </c>
      <c r="G7445" s="6" t="s">
        <v>16</v>
      </c>
      <c r="H7445" s="6">
        <v>200</v>
      </c>
      <c r="I7445" s="6">
        <v>200</v>
      </c>
      <c r="J7445" s="6"/>
      <c r="K7445" s="6"/>
      <c r="L7445" s="10">
        <v>20201118</v>
      </c>
      <c r="M7445" s="36" t="str">
        <f t="shared" si="116"/>
        <v>19870114</v>
      </c>
    </row>
    <row r="7446" s="1" customFormat="1" spans="1:13">
      <c r="A7446" s="2">
        <v>2738</v>
      </c>
      <c r="B7446" s="32" t="s">
        <v>5602</v>
      </c>
      <c r="C7446" s="9" t="s">
        <v>6006</v>
      </c>
      <c r="D7446" s="9" t="s">
        <v>6007</v>
      </c>
      <c r="E7446" s="32">
        <v>2020</v>
      </c>
      <c r="F7446" s="32">
        <v>2020</v>
      </c>
      <c r="G7446" s="32" t="s">
        <v>16</v>
      </c>
      <c r="H7446" s="9">
        <v>200</v>
      </c>
      <c r="I7446" s="9">
        <v>200</v>
      </c>
      <c r="J7446" s="32"/>
      <c r="K7446" s="52"/>
      <c r="L7446" s="10">
        <v>20201118</v>
      </c>
      <c r="M7446" s="36" t="str">
        <f t="shared" si="116"/>
        <v>19870115</v>
      </c>
    </row>
    <row r="7447" s="1" customFormat="1" spans="1:13">
      <c r="A7447" s="2">
        <v>7215</v>
      </c>
      <c r="B7447" s="5" t="s">
        <v>13908</v>
      </c>
      <c r="C7447" s="5" t="s">
        <v>14076</v>
      </c>
      <c r="D7447" s="5" t="s">
        <v>14077</v>
      </c>
      <c r="E7447" s="5" t="s">
        <v>15</v>
      </c>
      <c r="F7447" s="5" t="s">
        <v>15</v>
      </c>
      <c r="G7447" s="14" t="s">
        <v>16</v>
      </c>
      <c r="H7447" s="17">
        <v>200</v>
      </c>
      <c r="I7447" s="17">
        <v>200</v>
      </c>
      <c r="J7447" s="5"/>
      <c r="K7447" s="10"/>
      <c r="L7447" s="10">
        <v>20201118</v>
      </c>
      <c r="M7447" s="36" t="str">
        <f t="shared" si="116"/>
        <v>19870115</v>
      </c>
    </row>
    <row r="7448" s="1" customFormat="1" spans="1:13">
      <c r="A7448" s="2">
        <v>4781</v>
      </c>
      <c r="B7448" s="6" t="s">
        <v>9015</v>
      </c>
      <c r="C7448" s="6" t="s">
        <v>9713</v>
      </c>
      <c r="D7448" s="6" t="s">
        <v>9714</v>
      </c>
      <c r="E7448" s="6">
        <v>2020</v>
      </c>
      <c r="F7448" s="6">
        <v>2020</v>
      </c>
      <c r="G7448" s="6" t="s">
        <v>16</v>
      </c>
      <c r="H7448" s="6">
        <v>200</v>
      </c>
      <c r="I7448" s="6">
        <v>200</v>
      </c>
      <c r="J7448" s="6"/>
      <c r="K7448" s="6"/>
      <c r="L7448" s="10">
        <v>20201118</v>
      </c>
      <c r="M7448" s="36" t="str">
        <f t="shared" si="116"/>
        <v>19870117</v>
      </c>
    </row>
    <row r="7449" s="1" customFormat="1" spans="1:13">
      <c r="A7449" s="2">
        <v>6801</v>
      </c>
      <c r="B7449" s="5" t="s">
        <v>13533</v>
      </c>
      <c r="C7449" s="32" t="s">
        <v>13554</v>
      </c>
      <c r="D7449" s="32" t="str">
        <f>"152326198701207161"</f>
        <v>152326198701207161</v>
      </c>
      <c r="E7449" s="5">
        <v>2020</v>
      </c>
      <c r="F7449" s="5">
        <v>2020</v>
      </c>
      <c r="G7449" s="9" t="s">
        <v>2480</v>
      </c>
      <c r="H7449" s="32">
        <v>200</v>
      </c>
      <c r="I7449" s="32">
        <v>200</v>
      </c>
      <c r="J7449" s="62"/>
      <c r="K7449" s="10"/>
      <c r="L7449" s="10">
        <v>20201118</v>
      </c>
      <c r="M7449" s="36" t="str">
        <f t="shared" si="116"/>
        <v>19870120</v>
      </c>
    </row>
    <row r="7450" s="1" customFormat="1" spans="1:13">
      <c r="A7450" s="2">
        <v>7278</v>
      </c>
      <c r="B7450" s="5" t="s">
        <v>13908</v>
      </c>
      <c r="C7450" s="5" t="s">
        <v>11859</v>
      </c>
      <c r="D7450" s="5" t="s">
        <v>14197</v>
      </c>
      <c r="E7450" s="5" t="s">
        <v>15</v>
      </c>
      <c r="F7450" s="5" t="s">
        <v>15</v>
      </c>
      <c r="G7450" s="14" t="s">
        <v>16</v>
      </c>
      <c r="H7450" s="17">
        <v>200</v>
      </c>
      <c r="I7450" s="17">
        <v>200</v>
      </c>
      <c r="J7450" s="5"/>
      <c r="K7450" s="10"/>
      <c r="L7450" s="10">
        <v>20201118</v>
      </c>
      <c r="M7450" s="36" t="str">
        <f t="shared" si="116"/>
        <v>19870128</v>
      </c>
    </row>
    <row r="7451" s="1" customFormat="1" spans="1:13">
      <c r="A7451" s="2">
        <v>7840</v>
      </c>
      <c r="B7451" s="5" t="s">
        <v>15086</v>
      </c>
      <c r="C7451" s="6" t="s">
        <v>15111</v>
      </c>
      <c r="D7451" s="6" t="str">
        <f>"152326198702016885"</f>
        <v>152326198702016885</v>
      </c>
      <c r="E7451" s="5" t="s">
        <v>15</v>
      </c>
      <c r="F7451" s="5">
        <v>2020</v>
      </c>
      <c r="G7451" s="5" t="s">
        <v>16</v>
      </c>
      <c r="H7451" s="5">
        <v>200</v>
      </c>
      <c r="I7451" s="5">
        <v>200</v>
      </c>
      <c r="J7451" s="5"/>
      <c r="K7451" s="5"/>
      <c r="L7451" s="10">
        <v>20201118</v>
      </c>
      <c r="M7451" s="36" t="str">
        <f t="shared" si="116"/>
        <v>19870201</v>
      </c>
    </row>
    <row r="7452" s="1" customFormat="1" spans="1:13">
      <c r="A7452" s="2">
        <v>2739</v>
      </c>
      <c r="B7452" s="32" t="s">
        <v>5602</v>
      </c>
      <c r="C7452" s="9" t="s">
        <v>6008</v>
      </c>
      <c r="D7452" s="9" t="s">
        <v>6009</v>
      </c>
      <c r="E7452" s="32">
        <v>2020</v>
      </c>
      <c r="F7452" s="32">
        <v>2020</v>
      </c>
      <c r="G7452" s="32" t="s">
        <v>16</v>
      </c>
      <c r="H7452" s="9">
        <v>200</v>
      </c>
      <c r="I7452" s="9">
        <v>200</v>
      </c>
      <c r="J7452" s="32"/>
      <c r="K7452" s="52"/>
      <c r="L7452" s="10">
        <v>20201118</v>
      </c>
      <c r="M7452" s="36" t="str">
        <f t="shared" si="116"/>
        <v>19870204</v>
      </c>
    </row>
    <row r="7453" s="1" customFormat="1" spans="1:13">
      <c r="A7453" s="2">
        <v>4098</v>
      </c>
      <c r="B7453" s="5" t="s">
        <v>7412</v>
      </c>
      <c r="C7453" s="5" t="s">
        <v>8407</v>
      </c>
      <c r="D7453" s="5" t="s">
        <v>8408</v>
      </c>
      <c r="E7453" s="6">
        <v>2020</v>
      </c>
      <c r="F7453" s="6">
        <v>2020</v>
      </c>
      <c r="G7453" s="5" t="s">
        <v>3359</v>
      </c>
      <c r="H7453" s="5">
        <v>200</v>
      </c>
      <c r="I7453" s="5">
        <v>200</v>
      </c>
      <c r="J7453" s="5"/>
      <c r="K7453" s="5"/>
      <c r="L7453" s="10">
        <v>20201118</v>
      </c>
      <c r="M7453" s="36" t="str">
        <f t="shared" si="116"/>
        <v>19870205</v>
      </c>
    </row>
    <row r="7454" s="1" customFormat="1" spans="1:13">
      <c r="A7454" s="2">
        <v>1318</v>
      </c>
      <c r="B7454" s="5" t="s">
        <v>2469</v>
      </c>
      <c r="C7454" s="9" t="s">
        <v>3216</v>
      </c>
      <c r="D7454" s="9" t="s">
        <v>3217</v>
      </c>
      <c r="E7454" s="5">
        <v>2020</v>
      </c>
      <c r="F7454" s="5">
        <v>2020</v>
      </c>
      <c r="G7454" s="9" t="s">
        <v>2480</v>
      </c>
      <c r="H7454" s="9">
        <v>200</v>
      </c>
      <c r="I7454" s="9">
        <v>200</v>
      </c>
      <c r="J7454" s="5"/>
      <c r="K7454" s="5"/>
      <c r="L7454" s="10">
        <v>20201118</v>
      </c>
      <c r="M7454" s="36" t="str">
        <f t="shared" si="116"/>
        <v>19870209</v>
      </c>
    </row>
    <row r="7455" s="1" customFormat="1" spans="1:13">
      <c r="A7455" s="2">
        <v>2362</v>
      </c>
      <c r="B7455" s="9" t="s">
        <v>4837</v>
      </c>
      <c r="C7455" s="9" t="s">
        <v>5263</v>
      </c>
      <c r="D7455" s="9" t="s">
        <v>5264</v>
      </c>
      <c r="E7455" s="6" t="s">
        <v>15</v>
      </c>
      <c r="F7455" s="6">
        <v>2020</v>
      </c>
      <c r="G7455" s="9" t="s">
        <v>2480</v>
      </c>
      <c r="H7455" s="9">
        <v>200</v>
      </c>
      <c r="I7455" s="9">
        <v>200</v>
      </c>
      <c r="J7455" s="6"/>
      <c r="K7455" s="10"/>
      <c r="L7455" s="10">
        <v>20201118</v>
      </c>
      <c r="M7455" s="36" t="str">
        <f t="shared" si="116"/>
        <v>19870210</v>
      </c>
    </row>
    <row r="7456" s="1" customFormat="1" spans="1:13">
      <c r="A7456" s="2">
        <v>4099</v>
      </c>
      <c r="B7456" s="5" t="s">
        <v>7412</v>
      </c>
      <c r="C7456" s="5" t="s">
        <v>8409</v>
      </c>
      <c r="D7456" s="5" t="s">
        <v>8410</v>
      </c>
      <c r="E7456" s="6">
        <v>2020</v>
      </c>
      <c r="F7456" s="6">
        <v>2020</v>
      </c>
      <c r="G7456" s="5" t="s">
        <v>3359</v>
      </c>
      <c r="H7456" s="5">
        <v>200</v>
      </c>
      <c r="I7456" s="5">
        <v>200</v>
      </c>
      <c r="J7456" s="5"/>
      <c r="K7456" s="5"/>
      <c r="L7456" s="10">
        <v>20201118</v>
      </c>
      <c r="M7456" s="36" t="str">
        <f t="shared" si="116"/>
        <v>19870223</v>
      </c>
    </row>
    <row r="7457" s="1" customFormat="1" spans="1:13">
      <c r="A7457" s="2">
        <v>7426</v>
      </c>
      <c r="B7457" s="5" t="s">
        <v>14402</v>
      </c>
      <c r="C7457" s="5" t="s">
        <v>14474</v>
      </c>
      <c r="D7457" s="5" t="s">
        <v>14475</v>
      </c>
      <c r="E7457" s="5">
        <v>2020</v>
      </c>
      <c r="F7457" s="5">
        <v>2020</v>
      </c>
      <c r="G7457" s="17" t="s">
        <v>16</v>
      </c>
      <c r="H7457" s="5">
        <v>300</v>
      </c>
      <c r="I7457" s="5">
        <v>300</v>
      </c>
      <c r="J7457" s="5"/>
      <c r="K7457" s="10"/>
      <c r="L7457" s="10">
        <v>20201118</v>
      </c>
      <c r="M7457" s="36" t="str">
        <f t="shared" si="116"/>
        <v>19870224</v>
      </c>
    </row>
    <row r="7458" s="1" customFormat="1" spans="1:13">
      <c r="A7458" s="2">
        <v>1319</v>
      </c>
      <c r="B7458" s="5" t="s">
        <v>2469</v>
      </c>
      <c r="C7458" s="9" t="s">
        <v>3218</v>
      </c>
      <c r="D7458" s="9" t="s">
        <v>3219</v>
      </c>
      <c r="E7458" s="5">
        <v>2020</v>
      </c>
      <c r="F7458" s="5">
        <v>2020</v>
      </c>
      <c r="G7458" s="9" t="s">
        <v>2480</v>
      </c>
      <c r="H7458" s="9">
        <v>200</v>
      </c>
      <c r="I7458" s="9">
        <v>200</v>
      </c>
      <c r="J7458" s="5"/>
      <c r="K7458" s="5"/>
      <c r="L7458" s="10">
        <v>20201118</v>
      </c>
      <c r="M7458" s="36" t="str">
        <f t="shared" si="116"/>
        <v>19870225</v>
      </c>
    </row>
    <row r="7459" s="1" customFormat="1" spans="1:13">
      <c r="A7459" s="2">
        <v>2740</v>
      </c>
      <c r="B7459" s="32" t="s">
        <v>5602</v>
      </c>
      <c r="C7459" s="9" t="s">
        <v>6010</v>
      </c>
      <c r="D7459" s="9" t="s">
        <v>6011</v>
      </c>
      <c r="E7459" s="32">
        <v>2020</v>
      </c>
      <c r="F7459" s="32">
        <v>2020</v>
      </c>
      <c r="G7459" s="32" t="s">
        <v>16</v>
      </c>
      <c r="H7459" s="9">
        <v>200</v>
      </c>
      <c r="I7459" s="9">
        <v>200</v>
      </c>
      <c r="J7459" s="32"/>
      <c r="K7459" s="52"/>
      <c r="L7459" s="10">
        <v>20201118</v>
      </c>
      <c r="M7459" s="36" t="str">
        <f t="shared" si="116"/>
        <v>19870225</v>
      </c>
    </row>
    <row r="7460" s="1" customFormat="1" spans="1:13">
      <c r="A7460" s="2">
        <v>4590</v>
      </c>
      <c r="B7460" s="6" t="s">
        <v>9015</v>
      </c>
      <c r="C7460" s="6" t="s">
        <v>9355</v>
      </c>
      <c r="D7460" s="6" t="s">
        <v>9356</v>
      </c>
      <c r="E7460" s="6">
        <v>2020</v>
      </c>
      <c r="F7460" s="6">
        <v>2020</v>
      </c>
      <c r="G7460" s="6" t="s">
        <v>16</v>
      </c>
      <c r="H7460" s="6">
        <v>200</v>
      </c>
      <c r="I7460" s="6">
        <v>200</v>
      </c>
      <c r="J7460" s="6"/>
      <c r="K7460" s="6"/>
      <c r="L7460" s="10">
        <v>20201118</v>
      </c>
      <c r="M7460" s="36" t="str">
        <f t="shared" si="116"/>
        <v>19870227</v>
      </c>
    </row>
    <row r="7461" s="1" customFormat="1" spans="1:13">
      <c r="A7461" s="2">
        <v>7419</v>
      </c>
      <c r="B7461" s="5" t="s">
        <v>14402</v>
      </c>
      <c r="C7461" s="5" t="s">
        <v>14460</v>
      </c>
      <c r="D7461" s="5" t="s">
        <v>14461</v>
      </c>
      <c r="E7461" s="5">
        <v>2020</v>
      </c>
      <c r="F7461" s="5">
        <v>2020</v>
      </c>
      <c r="G7461" s="17" t="s">
        <v>16</v>
      </c>
      <c r="H7461" s="5">
        <v>200</v>
      </c>
      <c r="I7461" s="5">
        <v>200</v>
      </c>
      <c r="J7461" s="5"/>
      <c r="K7461" s="10"/>
      <c r="L7461" s="10">
        <v>20201118</v>
      </c>
      <c r="M7461" s="36" t="str">
        <f t="shared" si="116"/>
        <v>19870305</v>
      </c>
    </row>
    <row r="7462" s="1" customFormat="1" spans="1:13">
      <c r="A7462" s="2">
        <v>361</v>
      </c>
      <c r="B7462" s="14" t="s">
        <v>327</v>
      </c>
      <c r="C7462" s="17" t="s">
        <v>970</v>
      </c>
      <c r="D7462" s="306" t="s">
        <v>971</v>
      </c>
      <c r="E7462" s="5">
        <v>2020</v>
      </c>
      <c r="F7462" s="5">
        <v>2020</v>
      </c>
      <c r="G7462" s="14" t="s">
        <v>16</v>
      </c>
      <c r="H7462" s="17">
        <v>200</v>
      </c>
      <c r="I7462" s="17">
        <v>200</v>
      </c>
      <c r="J7462" s="17"/>
      <c r="K7462" s="10"/>
      <c r="L7462" s="2" t="s">
        <v>330</v>
      </c>
      <c r="M7462" s="36" t="str">
        <f t="shared" si="116"/>
        <v>19870307</v>
      </c>
    </row>
    <row r="7463" s="1" customFormat="1" spans="1:13">
      <c r="A7463" s="2">
        <v>5503</v>
      </c>
      <c r="B7463" s="30" t="s">
        <v>11090</v>
      </c>
      <c r="C7463" s="30" t="s">
        <v>11101</v>
      </c>
      <c r="D7463" s="30" t="s">
        <v>11102</v>
      </c>
      <c r="E7463" s="5" t="s">
        <v>15</v>
      </c>
      <c r="F7463" s="5" t="s">
        <v>10250</v>
      </c>
      <c r="G7463" s="6" t="s">
        <v>16</v>
      </c>
      <c r="H7463" s="32">
        <v>200</v>
      </c>
      <c r="I7463" s="32">
        <v>200</v>
      </c>
      <c r="J7463" s="6"/>
      <c r="K7463" s="48"/>
      <c r="L7463" s="10">
        <v>20201118</v>
      </c>
      <c r="M7463" s="36" t="str">
        <f t="shared" si="116"/>
        <v>19870309</v>
      </c>
    </row>
    <row r="7464" s="1" customFormat="1" spans="1:13">
      <c r="A7464" s="2">
        <v>7422</v>
      </c>
      <c r="B7464" s="5" t="s">
        <v>14402</v>
      </c>
      <c r="C7464" s="5" t="s">
        <v>14466</v>
      </c>
      <c r="D7464" s="5" t="s">
        <v>14467</v>
      </c>
      <c r="E7464" s="5">
        <v>2020</v>
      </c>
      <c r="F7464" s="5">
        <v>2020</v>
      </c>
      <c r="G7464" s="17" t="s">
        <v>16</v>
      </c>
      <c r="H7464" s="5">
        <v>200</v>
      </c>
      <c r="I7464" s="5">
        <v>200</v>
      </c>
      <c r="J7464" s="5"/>
      <c r="K7464" s="10"/>
      <c r="L7464" s="10">
        <v>20201118</v>
      </c>
      <c r="M7464" s="36" t="str">
        <f t="shared" si="116"/>
        <v>19870312</v>
      </c>
    </row>
    <row r="7465" s="1" customFormat="1" spans="1:13">
      <c r="A7465" s="2">
        <v>4100</v>
      </c>
      <c r="B7465" s="5" t="s">
        <v>7412</v>
      </c>
      <c r="C7465" s="5" t="s">
        <v>8411</v>
      </c>
      <c r="D7465" s="5" t="s">
        <v>8412</v>
      </c>
      <c r="E7465" s="6">
        <v>2020</v>
      </c>
      <c r="F7465" s="6">
        <v>2020</v>
      </c>
      <c r="G7465" s="5" t="s">
        <v>3359</v>
      </c>
      <c r="H7465" s="5">
        <v>200</v>
      </c>
      <c r="I7465" s="5">
        <v>200</v>
      </c>
      <c r="J7465" s="5"/>
      <c r="K7465" s="5"/>
      <c r="L7465" s="10">
        <v>20201118</v>
      </c>
      <c r="M7465" s="36" t="str">
        <f t="shared" si="116"/>
        <v>19870315</v>
      </c>
    </row>
    <row r="7466" s="1" customFormat="1" spans="1:13">
      <c r="A7466" s="2">
        <v>5716</v>
      </c>
      <c r="B7466" s="30" t="s">
        <v>11090</v>
      </c>
      <c r="C7466" s="30" t="s">
        <v>11517</v>
      </c>
      <c r="D7466" s="30" t="s">
        <v>11518</v>
      </c>
      <c r="E7466" s="5" t="s">
        <v>15</v>
      </c>
      <c r="F7466" s="5" t="s">
        <v>10250</v>
      </c>
      <c r="G7466" s="6" t="s">
        <v>16</v>
      </c>
      <c r="H7466" s="32">
        <v>200</v>
      </c>
      <c r="I7466" s="32">
        <v>200</v>
      </c>
      <c r="J7466" s="6"/>
      <c r="K7466" s="48"/>
      <c r="L7466" s="10">
        <v>20201118</v>
      </c>
      <c r="M7466" s="36" t="str">
        <f t="shared" si="116"/>
        <v>19870315</v>
      </c>
    </row>
    <row r="7467" s="1" customFormat="1" spans="1:13">
      <c r="A7467" s="2">
        <v>7206</v>
      </c>
      <c r="B7467" s="5" t="s">
        <v>13908</v>
      </c>
      <c r="C7467" s="5" t="s">
        <v>14061</v>
      </c>
      <c r="D7467" s="5" t="s">
        <v>14062</v>
      </c>
      <c r="E7467" s="5" t="s">
        <v>15</v>
      </c>
      <c r="F7467" s="5" t="s">
        <v>15</v>
      </c>
      <c r="G7467" s="14" t="s">
        <v>16</v>
      </c>
      <c r="H7467" s="17">
        <v>500</v>
      </c>
      <c r="I7467" s="17">
        <v>500</v>
      </c>
      <c r="J7467" s="5"/>
      <c r="K7467" s="10"/>
      <c r="L7467" s="10">
        <v>20201118</v>
      </c>
      <c r="M7467" s="36" t="str">
        <f t="shared" si="116"/>
        <v>19870320</v>
      </c>
    </row>
    <row r="7468" s="1" customFormat="1" ht="14.25" spans="1:13">
      <c r="A7468" s="2">
        <v>5464</v>
      </c>
      <c r="B7468" s="33" t="s">
        <v>10535</v>
      </c>
      <c r="C7468" s="34" t="s">
        <v>11026</v>
      </c>
      <c r="D7468" s="34" t="s">
        <v>11027</v>
      </c>
      <c r="E7468" s="35">
        <v>2020</v>
      </c>
      <c r="F7468" s="35">
        <v>2020</v>
      </c>
      <c r="G7468" s="35" t="s">
        <v>16</v>
      </c>
      <c r="H7468" s="34">
        <v>500</v>
      </c>
      <c r="I7468" s="34">
        <v>500</v>
      </c>
      <c r="J7468" s="49"/>
      <c r="K7468" s="10"/>
      <c r="L7468" s="10">
        <v>20201118</v>
      </c>
      <c r="M7468" s="36" t="str">
        <f t="shared" si="116"/>
        <v>19870323</v>
      </c>
    </row>
    <row r="7469" s="1" customFormat="1" spans="1:13">
      <c r="A7469" s="2">
        <v>4101</v>
      </c>
      <c r="B7469" s="5" t="s">
        <v>7412</v>
      </c>
      <c r="C7469" s="5" t="s">
        <v>8413</v>
      </c>
      <c r="D7469" s="5" t="s">
        <v>8414</v>
      </c>
      <c r="E7469" s="6">
        <v>2020</v>
      </c>
      <c r="F7469" s="6">
        <v>2020</v>
      </c>
      <c r="G7469" s="5" t="s">
        <v>3359</v>
      </c>
      <c r="H7469" s="5">
        <v>200</v>
      </c>
      <c r="I7469" s="5">
        <v>200</v>
      </c>
      <c r="J7469" s="5"/>
      <c r="K7469" s="5"/>
      <c r="L7469" s="10">
        <v>20201118</v>
      </c>
      <c r="M7469" s="36" t="str">
        <f t="shared" si="116"/>
        <v>19870401</v>
      </c>
    </row>
    <row r="7470" s="1" customFormat="1" spans="1:13">
      <c r="A7470" s="2">
        <v>5197</v>
      </c>
      <c r="B7470" s="6" t="s">
        <v>10242</v>
      </c>
      <c r="C7470" s="6" t="s">
        <v>10515</v>
      </c>
      <c r="D7470" s="6" t="s">
        <v>10516</v>
      </c>
      <c r="E7470" s="5" t="s">
        <v>10250</v>
      </c>
      <c r="F7470" s="5">
        <v>2020</v>
      </c>
      <c r="G7470" s="6" t="s">
        <v>16</v>
      </c>
      <c r="H7470" s="6">
        <v>200</v>
      </c>
      <c r="I7470" s="6">
        <v>200</v>
      </c>
      <c r="J7470" s="6"/>
      <c r="K7470" s="6"/>
      <c r="L7470" s="10">
        <v>20201118</v>
      </c>
      <c r="M7470" s="36" t="str">
        <f t="shared" si="116"/>
        <v>19870404</v>
      </c>
    </row>
    <row r="7471" s="1" customFormat="1" spans="1:13">
      <c r="A7471" s="2">
        <v>2363</v>
      </c>
      <c r="B7471" s="9" t="s">
        <v>4837</v>
      </c>
      <c r="C7471" s="9" t="s">
        <v>5265</v>
      </c>
      <c r="D7471" s="9" t="s">
        <v>5266</v>
      </c>
      <c r="E7471" s="6" t="s">
        <v>15</v>
      </c>
      <c r="F7471" s="6">
        <v>2020</v>
      </c>
      <c r="G7471" s="9" t="s">
        <v>2480</v>
      </c>
      <c r="H7471" s="9">
        <v>200</v>
      </c>
      <c r="I7471" s="9">
        <v>200</v>
      </c>
      <c r="J7471" s="6"/>
      <c r="K7471" s="10"/>
      <c r="L7471" s="10">
        <v>20201118</v>
      </c>
      <c r="M7471" s="36" t="str">
        <f t="shared" si="116"/>
        <v>19870410</v>
      </c>
    </row>
    <row r="7472" s="1" customFormat="1" spans="1:13">
      <c r="A7472" s="2">
        <v>4384</v>
      </c>
      <c r="B7472" s="9" t="s">
        <v>8515</v>
      </c>
      <c r="C7472" s="9" t="s">
        <v>8956</v>
      </c>
      <c r="D7472" s="9" t="s">
        <v>8957</v>
      </c>
      <c r="E7472" s="5" t="s">
        <v>15</v>
      </c>
      <c r="F7472" s="5">
        <v>2020</v>
      </c>
      <c r="G7472" s="9" t="s">
        <v>2480</v>
      </c>
      <c r="H7472" s="9">
        <v>500</v>
      </c>
      <c r="I7472" s="9">
        <v>500</v>
      </c>
      <c r="J7472" s="9"/>
      <c r="K7472" s="9"/>
      <c r="L7472" s="10">
        <v>20201118</v>
      </c>
      <c r="M7472" s="36" t="str">
        <f t="shared" si="116"/>
        <v>19870420</v>
      </c>
    </row>
    <row r="7473" s="1" customFormat="1" spans="1:13">
      <c r="A7473" s="2">
        <v>812</v>
      </c>
      <c r="B7473" s="29" t="s">
        <v>1040</v>
      </c>
      <c r="C7473" s="5" t="s">
        <v>2086</v>
      </c>
      <c r="D7473" s="317" t="s">
        <v>2087</v>
      </c>
      <c r="E7473" s="30">
        <v>2020</v>
      </c>
      <c r="F7473" s="30">
        <v>2020</v>
      </c>
      <c r="G7473" s="29" t="s">
        <v>16</v>
      </c>
      <c r="H7473" s="29">
        <v>200</v>
      </c>
      <c r="I7473" s="29">
        <v>200</v>
      </c>
      <c r="J7473" s="32"/>
      <c r="K7473" s="32"/>
      <c r="L7473" s="2" t="s">
        <v>330</v>
      </c>
      <c r="M7473" s="36" t="str">
        <f t="shared" si="116"/>
        <v>19870426</v>
      </c>
    </row>
    <row r="7474" s="1" customFormat="1" spans="1:13">
      <c r="A7474" s="2">
        <v>2060</v>
      </c>
      <c r="B7474" s="5" t="s">
        <v>4189</v>
      </c>
      <c r="C7474" s="16" t="s">
        <v>4674</v>
      </c>
      <c r="D7474" s="16" t="s">
        <v>4675</v>
      </c>
      <c r="E7474" s="5" t="s">
        <v>15</v>
      </c>
      <c r="F7474" s="5" t="s">
        <v>15</v>
      </c>
      <c r="G7474" s="5" t="s">
        <v>3359</v>
      </c>
      <c r="H7474" s="16">
        <v>200</v>
      </c>
      <c r="I7474" s="16">
        <v>200</v>
      </c>
      <c r="J7474" s="5"/>
      <c r="K7474" s="10"/>
      <c r="L7474" s="10">
        <v>20201118</v>
      </c>
      <c r="M7474" s="36" t="str">
        <f t="shared" si="116"/>
        <v>19870430</v>
      </c>
    </row>
    <row r="7475" s="1" customFormat="1" ht="14.25" spans="1:13">
      <c r="A7475" s="2">
        <v>3210</v>
      </c>
      <c r="B7475" s="3" t="s">
        <v>6671</v>
      </c>
      <c r="C7475" s="7" t="s">
        <v>6927</v>
      </c>
      <c r="D7475" s="8" t="s">
        <v>6928</v>
      </c>
      <c r="E7475" s="3" t="s">
        <v>15</v>
      </c>
      <c r="F7475" s="3" t="s">
        <v>15</v>
      </c>
      <c r="G7475" s="6" t="s">
        <v>295</v>
      </c>
      <c r="H7475" s="9">
        <v>200</v>
      </c>
      <c r="I7475" s="9">
        <v>200</v>
      </c>
      <c r="J7475" s="6"/>
      <c r="K7475" s="5"/>
      <c r="L7475" s="10">
        <v>20201118</v>
      </c>
      <c r="M7475" s="36" t="str">
        <f t="shared" si="116"/>
        <v>19870501</v>
      </c>
    </row>
    <row r="7476" s="1" customFormat="1" spans="1:13">
      <c r="A7476" s="2">
        <v>5573</v>
      </c>
      <c r="B7476" s="30" t="s">
        <v>11090</v>
      </c>
      <c r="C7476" s="30" t="s">
        <v>11240</v>
      </c>
      <c r="D7476" s="30" t="s">
        <v>11241</v>
      </c>
      <c r="E7476" s="5" t="s">
        <v>15</v>
      </c>
      <c r="F7476" s="5" t="s">
        <v>10250</v>
      </c>
      <c r="G7476" s="6" t="s">
        <v>16</v>
      </c>
      <c r="H7476" s="32">
        <v>200</v>
      </c>
      <c r="I7476" s="32">
        <v>200</v>
      </c>
      <c r="J7476" s="6"/>
      <c r="K7476" s="48"/>
      <c r="L7476" s="10">
        <v>20201118</v>
      </c>
      <c r="M7476" s="36" t="str">
        <f t="shared" si="116"/>
        <v>19870510</v>
      </c>
    </row>
    <row r="7477" s="1" customFormat="1" spans="1:13">
      <c r="A7477" s="2">
        <v>5807</v>
      </c>
      <c r="B7477" s="30" t="s">
        <v>11090</v>
      </c>
      <c r="C7477" s="30" t="s">
        <v>11683</v>
      </c>
      <c r="D7477" s="30" t="s">
        <v>11684</v>
      </c>
      <c r="E7477" s="5" t="s">
        <v>15</v>
      </c>
      <c r="F7477" s="5" t="s">
        <v>10250</v>
      </c>
      <c r="G7477" s="6" t="s">
        <v>16</v>
      </c>
      <c r="H7477" s="32">
        <v>200</v>
      </c>
      <c r="I7477" s="32">
        <v>200</v>
      </c>
      <c r="J7477" s="6"/>
      <c r="K7477" s="48"/>
      <c r="L7477" s="10">
        <v>20201118</v>
      </c>
      <c r="M7477" s="36" t="str">
        <f t="shared" si="116"/>
        <v>19870512</v>
      </c>
    </row>
    <row r="7478" s="1" customFormat="1" spans="1:13">
      <c r="A7478" s="2">
        <v>2070</v>
      </c>
      <c r="B7478" s="5" t="s">
        <v>4189</v>
      </c>
      <c r="C7478" s="16" t="s">
        <v>4693</v>
      </c>
      <c r="D7478" s="16" t="s">
        <v>4694</v>
      </c>
      <c r="E7478" s="5" t="s">
        <v>15</v>
      </c>
      <c r="F7478" s="5" t="s">
        <v>15</v>
      </c>
      <c r="G7478" s="5" t="s">
        <v>3359</v>
      </c>
      <c r="H7478" s="16">
        <v>500</v>
      </c>
      <c r="I7478" s="16">
        <v>500</v>
      </c>
      <c r="J7478" s="5"/>
      <c r="K7478" s="10"/>
      <c r="L7478" s="10">
        <v>20201118</v>
      </c>
      <c r="M7478" s="36" t="str">
        <f t="shared" si="116"/>
        <v>19870519</v>
      </c>
    </row>
    <row r="7479" s="1" customFormat="1" spans="1:13">
      <c r="A7479" s="2">
        <v>6209</v>
      </c>
      <c r="B7479" s="5" t="s">
        <v>12263</v>
      </c>
      <c r="C7479" s="5" t="s">
        <v>12446</v>
      </c>
      <c r="D7479" s="5" t="s">
        <v>12447</v>
      </c>
      <c r="E7479" s="5" t="s">
        <v>10250</v>
      </c>
      <c r="F7479" s="5">
        <v>2020</v>
      </c>
      <c r="G7479" s="17" t="s">
        <v>3359</v>
      </c>
      <c r="H7479" s="5">
        <v>200</v>
      </c>
      <c r="I7479" s="5">
        <v>200</v>
      </c>
      <c r="J7479" s="5"/>
      <c r="K7479" s="5"/>
      <c r="L7479" s="10">
        <v>20201118</v>
      </c>
      <c r="M7479" s="36" t="str">
        <f t="shared" si="116"/>
        <v>19870601</v>
      </c>
    </row>
    <row r="7480" s="1" customFormat="1" ht="14.25" spans="1:13">
      <c r="A7480" s="2">
        <v>3522</v>
      </c>
      <c r="B7480" s="5" t="s">
        <v>3375</v>
      </c>
      <c r="C7480" s="5" t="s">
        <v>7315</v>
      </c>
      <c r="D7480" s="12" t="s">
        <v>7316</v>
      </c>
      <c r="E7480" s="5" t="s">
        <v>15</v>
      </c>
      <c r="F7480" s="5">
        <v>2020</v>
      </c>
      <c r="G7480" s="14" t="s">
        <v>16</v>
      </c>
      <c r="H7480" s="5">
        <v>200</v>
      </c>
      <c r="I7480" s="5">
        <v>200</v>
      </c>
      <c r="J7480" s="5"/>
      <c r="K7480" s="10"/>
      <c r="L7480" s="10">
        <v>20201118</v>
      </c>
      <c r="M7480" s="36" t="str">
        <f t="shared" si="116"/>
        <v>19870605</v>
      </c>
    </row>
    <row r="7481" s="1" customFormat="1" ht="14.25" spans="1:13">
      <c r="A7481" s="2">
        <v>2134</v>
      </c>
      <c r="B7481" s="5" t="s">
        <v>4189</v>
      </c>
      <c r="C7481" s="17" t="s">
        <v>958</v>
      </c>
      <c r="D7481" s="318" t="s">
        <v>4818</v>
      </c>
      <c r="E7481" s="5" t="s">
        <v>15</v>
      </c>
      <c r="F7481" s="5" t="s">
        <v>15</v>
      </c>
      <c r="G7481" s="5" t="s">
        <v>295</v>
      </c>
      <c r="H7481" s="6">
        <v>200</v>
      </c>
      <c r="I7481" s="6">
        <v>200</v>
      </c>
      <c r="J7481" s="6"/>
      <c r="K7481" s="10"/>
      <c r="L7481" s="10">
        <v>20201118</v>
      </c>
      <c r="M7481" s="36" t="str">
        <f t="shared" si="116"/>
        <v>19870606</v>
      </c>
    </row>
    <row r="7482" s="1" customFormat="1" spans="1:13">
      <c r="A7482" s="2">
        <v>4102</v>
      </c>
      <c r="B7482" s="5" t="s">
        <v>7412</v>
      </c>
      <c r="C7482" s="5" t="s">
        <v>8415</v>
      </c>
      <c r="D7482" s="5" t="s">
        <v>8416</v>
      </c>
      <c r="E7482" s="6">
        <v>2020</v>
      </c>
      <c r="F7482" s="6">
        <v>2020</v>
      </c>
      <c r="G7482" s="5" t="s">
        <v>3359</v>
      </c>
      <c r="H7482" s="5">
        <v>200</v>
      </c>
      <c r="I7482" s="5">
        <v>200</v>
      </c>
      <c r="J7482" s="5"/>
      <c r="K7482" s="5"/>
      <c r="L7482" s="10">
        <v>20201118</v>
      </c>
      <c r="M7482" s="36" t="str">
        <f t="shared" si="116"/>
        <v>19870606</v>
      </c>
    </row>
    <row r="7483" s="1" customFormat="1" spans="1:13">
      <c r="A7483" s="2">
        <v>901</v>
      </c>
      <c r="B7483" s="29" t="s">
        <v>1040</v>
      </c>
      <c r="C7483" s="6" t="s">
        <v>2350</v>
      </c>
      <c r="D7483" s="6" t="s">
        <v>2351</v>
      </c>
      <c r="E7483" s="30">
        <v>2020</v>
      </c>
      <c r="F7483" s="30">
        <v>2020</v>
      </c>
      <c r="G7483" s="29" t="s">
        <v>16</v>
      </c>
      <c r="H7483" s="29">
        <v>200</v>
      </c>
      <c r="I7483" s="29">
        <v>200</v>
      </c>
      <c r="J7483" s="32"/>
      <c r="K7483" s="32"/>
      <c r="L7483" s="14" t="s">
        <v>330</v>
      </c>
      <c r="M7483" s="36" t="str">
        <f t="shared" si="116"/>
        <v>19870607</v>
      </c>
    </row>
    <row r="7484" s="1" customFormat="1" spans="1:13">
      <c r="A7484" s="2">
        <v>1740</v>
      </c>
      <c r="B7484" s="5" t="s">
        <v>3381</v>
      </c>
      <c r="C7484" s="9" t="s">
        <v>4040</v>
      </c>
      <c r="D7484" s="9" t="s">
        <v>4041</v>
      </c>
      <c r="E7484" s="5">
        <v>2020</v>
      </c>
      <c r="F7484" s="5">
        <v>2020</v>
      </c>
      <c r="G7484" s="14" t="s">
        <v>16</v>
      </c>
      <c r="H7484" s="6">
        <v>200</v>
      </c>
      <c r="I7484" s="6">
        <v>200</v>
      </c>
      <c r="J7484" s="5"/>
      <c r="K7484" s="13"/>
      <c r="L7484" s="10">
        <v>20201118</v>
      </c>
      <c r="M7484" s="36" t="str">
        <f t="shared" si="116"/>
        <v>19870612</v>
      </c>
    </row>
    <row r="7485" s="1" customFormat="1" spans="1:13">
      <c r="A7485" s="2">
        <v>4103</v>
      </c>
      <c r="B7485" s="5" t="s">
        <v>7412</v>
      </c>
      <c r="C7485" s="5" t="s">
        <v>8417</v>
      </c>
      <c r="D7485" s="5" t="s">
        <v>8418</v>
      </c>
      <c r="E7485" s="6">
        <v>2020</v>
      </c>
      <c r="F7485" s="6">
        <v>2020</v>
      </c>
      <c r="G7485" s="5" t="s">
        <v>3359</v>
      </c>
      <c r="H7485" s="5">
        <v>200</v>
      </c>
      <c r="I7485" s="5">
        <v>200</v>
      </c>
      <c r="J7485" s="5"/>
      <c r="K7485" s="5"/>
      <c r="L7485" s="10">
        <v>20201118</v>
      </c>
      <c r="M7485" s="36" t="str">
        <f t="shared" si="116"/>
        <v>19870615</v>
      </c>
    </row>
    <row r="7486" s="1" customFormat="1" spans="1:13">
      <c r="A7486" s="2">
        <v>4385</v>
      </c>
      <c r="B7486" s="9" t="s">
        <v>8515</v>
      </c>
      <c r="C7486" s="9" t="s">
        <v>8958</v>
      </c>
      <c r="D7486" s="9" t="s">
        <v>8959</v>
      </c>
      <c r="E7486" s="5" t="s">
        <v>15</v>
      </c>
      <c r="F7486" s="5">
        <v>2020</v>
      </c>
      <c r="G7486" s="9" t="s">
        <v>2480</v>
      </c>
      <c r="H7486" s="9">
        <v>200</v>
      </c>
      <c r="I7486" s="9">
        <v>200</v>
      </c>
      <c r="J7486" s="9"/>
      <c r="K7486" s="9"/>
      <c r="L7486" s="10">
        <v>20201118</v>
      </c>
      <c r="M7486" s="36" t="str">
        <f t="shared" si="116"/>
        <v>19870620</v>
      </c>
    </row>
    <row r="7487" s="1" customFormat="1" spans="1:13">
      <c r="A7487" s="2">
        <v>3283</v>
      </c>
      <c r="B7487" s="5" t="s">
        <v>3375</v>
      </c>
      <c r="C7487" s="6" t="s">
        <v>7057</v>
      </c>
      <c r="D7487" s="6" t="str">
        <f>"152326198706236877"</f>
        <v>152326198706236877</v>
      </c>
      <c r="E7487" s="5" t="s">
        <v>15</v>
      </c>
      <c r="F7487" s="5">
        <v>2020</v>
      </c>
      <c r="G7487" s="14" t="s">
        <v>16</v>
      </c>
      <c r="H7487" s="17">
        <v>200</v>
      </c>
      <c r="I7487" s="17">
        <v>200</v>
      </c>
      <c r="J7487" s="6"/>
      <c r="K7487" s="10"/>
      <c r="L7487" s="10">
        <v>20201118</v>
      </c>
      <c r="M7487" s="36" t="str">
        <f t="shared" si="116"/>
        <v>19870623</v>
      </c>
    </row>
    <row r="7488" s="1" customFormat="1" ht="14.25" spans="1:13">
      <c r="A7488" s="2">
        <v>5465</v>
      </c>
      <c r="B7488" s="33" t="s">
        <v>10535</v>
      </c>
      <c r="C7488" s="34" t="s">
        <v>5273</v>
      </c>
      <c r="D7488" s="34" t="s">
        <v>11028</v>
      </c>
      <c r="E7488" s="35">
        <v>2020</v>
      </c>
      <c r="F7488" s="35">
        <v>2020</v>
      </c>
      <c r="G7488" s="35" t="s">
        <v>16</v>
      </c>
      <c r="H7488" s="34">
        <v>200</v>
      </c>
      <c r="I7488" s="34">
        <v>200</v>
      </c>
      <c r="J7488" s="49"/>
      <c r="K7488" s="10"/>
      <c r="L7488" s="10">
        <v>20201118</v>
      </c>
      <c r="M7488" s="36" t="str">
        <f t="shared" si="116"/>
        <v>19870623</v>
      </c>
    </row>
    <row r="7489" s="1" customFormat="1" ht="14.25" spans="1:13">
      <c r="A7489" s="2">
        <v>7812</v>
      </c>
      <c r="B7489" s="5" t="s">
        <v>14875</v>
      </c>
      <c r="C7489" s="6" t="s">
        <v>15066</v>
      </c>
      <c r="D7489" s="12" t="s">
        <v>15067</v>
      </c>
      <c r="E7489" s="6" t="s">
        <v>15</v>
      </c>
      <c r="F7489" s="6">
        <v>2020</v>
      </c>
      <c r="G7489" s="24" t="s">
        <v>14877</v>
      </c>
      <c r="H7489" s="6">
        <v>200</v>
      </c>
      <c r="I7489" s="6">
        <v>200</v>
      </c>
      <c r="J7489" s="6" t="s">
        <v>108</v>
      </c>
      <c r="K7489" s="10"/>
      <c r="L7489" s="10">
        <v>20201118</v>
      </c>
      <c r="M7489" s="36" t="str">
        <f t="shared" si="116"/>
        <v>19870623</v>
      </c>
    </row>
    <row r="7490" s="1" customFormat="1" ht="14.25" spans="1:13">
      <c r="A7490" s="2">
        <v>7799</v>
      </c>
      <c r="B7490" s="5" t="s">
        <v>14875</v>
      </c>
      <c r="C7490" s="5" t="s">
        <v>15050</v>
      </c>
      <c r="D7490" s="62" t="s">
        <v>15051</v>
      </c>
      <c r="E7490" s="6" t="s">
        <v>15</v>
      </c>
      <c r="F7490" s="6">
        <v>2020</v>
      </c>
      <c r="G7490" s="24" t="s">
        <v>14877</v>
      </c>
      <c r="H7490" s="6">
        <v>200</v>
      </c>
      <c r="I7490" s="6">
        <v>200</v>
      </c>
      <c r="J7490" s="6"/>
      <c r="K7490" s="10"/>
      <c r="L7490" s="10">
        <v>20201118</v>
      </c>
      <c r="M7490" s="36" t="str">
        <f t="shared" ref="M7490:M7553" si="117">MID(D7490,7,8)</f>
        <v>19870624</v>
      </c>
    </row>
    <row r="7491" s="1" customFormat="1" spans="1:13">
      <c r="A7491" s="2">
        <v>7277</v>
      </c>
      <c r="B7491" s="5" t="s">
        <v>13908</v>
      </c>
      <c r="C7491" s="5" t="s">
        <v>14195</v>
      </c>
      <c r="D7491" s="5" t="s">
        <v>14196</v>
      </c>
      <c r="E7491" s="5" t="s">
        <v>15</v>
      </c>
      <c r="F7491" s="5" t="s">
        <v>15</v>
      </c>
      <c r="G7491" s="14" t="s">
        <v>16</v>
      </c>
      <c r="H7491" s="17">
        <v>200</v>
      </c>
      <c r="I7491" s="17">
        <v>200</v>
      </c>
      <c r="J7491" s="5"/>
      <c r="K7491" s="10"/>
      <c r="L7491" s="10">
        <v>20201118</v>
      </c>
      <c r="M7491" s="36" t="str">
        <f t="shared" si="117"/>
        <v>19870704</v>
      </c>
    </row>
    <row r="7492" s="1" customFormat="1" ht="14.25" spans="1:13">
      <c r="A7492" s="2">
        <v>3009</v>
      </c>
      <c r="B7492" s="6" t="s">
        <v>6075</v>
      </c>
      <c r="C7492" s="25" t="s">
        <v>6542</v>
      </c>
      <c r="D7492" s="26" t="s">
        <v>6543</v>
      </c>
      <c r="E7492" s="5" t="s">
        <v>15</v>
      </c>
      <c r="F7492" s="5">
        <v>2020</v>
      </c>
      <c r="G7492" s="6" t="s">
        <v>16</v>
      </c>
      <c r="H7492" s="6">
        <v>200</v>
      </c>
      <c r="I7492" s="6">
        <v>200</v>
      </c>
      <c r="J7492" s="6"/>
      <c r="K7492" s="10"/>
      <c r="L7492" s="10">
        <v>20201118</v>
      </c>
      <c r="M7492" s="36" t="str">
        <f t="shared" si="117"/>
        <v>19870707</v>
      </c>
    </row>
    <row r="7493" s="1" customFormat="1" spans="1:13">
      <c r="A7493" s="2">
        <v>1741</v>
      </c>
      <c r="B7493" s="5" t="s">
        <v>3381</v>
      </c>
      <c r="C7493" s="9" t="s">
        <v>4042</v>
      </c>
      <c r="D7493" s="9" t="s">
        <v>4043</v>
      </c>
      <c r="E7493" s="5">
        <v>2020</v>
      </c>
      <c r="F7493" s="5">
        <v>2020</v>
      </c>
      <c r="G7493" s="14" t="s">
        <v>16</v>
      </c>
      <c r="H7493" s="6">
        <v>200</v>
      </c>
      <c r="I7493" s="6">
        <v>200</v>
      </c>
      <c r="J7493" s="5"/>
      <c r="K7493" s="13"/>
      <c r="L7493" s="10">
        <v>20201118</v>
      </c>
      <c r="M7493" s="36" t="str">
        <f t="shared" si="117"/>
        <v>19870708</v>
      </c>
    </row>
    <row r="7494" s="1" customFormat="1" spans="1:13">
      <c r="A7494" s="2">
        <v>7844</v>
      </c>
      <c r="B7494" s="5" t="s">
        <v>15086</v>
      </c>
      <c r="C7494" s="6" t="s">
        <v>15115</v>
      </c>
      <c r="D7494" s="6" t="str">
        <f>"152326198707156879"</f>
        <v>152326198707156879</v>
      </c>
      <c r="E7494" s="5" t="s">
        <v>15</v>
      </c>
      <c r="F7494" s="5">
        <v>2020</v>
      </c>
      <c r="G7494" s="5" t="s">
        <v>16</v>
      </c>
      <c r="H7494" s="5">
        <v>200</v>
      </c>
      <c r="I7494" s="5">
        <v>200</v>
      </c>
      <c r="J7494" s="5"/>
      <c r="K7494" s="5"/>
      <c r="L7494" s="10">
        <v>20201118</v>
      </c>
      <c r="M7494" s="36" t="str">
        <f t="shared" si="117"/>
        <v>19870715</v>
      </c>
    </row>
    <row r="7495" s="1" customFormat="1" spans="1:13">
      <c r="A7495" s="2">
        <v>4104</v>
      </c>
      <c r="B7495" s="5" t="s">
        <v>7412</v>
      </c>
      <c r="C7495" s="5" t="s">
        <v>8419</v>
      </c>
      <c r="D7495" s="5" t="s">
        <v>8420</v>
      </c>
      <c r="E7495" s="6">
        <v>2020</v>
      </c>
      <c r="F7495" s="6">
        <v>2020</v>
      </c>
      <c r="G7495" s="5" t="s">
        <v>3359</v>
      </c>
      <c r="H7495" s="5">
        <v>200</v>
      </c>
      <c r="I7495" s="5">
        <v>200</v>
      </c>
      <c r="J7495" s="5"/>
      <c r="K7495" s="5"/>
      <c r="L7495" s="10">
        <v>20201118</v>
      </c>
      <c r="M7495" s="36" t="str">
        <f t="shared" si="117"/>
        <v>19870717</v>
      </c>
    </row>
    <row r="7496" s="1" customFormat="1" spans="1:13">
      <c r="A7496" s="2">
        <v>7837</v>
      </c>
      <c r="B7496" s="5" t="s">
        <v>15086</v>
      </c>
      <c r="C7496" s="6" t="s">
        <v>15106</v>
      </c>
      <c r="D7496" s="293" t="s">
        <v>15107</v>
      </c>
      <c r="E7496" s="5" t="s">
        <v>15</v>
      </c>
      <c r="F7496" s="5">
        <v>2020</v>
      </c>
      <c r="G7496" s="5" t="s">
        <v>16</v>
      </c>
      <c r="H7496" s="6">
        <v>200</v>
      </c>
      <c r="I7496" s="5">
        <v>200</v>
      </c>
      <c r="J7496" s="5"/>
      <c r="K7496" s="5"/>
      <c r="L7496" s="10">
        <v>20201118</v>
      </c>
      <c r="M7496" s="36" t="str">
        <f t="shared" si="117"/>
        <v>19870717</v>
      </c>
    </row>
    <row r="7497" s="1" customFormat="1" ht="14.25" spans="1:13">
      <c r="A7497" s="2">
        <v>5466</v>
      </c>
      <c r="B7497" s="33" t="s">
        <v>10535</v>
      </c>
      <c r="C7497" s="34" t="s">
        <v>8236</v>
      </c>
      <c r="D7497" s="34" t="s">
        <v>11029</v>
      </c>
      <c r="E7497" s="35">
        <v>2020</v>
      </c>
      <c r="F7497" s="35">
        <v>2020</v>
      </c>
      <c r="G7497" s="35" t="s">
        <v>16</v>
      </c>
      <c r="H7497" s="34">
        <v>200</v>
      </c>
      <c r="I7497" s="34">
        <v>200</v>
      </c>
      <c r="J7497" s="49"/>
      <c r="K7497" s="10"/>
      <c r="L7497" s="10">
        <v>20201118</v>
      </c>
      <c r="M7497" s="36" t="str">
        <f t="shared" si="117"/>
        <v>19870719</v>
      </c>
    </row>
    <row r="7498" s="1" customFormat="1" spans="1:13">
      <c r="A7498" s="2">
        <v>7424</v>
      </c>
      <c r="B7498" s="5" t="s">
        <v>14402</v>
      </c>
      <c r="C7498" s="5" t="s">
        <v>14470</v>
      </c>
      <c r="D7498" s="5" t="s">
        <v>14471</v>
      </c>
      <c r="E7498" s="5">
        <v>2020</v>
      </c>
      <c r="F7498" s="5">
        <v>2020</v>
      </c>
      <c r="G7498" s="17" t="s">
        <v>16</v>
      </c>
      <c r="H7498" s="5">
        <v>200</v>
      </c>
      <c r="I7498" s="5">
        <v>200</v>
      </c>
      <c r="J7498" s="5"/>
      <c r="K7498" s="10"/>
      <c r="L7498" s="10">
        <v>20201118</v>
      </c>
      <c r="M7498" s="36" t="str">
        <f t="shared" si="117"/>
        <v>19870725</v>
      </c>
    </row>
    <row r="7499" s="1" customFormat="1" spans="1:13">
      <c r="A7499" s="2">
        <v>2364</v>
      </c>
      <c r="B7499" s="9" t="s">
        <v>4837</v>
      </c>
      <c r="C7499" s="9" t="s">
        <v>5267</v>
      </c>
      <c r="D7499" s="9" t="s">
        <v>5268</v>
      </c>
      <c r="E7499" s="6" t="s">
        <v>15</v>
      </c>
      <c r="F7499" s="6">
        <v>2020</v>
      </c>
      <c r="G7499" s="9" t="s">
        <v>2480</v>
      </c>
      <c r="H7499" s="9">
        <v>300</v>
      </c>
      <c r="I7499" s="9">
        <v>300</v>
      </c>
      <c r="J7499" s="6"/>
      <c r="K7499" s="10"/>
      <c r="L7499" s="10">
        <v>20201118</v>
      </c>
      <c r="M7499" s="36" t="str">
        <f t="shared" si="117"/>
        <v>19870727</v>
      </c>
    </row>
    <row r="7500" s="1" customFormat="1" ht="14.25" spans="1:13">
      <c r="A7500" s="2">
        <v>7644</v>
      </c>
      <c r="B7500" s="5" t="s">
        <v>14875</v>
      </c>
      <c r="C7500" s="51" t="s">
        <v>14884</v>
      </c>
      <c r="D7500" s="24" t="str">
        <f>"150525198707286879"</f>
        <v>150525198707286879</v>
      </c>
      <c r="E7500" s="6" t="s">
        <v>15</v>
      </c>
      <c r="F7500" s="6">
        <v>2020</v>
      </c>
      <c r="G7500" s="24" t="s">
        <v>14877</v>
      </c>
      <c r="H7500" s="6">
        <v>200</v>
      </c>
      <c r="I7500" s="6">
        <v>200</v>
      </c>
      <c r="J7500" s="6"/>
      <c r="K7500" s="10"/>
      <c r="L7500" s="10">
        <v>20201118</v>
      </c>
      <c r="M7500" s="36" t="str">
        <f t="shared" si="117"/>
        <v>19870728</v>
      </c>
    </row>
    <row r="7501" s="1" customFormat="1" spans="1:13">
      <c r="A7501" s="2">
        <v>4105</v>
      </c>
      <c r="B7501" s="5" t="s">
        <v>7412</v>
      </c>
      <c r="C7501" s="5" t="s">
        <v>8421</v>
      </c>
      <c r="D7501" s="5" t="s">
        <v>8422</v>
      </c>
      <c r="E7501" s="6">
        <v>2020</v>
      </c>
      <c r="F7501" s="6">
        <v>2020</v>
      </c>
      <c r="G7501" s="5" t="s">
        <v>3359</v>
      </c>
      <c r="H7501" s="5">
        <v>200</v>
      </c>
      <c r="I7501" s="5">
        <v>200</v>
      </c>
      <c r="J7501" s="5"/>
      <c r="K7501" s="5"/>
      <c r="L7501" s="10">
        <v>20201118</v>
      </c>
      <c r="M7501" s="36" t="str">
        <f t="shared" si="117"/>
        <v>19870802</v>
      </c>
    </row>
    <row r="7502" s="1" customFormat="1" spans="1:13">
      <c r="A7502" s="2">
        <v>916</v>
      </c>
      <c r="B7502" s="29" t="s">
        <v>1040</v>
      </c>
      <c r="C7502" s="6" t="s">
        <v>2395</v>
      </c>
      <c r="D7502" s="6" t="s">
        <v>2396</v>
      </c>
      <c r="E7502" s="30">
        <v>2020</v>
      </c>
      <c r="F7502" s="30">
        <v>2020</v>
      </c>
      <c r="G7502" s="29" t="s">
        <v>16</v>
      </c>
      <c r="H7502" s="29">
        <v>200</v>
      </c>
      <c r="I7502" s="29">
        <v>200</v>
      </c>
      <c r="J7502" s="32"/>
      <c r="K7502" s="32"/>
      <c r="L7502" s="2" t="s">
        <v>330</v>
      </c>
      <c r="M7502" s="36" t="str">
        <f t="shared" si="117"/>
        <v>19870804</v>
      </c>
    </row>
    <row r="7503" s="1" customFormat="1" spans="1:13">
      <c r="A7503" s="2">
        <v>3532</v>
      </c>
      <c r="B7503" s="5" t="s">
        <v>3375</v>
      </c>
      <c r="C7503" s="5" t="s">
        <v>7335</v>
      </c>
      <c r="D7503" s="296" t="s">
        <v>7336</v>
      </c>
      <c r="E7503" s="5" t="s">
        <v>15</v>
      </c>
      <c r="F7503" s="5">
        <v>2020</v>
      </c>
      <c r="G7503" s="14" t="s">
        <v>16</v>
      </c>
      <c r="H7503" s="5">
        <v>1000</v>
      </c>
      <c r="I7503" s="5">
        <v>1000</v>
      </c>
      <c r="J7503" s="5"/>
      <c r="K7503" s="10"/>
      <c r="L7503" s="10">
        <v>20201118</v>
      </c>
      <c r="M7503" s="36" t="str">
        <f t="shared" si="117"/>
        <v>19870804</v>
      </c>
    </row>
    <row r="7504" s="1" customFormat="1" spans="1:13">
      <c r="A7504" s="2">
        <v>7841</v>
      </c>
      <c r="B7504" s="5" t="s">
        <v>15086</v>
      </c>
      <c r="C7504" s="6" t="s">
        <v>15112</v>
      </c>
      <c r="D7504" s="6" t="str">
        <f>"152326198708046874"</f>
        <v>152326198708046874</v>
      </c>
      <c r="E7504" s="5" t="s">
        <v>15</v>
      </c>
      <c r="F7504" s="5">
        <v>2020</v>
      </c>
      <c r="G7504" s="5" t="s">
        <v>16</v>
      </c>
      <c r="H7504" s="5">
        <v>200</v>
      </c>
      <c r="I7504" s="5">
        <v>200</v>
      </c>
      <c r="J7504" s="5"/>
      <c r="K7504" s="5"/>
      <c r="L7504" s="10">
        <v>20201118</v>
      </c>
      <c r="M7504" s="36" t="str">
        <f t="shared" si="117"/>
        <v>19870804</v>
      </c>
    </row>
    <row r="7505" s="1" customFormat="1" spans="1:13">
      <c r="A7505" s="2">
        <v>1320</v>
      </c>
      <c r="B7505" s="5" t="s">
        <v>2469</v>
      </c>
      <c r="C7505" s="9" t="s">
        <v>3220</v>
      </c>
      <c r="D7505" s="9" t="s">
        <v>3221</v>
      </c>
      <c r="E7505" s="5">
        <v>2020</v>
      </c>
      <c r="F7505" s="5">
        <v>2020</v>
      </c>
      <c r="G7505" s="9" t="s">
        <v>2480</v>
      </c>
      <c r="H7505" s="9">
        <v>200</v>
      </c>
      <c r="I7505" s="9">
        <v>200</v>
      </c>
      <c r="J7505" s="5"/>
      <c r="K7505" s="5"/>
      <c r="L7505" s="10">
        <v>20201118</v>
      </c>
      <c r="M7505" s="36" t="str">
        <f t="shared" si="117"/>
        <v>19870805</v>
      </c>
    </row>
    <row r="7506" s="1" customFormat="1" spans="1:13">
      <c r="A7506" s="2">
        <v>3282</v>
      </c>
      <c r="B7506" s="5" t="s">
        <v>3375</v>
      </c>
      <c r="C7506" s="6" t="s">
        <v>3786</v>
      </c>
      <c r="D7506" s="6" t="s">
        <v>7056</v>
      </c>
      <c r="E7506" s="5" t="s">
        <v>15</v>
      </c>
      <c r="F7506" s="5">
        <v>2020</v>
      </c>
      <c r="G7506" s="14" t="s">
        <v>16</v>
      </c>
      <c r="H7506" s="17">
        <v>200</v>
      </c>
      <c r="I7506" s="17">
        <v>200</v>
      </c>
      <c r="J7506" s="6" t="s">
        <v>4064</v>
      </c>
      <c r="K7506" s="10"/>
      <c r="L7506" s="10">
        <v>20201118</v>
      </c>
      <c r="M7506" s="36" t="str">
        <f t="shared" si="117"/>
        <v>19870805</v>
      </c>
    </row>
    <row r="7507" s="1" customFormat="1" spans="1:13">
      <c r="A7507" s="2">
        <v>864</v>
      </c>
      <c r="B7507" s="29" t="s">
        <v>1040</v>
      </c>
      <c r="C7507" s="6" t="s">
        <v>2239</v>
      </c>
      <c r="D7507" s="6" t="s">
        <v>2240</v>
      </c>
      <c r="E7507" s="30">
        <v>2020</v>
      </c>
      <c r="F7507" s="30">
        <v>2020</v>
      </c>
      <c r="G7507" s="29" t="s">
        <v>16</v>
      </c>
      <c r="H7507" s="29">
        <v>200</v>
      </c>
      <c r="I7507" s="29">
        <v>200</v>
      </c>
      <c r="J7507" s="32"/>
      <c r="K7507" s="32"/>
      <c r="L7507" s="14" t="s">
        <v>330</v>
      </c>
      <c r="M7507" s="36" t="str">
        <f t="shared" si="117"/>
        <v>19870808</v>
      </c>
    </row>
    <row r="7508" s="1" customFormat="1" spans="1:13">
      <c r="A7508" s="2">
        <v>6322</v>
      </c>
      <c r="B7508" s="5" t="s">
        <v>12263</v>
      </c>
      <c r="C7508" s="5" t="s">
        <v>12661</v>
      </c>
      <c r="D7508" s="5" t="s">
        <v>12662</v>
      </c>
      <c r="E7508" s="5" t="s">
        <v>10250</v>
      </c>
      <c r="F7508" s="5">
        <v>2020</v>
      </c>
      <c r="G7508" s="17" t="s">
        <v>3359</v>
      </c>
      <c r="H7508" s="5" t="s">
        <v>311</v>
      </c>
      <c r="I7508" s="5">
        <v>200</v>
      </c>
      <c r="J7508" s="5"/>
      <c r="K7508" s="5"/>
      <c r="L7508" s="10">
        <v>20201118</v>
      </c>
      <c r="M7508" s="36" t="str">
        <f t="shared" si="117"/>
        <v>19870811</v>
      </c>
    </row>
    <row r="7509" s="1" customFormat="1" spans="1:13">
      <c r="A7509" s="2">
        <v>5868</v>
      </c>
      <c r="B7509" s="30" t="s">
        <v>11090</v>
      </c>
      <c r="C7509" s="30" t="s">
        <v>11794</v>
      </c>
      <c r="D7509" s="30" t="s">
        <v>11795</v>
      </c>
      <c r="E7509" s="5" t="s">
        <v>15</v>
      </c>
      <c r="F7509" s="5" t="s">
        <v>10250</v>
      </c>
      <c r="G7509" s="6" t="s">
        <v>16</v>
      </c>
      <c r="H7509" s="32">
        <v>200</v>
      </c>
      <c r="I7509" s="32">
        <v>200</v>
      </c>
      <c r="J7509" s="6"/>
      <c r="K7509" s="48"/>
      <c r="L7509" s="10">
        <v>20201118</v>
      </c>
      <c r="M7509" s="36" t="str">
        <f t="shared" si="117"/>
        <v>19870819</v>
      </c>
    </row>
    <row r="7510" s="1" customFormat="1" spans="1:13">
      <c r="A7510" s="2">
        <v>1742</v>
      </c>
      <c r="B7510" s="5" t="s">
        <v>3381</v>
      </c>
      <c r="C7510" s="9" t="s">
        <v>4044</v>
      </c>
      <c r="D7510" s="9" t="s">
        <v>4045</v>
      </c>
      <c r="E7510" s="5">
        <v>2020</v>
      </c>
      <c r="F7510" s="5">
        <v>2020</v>
      </c>
      <c r="G7510" s="14" t="s">
        <v>16</v>
      </c>
      <c r="H7510" s="6">
        <v>200</v>
      </c>
      <c r="I7510" s="6">
        <v>200</v>
      </c>
      <c r="J7510" s="5"/>
      <c r="K7510" s="13"/>
      <c r="L7510" s="10">
        <v>20201118</v>
      </c>
      <c r="M7510" s="36" t="str">
        <f t="shared" si="117"/>
        <v>19870821</v>
      </c>
    </row>
    <row r="7511" s="1" customFormat="1" spans="1:13">
      <c r="A7511" s="2">
        <v>7178</v>
      </c>
      <c r="B7511" s="5" t="s">
        <v>13908</v>
      </c>
      <c r="C7511" s="5" t="s">
        <v>14009</v>
      </c>
      <c r="D7511" s="5" t="s">
        <v>14010</v>
      </c>
      <c r="E7511" s="5" t="s">
        <v>15</v>
      </c>
      <c r="F7511" s="5" t="s">
        <v>15</v>
      </c>
      <c r="G7511" s="14" t="s">
        <v>16</v>
      </c>
      <c r="H7511" s="17">
        <v>200</v>
      </c>
      <c r="I7511" s="17">
        <v>200</v>
      </c>
      <c r="J7511" s="5"/>
      <c r="K7511" s="10"/>
      <c r="L7511" s="10">
        <v>20201118</v>
      </c>
      <c r="M7511" s="36" t="str">
        <f t="shared" si="117"/>
        <v>19870821</v>
      </c>
    </row>
    <row r="7512" s="1" customFormat="1" spans="1:13">
      <c r="A7512" s="2">
        <v>3280</v>
      </c>
      <c r="B7512" s="5" t="s">
        <v>3375</v>
      </c>
      <c r="C7512" s="6" t="s">
        <v>7053</v>
      </c>
      <c r="D7512" s="6" t="s">
        <v>7054</v>
      </c>
      <c r="E7512" s="5" t="s">
        <v>15</v>
      </c>
      <c r="F7512" s="5">
        <v>2020</v>
      </c>
      <c r="G7512" s="14" t="s">
        <v>16</v>
      </c>
      <c r="H7512" s="17">
        <v>200</v>
      </c>
      <c r="I7512" s="17">
        <v>200</v>
      </c>
      <c r="J7512" s="6"/>
      <c r="K7512" s="10"/>
      <c r="L7512" s="10">
        <v>20201118</v>
      </c>
      <c r="M7512" s="36" t="str">
        <f t="shared" si="117"/>
        <v>19870823</v>
      </c>
    </row>
    <row r="7513" s="1" customFormat="1" spans="1:13">
      <c r="A7513" s="2">
        <v>784</v>
      </c>
      <c r="B7513" s="29" t="s">
        <v>1040</v>
      </c>
      <c r="C7513" s="5" t="s">
        <v>2002</v>
      </c>
      <c r="D7513" s="317" t="s">
        <v>2003</v>
      </c>
      <c r="E7513" s="30">
        <v>2020</v>
      </c>
      <c r="F7513" s="30">
        <v>2020</v>
      </c>
      <c r="G7513" s="29" t="s">
        <v>16</v>
      </c>
      <c r="H7513" s="29">
        <v>200</v>
      </c>
      <c r="I7513" s="29">
        <v>200</v>
      </c>
      <c r="J7513" s="32"/>
      <c r="K7513" s="32"/>
      <c r="L7513" s="2" t="s">
        <v>330</v>
      </c>
      <c r="M7513" s="36" t="str">
        <f t="shared" si="117"/>
        <v>19870826</v>
      </c>
    </row>
    <row r="7514" s="1" customFormat="1" spans="1:13">
      <c r="A7514" s="2">
        <v>6381</v>
      </c>
      <c r="B7514" s="5" t="s">
        <v>12263</v>
      </c>
      <c r="C7514" s="5" t="s">
        <v>12775</v>
      </c>
      <c r="D7514" s="5" t="s">
        <v>12776</v>
      </c>
      <c r="E7514" s="5" t="s">
        <v>10250</v>
      </c>
      <c r="F7514" s="5">
        <v>2020</v>
      </c>
      <c r="G7514" s="17" t="s">
        <v>3359</v>
      </c>
      <c r="H7514" s="5" t="s">
        <v>311</v>
      </c>
      <c r="I7514" s="5">
        <v>200</v>
      </c>
      <c r="J7514" s="5"/>
      <c r="K7514" s="5"/>
      <c r="L7514" s="10">
        <v>20201118</v>
      </c>
      <c r="M7514" s="36" t="str">
        <f t="shared" si="117"/>
        <v>19870830</v>
      </c>
    </row>
    <row r="7515" s="1" customFormat="1" spans="1:13">
      <c r="A7515" s="2">
        <v>4806</v>
      </c>
      <c r="B7515" s="6" t="s">
        <v>9015</v>
      </c>
      <c r="C7515" s="6" t="s">
        <v>9760</v>
      </c>
      <c r="D7515" s="6" t="s">
        <v>9761</v>
      </c>
      <c r="E7515" s="6">
        <v>2020</v>
      </c>
      <c r="F7515" s="6">
        <v>2020</v>
      </c>
      <c r="G7515" s="6" t="s">
        <v>16</v>
      </c>
      <c r="H7515" s="6">
        <v>200</v>
      </c>
      <c r="I7515" s="6">
        <v>200</v>
      </c>
      <c r="J7515" s="6"/>
      <c r="K7515" s="6"/>
      <c r="L7515" s="10">
        <v>20201118</v>
      </c>
      <c r="M7515" s="36" t="str">
        <f t="shared" si="117"/>
        <v>19870903</v>
      </c>
    </row>
    <row r="7516" s="1" customFormat="1" spans="1:13">
      <c r="A7516" s="2">
        <v>5738</v>
      </c>
      <c r="B7516" s="30" t="s">
        <v>11090</v>
      </c>
      <c r="C7516" s="30" t="s">
        <v>11560</v>
      </c>
      <c r="D7516" s="30" t="s">
        <v>11561</v>
      </c>
      <c r="E7516" s="5" t="s">
        <v>15</v>
      </c>
      <c r="F7516" s="5" t="s">
        <v>10250</v>
      </c>
      <c r="G7516" s="6" t="s">
        <v>16</v>
      </c>
      <c r="H7516" s="32">
        <v>500</v>
      </c>
      <c r="I7516" s="32">
        <v>500</v>
      </c>
      <c r="J7516" s="6"/>
      <c r="K7516" s="48"/>
      <c r="L7516" s="10">
        <v>20201118</v>
      </c>
      <c r="M7516" s="36" t="str">
        <f t="shared" si="117"/>
        <v>19870903</v>
      </c>
    </row>
    <row r="7517" s="1" customFormat="1" spans="1:13">
      <c r="A7517" s="2">
        <v>881</v>
      </c>
      <c r="B7517" s="29" t="s">
        <v>1040</v>
      </c>
      <c r="C7517" s="6" t="s">
        <v>2290</v>
      </c>
      <c r="D7517" s="6" t="s">
        <v>2291</v>
      </c>
      <c r="E7517" s="30">
        <v>2020</v>
      </c>
      <c r="F7517" s="30">
        <v>2020</v>
      </c>
      <c r="G7517" s="29" t="s">
        <v>16</v>
      </c>
      <c r="H7517" s="29">
        <v>200</v>
      </c>
      <c r="I7517" s="29">
        <v>200</v>
      </c>
      <c r="J7517" s="32"/>
      <c r="K7517" s="32"/>
      <c r="L7517" s="2" t="s">
        <v>330</v>
      </c>
      <c r="M7517" s="36" t="str">
        <f t="shared" si="117"/>
        <v>19870904</v>
      </c>
    </row>
    <row r="7518" s="1" customFormat="1" spans="1:13">
      <c r="A7518" s="2">
        <v>4852</v>
      </c>
      <c r="B7518" s="6" t="s">
        <v>9015</v>
      </c>
      <c r="C7518" s="6" t="s">
        <v>9847</v>
      </c>
      <c r="D7518" s="293" t="s">
        <v>9848</v>
      </c>
      <c r="E7518" s="6">
        <v>2020</v>
      </c>
      <c r="F7518" s="6">
        <v>2020</v>
      </c>
      <c r="G7518" s="6" t="s">
        <v>16</v>
      </c>
      <c r="H7518" s="6">
        <v>200</v>
      </c>
      <c r="I7518" s="6">
        <v>200</v>
      </c>
      <c r="J7518" s="6"/>
      <c r="K7518" s="6"/>
      <c r="L7518" s="10">
        <v>20201118</v>
      </c>
      <c r="M7518" s="36" t="str">
        <f t="shared" si="117"/>
        <v>19870904</v>
      </c>
    </row>
    <row r="7519" s="1" customFormat="1" ht="14.25" spans="1:13">
      <c r="A7519" s="2">
        <v>5051</v>
      </c>
      <c r="B7519" s="13" t="s">
        <v>9954</v>
      </c>
      <c r="C7519" s="13" t="s">
        <v>10235</v>
      </c>
      <c r="D7519" s="309" t="s">
        <v>10236</v>
      </c>
      <c r="E7519" s="13">
        <v>2020</v>
      </c>
      <c r="F7519" s="13">
        <v>2020</v>
      </c>
      <c r="G7519" s="14" t="s">
        <v>16</v>
      </c>
      <c r="H7519" s="13">
        <v>200</v>
      </c>
      <c r="I7519" s="13">
        <v>200</v>
      </c>
      <c r="J7519" s="10"/>
      <c r="K7519" s="10"/>
      <c r="L7519" s="10">
        <v>20201224</v>
      </c>
      <c r="M7519" s="36" t="str">
        <f t="shared" si="117"/>
        <v>19870904</v>
      </c>
    </row>
    <row r="7520" s="1" customFormat="1" spans="1:13">
      <c r="A7520" s="2">
        <v>299</v>
      </c>
      <c r="B7520" s="14" t="s">
        <v>327</v>
      </c>
      <c r="C7520" s="17" t="s">
        <v>785</v>
      </c>
      <c r="D7520" s="306" t="s">
        <v>786</v>
      </c>
      <c r="E7520" s="5">
        <v>2020</v>
      </c>
      <c r="F7520" s="5">
        <v>2020</v>
      </c>
      <c r="G7520" s="14" t="s">
        <v>16</v>
      </c>
      <c r="H7520" s="17">
        <v>200</v>
      </c>
      <c r="I7520" s="17">
        <v>200</v>
      </c>
      <c r="J7520" s="17"/>
      <c r="K7520" s="10"/>
      <c r="L7520" s="2" t="s">
        <v>330</v>
      </c>
      <c r="M7520" s="36" t="str">
        <f t="shared" si="117"/>
        <v>19870906</v>
      </c>
    </row>
    <row r="7521" s="1" customFormat="1" spans="1:13">
      <c r="A7521" s="2">
        <v>850</v>
      </c>
      <c r="B7521" s="29" t="s">
        <v>1040</v>
      </c>
      <c r="C7521" s="29" t="s">
        <v>2197</v>
      </c>
      <c r="D7521" s="29" t="s">
        <v>2198</v>
      </c>
      <c r="E7521" s="30">
        <v>2020</v>
      </c>
      <c r="F7521" s="30">
        <v>2020</v>
      </c>
      <c r="G7521" s="29" t="s">
        <v>16</v>
      </c>
      <c r="H7521" s="29">
        <v>200</v>
      </c>
      <c r="I7521" s="29">
        <v>200</v>
      </c>
      <c r="J7521" s="32"/>
      <c r="K7521" s="32"/>
      <c r="L7521" s="14" t="s">
        <v>330</v>
      </c>
      <c r="M7521" s="36" t="str">
        <f t="shared" si="117"/>
        <v>19870908</v>
      </c>
    </row>
    <row r="7522" s="1" customFormat="1" spans="1:13">
      <c r="A7522" s="2">
        <v>2741</v>
      </c>
      <c r="B7522" s="32" t="s">
        <v>5602</v>
      </c>
      <c r="C7522" s="9" t="s">
        <v>6012</v>
      </c>
      <c r="D7522" s="9" t="s">
        <v>6013</v>
      </c>
      <c r="E7522" s="32">
        <v>2020</v>
      </c>
      <c r="F7522" s="32">
        <v>2020</v>
      </c>
      <c r="G7522" s="32" t="s">
        <v>16</v>
      </c>
      <c r="H7522" s="9">
        <v>200</v>
      </c>
      <c r="I7522" s="9">
        <v>200</v>
      </c>
      <c r="J7522" s="32"/>
      <c r="K7522" s="52"/>
      <c r="L7522" s="10">
        <v>20201118</v>
      </c>
      <c r="M7522" s="36" t="str">
        <f t="shared" si="117"/>
        <v>19870909</v>
      </c>
    </row>
    <row r="7523" s="1" customFormat="1" ht="14.25" spans="1:13">
      <c r="A7523" s="2">
        <v>5989</v>
      </c>
      <c r="B7523" s="30" t="s">
        <v>11090</v>
      </c>
      <c r="C7523" s="32" t="s">
        <v>12023</v>
      </c>
      <c r="D7523" s="12" t="s">
        <v>12024</v>
      </c>
      <c r="E7523" s="5" t="s">
        <v>15</v>
      </c>
      <c r="F7523" s="5" t="s">
        <v>10250</v>
      </c>
      <c r="G7523" s="6" t="s">
        <v>16</v>
      </c>
      <c r="H7523" s="32">
        <v>200</v>
      </c>
      <c r="I7523" s="32">
        <v>200</v>
      </c>
      <c r="J7523" s="5"/>
      <c r="K7523" s="48"/>
      <c r="L7523" s="10">
        <v>20201118</v>
      </c>
      <c r="M7523" s="36" t="str">
        <f t="shared" si="117"/>
        <v>19870910</v>
      </c>
    </row>
    <row r="7524" s="1" customFormat="1" spans="1:13">
      <c r="A7524" s="2">
        <v>7421</v>
      </c>
      <c r="B7524" s="5" t="s">
        <v>14402</v>
      </c>
      <c r="C7524" s="5" t="s">
        <v>14464</v>
      </c>
      <c r="D7524" s="5" t="s">
        <v>14465</v>
      </c>
      <c r="E7524" s="5">
        <v>2020</v>
      </c>
      <c r="F7524" s="5">
        <v>2020</v>
      </c>
      <c r="G7524" s="17" t="s">
        <v>16</v>
      </c>
      <c r="H7524" s="5">
        <v>200</v>
      </c>
      <c r="I7524" s="5">
        <v>200</v>
      </c>
      <c r="J7524" s="5"/>
      <c r="K7524" s="10"/>
      <c r="L7524" s="10">
        <v>20201118</v>
      </c>
      <c r="M7524" s="36" t="str">
        <f t="shared" si="117"/>
        <v>19870910</v>
      </c>
    </row>
    <row r="7525" s="1" customFormat="1" spans="1:13">
      <c r="A7525" s="2">
        <v>7839</v>
      </c>
      <c r="B7525" s="5" t="s">
        <v>15086</v>
      </c>
      <c r="C7525" s="6" t="s">
        <v>15110</v>
      </c>
      <c r="D7525" s="6" t="str">
        <f>"152326198709126876"</f>
        <v>152326198709126876</v>
      </c>
      <c r="E7525" s="5" t="s">
        <v>15</v>
      </c>
      <c r="F7525" s="5">
        <v>2020</v>
      </c>
      <c r="G7525" s="5" t="s">
        <v>16</v>
      </c>
      <c r="H7525" s="5">
        <v>500</v>
      </c>
      <c r="I7525" s="5">
        <v>500</v>
      </c>
      <c r="J7525" s="5"/>
      <c r="K7525" s="5"/>
      <c r="L7525" s="10">
        <v>20201118</v>
      </c>
      <c r="M7525" s="36" t="str">
        <f t="shared" si="117"/>
        <v>19870912</v>
      </c>
    </row>
    <row r="7526" s="1" customFormat="1" spans="1:13">
      <c r="A7526" s="2">
        <v>824</v>
      </c>
      <c r="B7526" s="29" t="s">
        <v>1040</v>
      </c>
      <c r="C7526" s="5" t="s">
        <v>2121</v>
      </c>
      <c r="D7526" s="317" t="s">
        <v>2122</v>
      </c>
      <c r="E7526" s="30">
        <v>2020</v>
      </c>
      <c r="F7526" s="30">
        <v>2020</v>
      </c>
      <c r="G7526" s="29" t="s">
        <v>16</v>
      </c>
      <c r="H7526" s="29">
        <v>200</v>
      </c>
      <c r="I7526" s="29">
        <v>200</v>
      </c>
      <c r="J7526" s="32"/>
      <c r="K7526" s="32"/>
      <c r="L7526" s="14" t="s">
        <v>330</v>
      </c>
      <c r="M7526" s="36" t="str">
        <f t="shared" si="117"/>
        <v>19870916</v>
      </c>
    </row>
    <row r="7527" s="1" customFormat="1" spans="1:13">
      <c r="A7527" s="2">
        <v>3284</v>
      </c>
      <c r="B7527" s="5" t="s">
        <v>3375</v>
      </c>
      <c r="C7527" s="6" t="s">
        <v>7058</v>
      </c>
      <c r="D7527" s="6" t="str">
        <f>"152326198709236899"</f>
        <v>152326198709236899</v>
      </c>
      <c r="E7527" s="5" t="s">
        <v>15</v>
      </c>
      <c r="F7527" s="5">
        <v>2020</v>
      </c>
      <c r="G7527" s="14" t="s">
        <v>16</v>
      </c>
      <c r="H7527" s="17">
        <v>200</v>
      </c>
      <c r="I7527" s="17">
        <v>200</v>
      </c>
      <c r="J7527" s="6"/>
      <c r="K7527" s="10"/>
      <c r="L7527" s="10">
        <v>20201118</v>
      </c>
      <c r="M7527" s="36" t="str">
        <f t="shared" si="117"/>
        <v>19870923</v>
      </c>
    </row>
    <row r="7528" s="1" customFormat="1" spans="1:13">
      <c r="A7528" s="2">
        <v>1321</v>
      </c>
      <c r="B7528" s="5" t="s">
        <v>2469</v>
      </c>
      <c r="C7528" s="9" t="s">
        <v>3222</v>
      </c>
      <c r="D7528" s="9" t="s">
        <v>3223</v>
      </c>
      <c r="E7528" s="5">
        <v>2020</v>
      </c>
      <c r="F7528" s="5">
        <v>2020</v>
      </c>
      <c r="G7528" s="9" t="s">
        <v>2480</v>
      </c>
      <c r="H7528" s="9">
        <v>200</v>
      </c>
      <c r="I7528" s="9">
        <v>200</v>
      </c>
      <c r="J7528" s="5"/>
      <c r="K7528" s="5"/>
      <c r="L7528" s="10">
        <v>20201118</v>
      </c>
      <c r="M7528" s="36" t="str">
        <f t="shared" si="117"/>
        <v>19870924</v>
      </c>
    </row>
    <row r="7529" s="1" customFormat="1" spans="1:13">
      <c r="A7529" s="2">
        <v>1322</v>
      </c>
      <c r="B7529" s="5" t="s">
        <v>2469</v>
      </c>
      <c r="C7529" s="9" t="s">
        <v>3224</v>
      </c>
      <c r="D7529" s="9" t="s">
        <v>3225</v>
      </c>
      <c r="E7529" s="5">
        <v>2020</v>
      </c>
      <c r="F7529" s="5">
        <v>2020</v>
      </c>
      <c r="G7529" s="9" t="s">
        <v>2480</v>
      </c>
      <c r="H7529" s="9">
        <v>200</v>
      </c>
      <c r="I7529" s="9">
        <v>200</v>
      </c>
      <c r="J7529" s="5"/>
      <c r="K7529" s="5"/>
      <c r="L7529" s="10">
        <v>20201118</v>
      </c>
      <c r="M7529" s="36" t="str">
        <f t="shared" si="117"/>
        <v>19870927</v>
      </c>
    </row>
    <row r="7530" s="1" customFormat="1" spans="1:13">
      <c r="A7530" s="2">
        <v>7420</v>
      </c>
      <c r="B7530" s="5" t="s">
        <v>14402</v>
      </c>
      <c r="C7530" s="5" t="s">
        <v>14462</v>
      </c>
      <c r="D7530" s="5" t="s">
        <v>14463</v>
      </c>
      <c r="E7530" s="5">
        <v>2020</v>
      </c>
      <c r="F7530" s="5">
        <v>2020</v>
      </c>
      <c r="G7530" s="17" t="s">
        <v>16</v>
      </c>
      <c r="H7530" s="5">
        <v>200</v>
      </c>
      <c r="I7530" s="5">
        <v>200</v>
      </c>
      <c r="J7530" s="5"/>
      <c r="K7530" s="10"/>
      <c r="L7530" s="10">
        <v>20201118</v>
      </c>
      <c r="M7530" s="36" t="str">
        <f t="shared" si="117"/>
        <v>19871001</v>
      </c>
    </row>
    <row r="7531" s="1" customFormat="1" spans="1:13">
      <c r="A7531" s="2">
        <v>7160</v>
      </c>
      <c r="B7531" s="5" t="s">
        <v>13908</v>
      </c>
      <c r="C7531" s="5" t="s">
        <v>13977</v>
      </c>
      <c r="D7531" s="5" t="s">
        <v>13978</v>
      </c>
      <c r="E7531" s="5" t="s">
        <v>15</v>
      </c>
      <c r="F7531" s="5" t="s">
        <v>15</v>
      </c>
      <c r="G7531" s="14" t="s">
        <v>16</v>
      </c>
      <c r="H7531" s="17">
        <v>200</v>
      </c>
      <c r="I7531" s="17">
        <v>200</v>
      </c>
      <c r="J7531" s="5"/>
      <c r="K7531" s="10"/>
      <c r="L7531" s="10">
        <v>20201118</v>
      </c>
      <c r="M7531" s="36" t="str">
        <f t="shared" si="117"/>
        <v>19871009</v>
      </c>
    </row>
    <row r="7532" s="1" customFormat="1" spans="1:13">
      <c r="A7532" s="2">
        <v>7418</v>
      </c>
      <c r="B7532" s="5" t="s">
        <v>14402</v>
      </c>
      <c r="C7532" s="5" t="s">
        <v>14458</v>
      </c>
      <c r="D7532" s="5" t="s">
        <v>14459</v>
      </c>
      <c r="E7532" s="5">
        <v>2020</v>
      </c>
      <c r="F7532" s="5">
        <v>2020</v>
      </c>
      <c r="G7532" s="17" t="s">
        <v>16</v>
      </c>
      <c r="H7532" s="5">
        <v>1000</v>
      </c>
      <c r="I7532" s="5">
        <v>1000</v>
      </c>
      <c r="J7532" s="5"/>
      <c r="K7532" s="10"/>
      <c r="L7532" s="10">
        <v>20201118</v>
      </c>
      <c r="M7532" s="36" t="str">
        <f t="shared" si="117"/>
        <v>19871010</v>
      </c>
    </row>
    <row r="7533" s="1" customFormat="1" spans="1:13">
      <c r="A7533" s="2">
        <v>1323</v>
      </c>
      <c r="B7533" s="5" t="s">
        <v>2469</v>
      </c>
      <c r="C7533" s="9" t="s">
        <v>3226</v>
      </c>
      <c r="D7533" s="9" t="s">
        <v>3227</v>
      </c>
      <c r="E7533" s="5">
        <v>2020</v>
      </c>
      <c r="F7533" s="5">
        <v>2020</v>
      </c>
      <c r="G7533" s="9" t="s">
        <v>2480</v>
      </c>
      <c r="H7533" s="9">
        <v>200</v>
      </c>
      <c r="I7533" s="9">
        <v>200</v>
      </c>
      <c r="J7533" s="5"/>
      <c r="K7533" s="5"/>
      <c r="L7533" s="10">
        <v>20201118</v>
      </c>
      <c r="M7533" s="36" t="str">
        <f t="shared" si="117"/>
        <v>19871015</v>
      </c>
    </row>
    <row r="7534" s="1" customFormat="1" spans="1:13">
      <c r="A7534" s="2">
        <v>2034</v>
      </c>
      <c r="B7534" s="5" t="s">
        <v>4189</v>
      </c>
      <c r="C7534" s="16" t="s">
        <v>4623</v>
      </c>
      <c r="D7534" s="16" t="s">
        <v>4624</v>
      </c>
      <c r="E7534" s="5" t="s">
        <v>15</v>
      </c>
      <c r="F7534" s="5" t="s">
        <v>15</v>
      </c>
      <c r="G7534" s="5" t="s">
        <v>3359</v>
      </c>
      <c r="H7534" s="16">
        <v>200</v>
      </c>
      <c r="I7534" s="16">
        <v>200</v>
      </c>
      <c r="J7534" s="5"/>
      <c r="K7534" s="10"/>
      <c r="L7534" s="10">
        <v>20201118</v>
      </c>
      <c r="M7534" s="36" t="str">
        <f t="shared" si="117"/>
        <v>19871020</v>
      </c>
    </row>
    <row r="7535" s="1" customFormat="1" spans="1:13">
      <c r="A7535" s="2">
        <v>5772</v>
      </c>
      <c r="B7535" s="30" t="s">
        <v>11090</v>
      </c>
      <c r="C7535" s="30" t="s">
        <v>11619</v>
      </c>
      <c r="D7535" s="30" t="s">
        <v>11620</v>
      </c>
      <c r="E7535" s="5" t="s">
        <v>15</v>
      </c>
      <c r="F7535" s="5" t="s">
        <v>10250</v>
      </c>
      <c r="G7535" s="6" t="s">
        <v>16</v>
      </c>
      <c r="H7535" s="32">
        <v>200</v>
      </c>
      <c r="I7535" s="32">
        <v>200</v>
      </c>
      <c r="J7535" s="6"/>
      <c r="K7535" s="48"/>
      <c r="L7535" s="10">
        <v>20201118</v>
      </c>
      <c r="M7535" s="36" t="str">
        <f t="shared" si="117"/>
        <v>19871020</v>
      </c>
    </row>
    <row r="7536" s="1" customFormat="1" ht="14.25" spans="1:13">
      <c r="A7536" s="2">
        <v>5988</v>
      </c>
      <c r="B7536" s="30" t="s">
        <v>11090</v>
      </c>
      <c r="C7536" s="32" t="s">
        <v>1440</v>
      </c>
      <c r="D7536" s="12" t="s">
        <v>12022</v>
      </c>
      <c r="E7536" s="5" t="s">
        <v>15</v>
      </c>
      <c r="F7536" s="5" t="s">
        <v>10250</v>
      </c>
      <c r="G7536" s="6" t="s">
        <v>16</v>
      </c>
      <c r="H7536" s="32">
        <v>200</v>
      </c>
      <c r="I7536" s="32">
        <v>200</v>
      </c>
      <c r="J7536" s="5"/>
      <c r="K7536" s="48"/>
      <c r="L7536" s="10">
        <v>20201118</v>
      </c>
      <c r="M7536" s="36" t="str">
        <f t="shared" si="117"/>
        <v>19871028</v>
      </c>
    </row>
    <row r="7537" s="1" customFormat="1" ht="14.25" spans="1:13">
      <c r="A7537" s="2">
        <v>2808</v>
      </c>
      <c r="B7537" s="6" t="s">
        <v>6075</v>
      </c>
      <c r="C7537" s="25" t="s">
        <v>6144</v>
      </c>
      <c r="D7537" s="26" t="s">
        <v>6145</v>
      </c>
      <c r="E7537" s="5" t="s">
        <v>15</v>
      </c>
      <c r="F7537" s="5">
        <v>2020</v>
      </c>
      <c r="G7537" s="6" t="s">
        <v>16</v>
      </c>
      <c r="H7537" s="6">
        <v>200</v>
      </c>
      <c r="I7537" s="6">
        <v>200</v>
      </c>
      <c r="J7537" s="6" t="s">
        <v>6097</v>
      </c>
      <c r="K7537" s="10"/>
      <c r="L7537" s="10">
        <v>20201118</v>
      </c>
      <c r="M7537" s="36" t="str">
        <f t="shared" si="117"/>
        <v>19871103</v>
      </c>
    </row>
    <row r="7538" s="1" customFormat="1" spans="1:13">
      <c r="A7538" s="2">
        <v>1324</v>
      </c>
      <c r="B7538" s="5" t="s">
        <v>2469</v>
      </c>
      <c r="C7538" s="9" t="s">
        <v>3228</v>
      </c>
      <c r="D7538" s="9" t="s">
        <v>3229</v>
      </c>
      <c r="E7538" s="5">
        <v>2020</v>
      </c>
      <c r="F7538" s="5">
        <v>2020</v>
      </c>
      <c r="G7538" s="9" t="s">
        <v>2480</v>
      </c>
      <c r="H7538" s="9">
        <v>200</v>
      </c>
      <c r="I7538" s="9">
        <v>200</v>
      </c>
      <c r="J7538" s="5"/>
      <c r="K7538" s="5"/>
      <c r="L7538" s="10">
        <v>20201118</v>
      </c>
      <c r="M7538" s="36" t="str">
        <f t="shared" si="117"/>
        <v>19871106</v>
      </c>
    </row>
    <row r="7539" s="1" customFormat="1" spans="1:13">
      <c r="A7539" s="2">
        <v>7425</v>
      </c>
      <c r="B7539" s="5" t="s">
        <v>14402</v>
      </c>
      <c r="C7539" s="5" t="s">
        <v>14472</v>
      </c>
      <c r="D7539" s="5" t="s">
        <v>14473</v>
      </c>
      <c r="E7539" s="5">
        <v>2020</v>
      </c>
      <c r="F7539" s="5">
        <v>2020</v>
      </c>
      <c r="G7539" s="17" t="s">
        <v>16</v>
      </c>
      <c r="H7539" s="5">
        <v>200</v>
      </c>
      <c r="I7539" s="5">
        <v>200</v>
      </c>
      <c r="J7539" s="5"/>
      <c r="K7539" s="10"/>
      <c r="L7539" s="10">
        <v>20201118</v>
      </c>
      <c r="M7539" s="36" t="str">
        <f t="shared" si="117"/>
        <v>19871106</v>
      </c>
    </row>
    <row r="7540" s="1" customFormat="1" spans="1:13">
      <c r="A7540" s="2">
        <v>320</v>
      </c>
      <c r="B7540" s="14" t="s">
        <v>327</v>
      </c>
      <c r="C7540" s="17" t="s">
        <v>848</v>
      </c>
      <c r="D7540" s="306" t="s">
        <v>849</v>
      </c>
      <c r="E7540" s="5">
        <v>2020</v>
      </c>
      <c r="F7540" s="5">
        <v>2020</v>
      </c>
      <c r="G7540" s="14" t="s">
        <v>16</v>
      </c>
      <c r="H7540" s="17">
        <v>200</v>
      </c>
      <c r="I7540" s="17">
        <v>200</v>
      </c>
      <c r="J7540" s="17"/>
      <c r="K7540" s="10"/>
      <c r="L7540" s="14" t="s">
        <v>330</v>
      </c>
      <c r="M7540" s="36" t="str">
        <f t="shared" si="117"/>
        <v>19871107</v>
      </c>
    </row>
    <row r="7541" s="1" customFormat="1" spans="1:13">
      <c r="A7541" s="2">
        <v>2365</v>
      </c>
      <c r="B7541" s="9" t="s">
        <v>4837</v>
      </c>
      <c r="C7541" s="9" t="s">
        <v>5269</v>
      </c>
      <c r="D7541" s="9" t="s">
        <v>5270</v>
      </c>
      <c r="E7541" s="6" t="s">
        <v>15</v>
      </c>
      <c r="F7541" s="6">
        <v>2020</v>
      </c>
      <c r="G7541" s="9" t="s">
        <v>2480</v>
      </c>
      <c r="H7541" s="9">
        <v>200</v>
      </c>
      <c r="I7541" s="9">
        <v>200</v>
      </c>
      <c r="J7541" s="6"/>
      <c r="K7541" s="10"/>
      <c r="L7541" s="10">
        <v>20201118</v>
      </c>
      <c r="M7541" s="36" t="str">
        <f t="shared" si="117"/>
        <v>19871107</v>
      </c>
    </row>
    <row r="7542" s="1" customFormat="1" spans="1:13">
      <c r="A7542" s="2">
        <v>7843</v>
      </c>
      <c r="B7542" s="5" t="s">
        <v>15086</v>
      </c>
      <c r="C7542" s="6" t="s">
        <v>15114</v>
      </c>
      <c r="D7542" s="6" t="str">
        <f>"152324198711118012"</f>
        <v>152324198711118012</v>
      </c>
      <c r="E7542" s="5" t="s">
        <v>15</v>
      </c>
      <c r="F7542" s="5">
        <v>2020</v>
      </c>
      <c r="G7542" s="5" t="s">
        <v>16</v>
      </c>
      <c r="H7542" s="5">
        <v>200</v>
      </c>
      <c r="I7542" s="5">
        <v>200</v>
      </c>
      <c r="J7542" s="5"/>
      <c r="K7542" s="5"/>
      <c r="L7542" s="10">
        <v>20201118</v>
      </c>
      <c r="M7542" s="36" t="str">
        <f t="shared" si="117"/>
        <v>19871111</v>
      </c>
    </row>
    <row r="7543" s="1" customFormat="1" ht="14.25" spans="1:13">
      <c r="A7543" s="2">
        <v>5467</v>
      </c>
      <c r="B7543" s="33" t="s">
        <v>10535</v>
      </c>
      <c r="C7543" s="34" t="s">
        <v>11030</v>
      </c>
      <c r="D7543" s="34" t="s">
        <v>11031</v>
      </c>
      <c r="E7543" s="35">
        <v>2020</v>
      </c>
      <c r="F7543" s="35">
        <v>2020</v>
      </c>
      <c r="G7543" s="35" t="s">
        <v>16</v>
      </c>
      <c r="H7543" s="34">
        <v>200</v>
      </c>
      <c r="I7543" s="34">
        <v>200</v>
      </c>
      <c r="J7543" s="49"/>
      <c r="K7543" s="10"/>
      <c r="L7543" s="10">
        <v>20201118</v>
      </c>
      <c r="M7543" s="36" t="str">
        <f t="shared" si="117"/>
        <v>19871112</v>
      </c>
    </row>
    <row r="7544" s="1" customFormat="1" spans="1:13">
      <c r="A7544" s="2">
        <v>1325</v>
      </c>
      <c r="B7544" s="5" t="s">
        <v>2469</v>
      </c>
      <c r="C7544" s="9" t="s">
        <v>3230</v>
      </c>
      <c r="D7544" s="9" t="s">
        <v>3231</v>
      </c>
      <c r="E7544" s="5">
        <v>2020</v>
      </c>
      <c r="F7544" s="5">
        <v>2020</v>
      </c>
      <c r="G7544" s="9" t="s">
        <v>2480</v>
      </c>
      <c r="H7544" s="9">
        <v>200</v>
      </c>
      <c r="I7544" s="9">
        <v>200</v>
      </c>
      <c r="J7544" s="5"/>
      <c r="K7544" s="5"/>
      <c r="L7544" s="10">
        <v>20201118</v>
      </c>
      <c r="M7544" s="36" t="str">
        <f t="shared" si="117"/>
        <v>19871113</v>
      </c>
    </row>
    <row r="7545" s="1" customFormat="1" ht="14.25" spans="1:13">
      <c r="A7545" s="2">
        <v>6044</v>
      </c>
      <c r="B7545" s="30" t="s">
        <v>11090</v>
      </c>
      <c r="C7545" s="32" t="s">
        <v>12131</v>
      </c>
      <c r="D7545" s="12" t="s">
        <v>12132</v>
      </c>
      <c r="E7545" s="5" t="s">
        <v>15</v>
      </c>
      <c r="F7545" s="5" t="s">
        <v>10250</v>
      </c>
      <c r="G7545" s="6" t="s">
        <v>16</v>
      </c>
      <c r="H7545" s="32">
        <v>200</v>
      </c>
      <c r="I7545" s="32">
        <v>200</v>
      </c>
      <c r="J7545" s="5"/>
      <c r="K7545" s="48"/>
      <c r="L7545" s="10">
        <v>20201118</v>
      </c>
      <c r="M7545" s="36" t="str">
        <f t="shared" si="117"/>
        <v>19871114</v>
      </c>
    </row>
    <row r="7546" s="1" customFormat="1" spans="1:13">
      <c r="A7546" s="2">
        <v>2742</v>
      </c>
      <c r="B7546" s="32" t="s">
        <v>5602</v>
      </c>
      <c r="C7546" s="9" t="s">
        <v>6014</v>
      </c>
      <c r="D7546" s="9" t="s">
        <v>6015</v>
      </c>
      <c r="E7546" s="32">
        <v>2020</v>
      </c>
      <c r="F7546" s="32">
        <v>2020</v>
      </c>
      <c r="G7546" s="32" t="s">
        <v>16</v>
      </c>
      <c r="H7546" s="9">
        <v>200</v>
      </c>
      <c r="I7546" s="9">
        <v>200</v>
      </c>
      <c r="J7546" s="32"/>
      <c r="K7546" s="52"/>
      <c r="L7546" s="10">
        <v>20201118</v>
      </c>
      <c r="M7546" s="36" t="str">
        <f t="shared" si="117"/>
        <v>19871116</v>
      </c>
    </row>
    <row r="7547" s="1" customFormat="1" spans="1:13">
      <c r="A7547" s="2">
        <v>5882</v>
      </c>
      <c r="B7547" s="30" t="s">
        <v>11090</v>
      </c>
      <c r="C7547" s="30" t="s">
        <v>11818</v>
      </c>
      <c r="D7547" s="30" t="s">
        <v>11819</v>
      </c>
      <c r="E7547" s="5" t="s">
        <v>15</v>
      </c>
      <c r="F7547" s="5" t="s">
        <v>10250</v>
      </c>
      <c r="G7547" s="6" t="s">
        <v>16</v>
      </c>
      <c r="H7547" s="32">
        <v>200</v>
      </c>
      <c r="I7547" s="32">
        <v>200</v>
      </c>
      <c r="J7547" s="6"/>
      <c r="K7547" s="48"/>
      <c r="L7547" s="10">
        <v>20201118</v>
      </c>
      <c r="M7547" s="36" t="str">
        <f t="shared" si="117"/>
        <v>19871116</v>
      </c>
    </row>
    <row r="7548" s="1" customFormat="1" spans="1:13">
      <c r="A7548" s="2">
        <v>3281</v>
      </c>
      <c r="B7548" s="5" t="s">
        <v>3375</v>
      </c>
      <c r="C7548" s="6" t="s">
        <v>7055</v>
      </c>
      <c r="D7548" s="6" t="str">
        <f>"152326198711206883"</f>
        <v>152326198711206883</v>
      </c>
      <c r="E7548" s="5" t="s">
        <v>15</v>
      </c>
      <c r="F7548" s="5">
        <v>2020</v>
      </c>
      <c r="G7548" s="14" t="s">
        <v>16</v>
      </c>
      <c r="H7548" s="17">
        <v>200</v>
      </c>
      <c r="I7548" s="17">
        <v>200</v>
      </c>
      <c r="J7548" s="6"/>
      <c r="K7548" s="10"/>
      <c r="L7548" s="10">
        <v>20201118</v>
      </c>
      <c r="M7548" s="36" t="str">
        <f t="shared" si="117"/>
        <v>19871120</v>
      </c>
    </row>
    <row r="7549" s="1" customFormat="1" spans="1:13">
      <c r="A7549" s="2">
        <v>2516</v>
      </c>
      <c r="B7549" s="5" t="s">
        <v>5328</v>
      </c>
      <c r="C7549" s="16" t="s">
        <v>5566</v>
      </c>
      <c r="D7549" s="16" t="s">
        <v>5567</v>
      </c>
      <c r="E7549" s="5" t="s">
        <v>15</v>
      </c>
      <c r="F7549" s="5" t="s">
        <v>15</v>
      </c>
      <c r="G7549" s="14" t="s">
        <v>16</v>
      </c>
      <c r="H7549" s="6">
        <v>200</v>
      </c>
      <c r="I7549" s="6">
        <v>200</v>
      </c>
      <c r="J7549" s="5"/>
      <c r="K7549" s="5"/>
      <c r="L7549" s="10">
        <v>20201118</v>
      </c>
      <c r="M7549" s="36" t="str">
        <f t="shared" si="117"/>
        <v>19871121</v>
      </c>
    </row>
    <row r="7550" s="1" customFormat="1" spans="1:13">
      <c r="A7550" s="2">
        <v>431</v>
      </c>
      <c r="B7550" s="29" t="s">
        <v>1040</v>
      </c>
      <c r="C7550" s="29" t="s">
        <v>1138</v>
      </c>
      <c r="D7550" s="29" t="s">
        <v>1139</v>
      </c>
      <c r="E7550" s="30">
        <v>2020</v>
      </c>
      <c r="F7550" s="30">
        <v>2020</v>
      </c>
      <c r="G7550" s="29" t="s">
        <v>16</v>
      </c>
      <c r="H7550" s="29">
        <v>200</v>
      </c>
      <c r="I7550" s="29">
        <v>200</v>
      </c>
      <c r="J7550" s="29"/>
      <c r="K7550" s="47"/>
      <c r="L7550" s="14" t="s">
        <v>330</v>
      </c>
      <c r="M7550" s="36" t="str">
        <f t="shared" si="117"/>
        <v>19871123</v>
      </c>
    </row>
    <row r="7551" s="1" customFormat="1" spans="1:13">
      <c r="A7551" s="2">
        <v>904</v>
      </c>
      <c r="B7551" s="29" t="s">
        <v>1040</v>
      </c>
      <c r="C7551" s="6" t="s">
        <v>2359</v>
      </c>
      <c r="D7551" s="6" t="s">
        <v>2360</v>
      </c>
      <c r="E7551" s="30">
        <v>2020</v>
      </c>
      <c r="F7551" s="30">
        <v>2020</v>
      </c>
      <c r="G7551" s="29" t="s">
        <v>16</v>
      </c>
      <c r="H7551" s="29">
        <v>200</v>
      </c>
      <c r="I7551" s="29">
        <v>200</v>
      </c>
      <c r="J7551" s="32"/>
      <c r="K7551" s="32"/>
      <c r="L7551" s="14" t="s">
        <v>330</v>
      </c>
      <c r="M7551" s="36" t="str">
        <f t="shared" si="117"/>
        <v>19871124</v>
      </c>
    </row>
    <row r="7552" s="1" customFormat="1" spans="1:13">
      <c r="A7552" s="2">
        <v>271</v>
      </c>
      <c r="B7552" s="14" t="s">
        <v>327</v>
      </c>
      <c r="C7552" s="17" t="s">
        <v>699</v>
      </c>
      <c r="D7552" s="306" t="s">
        <v>700</v>
      </c>
      <c r="E7552" s="5">
        <v>2020</v>
      </c>
      <c r="F7552" s="5">
        <v>2020</v>
      </c>
      <c r="G7552" s="14" t="s">
        <v>16</v>
      </c>
      <c r="H7552" s="17">
        <v>200</v>
      </c>
      <c r="I7552" s="17">
        <v>200</v>
      </c>
      <c r="J7552" s="17"/>
      <c r="K7552" s="10"/>
      <c r="L7552" s="2" t="s">
        <v>330</v>
      </c>
      <c r="M7552" s="36" t="str">
        <f t="shared" si="117"/>
        <v>19871126</v>
      </c>
    </row>
    <row r="7553" s="1" customFormat="1" ht="14.25" spans="1:13">
      <c r="A7553" s="2">
        <v>5468</v>
      </c>
      <c r="B7553" s="33" t="s">
        <v>10535</v>
      </c>
      <c r="C7553" s="34" t="s">
        <v>11032</v>
      </c>
      <c r="D7553" s="34" t="s">
        <v>11033</v>
      </c>
      <c r="E7553" s="35">
        <v>2020</v>
      </c>
      <c r="F7553" s="35">
        <v>2020</v>
      </c>
      <c r="G7553" s="35" t="s">
        <v>16</v>
      </c>
      <c r="H7553" s="34">
        <v>200</v>
      </c>
      <c r="I7553" s="34">
        <v>200</v>
      </c>
      <c r="J7553" s="49"/>
      <c r="K7553" s="10"/>
      <c r="L7553" s="10">
        <v>20201118</v>
      </c>
      <c r="M7553" s="36" t="str">
        <f t="shared" si="117"/>
        <v>19871126</v>
      </c>
    </row>
    <row r="7554" s="1" customFormat="1" spans="1:13">
      <c r="A7554" s="2">
        <v>5810</v>
      </c>
      <c r="B7554" s="30" t="s">
        <v>11090</v>
      </c>
      <c r="C7554" s="30" t="s">
        <v>11689</v>
      </c>
      <c r="D7554" s="30" t="s">
        <v>11690</v>
      </c>
      <c r="E7554" s="5" t="s">
        <v>15</v>
      </c>
      <c r="F7554" s="5" t="s">
        <v>10250</v>
      </c>
      <c r="G7554" s="6" t="s">
        <v>16</v>
      </c>
      <c r="H7554" s="32">
        <v>200</v>
      </c>
      <c r="I7554" s="32">
        <v>200</v>
      </c>
      <c r="J7554" s="6"/>
      <c r="K7554" s="48"/>
      <c r="L7554" s="10">
        <v>20201118</v>
      </c>
      <c r="M7554" s="36" t="str">
        <f t="shared" ref="M7554:M7617" si="118">MID(D7554,7,8)</f>
        <v>19871204</v>
      </c>
    </row>
    <row r="7555" s="1" customFormat="1" spans="1:13">
      <c r="A7555" s="2">
        <v>4106</v>
      </c>
      <c r="B7555" s="5" t="s">
        <v>7412</v>
      </c>
      <c r="C7555" s="5" t="s">
        <v>8423</v>
      </c>
      <c r="D7555" s="5" t="s">
        <v>8424</v>
      </c>
      <c r="E7555" s="6">
        <v>2020</v>
      </c>
      <c r="F7555" s="6">
        <v>2020</v>
      </c>
      <c r="G7555" s="5" t="s">
        <v>3359</v>
      </c>
      <c r="H7555" s="5">
        <v>200</v>
      </c>
      <c r="I7555" s="5">
        <v>200</v>
      </c>
      <c r="J7555" s="5"/>
      <c r="K7555" s="5"/>
      <c r="L7555" s="10">
        <v>20201118</v>
      </c>
      <c r="M7555" s="36" t="str">
        <f t="shared" si="118"/>
        <v>19871213</v>
      </c>
    </row>
    <row r="7556" s="1" customFormat="1" spans="1:13">
      <c r="A7556" s="2">
        <v>7842</v>
      </c>
      <c r="B7556" s="5" t="s">
        <v>15086</v>
      </c>
      <c r="C7556" s="6" t="s">
        <v>15113</v>
      </c>
      <c r="D7556" s="6" t="str">
        <f>"152326198712166887"</f>
        <v>152326198712166887</v>
      </c>
      <c r="E7556" s="5" t="s">
        <v>15</v>
      </c>
      <c r="F7556" s="5">
        <v>2020</v>
      </c>
      <c r="G7556" s="5" t="s">
        <v>16</v>
      </c>
      <c r="H7556" s="5">
        <v>500</v>
      </c>
      <c r="I7556" s="5">
        <v>500</v>
      </c>
      <c r="J7556" s="5"/>
      <c r="K7556" s="5"/>
      <c r="L7556" s="10">
        <v>20201118</v>
      </c>
      <c r="M7556" s="36" t="str">
        <f t="shared" si="118"/>
        <v>19871216</v>
      </c>
    </row>
    <row r="7557" s="1" customFormat="1" spans="1:13">
      <c r="A7557" s="2">
        <v>2065</v>
      </c>
      <c r="B7557" s="5" t="s">
        <v>4189</v>
      </c>
      <c r="C7557" s="16" t="s">
        <v>4684</v>
      </c>
      <c r="D7557" s="16" t="s">
        <v>4685</v>
      </c>
      <c r="E7557" s="5" t="s">
        <v>15</v>
      </c>
      <c r="F7557" s="5" t="s">
        <v>15</v>
      </c>
      <c r="G7557" s="5" t="s">
        <v>3359</v>
      </c>
      <c r="H7557" s="16">
        <v>200</v>
      </c>
      <c r="I7557" s="16">
        <v>200</v>
      </c>
      <c r="J7557" s="5"/>
      <c r="K7557" s="10"/>
      <c r="L7557" s="10">
        <v>20201118</v>
      </c>
      <c r="M7557" s="36" t="str">
        <f t="shared" si="118"/>
        <v>19871219</v>
      </c>
    </row>
    <row r="7558" s="1" customFormat="1" spans="1:13">
      <c r="A7558" s="2">
        <v>6229</v>
      </c>
      <c r="B7558" s="5" t="s">
        <v>12263</v>
      </c>
      <c r="C7558" s="5" t="s">
        <v>12483</v>
      </c>
      <c r="D7558" s="5" t="s">
        <v>12484</v>
      </c>
      <c r="E7558" s="5" t="s">
        <v>10250</v>
      </c>
      <c r="F7558" s="5">
        <v>2020</v>
      </c>
      <c r="G7558" s="17" t="s">
        <v>3359</v>
      </c>
      <c r="H7558" s="5">
        <v>200</v>
      </c>
      <c r="I7558" s="5">
        <v>200</v>
      </c>
      <c r="J7558" s="5" t="s">
        <v>5331</v>
      </c>
      <c r="K7558" s="5"/>
      <c r="L7558" s="10">
        <v>20201118</v>
      </c>
      <c r="M7558" s="36" t="str">
        <f t="shared" si="118"/>
        <v>19871220</v>
      </c>
    </row>
    <row r="7559" s="1" customFormat="1" spans="1:13">
      <c r="A7559" s="2">
        <v>7094</v>
      </c>
      <c r="B7559" s="5" t="s">
        <v>13533</v>
      </c>
      <c r="C7559" s="32" t="s">
        <v>13857</v>
      </c>
      <c r="D7559" s="32" t="s">
        <v>13858</v>
      </c>
      <c r="E7559" s="5">
        <v>2020</v>
      </c>
      <c r="F7559" s="5">
        <v>2020</v>
      </c>
      <c r="G7559" s="9" t="s">
        <v>2480</v>
      </c>
      <c r="H7559" s="32">
        <v>200</v>
      </c>
      <c r="I7559" s="32">
        <v>200</v>
      </c>
      <c r="J7559" s="32"/>
      <c r="K7559" s="10"/>
      <c r="L7559" s="10">
        <v>20201118</v>
      </c>
      <c r="M7559" s="36" t="str">
        <f t="shared" si="118"/>
        <v>19871222</v>
      </c>
    </row>
    <row r="7560" s="1" customFormat="1" spans="1:13">
      <c r="A7560" s="2">
        <v>7423</v>
      </c>
      <c r="B7560" s="5" t="s">
        <v>14402</v>
      </c>
      <c r="C7560" s="5" t="s">
        <v>14468</v>
      </c>
      <c r="D7560" s="5" t="s">
        <v>14469</v>
      </c>
      <c r="E7560" s="5">
        <v>2020</v>
      </c>
      <c r="F7560" s="5">
        <v>2020</v>
      </c>
      <c r="G7560" s="17" t="s">
        <v>16</v>
      </c>
      <c r="H7560" s="5">
        <v>200</v>
      </c>
      <c r="I7560" s="5">
        <v>200</v>
      </c>
      <c r="J7560" s="5"/>
      <c r="K7560" s="10"/>
      <c r="L7560" s="10">
        <v>20201118</v>
      </c>
      <c r="M7560" s="36" t="str">
        <f t="shared" si="118"/>
        <v>19871222</v>
      </c>
    </row>
    <row r="7561" s="1" customFormat="1" spans="1:13">
      <c r="A7561" s="2">
        <v>2404</v>
      </c>
      <c r="B7561" s="5" t="s">
        <v>5328</v>
      </c>
      <c r="C7561" s="16" t="s">
        <v>5349</v>
      </c>
      <c r="D7561" s="16" t="s">
        <v>5350</v>
      </c>
      <c r="E7561" s="5" t="s">
        <v>15</v>
      </c>
      <c r="F7561" s="5" t="s">
        <v>15</v>
      </c>
      <c r="G7561" s="14" t="s">
        <v>16</v>
      </c>
      <c r="H7561" s="6">
        <v>200</v>
      </c>
      <c r="I7561" s="6">
        <v>200</v>
      </c>
      <c r="J7561" s="5"/>
      <c r="K7561" s="5"/>
      <c r="L7561" s="10">
        <v>20201118</v>
      </c>
      <c r="M7561" s="36" t="str">
        <f t="shared" si="118"/>
        <v>19871227</v>
      </c>
    </row>
    <row r="7562" s="1" customFormat="1" spans="1:13">
      <c r="A7562" s="2">
        <v>5194</v>
      </c>
      <c r="B7562" s="6" t="s">
        <v>10242</v>
      </c>
      <c r="C7562" s="9" t="s">
        <v>10509</v>
      </c>
      <c r="D7562" s="89" t="s">
        <v>10510</v>
      </c>
      <c r="E7562" s="5" t="s">
        <v>10250</v>
      </c>
      <c r="F7562" s="5">
        <v>2020</v>
      </c>
      <c r="G7562" s="6" t="s">
        <v>16</v>
      </c>
      <c r="H7562" s="6">
        <v>200</v>
      </c>
      <c r="I7562" s="6">
        <v>200</v>
      </c>
      <c r="J7562" s="6"/>
      <c r="K7562" s="5"/>
      <c r="L7562" s="10">
        <v>20201118</v>
      </c>
      <c r="M7562" s="36" t="str">
        <f t="shared" si="118"/>
        <v>19880106</v>
      </c>
    </row>
    <row r="7563" s="1" customFormat="1" spans="1:13">
      <c r="A7563" s="2">
        <v>2103</v>
      </c>
      <c r="B7563" s="5" t="s">
        <v>4189</v>
      </c>
      <c r="C7563" s="9" t="s">
        <v>4757</v>
      </c>
      <c r="D7563" s="9" t="s">
        <v>4758</v>
      </c>
      <c r="E7563" s="5" t="s">
        <v>15</v>
      </c>
      <c r="F7563" s="5" t="s">
        <v>15</v>
      </c>
      <c r="G7563" s="5" t="s">
        <v>3359</v>
      </c>
      <c r="H7563" s="16">
        <v>200</v>
      </c>
      <c r="I7563" s="16">
        <v>200</v>
      </c>
      <c r="J7563" s="5"/>
      <c r="K7563" s="10"/>
      <c r="L7563" s="10">
        <v>20201118</v>
      </c>
      <c r="M7563" s="36" t="str">
        <f t="shared" si="118"/>
        <v>19880107</v>
      </c>
    </row>
    <row r="7564" s="1" customFormat="1" spans="1:13">
      <c r="A7564" s="2">
        <v>4491</v>
      </c>
      <c r="B7564" s="6" t="s">
        <v>9015</v>
      </c>
      <c r="C7564" s="6" t="s">
        <v>9165</v>
      </c>
      <c r="D7564" s="6" t="s">
        <v>9166</v>
      </c>
      <c r="E7564" s="6">
        <v>2020</v>
      </c>
      <c r="F7564" s="6">
        <v>2020</v>
      </c>
      <c r="G7564" s="6" t="s">
        <v>16</v>
      </c>
      <c r="H7564" s="6">
        <v>200</v>
      </c>
      <c r="I7564" s="6">
        <v>200</v>
      </c>
      <c r="J7564" s="6"/>
      <c r="K7564" s="6"/>
      <c r="L7564" s="10">
        <v>20201118</v>
      </c>
      <c r="M7564" s="36" t="str">
        <f t="shared" si="118"/>
        <v>19880108</v>
      </c>
    </row>
    <row r="7565" s="1" customFormat="1" spans="1:13">
      <c r="A7565" s="2">
        <v>6797</v>
      </c>
      <c r="B7565" s="5" t="s">
        <v>13533</v>
      </c>
      <c r="C7565" s="32" t="s">
        <v>13546</v>
      </c>
      <c r="D7565" s="32" t="s">
        <v>13547</v>
      </c>
      <c r="E7565" s="5">
        <v>2020</v>
      </c>
      <c r="F7565" s="5">
        <v>2020</v>
      </c>
      <c r="G7565" s="9" t="s">
        <v>2480</v>
      </c>
      <c r="H7565" s="32">
        <v>200</v>
      </c>
      <c r="I7565" s="32">
        <v>200</v>
      </c>
      <c r="J7565" s="62"/>
      <c r="K7565" s="10"/>
      <c r="L7565" s="10">
        <v>20201118</v>
      </c>
      <c r="M7565" s="36" t="str">
        <f t="shared" si="118"/>
        <v>19880108</v>
      </c>
    </row>
    <row r="7566" s="1" customFormat="1" spans="1:13">
      <c r="A7566" s="2">
        <v>8208</v>
      </c>
      <c r="B7566" s="5" t="s">
        <v>15406</v>
      </c>
      <c r="C7566" s="6" t="s">
        <v>15599</v>
      </c>
      <c r="D7566" s="6" t="s">
        <v>15600</v>
      </c>
      <c r="E7566" s="5" t="s">
        <v>15</v>
      </c>
      <c r="F7566" s="5">
        <v>2020</v>
      </c>
      <c r="G7566" s="14" t="s">
        <v>16</v>
      </c>
      <c r="H7566" s="6" t="s">
        <v>311</v>
      </c>
      <c r="I7566" s="6">
        <v>200</v>
      </c>
      <c r="J7566" s="5"/>
      <c r="K7566" s="10"/>
      <c r="L7566" s="10">
        <v>20201118</v>
      </c>
      <c r="M7566" s="36" t="str">
        <f t="shared" si="118"/>
        <v>19880109</v>
      </c>
    </row>
    <row r="7567" s="1" customFormat="1" spans="1:13">
      <c r="A7567" s="2">
        <v>7321</v>
      </c>
      <c r="B7567" s="5" t="s">
        <v>13908</v>
      </c>
      <c r="C7567" s="5" t="s">
        <v>14278</v>
      </c>
      <c r="D7567" s="5" t="s">
        <v>14279</v>
      </c>
      <c r="E7567" s="5" t="s">
        <v>15</v>
      </c>
      <c r="F7567" s="5" t="s">
        <v>15</v>
      </c>
      <c r="G7567" s="14" t="s">
        <v>16</v>
      </c>
      <c r="H7567" s="17">
        <v>200</v>
      </c>
      <c r="I7567" s="17">
        <v>200</v>
      </c>
      <c r="J7567" s="5"/>
      <c r="K7567" s="10"/>
      <c r="L7567" s="10">
        <v>20201118</v>
      </c>
      <c r="M7567" s="36" t="str">
        <f t="shared" si="118"/>
        <v>19880110</v>
      </c>
    </row>
    <row r="7568" s="1" customFormat="1" spans="1:13">
      <c r="A7568" s="2">
        <v>1826</v>
      </c>
      <c r="B7568" s="5" t="s">
        <v>4189</v>
      </c>
      <c r="C7568" s="16" t="s">
        <v>4217</v>
      </c>
      <c r="D7568" s="16" t="s">
        <v>4218</v>
      </c>
      <c r="E7568" s="5" t="s">
        <v>15</v>
      </c>
      <c r="F7568" s="5" t="s">
        <v>15</v>
      </c>
      <c r="G7568" s="5" t="s">
        <v>3359</v>
      </c>
      <c r="H7568" s="16">
        <v>200</v>
      </c>
      <c r="I7568" s="16">
        <v>200</v>
      </c>
      <c r="J7568" s="5"/>
      <c r="K7568" s="10"/>
      <c r="L7568" s="10">
        <v>20201118</v>
      </c>
      <c r="M7568" s="36" t="str">
        <f t="shared" si="118"/>
        <v>19880115</v>
      </c>
    </row>
    <row r="7569" s="1" customFormat="1" spans="1:13">
      <c r="A7569" s="2">
        <v>4386</v>
      </c>
      <c r="B7569" s="9" t="s">
        <v>8515</v>
      </c>
      <c r="C7569" s="9" t="s">
        <v>8960</v>
      </c>
      <c r="D7569" s="9" t="s">
        <v>8961</v>
      </c>
      <c r="E7569" s="5" t="s">
        <v>15</v>
      </c>
      <c r="F7569" s="5">
        <v>2020</v>
      </c>
      <c r="G7569" s="9" t="s">
        <v>2480</v>
      </c>
      <c r="H7569" s="9">
        <v>200</v>
      </c>
      <c r="I7569" s="9">
        <v>200</v>
      </c>
      <c r="J7569" s="9"/>
      <c r="K7569" s="9"/>
      <c r="L7569" s="10">
        <v>20201118</v>
      </c>
      <c r="M7569" s="36" t="str">
        <f t="shared" si="118"/>
        <v>19880115</v>
      </c>
    </row>
    <row r="7570" s="1" customFormat="1" spans="1:13">
      <c r="A7570" s="2">
        <v>4387</v>
      </c>
      <c r="B7570" s="9" t="s">
        <v>8515</v>
      </c>
      <c r="C7570" s="9" t="s">
        <v>8962</v>
      </c>
      <c r="D7570" s="9" t="s">
        <v>8963</v>
      </c>
      <c r="E7570" s="5" t="s">
        <v>15</v>
      </c>
      <c r="F7570" s="5">
        <v>2020</v>
      </c>
      <c r="G7570" s="9" t="s">
        <v>2480</v>
      </c>
      <c r="H7570" s="9">
        <v>200</v>
      </c>
      <c r="I7570" s="9">
        <v>200</v>
      </c>
      <c r="J7570" s="9"/>
      <c r="K7570" s="9"/>
      <c r="L7570" s="10">
        <v>20201118</v>
      </c>
      <c r="M7570" s="36" t="str">
        <f t="shared" si="118"/>
        <v>19880115</v>
      </c>
    </row>
    <row r="7571" s="1" customFormat="1" spans="1:13">
      <c r="A7571" s="2">
        <v>4107</v>
      </c>
      <c r="B7571" s="5" t="s">
        <v>7412</v>
      </c>
      <c r="C7571" s="5" t="s">
        <v>8425</v>
      </c>
      <c r="D7571" s="5" t="s">
        <v>8426</v>
      </c>
      <c r="E7571" s="6">
        <v>2020</v>
      </c>
      <c r="F7571" s="6">
        <v>2020</v>
      </c>
      <c r="G7571" s="5" t="s">
        <v>3359</v>
      </c>
      <c r="H7571" s="5">
        <v>200</v>
      </c>
      <c r="I7571" s="5">
        <v>200</v>
      </c>
      <c r="J7571" s="5"/>
      <c r="K7571" s="5"/>
      <c r="L7571" s="10">
        <v>20201118</v>
      </c>
      <c r="M7571" s="36" t="str">
        <f t="shared" si="118"/>
        <v>19880116</v>
      </c>
    </row>
    <row r="7572" s="1" customFormat="1" spans="1:13">
      <c r="A7572" s="2">
        <v>6795</v>
      </c>
      <c r="B7572" s="5" t="s">
        <v>13533</v>
      </c>
      <c r="C7572" s="32" t="s">
        <v>13544</v>
      </c>
      <c r="D7572" s="32" t="str">
        <f>"152326198801187110"</f>
        <v>152326198801187110</v>
      </c>
      <c r="E7572" s="5">
        <v>2020</v>
      </c>
      <c r="F7572" s="5">
        <v>2020</v>
      </c>
      <c r="G7572" s="9" t="s">
        <v>2480</v>
      </c>
      <c r="H7572" s="32">
        <v>200</v>
      </c>
      <c r="I7572" s="32">
        <v>200</v>
      </c>
      <c r="J7572" s="62"/>
      <c r="K7572" s="10"/>
      <c r="L7572" s="10">
        <v>20201118</v>
      </c>
      <c r="M7572" s="36" t="str">
        <f t="shared" si="118"/>
        <v>19880118</v>
      </c>
    </row>
    <row r="7573" s="1" customFormat="1" spans="1:13">
      <c r="A7573" s="2">
        <v>4782</v>
      </c>
      <c r="B7573" s="6" t="s">
        <v>9015</v>
      </c>
      <c r="C7573" s="6" t="s">
        <v>9715</v>
      </c>
      <c r="D7573" s="6" t="s">
        <v>9716</v>
      </c>
      <c r="E7573" s="6">
        <v>2020</v>
      </c>
      <c r="F7573" s="6">
        <v>2020</v>
      </c>
      <c r="G7573" s="6" t="s">
        <v>16</v>
      </c>
      <c r="H7573" s="6">
        <v>200</v>
      </c>
      <c r="I7573" s="6">
        <v>200</v>
      </c>
      <c r="J7573" s="6"/>
      <c r="K7573" s="6"/>
      <c r="L7573" s="10">
        <v>20201118</v>
      </c>
      <c r="M7573" s="36" t="str">
        <f t="shared" si="118"/>
        <v>19880126</v>
      </c>
    </row>
    <row r="7574" s="1" customFormat="1" spans="1:13">
      <c r="A7574" s="2">
        <v>7075</v>
      </c>
      <c r="B7574" s="5" t="s">
        <v>13533</v>
      </c>
      <c r="C7574" s="32" t="s">
        <v>13821</v>
      </c>
      <c r="D7574" s="32" t="s">
        <v>13822</v>
      </c>
      <c r="E7574" s="5">
        <v>2020</v>
      </c>
      <c r="F7574" s="5">
        <v>2020</v>
      </c>
      <c r="G7574" s="9" t="s">
        <v>2480</v>
      </c>
      <c r="H7574" s="32">
        <v>200</v>
      </c>
      <c r="I7574" s="32">
        <v>200</v>
      </c>
      <c r="J7574" s="62"/>
      <c r="K7574" s="10"/>
      <c r="L7574" s="10">
        <v>20201118</v>
      </c>
      <c r="M7574" s="36" t="str">
        <f t="shared" si="118"/>
        <v>19880127</v>
      </c>
    </row>
    <row r="7575" s="1" customFormat="1" spans="1:13">
      <c r="A7575" s="2">
        <v>7310</v>
      </c>
      <c r="B7575" s="5" t="s">
        <v>13908</v>
      </c>
      <c r="C7575" s="5" t="s">
        <v>14258</v>
      </c>
      <c r="D7575" s="5" t="s">
        <v>14259</v>
      </c>
      <c r="E7575" s="5" t="s">
        <v>15</v>
      </c>
      <c r="F7575" s="5" t="s">
        <v>15</v>
      </c>
      <c r="G7575" s="14" t="s">
        <v>16</v>
      </c>
      <c r="H7575" s="17">
        <v>200</v>
      </c>
      <c r="I7575" s="17">
        <v>200</v>
      </c>
      <c r="J7575" s="5"/>
      <c r="K7575" s="10"/>
      <c r="L7575" s="10">
        <v>20201118</v>
      </c>
      <c r="M7575" s="36" t="str">
        <f t="shared" si="118"/>
        <v>19880127</v>
      </c>
    </row>
    <row r="7576" s="1" customFormat="1" spans="1:13">
      <c r="A7576" s="2">
        <v>6767</v>
      </c>
      <c r="B7576" s="5" t="s">
        <v>13027</v>
      </c>
      <c r="C7576" s="15" t="s">
        <v>1148</v>
      </c>
      <c r="D7576" s="15" t="s">
        <v>13498</v>
      </c>
      <c r="E7576" s="5">
        <v>2020</v>
      </c>
      <c r="F7576" s="5">
        <v>2020</v>
      </c>
      <c r="G7576" s="14" t="s">
        <v>16</v>
      </c>
      <c r="H7576" s="15">
        <v>200</v>
      </c>
      <c r="I7576" s="15">
        <v>200</v>
      </c>
      <c r="J7576" s="5"/>
      <c r="K7576" s="10"/>
      <c r="L7576" s="10">
        <v>20201118</v>
      </c>
      <c r="M7576" s="36" t="str">
        <f t="shared" si="118"/>
        <v>19880128</v>
      </c>
    </row>
    <row r="7577" s="1" customFormat="1" spans="1:13">
      <c r="A7577" s="2">
        <v>4108</v>
      </c>
      <c r="B7577" s="5" t="s">
        <v>7412</v>
      </c>
      <c r="C7577" s="5" t="s">
        <v>1402</v>
      </c>
      <c r="D7577" s="5" t="s">
        <v>8427</v>
      </c>
      <c r="E7577" s="6">
        <v>2020</v>
      </c>
      <c r="F7577" s="6">
        <v>2020</v>
      </c>
      <c r="G7577" s="5" t="s">
        <v>3359</v>
      </c>
      <c r="H7577" s="5">
        <v>200</v>
      </c>
      <c r="I7577" s="5">
        <v>200</v>
      </c>
      <c r="J7577" s="5"/>
      <c r="K7577" s="5"/>
      <c r="L7577" s="10">
        <v>20201118</v>
      </c>
      <c r="M7577" s="36" t="str">
        <f t="shared" si="118"/>
        <v>19880130</v>
      </c>
    </row>
    <row r="7578" s="1" customFormat="1" spans="1:13">
      <c r="A7578" s="2">
        <v>4401</v>
      </c>
      <c r="B7578" s="9" t="s">
        <v>8515</v>
      </c>
      <c r="C7578" s="6" t="s">
        <v>8989</v>
      </c>
      <c r="D7578" s="293" t="s">
        <v>8990</v>
      </c>
      <c r="E7578" s="5" t="s">
        <v>15</v>
      </c>
      <c r="F7578" s="5">
        <v>2020</v>
      </c>
      <c r="G7578" s="6" t="s">
        <v>295</v>
      </c>
      <c r="H7578" s="9">
        <v>200</v>
      </c>
      <c r="I7578" s="9">
        <v>200</v>
      </c>
      <c r="J7578" s="6"/>
      <c r="K7578" s="6"/>
      <c r="L7578" s="10">
        <v>20201118</v>
      </c>
      <c r="M7578" s="36" t="str">
        <f t="shared" si="118"/>
        <v>19880201</v>
      </c>
    </row>
    <row r="7579" s="1" customFormat="1" spans="1:13">
      <c r="A7579" s="2">
        <v>6796</v>
      </c>
      <c r="B7579" s="5" t="s">
        <v>13533</v>
      </c>
      <c r="C7579" s="32" t="s">
        <v>13545</v>
      </c>
      <c r="D7579" s="32" t="str">
        <f>"152326198802027119"</f>
        <v>152326198802027119</v>
      </c>
      <c r="E7579" s="5">
        <v>2020</v>
      </c>
      <c r="F7579" s="5">
        <v>2020</v>
      </c>
      <c r="G7579" s="9" t="s">
        <v>2480</v>
      </c>
      <c r="H7579" s="32">
        <v>200</v>
      </c>
      <c r="I7579" s="32">
        <v>200</v>
      </c>
      <c r="J7579" s="32"/>
      <c r="K7579" s="10"/>
      <c r="L7579" s="10">
        <v>20201118</v>
      </c>
      <c r="M7579" s="36" t="str">
        <f t="shared" si="118"/>
        <v>19880202</v>
      </c>
    </row>
    <row r="7580" s="1" customFormat="1" spans="1:13">
      <c r="A7580" s="2">
        <v>7097</v>
      </c>
      <c r="B7580" s="5" t="s">
        <v>13533</v>
      </c>
      <c r="C7580" s="32" t="s">
        <v>13863</v>
      </c>
      <c r="D7580" s="32" t="s">
        <v>13864</v>
      </c>
      <c r="E7580" s="5">
        <v>2020</v>
      </c>
      <c r="F7580" s="5">
        <v>2020</v>
      </c>
      <c r="G7580" s="9" t="s">
        <v>2480</v>
      </c>
      <c r="H7580" s="32">
        <v>200</v>
      </c>
      <c r="I7580" s="32">
        <v>200</v>
      </c>
      <c r="J7580" s="32"/>
      <c r="K7580" s="10"/>
      <c r="L7580" s="10">
        <v>20201118</v>
      </c>
      <c r="M7580" s="36" t="str">
        <f t="shared" si="118"/>
        <v>19880204</v>
      </c>
    </row>
    <row r="7581" s="1" customFormat="1" spans="1:13">
      <c r="A7581" s="2">
        <v>1743</v>
      </c>
      <c r="B7581" s="5" t="s">
        <v>3381</v>
      </c>
      <c r="C7581" s="9" t="s">
        <v>4046</v>
      </c>
      <c r="D7581" s="9" t="s">
        <v>4047</v>
      </c>
      <c r="E7581" s="5">
        <v>2020</v>
      </c>
      <c r="F7581" s="5">
        <v>2020</v>
      </c>
      <c r="G7581" s="14" t="s">
        <v>16</v>
      </c>
      <c r="H7581" s="6">
        <v>200</v>
      </c>
      <c r="I7581" s="6">
        <v>200</v>
      </c>
      <c r="J7581" s="5"/>
      <c r="K7581" s="13"/>
      <c r="L7581" s="10">
        <v>20201118</v>
      </c>
      <c r="M7581" s="36" t="str">
        <f t="shared" si="118"/>
        <v>19880210</v>
      </c>
    </row>
    <row r="7582" s="1" customFormat="1" spans="1:13">
      <c r="A7582" s="2">
        <v>2743</v>
      </c>
      <c r="B7582" s="32" t="s">
        <v>5602</v>
      </c>
      <c r="C7582" s="9" t="s">
        <v>6016</v>
      </c>
      <c r="D7582" s="9" t="s">
        <v>6017</v>
      </c>
      <c r="E7582" s="32">
        <v>2020</v>
      </c>
      <c r="F7582" s="32">
        <v>2020</v>
      </c>
      <c r="G7582" s="32" t="s">
        <v>16</v>
      </c>
      <c r="H7582" s="9">
        <v>200</v>
      </c>
      <c r="I7582" s="9">
        <v>200</v>
      </c>
      <c r="J7582" s="32"/>
      <c r="K7582" s="52"/>
      <c r="L7582" s="10">
        <v>20201118</v>
      </c>
      <c r="M7582" s="36" t="str">
        <f t="shared" si="118"/>
        <v>19880214</v>
      </c>
    </row>
    <row r="7583" s="1" customFormat="1" ht="14.25" spans="1:13">
      <c r="A7583" s="2">
        <v>5469</v>
      </c>
      <c r="B7583" s="33" t="s">
        <v>10535</v>
      </c>
      <c r="C7583" s="34" t="s">
        <v>11034</v>
      </c>
      <c r="D7583" s="34" t="s">
        <v>11035</v>
      </c>
      <c r="E7583" s="35">
        <v>2020</v>
      </c>
      <c r="F7583" s="35">
        <v>2020</v>
      </c>
      <c r="G7583" s="35" t="s">
        <v>16</v>
      </c>
      <c r="H7583" s="34">
        <v>200</v>
      </c>
      <c r="I7583" s="34">
        <v>200</v>
      </c>
      <c r="J7583" s="49"/>
      <c r="K7583" s="10"/>
      <c r="L7583" s="10">
        <v>20201118</v>
      </c>
      <c r="M7583" s="36" t="str">
        <f t="shared" si="118"/>
        <v>19880218</v>
      </c>
    </row>
    <row r="7584" s="1" customFormat="1" spans="1:13">
      <c r="A7584" s="2">
        <v>4109</v>
      </c>
      <c r="B7584" s="5" t="s">
        <v>7412</v>
      </c>
      <c r="C7584" s="5" t="s">
        <v>8428</v>
      </c>
      <c r="D7584" s="5" t="s">
        <v>8429</v>
      </c>
      <c r="E7584" s="6">
        <v>2020</v>
      </c>
      <c r="F7584" s="6">
        <v>2020</v>
      </c>
      <c r="G7584" s="5" t="s">
        <v>3359</v>
      </c>
      <c r="H7584" s="5">
        <v>1000</v>
      </c>
      <c r="I7584" s="5">
        <v>1000</v>
      </c>
      <c r="J7584" s="5"/>
      <c r="K7584" s="5"/>
      <c r="L7584" s="10">
        <v>20201118</v>
      </c>
      <c r="M7584" s="36" t="str">
        <f t="shared" si="118"/>
        <v>19880219</v>
      </c>
    </row>
    <row r="7585" s="1" customFormat="1" spans="1:13">
      <c r="A7585" s="2">
        <v>3541</v>
      </c>
      <c r="B7585" s="5" t="s">
        <v>3375</v>
      </c>
      <c r="C7585" s="5" t="s">
        <v>7352</v>
      </c>
      <c r="D7585" s="296" t="s">
        <v>7353</v>
      </c>
      <c r="E7585" s="5" t="s">
        <v>15</v>
      </c>
      <c r="F7585" s="5">
        <v>2020</v>
      </c>
      <c r="G7585" s="14" t="s">
        <v>16</v>
      </c>
      <c r="H7585" s="5">
        <v>200</v>
      </c>
      <c r="I7585" s="5">
        <v>200</v>
      </c>
      <c r="J7585" s="5"/>
      <c r="K7585" s="10"/>
      <c r="L7585" s="10">
        <v>20201118</v>
      </c>
      <c r="M7585" s="36" t="str">
        <f t="shared" si="118"/>
        <v>19880226</v>
      </c>
    </row>
    <row r="7586" s="1" customFormat="1" spans="1:13">
      <c r="A7586" s="2">
        <v>4402</v>
      </c>
      <c r="B7586" s="9" t="s">
        <v>8515</v>
      </c>
      <c r="C7586" s="6" t="s">
        <v>8991</v>
      </c>
      <c r="D7586" s="293" t="s">
        <v>8992</v>
      </c>
      <c r="E7586" s="5" t="s">
        <v>15</v>
      </c>
      <c r="F7586" s="5">
        <v>2020</v>
      </c>
      <c r="G7586" s="6" t="s">
        <v>295</v>
      </c>
      <c r="H7586" s="9">
        <v>200</v>
      </c>
      <c r="I7586" s="9">
        <v>200</v>
      </c>
      <c r="J7586" s="6"/>
      <c r="K7586" s="6"/>
      <c r="L7586" s="10">
        <v>20201118</v>
      </c>
      <c r="M7586" s="36" t="str">
        <f t="shared" si="118"/>
        <v>19880228</v>
      </c>
    </row>
    <row r="7587" s="1" customFormat="1" spans="1:13">
      <c r="A7587" s="2">
        <v>3277</v>
      </c>
      <c r="B7587" s="5" t="s">
        <v>3375</v>
      </c>
      <c r="C7587" s="6" t="s">
        <v>7048</v>
      </c>
      <c r="D7587" s="6" t="str">
        <f>"152326198803026871"</f>
        <v>152326198803026871</v>
      </c>
      <c r="E7587" s="5" t="s">
        <v>15</v>
      </c>
      <c r="F7587" s="5">
        <v>2020</v>
      </c>
      <c r="G7587" s="14" t="s">
        <v>16</v>
      </c>
      <c r="H7587" s="17">
        <v>200</v>
      </c>
      <c r="I7587" s="17">
        <v>200</v>
      </c>
      <c r="J7587" s="6"/>
      <c r="K7587" s="10"/>
      <c r="L7587" s="10">
        <v>20201118</v>
      </c>
      <c r="M7587" s="36" t="str">
        <f t="shared" si="118"/>
        <v>19880302</v>
      </c>
    </row>
    <row r="7588" s="1" customFormat="1" spans="1:13">
      <c r="A7588" s="2">
        <v>2068</v>
      </c>
      <c r="B7588" s="5" t="s">
        <v>4189</v>
      </c>
      <c r="C7588" s="16" t="s">
        <v>4689</v>
      </c>
      <c r="D7588" s="16" t="s">
        <v>4690</v>
      </c>
      <c r="E7588" s="5" t="s">
        <v>15</v>
      </c>
      <c r="F7588" s="5" t="s">
        <v>15</v>
      </c>
      <c r="G7588" s="5" t="s">
        <v>3359</v>
      </c>
      <c r="H7588" s="16">
        <v>200</v>
      </c>
      <c r="I7588" s="16">
        <v>200</v>
      </c>
      <c r="J7588" s="5"/>
      <c r="K7588" s="10"/>
      <c r="L7588" s="10">
        <v>20201118</v>
      </c>
      <c r="M7588" s="36" t="str">
        <f t="shared" si="118"/>
        <v>19880306</v>
      </c>
    </row>
    <row r="7589" s="1" customFormat="1" spans="1:13">
      <c r="A7589" s="2">
        <v>7207</v>
      </c>
      <c r="B7589" s="5" t="s">
        <v>13908</v>
      </c>
      <c r="C7589" s="5" t="s">
        <v>4313</v>
      </c>
      <c r="D7589" s="5" t="s">
        <v>14063</v>
      </c>
      <c r="E7589" s="5" t="s">
        <v>15</v>
      </c>
      <c r="F7589" s="5" t="s">
        <v>15</v>
      </c>
      <c r="G7589" s="14" t="s">
        <v>16</v>
      </c>
      <c r="H7589" s="17">
        <v>1000</v>
      </c>
      <c r="I7589" s="17">
        <v>1000</v>
      </c>
      <c r="J7589" s="5"/>
      <c r="K7589" s="10"/>
      <c r="L7589" s="10">
        <v>20201118</v>
      </c>
      <c r="M7589" s="36" t="str">
        <f t="shared" si="118"/>
        <v>19880307</v>
      </c>
    </row>
    <row r="7590" s="1" customFormat="1" spans="1:13">
      <c r="A7590" s="2">
        <v>7344</v>
      </c>
      <c r="B7590" s="5" t="s">
        <v>13908</v>
      </c>
      <c r="C7590" s="5" t="s">
        <v>7061</v>
      </c>
      <c r="D7590" s="5" t="s">
        <v>14319</v>
      </c>
      <c r="E7590" s="5" t="s">
        <v>15</v>
      </c>
      <c r="F7590" s="5" t="s">
        <v>15</v>
      </c>
      <c r="G7590" s="14" t="s">
        <v>16</v>
      </c>
      <c r="H7590" s="17">
        <v>200</v>
      </c>
      <c r="I7590" s="17">
        <v>200</v>
      </c>
      <c r="J7590" s="5"/>
      <c r="K7590" s="10"/>
      <c r="L7590" s="10">
        <v>20201118</v>
      </c>
      <c r="M7590" s="36" t="str">
        <f t="shared" si="118"/>
        <v>19880308</v>
      </c>
    </row>
    <row r="7591" s="1" customFormat="1" spans="1:13">
      <c r="A7591" s="2">
        <v>1326</v>
      </c>
      <c r="B7591" s="5" t="s">
        <v>2469</v>
      </c>
      <c r="C7591" s="9" t="s">
        <v>3232</v>
      </c>
      <c r="D7591" s="9" t="s">
        <v>3233</v>
      </c>
      <c r="E7591" s="5">
        <v>2020</v>
      </c>
      <c r="F7591" s="5">
        <v>2020</v>
      </c>
      <c r="G7591" s="9" t="s">
        <v>2480</v>
      </c>
      <c r="H7591" s="9">
        <v>200</v>
      </c>
      <c r="I7591" s="9">
        <v>200</v>
      </c>
      <c r="J7591" s="5"/>
      <c r="K7591" s="5"/>
      <c r="L7591" s="10">
        <v>20201118</v>
      </c>
      <c r="M7591" s="36" t="str">
        <f t="shared" si="118"/>
        <v>19880309</v>
      </c>
    </row>
    <row r="7592" s="1" customFormat="1" spans="1:13">
      <c r="A7592" s="2">
        <v>1327</v>
      </c>
      <c r="B7592" s="5" t="s">
        <v>2469</v>
      </c>
      <c r="C7592" s="9" t="s">
        <v>3234</v>
      </c>
      <c r="D7592" s="9" t="s">
        <v>3235</v>
      </c>
      <c r="E7592" s="5">
        <v>2020</v>
      </c>
      <c r="F7592" s="5">
        <v>2020</v>
      </c>
      <c r="G7592" s="9" t="s">
        <v>2480</v>
      </c>
      <c r="H7592" s="9">
        <v>200</v>
      </c>
      <c r="I7592" s="9">
        <v>200</v>
      </c>
      <c r="J7592" s="5"/>
      <c r="K7592" s="5"/>
      <c r="L7592" s="10">
        <v>20201118</v>
      </c>
      <c r="M7592" s="36" t="str">
        <f t="shared" si="118"/>
        <v>19880313</v>
      </c>
    </row>
    <row r="7593" s="1" customFormat="1" spans="1:13">
      <c r="A7593" s="2">
        <v>829</v>
      </c>
      <c r="B7593" s="29" t="s">
        <v>1040</v>
      </c>
      <c r="C7593" s="5" t="s">
        <v>2136</v>
      </c>
      <c r="D7593" s="317" t="s">
        <v>2137</v>
      </c>
      <c r="E7593" s="30">
        <v>2020</v>
      </c>
      <c r="F7593" s="30">
        <v>2020</v>
      </c>
      <c r="G7593" s="29" t="s">
        <v>16</v>
      </c>
      <c r="H7593" s="29">
        <v>200</v>
      </c>
      <c r="I7593" s="29">
        <v>200</v>
      </c>
      <c r="J7593" s="32"/>
      <c r="K7593" s="32"/>
      <c r="L7593" s="14" t="s">
        <v>330</v>
      </c>
      <c r="M7593" s="36" t="str">
        <f t="shared" si="118"/>
        <v>19880315</v>
      </c>
    </row>
    <row r="7594" s="1" customFormat="1" spans="1:13">
      <c r="A7594" s="2">
        <v>4110</v>
      </c>
      <c r="B7594" s="5" t="s">
        <v>7412</v>
      </c>
      <c r="C7594" s="5" t="s">
        <v>8430</v>
      </c>
      <c r="D7594" s="5" t="s">
        <v>8431</v>
      </c>
      <c r="E7594" s="6">
        <v>2020</v>
      </c>
      <c r="F7594" s="6">
        <v>2020</v>
      </c>
      <c r="G7594" s="5" t="s">
        <v>3359</v>
      </c>
      <c r="H7594" s="5">
        <v>200</v>
      </c>
      <c r="I7594" s="5">
        <v>200</v>
      </c>
      <c r="J7594" s="5"/>
      <c r="K7594" s="5"/>
      <c r="L7594" s="10">
        <v>20201118</v>
      </c>
      <c r="M7594" s="36" t="str">
        <f t="shared" si="118"/>
        <v>19880404</v>
      </c>
    </row>
    <row r="7595" s="1" customFormat="1" ht="14.25" spans="1:13">
      <c r="A7595" s="2">
        <v>5979</v>
      </c>
      <c r="B7595" s="30" t="s">
        <v>11090</v>
      </c>
      <c r="C7595" s="32" t="s">
        <v>12004</v>
      </c>
      <c r="D7595" s="12" t="s">
        <v>12005</v>
      </c>
      <c r="E7595" s="5" t="s">
        <v>15</v>
      </c>
      <c r="F7595" s="5" t="s">
        <v>10250</v>
      </c>
      <c r="G7595" s="6" t="s">
        <v>16</v>
      </c>
      <c r="H7595" s="32">
        <v>200</v>
      </c>
      <c r="I7595" s="32">
        <v>200</v>
      </c>
      <c r="J7595" s="6"/>
      <c r="K7595" s="48"/>
      <c r="L7595" s="10">
        <v>20201118</v>
      </c>
      <c r="M7595" s="36" t="str">
        <f t="shared" si="118"/>
        <v>19880412</v>
      </c>
    </row>
    <row r="7596" s="1" customFormat="1" spans="1:13">
      <c r="A7596" s="2">
        <v>7185</v>
      </c>
      <c r="B7596" s="5" t="s">
        <v>13908</v>
      </c>
      <c r="C7596" s="5" t="s">
        <v>887</v>
      </c>
      <c r="D7596" s="5" t="s">
        <v>14022</v>
      </c>
      <c r="E7596" s="5" t="s">
        <v>15</v>
      </c>
      <c r="F7596" s="5" t="s">
        <v>15</v>
      </c>
      <c r="G7596" s="14" t="s">
        <v>16</v>
      </c>
      <c r="H7596" s="17">
        <v>200</v>
      </c>
      <c r="I7596" s="17">
        <v>200</v>
      </c>
      <c r="J7596" s="5"/>
      <c r="K7596" s="10"/>
      <c r="L7596" s="10">
        <v>20201118</v>
      </c>
      <c r="M7596" s="36" t="str">
        <f t="shared" si="118"/>
        <v>19880419</v>
      </c>
    </row>
    <row r="7597" s="1" customFormat="1" spans="1:13">
      <c r="A7597" s="2">
        <v>4388</v>
      </c>
      <c r="B7597" s="9" t="s">
        <v>8515</v>
      </c>
      <c r="C7597" s="9" t="s">
        <v>8964</v>
      </c>
      <c r="D7597" s="9" t="s">
        <v>8965</v>
      </c>
      <c r="E7597" s="5" t="s">
        <v>15</v>
      </c>
      <c r="F7597" s="5">
        <v>2020</v>
      </c>
      <c r="G7597" s="9" t="s">
        <v>2480</v>
      </c>
      <c r="H7597" s="9">
        <v>200</v>
      </c>
      <c r="I7597" s="9">
        <v>200</v>
      </c>
      <c r="J7597" s="9"/>
      <c r="K7597" s="9"/>
      <c r="L7597" s="10">
        <v>20201118</v>
      </c>
      <c r="M7597" s="36" t="str">
        <f t="shared" si="118"/>
        <v>19880504</v>
      </c>
    </row>
    <row r="7598" s="1" customFormat="1" spans="1:13">
      <c r="A7598" s="2">
        <v>4111</v>
      </c>
      <c r="B7598" s="5" t="s">
        <v>7412</v>
      </c>
      <c r="C7598" s="5" t="s">
        <v>8432</v>
      </c>
      <c r="D7598" s="5" t="s">
        <v>8433</v>
      </c>
      <c r="E7598" s="6">
        <v>2020</v>
      </c>
      <c r="F7598" s="6">
        <v>2020</v>
      </c>
      <c r="G7598" s="5" t="s">
        <v>3359</v>
      </c>
      <c r="H7598" s="5">
        <v>200</v>
      </c>
      <c r="I7598" s="5">
        <v>200</v>
      </c>
      <c r="J7598" s="5"/>
      <c r="K7598" s="5"/>
      <c r="L7598" s="10">
        <v>20201118</v>
      </c>
      <c r="M7598" s="36" t="str">
        <f t="shared" si="118"/>
        <v>19880518</v>
      </c>
    </row>
    <row r="7599" s="1" customFormat="1" spans="1:13">
      <c r="A7599" s="2">
        <v>4112</v>
      </c>
      <c r="B7599" s="5" t="s">
        <v>7412</v>
      </c>
      <c r="C7599" s="5" t="s">
        <v>2595</v>
      </c>
      <c r="D7599" s="5" t="s">
        <v>8434</v>
      </c>
      <c r="E7599" s="6">
        <v>2020</v>
      </c>
      <c r="F7599" s="6">
        <v>2020</v>
      </c>
      <c r="G7599" s="5" t="s">
        <v>3359</v>
      </c>
      <c r="H7599" s="5">
        <v>200</v>
      </c>
      <c r="I7599" s="5">
        <v>200</v>
      </c>
      <c r="J7599" s="5"/>
      <c r="K7599" s="5"/>
      <c r="L7599" s="10">
        <v>20201118</v>
      </c>
      <c r="M7599" s="36" t="str">
        <f t="shared" si="118"/>
        <v>19880518</v>
      </c>
    </row>
    <row r="7600" s="1" customFormat="1" spans="1:13">
      <c r="A7600" s="2">
        <v>3279</v>
      </c>
      <c r="B7600" s="5" t="s">
        <v>3375</v>
      </c>
      <c r="C7600" s="6" t="s">
        <v>7051</v>
      </c>
      <c r="D7600" s="6" t="s">
        <v>7052</v>
      </c>
      <c r="E7600" s="5" t="s">
        <v>15</v>
      </c>
      <c r="F7600" s="5">
        <v>2020</v>
      </c>
      <c r="G7600" s="14" t="s">
        <v>16</v>
      </c>
      <c r="H7600" s="17">
        <v>200</v>
      </c>
      <c r="I7600" s="17">
        <v>200</v>
      </c>
      <c r="J7600" s="6" t="s">
        <v>1242</v>
      </c>
      <c r="K7600" s="10"/>
      <c r="L7600" s="10">
        <v>20201118</v>
      </c>
      <c r="M7600" s="36" t="str">
        <f t="shared" si="118"/>
        <v>19880519</v>
      </c>
    </row>
    <row r="7601" s="1" customFormat="1" spans="1:13">
      <c r="A7601" s="2">
        <v>5643</v>
      </c>
      <c r="B7601" s="30" t="s">
        <v>11090</v>
      </c>
      <c r="C7601" s="30" t="s">
        <v>11374</v>
      </c>
      <c r="D7601" s="30" t="s">
        <v>11375</v>
      </c>
      <c r="E7601" s="5" t="s">
        <v>15</v>
      </c>
      <c r="F7601" s="5" t="s">
        <v>10250</v>
      </c>
      <c r="G7601" s="6" t="s">
        <v>16</v>
      </c>
      <c r="H7601" s="32">
        <v>200</v>
      </c>
      <c r="I7601" s="32">
        <v>200</v>
      </c>
      <c r="J7601" s="6"/>
      <c r="K7601" s="48"/>
      <c r="L7601" s="10">
        <v>20201118</v>
      </c>
      <c r="M7601" s="36" t="str">
        <f t="shared" si="118"/>
        <v>19880519</v>
      </c>
    </row>
    <row r="7602" s="1" customFormat="1" spans="1:13">
      <c r="A7602" s="2">
        <v>4113</v>
      </c>
      <c r="B7602" s="5" t="s">
        <v>7412</v>
      </c>
      <c r="C7602" s="5" t="s">
        <v>7130</v>
      </c>
      <c r="D7602" s="5" t="s">
        <v>8435</v>
      </c>
      <c r="E7602" s="6">
        <v>2020</v>
      </c>
      <c r="F7602" s="6">
        <v>2020</v>
      </c>
      <c r="G7602" s="5" t="s">
        <v>3359</v>
      </c>
      <c r="H7602" s="5">
        <v>300</v>
      </c>
      <c r="I7602" s="5">
        <v>300</v>
      </c>
      <c r="J7602" s="5"/>
      <c r="K7602" s="5"/>
      <c r="L7602" s="10">
        <v>20201118</v>
      </c>
      <c r="M7602" s="36" t="str">
        <f t="shared" si="118"/>
        <v>19880520</v>
      </c>
    </row>
    <row r="7603" s="1" customFormat="1" spans="1:13">
      <c r="A7603" s="2">
        <v>897</v>
      </c>
      <c r="B7603" s="29" t="s">
        <v>1040</v>
      </c>
      <c r="C7603" s="6" t="s">
        <v>2338</v>
      </c>
      <c r="D7603" s="6" t="s">
        <v>2339</v>
      </c>
      <c r="E7603" s="30">
        <v>2020</v>
      </c>
      <c r="F7603" s="30">
        <v>2020</v>
      </c>
      <c r="G7603" s="29" t="s">
        <v>16</v>
      </c>
      <c r="H7603" s="29">
        <v>200</v>
      </c>
      <c r="I7603" s="29">
        <v>200</v>
      </c>
      <c r="J7603" s="32"/>
      <c r="K7603" s="32"/>
      <c r="L7603" s="14" t="s">
        <v>330</v>
      </c>
      <c r="M7603" s="36" t="str">
        <f t="shared" si="118"/>
        <v>19880528</v>
      </c>
    </row>
    <row r="7604" s="1" customFormat="1" spans="1:13">
      <c r="A7604" s="2">
        <v>4114</v>
      </c>
      <c r="B7604" s="5" t="s">
        <v>7412</v>
      </c>
      <c r="C7604" s="5" t="s">
        <v>8436</v>
      </c>
      <c r="D7604" s="5" t="s">
        <v>8437</v>
      </c>
      <c r="E7604" s="6">
        <v>2020</v>
      </c>
      <c r="F7604" s="6">
        <v>2020</v>
      </c>
      <c r="G7604" s="5" t="s">
        <v>3359</v>
      </c>
      <c r="H7604" s="5">
        <v>200</v>
      </c>
      <c r="I7604" s="5">
        <v>200</v>
      </c>
      <c r="J7604" s="5"/>
      <c r="K7604" s="5"/>
      <c r="L7604" s="10">
        <v>20201118</v>
      </c>
      <c r="M7604" s="36" t="str">
        <f t="shared" si="118"/>
        <v>19880602</v>
      </c>
    </row>
    <row r="7605" s="1" customFormat="1" spans="1:13">
      <c r="A7605" s="2">
        <v>3067</v>
      </c>
      <c r="B7605" s="6" t="s">
        <v>6075</v>
      </c>
      <c r="C7605" s="6" t="s">
        <v>6658</v>
      </c>
      <c r="D7605" s="6" t="s">
        <v>6659</v>
      </c>
      <c r="E7605" s="5" t="s">
        <v>15</v>
      </c>
      <c r="F7605" s="5">
        <v>2020</v>
      </c>
      <c r="G7605" s="6" t="s">
        <v>16</v>
      </c>
      <c r="H7605" s="6" t="s">
        <v>311</v>
      </c>
      <c r="I7605" s="6">
        <v>200</v>
      </c>
      <c r="J7605" s="6" t="s">
        <v>6097</v>
      </c>
      <c r="K7605" s="10"/>
      <c r="L7605" s="10">
        <v>20201118</v>
      </c>
      <c r="M7605" s="36" t="str">
        <f t="shared" si="118"/>
        <v>19880606</v>
      </c>
    </row>
    <row r="7606" s="1" customFormat="1" spans="1:13">
      <c r="A7606" s="2">
        <v>6798</v>
      </c>
      <c r="B7606" s="5" t="s">
        <v>13533</v>
      </c>
      <c r="C7606" s="32" t="s">
        <v>13548</v>
      </c>
      <c r="D7606" s="32" t="str">
        <f>"152326198806067142"</f>
        <v>152326198806067142</v>
      </c>
      <c r="E7606" s="5">
        <v>2020</v>
      </c>
      <c r="F7606" s="5">
        <v>2020</v>
      </c>
      <c r="G7606" s="9" t="s">
        <v>2480</v>
      </c>
      <c r="H7606" s="32">
        <v>200</v>
      </c>
      <c r="I7606" s="32">
        <v>200</v>
      </c>
      <c r="J7606" s="32"/>
      <c r="K7606" s="10"/>
      <c r="L7606" s="10">
        <v>20201118</v>
      </c>
      <c r="M7606" s="36" t="str">
        <f t="shared" si="118"/>
        <v>19880606</v>
      </c>
    </row>
    <row r="7607" s="1" customFormat="1" ht="14.25" spans="1:13">
      <c r="A7607" s="2">
        <v>5048</v>
      </c>
      <c r="B7607" s="13" t="s">
        <v>9954</v>
      </c>
      <c r="C7607" s="13" t="s">
        <v>10229</v>
      </c>
      <c r="D7607" s="307" t="s">
        <v>10230</v>
      </c>
      <c r="E7607" s="13">
        <v>2018</v>
      </c>
      <c r="F7607" s="10">
        <v>2020</v>
      </c>
      <c r="G7607" s="10" t="s">
        <v>289</v>
      </c>
      <c r="H7607" s="13">
        <v>200</v>
      </c>
      <c r="I7607" s="13">
        <v>600</v>
      </c>
      <c r="J7607" s="10"/>
      <c r="K7607" s="10"/>
      <c r="L7607" s="10">
        <v>20201224</v>
      </c>
      <c r="M7607" s="36" t="str">
        <f t="shared" si="118"/>
        <v>19880613</v>
      </c>
    </row>
    <row r="7608" s="1" customFormat="1" spans="1:13">
      <c r="A7608" s="2">
        <v>2069</v>
      </c>
      <c r="B7608" s="5" t="s">
        <v>4189</v>
      </c>
      <c r="C7608" s="16" t="s">
        <v>4691</v>
      </c>
      <c r="D7608" s="16" t="s">
        <v>4692</v>
      </c>
      <c r="E7608" s="5" t="s">
        <v>15</v>
      </c>
      <c r="F7608" s="5" t="s">
        <v>15</v>
      </c>
      <c r="G7608" s="5" t="s">
        <v>3359</v>
      </c>
      <c r="H7608" s="16">
        <v>500</v>
      </c>
      <c r="I7608" s="16">
        <v>500</v>
      </c>
      <c r="J7608" s="5"/>
      <c r="K7608" s="10"/>
      <c r="L7608" s="10">
        <v>20201118</v>
      </c>
      <c r="M7608" s="36" t="str">
        <f t="shared" si="118"/>
        <v>19880618</v>
      </c>
    </row>
    <row r="7609" s="1" customFormat="1" spans="1:13">
      <c r="A7609" s="2">
        <v>2115</v>
      </c>
      <c r="B7609" s="5" t="s">
        <v>4189</v>
      </c>
      <c r="C7609" s="9" t="s">
        <v>4780</v>
      </c>
      <c r="D7609" s="9" t="s">
        <v>4781</v>
      </c>
      <c r="E7609" s="5" t="s">
        <v>15</v>
      </c>
      <c r="F7609" s="5" t="s">
        <v>15</v>
      </c>
      <c r="G7609" s="5" t="s">
        <v>3359</v>
      </c>
      <c r="H7609" s="16">
        <v>200</v>
      </c>
      <c r="I7609" s="16">
        <v>200</v>
      </c>
      <c r="J7609" s="5"/>
      <c r="K7609" s="10"/>
      <c r="L7609" s="10">
        <v>20201118</v>
      </c>
      <c r="M7609" s="36" t="str">
        <f t="shared" si="118"/>
        <v>19880626</v>
      </c>
    </row>
    <row r="7610" s="1" customFormat="1" spans="1:13">
      <c r="A7610" s="2">
        <v>7161</v>
      </c>
      <c r="B7610" s="5" t="s">
        <v>13908</v>
      </c>
      <c r="C7610" s="5" t="s">
        <v>13979</v>
      </c>
      <c r="D7610" s="5" t="s">
        <v>13980</v>
      </c>
      <c r="E7610" s="5" t="s">
        <v>15</v>
      </c>
      <c r="F7610" s="5" t="s">
        <v>15</v>
      </c>
      <c r="G7610" s="14" t="s">
        <v>16</v>
      </c>
      <c r="H7610" s="17">
        <v>200</v>
      </c>
      <c r="I7610" s="17">
        <v>200</v>
      </c>
      <c r="J7610" s="5"/>
      <c r="K7610" s="10"/>
      <c r="L7610" s="10">
        <v>20201118</v>
      </c>
      <c r="M7610" s="36" t="str">
        <f t="shared" si="118"/>
        <v>19880714</v>
      </c>
    </row>
    <row r="7611" s="1" customFormat="1" spans="1:13">
      <c r="A7611" s="2">
        <v>2366</v>
      </c>
      <c r="B7611" s="9" t="s">
        <v>4837</v>
      </c>
      <c r="C7611" s="9" t="s">
        <v>5271</v>
      </c>
      <c r="D7611" s="9" t="s">
        <v>5272</v>
      </c>
      <c r="E7611" s="6" t="s">
        <v>15</v>
      </c>
      <c r="F7611" s="6">
        <v>2020</v>
      </c>
      <c r="G7611" s="9" t="s">
        <v>2480</v>
      </c>
      <c r="H7611" s="9">
        <v>200</v>
      </c>
      <c r="I7611" s="9">
        <v>200</v>
      </c>
      <c r="J7611" s="6"/>
      <c r="K7611" s="10"/>
      <c r="L7611" s="10">
        <v>20201118</v>
      </c>
      <c r="M7611" s="36" t="str">
        <f t="shared" si="118"/>
        <v>19880720</v>
      </c>
    </row>
    <row r="7612" s="1" customFormat="1" ht="14.25" spans="1:13">
      <c r="A7612" s="2">
        <v>2888</v>
      </c>
      <c r="B7612" s="6" t="s">
        <v>6075</v>
      </c>
      <c r="C7612" s="25" t="s">
        <v>6305</v>
      </c>
      <c r="D7612" s="26" t="s">
        <v>6306</v>
      </c>
      <c r="E7612" s="5" t="s">
        <v>15</v>
      </c>
      <c r="F7612" s="5">
        <v>2020</v>
      </c>
      <c r="G7612" s="6" t="s">
        <v>16</v>
      </c>
      <c r="H7612" s="6">
        <v>200</v>
      </c>
      <c r="I7612" s="6">
        <v>200</v>
      </c>
      <c r="J7612" s="6" t="s">
        <v>6097</v>
      </c>
      <c r="K7612" s="10"/>
      <c r="L7612" s="10">
        <v>20201118</v>
      </c>
      <c r="M7612" s="36" t="str">
        <f t="shared" si="118"/>
        <v>19880725</v>
      </c>
    </row>
    <row r="7613" s="1" customFormat="1" spans="1:13">
      <c r="A7613" s="2">
        <v>4115</v>
      </c>
      <c r="B7613" s="5" t="s">
        <v>7412</v>
      </c>
      <c r="C7613" s="5" t="s">
        <v>8438</v>
      </c>
      <c r="D7613" s="5" t="s">
        <v>8439</v>
      </c>
      <c r="E7613" s="6">
        <v>2020</v>
      </c>
      <c r="F7613" s="6">
        <v>2020</v>
      </c>
      <c r="G7613" s="5" t="s">
        <v>3359</v>
      </c>
      <c r="H7613" s="5">
        <v>200</v>
      </c>
      <c r="I7613" s="5">
        <v>200</v>
      </c>
      <c r="J7613" s="5"/>
      <c r="K7613" s="5"/>
      <c r="L7613" s="10">
        <v>20201118</v>
      </c>
      <c r="M7613" s="36" t="str">
        <f t="shared" si="118"/>
        <v>19880729</v>
      </c>
    </row>
    <row r="7614" s="1" customFormat="1" spans="1:13">
      <c r="A7614" s="2">
        <v>341</v>
      </c>
      <c r="B7614" s="14" t="s">
        <v>327</v>
      </c>
      <c r="C7614" s="17" t="s">
        <v>911</v>
      </c>
      <c r="D7614" s="17" t="s">
        <v>912</v>
      </c>
      <c r="E7614" s="5">
        <v>2020</v>
      </c>
      <c r="F7614" s="5">
        <v>2020</v>
      </c>
      <c r="G7614" s="14" t="s">
        <v>16</v>
      </c>
      <c r="H7614" s="17">
        <v>200</v>
      </c>
      <c r="I7614" s="17">
        <v>200</v>
      </c>
      <c r="J7614" s="17"/>
      <c r="K7614" s="10"/>
      <c r="L7614" s="2" t="s">
        <v>330</v>
      </c>
      <c r="M7614" s="36" t="str">
        <f t="shared" si="118"/>
        <v>19880810</v>
      </c>
    </row>
    <row r="7615" s="1" customFormat="1" spans="1:13">
      <c r="A7615" s="2">
        <v>1328</v>
      </c>
      <c r="B7615" s="5" t="s">
        <v>2469</v>
      </c>
      <c r="C7615" s="9" t="s">
        <v>3236</v>
      </c>
      <c r="D7615" s="9" t="s">
        <v>3237</v>
      </c>
      <c r="E7615" s="5">
        <v>2020</v>
      </c>
      <c r="F7615" s="5">
        <v>2020</v>
      </c>
      <c r="G7615" s="9" t="s">
        <v>2480</v>
      </c>
      <c r="H7615" s="9">
        <v>200</v>
      </c>
      <c r="I7615" s="9">
        <v>200</v>
      </c>
      <c r="J7615" s="5"/>
      <c r="K7615" s="5"/>
      <c r="L7615" s="10">
        <v>20201118</v>
      </c>
      <c r="M7615" s="36" t="str">
        <f t="shared" si="118"/>
        <v>19880815</v>
      </c>
    </row>
    <row r="7616" s="1" customFormat="1" spans="1:13">
      <c r="A7616" s="2">
        <v>7345</v>
      </c>
      <c r="B7616" s="5" t="s">
        <v>13908</v>
      </c>
      <c r="C7616" s="5" t="s">
        <v>14320</v>
      </c>
      <c r="D7616" s="5" t="s">
        <v>14321</v>
      </c>
      <c r="E7616" s="5" t="s">
        <v>15</v>
      </c>
      <c r="F7616" s="5" t="s">
        <v>15</v>
      </c>
      <c r="G7616" s="14" t="s">
        <v>16</v>
      </c>
      <c r="H7616" s="17">
        <v>200</v>
      </c>
      <c r="I7616" s="17">
        <v>200</v>
      </c>
      <c r="J7616" s="5"/>
      <c r="K7616" s="10"/>
      <c r="L7616" s="10">
        <v>20201118</v>
      </c>
      <c r="M7616" s="36" t="str">
        <f t="shared" si="118"/>
        <v>19880819</v>
      </c>
    </row>
    <row r="7617" s="1" customFormat="1" ht="14.25" spans="1:13">
      <c r="A7617" s="2">
        <v>5470</v>
      </c>
      <c r="B7617" s="33" t="s">
        <v>10535</v>
      </c>
      <c r="C7617" s="34" t="s">
        <v>8007</v>
      </c>
      <c r="D7617" s="34" t="s">
        <v>11036</v>
      </c>
      <c r="E7617" s="35">
        <v>2020</v>
      </c>
      <c r="F7617" s="35">
        <v>2020</v>
      </c>
      <c r="G7617" s="35" t="s">
        <v>16</v>
      </c>
      <c r="H7617" s="34">
        <v>200</v>
      </c>
      <c r="I7617" s="34">
        <v>200</v>
      </c>
      <c r="J7617" s="49"/>
      <c r="K7617" s="10"/>
      <c r="L7617" s="10">
        <v>20201118</v>
      </c>
      <c r="M7617" s="36" t="str">
        <f t="shared" si="118"/>
        <v>19880828</v>
      </c>
    </row>
    <row r="7618" s="1" customFormat="1" spans="1:13">
      <c r="A7618" s="2">
        <v>2744</v>
      </c>
      <c r="B7618" s="32" t="s">
        <v>5602</v>
      </c>
      <c r="C7618" s="9" t="s">
        <v>6018</v>
      </c>
      <c r="D7618" s="9" t="s">
        <v>6019</v>
      </c>
      <c r="E7618" s="32">
        <v>2020</v>
      </c>
      <c r="F7618" s="32">
        <v>2020</v>
      </c>
      <c r="G7618" s="32" t="s">
        <v>16</v>
      </c>
      <c r="H7618" s="9">
        <v>200</v>
      </c>
      <c r="I7618" s="9">
        <v>200</v>
      </c>
      <c r="J7618" s="32"/>
      <c r="K7618" s="52"/>
      <c r="L7618" s="10">
        <v>20201118</v>
      </c>
      <c r="M7618" s="36" t="str">
        <f t="shared" ref="M7618:M7681" si="119">MID(D7618,7,8)</f>
        <v>19880911</v>
      </c>
    </row>
    <row r="7619" s="1" customFormat="1" spans="1:13">
      <c r="A7619" s="2">
        <v>2745</v>
      </c>
      <c r="B7619" s="32" t="s">
        <v>5602</v>
      </c>
      <c r="C7619" s="9" t="s">
        <v>6020</v>
      </c>
      <c r="D7619" s="9" t="s">
        <v>6021</v>
      </c>
      <c r="E7619" s="32">
        <v>2020</v>
      </c>
      <c r="F7619" s="32">
        <v>2020</v>
      </c>
      <c r="G7619" s="32" t="s">
        <v>16</v>
      </c>
      <c r="H7619" s="9">
        <v>200</v>
      </c>
      <c r="I7619" s="9">
        <v>200</v>
      </c>
      <c r="J7619" s="32"/>
      <c r="K7619" s="52"/>
      <c r="L7619" s="10">
        <v>20201118</v>
      </c>
      <c r="M7619" s="36" t="str">
        <f t="shared" si="119"/>
        <v>19880916</v>
      </c>
    </row>
    <row r="7620" s="1" customFormat="1" spans="1:13">
      <c r="A7620" s="2">
        <v>4406</v>
      </c>
      <c r="B7620" s="9" t="s">
        <v>8515</v>
      </c>
      <c r="C7620" s="6" t="s">
        <v>8999</v>
      </c>
      <c r="D7620" s="293" t="s">
        <v>9000</v>
      </c>
      <c r="E7620" s="5" t="s">
        <v>15</v>
      </c>
      <c r="F7620" s="5">
        <v>2020</v>
      </c>
      <c r="G7620" s="6" t="s">
        <v>295</v>
      </c>
      <c r="H7620" s="9">
        <v>200</v>
      </c>
      <c r="I7620" s="9">
        <v>200</v>
      </c>
      <c r="J7620" s="6"/>
      <c r="K7620" s="6"/>
      <c r="L7620" s="10">
        <v>20201118</v>
      </c>
      <c r="M7620" s="36" t="str">
        <f t="shared" si="119"/>
        <v>19880920</v>
      </c>
    </row>
    <row r="7621" s="1" customFormat="1" spans="1:13">
      <c r="A7621" s="2">
        <v>768</v>
      </c>
      <c r="B7621" s="29" t="s">
        <v>1040</v>
      </c>
      <c r="C7621" s="5" t="s">
        <v>1954</v>
      </c>
      <c r="D7621" s="317" t="s">
        <v>1955</v>
      </c>
      <c r="E7621" s="30">
        <v>2020</v>
      </c>
      <c r="F7621" s="30">
        <v>2020</v>
      </c>
      <c r="G7621" s="29" t="s">
        <v>16</v>
      </c>
      <c r="H7621" s="29">
        <v>200</v>
      </c>
      <c r="I7621" s="29">
        <v>200</v>
      </c>
      <c r="J7621" s="32"/>
      <c r="K7621" s="32"/>
      <c r="L7621" s="14" t="s">
        <v>330</v>
      </c>
      <c r="M7621" s="36" t="str">
        <f t="shared" si="119"/>
        <v>19880922</v>
      </c>
    </row>
    <row r="7622" s="1" customFormat="1" spans="1:13">
      <c r="A7622" s="2">
        <v>4879</v>
      </c>
      <c r="B7622" s="6" t="s">
        <v>9015</v>
      </c>
      <c r="C7622" s="6" t="s">
        <v>9900</v>
      </c>
      <c r="D7622" s="293" t="s">
        <v>9901</v>
      </c>
      <c r="E7622" s="6">
        <v>2020</v>
      </c>
      <c r="F7622" s="6">
        <v>2020</v>
      </c>
      <c r="G7622" s="6" t="s">
        <v>16</v>
      </c>
      <c r="H7622" s="6">
        <v>200</v>
      </c>
      <c r="I7622" s="6">
        <v>200</v>
      </c>
      <c r="J7622" s="6"/>
      <c r="K7622" s="6"/>
      <c r="L7622" s="10">
        <v>20201118</v>
      </c>
      <c r="M7622" s="36" t="str">
        <f t="shared" si="119"/>
        <v>19880923</v>
      </c>
    </row>
    <row r="7623" s="1" customFormat="1" spans="1:13">
      <c r="A7623" s="2">
        <v>2367</v>
      </c>
      <c r="B7623" s="9" t="s">
        <v>4837</v>
      </c>
      <c r="C7623" s="9" t="s">
        <v>5273</v>
      </c>
      <c r="D7623" s="9" t="s">
        <v>5274</v>
      </c>
      <c r="E7623" s="6" t="s">
        <v>15</v>
      </c>
      <c r="F7623" s="6">
        <v>2020</v>
      </c>
      <c r="G7623" s="9" t="s">
        <v>2480</v>
      </c>
      <c r="H7623" s="9">
        <v>200</v>
      </c>
      <c r="I7623" s="9">
        <v>200</v>
      </c>
      <c r="J7623" s="6"/>
      <c r="K7623" s="10"/>
      <c r="L7623" s="10">
        <v>20201118</v>
      </c>
      <c r="M7623" s="36" t="str">
        <f t="shared" si="119"/>
        <v>19880929</v>
      </c>
    </row>
    <row r="7624" s="1" customFormat="1" spans="1:13">
      <c r="A7624" s="2">
        <v>5585</v>
      </c>
      <c r="B7624" s="30" t="s">
        <v>11090</v>
      </c>
      <c r="C7624" s="30" t="s">
        <v>11263</v>
      </c>
      <c r="D7624" s="30" t="s">
        <v>11264</v>
      </c>
      <c r="E7624" s="5" t="s">
        <v>15</v>
      </c>
      <c r="F7624" s="5" t="s">
        <v>10250</v>
      </c>
      <c r="G7624" s="6" t="s">
        <v>16</v>
      </c>
      <c r="H7624" s="32">
        <v>200</v>
      </c>
      <c r="I7624" s="32">
        <v>200</v>
      </c>
      <c r="J7624" s="6" t="s">
        <v>6097</v>
      </c>
      <c r="K7624" s="48"/>
      <c r="L7624" s="10">
        <v>20201118</v>
      </c>
      <c r="M7624" s="36" t="str">
        <f t="shared" si="119"/>
        <v>19881001</v>
      </c>
    </row>
    <row r="7625" s="1" customFormat="1" ht="14.25" spans="1:13">
      <c r="A7625" s="2">
        <v>6095</v>
      </c>
      <c r="B7625" s="30" t="s">
        <v>11090</v>
      </c>
      <c r="C7625" s="32" t="s">
        <v>12228</v>
      </c>
      <c r="D7625" s="12" t="s">
        <v>12229</v>
      </c>
      <c r="E7625" s="5" t="s">
        <v>15</v>
      </c>
      <c r="F7625" s="5" t="s">
        <v>10250</v>
      </c>
      <c r="G7625" s="6" t="s">
        <v>16</v>
      </c>
      <c r="H7625" s="32">
        <v>200</v>
      </c>
      <c r="I7625" s="32">
        <v>200</v>
      </c>
      <c r="J7625" s="5"/>
      <c r="K7625" s="48"/>
      <c r="L7625" s="10">
        <v>20201118</v>
      </c>
      <c r="M7625" s="36" t="str">
        <f t="shared" si="119"/>
        <v>19881006</v>
      </c>
    </row>
    <row r="7626" s="1" customFormat="1" spans="1:13">
      <c r="A7626" s="2">
        <v>4389</v>
      </c>
      <c r="B7626" s="9" t="s">
        <v>8515</v>
      </c>
      <c r="C7626" s="9" t="s">
        <v>8966</v>
      </c>
      <c r="D7626" s="9" t="s">
        <v>8967</v>
      </c>
      <c r="E7626" s="5" t="s">
        <v>15</v>
      </c>
      <c r="F7626" s="5">
        <v>2020</v>
      </c>
      <c r="G7626" s="9" t="s">
        <v>2480</v>
      </c>
      <c r="H7626" s="9">
        <v>200</v>
      </c>
      <c r="I7626" s="9">
        <v>200</v>
      </c>
      <c r="J7626" s="9"/>
      <c r="K7626" s="9"/>
      <c r="L7626" s="10">
        <v>20201118</v>
      </c>
      <c r="M7626" s="36" t="str">
        <f t="shared" si="119"/>
        <v>19881010</v>
      </c>
    </row>
    <row r="7627" s="1" customFormat="1" spans="1:13">
      <c r="A7627" s="2">
        <v>269</v>
      </c>
      <c r="B7627" s="14" t="s">
        <v>327</v>
      </c>
      <c r="C7627" s="92" t="s">
        <v>693</v>
      </c>
      <c r="D7627" s="92" t="s">
        <v>694</v>
      </c>
      <c r="E7627" s="5">
        <v>2020</v>
      </c>
      <c r="F7627" s="5">
        <v>2020</v>
      </c>
      <c r="G7627" s="14" t="s">
        <v>16</v>
      </c>
      <c r="H7627" s="92">
        <v>300</v>
      </c>
      <c r="I7627" s="92">
        <v>300</v>
      </c>
      <c r="J7627" s="17"/>
      <c r="K7627" s="10"/>
      <c r="L7627" s="2" t="s">
        <v>330</v>
      </c>
      <c r="M7627" s="36" t="str">
        <f t="shared" si="119"/>
        <v>19881012</v>
      </c>
    </row>
    <row r="7628" s="1" customFormat="1" spans="1:13">
      <c r="A7628" s="2">
        <v>2368</v>
      </c>
      <c r="B7628" s="9" t="s">
        <v>4837</v>
      </c>
      <c r="C7628" s="9" t="s">
        <v>5275</v>
      </c>
      <c r="D7628" s="9" t="s">
        <v>5276</v>
      </c>
      <c r="E7628" s="6" t="s">
        <v>15</v>
      </c>
      <c r="F7628" s="6">
        <v>2020</v>
      </c>
      <c r="G7628" s="9" t="s">
        <v>2480</v>
      </c>
      <c r="H7628" s="9">
        <v>200</v>
      </c>
      <c r="I7628" s="9">
        <v>200</v>
      </c>
      <c r="J7628" s="6"/>
      <c r="K7628" s="10"/>
      <c r="L7628" s="10">
        <v>20201118</v>
      </c>
      <c r="M7628" s="36" t="str">
        <f t="shared" si="119"/>
        <v>19881015</v>
      </c>
    </row>
    <row r="7629" s="1" customFormat="1" spans="1:13">
      <c r="A7629" s="2">
        <v>633</v>
      </c>
      <c r="B7629" s="29" t="s">
        <v>1040</v>
      </c>
      <c r="C7629" s="29" t="s">
        <v>1552</v>
      </c>
      <c r="D7629" s="29" t="s">
        <v>1553</v>
      </c>
      <c r="E7629" s="30">
        <v>2020</v>
      </c>
      <c r="F7629" s="30">
        <v>2020</v>
      </c>
      <c r="G7629" s="29" t="s">
        <v>16</v>
      </c>
      <c r="H7629" s="29">
        <v>200</v>
      </c>
      <c r="I7629" s="29">
        <v>200</v>
      </c>
      <c r="J7629" s="29"/>
      <c r="K7629" s="47"/>
      <c r="L7629" s="14" t="s">
        <v>330</v>
      </c>
      <c r="M7629" s="36" t="str">
        <f t="shared" si="119"/>
        <v>19881018</v>
      </c>
    </row>
    <row r="7630" s="1" customFormat="1" spans="1:13">
      <c r="A7630" s="2">
        <v>2746</v>
      </c>
      <c r="B7630" s="32" t="s">
        <v>5602</v>
      </c>
      <c r="C7630" s="9" t="s">
        <v>6022</v>
      </c>
      <c r="D7630" s="9" t="s">
        <v>6023</v>
      </c>
      <c r="E7630" s="32">
        <v>2020</v>
      </c>
      <c r="F7630" s="32">
        <v>2020</v>
      </c>
      <c r="G7630" s="32" t="s">
        <v>16</v>
      </c>
      <c r="H7630" s="9">
        <v>200</v>
      </c>
      <c r="I7630" s="9">
        <v>200</v>
      </c>
      <c r="J7630" s="32"/>
      <c r="K7630" s="52"/>
      <c r="L7630" s="10">
        <v>20201118</v>
      </c>
      <c r="M7630" s="36" t="str">
        <f t="shared" si="119"/>
        <v>19881020</v>
      </c>
    </row>
    <row r="7631" s="1" customFormat="1" spans="1:13">
      <c r="A7631" s="2">
        <v>6768</v>
      </c>
      <c r="B7631" s="5" t="s">
        <v>13027</v>
      </c>
      <c r="C7631" s="15" t="s">
        <v>13499</v>
      </c>
      <c r="D7631" s="15" t="s">
        <v>13500</v>
      </c>
      <c r="E7631" s="5">
        <v>2020</v>
      </c>
      <c r="F7631" s="5">
        <v>2020</v>
      </c>
      <c r="G7631" s="14" t="s">
        <v>16</v>
      </c>
      <c r="H7631" s="15">
        <v>200</v>
      </c>
      <c r="I7631" s="15">
        <v>200</v>
      </c>
      <c r="J7631" s="5"/>
      <c r="K7631" s="10"/>
      <c r="L7631" s="10">
        <v>20201118</v>
      </c>
      <c r="M7631" s="36" t="str">
        <f t="shared" si="119"/>
        <v>19881024</v>
      </c>
    </row>
    <row r="7632" s="1" customFormat="1" spans="1:13">
      <c r="A7632" s="2">
        <v>744</v>
      </c>
      <c r="B7632" s="29" t="s">
        <v>1040</v>
      </c>
      <c r="C7632" s="5" t="s">
        <v>1882</v>
      </c>
      <c r="D7632" s="5" t="s">
        <v>1883</v>
      </c>
      <c r="E7632" s="30">
        <v>2020</v>
      </c>
      <c r="F7632" s="30">
        <v>2020</v>
      </c>
      <c r="G7632" s="29" t="s">
        <v>16</v>
      </c>
      <c r="H7632" s="29">
        <v>200</v>
      </c>
      <c r="I7632" s="29">
        <v>200</v>
      </c>
      <c r="J7632" s="32"/>
      <c r="K7632" s="32"/>
      <c r="L7632" s="2" t="s">
        <v>330</v>
      </c>
      <c r="M7632" s="36" t="str">
        <f t="shared" si="119"/>
        <v>19881029</v>
      </c>
    </row>
    <row r="7633" s="1" customFormat="1" spans="1:13">
      <c r="A7633" s="2">
        <v>4407</v>
      </c>
      <c r="B7633" s="9" t="s">
        <v>8515</v>
      </c>
      <c r="C7633" s="6" t="s">
        <v>9001</v>
      </c>
      <c r="D7633" s="293" t="s">
        <v>9002</v>
      </c>
      <c r="E7633" s="5" t="s">
        <v>15</v>
      </c>
      <c r="F7633" s="5">
        <v>2020</v>
      </c>
      <c r="G7633" s="6" t="s">
        <v>295</v>
      </c>
      <c r="H7633" s="9">
        <v>200</v>
      </c>
      <c r="I7633" s="9">
        <v>200</v>
      </c>
      <c r="J7633" s="6"/>
      <c r="K7633" s="6"/>
      <c r="L7633" s="10">
        <v>20201118</v>
      </c>
      <c r="M7633" s="36" t="str">
        <f t="shared" si="119"/>
        <v>19881102</v>
      </c>
    </row>
    <row r="7634" s="1" customFormat="1" spans="1:13">
      <c r="A7634" s="2">
        <v>6800</v>
      </c>
      <c r="B7634" s="5" t="s">
        <v>13533</v>
      </c>
      <c r="C7634" s="32" t="s">
        <v>13552</v>
      </c>
      <c r="D7634" s="32" t="s">
        <v>13553</v>
      </c>
      <c r="E7634" s="5">
        <v>2020</v>
      </c>
      <c r="F7634" s="5">
        <v>2020</v>
      </c>
      <c r="G7634" s="9" t="s">
        <v>2480</v>
      </c>
      <c r="H7634" s="32">
        <v>200</v>
      </c>
      <c r="I7634" s="32">
        <v>200</v>
      </c>
      <c r="J7634" s="32"/>
      <c r="K7634" s="10"/>
      <c r="L7634" s="10">
        <v>20201118</v>
      </c>
      <c r="M7634" s="36" t="str">
        <f t="shared" si="119"/>
        <v>19881104</v>
      </c>
    </row>
    <row r="7635" s="1" customFormat="1" spans="1:13">
      <c r="A7635" s="2">
        <v>2369</v>
      </c>
      <c r="B7635" s="9" t="s">
        <v>4837</v>
      </c>
      <c r="C7635" s="9" t="s">
        <v>5277</v>
      </c>
      <c r="D7635" s="9" t="s">
        <v>5278</v>
      </c>
      <c r="E7635" s="6" t="s">
        <v>15</v>
      </c>
      <c r="F7635" s="6">
        <v>2020</v>
      </c>
      <c r="G7635" s="9" t="s">
        <v>2480</v>
      </c>
      <c r="H7635" s="9">
        <v>200</v>
      </c>
      <c r="I7635" s="9">
        <v>200</v>
      </c>
      <c r="J7635" s="6"/>
      <c r="K7635" s="10"/>
      <c r="L7635" s="10">
        <v>20201118</v>
      </c>
      <c r="M7635" s="36" t="str">
        <f t="shared" si="119"/>
        <v>19881115</v>
      </c>
    </row>
    <row r="7636" s="1" customFormat="1" spans="1:13">
      <c r="A7636" s="2">
        <v>4116</v>
      </c>
      <c r="B7636" s="5" t="s">
        <v>7412</v>
      </c>
      <c r="C7636" s="5" t="s">
        <v>8440</v>
      </c>
      <c r="D7636" s="5" t="s">
        <v>8441</v>
      </c>
      <c r="E7636" s="6">
        <v>2020</v>
      </c>
      <c r="F7636" s="6">
        <v>2020</v>
      </c>
      <c r="G7636" s="5" t="s">
        <v>3359</v>
      </c>
      <c r="H7636" s="5">
        <v>200</v>
      </c>
      <c r="I7636" s="5">
        <v>200</v>
      </c>
      <c r="J7636" s="5"/>
      <c r="K7636" s="5"/>
      <c r="L7636" s="10">
        <v>20201118</v>
      </c>
      <c r="M7636" s="36" t="str">
        <f t="shared" si="119"/>
        <v>19881119</v>
      </c>
    </row>
    <row r="7637" s="1" customFormat="1" spans="1:13">
      <c r="A7637" s="2">
        <v>2747</v>
      </c>
      <c r="B7637" s="32" t="s">
        <v>5602</v>
      </c>
      <c r="C7637" s="9" t="s">
        <v>6024</v>
      </c>
      <c r="D7637" s="9" t="s">
        <v>6025</v>
      </c>
      <c r="E7637" s="32">
        <v>2020</v>
      </c>
      <c r="F7637" s="32">
        <v>2020</v>
      </c>
      <c r="G7637" s="32" t="s">
        <v>16</v>
      </c>
      <c r="H7637" s="9">
        <v>200</v>
      </c>
      <c r="I7637" s="9">
        <v>200</v>
      </c>
      <c r="J7637" s="32"/>
      <c r="K7637" s="52"/>
      <c r="L7637" s="10">
        <v>20201118</v>
      </c>
      <c r="M7637" s="36" t="str">
        <f t="shared" si="119"/>
        <v>19881121</v>
      </c>
    </row>
    <row r="7638" s="1" customFormat="1" spans="1:13">
      <c r="A7638" s="2">
        <v>362</v>
      </c>
      <c r="B7638" s="14" t="s">
        <v>327</v>
      </c>
      <c r="C7638" s="17" t="s">
        <v>973</v>
      </c>
      <c r="D7638" s="306" t="s">
        <v>974</v>
      </c>
      <c r="E7638" s="5">
        <v>2020</v>
      </c>
      <c r="F7638" s="5">
        <v>2020</v>
      </c>
      <c r="G7638" s="14" t="s">
        <v>16</v>
      </c>
      <c r="H7638" s="17">
        <v>200</v>
      </c>
      <c r="I7638" s="17">
        <v>200</v>
      </c>
      <c r="J7638" s="17"/>
      <c r="K7638" s="10"/>
      <c r="L7638" s="14" t="s">
        <v>330</v>
      </c>
      <c r="M7638" s="36" t="str">
        <f t="shared" si="119"/>
        <v>19881126</v>
      </c>
    </row>
    <row r="7639" s="1" customFormat="1" spans="1:13">
      <c r="A7639" s="2">
        <v>6324</v>
      </c>
      <c r="B7639" s="5" t="s">
        <v>12263</v>
      </c>
      <c r="C7639" s="5" t="s">
        <v>12665</v>
      </c>
      <c r="D7639" s="5" t="s">
        <v>12666</v>
      </c>
      <c r="E7639" s="5" t="s">
        <v>10250</v>
      </c>
      <c r="F7639" s="5">
        <v>2020</v>
      </c>
      <c r="G7639" s="17" t="s">
        <v>3359</v>
      </c>
      <c r="H7639" s="5" t="s">
        <v>311</v>
      </c>
      <c r="I7639" s="5">
        <v>200</v>
      </c>
      <c r="J7639" s="5"/>
      <c r="K7639" s="5"/>
      <c r="L7639" s="10">
        <v>20201118</v>
      </c>
      <c r="M7639" s="36" t="str">
        <f t="shared" si="119"/>
        <v>19881201</v>
      </c>
    </row>
    <row r="7640" s="1" customFormat="1" spans="1:13">
      <c r="A7640" s="2">
        <v>4846</v>
      </c>
      <c r="B7640" s="6" t="s">
        <v>9015</v>
      </c>
      <c r="C7640" s="6" t="s">
        <v>9836</v>
      </c>
      <c r="D7640" s="293" t="s">
        <v>9837</v>
      </c>
      <c r="E7640" s="6">
        <v>2020</v>
      </c>
      <c r="F7640" s="6">
        <v>2020</v>
      </c>
      <c r="G7640" s="6" t="s">
        <v>16</v>
      </c>
      <c r="H7640" s="6">
        <v>200</v>
      </c>
      <c r="I7640" s="6">
        <v>200</v>
      </c>
      <c r="J7640" s="6"/>
      <c r="K7640" s="6"/>
      <c r="L7640" s="10">
        <v>20201118</v>
      </c>
      <c r="M7640" s="36" t="str">
        <f t="shared" si="119"/>
        <v>19881206</v>
      </c>
    </row>
    <row r="7641" s="1" customFormat="1" ht="14.25" spans="1:13">
      <c r="A7641" s="2">
        <v>7798</v>
      </c>
      <c r="B7641" s="5" t="s">
        <v>14875</v>
      </c>
      <c r="C7641" s="5" t="s">
        <v>15048</v>
      </c>
      <c r="D7641" s="62" t="s">
        <v>15049</v>
      </c>
      <c r="E7641" s="6" t="s">
        <v>15</v>
      </c>
      <c r="F7641" s="6">
        <v>2020</v>
      </c>
      <c r="G7641" s="24" t="s">
        <v>14877</v>
      </c>
      <c r="H7641" s="6">
        <v>200</v>
      </c>
      <c r="I7641" s="6">
        <v>200</v>
      </c>
      <c r="J7641" s="6"/>
      <c r="K7641" s="10"/>
      <c r="L7641" s="10">
        <v>20201118</v>
      </c>
      <c r="M7641" s="36" t="str">
        <f t="shared" si="119"/>
        <v>19881208</v>
      </c>
    </row>
    <row r="7642" s="1" customFormat="1" spans="1:13">
      <c r="A7642" s="2">
        <v>7325</v>
      </c>
      <c r="B7642" s="5" t="s">
        <v>13908</v>
      </c>
      <c r="C7642" s="5" t="s">
        <v>14285</v>
      </c>
      <c r="D7642" s="5" t="s">
        <v>14286</v>
      </c>
      <c r="E7642" s="5" t="s">
        <v>15</v>
      </c>
      <c r="F7642" s="5" t="s">
        <v>15</v>
      </c>
      <c r="G7642" s="14" t="s">
        <v>16</v>
      </c>
      <c r="H7642" s="17">
        <v>200</v>
      </c>
      <c r="I7642" s="17">
        <v>200</v>
      </c>
      <c r="J7642" s="5"/>
      <c r="K7642" s="10"/>
      <c r="L7642" s="10">
        <v>20201118</v>
      </c>
      <c r="M7642" s="36" t="str">
        <f t="shared" si="119"/>
        <v>19881209</v>
      </c>
    </row>
    <row r="7643" s="1" customFormat="1" spans="1:13">
      <c r="A7643" s="2">
        <v>671</v>
      </c>
      <c r="B7643" s="29" t="s">
        <v>1040</v>
      </c>
      <c r="C7643" s="47" t="s">
        <v>1665</v>
      </c>
      <c r="D7643" s="47" t="s">
        <v>1666</v>
      </c>
      <c r="E7643" s="30">
        <v>2020</v>
      </c>
      <c r="F7643" s="30">
        <v>2020</v>
      </c>
      <c r="G7643" s="29" t="s">
        <v>16</v>
      </c>
      <c r="H7643" s="29">
        <v>200</v>
      </c>
      <c r="I7643" s="29">
        <v>200</v>
      </c>
      <c r="J7643" s="29"/>
      <c r="K7643" s="54"/>
      <c r="L7643" s="2" t="s">
        <v>330</v>
      </c>
      <c r="M7643" s="36" t="str">
        <f t="shared" si="119"/>
        <v>19881210</v>
      </c>
    </row>
    <row r="7644" s="1" customFormat="1" ht="14.25" spans="1:13">
      <c r="A7644" s="2">
        <v>5471</v>
      </c>
      <c r="B7644" s="33" t="s">
        <v>10535</v>
      </c>
      <c r="C7644" s="34" t="s">
        <v>11037</v>
      </c>
      <c r="D7644" s="34" t="s">
        <v>11038</v>
      </c>
      <c r="E7644" s="35">
        <v>2020</v>
      </c>
      <c r="F7644" s="35">
        <v>2020</v>
      </c>
      <c r="G7644" s="35" t="s">
        <v>16</v>
      </c>
      <c r="H7644" s="34">
        <v>200</v>
      </c>
      <c r="I7644" s="34">
        <v>200</v>
      </c>
      <c r="J7644" s="49"/>
      <c r="K7644" s="10"/>
      <c r="L7644" s="10">
        <v>20201118</v>
      </c>
      <c r="M7644" s="36" t="str">
        <f t="shared" si="119"/>
        <v>19881216</v>
      </c>
    </row>
    <row r="7645" s="1" customFormat="1" spans="1:13">
      <c r="A7645" s="2">
        <v>4117</v>
      </c>
      <c r="B7645" s="5" t="s">
        <v>7412</v>
      </c>
      <c r="C7645" s="5" t="s">
        <v>8442</v>
      </c>
      <c r="D7645" s="5" t="s">
        <v>8443</v>
      </c>
      <c r="E7645" s="6">
        <v>2020</v>
      </c>
      <c r="F7645" s="6">
        <v>2020</v>
      </c>
      <c r="G7645" s="5" t="s">
        <v>3359</v>
      </c>
      <c r="H7645" s="5">
        <v>200</v>
      </c>
      <c r="I7645" s="5">
        <v>200</v>
      </c>
      <c r="J7645" s="5"/>
      <c r="K7645" s="5"/>
      <c r="L7645" s="10">
        <v>20201118</v>
      </c>
      <c r="M7645" s="36" t="str">
        <f t="shared" si="119"/>
        <v>19881220</v>
      </c>
    </row>
    <row r="7646" s="1" customFormat="1" spans="1:13">
      <c r="A7646" s="2">
        <v>290</v>
      </c>
      <c r="B7646" s="14" t="s">
        <v>327</v>
      </c>
      <c r="C7646" s="17" t="s">
        <v>757</v>
      </c>
      <c r="D7646" s="17" t="s">
        <v>758</v>
      </c>
      <c r="E7646" s="5">
        <v>2020</v>
      </c>
      <c r="F7646" s="5">
        <v>2020</v>
      </c>
      <c r="G7646" s="14" t="s">
        <v>16</v>
      </c>
      <c r="H7646" s="17">
        <v>200</v>
      </c>
      <c r="I7646" s="17">
        <v>200</v>
      </c>
      <c r="J7646" s="17"/>
      <c r="K7646" s="10"/>
      <c r="L7646" s="14" t="s">
        <v>330</v>
      </c>
      <c r="M7646" s="36" t="str">
        <f t="shared" si="119"/>
        <v>19881223</v>
      </c>
    </row>
    <row r="7647" s="1" customFormat="1" spans="1:13">
      <c r="A7647" s="2">
        <v>7620</v>
      </c>
      <c r="B7647" s="5" t="s">
        <v>14402</v>
      </c>
      <c r="C7647" s="5" t="s">
        <v>8302</v>
      </c>
      <c r="D7647" s="5" t="s">
        <v>14838</v>
      </c>
      <c r="E7647" s="5">
        <v>2020</v>
      </c>
      <c r="F7647" s="5">
        <v>2020</v>
      </c>
      <c r="G7647" s="17" t="s">
        <v>16</v>
      </c>
      <c r="H7647" s="5">
        <v>200</v>
      </c>
      <c r="I7647" s="5">
        <v>200</v>
      </c>
      <c r="J7647" s="5"/>
      <c r="K7647" s="10"/>
      <c r="L7647" s="10">
        <v>20201118</v>
      </c>
      <c r="M7647" s="36" t="str">
        <f t="shared" si="119"/>
        <v>19881224</v>
      </c>
    </row>
    <row r="7648" s="1" customFormat="1" spans="1:13">
      <c r="A7648" s="2">
        <v>765</v>
      </c>
      <c r="B7648" s="29" t="s">
        <v>1040</v>
      </c>
      <c r="C7648" s="5" t="s">
        <v>1945</v>
      </c>
      <c r="D7648" s="317" t="s">
        <v>1946</v>
      </c>
      <c r="E7648" s="30">
        <v>2020</v>
      </c>
      <c r="F7648" s="30">
        <v>2020</v>
      </c>
      <c r="G7648" s="29" t="s">
        <v>16</v>
      </c>
      <c r="H7648" s="29">
        <v>200</v>
      </c>
      <c r="I7648" s="29">
        <v>200</v>
      </c>
      <c r="J7648" s="32"/>
      <c r="K7648" s="32"/>
      <c r="L7648" s="2" t="s">
        <v>330</v>
      </c>
      <c r="M7648" s="36" t="str">
        <f t="shared" si="119"/>
        <v>19881225</v>
      </c>
    </row>
    <row r="7649" s="1" customFormat="1" spans="1:13">
      <c r="A7649" s="2">
        <v>3278</v>
      </c>
      <c r="B7649" s="5" t="s">
        <v>3375</v>
      </c>
      <c r="C7649" s="6" t="s">
        <v>7049</v>
      </c>
      <c r="D7649" s="6" t="s">
        <v>7050</v>
      </c>
      <c r="E7649" s="5" t="s">
        <v>15</v>
      </c>
      <c r="F7649" s="5">
        <v>2020</v>
      </c>
      <c r="G7649" s="14" t="s">
        <v>16</v>
      </c>
      <c r="H7649" s="17">
        <v>200</v>
      </c>
      <c r="I7649" s="17">
        <v>200</v>
      </c>
      <c r="J7649" s="6" t="s">
        <v>4064</v>
      </c>
      <c r="K7649" s="10"/>
      <c r="L7649" s="10">
        <v>20201118</v>
      </c>
      <c r="M7649" s="36" t="str">
        <f t="shared" si="119"/>
        <v>19881227</v>
      </c>
    </row>
    <row r="7650" s="1" customFormat="1" spans="1:13">
      <c r="A7650" s="2">
        <v>7838</v>
      </c>
      <c r="B7650" s="5" t="s">
        <v>15086</v>
      </c>
      <c r="C7650" s="6" t="s">
        <v>15108</v>
      </c>
      <c r="D7650" s="6" t="s">
        <v>15109</v>
      </c>
      <c r="E7650" s="5" t="s">
        <v>15</v>
      </c>
      <c r="F7650" s="5">
        <v>2020</v>
      </c>
      <c r="G7650" s="5" t="s">
        <v>16</v>
      </c>
      <c r="H7650" s="5">
        <v>500</v>
      </c>
      <c r="I7650" s="5">
        <v>500</v>
      </c>
      <c r="J7650" s="5"/>
      <c r="K7650" s="5"/>
      <c r="L7650" s="10">
        <v>20201118</v>
      </c>
      <c r="M7650" s="36" t="str">
        <f t="shared" si="119"/>
        <v>19881227</v>
      </c>
    </row>
    <row r="7651" s="1" customFormat="1" ht="14.25" spans="1:13">
      <c r="A7651" s="2">
        <v>7643</v>
      </c>
      <c r="B7651" s="5" t="s">
        <v>14875</v>
      </c>
      <c r="C7651" s="51" t="s">
        <v>14883</v>
      </c>
      <c r="D7651" s="24" t="str">
        <f>"152326198901037136"</f>
        <v>152326198901037136</v>
      </c>
      <c r="E7651" s="6" t="s">
        <v>15</v>
      </c>
      <c r="F7651" s="6">
        <v>2020</v>
      </c>
      <c r="G7651" s="24" t="s">
        <v>14877</v>
      </c>
      <c r="H7651" s="6">
        <v>200</v>
      </c>
      <c r="I7651" s="6">
        <v>200</v>
      </c>
      <c r="J7651" s="6"/>
      <c r="K7651" s="10"/>
      <c r="L7651" s="10">
        <v>20201118</v>
      </c>
      <c r="M7651" s="36" t="str">
        <f t="shared" si="119"/>
        <v>19890103</v>
      </c>
    </row>
    <row r="7652" s="1" customFormat="1" spans="1:13">
      <c r="A7652" s="2">
        <v>4889</v>
      </c>
      <c r="B7652" s="6" t="s">
        <v>9015</v>
      </c>
      <c r="C7652" s="6" t="s">
        <v>5273</v>
      </c>
      <c r="D7652" s="293" t="s">
        <v>9920</v>
      </c>
      <c r="E7652" s="6">
        <v>2020</v>
      </c>
      <c r="F7652" s="6">
        <v>2020</v>
      </c>
      <c r="G7652" s="6" t="s">
        <v>189</v>
      </c>
      <c r="H7652" s="6">
        <v>200</v>
      </c>
      <c r="I7652" s="6">
        <v>200</v>
      </c>
      <c r="J7652" s="6"/>
      <c r="K7652" s="6"/>
      <c r="L7652" s="10">
        <v>20201118</v>
      </c>
      <c r="M7652" s="36" t="str">
        <f t="shared" si="119"/>
        <v>19890104</v>
      </c>
    </row>
    <row r="7653" s="1" customFormat="1" spans="1:13">
      <c r="A7653" s="2">
        <v>6019</v>
      </c>
      <c r="B7653" s="30" t="s">
        <v>11090</v>
      </c>
      <c r="C7653" s="32" t="s">
        <v>12081</v>
      </c>
      <c r="D7653" s="3" t="s">
        <v>12082</v>
      </c>
      <c r="E7653" s="5" t="s">
        <v>15</v>
      </c>
      <c r="F7653" s="5" t="s">
        <v>10250</v>
      </c>
      <c r="G7653" s="6" t="s">
        <v>16</v>
      </c>
      <c r="H7653" s="32">
        <v>200</v>
      </c>
      <c r="I7653" s="32">
        <v>200</v>
      </c>
      <c r="J7653" s="5"/>
      <c r="K7653" s="48"/>
      <c r="L7653" s="10">
        <v>20201118</v>
      </c>
      <c r="M7653" s="36" t="str">
        <f t="shared" si="119"/>
        <v>19890107</v>
      </c>
    </row>
    <row r="7654" s="1" customFormat="1" spans="1:13">
      <c r="A7654" s="2">
        <v>310</v>
      </c>
      <c r="B7654" s="14" t="s">
        <v>327</v>
      </c>
      <c r="C7654" s="17" t="s">
        <v>818</v>
      </c>
      <c r="D7654" s="306" t="s">
        <v>819</v>
      </c>
      <c r="E7654" s="5">
        <v>2020</v>
      </c>
      <c r="F7654" s="5">
        <v>2020</v>
      </c>
      <c r="G7654" s="14" t="s">
        <v>16</v>
      </c>
      <c r="H7654" s="17">
        <v>200</v>
      </c>
      <c r="I7654" s="17">
        <v>200</v>
      </c>
      <c r="J7654" s="17"/>
      <c r="K7654" s="10"/>
      <c r="L7654" s="14" t="s">
        <v>330</v>
      </c>
      <c r="M7654" s="36" t="str">
        <f t="shared" si="119"/>
        <v>19890110</v>
      </c>
    </row>
    <row r="7655" s="1" customFormat="1" spans="1:13">
      <c r="A7655" s="2">
        <v>3036</v>
      </c>
      <c r="B7655" s="6" t="s">
        <v>6075</v>
      </c>
      <c r="C7655" s="6" t="s">
        <v>6595</v>
      </c>
      <c r="D7655" s="6" t="s">
        <v>6596</v>
      </c>
      <c r="E7655" s="5" t="s">
        <v>15</v>
      </c>
      <c r="F7655" s="5">
        <v>2020</v>
      </c>
      <c r="G7655" s="6" t="s">
        <v>16</v>
      </c>
      <c r="H7655" s="6">
        <v>200</v>
      </c>
      <c r="I7655" s="6">
        <v>200</v>
      </c>
      <c r="J7655" s="6"/>
      <c r="K7655" s="10"/>
      <c r="L7655" s="10">
        <v>20201118</v>
      </c>
      <c r="M7655" s="36" t="str">
        <f t="shared" si="119"/>
        <v>19890114</v>
      </c>
    </row>
    <row r="7656" s="1" customFormat="1" spans="1:13">
      <c r="A7656" s="2">
        <v>430</v>
      </c>
      <c r="B7656" s="29" t="s">
        <v>1040</v>
      </c>
      <c r="C7656" s="29" t="s">
        <v>1136</v>
      </c>
      <c r="D7656" s="29" t="s">
        <v>1137</v>
      </c>
      <c r="E7656" s="30">
        <v>2020</v>
      </c>
      <c r="F7656" s="30">
        <v>2020</v>
      </c>
      <c r="G7656" s="29" t="s">
        <v>16</v>
      </c>
      <c r="H7656" s="29">
        <v>200</v>
      </c>
      <c r="I7656" s="29">
        <v>200</v>
      </c>
      <c r="J7656" s="29"/>
      <c r="K7656" s="47"/>
      <c r="L7656" s="2" t="s">
        <v>330</v>
      </c>
      <c r="M7656" s="36" t="str">
        <f t="shared" si="119"/>
        <v>19890119</v>
      </c>
    </row>
    <row r="7657" s="1" customFormat="1" spans="1:13">
      <c r="A7657" s="2">
        <v>4819</v>
      </c>
      <c r="B7657" s="6" t="s">
        <v>9015</v>
      </c>
      <c r="C7657" s="6" t="s">
        <v>9786</v>
      </c>
      <c r="D7657" s="293" t="s">
        <v>9787</v>
      </c>
      <c r="E7657" s="6">
        <v>2020</v>
      </c>
      <c r="F7657" s="6">
        <v>2020</v>
      </c>
      <c r="G7657" s="6" t="s">
        <v>16</v>
      </c>
      <c r="H7657" s="6">
        <v>200</v>
      </c>
      <c r="I7657" s="6">
        <v>200</v>
      </c>
      <c r="J7657" s="6"/>
      <c r="K7657" s="6"/>
      <c r="L7657" s="10">
        <v>20201118</v>
      </c>
      <c r="M7657" s="36" t="str">
        <f t="shared" si="119"/>
        <v>19890120</v>
      </c>
    </row>
    <row r="7658" s="1" customFormat="1" spans="1:13">
      <c r="A7658" s="2">
        <v>7095</v>
      </c>
      <c r="B7658" s="5" t="s">
        <v>13533</v>
      </c>
      <c r="C7658" s="32" t="s">
        <v>13859</v>
      </c>
      <c r="D7658" s="32" t="s">
        <v>13860</v>
      </c>
      <c r="E7658" s="5">
        <v>2020</v>
      </c>
      <c r="F7658" s="5">
        <v>2020</v>
      </c>
      <c r="G7658" s="9" t="s">
        <v>2480</v>
      </c>
      <c r="H7658" s="32">
        <v>200</v>
      </c>
      <c r="I7658" s="32">
        <v>200</v>
      </c>
      <c r="J7658" s="32"/>
      <c r="K7658" s="10"/>
      <c r="L7658" s="10">
        <v>20201118</v>
      </c>
      <c r="M7658" s="36" t="str">
        <f t="shared" si="119"/>
        <v>19890120</v>
      </c>
    </row>
    <row r="7659" s="1" customFormat="1" spans="1:13">
      <c r="A7659" s="2">
        <v>2370</v>
      </c>
      <c r="B7659" s="9" t="s">
        <v>4837</v>
      </c>
      <c r="C7659" s="9" t="s">
        <v>5279</v>
      </c>
      <c r="D7659" s="9" t="s">
        <v>5280</v>
      </c>
      <c r="E7659" s="6" t="s">
        <v>15</v>
      </c>
      <c r="F7659" s="6">
        <v>2020</v>
      </c>
      <c r="G7659" s="9" t="s">
        <v>2480</v>
      </c>
      <c r="H7659" s="9">
        <v>200</v>
      </c>
      <c r="I7659" s="9">
        <v>200</v>
      </c>
      <c r="J7659" s="6"/>
      <c r="K7659" s="10"/>
      <c r="L7659" s="10">
        <v>20201118</v>
      </c>
      <c r="M7659" s="36" t="str">
        <f t="shared" si="119"/>
        <v>19890121</v>
      </c>
    </row>
    <row r="7660" s="1" customFormat="1" spans="1:13">
      <c r="A7660" s="2">
        <v>2071</v>
      </c>
      <c r="B7660" s="5" t="s">
        <v>4189</v>
      </c>
      <c r="C7660" s="16" t="s">
        <v>4695</v>
      </c>
      <c r="D7660" s="16" t="s">
        <v>4696</v>
      </c>
      <c r="E7660" s="5" t="s">
        <v>15</v>
      </c>
      <c r="F7660" s="5" t="s">
        <v>15</v>
      </c>
      <c r="G7660" s="5" t="s">
        <v>3359</v>
      </c>
      <c r="H7660" s="16">
        <v>200</v>
      </c>
      <c r="I7660" s="16">
        <v>200</v>
      </c>
      <c r="J7660" s="5"/>
      <c r="K7660" s="10"/>
      <c r="L7660" s="10">
        <v>20201118</v>
      </c>
      <c r="M7660" s="36" t="str">
        <f t="shared" si="119"/>
        <v>19890122</v>
      </c>
    </row>
    <row r="7661" s="1" customFormat="1" spans="1:13">
      <c r="A7661" s="2">
        <v>4118</v>
      </c>
      <c r="B7661" s="5" t="s">
        <v>7412</v>
      </c>
      <c r="C7661" s="5" t="s">
        <v>8444</v>
      </c>
      <c r="D7661" s="5" t="s">
        <v>8445</v>
      </c>
      <c r="E7661" s="6">
        <v>2020</v>
      </c>
      <c r="F7661" s="6">
        <v>2020</v>
      </c>
      <c r="G7661" s="5" t="s">
        <v>3359</v>
      </c>
      <c r="H7661" s="5">
        <v>200</v>
      </c>
      <c r="I7661" s="5">
        <v>200</v>
      </c>
      <c r="J7661" s="5"/>
      <c r="K7661" s="5"/>
      <c r="L7661" s="10">
        <v>20201118</v>
      </c>
      <c r="M7661" s="36" t="str">
        <f t="shared" si="119"/>
        <v>19890127</v>
      </c>
    </row>
    <row r="7662" s="1" customFormat="1" spans="1:13">
      <c r="A7662" s="2">
        <v>819</v>
      </c>
      <c r="B7662" s="29" t="s">
        <v>1040</v>
      </c>
      <c r="C7662" s="5" t="s">
        <v>2107</v>
      </c>
      <c r="D7662" s="317" t="s">
        <v>2108</v>
      </c>
      <c r="E7662" s="30">
        <v>2020</v>
      </c>
      <c r="F7662" s="30">
        <v>2020</v>
      </c>
      <c r="G7662" s="29" t="s">
        <v>16</v>
      </c>
      <c r="H7662" s="29">
        <v>200</v>
      </c>
      <c r="I7662" s="29">
        <v>200</v>
      </c>
      <c r="J7662" s="32"/>
      <c r="K7662" s="32"/>
      <c r="L7662" s="2" t="s">
        <v>330</v>
      </c>
      <c r="M7662" s="36" t="str">
        <f t="shared" si="119"/>
        <v>19890129</v>
      </c>
    </row>
    <row r="7663" s="1" customFormat="1" spans="1:13">
      <c r="A7663" s="2">
        <v>5790</v>
      </c>
      <c r="B7663" s="30" t="s">
        <v>11090</v>
      </c>
      <c r="C7663" s="30" t="s">
        <v>11650</v>
      </c>
      <c r="D7663" s="30" t="s">
        <v>11651</v>
      </c>
      <c r="E7663" s="5" t="s">
        <v>15</v>
      </c>
      <c r="F7663" s="5" t="s">
        <v>10250</v>
      </c>
      <c r="G7663" s="6" t="s">
        <v>16</v>
      </c>
      <c r="H7663" s="32">
        <v>200</v>
      </c>
      <c r="I7663" s="32">
        <v>200</v>
      </c>
      <c r="J7663" s="6"/>
      <c r="K7663" s="48"/>
      <c r="L7663" s="10">
        <v>20201118</v>
      </c>
      <c r="M7663" s="36" t="str">
        <f t="shared" si="119"/>
        <v>19890201</v>
      </c>
    </row>
    <row r="7664" s="1" customFormat="1" spans="1:13">
      <c r="A7664" s="2">
        <v>4119</v>
      </c>
      <c r="B7664" s="5" t="s">
        <v>7412</v>
      </c>
      <c r="C7664" s="5" t="s">
        <v>8446</v>
      </c>
      <c r="D7664" s="5" t="s">
        <v>8447</v>
      </c>
      <c r="E7664" s="6">
        <v>2020</v>
      </c>
      <c r="F7664" s="6">
        <v>2020</v>
      </c>
      <c r="G7664" s="5" t="s">
        <v>3359</v>
      </c>
      <c r="H7664" s="5">
        <v>200</v>
      </c>
      <c r="I7664" s="5">
        <v>200</v>
      </c>
      <c r="J7664" s="5"/>
      <c r="K7664" s="5"/>
      <c r="L7664" s="10">
        <v>20201118</v>
      </c>
      <c r="M7664" s="36" t="str">
        <f t="shared" si="119"/>
        <v>19890202</v>
      </c>
    </row>
    <row r="7665" s="1" customFormat="1" spans="1:13">
      <c r="A7665" s="2">
        <v>835</v>
      </c>
      <c r="B7665" s="29" t="s">
        <v>1040</v>
      </c>
      <c r="C7665" s="29" t="s">
        <v>2154</v>
      </c>
      <c r="D7665" s="29" t="s">
        <v>2155</v>
      </c>
      <c r="E7665" s="30">
        <v>2020</v>
      </c>
      <c r="F7665" s="30">
        <v>2020</v>
      </c>
      <c r="G7665" s="29" t="s">
        <v>16</v>
      </c>
      <c r="H7665" s="29">
        <v>200</v>
      </c>
      <c r="I7665" s="29">
        <v>200</v>
      </c>
      <c r="J7665" s="32"/>
      <c r="K7665" s="32"/>
      <c r="L7665" s="2" t="s">
        <v>330</v>
      </c>
      <c r="M7665" s="36" t="str">
        <f t="shared" si="119"/>
        <v>19890204</v>
      </c>
    </row>
    <row r="7666" s="1" customFormat="1" spans="1:13">
      <c r="A7666" s="2">
        <v>3274</v>
      </c>
      <c r="B7666" s="5" t="s">
        <v>3375</v>
      </c>
      <c r="C7666" s="6" t="s">
        <v>7045</v>
      </c>
      <c r="D7666" s="6" t="str">
        <f>"152326198902046878"</f>
        <v>152326198902046878</v>
      </c>
      <c r="E7666" s="5" t="s">
        <v>15</v>
      </c>
      <c r="F7666" s="5">
        <v>2020</v>
      </c>
      <c r="G7666" s="14" t="s">
        <v>16</v>
      </c>
      <c r="H7666" s="17">
        <v>200</v>
      </c>
      <c r="I7666" s="17">
        <v>200</v>
      </c>
      <c r="J7666" s="6"/>
      <c r="K7666" s="10"/>
      <c r="L7666" s="10">
        <v>20201118</v>
      </c>
      <c r="M7666" s="36" t="str">
        <f t="shared" si="119"/>
        <v>19890204</v>
      </c>
    </row>
    <row r="7667" s="1" customFormat="1" spans="1:13">
      <c r="A7667" s="2">
        <v>360</v>
      </c>
      <c r="B7667" s="14" t="s">
        <v>327</v>
      </c>
      <c r="C7667" s="17" t="s">
        <v>967</v>
      </c>
      <c r="D7667" s="306" t="s">
        <v>968</v>
      </c>
      <c r="E7667" s="5">
        <v>2020</v>
      </c>
      <c r="F7667" s="5">
        <v>2020</v>
      </c>
      <c r="G7667" s="14" t="s">
        <v>16</v>
      </c>
      <c r="H7667" s="17">
        <v>200</v>
      </c>
      <c r="I7667" s="17">
        <v>200</v>
      </c>
      <c r="J7667" s="17"/>
      <c r="K7667" s="10"/>
      <c r="L7667" s="14" t="s">
        <v>330</v>
      </c>
      <c r="M7667" s="36" t="str">
        <f t="shared" si="119"/>
        <v>19890205</v>
      </c>
    </row>
    <row r="7668" s="1" customFormat="1" spans="1:13">
      <c r="A7668" s="2">
        <v>4120</v>
      </c>
      <c r="B7668" s="5" t="s">
        <v>7412</v>
      </c>
      <c r="C7668" s="5" t="s">
        <v>8448</v>
      </c>
      <c r="D7668" s="5" t="s">
        <v>8449</v>
      </c>
      <c r="E7668" s="6">
        <v>2020</v>
      </c>
      <c r="F7668" s="6">
        <v>2020</v>
      </c>
      <c r="G7668" s="5" t="s">
        <v>3359</v>
      </c>
      <c r="H7668" s="5">
        <v>200</v>
      </c>
      <c r="I7668" s="5">
        <v>200</v>
      </c>
      <c r="J7668" s="5"/>
      <c r="K7668" s="5"/>
      <c r="L7668" s="10">
        <v>20201118</v>
      </c>
      <c r="M7668" s="36" t="str">
        <f t="shared" si="119"/>
        <v>19890206</v>
      </c>
    </row>
    <row r="7669" s="1" customFormat="1" ht="14.25" spans="1:13">
      <c r="A7669" s="2">
        <v>5050</v>
      </c>
      <c r="B7669" s="13" t="s">
        <v>9954</v>
      </c>
      <c r="C7669" s="13" t="s">
        <v>10233</v>
      </c>
      <c r="D7669" s="307" t="s">
        <v>10234</v>
      </c>
      <c r="E7669" s="13">
        <v>2020</v>
      </c>
      <c r="F7669" s="13">
        <v>2020</v>
      </c>
      <c r="G7669" s="14" t="s">
        <v>16</v>
      </c>
      <c r="H7669" s="13">
        <v>1000</v>
      </c>
      <c r="I7669" s="13">
        <v>1000</v>
      </c>
      <c r="J7669" s="10"/>
      <c r="K7669" s="10"/>
      <c r="L7669" s="10">
        <v>20201224</v>
      </c>
      <c r="M7669" s="36" t="str">
        <f t="shared" si="119"/>
        <v>19890211</v>
      </c>
    </row>
    <row r="7670" s="1" customFormat="1" spans="1:13">
      <c r="A7670" s="2">
        <v>2090</v>
      </c>
      <c r="B7670" s="5" t="s">
        <v>4189</v>
      </c>
      <c r="C7670" s="16" t="s">
        <v>4731</v>
      </c>
      <c r="D7670" s="16" t="s">
        <v>4732</v>
      </c>
      <c r="E7670" s="5" t="s">
        <v>15</v>
      </c>
      <c r="F7670" s="5" t="s">
        <v>15</v>
      </c>
      <c r="G7670" s="5" t="s">
        <v>3359</v>
      </c>
      <c r="H7670" s="16">
        <v>200</v>
      </c>
      <c r="I7670" s="16">
        <v>200</v>
      </c>
      <c r="J7670" s="5"/>
      <c r="K7670" s="10"/>
      <c r="L7670" s="10">
        <v>20201118</v>
      </c>
      <c r="M7670" s="36" t="str">
        <f t="shared" si="119"/>
        <v>19890216</v>
      </c>
    </row>
    <row r="7671" s="1" customFormat="1" spans="1:13">
      <c r="A7671" s="2">
        <v>1329</v>
      </c>
      <c r="B7671" s="5" t="s">
        <v>2469</v>
      </c>
      <c r="C7671" s="9" t="s">
        <v>3238</v>
      </c>
      <c r="D7671" s="9" t="s">
        <v>3239</v>
      </c>
      <c r="E7671" s="5">
        <v>2020</v>
      </c>
      <c r="F7671" s="5">
        <v>2020</v>
      </c>
      <c r="G7671" s="9" t="s">
        <v>2480</v>
      </c>
      <c r="H7671" s="9">
        <v>200</v>
      </c>
      <c r="I7671" s="9">
        <v>200</v>
      </c>
      <c r="J7671" s="5"/>
      <c r="K7671" s="5"/>
      <c r="L7671" s="10">
        <v>20201118</v>
      </c>
      <c r="M7671" s="36" t="str">
        <f t="shared" si="119"/>
        <v>19890302</v>
      </c>
    </row>
    <row r="7672" s="1" customFormat="1" spans="1:13">
      <c r="A7672" s="2">
        <v>791</v>
      </c>
      <c r="B7672" s="29" t="s">
        <v>1040</v>
      </c>
      <c r="C7672" s="5" t="s">
        <v>2023</v>
      </c>
      <c r="D7672" s="317" t="s">
        <v>2024</v>
      </c>
      <c r="E7672" s="30">
        <v>2020</v>
      </c>
      <c r="F7672" s="30">
        <v>2020</v>
      </c>
      <c r="G7672" s="29" t="s">
        <v>16</v>
      </c>
      <c r="H7672" s="29">
        <v>200</v>
      </c>
      <c r="I7672" s="29">
        <v>200</v>
      </c>
      <c r="J7672" s="32"/>
      <c r="K7672" s="32"/>
      <c r="L7672" s="2" t="s">
        <v>330</v>
      </c>
      <c r="M7672" s="36" t="str">
        <f t="shared" si="119"/>
        <v>19890307</v>
      </c>
    </row>
    <row r="7673" s="1" customFormat="1" ht="14.25" spans="1:13">
      <c r="A7673" s="2">
        <v>5999</v>
      </c>
      <c r="B7673" s="30" t="s">
        <v>11090</v>
      </c>
      <c r="C7673" s="32" t="s">
        <v>12041</v>
      </c>
      <c r="D7673" s="12" t="s">
        <v>12042</v>
      </c>
      <c r="E7673" s="5" t="s">
        <v>15</v>
      </c>
      <c r="F7673" s="5" t="s">
        <v>10250</v>
      </c>
      <c r="G7673" s="6" t="s">
        <v>16</v>
      </c>
      <c r="H7673" s="32">
        <v>200</v>
      </c>
      <c r="I7673" s="32">
        <v>200</v>
      </c>
      <c r="J7673" s="5"/>
      <c r="K7673" s="48"/>
      <c r="L7673" s="10">
        <v>20201118</v>
      </c>
      <c r="M7673" s="36" t="str">
        <f t="shared" si="119"/>
        <v>19890307</v>
      </c>
    </row>
    <row r="7674" s="1" customFormat="1" spans="1:13">
      <c r="A7674" s="2">
        <v>1330</v>
      </c>
      <c r="B7674" s="5" t="s">
        <v>2469</v>
      </c>
      <c r="C7674" s="9" t="s">
        <v>3240</v>
      </c>
      <c r="D7674" s="9" t="s">
        <v>3241</v>
      </c>
      <c r="E7674" s="5">
        <v>2020</v>
      </c>
      <c r="F7674" s="5">
        <v>2020</v>
      </c>
      <c r="G7674" s="9" t="s">
        <v>2480</v>
      </c>
      <c r="H7674" s="9">
        <v>200</v>
      </c>
      <c r="I7674" s="9">
        <v>200</v>
      </c>
      <c r="J7674" s="5"/>
      <c r="K7674" s="5"/>
      <c r="L7674" s="10">
        <v>20201118</v>
      </c>
      <c r="M7674" s="36" t="str">
        <f t="shared" si="119"/>
        <v>19890308</v>
      </c>
    </row>
    <row r="7675" s="1" customFormat="1" spans="1:13">
      <c r="A7675" s="2">
        <v>7413</v>
      </c>
      <c r="B7675" s="5" t="s">
        <v>14402</v>
      </c>
      <c r="C7675" s="5" t="s">
        <v>14448</v>
      </c>
      <c r="D7675" s="5" t="s">
        <v>14449</v>
      </c>
      <c r="E7675" s="5">
        <v>2020</v>
      </c>
      <c r="F7675" s="5">
        <v>2020</v>
      </c>
      <c r="G7675" s="17" t="s">
        <v>16</v>
      </c>
      <c r="H7675" s="5">
        <v>200</v>
      </c>
      <c r="I7675" s="5">
        <v>200</v>
      </c>
      <c r="J7675" s="5"/>
      <c r="K7675" s="10"/>
      <c r="L7675" s="10">
        <v>20201118</v>
      </c>
      <c r="M7675" s="36" t="str">
        <f t="shared" si="119"/>
        <v>19890318</v>
      </c>
    </row>
    <row r="7676" s="1" customFormat="1" spans="1:13">
      <c r="A7676" s="2">
        <v>7836</v>
      </c>
      <c r="B7676" s="5" t="s">
        <v>15086</v>
      </c>
      <c r="C7676" s="6" t="s">
        <v>15105</v>
      </c>
      <c r="D7676" s="6" t="str">
        <f>"152326198903216875"</f>
        <v>152326198903216875</v>
      </c>
      <c r="E7676" s="5" t="s">
        <v>15</v>
      </c>
      <c r="F7676" s="5">
        <v>2020</v>
      </c>
      <c r="G7676" s="5" t="s">
        <v>16</v>
      </c>
      <c r="H7676" s="5">
        <v>200</v>
      </c>
      <c r="I7676" s="5">
        <v>200</v>
      </c>
      <c r="J7676" s="5"/>
      <c r="K7676" s="5"/>
      <c r="L7676" s="10">
        <v>20201118</v>
      </c>
      <c r="M7676" s="36" t="str">
        <f t="shared" si="119"/>
        <v>19890321</v>
      </c>
    </row>
    <row r="7677" s="1" customFormat="1" spans="1:13">
      <c r="A7677" s="2">
        <v>782</v>
      </c>
      <c r="B7677" s="29" t="s">
        <v>1040</v>
      </c>
      <c r="C7677" s="5" t="s">
        <v>1996</v>
      </c>
      <c r="D7677" s="317" t="s">
        <v>1997</v>
      </c>
      <c r="E7677" s="30">
        <v>2020</v>
      </c>
      <c r="F7677" s="30">
        <v>2020</v>
      </c>
      <c r="G7677" s="29" t="s">
        <v>16</v>
      </c>
      <c r="H7677" s="29">
        <v>200</v>
      </c>
      <c r="I7677" s="29">
        <v>200</v>
      </c>
      <c r="J7677" s="32"/>
      <c r="K7677" s="32"/>
      <c r="L7677" s="14" t="s">
        <v>330</v>
      </c>
      <c r="M7677" s="36" t="str">
        <f t="shared" si="119"/>
        <v>19890324</v>
      </c>
    </row>
    <row r="7678" s="1" customFormat="1" spans="1:13">
      <c r="A7678" s="2">
        <v>2748</v>
      </c>
      <c r="B7678" s="32" t="s">
        <v>5602</v>
      </c>
      <c r="C7678" s="9" t="s">
        <v>6026</v>
      </c>
      <c r="D7678" s="9" t="s">
        <v>6027</v>
      </c>
      <c r="E7678" s="32">
        <v>2020</v>
      </c>
      <c r="F7678" s="32">
        <v>2020</v>
      </c>
      <c r="G7678" s="32" t="s">
        <v>16</v>
      </c>
      <c r="H7678" s="9">
        <v>200</v>
      </c>
      <c r="I7678" s="9">
        <v>200</v>
      </c>
      <c r="J7678" s="32"/>
      <c r="K7678" s="52"/>
      <c r="L7678" s="10">
        <v>20201118</v>
      </c>
      <c r="M7678" s="36" t="str">
        <f t="shared" si="119"/>
        <v>19890324</v>
      </c>
    </row>
    <row r="7679" s="1" customFormat="1" ht="14.25" spans="1:13">
      <c r="A7679" s="2">
        <v>6021</v>
      </c>
      <c r="B7679" s="30" t="s">
        <v>11090</v>
      </c>
      <c r="C7679" s="32" t="s">
        <v>12085</v>
      </c>
      <c r="D7679" s="12" t="s">
        <v>12086</v>
      </c>
      <c r="E7679" s="5" t="s">
        <v>15</v>
      </c>
      <c r="F7679" s="5" t="s">
        <v>10250</v>
      </c>
      <c r="G7679" s="6" t="s">
        <v>16</v>
      </c>
      <c r="H7679" s="32">
        <v>200</v>
      </c>
      <c r="I7679" s="32">
        <v>200</v>
      </c>
      <c r="J7679" s="5"/>
      <c r="K7679" s="48"/>
      <c r="L7679" s="10">
        <v>20201118</v>
      </c>
      <c r="M7679" s="36" t="str">
        <f t="shared" si="119"/>
        <v>19890401</v>
      </c>
    </row>
    <row r="7680" s="1" customFormat="1" spans="1:13">
      <c r="A7680" s="2">
        <v>3564</v>
      </c>
      <c r="B7680" s="5" t="s">
        <v>3375</v>
      </c>
      <c r="C7680" s="5" t="s">
        <v>7397</v>
      </c>
      <c r="D7680" s="296" t="s">
        <v>7398</v>
      </c>
      <c r="E7680" s="5" t="s">
        <v>15</v>
      </c>
      <c r="F7680" s="5">
        <v>2020</v>
      </c>
      <c r="G7680" s="14" t="s">
        <v>16</v>
      </c>
      <c r="H7680" s="5">
        <v>200</v>
      </c>
      <c r="I7680" s="5">
        <v>200</v>
      </c>
      <c r="J7680" s="5"/>
      <c r="K7680" s="10"/>
      <c r="L7680" s="10">
        <v>20201118</v>
      </c>
      <c r="M7680" s="36" t="str">
        <f t="shared" si="119"/>
        <v>19890402</v>
      </c>
    </row>
    <row r="7681" s="1" customFormat="1" spans="1:13">
      <c r="A7681" s="2">
        <v>5186</v>
      </c>
      <c r="B7681" s="6" t="s">
        <v>10242</v>
      </c>
      <c r="C7681" s="9" t="s">
        <v>10495</v>
      </c>
      <c r="D7681" s="9" t="s">
        <v>10496</v>
      </c>
      <c r="E7681" s="5" t="s">
        <v>10250</v>
      </c>
      <c r="F7681" s="5">
        <v>2020</v>
      </c>
      <c r="G7681" s="6" t="s">
        <v>16</v>
      </c>
      <c r="H7681" s="6">
        <v>200</v>
      </c>
      <c r="I7681" s="6">
        <v>200</v>
      </c>
      <c r="J7681" s="6"/>
      <c r="K7681" s="5"/>
      <c r="L7681" s="10">
        <v>20201118</v>
      </c>
      <c r="M7681" s="36" t="str">
        <f t="shared" si="119"/>
        <v>19890404</v>
      </c>
    </row>
    <row r="7682" s="1" customFormat="1" spans="1:13">
      <c r="A7682" s="2">
        <v>6769</v>
      </c>
      <c r="B7682" s="5" t="s">
        <v>13027</v>
      </c>
      <c r="C7682" s="15" t="s">
        <v>13501</v>
      </c>
      <c r="D7682" s="15" t="s">
        <v>13502</v>
      </c>
      <c r="E7682" s="5">
        <v>2020</v>
      </c>
      <c r="F7682" s="5">
        <v>2020</v>
      </c>
      <c r="G7682" s="14" t="s">
        <v>16</v>
      </c>
      <c r="H7682" s="15">
        <v>200</v>
      </c>
      <c r="I7682" s="15">
        <v>200</v>
      </c>
      <c r="J7682" s="5"/>
      <c r="K7682" s="10"/>
      <c r="L7682" s="10">
        <v>20201118</v>
      </c>
      <c r="M7682" s="36" t="str">
        <f t="shared" ref="M7682:M7745" si="120">MID(D7682,7,8)</f>
        <v>19890409</v>
      </c>
    </row>
    <row r="7683" s="1" customFormat="1" spans="1:13">
      <c r="A7683" s="2">
        <v>139</v>
      </c>
      <c r="B7683" s="3" t="s">
        <v>12</v>
      </c>
      <c r="C7683" s="3" t="s">
        <v>298</v>
      </c>
      <c r="D7683" s="3" t="s">
        <v>299</v>
      </c>
      <c r="E7683" s="3" t="s">
        <v>15</v>
      </c>
      <c r="F7683" s="3" t="s">
        <v>15</v>
      </c>
      <c r="G7683" s="3" t="s">
        <v>295</v>
      </c>
      <c r="H7683" s="3">
        <v>200</v>
      </c>
      <c r="I7683" s="3">
        <v>200</v>
      </c>
      <c r="J7683" s="3"/>
      <c r="K7683" s="3"/>
      <c r="L7683" s="10">
        <v>20201118</v>
      </c>
      <c r="M7683" s="36" t="str">
        <f t="shared" si="120"/>
        <v>19890411</v>
      </c>
    </row>
    <row r="7684" s="1" customFormat="1" ht="14.25" spans="1:13">
      <c r="A7684" s="2">
        <v>3521</v>
      </c>
      <c r="B7684" s="5" t="s">
        <v>3375</v>
      </c>
      <c r="C7684" s="5" t="s">
        <v>7313</v>
      </c>
      <c r="D7684" s="12" t="s">
        <v>7314</v>
      </c>
      <c r="E7684" s="5" t="s">
        <v>15</v>
      </c>
      <c r="F7684" s="5">
        <v>2020</v>
      </c>
      <c r="G7684" s="14" t="s">
        <v>16</v>
      </c>
      <c r="H7684" s="5">
        <v>200</v>
      </c>
      <c r="I7684" s="5">
        <v>200</v>
      </c>
      <c r="J7684" s="5"/>
      <c r="K7684" s="10"/>
      <c r="L7684" s="10">
        <v>20201118</v>
      </c>
      <c r="M7684" s="36" t="str">
        <f t="shared" si="120"/>
        <v>19890413</v>
      </c>
    </row>
    <row r="7685" s="1" customFormat="1" spans="1:13">
      <c r="A7685" s="2">
        <v>4885</v>
      </c>
      <c r="B7685" s="6" t="s">
        <v>9015</v>
      </c>
      <c r="C7685" s="6" t="s">
        <v>9912</v>
      </c>
      <c r="D7685" s="293" t="s">
        <v>9913</v>
      </c>
      <c r="E7685" s="6">
        <v>2020</v>
      </c>
      <c r="F7685" s="6">
        <v>2020</v>
      </c>
      <c r="G7685" s="6" t="s">
        <v>189</v>
      </c>
      <c r="H7685" s="6">
        <v>200</v>
      </c>
      <c r="I7685" s="6">
        <v>200</v>
      </c>
      <c r="J7685" s="6"/>
      <c r="K7685" s="6"/>
      <c r="L7685" s="10">
        <v>20201118</v>
      </c>
      <c r="M7685" s="36" t="str">
        <f t="shared" si="120"/>
        <v>19890505</v>
      </c>
    </row>
    <row r="7686" s="1" customFormat="1" spans="1:13">
      <c r="A7686" s="2">
        <v>7832</v>
      </c>
      <c r="B7686" s="5" t="s">
        <v>15086</v>
      </c>
      <c r="C7686" s="6" t="s">
        <v>15101</v>
      </c>
      <c r="D7686" s="6" t="str">
        <f>"152326198905056887"</f>
        <v>152326198905056887</v>
      </c>
      <c r="E7686" s="5" t="s">
        <v>15</v>
      </c>
      <c r="F7686" s="5">
        <v>2020</v>
      </c>
      <c r="G7686" s="5" t="s">
        <v>16</v>
      </c>
      <c r="H7686" s="5">
        <v>200</v>
      </c>
      <c r="I7686" s="5">
        <v>200</v>
      </c>
      <c r="J7686" s="5"/>
      <c r="K7686" s="5"/>
      <c r="L7686" s="10">
        <v>20201118</v>
      </c>
      <c r="M7686" s="36" t="str">
        <f t="shared" si="120"/>
        <v>19890505</v>
      </c>
    </row>
    <row r="7687" s="1" customFormat="1" spans="1:13">
      <c r="A7687" s="2">
        <v>875</v>
      </c>
      <c r="B7687" s="29" t="s">
        <v>1040</v>
      </c>
      <c r="C7687" s="6" t="s">
        <v>2272</v>
      </c>
      <c r="D7687" s="6" t="s">
        <v>2273</v>
      </c>
      <c r="E7687" s="30">
        <v>2020</v>
      </c>
      <c r="F7687" s="30">
        <v>2020</v>
      </c>
      <c r="G7687" s="29" t="s">
        <v>16</v>
      </c>
      <c r="H7687" s="29">
        <v>200</v>
      </c>
      <c r="I7687" s="29">
        <v>200</v>
      </c>
      <c r="J7687" s="32"/>
      <c r="K7687" s="32"/>
      <c r="L7687" s="2" t="s">
        <v>330</v>
      </c>
      <c r="M7687" s="36" t="str">
        <f t="shared" si="120"/>
        <v>19890507</v>
      </c>
    </row>
    <row r="7688" s="1" customFormat="1" spans="1:13">
      <c r="A7688" s="2">
        <v>395</v>
      </c>
      <c r="B7688" s="29" t="s">
        <v>1040</v>
      </c>
      <c r="C7688" s="29" t="s">
        <v>1066</v>
      </c>
      <c r="D7688" s="29" t="s">
        <v>1067</v>
      </c>
      <c r="E7688" s="30">
        <v>2020</v>
      </c>
      <c r="F7688" s="30">
        <v>2020</v>
      </c>
      <c r="G7688" s="29" t="s">
        <v>16</v>
      </c>
      <c r="H7688" s="29">
        <v>200</v>
      </c>
      <c r="I7688" s="29">
        <v>200</v>
      </c>
      <c r="J7688" s="29"/>
      <c r="K7688" s="47"/>
      <c r="L7688" s="14" t="s">
        <v>330</v>
      </c>
      <c r="M7688" s="36" t="str">
        <f t="shared" si="120"/>
        <v>19890512</v>
      </c>
    </row>
    <row r="7689" s="1" customFormat="1" spans="1:13">
      <c r="A7689" s="2">
        <v>291</v>
      </c>
      <c r="B7689" s="14" t="s">
        <v>327</v>
      </c>
      <c r="C7689" s="17" t="s">
        <v>760</v>
      </c>
      <c r="D7689" s="306" t="s">
        <v>761</v>
      </c>
      <c r="E7689" s="5">
        <v>2020</v>
      </c>
      <c r="F7689" s="5">
        <v>2020</v>
      </c>
      <c r="G7689" s="14" t="s">
        <v>16</v>
      </c>
      <c r="H7689" s="17">
        <v>200</v>
      </c>
      <c r="I7689" s="17">
        <v>200</v>
      </c>
      <c r="J7689" s="17"/>
      <c r="K7689" s="10"/>
      <c r="L7689" s="2" t="s">
        <v>330</v>
      </c>
      <c r="M7689" s="36" t="str">
        <f t="shared" si="120"/>
        <v>19890601</v>
      </c>
    </row>
    <row r="7690" s="1" customFormat="1" spans="1:13">
      <c r="A7690" s="2">
        <v>728</v>
      </c>
      <c r="B7690" s="29" t="s">
        <v>1040</v>
      </c>
      <c r="C7690" s="5" t="s">
        <v>1834</v>
      </c>
      <c r="D7690" s="317" t="s">
        <v>1835</v>
      </c>
      <c r="E7690" s="30">
        <v>2020</v>
      </c>
      <c r="F7690" s="30">
        <v>2020</v>
      </c>
      <c r="G7690" s="29" t="s">
        <v>16</v>
      </c>
      <c r="H7690" s="29">
        <v>200</v>
      </c>
      <c r="I7690" s="29">
        <v>200</v>
      </c>
      <c r="J7690" s="29"/>
      <c r="K7690" s="54"/>
      <c r="L7690" s="2" t="s">
        <v>330</v>
      </c>
      <c r="M7690" s="36" t="str">
        <f t="shared" si="120"/>
        <v>19890602</v>
      </c>
    </row>
    <row r="7691" s="1" customFormat="1" spans="1:13">
      <c r="A7691" s="2">
        <v>6794</v>
      </c>
      <c r="B7691" s="5" t="s">
        <v>13533</v>
      </c>
      <c r="C7691" s="32" t="s">
        <v>13543</v>
      </c>
      <c r="D7691" s="32" t="str">
        <f>"152326198906207130"</f>
        <v>152326198906207130</v>
      </c>
      <c r="E7691" s="5">
        <v>2020</v>
      </c>
      <c r="F7691" s="5">
        <v>2020</v>
      </c>
      <c r="G7691" s="9" t="s">
        <v>2480</v>
      </c>
      <c r="H7691" s="32">
        <v>200</v>
      </c>
      <c r="I7691" s="32">
        <v>200</v>
      </c>
      <c r="J7691" s="32"/>
      <c r="K7691" s="10"/>
      <c r="L7691" s="10">
        <v>20201118</v>
      </c>
      <c r="M7691" s="36" t="str">
        <f t="shared" si="120"/>
        <v>19890620</v>
      </c>
    </row>
    <row r="7692" s="1" customFormat="1" spans="1:13">
      <c r="A7692" s="2">
        <v>3276</v>
      </c>
      <c r="B7692" s="5" t="s">
        <v>3375</v>
      </c>
      <c r="C7692" s="6" t="s">
        <v>7047</v>
      </c>
      <c r="D7692" s="6" t="str">
        <f>"152326198906306876"</f>
        <v>152326198906306876</v>
      </c>
      <c r="E7692" s="5" t="s">
        <v>15</v>
      </c>
      <c r="F7692" s="5">
        <v>2020</v>
      </c>
      <c r="G7692" s="14" t="s">
        <v>16</v>
      </c>
      <c r="H7692" s="17">
        <v>200</v>
      </c>
      <c r="I7692" s="17">
        <v>200</v>
      </c>
      <c r="J7692" s="6"/>
      <c r="K7692" s="10"/>
      <c r="L7692" s="10">
        <v>20201118</v>
      </c>
      <c r="M7692" s="36" t="str">
        <f t="shared" si="120"/>
        <v>19890630</v>
      </c>
    </row>
    <row r="7693" s="1" customFormat="1" spans="1:13">
      <c r="A7693" s="2">
        <v>1331</v>
      </c>
      <c r="B7693" s="5" t="s">
        <v>2469</v>
      </c>
      <c r="C7693" s="9" t="s">
        <v>3242</v>
      </c>
      <c r="D7693" s="9" t="s">
        <v>3243</v>
      </c>
      <c r="E7693" s="5">
        <v>2020</v>
      </c>
      <c r="F7693" s="5">
        <v>2020</v>
      </c>
      <c r="G7693" s="9" t="s">
        <v>2480</v>
      </c>
      <c r="H7693" s="9">
        <v>200</v>
      </c>
      <c r="I7693" s="9">
        <v>200</v>
      </c>
      <c r="J7693" s="5"/>
      <c r="K7693" s="5"/>
      <c r="L7693" s="10">
        <v>20201118</v>
      </c>
      <c r="M7693" s="36" t="str">
        <f t="shared" si="120"/>
        <v>19890711</v>
      </c>
    </row>
    <row r="7694" s="1" customFormat="1" spans="1:13">
      <c r="A7694" s="2">
        <v>2749</v>
      </c>
      <c r="B7694" s="32" t="s">
        <v>5602</v>
      </c>
      <c r="C7694" s="9" t="s">
        <v>6028</v>
      </c>
      <c r="D7694" s="9" t="s">
        <v>6029</v>
      </c>
      <c r="E7694" s="32">
        <v>2020</v>
      </c>
      <c r="F7694" s="32">
        <v>2020</v>
      </c>
      <c r="G7694" s="32" t="s">
        <v>16</v>
      </c>
      <c r="H7694" s="9">
        <v>200</v>
      </c>
      <c r="I7694" s="9">
        <v>200</v>
      </c>
      <c r="J7694" s="32"/>
      <c r="K7694" s="52"/>
      <c r="L7694" s="10">
        <v>20201118</v>
      </c>
      <c r="M7694" s="36" t="str">
        <f t="shared" si="120"/>
        <v>19890721</v>
      </c>
    </row>
    <row r="7695" s="1" customFormat="1" spans="1:13">
      <c r="A7695" s="2">
        <v>311</v>
      </c>
      <c r="B7695" s="14" t="s">
        <v>327</v>
      </c>
      <c r="C7695" s="17" t="s">
        <v>821</v>
      </c>
      <c r="D7695" s="17" t="s">
        <v>822</v>
      </c>
      <c r="E7695" s="5">
        <v>2020</v>
      </c>
      <c r="F7695" s="5">
        <v>2020</v>
      </c>
      <c r="G7695" s="14" t="s">
        <v>16</v>
      </c>
      <c r="H7695" s="17">
        <v>200</v>
      </c>
      <c r="I7695" s="17">
        <v>200</v>
      </c>
      <c r="J7695" s="17"/>
      <c r="K7695" s="10"/>
      <c r="L7695" s="2" t="s">
        <v>330</v>
      </c>
      <c r="M7695" s="36" t="str">
        <f t="shared" si="120"/>
        <v>19890801</v>
      </c>
    </row>
    <row r="7696" s="1" customFormat="1" ht="14.25" spans="1:13">
      <c r="A7696" s="2">
        <v>5472</v>
      </c>
      <c r="B7696" s="33" t="s">
        <v>10535</v>
      </c>
      <c r="C7696" s="34" t="s">
        <v>11039</v>
      </c>
      <c r="D7696" s="34" t="s">
        <v>11040</v>
      </c>
      <c r="E7696" s="35">
        <v>2020</v>
      </c>
      <c r="F7696" s="35">
        <v>2020</v>
      </c>
      <c r="G7696" s="35" t="s">
        <v>16</v>
      </c>
      <c r="H7696" s="34">
        <v>200</v>
      </c>
      <c r="I7696" s="34">
        <v>200</v>
      </c>
      <c r="J7696" s="49"/>
      <c r="K7696" s="10"/>
      <c r="L7696" s="10">
        <v>20201118</v>
      </c>
      <c r="M7696" s="36" t="str">
        <f t="shared" si="120"/>
        <v>19890802</v>
      </c>
    </row>
    <row r="7697" s="1" customFormat="1" spans="1:13">
      <c r="A7697" s="2">
        <v>5812</v>
      </c>
      <c r="B7697" s="30" t="s">
        <v>11090</v>
      </c>
      <c r="C7697" s="30" t="s">
        <v>11693</v>
      </c>
      <c r="D7697" s="30" t="s">
        <v>11694</v>
      </c>
      <c r="E7697" s="5" t="s">
        <v>15</v>
      </c>
      <c r="F7697" s="5" t="s">
        <v>10250</v>
      </c>
      <c r="G7697" s="6" t="s">
        <v>16</v>
      </c>
      <c r="H7697" s="32">
        <v>200</v>
      </c>
      <c r="I7697" s="32">
        <v>200</v>
      </c>
      <c r="J7697" s="6"/>
      <c r="K7697" s="48"/>
      <c r="L7697" s="10">
        <v>20201118</v>
      </c>
      <c r="M7697" s="36" t="str">
        <f t="shared" si="120"/>
        <v>19890802</v>
      </c>
    </row>
    <row r="7698" s="1" customFormat="1" spans="1:13">
      <c r="A7698" s="2">
        <v>2776</v>
      </c>
      <c r="B7698" s="6" t="s">
        <v>6075</v>
      </c>
      <c r="C7698" s="63" t="s">
        <v>6082</v>
      </c>
      <c r="D7698" s="63" t="s">
        <v>6083</v>
      </c>
      <c r="E7698" s="5" t="s">
        <v>15</v>
      </c>
      <c r="F7698" s="5">
        <v>2020</v>
      </c>
      <c r="G7698" s="6" t="s">
        <v>16</v>
      </c>
      <c r="H7698" s="6">
        <v>200</v>
      </c>
      <c r="I7698" s="6">
        <v>200</v>
      </c>
      <c r="J7698" s="6"/>
      <c r="K7698" s="10"/>
      <c r="L7698" s="10">
        <v>20201118</v>
      </c>
      <c r="M7698" s="36" t="str">
        <f t="shared" si="120"/>
        <v>19890803</v>
      </c>
    </row>
    <row r="7699" s="1" customFormat="1" spans="1:13">
      <c r="A7699" s="2">
        <v>1332</v>
      </c>
      <c r="B7699" s="5" t="s">
        <v>2469</v>
      </c>
      <c r="C7699" s="9" t="s">
        <v>3244</v>
      </c>
      <c r="D7699" s="9" t="s">
        <v>3245</v>
      </c>
      <c r="E7699" s="5">
        <v>2020</v>
      </c>
      <c r="F7699" s="5">
        <v>2020</v>
      </c>
      <c r="G7699" s="9" t="s">
        <v>2480</v>
      </c>
      <c r="H7699" s="9">
        <v>200</v>
      </c>
      <c r="I7699" s="9">
        <v>200</v>
      </c>
      <c r="J7699" s="5"/>
      <c r="K7699" s="5"/>
      <c r="L7699" s="10">
        <v>20201118</v>
      </c>
      <c r="M7699" s="36" t="str">
        <f t="shared" si="120"/>
        <v>19890807</v>
      </c>
    </row>
    <row r="7700" s="1" customFormat="1" spans="1:13">
      <c r="A7700" s="2">
        <v>2116</v>
      </c>
      <c r="B7700" s="5" t="s">
        <v>4189</v>
      </c>
      <c r="C7700" s="9" t="s">
        <v>4782</v>
      </c>
      <c r="D7700" s="9" t="s">
        <v>4783</v>
      </c>
      <c r="E7700" s="5" t="s">
        <v>15</v>
      </c>
      <c r="F7700" s="5" t="s">
        <v>15</v>
      </c>
      <c r="G7700" s="5" t="s">
        <v>3359</v>
      </c>
      <c r="H7700" s="16">
        <v>200</v>
      </c>
      <c r="I7700" s="16">
        <v>200</v>
      </c>
      <c r="J7700" s="5"/>
      <c r="K7700" s="10"/>
      <c r="L7700" s="10">
        <v>20201118</v>
      </c>
      <c r="M7700" s="36" t="str">
        <f t="shared" si="120"/>
        <v>19890808</v>
      </c>
    </row>
    <row r="7701" s="1" customFormat="1" ht="14.25" spans="1:13">
      <c r="A7701" s="2">
        <v>5987</v>
      </c>
      <c r="B7701" s="30" t="s">
        <v>11090</v>
      </c>
      <c r="C7701" s="32" t="s">
        <v>12020</v>
      </c>
      <c r="D7701" s="12" t="s">
        <v>12021</v>
      </c>
      <c r="E7701" s="5" t="s">
        <v>15</v>
      </c>
      <c r="F7701" s="5" t="s">
        <v>10250</v>
      </c>
      <c r="G7701" s="6" t="s">
        <v>16</v>
      </c>
      <c r="H7701" s="32">
        <v>200</v>
      </c>
      <c r="I7701" s="32">
        <v>200</v>
      </c>
      <c r="J7701" s="5"/>
      <c r="K7701" s="48"/>
      <c r="L7701" s="10">
        <v>20201118</v>
      </c>
      <c r="M7701" s="36" t="str">
        <f t="shared" si="120"/>
        <v>19890810</v>
      </c>
    </row>
    <row r="7702" s="1" customFormat="1" spans="1:13">
      <c r="A7702" s="2">
        <v>7417</v>
      </c>
      <c r="B7702" s="5" t="s">
        <v>14402</v>
      </c>
      <c r="C7702" s="5" t="s">
        <v>14456</v>
      </c>
      <c r="D7702" s="5" t="s">
        <v>14457</v>
      </c>
      <c r="E7702" s="5">
        <v>2020</v>
      </c>
      <c r="F7702" s="5">
        <v>2020</v>
      </c>
      <c r="G7702" s="17" t="s">
        <v>16</v>
      </c>
      <c r="H7702" s="5">
        <v>200</v>
      </c>
      <c r="I7702" s="5">
        <v>200</v>
      </c>
      <c r="J7702" s="5" t="s">
        <v>749</v>
      </c>
      <c r="K7702" s="10"/>
      <c r="L7702" s="10">
        <v>20201118</v>
      </c>
      <c r="M7702" s="36" t="str">
        <f t="shared" si="120"/>
        <v>19890812</v>
      </c>
    </row>
    <row r="7703" s="1" customFormat="1" spans="1:13">
      <c r="A7703" s="2">
        <v>3275</v>
      </c>
      <c r="B7703" s="5" t="s">
        <v>3375</v>
      </c>
      <c r="C7703" s="6" t="s">
        <v>7046</v>
      </c>
      <c r="D7703" s="6" t="str">
        <f>"152326198908157122"</f>
        <v>152326198908157122</v>
      </c>
      <c r="E7703" s="5" t="s">
        <v>15</v>
      </c>
      <c r="F7703" s="5">
        <v>2020</v>
      </c>
      <c r="G7703" s="14" t="s">
        <v>16</v>
      </c>
      <c r="H7703" s="17">
        <v>200</v>
      </c>
      <c r="I7703" s="17">
        <v>200</v>
      </c>
      <c r="J7703" s="6"/>
      <c r="K7703" s="10"/>
      <c r="L7703" s="10">
        <v>20201118</v>
      </c>
      <c r="M7703" s="36" t="str">
        <f t="shared" si="120"/>
        <v>19890815</v>
      </c>
    </row>
    <row r="7704" s="1" customFormat="1" spans="1:13">
      <c r="A7704" s="2">
        <v>1333</v>
      </c>
      <c r="B7704" s="5" t="s">
        <v>2469</v>
      </c>
      <c r="C7704" s="9" t="s">
        <v>3246</v>
      </c>
      <c r="D7704" s="9" t="s">
        <v>3247</v>
      </c>
      <c r="E7704" s="5">
        <v>2020</v>
      </c>
      <c r="F7704" s="5">
        <v>2020</v>
      </c>
      <c r="G7704" s="9" t="s">
        <v>2480</v>
      </c>
      <c r="H7704" s="9">
        <v>200</v>
      </c>
      <c r="I7704" s="9">
        <v>200</v>
      </c>
      <c r="J7704" s="5"/>
      <c r="K7704" s="5"/>
      <c r="L7704" s="10">
        <v>20201118</v>
      </c>
      <c r="M7704" s="36" t="str">
        <f t="shared" si="120"/>
        <v>19890819</v>
      </c>
    </row>
    <row r="7705" s="1" customFormat="1" spans="1:13">
      <c r="A7705" s="2">
        <v>7143</v>
      </c>
      <c r="B7705" s="5" t="s">
        <v>13908</v>
      </c>
      <c r="C7705" s="5" t="s">
        <v>13945</v>
      </c>
      <c r="D7705" s="5" t="s">
        <v>13946</v>
      </c>
      <c r="E7705" s="5" t="s">
        <v>15</v>
      </c>
      <c r="F7705" s="5" t="s">
        <v>15</v>
      </c>
      <c r="G7705" s="14" t="s">
        <v>16</v>
      </c>
      <c r="H7705" s="17">
        <v>200</v>
      </c>
      <c r="I7705" s="17">
        <v>200</v>
      </c>
      <c r="J7705" s="5"/>
      <c r="K7705" s="10"/>
      <c r="L7705" s="10">
        <v>20201118</v>
      </c>
      <c r="M7705" s="36" t="str">
        <f t="shared" si="120"/>
        <v>19890820</v>
      </c>
    </row>
    <row r="7706" s="1" customFormat="1" spans="1:13">
      <c r="A7706" s="2">
        <v>2072</v>
      </c>
      <c r="B7706" s="5" t="s">
        <v>4189</v>
      </c>
      <c r="C7706" s="16" t="s">
        <v>4697</v>
      </c>
      <c r="D7706" s="16" t="s">
        <v>4698</v>
      </c>
      <c r="E7706" s="5" t="s">
        <v>15</v>
      </c>
      <c r="F7706" s="5" t="s">
        <v>15</v>
      </c>
      <c r="G7706" s="5" t="s">
        <v>3359</v>
      </c>
      <c r="H7706" s="16">
        <v>200</v>
      </c>
      <c r="I7706" s="16">
        <v>200</v>
      </c>
      <c r="J7706" s="5"/>
      <c r="K7706" s="10"/>
      <c r="L7706" s="10">
        <v>20201118</v>
      </c>
      <c r="M7706" s="36" t="str">
        <f t="shared" si="120"/>
        <v>19890826</v>
      </c>
    </row>
    <row r="7707" s="1" customFormat="1" spans="1:13">
      <c r="A7707" s="2">
        <v>2371</v>
      </c>
      <c r="B7707" s="9" t="s">
        <v>4837</v>
      </c>
      <c r="C7707" s="9" t="s">
        <v>5281</v>
      </c>
      <c r="D7707" s="9" t="s">
        <v>5282</v>
      </c>
      <c r="E7707" s="6" t="s">
        <v>15</v>
      </c>
      <c r="F7707" s="6">
        <v>2020</v>
      </c>
      <c r="G7707" s="9" t="s">
        <v>2480</v>
      </c>
      <c r="H7707" s="9">
        <v>200</v>
      </c>
      <c r="I7707" s="9">
        <v>200</v>
      </c>
      <c r="J7707" s="6"/>
      <c r="K7707" s="10"/>
      <c r="L7707" s="10">
        <v>20201118</v>
      </c>
      <c r="M7707" s="36" t="str">
        <f t="shared" si="120"/>
        <v>19890828</v>
      </c>
    </row>
    <row r="7708" s="1" customFormat="1" spans="1:13">
      <c r="A7708" s="2">
        <v>6770</v>
      </c>
      <c r="B7708" s="5" t="s">
        <v>13027</v>
      </c>
      <c r="C7708" s="15" t="s">
        <v>13503</v>
      </c>
      <c r="D7708" s="15" t="s">
        <v>13504</v>
      </c>
      <c r="E7708" s="5">
        <v>2020</v>
      </c>
      <c r="F7708" s="5">
        <v>2020</v>
      </c>
      <c r="G7708" s="14" t="s">
        <v>16</v>
      </c>
      <c r="H7708" s="15">
        <v>200</v>
      </c>
      <c r="I7708" s="15">
        <v>200</v>
      </c>
      <c r="J7708" s="5"/>
      <c r="K7708" s="10"/>
      <c r="L7708" s="10">
        <v>20201118</v>
      </c>
      <c r="M7708" s="36" t="str">
        <f t="shared" si="120"/>
        <v>19890901</v>
      </c>
    </row>
    <row r="7709" s="1" customFormat="1" spans="1:13">
      <c r="A7709" s="2">
        <v>4121</v>
      </c>
      <c r="B7709" s="5" t="s">
        <v>7412</v>
      </c>
      <c r="C7709" s="5" t="s">
        <v>8314</v>
      </c>
      <c r="D7709" s="5" t="s">
        <v>8450</v>
      </c>
      <c r="E7709" s="6">
        <v>2020</v>
      </c>
      <c r="F7709" s="6">
        <v>2020</v>
      </c>
      <c r="G7709" s="5" t="s">
        <v>3359</v>
      </c>
      <c r="H7709" s="5">
        <v>200</v>
      </c>
      <c r="I7709" s="5">
        <v>200</v>
      </c>
      <c r="J7709" s="5"/>
      <c r="K7709" s="5"/>
      <c r="L7709" s="10">
        <v>20201118</v>
      </c>
      <c r="M7709" s="36" t="str">
        <f t="shared" si="120"/>
        <v>19890902</v>
      </c>
    </row>
    <row r="7710" s="1" customFormat="1" spans="1:13">
      <c r="A7710" s="2">
        <v>4831</v>
      </c>
      <c r="B7710" s="6" t="s">
        <v>9015</v>
      </c>
      <c r="C7710" s="6" t="s">
        <v>9809</v>
      </c>
      <c r="D7710" s="293" t="s">
        <v>9810</v>
      </c>
      <c r="E7710" s="6">
        <v>2020</v>
      </c>
      <c r="F7710" s="6">
        <v>2020</v>
      </c>
      <c r="G7710" s="6" t="s">
        <v>16</v>
      </c>
      <c r="H7710" s="6">
        <v>200</v>
      </c>
      <c r="I7710" s="6">
        <v>200</v>
      </c>
      <c r="J7710" s="6"/>
      <c r="K7710" s="6"/>
      <c r="L7710" s="10">
        <v>20201118</v>
      </c>
      <c r="M7710" s="36" t="str">
        <f t="shared" si="120"/>
        <v>19890909</v>
      </c>
    </row>
    <row r="7711" s="1" customFormat="1" spans="1:13">
      <c r="A7711" s="2">
        <v>882</v>
      </c>
      <c r="B7711" s="29" t="s">
        <v>1040</v>
      </c>
      <c r="C7711" s="6" t="s">
        <v>2293</v>
      </c>
      <c r="D7711" s="6" t="s">
        <v>2294</v>
      </c>
      <c r="E7711" s="30">
        <v>2020</v>
      </c>
      <c r="F7711" s="30">
        <v>2020</v>
      </c>
      <c r="G7711" s="29" t="s">
        <v>16</v>
      </c>
      <c r="H7711" s="29">
        <v>200</v>
      </c>
      <c r="I7711" s="29">
        <v>200</v>
      </c>
      <c r="J7711" s="32"/>
      <c r="K7711" s="32"/>
      <c r="L7711" s="2" t="s">
        <v>330</v>
      </c>
      <c r="M7711" s="36" t="str">
        <f t="shared" si="120"/>
        <v>19890911</v>
      </c>
    </row>
    <row r="7712" s="1" customFormat="1" spans="1:13">
      <c r="A7712" s="2">
        <v>3066</v>
      </c>
      <c r="B7712" s="6" t="s">
        <v>6075</v>
      </c>
      <c r="C7712" s="6" t="s">
        <v>6656</v>
      </c>
      <c r="D7712" s="6" t="s">
        <v>6657</v>
      </c>
      <c r="E7712" s="5" t="s">
        <v>15</v>
      </c>
      <c r="F7712" s="5">
        <v>2020</v>
      </c>
      <c r="G7712" s="6" t="s">
        <v>16</v>
      </c>
      <c r="H7712" s="6" t="s">
        <v>311</v>
      </c>
      <c r="I7712" s="5">
        <v>200</v>
      </c>
      <c r="J7712" s="6" t="s">
        <v>6097</v>
      </c>
      <c r="K7712" s="10"/>
      <c r="L7712" s="10">
        <v>20201118</v>
      </c>
      <c r="M7712" s="36" t="str">
        <f t="shared" si="120"/>
        <v>19890911</v>
      </c>
    </row>
    <row r="7713" s="1" customFormat="1" spans="1:13">
      <c r="A7713" s="2">
        <v>321</v>
      </c>
      <c r="B7713" s="14" t="s">
        <v>327</v>
      </c>
      <c r="C7713" s="17" t="s">
        <v>851</v>
      </c>
      <c r="D7713" s="306" t="s">
        <v>852</v>
      </c>
      <c r="E7713" s="5">
        <v>2020</v>
      </c>
      <c r="F7713" s="5">
        <v>2020</v>
      </c>
      <c r="G7713" s="14" t="s">
        <v>16</v>
      </c>
      <c r="H7713" s="17">
        <v>200</v>
      </c>
      <c r="I7713" s="17">
        <v>200</v>
      </c>
      <c r="J7713" s="17"/>
      <c r="K7713" s="10"/>
      <c r="L7713" s="2" t="s">
        <v>330</v>
      </c>
      <c r="M7713" s="36" t="str">
        <f t="shared" si="120"/>
        <v>19890915</v>
      </c>
    </row>
    <row r="7714" s="1" customFormat="1" spans="1:13">
      <c r="A7714" s="2">
        <v>1334</v>
      </c>
      <c r="B7714" s="5" t="s">
        <v>2469</v>
      </c>
      <c r="C7714" s="9" t="s">
        <v>3248</v>
      </c>
      <c r="D7714" s="9" t="s">
        <v>3249</v>
      </c>
      <c r="E7714" s="5">
        <v>2020</v>
      </c>
      <c r="F7714" s="5">
        <v>2020</v>
      </c>
      <c r="G7714" s="9" t="s">
        <v>2480</v>
      </c>
      <c r="H7714" s="9">
        <v>200</v>
      </c>
      <c r="I7714" s="9">
        <v>200</v>
      </c>
      <c r="J7714" s="5"/>
      <c r="K7714" s="5"/>
      <c r="L7714" s="10">
        <v>20201118</v>
      </c>
      <c r="M7714" s="36" t="str">
        <f t="shared" si="120"/>
        <v>19890921</v>
      </c>
    </row>
    <row r="7715" s="1" customFormat="1" spans="1:13">
      <c r="A7715" s="2">
        <v>309</v>
      </c>
      <c r="B7715" s="14" t="s">
        <v>327</v>
      </c>
      <c r="C7715" s="17" t="s">
        <v>815</v>
      </c>
      <c r="D7715" s="306" t="s">
        <v>816</v>
      </c>
      <c r="E7715" s="5">
        <v>2020</v>
      </c>
      <c r="F7715" s="5">
        <v>2020</v>
      </c>
      <c r="G7715" s="14" t="s">
        <v>16</v>
      </c>
      <c r="H7715" s="17">
        <v>200</v>
      </c>
      <c r="I7715" s="17">
        <v>200</v>
      </c>
      <c r="J7715" s="17"/>
      <c r="K7715" s="10"/>
      <c r="L7715" s="2" t="s">
        <v>330</v>
      </c>
      <c r="M7715" s="36" t="str">
        <f t="shared" si="120"/>
        <v>19890923</v>
      </c>
    </row>
    <row r="7716" s="1" customFormat="1" spans="1:13">
      <c r="A7716" s="2">
        <v>7416</v>
      </c>
      <c r="B7716" s="5" t="s">
        <v>14402</v>
      </c>
      <c r="C7716" s="5" t="s">
        <v>14454</v>
      </c>
      <c r="D7716" s="5" t="s">
        <v>14455</v>
      </c>
      <c r="E7716" s="5">
        <v>2020</v>
      </c>
      <c r="F7716" s="5">
        <v>2020</v>
      </c>
      <c r="G7716" s="17" t="s">
        <v>16</v>
      </c>
      <c r="H7716" s="5">
        <v>200</v>
      </c>
      <c r="I7716" s="5">
        <v>200</v>
      </c>
      <c r="J7716" s="5"/>
      <c r="K7716" s="10"/>
      <c r="L7716" s="10">
        <v>20201118</v>
      </c>
      <c r="M7716" s="36" t="str">
        <f t="shared" si="120"/>
        <v>19890924</v>
      </c>
    </row>
    <row r="7717" s="1" customFormat="1" spans="1:13">
      <c r="A7717" s="2">
        <v>2372</v>
      </c>
      <c r="B7717" s="9" t="s">
        <v>4837</v>
      </c>
      <c r="C7717" s="9" t="s">
        <v>5283</v>
      </c>
      <c r="D7717" s="9" t="s">
        <v>5284</v>
      </c>
      <c r="E7717" s="6" t="s">
        <v>15</v>
      </c>
      <c r="F7717" s="6">
        <v>2020</v>
      </c>
      <c r="G7717" s="9" t="s">
        <v>2480</v>
      </c>
      <c r="H7717" s="9">
        <v>200</v>
      </c>
      <c r="I7717" s="9">
        <v>200</v>
      </c>
      <c r="J7717" s="6"/>
      <c r="K7717" s="10"/>
      <c r="L7717" s="10">
        <v>20201118</v>
      </c>
      <c r="M7717" s="36" t="str">
        <f t="shared" si="120"/>
        <v>19891001</v>
      </c>
    </row>
    <row r="7718" s="1" customFormat="1" spans="1:13">
      <c r="A7718" s="2">
        <v>7835</v>
      </c>
      <c r="B7718" s="5" t="s">
        <v>15086</v>
      </c>
      <c r="C7718" s="6" t="s">
        <v>15104</v>
      </c>
      <c r="D7718" s="6" t="str">
        <f>"152326198910017129"</f>
        <v>152326198910017129</v>
      </c>
      <c r="E7718" s="5" t="s">
        <v>15</v>
      </c>
      <c r="F7718" s="5">
        <v>2020</v>
      </c>
      <c r="G7718" s="5" t="s">
        <v>16</v>
      </c>
      <c r="H7718" s="5">
        <v>200</v>
      </c>
      <c r="I7718" s="5">
        <v>200</v>
      </c>
      <c r="J7718" s="5"/>
      <c r="K7718" s="5"/>
      <c r="L7718" s="10">
        <v>20201118</v>
      </c>
      <c r="M7718" s="36" t="str">
        <f t="shared" si="120"/>
        <v>19891001</v>
      </c>
    </row>
    <row r="7719" s="1" customFormat="1" spans="1:13">
      <c r="A7719" s="2">
        <v>4122</v>
      </c>
      <c r="B7719" s="5" t="s">
        <v>7412</v>
      </c>
      <c r="C7719" s="5" t="s">
        <v>8451</v>
      </c>
      <c r="D7719" s="5" t="s">
        <v>8452</v>
      </c>
      <c r="E7719" s="6">
        <v>2020</v>
      </c>
      <c r="F7719" s="6">
        <v>2020</v>
      </c>
      <c r="G7719" s="5" t="s">
        <v>3359</v>
      </c>
      <c r="H7719" s="5">
        <v>200</v>
      </c>
      <c r="I7719" s="5">
        <v>200</v>
      </c>
      <c r="J7719" s="5"/>
      <c r="K7719" s="5"/>
      <c r="L7719" s="10">
        <v>20201118</v>
      </c>
      <c r="M7719" s="36" t="str">
        <f t="shared" si="120"/>
        <v>19891003</v>
      </c>
    </row>
    <row r="7720" s="1" customFormat="1" spans="1:13">
      <c r="A7720" s="2">
        <v>2067</v>
      </c>
      <c r="B7720" s="5" t="s">
        <v>4189</v>
      </c>
      <c r="C7720" s="16" t="s">
        <v>4687</v>
      </c>
      <c r="D7720" s="16" t="s">
        <v>4688</v>
      </c>
      <c r="E7720" s="5" t="s">
        <v>15</v>
      </c>
      <c r="F7720" s="5" t="s">
        <v>15</v>
      </c>
      <c r="G7720" s="5" t="s">
        <v>3359</v>
      </c>
      <c r="H7720" s="16">
        <v>200</v>
      </c>
      <c r="I7720" s="16">
        <v>200</v>
      </c>
      <c r="J7720" s="5"/>
      <c r="K7720" s="10"/>
      <c r="L7720" s="10">
        <v>20201118</v>
      </c>
      <c r="M7720" s="36" t="str">
        <f t="shared" si="120"/>
        <v>19891004</v>
      </c>
    </row>
    <row r="7721" s="1" customFormat="1" spans="1:13">
      <c r="A7721" s="2">
        <v>6771</v>
      </c>
      <c r="B7721" s="5" t="s">
        <v>13027</v>
      </c>
      <c r="C7721" s="15" t="s">
        <v>8015</v>
      </c>
      <c r="D7721" s="15" t="s">
        <v>13505</v>
      </c>
      <c r="E7721" s="5">
        <v>2020</v>
      </c>
      <c r="F7721" s="5">
        <v>2020</v>
      </c>
      <c r="G7721" s="14" t="s">
        <v>16</v>
      </c>
      <c r="H7721" s="15">
        <v>200</v>
      </c>
      <c r="I7721" s="15">
        <v>200</v>
      </c>
      <c r="J7721" s="5"/>
      <c r="K7721" s="10"/>
      <c r="L7721" s="10">
        <v>20201118</v>
      </c>
      <c r="M7721" s="36" t="str">
        <f t="shared" si="120"/>
        <v>19891005</v>
      </c>
    </row>
    <row r="7722" s="1" customFormat="1" spans="1:13">
      <c r="A7722" s="2">
        <v>3272</v>
      </c>
      <c r="B7722" s="5" t="s">
        <v>3375</v>
      </c>
      <c r="C7722" s="6" t="s">
        <v>7042</v>
      </c>
      <c r="D7722" s="6" t="s">
        <v>7043</v>
      </c>
      <c r="E7722" s="5" t="s">
        <v>15</v>
      </c>
      <c r="F7722" s="5">
        <v>2020</v>
      </c>
      <c r="G7722" s="14" t="s">
        <v>16</v>
      </c>
      <c r="H7722" s="17">
        <v>200</v>
      </c>
      <c r="I7722" s="17">
        <v>200</v>
      </c>
      <c r="J7722" s="6" t="s">
        <v>1242</v>
      </c>
      <c r="K7722" s="10"/>
      <c r="L7722" s="10">
        <v>20201118</v>
      </c>
      <c r="M7722" s="36" t="str">
        <f t="shared" si="120"/>
        <v>19891011</v>
      </c>
    </row>
    <row r="7723" s="1" customFormat="1" spans="1:13">
      <c r="A7723" s="2">
        <v>2373</v>
      </c>
      <c r="B7723" s="9" t="s">
        <v>4837</v>
      </c>
      <c r="C7723" s="9" t="s">
        <v>5285</v>
      </c>
      <c r="D7723" s="9" t="s">
        <v>5286</v>
      </c>
      <c r="E7723" s="6" t="s">
        <v>15</v>
      </c>
      <c r="F7723" s="6">
        <v>2020</v>
      </c>
      <c r="G7723" s="9" t="s">
        <v>2480</v>
      </c>
      <c r="H7723" s="9">
        <v>200</v>
      </c>
      <c r="I7723" s="9">
        <v>200</v>
      </c>
      <c r="J7723" s="6" t="s">
        <v>108</v>
      </c>
      <c r="K7723" s="10"/>
      <c r="L7723" s="10">
        <v>20201118</v>
      </c>
      <c r="M7723" s="36" t="str">
        <f t="shared" si="120"/>
        <v>19891012</v>
      </c>
    </row>
    <row r="7724" s="1" customFormat="1" spans="1:13">
      <c r="A7724" s="2">
        <v>927</v>
      </c>
      <c r="B7724" s="29" t="s">
        <v>1040</v>
      </c>
      <c r="C7724" s="6" t="s">
        <v>2428</v>
      </c>
      <c r="D7724" s="6" t="s">
        <v>2429</v>
      </c>
      <c r="E7724" s="30">
        <v>2020</v>
      </c>
      <c r="F7724" s="30">
        <v>2020</v>
      </c>
      <c r="G7724" s="29" t="s">
        <v>16</v>
      </c>
      <c r="H7724" s="29" t="s">
        <v>311</v>
      </c>
      <c r="I7724" s="29">
        <v>200</v>
      </c>
      <c r="J7724" s="32"/>
      <c r="K7724" s="32"/>
      <c r="L7724" s="14" t="s">
        <v>330</v>
      </c>
      <c r="M7724" s="36" t="str">
        <f t="shared" si="120"/>
        <v>19891014</v>
      </c>
    </row>
    <row r="7725" s="1" customFormat="1" ht="14.25" spans="1:13">
      <c r="A7725" s="2">
        <v>3017</v>
      </c>
      <c r="B7725" s="6" t="s">
        <v>6075</v>
      </c>
      <c r="C7725" s="25" t="s">
        <v>6558</v>
      </c>
      <c r="D7725" s="26" t="s">
        <v>6559</v>
      </c>
      <c r="E7725" s="5" t="s">
        <v>15</v>
      </c>
      <c r="F7725" s="5">
        <v>2020</v>
      </c>
      <c r="G7725" s="6" t="s">
        <v>16</v>
      </c>
      <c r="H7725" s="6">
        <v>200</v>
      </c>
      <c r="I7725" s="6">
        <v>200</v>
      </c>
      <c r="J7725" s="6" t="s">
        <v>6097</v>
      </c>
      <c r="K7725" s="10"/>
      <c r="L7725" s="10">
        <v>20201118</v>
      </c>
      <c r="M7725" s="36" t="str">
        <f t="shared" si="120"/>
        <v>19891014</v>
      </c>
    </row>
    <row r="7726" s="1" customFormat="1" spans="1:13">
      <c r="A7726" s="2">
        <v>758</v>
      </c>
      <c r="B7726" s="29" t="s">
        <v>1040</v>
      </c>
      <c r="C7726" s="5" t="s">
        <v>1924</v>
      </c>
      <c r="D7726" s="317" t="s">
        <v>1925</v>
      </c>
      <c r="E7726" s="30">
        <v>2020</v>
      </c>
      <c r="F7726" s="30">
        <v>2020</v>
      </c>
      <c r="G7726" s="29" t="s">
        <v>16</v>
      </c>
      <c r="H7726" s="29">
        <v>200</v>
      </c>
      <c r="I7726" s="29">
        <v>200</v>
      </c>
      <c r="J7726" s="32"/>
      <c r="K7726" s="32"/>
      <c r="L7726" s="2" t="s">
        <v>330</v>
      </c>
      <c r="M7726" s="36" t="str">
        <f t="shared" si="120"/>
        <v>19891017</v>
      </c>
    </row>
    <row r="7727" s="1" customFormat="1" spans="1:13">
      <c r="A7727" s="2">
        <v>5668</v>
      </c>
      <c r="B7727" s="30" t="s">
        <v>11090</v>
      </c>
      <c r="C7727" s="30" t="s">
        <v>11421</v>
      </c>
      <c r="D7727" s="30" t="s">
        <v>11422</v>
      </c>
      <c r="E7727" s="5" t="s">
        <v>15</v>
      </c>
      <c r="F7727" s="5" t="s">
        <v>10250</v>
      </c>
      <c r="G7727" s="6" t="s">
        <v>16</v>
      </c>
      <c r="H7727" s="32">
        <v>200</v>
      </c>
      <c r="I7727" s="32">
        <v>200</v>
      </c>
      <c r="J7727" s="6"/>
      <c r="K7727" s="48"/>
      <c r="L7727" s="10">
        <v>20201118</v>
      </c>
      <c r="M7727" s="36" t="str">
        <f t="shared" si="120"/>
        <v>19891020</v>
      </c>
    </row>
    <row r="7728" s="1" customFormat="1" ht="14.25" spans="1:13">
      <c r="A7728" s="2">
        <v>5491</v>
      </c>
      <c r="B7728" s="33" t="s">
        <v>10535</v>
      </c>
      <c r="C7728" s="55" t="s">
        <v>7061</v>
      </c>
      <c r="D7728" s="55" t="s">
        <v>11076</v>
      </c>
      <c r="E7728" s="35">
        <v>2020</v>
      </c>
      <c r="F7728" s="35">
        <v>2020</v>
      </c>
      <c r="G7728" s="35" t="s">
        <v>16</v>
      </c>
      <c r="H7728" s="55">
        <v>1000</v>
      </c>
      <c r="I7728" s="55">
        <v>1000</v>
      </c>
      <c r="J7728" s="49"/>
      <c r="K7728" s="10"/>
      <c r="L7728" s="10">
        <v>20201118</v>
      </c>
      <c r="M7728" s="36" t="str">
        <f t="shared" si="120"/>
        <v>19891027</v>
      </c>
    </row>
    <row r="7729" s="1" customFormat="1" spans="1:13">
      <c r="A7729" s="2">
        <v>5778</v>
      </c>
      <c r="B7729" s="30" t="s">
        <v>11090</v>
      </c>
      <c r="C7729" s="30" t="s">
        <v>3808</v>
      </c>
      <c r="D7729" s="30" t="s">
        <v>11631</v>
      </c>
      <c r="E7729" s="5" t="s">
        <v>15</v>
      </c>
      <c r="F7729" s="5" t="s">
        <v>10250</v>
      </c>
      <c r="G7729" s="6" t="s">
        <v>16</v>
      </c>
      <c r="H7729" s="32">
        <v>200</v>
      </c>
      <c r="I7729" s="32">
        <v>200</v>
      </c>
      <c r="J7729" s="6"/>
      <c r="K7729" s="48"/>
      <c r="L7729" s="10">
        <v>20201118</v>
      </c>
      <c r="M7729" s="36" t="str">
        <f t="shared" si="120"/>
        <v>19891027</v>
      </c>
    </row>
    <row r="7730" s="1" customFormat="1" ht="14.25" spans="1:13">
      <c r="A7730" s="2">
        <v>6008</v>
      </c>
      <c r="B7730" s="30" t="s">
        <v>11090</v>
      </c>
      <c r="C7730" s="32" t="s">
        <v>12059</v>
      </c>
      <c r="D7730" s="12" t="s">
        <v>12060</v>
      </c>
      <c r="E7730" s="5" t="s">
        <v>15</v>
      </c>
      <c r="F7730" s="5" t="s">
        <v>10250</v>
      </c>
      <c r="G7730" s="6" t="s">
        <v>16</v>
      </c>
      <c r="H7730" s="32">
        <v>200</v>
      </c>
      <c r="I7730" s="32">
        <v>200</v>
      </c>
      <c r="J7730" s="5"/>
      <c r="K7730" s="48"/>
      <c r="L7730" s="10">
        <v>20201118</v>
      </c>
      <c r="M7730" s="36" t="str">
        <f t="shared" si="120"/>
        <v>19891101</v>
      </c>
    </row>
    <row r="7731" s="1" customFormat="1" spans="1:13">
      <c r="A7731" s="2">
        <v>4123</v>
      </c>
      <c r="B7731" s="5" t="s">
        <v>7412</v>
      </c>
      <c r="C7731" s="5" t="s">
        <v>8453</v>
      </c>
      <c r="D7731" s="5" t="s">
        <v>8454</v>
      </c>
      <c r="E7731" s="6">
        <v>2020</v>
      </c>
      <c r="F7731" s="6">
        <v>2020</v>
      </c>
      <c r="G7731" s="5" t="s">
        <v>3359</v>
      </c>
      <c r="H7731" s="5">
        <v>200</v>
      </c>
      <c r="I7731" s="5">
        <v>200</v>
      </c>
      <c r="J7731" s="5"/>
      <c r="K7731" s="5"/>
      <c r="L7731" s="10">
        <v>20201118</v>
      </c>
      <c r="M7731" s="36" t="str">
        <f t="shared" si="120"/>
        <v>19891102</v>
      </c>
    </row>
    <row r="7732" s="1" customFormat="1" spans="1:13">
      <c r="A7732" s="2">
        <v>7415</v>
      </c>
      <c r="B7732" s="5" t="s">
        <v>14402</v>
      </c>
      <c r="C7732" s="5" t="s">
        <v>14452</v>
      </c>
      <c r="D7732" s="5" t="s">
        <v>14453</v>
      </c>
      <c r="E7732" s="5">
        <v>2020</v>
      </c>
      <c r="F7732" s="5">
        <v>2020</v>
      </c>
      <c r="G7732" s="17" t="s">
        <v>16</v>
      </c>
      <c r="H7732" s="5">
        <v>200</v>
      </c>
      <c r="I7732" s="5">
        <v>200</v>
      </c>
      <c r="J7732" s="5"/>
      <c r="K7732" s="10"/>
      <c r="L7732" s="10">
        <v>20201118</v>
      </c>
      <c r="M7732" s="36" t="str">
        <f t="shared" si="120"/>
        <v>19891102</v>
      </c>
    </row>
    <row r="7733" s="1" customFormat="1" spans="1:13">
      <c r="A7733" s="2">
        <v>1335</v>
      </c>
      <c r="B7733" s="5" t="s">
        <v>2469</v>
      </c>
      <c r="C7733" s="9" t="s">
        <v>3250</v>
      </c>
      <c r="D7733" s="9" t="s">
        <v>3251</v>
      </c>
      <c r="E7733" s="5">
        <v>2020</v>
      </c>
      <c r="F7733" s="5">
        <v>2020</v>
      </c>
      <c r="G7733" s="9" t="s">
        <v>2480</v>
      </c>
      <c r="H7733" s="9">
        <v>200</v>
      </c>
      <c r="I7733" s="9">
        <v>200</v>
      </c>
      <c r="J7733" s="5"/>
      <c r="K7733" s="5"/>
      <c r="L7733" s="10">
        <v>20201118</v>
      </c>
      <c r="M7733" s="36" t="str">
        <f t="shared" si="120"/>
        <v>19891108</v>
      </c>
    </row>
    <row r="7734" s="1" customFormat="1" spans="1:13">
      <c r="A7734" s="2">
        <v>6497</v>
      </c>
      <c r="B7734" s="5" t="s">
        <v>12263</v>
      </c>
      <c r="C7734" s="5" t="s">
        <v>12997</v>
      </c>
      <c r="D7734" s="5" t="s">
        <v>12998</v>
      </c>
      <c r="E7734" s="5" t="s">
        <v>10250</v>
      </c>
      <c r="F7734" s="5">
        <v>2020</v>
      </c>
      <c r="G7734" s="5" t="s">
        <v>295</v>
      </c>
      <c r="H7734" s="5">
        <v>200</v>
      </c>
      <c r="I7734" s="5">
        <v>200</v>
      </c>
      <c r="J7734" s="5"/>
      <c r="K7734" s="5"/>
      <c r="L7734" s="10">
        <v>20201118</v>
      </c>
      <c r="M7734" s="36" t="str">
        <f t="shared" si="120"/>
        <v>19891111</v>
      </c>
    </row>
    <row r="7735" s="1" customFormat="1" spans="1:13">
      <c r="A7735" s="2">
        <v>3273</v>
      </c>
      <c r="B7735" s="5" t="s">
        <v>3375</v>
      </c>
      <c r="C7735" s="6" t="s">
        <v>7044</v>
      </c>
      <c r="D7735" s="6" t="str">
        <f>"152326198911127127"</f>
        <v>152326198911127127</v>
      </c>
      <c r="E7735" s="5" t="s">
        <v>15</v>
      </c>
      <c r="F7735" s="5">
        <v>2020</v>
      </c>
      <c r="G7735" s="14" t="s">
        <v>16</v>
      </c>
      <c r="H7735" s="17">
        <v>200</v>
      </c>
      <c r="I7735" s="17">
        <v>200</v>
      </c>
      <c r="J7735" s="6"/>
      <c r="K7735" s="10"/>
      <c r="L7735" s="10">
        <v>20201118</v>
      </c>
      <c r="M7735" s="36" t="str">
        <f t="shared" si="120"/>
        <v>19891112</v>
      </c>
    </row>
    <row r="7736" s="1" customFormat="1" spans="1:13">
      <c r="A7736" s="2">
        <v>647</v>
      </c>
      <c r="B7736" s="29" t="s">
        <v>1040</v>
      </c>
      <c r="C7736" s="47" t="s">
        <v>1594</v>
      </c>
      <c r="D7736" s="47" t="s">
        <v>1595</v>
      </c>
      <c r="E7736" s="30">
        <v>2020</v>
      </c>
      <c r="F7736" s="30">
        <v>2020</v>
      </c>
      <c r="G7736" s="29" t="s">
        <v>16</v>
      </c>
      <c r="H7736" s="29">
        <v>200</v>
      </c>
      <c r="I7736" s="29">
        <v>200</v>
      </c>
      <c r="J7736" s="29"/>
      <c r="K7736" s="47"/>
      <c r="L7736" s="14" t="s">
        <v>330</v>
      </c>
      <c r="M7736" s="36" t="str">
        <f t="shared" si="120"/>
        <v>19891116</v>
      </c>
    </row>
    <row r="7737" s="1" customFormat="1" spans="1:13">
      <c r="A7737" s="2">
        <v>7414</v>
      </c>
      <c r="B7737" s="5" t="s">
        <v>14402</v>
      </c>
      <c r="C7737" s="5" t="s">
        <v>14450</v>
      </c>
      <c r="D7737" s="5" t="s">
        <v>14451</v>
      </c>
      <c r="E7737" s="5">
        <v>2020</v>
      </c>
      <c r="F7737" s="5">
        <v>2020</v>
      </c>
      <c r="G7737" s="17" t="s">
        <v>16</v>
      </c>
      <c r="H7737" s="5">
        <v>200</v>
      </c>
      <c r="I7737" s="5">
        <v>200</v>
      </c>
      <c r="J7737" s="5"/>
      <c r="K7737" s="10"/>
      <c r="L7737" s="10">
        <v>20201118</v>
      </c>
      <c r="M7737" s="36" t="str">
        <f t="shared" si="120"/>
        <v>19891119</v>
      </c>
    </row>
    <row r="7738" s="1" customFormat="1" spans="1:13">
      <c r="A7738" s="2">
        <v>876</v>
      </c>
      <c r="B7738" s="29" t="s">
        <v>1040</v>
      </c>
      <c r="C7738" s="6" t="s">
        <v>2275</v>
      </c>
      <c r="D7738" s="6" t="s">
        <v>2276</v>
      </c>
      <c r="E7738" s="30">
        <v>2020</v>
      </c>
      <c r="F7738" s="30">
        <v>2020</v>
      </c>
      <c r="G7738" s="29" t="s">
        <v>16</v>
      </c>
      <c r="H7738" s="29">
        <v>200</v>
      </c>
      <c r="I7738" s="29">
        <v>200</v>
      </c>
      <c r="J7738" s="32"/>
      <c r="K7738" s="32"/>
      <c r="L7738" s="14" t="s">
        <v>330</v>
      </c>
      <c r="M7738" s="36" t="str">
        <f t="shared" si="120"/>
        <v>19891120</v>
      </c>
    </row>
    <row r="7739" s="1" customFormat="1" spans="1:13">
      <c r="A7739" s="2">
        <v>2073</v>
      </c>
      <c r="B7739" s="5" t="s">
        <v>4189</v>
      </c>
      <c r="C7739" s="16" t="s">
        <v>4699</v>
      </c>
      <c r="D7739" s="16" t="s">
        <v>4700</v>
      </c>
      <c r="E7739" s="5" t="s">
        <v>15</v>
      </c>
      <c r="F7739" s="5" t="s">
        <v>15</v>
      </c>
      <c r="G7739" s="5" t="s">
        <v>3359</v>
      </c>
      <c r="H7739" s="16">
        <v>200</v>
      </c>
      <c r="I7739" s="16">
        <v>200</v>
      </c>
      <c r="J7739" s="5"/>
      <c r="K7739" s="10"/>
      <c r="L7739" s="10">
        <v>20201118</v>
      </c>
      <c r="M7739" s="36" t="str">
        <f t="shared" si="120"/>
        <v>19891204</v>
      </c>
    </row>
    <row r="7740" s="1" customFormat="1" spans="1:13">
      <c r="A7740" s="2">
        <v>7833</v>
      </c>
      <c r="B7740" s="5" t="s">
        <v>15086</v>
      </c>
      <c r="C7740" s="6" t="s">
        <v>15102</v>
      </c>
      <c r="D7740" s="6" t="str">
        <f>"152326198912066872"</f>
        <v>152326198912066872</v>
      </c>
      <c r="E7740" s="5" t="s">
        <v>15</v>
      </c>
      <c r="F7740" s="5">
        <v>2020</v>
      </c>
      <c r="G7740" s="5" t="s">
        <v>16</v>
      </c>
      <c r="H7740" s="5">
        <v>200</v>
      </c>
      <c r="I7740" s="5">
        <v>200</v>
      </c>
      <c r="J7740" s="5"/>
      <c r="K7740" s="5"/>
      <c r="L7740" s="10">
        <v>20201118</v>
      </c>
      <c r="M7740" s="36" t="str">
        <f t="shared" si="120"/>
        <v>19891206</v>
      </c>
    </row>
    <row r="7741" s="1" customFormat="1" spans="1:13">
      <c r="A7741" s="2">
        <v>4124</v>
      </c>
      <c r="B7741" s="5" t="s">
        <v>7412</v>
      </c>
      <c r="C7741" s="5" t="s">
        <v>8455</v>
      </c>
      <c r="D7741" s="5" t="s">
        <v>8456</v>
      </c>
      <c r="E7741" s="6">
        <v>2020</v>
      </c>
      <c r="F7741" s="6">
        <v>2020</v>
      </c>
      <c r="G7741" s="5" t="s">
        <v>3359</v>
      </c>
      <c r="H7741" s="5">
        <v>200</v>
      </c>
      <c r="I7741" s="5">
        <v>200</v>
      </c>
      <c r="J7741" s="5"/>
      <c r="K7741" s="5"/>
      <c r="L7741" s="10">
        <v>20201118</v>
      </c>
      <c r="M7741" s="36" t="str">
        <f t="shared" si="120"/>
        <v>19891210</v>
      </c>
    </row>
    <row r="7742" s="1" customFormat="1" spans="1:13">
      <c r="A7742" s="2">
        <v>5863</v>
      </c>
      <c r="B7742" s="30" t="s">
        <v>11090</v>
      </c>
      <c r="C7742" s="30" t="s">
        <v>11784</v>
      </c>
      <c r="D7742" s="30" t="s">
        <v>11785</v>
      </c>
      <c r="E7742" s="5" t="s">
        <v>15</v>
      </c>
      <c r="F7742" s="5" t="s">
        <v>10250</v>
      </c>
      <c r="G7742" s="6" t="s">
        <v>16</v>
      </c>
      <c r="H7742" s="32">
        <v>200</v>
      </c>
      <c r="I7742" s="32">
        <v>200</v>
      </c>
      <c r="J7742" s="6"/>
      <c r="K7742" s="48"/>
      <c r="L7742" s="10">
        <v>20201118</v>
      </c>
      <c r="M7742" s="36" t="str">
        <f t="shared" si="120"/>
        <v>19891210</v>
      </c>
    </row>
    <row r="7743" s="1" customFormat="1" spans="1:13">
      <c r="A7743" s="2">
        <v>7834</v>
      </c>
      <c r="B7743" s="5" t="s">
        <v>15086</v>
      </c>
      <c r="C7743" s="6" t="s">
        <v>15103</v>
      </c>
      <c r="D7743" s="6" t="str">
        <f>"152326198912116913"</f>
        <v>152326198912116913</v>
      </c>
      <c r="E7743" s="5" t="s">
        <v>15</v>
      </c>
      <c r="F7743" s="5">
        <v>2020</v>
      </c>
      <c r="G7743" s="5" t="s">
        <v>16</v>
      </c>
      <c r="H7743" s="5">
        <v>200</v>
      </c>
      <c r="I7743" s="5">
        <v>200</v>
      </c>
      <c r="J7743" s="5"/>
      <c r="K7743" s="5"/>
      <c r="L7743" s="10">
        <v>20201118</v>
      </c>
      <c r="M7743" s="36" t="str">
        <f t="shared" si="120"/>
        <v>19891211</v>
      </c>
    </row>
    <row r="7744" s="1" customFormat="1" spans="1:13">
      <c r="A7744" s="2">
        <v>7311</v>
      </c>
      <c r="B7744" s="5" t="s">
        <v>13908</v>
      </c>
      <c r="C7744" s="5" t="s">
        <v>14260</v>
      </c>
      <c r="D7744" s="5" t="s">
        <v>14261</v>
      </c>
      <c r="E7744" s="5" t="s">
        <v>15</v>
      </c>
      <c r="F7744" s="5" t="s">
        <v>15</v>
      </c>
      <c r="G7744" s="14" t="s">
        <v>16</v>
      </c>
      <c r="H7744" s="17">
        <v>200</v>
      </c>
      <c r="I7744" s="17">
        <v>200</v>
      </c>
      <c r="J7744" s="5"/>
      <c r="K7744" s="10"/>
      <c r="L7744" s="10">
        <v>20201118</v>
      </c>
      <c r="M7744" s="36" t="str">
        <f t="shared" si="120"/>
        <v>19891212</v>
      </c>
    </row>
    <row r="7745" s="1" customFormat="1" spans="1:13">
      <c r="A7745" s="2">
        <v>4125</v>
      </c>
      <c r="B7745" s="5" t="s">
        <v>7412</v>
      </c>
      <c r="C7745" s="5" t="s">
        <v>8457</v>
      </c>
      <c r="D7745" s="5" t="s">
        <v>8458</v>
      </c>
      <c r="E7745" s="6">
        <v>2020</v>
      </c>
      <c r="F7745" s="6">
        <v>2020</v>
      </c>
      <c r="G7745" s="5" t="s">
        <v>3359</v>
      </c>
      <c r="H7745" s="5">
        <v>200</v>
      </c>
      <c r="I7745" s="5">
        <v>200</v>
      </c>
      <c r="J7745" s="5"/>
      <c r="K7745" s="5"/>
      <c r="L7745" s="10">
        <v>20201118</v>
      </c>
      <c r="M7745" s="36" t="str">
        <f t="shared" si="120"/>
        <v>19891223</v>
      </c>
    </row>
    <row r="7746" s="1" customFormat="1" spans="1:13">
      <c r="A7746" s="2">
        <v>3550</v>
      </c>
      <c r="B7746" s="5" t="s">
        <v>3375</v>
      </c>
      <c r="C7746" s="5" t="s">
        <v>7370</v>
      </c>
      <c r="D7746" s="296" t="s">
        <v>7371</v>
      </c>
      <c r="E7746" s="5" t="s">
        <v>15</v>
      </c>
      <c r="F7746" s="5">
        <v>2020</v>
      </c>
      <c r="G7746" s="14" t="s">
        <v>16</v>
      </c>
      <c r="H7746" s="5">
        <v>200</v>
      </c>
      <c r="I7746" s="5">
        <v>200</v>
      </c>
      <c r="J7746" s="5"/>
      <c r="K7746" s="10"/>
      <c r="L7746" s="10">
        <v>20201118</v>
      </c>
      <c r="M7746" s="36" t="str">
        <f t="shared" ref="M7746:M7809" si="121">MID(D7746,7,8)</f>
        <v>19891226</v>
      </c>
    </row>
    <row r="7747" s="1" customFormat="1" spans="1:13">
      <c r="A7747" s="2">
        <v>805</v>
      </c>
      <c r="B7747" s="29" t="s">
        <v>1040</v>
      </c>
      <c r="C7747" s="5" t="s">
        <v>2065</v>
      </c>
      <c r="D7747" s="5" t="s">
        <v>2066</v>
      </c>
      <c r="E7747" s="30">
        <v>2020</v>
      </c>
      <c r="F7747" s="30">
        <v>2020</v>
      </c>
      <c r="G7747" s="29" t="s">
        <v>16</v>
      </c>
      <c r="H7747" s="29">
        <v>200</v>
      </c>
      <c r="I7747" s="29">
        <v>200</v>
      </c>
      <c r="J7747" s="32"/>
      <c r="K7747" s="32"/>
      <c r="L7747" s="2" t="s">
        <v>330</v>
      </c>
      <c r="M7747" s="36" t="str">
        <f t="shared" si="121"/>
        <v>19891227</v>
      </c>
    </row>
    <row r="7748" s="1" customFormat="1" spans="1:13">
      <c r="A7748" s="2">
        <v>7831</v>
      </c>
      <c r="B7748" s="5" t="s">
        <v>15086</v>
      </c>
      <c r="C7748" s="6" t="s">
        <v>15100</v>
      </c>
      <c r="D7748" s="6" t="str">
        <f>"220882199001072023"</f>
        <v>220882199001072023</v>
      </c>
      <c r="E7748" s="5" t="s">
        <v>15</v>
      </c>
      <c r="F7748" s="5">
        <v>2020</v>
      </c>
      <c r="G7748" s="5" t="s">
        <v>16</v>
      </c>
      <c r="H7748" s="5">
        <v>500</v>
      </c>
      <c r="I7748" s="5">
        <v>500</v>
      </c>
      <c r="J7748" s="5"/>
      <c r="K7748" s="5"/>
      <c r="L7748" s="10">
        <v>20201118</v>
      </c>
      <c r="M7748" s="36" t="str">
        <f t="shared" si="121"/>
        <v>19900107</v>
      </c>
    </row>
    <row r="7749" s="1" customFormat="1" spans="1:13">
      <c r="A7749" s="2">
        <v>512</v>
      </c>
      <c r="B7749" s="29" t="s">
        <v>1040</v>
      </c>
      <c r="C7749" s="29" t="s">
        <v>1301</v>
      </c>
      <c r="D7749" s="29" t="s">
        <v>1302</v>
      </c>
      <c r="E7749" s="30">
        <v>2020</v>
      </c>
      <c r="F7749" s="30">
        <v>2020</v>
      </c>
      <c r="G7749" s="29" t="s">
        <v>16</v>
      </c>
      <c r="H7749" s="29">
        <v>200</v>
      </c>
      <c r="I7749" s="29">
        <v>200</v>
      </c>
      <c r="J7749" s="29"/>
      <c r="K7749" s="47"/>
      <c r="L7749" s="2" t="s">
        <v>330</v>
      </c>
      <c r="M7749" s="36" t="str">
        <f t="shared" si="121"/>
        <v>19900108</v>
      </c>
    </row>
    <row r="7750" s="1" customFormat="1" ht="14.25" spans="1:13">
      <c r="A7750" s="2">
        <v>5473</v>
      </c>
      <c r="B7750" s="33" t="s">
        <v>10535</v>
      </c>
      <c r="C7750" s="34" t="s">
        <v>11041</v>
      </c>
      <c r="D7750" s="34" t="s">
        <v>11042</v>
      </c>
      <c r="E7750" s="35">
        <v>2020</v>
      </c>
      <c r="F7750" s="35">
        <v>2020</v>
      </c>
      <c r="G7750" s="35" t="s">
        <v>16</v>
      </c>
      <c r="H7750" s="34">
        <v>200</v>
      </c>
      <c r="I7750" s="34">
        <v>200</v>
      </c>
      <c r="J7750" s="49"/>
      <c r="K7750" s="10"/>
      <c r="L7750" s="10">
        <v>20201118</v>
      </c>
      <c r="M7750" s="36" t="str">
        <f t="shared" si="121"/>
        <v>19900116</v>
      </c>
    </row>
    <row r="7751" s="1" customFormat="1" spans="1:13">
      <c r="A7751" s="2">
        <v>7830</v>
      </c>
      <c r="B7751" s="5" t="s">
        <v>15086</v>
      </c>
      <c r="C7751" s="6" t="s">
        <v>15099</v>
      </c>
      <c r="D7751" s="6" t="str">
        <f>"152326199001196881"</f>
        <v>152326199001196881</v>
      </c>
      <c r="E7751" s="5" t="s">
        <v>15</v>
      </c>
      <c r="F7751" s="5">
        <v>2020</v>
      </c>
      <c r="G7751" s="5" t="s">
        <v>16</v>
      </c>
      <c r="H7751" s="5">
        <v>200</v>
      </c>
      <c r="I7751" s="5">
        <v>200</v>
      </c>
      <c r="J7751" s="5"/>
      <c r="K7751" s="5"/>
      <c r="L7751" s="10">
        <v>20201118</v>
      </c>
      <c r="M7751" s="36" t="str">
        <f t="shared" si="121"/>
        <v>19900119</v>
      </c>
    </row>
    <row r="7752" s="1" customFormat="1" ht="14.25" spans="1:13">
      <c r="A7752" s="2">
        <v>5494</v>
      </c>
      <c r="B7752" s="33" t="s">
        <v>10535</v>
      </c>
      <c r="C7752" s="55" t="s">
        <v>11081</v>
      </c>
      <c r="D7752" s="56" t="s">
        <v>11082</v>
      </c>
      <c r="E7752" s="35">
        <v>2020</v>
      </c>
      <c r="F7752" s="35">
        <v>2020</v>
      </c>
      <c r="G7752" s="35" t="s">
        <v>16</v>
      </c>
      <c r="H7752" s="55">
        <v>200</v>
      </c>
      <c r="I7752" s="55">
        <v>200</v>
      </c>
      <c r="J7752" s="49"/>
      <c r="K7752" s="10"/>
      <c r="L7752" s="10">
        <v>20201118</v>
      </c>
      <c r="M7752" s="36" t="str">
        <f t="shared" si="121"/>
        <v>19900120</v>
      </c>
    </row>
    <row r="7753" s="1" customFormat="1" ht="14.25" spans="1:13">
      <c r="A7753" s="2">
        <v>3527</v>
      </c>
      <c r="B7753" s="5" t="s">
        <v>3375</v>
      </c>
      <c r="C7753" s="5" t="s">
        <v>7325</v>
      </c>
      <c r="D7753" s="12" t="s">
        <v>7326</v>
      </c>
      <c r="E7753" s="5" t="s">
        <v>15</v>
      </c>
      <c r="F7753" s="5">
        <v>2020</v>
      </c>
      <c r="G7753" s="14" t="s">
        <v>16</v>
      </c>
      <c r="H7753" s="5">
        <v>200</v>
      </c>
      <c r="I7753" s="5">
        <v>200</v>
      </c>
      <c r="J7753" s="5"/>
      <c r="K7753" s="10"/>
      <c r="L7753" s="10">
        <v>20201118</v>
      </c>
      <c r="M7753" s="36" t="str">
        <f t="shared" si="121"/>
        <v>19900126</v>
      </c>
    </row>
    <row r="7754" s="1" customFormat="1" ht="14.25" spans="1:13">
      <c r="A7754" s="2">
        <v>6030</v>
      </c>
      <c r="B7754" s="30" t="s">
        <v>11090</v>
      </c>
      <c r="C7754" s="32" t="s">
        <v>12103</v>
      </c>
      <c r="D7754" s="12" t="s">
        <v>12104</v>
      </c>
      <c r="E7754" s="5" t="s">
        <v>15</v>
      </c>
      <c r="F7754" s="5" t="s">
        <v>10250</v>
      </c>
      <c r="G7754" s="6" t="s">
        <v>16</v>
      </c>
      <c r="H7754" s="32">
        <v>200</v>
      </c>
      <c r="I7754" s="32">
        <v>200</v>
      </c>
      <c r="J7754" s="5"/>
      <c r="K7754" s="48"/>
      <c r="L7754" s="10">
        <v>20201118</v>
      </c>
      <c r="M7754" s="36" t="str">
        <f t="shared" si="121"/>
        <v>19900201</v>
      </c>
    </row>
    <row r="7755" s="1" customFormat="1" spans="1:13">
      <c r="A7755" s="2">
        <v>7616</v>
      </c>
      <c r="B7755" s="5" t="s">
        <v>14402</v>
      </c>
      <c r="C7755" s="5" t="s">
        <v>14830</v>
      </c>
      <c r="D7755" s="5" t="s">
        <v>14831</v>
      </c>
      <c r="E7755" s="5">
        <v>2020</v>
      </c>
      <c r="F7755" s="5">
        <v>2020</v>
      </c>
      <c r="G7755" s="17" t="s">
        <v>16</v>
      </c>
      <c r="H7755" s="5">
        <v>200</v>
      </c>
      <c r="I7755" s="5">
        <v>200</v>
      </c>
      <c r="J7755" s="5"/>
      <c r="K7755" s="10"/>
      <c r="L7755" s="10">
        <v>20201118</v>
      </c>
      <c r="M7755" s="36" t="str">
        <f t="shared" si="121"/>
        <v>19900201</v>
      </c>
    </row>
    <row r="7756" s="1" customFormat="1" spans="1:13">
      <c r="A7756" s="2">
        <v>2074</v>
      </c>
      <c r="B7756" s="5" t="s">
        <v>4189</v>
      </c>
      <c r="C7756" s="16" t="s">
        <v>4701</v>
      </c>
      <c r="D7756" s="16" t="s">
        <v>4702</v>
      </c>
      <c r="E7756" s="5" t="s">
        <v>15</v>
      </c>
      <c r="F7756" s="5" t="s">
        <v>15</v>
      </c>
      <c r="G7756" s="5" t="s">
        <v>3359</v>
      </c>
      <c r="H7756" s="16">
        <v>200</v>
      </c>
      <c r="I7756" s="16">
        <v>200</v>
      </c>
      <c r="J7756" s="5"/>
      <c r="K7756" s="10"/>
      <c r="L7756" s="10">
        <v>20201118</v>
      </c>
      <c r="M7756" s="36" t="str">
        <f t="shared" si="121"/>
        <v>19900207</v>
      </c>
    </row>
    <row r="7757" s="1" customFormat="1" spans="1:13">
      <c r="A7757" s="2">
        <v>2075</v>
      </c>
      <c r="B7757" s="5" t="s">
        <v>4189</v>
      </c>
      <c r="C7757" s="16" t="s">
        <v>4703</v>
      </c>
      <c r="D7757" s="16" t="s">
        <v>4704</v>
      </c>
      <c r="E7757" s="5" t="s">
        <v>15</v>
      </c>
      <c r="F7757" s="5" t="s">
        <v>15</v>
      </c>
      <c r="G7757" s="5" t="s">
        <v>3359</v>
      </c>
      <c r="H7757" s="16">
        <v>200</v>
      </c>
      <c r="I7757" s="16">
        <v>200</v>
      </c>
      <c r="J7757" s="5"/>
      <c r="K7757" s="10"/>
      <c r="L7757" s="10">
        <v>20201118</v>
      </c>
      <c r="M7757" s="36" t="str">
        <f t="shared" si="121"/>
        <v>19900215</v>
      </c>
    </row>
    <row r="7758" s="1" customFormat="1" spans="1:13">
      <c r="A7758" s="2">
        <v>865</v>
      </c>
      <c r="B7758" s="29" t="s">
        <v>1040</v>
      </c>
      <c r="C7758" s="6" t="s">
        <v>2242</v>
      </c>
      <c r="D7758" s="6" t="s">
        <v>2243</v>
      </c>
      <c r="E7758" s="30">
        <v>2020</v>
      </c>
      <c r="F7758" s="30">
        <v>2020</v>
      </c>
      <c r="G7758" s="29" t="s">
        <v>16</v>
      </c>
      <c r="H7758" s="29">
        <v>200</v>
      </c>
      <c r="I7758" s="29">
        <v>200</v>
      </c>
      <c r="J7758" s="32"/>
      <c r="K7758" s="32"/>
      <c r="L7758" s="2" t="s">
        <v>330</v>
      </c>
      <c r="M7758" s="36" t="str">
        <f t="shared" si="121"/>
        <v>19900217</v>
      </c>
    </row>
    <row r="7759" s="1" customFormat="1" spans="1:13">
      <c r="A7759" s="2">
        <v>685</v>
      </c>
      <c r="B7759" s="29" t="s">
        <v>1040</v>
      </c>
      <c r="C7759" s="47" t="s">
        <v>1707</v>
      </c>
      <c r="D7759" s="47" t="s">
        <v>1708</v>
      </c>
      <c r="E7759" s="30">
        <v>2020</v>
      </c>
      <c r="F7759" s="30">
        <v>2020</v>
      </c>
      <c r="G7759" s="29" t="s">
        <v>16</v>
      </c>
      <c r="H7759" s="29">
        <v>200</v>
      </c>
      <c r="I7759" s="29">
        <v>200</v>
      </c>
      <c r="J7759" s="29"/>
      <c r="K7759" s="54"/>
      <c r="L7759" s="2" t="s">
        <v>330</v>
      </c>
      <c r="M7759" s="36" t="str">
        <f t="shared" si="121"/>
        <v>19900218</v>
      </c>
    </row>
    <row r="7760" s="1" customFormat="1" spans="1:13">
      <c r="A7760" s="2">
        <v>1876</v>
      </c>
      <c r="B7760" s="5" t="s">
        <v>4189</v>
      </c>
      <c r="C7760" s="16" t="s">
        <v>4315</v>
      </c>
      <c r="D7760" s="16" t="s">
        <v>4316</v>
      </c>
      <c r="E7760" s="5" t="s">
        <v>15</v>
      </c>
      <c r="F7760" s="5" t="s">
        <v>15</v>
      </c>
      <c r="G7760" s="5" t="s">
        <v>3359</v>
      </c>
      <c r="H7760" s="16">
        <v>200</v>
      </c>
      <c r="I7760" s="16">
        <v>200</v>
      </c>
      <c r="J7760" s="5"/>
      <c r="K7760" s="10"/>
      <c r="L7760" s="10">
        <v>20201118</v>
      </c>
      <c r="M7760" s="36" t="str">
        <f t="shared" si="121"/>
        <v>19900221</v>
      </c>
    </row>
    <row r="7761" s="1" customFormat="1" spans="1:13">
      <c r="A7761" s="2">
        <v>1336</v>
      </c>
      <c r="B7761" s="5" t="s">
        <v>2469</v>
      </c>
      <c r="C7761" s="9" t="s">
        <v>3252</v>
      </c>
      <c r="D7761" s="9" t="s">
        <v>3253</v>
      </c>
      <c r="E7761" s="5">
        <v>2020</v>
      </c>
      <c r="F7761" s="5">
        <v>2020</v>
      </c>
      <c r="G7761" s="9" t="s">
        <v>2480</v>
      </c>
      <c r="H7761" s="9">
        <v>200</v>
      </c>
      <c r="I7761" s="9">
        <v>200</v>
      </c>
      <c r="J7761" s="5"/>
      <c r="K7761" s="5"/>
      <c r="L7761" s="10">
        <v>20201118</v>
      </c>
      <c r="M7761" s="36" t="str">
        <f t="shared" si="121"/>
        <v>19900226</v>
      </c>
    </row>
    <row r="7762" s="1" customFormat="1" spans="1:13">
      <c r="A7762" s="2">
        <v>4930</v>
      </c>
      <c r="B7762" s="6" t="s">
        <v>9954</v>
      </c>
      <c r="C7762" s="60" t="s">
        <v>10001</v>
      </c>
      <c r="D7762" s="60" t="s">
        <v>10002</v>
      </c>
      <c r="E7762" s="5" t="s">
        <v>15</v>
      </c>
      <c r="F7762" s="5" t="s">
        <v>15</v>
      </c>
      <c r="G7762" s="14" t="s">
        <v>189</v>
      </c>
      <c r="H7762" s="6">
        <v>200</v>
      </c>
      <c r="I7762" s="6">
        <v>200</v>
      </c>
      <c r="J7762" s="6"/>
      <c r="K7762" s="6"/>
      <c r="L7762" s="10">
        <v>20201118</v>
      </c>
      <c r="M7762" s="36" t="str">
        <f t="shared" si="121"/>
        <v>19900228</v>
      </c>
    </row>
    <row r="7763" s="1" customFormat="1" spans="1:13">
      <c r="A7763" s="2">
        <v>2750</v>
      </c>
      <c r="B7763" s="32" t="s">
        <v>5602</v>
      </c>
      <c r="C7763" s="9" t="s">
        <v>6030</v>
      </c>
      <c r="D7763" s="9" t="s">
        <v>6031</v>
      </c>
      <c r="E7763" s="32">
        <v>2020</v>
      </c>
      <c r="F7763" s="32">
        <v>2020</v>
      </c>
      <c r="G7763" s="32" t="s">
        <v>16</v>
      </c>
      <c r="H7763" s="9">
        <v>200</v>
      </c>
      <c r="I7763" s="9">
        <v>200</v>
      </c>
      <c r="J7763" s="32"/>
      <c r="K7763" s="52"/>
      <c r="L7763" s="10">
        <v>20201118</v>
      </c>
      <c r="M7763" s="36" t="str">
        <f t="shared" si="121"/>
        <v>19900315</v>
      </c>
    </row>
    <row r="7764" s="1" customFormat="1" spans="1:13">
      <c r="A7764" s="2">
        <v>2751</v>
      </c>
      <c r="B7764" s="32" t="s">
        <v>5602</v>
      </c>
      <c r="C7764" s="9" t="s">
        <v>6032</v>
      </c>
      <c r="D7764" s="9" t="s">
        <v>6033</v>
      </c>
      <c r="E7764" s="32">
        <v>2020</v>
      </c>
      <c r="F7764" s="32">
        <v>2020</v>
      </c>
      <c r="G7764" s="32" t="s">
        <v>16</v>
      </c>
      <c r="H7764" s="9">
        <v>200</v>
      </c>
      <c r="I7764" s="9">
        <v>200</v>
      </c>
      <c r="J7764" s="32"/>
      <c r="K7764" s="52"/>
      <c r="L7764" s="10">
        <v>20201118</v>
      </c>
      <c r="M7764" s="36" t="str">
        <f t="shared" si="121"/>
        <v>19900315</v>
      </c>
    </row>
    <row r="7765" s="1" customFormat="1" spans="1:13">
      <c r="A7765" s="2">
        <v>6793</v>
      </c>
      <c r="B7765" s="5" t="s">
        <v>13533</v>
      </c>
      <c r="C7765" s="32" t="s">
        <v>5261</v>
      </c>
      <c r="D7765" s="32" t="str">
        <f>"152326199003157114"</f>
        <v>152326199003157114</v>
      </c>
      <c r="E7765" s="5">
        <v>2020</v>
      </c>
      <c r="F7765" s="5">
        <v>2020</v>
      </c>
      <c r="G7765" s="9" t="s">
        <v>2480</v>
      </c>
      <c r="H7765" s="32">
        <v>200</v>
      </c>
      <c r="I7765" s="32">
        <v>200</v>
      </c>
      <c r="J7765" s="32"/>
      <c r="K7765" s="10"/>
      <c r="L7765" s="10">
        <v>20201118</v>
      </c>
      <c r="M7765" s="36" t="str">
        <f t="shared" si="121"/>
        <v>19900315</v>
      </c>
    </row>
    <row r="7766" s="1" customFormat="1" spans="1:13">
      <c r="A7766" s="2">
        <v>4126</v>
      </c>
      <c r="B7766" s="5" t="s">
        <v>7412</v>
      </c>
      <c r="C7766" s="5" t="s">
        <v>8459</v>
      </c>
      <c r="D7766" s="5" t="s">
        <v>8460</v>
      </c>
      <c r="E7766" s="6">
        <v>2020</v>
      </c>
      <c r="F7766" s="6">
        <v>2020</v>
      </c>
      <c r="G7766" s="5" t="s">
        <v>3359</v>
      </c>
      <c r="H7766" s="5">
        <v>200</v>
      </c>
      <c r="I7766" s="5">
        <v>200</v>
      </c>
      <c r="J7766" s="5"/>
      <c r="K7766" s="5"/>
      <c r="L7766" s="10">
        <v>20201118</v>
      </c>
      <c r="M7766" s="36" t="str">
        <f t="shared" si="121"/>
        <v>19900404</v>
      </c>
    </row>
    <row r="7767" s="1" customFormat="1" spans="1:13">
      <c r="A7767" s="2">
        <v>4844</v>
      </c>
      <c r="B7767" s="6" t="s">
        <v>9015</v>
      </c>
      <c r="C7767" s="6" t="s">
        <v>9832</v>
      </c>
      <c r="D7767" s="293" t="s">
        <v>9833</v>
      </c>
      <c r="E7767" s="6">
        <v>2020</v>
      </c>
      <c r="F7767" s="6">
        <v>2020</v>
      </c>
      <c r="G7767" s="6" t="s">
        <v>16</v>
      </c>
      <c r="H7767" s="6">
        <v>200</v>
      </c>
      <c r="I7767" s="6">
        <v>200</v>
      </c>
      <c r="J7767" s="6"/>
      <c r="K7767" s="6"/>
      <c r="L7767" s="10">
        <v>20201118</v>
      </c>
      <c r="M7767" s="36" t="str">
        <f t="shared" si="121"/>
        <v>19900410</v>
      </c>
    </row>
    <row r="7768" s="1" customFormat="1" spans="1:13">
      <c r="A7768" s="2">
        <v>4127</v>
      </c>
      <c r="B7768" s="5" t="s">
        <v>7412</v>
      </c>
      <c r="C7768" s="5" t="s">
        <v>8461</v>
      </c>
      <c r="D7768" s="5" t="s">
        <v>8462</v>
      </c>
      <c r="E7768" s="6">
        <v>2020</v>
      </c>
      <c r="F7768" s="6">
        <v>2020</v>
      </c>
      <c r="G7768" s="5" t="s">
        <v>3359</v>
      </c>
      <c r="H7768" s="5">
        <v>200</v>
      </c>
      <c r="I7768" s="5">
        <v>200</v>
      </c>
      <c r="J7768" s="5"/>
      <c r="K7768" s="5"/>
      <c r="L7768" s="10">
        <v>20201118</v>
      </c>
      <c r="M7768" s="36" t="str">
        <f t="shared" si="121"/>
        <v>19900415</v>
      </c>
    </row>
    <row r="7769" s="1" customFormat="1" ht="14.25" spans="1:13">
      <c r="A7769" s="2">
        <v>6104</v>
      </c>
      <c r="B7769" s="30" t="s">
        <v>11090</v>
      </c>
      <c r="C7769" s="32" t="s">
        <v>12244</v>
      </c>
      <c r="D7769" s="12" t="s">
        <v>12245</v>
      </c>
      <c r="E7769" s="5" t="s">
        <v>15</v>
      </c>
      <c r="F7769" s="5" t="s">
        <v>10250</v>
      </c>
      <c r="G7769" s="32" t="s">
        <v>12241</v>
      </c>
      <c r="H7769" s="32">
        <v>200</v>
      </c>
      <c r="I7769" s="32">
        <v>200</v>
      </c>
      <c r="J7769" s="5"/>
      <c r="K7769" s="48"/>
      <c r="L7769" s="10">
        <v>20201118</v>
      </c>
      <c r="M7769" s="36" t="str">
        <f t="shared" si="121"/>
        <v>19900425</v>
      </c>
    </row>
    <row r="7770" s="1" customFormat="1" spans="1:13">
      <c r="A7770" s="2">
        <v>4128</v>
      </c>
      <c r="B7770" s="5" t="s">
        <v>7412</v>
      </c>
      <c r="C7770" s="5" t="s">
        <v>8463</v>
      </c>
      <c r="D7770" s="5" t="s">
        <v>8464</v>
      </c>
      <c r="E7770" s="6">
        <v>2020</v>
      </c>
      <c r="F7770" s="6">
        <v>2020</v>
      </c>
      <c r="G7770" s="5" t="s">
        <v>3359</v>
      </c>
      <c r="H7770" s="5">
        <v>200</v>
      </c>
      <c r="I7770" s="5">
        <v>200</v>
      </c>
      <c r="J7770" s="5"/>
      <c r="K7770" s="5"/>
      <c r="L7770" s="10">
        <v>20201118</v>
      </c>
      <c r="M7770" s="36" t="str">
        <f t="shared" si="121"/>
        <v>19900428</v>
      </c>
    </row>
    <row r="7771" s="1" customFormat="1" spans="1:13">
      <c r="A7771" s="2">
        <v>894</v>
      </c>
      <c r="B7771" s="29" t="s">
        <v>1040</v>
      </c>
      <c r="C7771" s="6" t="s">
        <v>2329</v>
      </c>
      <c r="D7771" s="6" t="s">
        <v>2330</v>
      </c>
      <c r="E7771" s="30">
        <v>2020</v>
      </c>
      <c r="F7771" s="30">
        <v>2020</v>
      </c>
      <c r="G7771" s="29" t="s">
        <v>16</v>
      </c>
      <c r="H7771" s="29">
        <v>200</v>
      </c>
      <c r="I7771" s="29">
        <v>200</v>
      </c>
      <c r="J7771" s="32"/>
      <c r="K7771" s="32"/>
      <c r="L7771" s="14" t="s">
        <v>330</v>
      </c>
      <c r="M7771" s="36" t="str">
        <f t="shared" si="121"/>
        <v>19900429</v>
      </c>
    </row>
    <row r="7772" s="1" customFormat="1" spans="1:13">
      <c r="A7772" s="2">
        <v>2752</v>
      </c>
      <c r="B7772" s="32" t="s">
        <v>5602</v>
      </c>
      <c r="C7772" s="9" t="s">
        <v>5118</v>
      </c>
      <c r="D7772" s="9" t="s">
        <v>6034</v>
      </c>
      <c r="E7772" s="32">
        <v>2020</v>
      </c>
      <c r="F7772" s="32">
        <v>2020</v>
      </c>
      <c r="G7772" s="32" t="s">
        <v>16</v>
      </c>
      <c r="H7772" s="9">
        <v>200</v>
      </c>
      <c r="I7772" s="9">
        <v>200</v>
      </c>
      <c r="J7772" s="32"/>
      <c r="K7772" s="52"/>
      <c r="L7772" s="10">
        <v>20201118</v>
      </c>
      <c r="M7772" s="36" t="str">
        <f t="shared" si="121"/>
        <v>19900507</v>
      </c>
    </row>
    <row r="7773" s="1" customFormat="1" spans="1:13">
      <c r="A7773" s="2">
        <v>1337</v>
      </c>
      <c r="B7773" s="5" t="s">
        <v>2469</v>
      </c>
      <c r="C7773" s="9" t="s">
        <v>3254</v>
      </c>
      <c r="D7773" s="9" t="s">
        <v>3255</v>
      </c>
      <c r="E7773" s="5">
        <v>2020</v>
      </c>
      <c r="F7773" s="5">
        <v>2020</v>
      </c>
      <c r="G7773" s="9" t="s">
        <v>2480</v>
      </c>
      <c r="H7773" s="9">
        <v>200</v>
      </c>
      <c r="I7773" s="9">
        <v>200</v>
      </c>
      <c r="J7773" s="5"/>
      <c r="K7773" s="5"/>
      <c r="L7773" s="10">
        <v>20201118</v>
      </c>
      <c r="M7773" s="36" t="str">
        <f t="shared" si="121"/>
        <v>19900511</v>
      </c>
    </row>
    <row r="7774" s="1" customFormat="1" spans="1:13">
      <c r="A7774" s="2">
        <v>1338</v>
      </c>
      <c r="B7774" s="5" t="s">
        <v>2469</v>
      </c>
      <c r="C7774" s="9" t="s">
        <v>3256</v>
      </c>
      <c r="D7774" s="9" t="s">
        <v>3257</v>
      </c>
      <c r="E7774" s="5">
        <v>2020</v>
      </c>
      <c r="F7774" s="5">
        <v>2020</v>
      </c>
      <c r="G7774" s="9" t="s">
        <v>2480</v>
      </c>
      <c r="H7774" s="9">
        <v>200</v>
      </c>
      <c r="I7774" s="9">
        <v>200</v>
      </c>
      <c r="J7774" s="5"/>
      <c r="K7774" s="5"/>
      <c r="L7774" s="10">
        <v>20201118</v>
      </c>
      <c r="M7774" s="36" t="str">
        <f t="shared" si="121"/>
        <v>19900520</v>
      </c>
    </row>
    <row r="7775" s="1" customFormat="1" spans="1:13">
      <c r="A7775" s="2">
        <v>4403</v>
      </c>
      <c r="B7775" s="9" t="s">
        <v>8515</v>
      </c>
      <c r="C7775" s="6" t="s">
        <v>8993</v>
      </c>
      <c r="D7775" s="293" t="s">
        <v>8994</v>
      </c>
      <c r="E7775" s="5" t="s">
        <v>15</v>
      </c>
      <c r="F7775" s="5">
        <v>2020</v>
      </c>
      <c r="G7775" s="6" t="s">
        <v>295</v>
      </c>
      <c r="H7775" s="9">
        <v>200</v>
      </c>
      <c r="I7775" s="9">
        <v>200</v>
      </c>
      <c r="J7775" s="6"/>
      <c r="K7775" s="6"/>
      <c r="L7775" s="10">
        <v>20201118</v>
      </c>
      <c r="M7775" s="36" t="str">
        <f t="shared" si="121"/>
        <v>19900521</v>
      </c>
    </row>
    <row r="7776" s="1" customFormat="1" ht="14.25" spans="1:13">
      <c r="A7776" s="2">
        <v>5474</v>
      </c>
      <c r="B7776" s="33" t="s">
        <v>10535</v>
      </c>
      <c r="C7776" s="34" t="s">
        <v>11043</v>
      </c>
      <c r="D7776" s="34" t="s">
        <v>11044</v>
      </c>
      <c r="E7776" s="35">
        <v>2020</v>
      </c>
      <c r="F7776" s="35">
        <v>2020</v>
      </c>
      <c r="G7776" s="35" t="s">
        <v>16</v>
      </c>
      <c r="H7776" s="34">
        <v>200</v>
      </c>
      <c r="I7776" s="34">
        <v>200</v>
      </c>
      <c r="J7776" s="49"/>
      <c r="K7776" s="10"/>
      <c r="L7776" s="10">
        <v>20201118</v>
      </c>
      <c r="M7776" s="36" t="str">
        <f t="shared" si="121"/>
        <v>19900602</v>
      </c>
    </row>
    <row r="7777" s="1" customFormat="1" spans="1:13">
      <c r="A7777" s="2">
        <v>752</v>
      </c>
      <c r="B7777" s="29" t="s">
        <v>1040</v>
      </c>
      <c r="C7777" s="5" t="s">
        <v>1906</v>
      </c>
      <c r="D7777" s="317" t="s">
        <v>1907</v>
      </c>
      <c r="E7777" s="30">
        <v>2020</v>
      </c>
      <c r="F7777" s="30">
        <v>2020</v>
      </c>
      <c r="G7777" s="29" t="s">
        <v>16</v>
      </c>
      <c r="H7777" s="29">
        <v>200</v>
      </c>
      <c r="I7777" s="29">
        <v>200</v>
      </c>
      <c r="J7777" s="32"/>
      <c r="K7777" s="32"/>
      <c r="L7777" s="14" t="s">
        <v>330</v>
      </c>
      <c r="M7777" s="36" t="str">
        <f t="shared" si="121"/>
        <v>19900606</v>
      </c>
    </row>
    <row r="7778" s="1" customFormat="1" spans="1:13">
      <c r="A7778" s="2">
        <v>2517</v>
      </c>
      <c r="B7778" s="5" t="s">
        <v>5328</v>
      </c>
      <c r="C7778" s="16" t="s">
        <v>5568</v>
      </c>
      <c r="D7778" s="16" t="s">
        <v>5569</v>
      </c>
      <c r="E7778" s="5" t="s">
        <v>15</v>
      </c>
      <c r="F7778" s="5" t="s">
        <v>15</v>
      </c>
      <c r="G7778" s="14" t="s">
        <v>16</v>
      </c>
      <c r="H7778" s="6">
        <v>200</v>
      </c>
      <c r="I7778" s="6">
        <v>200</v>
      </c>
      <c r="J7778" s="5"/>
      <c r="K7778" s="5"/>
      <c r="L7778" s="10">
        <v>20201118</v>
      </c>
      <c r="M7778" s="36" t="str">
        <f t="shared" si="121"/>
        <v>19900608</v>
      </c>
    </row>
    <row r="7779" s="1" customFormat="1" spans="1:13">
      <c r="A7779" s="2">
        <v>6772</v>
      </c>
      <c r="B7779" s="5" t="s">
        <v>13027</v>
      </c>
      <c r="C7779" s="15" t="s">
        <v>2168</v>
      </c>
      <c r="D7779" s="15" t="s">
        <v>13506</v>
      </c>
      <c r="E7779" s="5">
        <v>2020</v>
      </c>
      <c r="F7779" s="5">
        <v>2020</v>
      </c>
      <c r="G7779" s="14" t="s">
        <v>16</v>
      </c>
      <c r="H7779" s="15">
        <v>200</v>
      </c>
      <c r="I7779" s="15">
        <v>200</v>
      </c>
      <c r="J7779" s="5"/>
      <c r="K7779" s="10"/>
      <c r="L7779" s="10">
        <v>20201118</v>
      </c>
      <c r="M7779" s="36" t="str">
        <f t="shared" si="121"/>
        <v>19900609</v>
      </c>
    </row>
    <row r="7780" s="1" customFormat="1" spans="1:13">
      <c r="A7780" s="2">
        <v>5955</v>
      </c>
      <c r="B7780" s="30" t="s">
        <v>11090</v>
      </c>
      <c r="C7780" s="6" t="s">
        <v>11957</v>
      </c>
      <c r="D7780" s="293" t="s">
        <v>11958</v>
      </c>
      <c r="E7780" s="5" t="s">
        <v>15</v>
      </c>
      <c r="F7780" s="5" t="s">
        <v>10250</v>
      </c>
      <c r="G7780" s="6" t="s">
        <v>16</v>
      </c>
      <c r="H7780" s="32">
        <v>200</v>
      </c>
      <c r="I7780" s="32">
        <v>200</v>
      </c>
      <c r="J7780" s="6"/>
      <c r="K7780" s="48"/>
      <c r="L7780" s="10">
        <v>20201118</v>
      </c>
      <c r="M7780" s="36" t="str">
        <f t="shared" si="121"/>
        <v>19900610</v>
      </c>
    </row>
    <row r="7781" s="1" customFormat="1" spans="1:13">
      <c r="A7781" s="2">
        <v>2076</v>
      </c>
      <c r="B7781" s="5" t="s">
        <v>4189</v>
      </c>
      <c r="C7781" s="16" t="s">
        <v>4705</v>
      </c>
      <c r="D7781" s="16" t="s">
        <v>4706</v>
      </c>
      <c r="E7781" s="5" t="s">
        <v>15</v>
      </c>
      <c r="F7781" s="5" t="s">
        <v>15</v>
      </c>
      <c r="G7781" s="5" t="s">
        <v>3359</v>
      </c>
      <c r="H7781" s="16">
        <v>200</v>
      </c>
      <c r="I7781" s="16">
        <v>200</v>
      </c>
      <c r="J7781" s="5"/>
      <c r="K7781" s="10"/>
      <c r="L7781" s="10">
        <v>20201118</v>
      </c>
      <c r="M7781" s="36" t="str">
        <f t="shared" si="121"/>
        <v>19900611</v>
      </c>
    </row>
    <row r="7782" s="1" customFormat="1" spans="1:13">
      <c r="A7782" s="2">
        <v>706</v>
      </c>
      <c r="B7782" s="29" t="s">
        <v>1040</v>
      </c>
      <c r="C7782" s="5" t="s">
        <v>1769</v>
      </c>
      <c r="D7782" s="5" t="s">
        <v>1770</v>
      </c>
      <c r="E7782" s="30">
        <v>2020</v>
      </c>
      <c r="F7782" s="30">
        <v>2020</v>
      </c>
      <c r="G7782" s="29" t="s">
        <v>16</v>
      </c>
      <c r="H7782" s="29">
        <v>200</v>
      </c>
      <c r="I7782" s="29">
        <v>200</v>
      </c>
      <c r="J7782" s="29"/>
      <c r="K7782" s="54"/>
      <c r="L7782" s="2" t="s">
        <v>330</v>
      </c>
      <c r="M7782" s="36" t="str">
        <f t="shared" si="121"/>
        <v>19900615</v>
      </c>
    </row>
    <row r="7783" s="1" customFormat="1" spans="1:13">
      <c r="A7783" s="2">
        <v>5644</v>
      </c>
      <c r="B7783" s="30" t="s">
        <v>11090</v>
      </c>
      <c r="C7783" s="30" t="s">
        <v>3154</v>
      </c>
      <c r="D7783" s="30" t="s">
        <v>11376</v>
      </c>
      <c r="E7783" s="5" t="s">
        <v>15</v>
      </c>
      <c r="F7783" s="5" t="s">
        <v>10250</v>
      </c>
      <c r="G7783" s="6" t="s">
        <v>16</v>
      </c>
      <c r="H7783" s="32">
        <v>200</v>
      </c>
      <c r="I7783" s="32">
        <v>200</v>
      </c>
      <c r="J7783" s="6"/>
      <c r="K7783" s="48"/>
      <c r="L7783" s="10">
        <v>20201118</v>
      </c>
      <c r="M7783" s="36" t="str">
        <f t="shared" si="121"/>
        <v>19900624</v>
      </c>
    </row>
    <row r="7784" s="1" customFormat="1" spans="1:13">
      <c r="A7784" s="2">
        <v>7189</v>
      </c>
      <c r="B7784" s="5" t="s">
        <v>13908</v>
      </c>
      <c r="C7784" s="5" t="s">
        <v>14030</v>
      </c>
      <c r="D7784" s="5" t="s">
        <v>14031</v>
      </c>
      <c r="E7784" s="5" t="s">
        <v>15</v>
      </c>
      <c r="F7784" s="5" t="s">
        <v>15</v>
      </c>
      <c r="G7784" s="14" t="s">
        <v>16</v>
      </c>
      <c r="H7784" s="17">
        <v>200</v>
      </c>
      <c r="I7784" s="17">
        <v>200</v>
      </c>
      <c r="J7784" s="5"/>
      <c r="K7784" s="10"/>
      <c r="L7784" s="10">
        <v>20201118</v>
      </c>
      <c r="M7784" s="36" t="str">
        <f t="shared" si="121"/>
        <v>19900625</v>
      </c>
    </row>
    <row r="7785" s="1" customFormat="1" ht="14.25" spans="1:13">
      <c r="A7785" s="2">
        <v>6011</v>
      </c>
      <c r="B7785" s="30" t="s">
        <v>11090</v>
      </c>
      <c r="C7785" s="32" t="s">
        <v>12065</v>
      </c>
      <c r="D7785" s="12" t="s">
        <v>12066</v>
      </c>
      <c r="E7785" s="5" t="s">
        <v>15</v>
      </c>
      <c r="F7785" s="5" t="s">
        <v>10250</v>
      </c>
      <c r="G7785" s="6" t="s">
        <v>16</v>
      </c>
      <c r="H7785" s="32">
        <v>200</v>
      </c>
      <c r="I7785" s="32">
        <v>200</v>
      </c>
      <c r="J7785" s="5"/>
      <c r="K7785" s="48"/>
      <c r="L7785" s="10">
        <v>20201118</v>
      </c>
      <c r="M7785" s="36" t="str">
        <f t="shared" si="121"/>
        <v>19900628</v>
      </c>
    </row>
    <row r="7786" s="1" customFormat="1" spans="1:13">
      <c r="A7786" s="2">
        <v>4390</v>
      </c>
      <c r="B7786" s="9" t="s">
        <v>8515</v>
      </c>
      <c r="C7786" s="9" t="s">
        <v>8968</v>
      </c>
      <c r="D7786" s="9" t="s">
        <v>8969</v>
      </c>
      <c r="E7786" s="5" t="s">
        <v>15</v>
      </c>
      <c r="F7786" s="5">
        <v>2020</v>
      </c>
      <c r="G7786" s="9" t="s">
        <v>2480</v>
      </c>
      <c r="H7786" s="9">
        <v>200</v>
      </c>
      <c r="I7786" s="9">
        <v>200</v>
      </c>
      <c r="J7786" s="9"/>
      <c r="K7786" s="9"/>
      <c r="L7786" s="10">
        <v>20201118</v>
      </c>
      <c r="M7786" s="36" t="str">
        <f t="shared" si="121"/>
        <v>19900704</v>
      </c>
    </row>
    <row r="7787" s="1" customFormat="1" spans="1:13">
      <c r="A7787" s="2">
        <v>5065</v>
      </c>
      <c r="B7787" s="6" t="s">
        <v>10242</v>
      </c>
      <c r="C7787" s="9" t="s">
        <v>10267</v>
      </c>
      <c r="D7787" s="9" t="s">
        <v>10268</v>
      </c>
      <c r="E7787" s="5" t="s">
        <v>10250</v>
      </c>
      <c r="F7787" s="5">
        <v>2020</v>
      </c>
      <c r="G7787" s="6" t="s">
        <v>16</v>
      </c>
      <c r="H7787" s="6">
        <v>200</v>
      </c>
      <c r="I7787" s="6">
        <v>200</v>
      </c>
      <c r="J7787" s="6" t="s">
        <v>108</v>
      </c>
      <c r="K7787" s="5"/>
      <c r="L7787" s="10">
        <v>20201118</v>
      </c>
      <c r="M7787" s="36" t="str">
        <f t="shared" si="121"/>
        <v>19900723</v>
      </c>
    </row>
    <row r="7788" s="1" customFormat="1" spans="1:13">
      <c r="A7788" s="2">
        <v>1339</v>
      </c>
      <c r="B7788" s="5" t="s">
        <v>2469</v>
      </c>
      <c r="C7788" s="9" t="s">
        <v>3258</v>
      </c>
      <c r="D7788" s="9" t="s">
        <v>3259</v>
      </c>
      <c r="E7788" s="5">
        <v>2020</v>
      </c>
      <c r="F7788" s="5">
        <v>2020</v>
      </c>
      <c r="G7788" s="9" t="s">
        <v>2480</v>
      </c>
      <c r="H7788" s="9">
        <v>500</v>
      </c>
      <c r="I7788" s="9">
        <v>500</v>
      </c>
      <c r="J7788" s="5"/>
      <c r="K7788" s="5"/>
      <c r="L7788" s="10">
        <v>20201118</v>
      </c>
      <c r="M7788" s="36" t="str">
        <f t="shared" si="121"/>
        <v>19900725</v>
      </c>
    </row>
    <row r="7789" s="1" customFormat="1" spans="1:13">
      <c r="A7789" s="2">
        <v>7410</v>
      </c>
      <c r="B7789" s="5" t="s">
        <v>14402</v>
      </c>
      <c r="C7789" s="5" t="s">
        <v>14443</v>
      </c>
      <c r="D7789" s="5" t="s">
        <v>14444</v>
      </c>
      <c r="E7789" s="5">
        <v>2020</v>
      </c>
      <c r="F7789" s="5">
        <v>2020</v>
      </c>
      <c r="G7789" s="17" t="s">
        <v>16</v>
      </c>
      <c r="H7789" s="5">
        <v>200</v>
      </c>
      <c r="I7789" s="5">
        <v>200</v>
      </c>
      <c r="J7789" s="5"/>
      <c r="K7789" s="10"/>
      <c r="L7789" s="10">
        <v>20201118</v>
      </c>
      <c r="M7789" s="36" t="str">
        <f t="shared" si="121"/>
        <v>19900728</v>
      </c>
    </row>
    <row r="7790" s="1" customFormat="1" spans="1:13">
      <c r="A7790" s="2">
        <v>4391</v>
      </c>
      <c r="B7790" s="9" t="s">
        <v>8515</v>
      </c>
      <c r="C7790" s="9" t="s">
        <v>8970</v>
      </c>
      <c r="D7790" s="9" t="s">
        <v>8971</v>
      </c>
      <c r="E7790" s="5" t="s">
        <v>15</v>
      </c>
      <c r="F7790" s="5">
        <v>2020</v>
      </c>
      <c r="G7790" s="9" t="s">
        <v>2480</v>
      </c>
      <c r="H7790" s="9">
        <v>200</v>
      </c>
      <c r="I7790" s="9">
        <v>200</v>
      </c>
      <c r="J7790" s="9"/>
      <c r="K7790" s="9"/>
      <c r="L7790" s="10">
        <v>20201118</v>
      </c>
      <c r="M7790" s="36" t="str">
        <f t="shared" si="121"/>
        <v>19900810</v>
      </c>
    </row>
    <row r="7791" s="1" customFormat="1" spans="1:13">
      <c r="A7791" s="2">
        <v>3270</v>
      </c>
      <c r="B7791" s="5" t="s">
        <v>3375</v>
      </c>
      <c r="C7791" s="6" t="s">
        <v>5283</v>
      </c>
      <c r="D7791" s="6" t="str">
        <f>"152326199008176891"</f>
        <v>152326199008176891</v>
      </c>
      <c r="E7791" s="5" t="s">
        <v>15</v>
      </c>
      <c r="F7791" s="5">
        <v>2020</v>
      </c>
      <c r="G7791" s="14" t="s">
        <v>16</v>
      </c>
      <c r="H7791" s="17">
        <v>200</v>
      </c>
      <c r="I7791" s="17">
        <v>200</v>
      </c>
      <c r="J7791" s="6"/>
      <c r="K7791" s="10"/>
      <c r="L7791" s="10">
        <v>20201118</v>
      </c>
      <c r="M7791" s="36" t="str">
        <f t="shared" si="121"/>
        <v>19900817</v>
      </c>
    </row>
    <row r="7792" s="1" customFormat="1" spans="1:13">
      <c r="A7792" s="2">
        <v>2753</v>
      </c>
      <c r="B7792" s="32" t="s">
        <v>5602</v>
      </c>
      <c r="C7792" s="9" t="s">
        <v>6035</v>
      </c>
      <c r="D7792" s="9" t="s">
        <v>6036</v>
      </c>
      <c r="E7792" s="32">
        <v>2020</v>
      </c>
      <c r="F7792" s="32">
        <v>2020</v>
      </c>
      <c r="G7792" s="32" t="s">
        <v>16</v>
      </c>
      <c r="H7792" s="9">
        <v>200</v>
      </c>
      <c r="I7792" s="9">
        <v>200</v>
      </c>
      <c r="J7792" s="32"/>
      <c r="K7792" s="52"/>
      <c r="L7792" s="10">
        <v>20201118</v>
      </c>
      <c r="M7792" s="36" t="str">
        <f t="shared" si="121"/>
        <v>19900822</v>
      </c>
    </row>
    <row r="7793" s="1" customFormat="1" spans="1:13">
      <c r="A7793" s="2">
        <v>2754</v>
      </c>
      <c r="B7793" s="32" t="s">
        <v>5602</v>
      </c>
      <c r="C7793" s="9" t="s">
        <v>6037</v>
      </c>
      <c r="D7793" s="9" t="s">
        <v>6038</v>
      </c>
      <c r="E7793" s="32">
        <v>2020</v>
      </c>
      <c r="F7793" s="32">
        <v>2020</v>
      </c>
      <c r="G7793" s="32" t="s">
        <v>16</v>
      </c>
      <c r="H7793" s="9">
        <v>200</v>
      </c>
      <c r="I7793" s="9">
        <v>200</v>
      </c>
      <c r="J7793" s="32"/>
      <c r="K7793" s="52"/>
      <c r="L7793" s="10">
        <v>20201118</v>
      </c>
      <c r="M7793" s="36" t="str">
        <f t="shared" si="121"/>
        <v>19900824</v>
      </c>
    </row>
    <row r="7794" s="1" customFormat="1" ht="14.25" spans="1:13">
      <c r="A7794" s="2">
        <v>5475</v>
      </c>
      <c r="B7794" s="33" t="s">
        <v>10535</v>
      </c>
      <c r="C7794" s="34" t="s">
        <v>11045</v>
      </c>
      <c r="D7794" s="34" t="s">
        <v>11046</v>
      </c>
      <c r="E7794" s="35">
        <v>2020</v>
      </c>
      <c r="F7794" s="35">
        <v>2020</v>
      </c>
      <c r="G7794" s="35" t="s">
        <v>16</v>
      </c>
      <c r="H7794" s="34">
        <v>200</v>
      </c>
      <c r="I7794" s="34">
        <v>200</v>
      </c>
      <c r="J7794" s="49"/>
      <c r="K7794" s="10"/>
      <c r="L7794" s="10">
        <v>20201118</v>
      </c>
      <c r="M7794" s="36" t="str">
        <f t="shared" si="121"/>
        <v>19900907</v>
      </c>
    </row>
    <row r="7795" s="1" customFormat="1" ht="14.25" spans="1:13">
      <c r="A7795" s="2">
        <v>5476</v>
      </c>
      <c r="B7795" s="33" t="s">
        <v>10535</v>
      </c>
      <c r="C7795" s="34" t="s">
        <v>11047</v>
      </c>
      <c r="D7795" s="34" t="s">
        <v>11048</v>
      </c>
      <c r="E7795" s="35">
        <v>2020</v>
      </c>
      <c r="F7795" s="35">
        <v>2020</v>
      </c>
      <c r="G7795" s="35" t="s">
        <v>16</v>
      </c>
      <c r="H7795" s="34">
        <v>500</v>
      </c>
      <c r="I7795" s="34">
        <v>500</v>
      </c>
      <c r="J7795" s="49"/>
      <c r="K7795" s="10"/>
      <c r="L7795" s="10">
        <v>20201118</v>
      </c>
      <c r="M7795" s="36" t="str">
        <f t="shared" si="121"/>
        <v>19900908</v>
      </c>
    </row>
    <row r="7796" s="1" customFormat="1" spans="1:13">
      <c r="A7796" s="2">
        <v>1340</v>
      </c>
      <c r="B7796" s="5" t="s">
        <v>2469</v>
      </c>
      <c r="C7796" s="9" t="s">
        <v>3212</v>
      </c>
      <c r="D7796" s="9" t="s">
        <v>3260</v>
      </c>
      <c r="E7796" s="5">
        <v>2020</v>
      </c>
      <c r="F7796" s="5">
        <v>2020</v>
      </c>
      <c r="G7796" s="9" t="s">
        <v>2480</v>
      </c>
      <c r="H7796" s="9">
        <v>200</v>
      </c>
      <c r="I7796" s="9">
        <v>200</v>
      </c>
      <c r="J7796" s="5"/>
      <c r="K7796" s="5"/>
      <c r="L7796" s="10">
        <v>20201118</v>
      </c>
      <c r="M7796" s="36" t="str">
        <f t="shared" si="121"/>
        <v>19900915</v>
      </c>
    </row>
    <row r="7797" s="1" customFormat="1" spans="1:13">
      <c r="A7797" s="2">
        <v>884</v>
      </c>
      <c r="B7797" s="29" t="s">
        <v>1040</v>
      </c>
      <c r="C7797" s="6" t="s">
        <v>2299</v>
      </c>
      <c r="D7797" s="6" t="s">
        <v>2300</v>
      </c>
      <c r="E7797" s="30">
        <v>2020</v>
      </c>
      <c r="F7797" s="30">
        <v>2020</v>
      </c>
      <c r="G7797" s="29" t="s">
        <v>16</v>
      </c>
      <c r="H7797" s="29">
        <v>200</v>
      </c>
      <c r="I7797" s="29">
        <v>200</v>
      </c>
      <c r="J7797" s="32"/>
      <c r="K7797" s="32"/>
      <c r="L7797" s="2" t="s">
        <v>330</v>
      </c>
      <c r="M7797" s="36" t="str">
        <f t="shared" si="121"/>
        <v>19900920</v>
      </c>
    </row>
    <row r="7798" s="1" customFormat="1" spans="1:13">
      <c r="A7798" s="2">
        <v>2374</v>
      </c>
      <c r="B7798" s="9" t="s">
        <v>4837</v>
      </c>
      <c r="C7798" s="9" t="s">
        <v>5287</v>
      </c>
      <c r="D7798" s="9" t="s">
        <v>5288</v>
      </c>
      <c r="E7798" s="6" t="s">
        <v>15</v>
      </c>
      <c r="F7798" s="6">
        <v>2020</v>
      </c>
      <c r="G7798" s="9" t="s">
        <v>2480</v>
      </c>
      <c r="H7798" s="9">
        <v>200</v>
      </c>
      <c r="I7798" s="9">
        <v>200</v>
      </c>
      <c r="J7798" s="6"/>
      <c r="K7798" s="10"/>
      <c r="L7798" s="10">
        <v>20201118</v>
      </c>
      <c r="M7798" s="36" t="str">
        <f t="shared" si="121"/>
        <v>19900921</v>
      </c>
    </row>
    <row r="7799" s="1" customFormat="1" ht="14.25" spans="1:13">
      <c r="A7799" s="2">
        <v>5052</v>
      </c>
      <c r="B7799" s="13" t="s">
        <v>9954</v>
      </c>
      <c r="C7799" s="13" t="s">
        <v>10237</v>
      </c>
      <c r="D7799" s="309" t="s">
        <v>10238</v>
      </c>
      <c r="E7799" s="13">
        <v>2020</v>
      </c>
      <c r="F7799" s="13">
        <v>2020</v>
      </c>
      <c r="G7799" s="14" t="s">
        <v>16</v>
      </c>
      <c r="H7799" s="13">
        <v>200</v>
      </c>
      <c r="I7799" s="13">
        <v>200</v>
      </c>
      <c r="J7799" s="10"/>
      <c r="K7799" s="10"/>
      <c r="L7799" s="10">
        <v>20201224</v>
      </c>
      <c r="M7799" s="36" t="str">
        <f t="shared" si="121"/>
        <v>19900921</v>
      </c>
    </row>
    <row r="7800" s="1" customFormat="1" ht="14.25" spans="1:13">
      <c r="A7800" s="2">
        <v>6039</v>
      </c>
      <c r="B7800" s="30" t="s">
        <v>11090</v>
      </c>
      <c r="C7800" s="32" t="s">
        <v>12121</v>
      </c>
      <c r="D7800" s="12" t="s">
        <v>12122</v>
      </c>
      <c r="E7800" s="5" t="s">
        <v>15</v>
      </c>
      <c r="F7800" s="5" t="s">
        <v>10250</v>
      </c>
      <c r="G7800" s="6" t="s">
        <v>16</v>
      </c>
      <c r="H7800" s="32">
        <v>200</v>
      </c>
      <c r="I7800" s="32">
        <v>200</v>
      </c>
      <c r="J7800" s="5"/>
      <c r="K7800" s="48"/>
      <c r="L7800" s="10">
        <v>20201118</v>
      </c>
      <c r="M7800" s="36" t="str">
        <f t="shared" si="121"/>
        <v>19900928</v>
      </c>
    </row>
    <row r="7801" s="1" customFormat="1" spans="1:13">
      <c r="A7801" s="2">
        <v>4129</v>
      </c>
      <c r="B7801" s="5" t="s">
        <v>7412</v>
      </c>
      <c r="C7801" s="5" t="s">
        <v>8465</v>
      </c>
      <c r="D7801" s="5" t="s">
        <v>8466</v>
      </c>
      <c r="E7801" s="6">
        <v>2020</v>
      </c>
      <c r="F7801" s="6">
        <v>2020</v>
      </c>
      <c r="G7801" s="5" t="s">
        <v>3359</v>
      </c>
      <c r="H7801" s="5">
        <v>200</v>
      </c>
      <c r="I7801" s="5">
        <v>200</v>
      </c>
      <c r="J7801" s="5"/>
      <c r="K7801" s="5"/>
      <c r="L7801" s="10">
        <v>20201118</v>
      </c>
      <c r="M7801" s="36" t="str">
        <f t="shared" si="121"/>
        <v>19900929</v>
      </c>
    </row>
    <row r="7802" s="1" customFormat="1" spans="1:13">
      <c r="A7802" s="2">
        <v>7829</v>
      </c>
      <c r="B7802" s="5" t="s">
        <v>15086</v>
      </c>
      <c r="C7802" s="6" t="s">
        <v>15098</v>
      </c>
      <c r="D7802" s="6" t="str">
        <f>"152326199010016870"</f>
        <v>152326199010016870</v>
      </c>
      <c r="E7802" s="5" t="s">
        <v>15</v>
      </c>
      <c r="F7802" s="5">
        <v>2020</v>
      </c>
      <c r="G7802" s="5" t="s">
        <v>16</v>
      </c>
      <c r="H7802" s="5">
        <v>200</v>
      </c>
      <c r="I7802" s="5">
        <v>200</v>
      </c>
      <c r="J7802" s="5"/>
      <c r="K7802" s="5"/>
      <c r="L7802" s="10">
        <v>20201118</v>
      </c>
      <c r="M7802" s="36" t="str">
        <f t="shared" si="121"/>
        <v>19901001</v>
      </c>
    </row>
    <row r="7803" s="1" customFormat="1" spans="1:13">
      <c r="A7803" s="2">
        <v>743</v>
      </c>
      <c r="B7803" s="29" t="s">
        <v>1040</v>
      </c>
      <c r="C7803" s="5" t="s">
        <v>1879</v>
      </c>
      <c r="D7803" s="317" t="s">
        <v>1880</v>
      </c>
      <c r="E7803" s="30">
        <v>2020</v>
      </c>
      <c r="F7803" s="30">
        <v>2020</v>
      </c>
      <c r="G7803" s="29" t="s">
        <v>16</v>
      </c>
      <c r="H7803" s="29">
        <v>200</v>
      </c>
      <c r="I7803" s="29">
        <v>200</v>
      </c>
      <c r="J7803" s="32"/>
      <c r="K7803" s="32"/>
      <c r="L7803" s="14" t="s">
        <v>330</v>
      </c>
      <c r="M7803" s="36" t="str">
        <f t="shared" si="121"/>
        <v>19901003</v>
      </c>
    </row>
    <row r="7804" s="1" customFormat="1" spans="1:13">
      <c r="A7804" s="2">
        <v>2375</v>
      </c>
      <c r="B7804" s="9" t="s">
        <v>4837</v>
      </c>
      <c r="C7804" s="9" t="s">
        <v>5289</v>
      </c>
      <c r="D7804" s="9" t="s">
        <v>5290</v>
      </c>
      <c r="E7804" s="6" t="s">
        <v>15</v>
      </c>
      <c r="F7804" s="6">
        <v>2020</v>
      </c>
      <c r="G7804" s="9" t="s">
        <v>2480</v>
      </c>
      <c r="H7804" s="9">
        <v>200</v>
      </c>
      <c r="I7804" s="9">
        <v>200</v>
      </c>
      <c r="J7804" s="6"/>
      <c r="K7804" s="10"/>
      <c r="L7804" s="10">
        <v>20201118</v>
      </c>
      <c r="M7804" s="36" t="str">
        <f t="shared" si="121"/>
        <v>19901018</v>
      </c>
    </row>
    <row r="7805" s="1" customFormat="1" spans="1:13">
      <c r="A7805" s="2">
        <v>4778</v>
      </c>
      <c r="B7805" s="6" t="s">
        <v>9015</v>
      </c>
      <c r="C7805" s="6" t="s">
        <v>7066</v>
      </c>
      <c r="D7805" s="6" t="s">
        <v>9708</v>
      </c>
      <c r="E7805" s="6">
        <v>2020</v>
      </c>
      <c r="F7805" s="6">
        <v>2020</v>
      </c>
      <c r="G7805" s="6" t="s">
        <v>16</v>
      </c>
      <c r="H7805" s="6">
        <v>200</v>
      </c>
      <c r="I7805" s="6">
        <v>200</v>
      </c>
      <c r="J7805" s="6"/>
      <c r="K7805" s="6"/>
      <c r="L7805" s="10">
        <v>20201118</v>
      </c>
      <c r="M7805" s="36" t="str">
        <f t="shared" si="121"/>
        <v>19901028</v>
      </c>
    </row>
    <row r="7806" s="1" customFormat="1" ht="14.25" spans="1:13">
      <c r="A7806" s="2">
        <v>5477</v>
      </c>
      <c r="B7806" s="33" t="s">
        <v>10535</v>
      </c>
      <c r="C7806" s="34" t="s">
        <v>11049</v>
      </c>
      <c r="D7806" s="34" t="s">
        <v>11050</v>
      </c>
      <c r="E7806" s="35">
        <v>2020</v>
      </c>
      <c r="F7806" s="35">
        <v>2020</v>
      </c>
      <c r="G7806" s="35" t="s">
        <v>16</v>
      </c>
      <c r="H7806" s="34">
        <v>200</v>
      </c>
      <c r="I7806" s="34">
        <v>200</v>
      </c>
      <c r="J7806" s="49"/>
      <c r="K7806" s="10"/>
      <c r="L7806" s="10">
        <v>20201118</v>
      </c>
      <c r="M7806" s="36" t="str">
        <f t="shared" si="121"/>
        <v>19901102</v>
      </c>
    </row>
    <row r="7807" s="1" customFormat="1" spans="1:13">
      <c r="A7807" s="2">
        <v>7242</v>
      </c>
      <c r="B7807" s="5" t="s">
        <v>13908</v>
      </c>
      <c r="C7807" s="5" t="s">
        <v>14127</v>
      </c>
      <c r="D7807" s="5" t="s">
        <v>14128</v>
      </c>
      <c r="E7807" s="5" t="s">
        <v>15</v>
      </c>
      <c r="F7807" s="5" t="s">
        <v>15</v>
      </c>
      <c r="G7807" s="14" t="s">
        <v>16</v>
      </c>
      <c r="H7807" s="17">
        <v>200</v>
      </c>
      <c r="I7807" s="17">
        <v>200</v>
      </c>
      <c r="J7807" s="5"/>
      <c r="K7807" s="10"/>
      <c r="L7807" s="10">
        <v>20201118</v>
      </c>
      <c r="M7807" s="36" t="str">
        <f t="shared" si="121"/>
        <v>19901106</v>
      </c>
    </row>
    <row r="7808" s="1" customFormat="1" spans="1:13">
      <c r="A7808" s="2">
        <v>7411</v>
      </c>
      <c r="B7808" s="5" t="s">
        <v>14402</v>
      </c>
      <c r="C7808" s="5" t="s">
        <v>14445</v>
      </c>
      <c r="D7808" s="5" t="s">
        <v>14446</v>
      </c>
      <c r="E7808" s="5">
        <v>2020</v>
      </c>
      <c r="F7808" s="5">
        <v>2020</v>
      </c>
      <c r="G7808" s="17" t="s">
        <v>16</v>
      </c>
      <c r="H7808" s="5">
        <v>200</v>
      </c>
      <c r="I7808" s="5">
        <v>200</v>
      </c>
      <c r="J7808" s="5"/>
      <c r="K7808" s="10"/>
      <c r="L7808" s="10">
        <v>20201118</v>
      </c>
      <c r="M7808" s="36" t="str">
        <f t="shared" si="121"/>
        <v>19901110</v>
      </c>
    </row>
    <row r="7809" s="1" customFormat="1" ht="14.25" spans="1:13">
      <c r="A7809" s="2">
        <v>6090</v>
      </c>
      <c r="B7809" s="30" t="s">
        <v>11090</v>
      </c>
      <c r="C7809" s="32" t="s">
        <v>12218</v>
      </c>
      <c r="D7809" s="12" t="s">
        <v>12219</v>
      </c>
      <c r="E7809" s="5" t="s">
        <v>15</v>
      </c>
      <c r="F7809" s="5" t="s">
        <v>10250</v>
      </c>
      <c r="G7809" s="6" t="s">
        <v>16</v>
      </c>
      <c r="H7809" s="32">
        <v>200</v>
      </c>
      <c r="I7809" s="32">
        <v>200</v>
      </c>
      <c r="J7809" s="5"/>
      <c r="K7809" s="48"/>
      <c r="L7809" s="10">
        <v>20201118</v>
      </c>
      <c r="M7809" s="36" t="str">
        <f t="shared" si="121"/>
        <v>19901112</v>
      </c>
    </row>
    <row r="7810" s="1" customFormat="1" spans="1:13">
      <c r="A7810" s="2">
        <v>476</v>
      </c>
      <c r="B7810" s="29" t="s">
        <v>1040</v>
      </c>
      <c r="C7810" s="29" t="s">
        <v>1228</v>
      </c>
      <c r="D7810" s="29" t="s">
        <v>1229</v>
      </c>
      <c r="E7810" s="30">
        <v>2020</v>
      </c>
      <c r="F7810" s="30">
        <v>2020</v>
      </c>
      <c r="G7810" s="29" t="s">
        <v>16</v>
      </c>
      <c r="H7810" s="29">
        <v>200</v>
      </c>
      <c r="I7810" s="29">
        <v>200</v>
      </c>
      <c r="J7810" s="29"/>
      <c r="K7810" s="47"/>
      <c r="L7810" s="2" t="s">
        <v>330</v>
      </c>
      <c r="M7810" s="36" t="str">
        <f t="shared" ref="M7810:M7873" si="122">MID(D7810,7,8)</f>
        <v>19901114</v>
      </c>
    </row>
    <row r="7811" s="1" customFormat="1" spans="1:13">
      <c r="A7811" s="2">
        <v>2376</v>
      </c>
      <c r="B7811" s="9" t="s">
        <v>4837</v>
      </c>
      <c r="C7811" s="9" t="s">
        <v>5291</v>
      </c>
      <c r="D7811" s="9" t="s">
        <v>5292</v>
      </c>
      <c r="E7811" s="6" t="s">
        <v>15</v>
      </c>
      <c r="F7811" s="6">
        <v>2020</v>
      </c>
      <c r="G7811" s="9" t="s">
        <v>2480</v>
      </c>
      <c r="H7811" s="9">
        <v>200</v>
      </c>
      <c r="I7811" s="9">
        <v>200</v>
      </c>
      <c r="J7811" s="6"/>
      <c r="K7811" s="10"/>
      <c r="L7811" s="10">
        <v>20201118</v>
      </c>
      <c r="M7811" s="36" t="str">
        <f t="shared" si="122"/>
        <v>19901114</v>
      </c>
    </row>
    <row r="7812" s="1" customFormat="1" spans="1:13">
      <c r="A7812" s="2">
        <v>4832</v>
      </c>
      <c r="B7812" s="6" t="s">
        <v>9015</v>
      </c>
      <c r="C7812" s="6" t="s">
        <v>9811</v>
      </c>
      <c r="D7812" s="293" t="s">
        <v>9812</v>
      </c>
      <c r="E7812" s="6">
        <v>2020</v>
      </c>
      <c r="F7812" s="6">
        <v>2020</v>
      </c>
      <c r="G7812" s="6" t="s">
        <v>16</v>
      </c>
      <c r="H7812" s="6">
        <v>200</v>
      </c>
      <c r="I7812" s="6">
        <v>200</v>
      </c>
      <c r="J7812" s="6"/>
      <c r="K7812" s="6"/>
      <c r="L7812" s="10">
        <v>20201118</v>
      </c>
      <c r="M7812" s="36" t="str">
        <f t="shared" si="122"/>
        <v>19901117</v>
      </c>
    </row>
    <row r="7813" s="1" customFormat="1" spans="1:13">
      <c r="A7813" s="2">
        <v>7412</v>
      </c>
      <c r="B7813" s="5" t="s">
        <v>14402</v>
      </c>
      <c r="C7813" s="5" t="s">
        <v>8003</v>
      </c>
      <c r="D7813" s="5" t="s">
        <v>14447</v>
      </c>
      <c r="E7813" s="5">
        <v>2020</v>
      </c>
      <c r="F7813" s="5">
        <v>2020</v>
      </c>
      <c r="G7813" s="17" t="s">
        <v>16</v>
      </c>
      <c r="H7813" s="5">
        <v>200</v>
      </c>
      <c r="I7813" s="5">
        <v>200</v>
      </c>
      <c r="J7813" s="5"/>
      <c r="K7813" s="10"/>
      <c r="L7813" s="10">
        <v>20201118</v>
      </c>
      <c r="M7813" s="36" t="str">
        <f t="shared" si="122"/>
        <v>19901129</v>
      </c>
    </row>
    <row r="7814" s="1" customFormat="1" spans="1:13">
      <c r="A7814" s="2">
        <v>4845</v>
      </c>
      <c r="B7814" s="6" t="s">
        <v>9015</v>
      </c>
      <c r="C7814" s="6" t="s">
        <v>9834</v>
      </c>
      <c r="D7814" s="293" t="s">
        <v>9835</v>
      </c>
      <c r="E7814" s="6">
        <v>2020</v>
      </c>
      <c r="F7814" s="6">
        <v>2020</v>
      </c>
      <c r="G7814" s="6" t="s">
        <v>16</v>
      </c>
      <c r="H7814" s="6">
        <v>200</v>
      </c>
      <c r="I7814" s="6">
        <v>200</v>
      </c>
      <c r="J7814" s="6"/>
      <c r="K7814" s="6"/>
      <c r="L7814" s="10">
        <v>20201118</v>
      </c>
      <c r="M7814" s="36" t="str">
        <f t="shared" si="122"/>
        <v>19901130</v>
      </c>
    </row>
    <row r="7815" s="1" customFormat="1" spans="1:13">
      <c r="A7815" s="2">
        <v>718</v>
      </c>
      <c r="B7815" s="29" t="s">
        <v>1040</v>
      </c>
      <c r="C7815" s="5" t="s">
        <v>1805</v>
      </c>
      <c r="D7815" s="59" t="s">
        <v>1806</v>
      </c>
      <c r="E7815" s="30">
        <v>2020</v>
      </c>
      <c r="F7815" s="30">
        <v>2020</v>
      </c>
      <c r="G7815" s="29" t="s">
        <v>16</v>
      </c>
      <c r="H7815" s="29">
        <v>200</v>
      </c>
      <c r="I7815" s="29">
        <v>200</v>
      </c>
      <c r="J7815" s="29"/>
      <c r="K7815" s="54"/>
      <c r="L7815" s="2" t="s">
        <v>330</v>
      </c>
      <c r="M7815" s="36" t="str">
        <f t="shared" si="122"/>
        <v>19901205</v>
      </c>
    </row>
    <row r="7816" s="1" customFormat="1" spans="1:13">
      <c r="A7816" s="2">
        <v>3271</v>
      </c>
      <c r="B7816" s="5" t="s">
        <v>3375</v>
      </c>
      <c r="C7816" s="6" t="s">
        <v>7040</v>
      </c>
      <c r="D7816" s="6" t="s">
        <v>7041</v>
      </c>
      <c r="E7816" s="5" t="s">
        <v>15</v>
      </c>
      <c r="F7816" s="5">
        <v>2020</v>
      </c>
      <c r="G7816" s="14" t="s">
        <v>16</v>
      </c>
      <c r="H7816" s="17">
        <v>200</v>
      </c>
      <c r="I7816" s="17">
        <v>200</v>
      </c>
      <c r="J7816" s="6" t="s">
        <v>1242</v>
      </c>
      <c r="K7816" s="10"/>
      <c r="L7816" s="10">
        <v>20201118</v>
      </c>
      <c r="M7816" s="36" t="str">
        <f t="shared" si="122"/>
        <v>19901206</v>
      </c>
    </row>
    <row r="7817" s="1" customFormat="1" spans="1:13">
      <c r="A7817" s="2">
        <v>5023</v>
      </c>
      <c r="B7817" s="6" t="s">
        <v>9954</v>
      </c>
      <c r="C7817" s="60" t="s">
        <v>10180</v>
      </c>
      <c r="D7817" s="60" t="s">
        <v>10181</v>
      </c>
      <c r="E7817" s="5" t="s">
        <v>15</v>
      </c>
      <c r="F7817" s="5" t="s">
        <v>15</v>
      </c>
      <c r="G7817" s="14" t="s">
        <v>16</v>
      </c>
      <c r="H7817" s="6">
        <v>200</v>
      </c>
      <c r="I7817" s="6">
        <v>200</v>
      </c>
      <c r="J7817" s="6"/>
      <c r="K7817" s="6"/>
      <c r="L7817" s="10">
        <v>20201118</v>
      </c>
      <c r="M7817" s="36" t="str">
        <f t="shared" si="122"/>
        <v>19901207</v>
      </c>
    </row>
    <row r="7818" s="1" customFormat="1" spans="1:13">
      <c r="A7818" s="2">
        <v>2755</v>
      </c>
      <c r="B7818" s="32" t="s">
        <v>5602</v>
      </c>
      <c r="C7818" s="9" t="s">
        <v>2804</v>
      </c>
      <c r="D7818" s="9" t="s">
        <v>6039</v>
      </c>
      <c r="E7818" s="32">
        <v>2020</v>
      </c>
      <c r="F7818" s="32">
        <v>2020</v>
      </c>
      <c r="G7818" s="32" t="s">
        <v>16</v>
      </c>
      <c r="H7818" s="9">
        <v>200</v>
      </c>
      <c r="I7818" s="9">
        <v>200</v>
      </c>
      <c r="J7818" s="32"/>
      <c r="K7818" s="52"/>
      <c r="L7818" s="10">
        <v>20201118</v>
      </c>
      <c r="M7818" s="36" t="str">
        <f t="shared" si="122"/>
        <v>19901209</v>
      </c>
    </row>
    <row r="7819" s="1" customFormat="1" spans="1:13">
      <c r="A7819" s="2">
        <v>4829</v>
      </c>
      <c r="B7819" s="6" t="s">
        <v>9015</v>
      </c>
      <c r="C7819" s="6" t="s">
        <v>9805</v>
      </c>
      <c r="D7819" s="293" t="s">
        <v>9806</v>
      </c>
      <c r="E7819" s="6">
        <v>2020</v>
      </c>
      <c r="F7819" s="6">
        <v>2020</v>
      </c>
      <c r="G7819" s="6" t="s">
        <v>16</v>
      </c>
      <c r="H7819" s="6">
        <v>200</v>
      </c>
      <c r="I7819" s="6">
        <v>200</v>
      </c>
      <c r="J7819" s="6"/>
      <c r="K7819" s="6"/>
      <c r="L7819" s="10">
        <v>20201118</v>
      </c>
      <c r="M7819" s="36" t="str">
        <f t="shared" si="122"/>
        <v>19901210</v>
      </c>
    </row>
    <row r="7820" s="1" customFormat="1" spans="1:13">
      <c r="A7820" s="2">
        <v>756</v>
      </c>
      <c r="B7820" s="29" t="s">
        <v>1040</v>
      </c>
      <c r="C7820" s="5" t="s">
        <v>1918</v>
      </c>
      <c r="D7820" s="317" t="s">
        <v>1919</v>
      </c>
      <c r="E7820" s="30">
        <v>2020</v>
      </c>
      <c r="F7820" s="30">
        <v>2020</v>
      </c>
      <c r="G7820" s="29" t="s">
        <v>16</v>
      </c>
      <c r="H7820" s="29">
        <v>200</v>
      </c>
      <c r="I7820" s="29">
        <v>200</v>
      </c>
      <c r="J7820" s="32"/>
      <c r="K7820" s="32"/>
      <c r="L7820" s="2" t="s">
        <v>330</v>
      </c>
      <c r="M7820" s="36" t="str">
        <f t="shared" si="122"/>
        <v>19901211</v>
      </c>
    </row>
    <row r="7821" s="1" customFormat="1" spans="1:13">
      <c r="A7821" s="2">
        <v>1744</v>
      </c>
      <c r="B7821" s="5" t="s">
        <v>3381</v>
      </c>
      <c r="C7821" s="9" t="s">
        <v>4048</v>
      </c>
      <c r="D7821" s="9" t="s">
        <v>4049</v>
      </c>
      <c r="E7821" s="5">
        <v>2020</v>
      </c>
      <c r="F7821" s="5">
        <v>2020</v>
      </c>
      <c r="G7821" s="14" t="s">
        <v>16</v>
      </c>
      <c r="H7821" s="6">
        <v>200</v>
      </c>
      <c r="I7821" s="6">
        <v>200</v>
      </c>
      <c r="J7821" s="5"/>
      <c r="K7821" s="13"/>
      <c r="L7821" s="10">
        <v>20201118</v>
      </c>
      <c r="M7821" s="36" t="str">
        <f t="shared" si="122"/>
        <v>19901217</v>
      </c>
    </row>
    <row r="7822" s="1" customFormat="1" spans="1:13">
      <c r="A7822" s="2">
        <v>6515</v>
      </c>
      <c r="B7822" s="5" t="s">
        <v>13027</v>
      </c>
      <c r="C7822" s="15" t="s">
        <v>13030</v>
      </c>
      <c r="D7822" s="15" t="s">
        <v>13031</v>
      </c>
      <c r="E7822" s="5">
        <v>2020</v>
      </c>
      <c r="F7822" s="5">
        <v>2020</v>
      </c>
      <c r="G7822" s="14" t="s">
        <v>16</v>
      </c>
      <c r="H7822" s="15">
        <v>200</v>
      </c>
      <c r="I7822" s="15">
        <v>200</v>
      </c>
      <c r="J7822" s="17"/>
      <c r="K7822" s="10"/>
      <c r="L7822" s="10">
        <v>20201118</v>
      </c>
      <c r="M7822" s="36" t="str">
        <f t="shared" si="122"/>
        <v>19901228</v>
      </c>
    </row>
    <row r="7823" s="1" customFormat="1" spans="1:13">
      <c r="A7823" s="2">
        <v>1341</v>
      </c>
      <c r="B7823" s="5" t="s">
        <v>2469</v>
      </c>
      <c r="C7823" s="9" t="s">
        <v>1636</v>
      </c>
      <c r="D7823" s="9" t="s">
        <v>3261</v>
      </c>
      <c r="E7823" s="5">
        <v>2020</v>
      </c>
      <c r="F7823" s="5">
        <v>2020</v>
      </c>
      <c r="G7823" s="9" t="s">
        <v>2480</v>
      </c>
      <c r="H7823" s="9">
        <v>200</v>
      </c>
      <c r="I7823" s="9">
        <v>200</v>
      </c>
      <c r="J7823" s="5"/>
      <c r="K7823" s="5"/>
      <c r="L7823" s="10">
        <v>20201118</v>
      </c>
      <c r="M7823" s="36" t="str">
        <f t="shared" si="122"/>
        <v>19901229</v>
      </c>
    </row>
    <row r="7824" s="1" customFormat="1" spans="1:13">
      <c r="A7824" s="2">
        <v>1342</v>
      </c>
      <c r="B7824" s="5" t="s">
        <v>2469</v>
      </c>
      <c r="C7824" s="9" t="s">
        <v>3262</v>
      </c>
      <c r="D7824" s="9" t="s">
        <v>3263</v>
      </c>
      <c r="E7824" s="5">
        <v>2020</v>
      </c>
      <c r="F7824" s="5">
        <v>2020</v>
      </c>
      <c r="G7824" s="9" t="s">
        <v>2480</v>
      </c>
      <c r="H7824" s="9">
        <v>200</v>
      </c>
      <c r="I7824" s="9">
        <v>200</v>
      </c>
      <c r="J7824" s="5"/>
      <c r="K7824" s="5"/>
      <c r="L7824" s="10">
        <v>20201118</v>
      </c>
      <c r="M7824" s="36" t="str">
        <f t="shared" si="122"/>
        <v>19901229</v>
      </c>
    </row>
    <row r="7825" s="1" customFormat="1" spans="1:13">
      <c r="A7825" s="2">
        <v>4855</v>
      </c>
      <c r="B7825" s="6" t="s">
        <v>9015</v>
      </c>
      <c r="C7825" s="6" t="s">
        <v>9853</v>
      </c>
      <c r="D7825" s="293" t="s">
        <v>9854</v>
      </c>
      <c r="E7825" s="6">
        <v>2020</v>
      </c>
      <c r="F7825" s="6">
        <v>2020</v>
      </c>
      <c r="G7825" s="6" t="s">
        <v>16</v>
      </c>
      <c r="H7825" s="6">
        <v>200</v>
      </c>
      <c r="I7825" s="6">
        <v>200</v>
      </c>
      <c r="J7825" s="6"/>
      <c r="K7825" s="6"/>
      <c r="L7825" s="10">
        <v>20201118</v>
      </c>
      <c r="M7825" s="36" t="str">
        <f t="shared" si="122"/>
        <v>19910108</v>
      </c>
    </row>
    <row r="7826" s="1" customFormat="1" spans="1:13">
      <c r="A7826" s="2">
        <v>3269</v>
      </c>
      <c r="B7826" s="5" t="s">
        <v>3375</v>
      </c>
      <c r="C7826" s="6" t="s">
        <v>7039</v>
      </c>
      <c r="D7826" s="6" t="str">
        <f>"150525199101096880"</f>
        <v>150525199101096880</v>
      </c>
      <c r="E7826" s="5" t="s">
        <v>15</v>
      </c>
      <c r="F7826" s="5">
        <v>2020</v>
      </c>
      <c r="G7826" s="14" t="s">
        <v>16</v>
      </c>
      <c r="H7826" s="17">
        <v>200</v>
      </c>
      <c r="I7826" s="17">
        <v>200</v>
      </c>
      <c r="J7826" s="6"/>
      <c r="K7826" s="10"/>
      <c r="L7826" s="10">
        <v>20201118</v>
      </c>
      <c r="M7826" s="36" t="str">
        <f t="shared" si="122"/>
        <v>19910109</v>
      </c>
    </row>
    <row r="7827" s="1" customFormat="1" spans="1:13">
      <c r="A7827" s="2">
        <v>7159</v>
      </c>
      <c r="B7827" s="5" t="s">
        <v>13908</v>
      </c>
      <c r="C7827" s="5" t="s">
        <v>4290</v>
      </c>
      <c r="D7827" s="5" t="s">
        <v>13976</v>
      </c>
      <c r="E7827" s="5" t="s">
        <v>15</v>
      </c>
      <c r="F7827" s="5" t="s">
        <v>15</v>
      </c>
      <c r="G7827" s="14" t="s">
        <v>16</v>
      </c>
      <c r="H7827" s="17">
        <v>200</v>
      </c>
      <c r="I7827" s="17">
        <v>200</v>
      </c>
      <c r="J7827" s="5"/>
      <c r="K7827" s="10"/>
      <c r="L7827" s="10">
        <v>20201118</v>
      </c>
      <c r="M7827" s="36" t="str">
        <f t="shared" si="122"/>
        <v>19910110</v>
      </c>
    </row>
    <row r="7828" s="1" customFormat="1" spans="1:13">
      <c r="A7828" s="2">
        <v>918</v>
      </c>
      <c r="B7828" s="29" t="s">
        <v>1040</v>
      </c>
      <c r="C7828" s="6" t="s">
        <v>2401</v>
      </c>
      <c r="D7828" s="6" t="s">
        <v>2402</v>
      </c>
      <c r="E7828" s="30">
        <v>2020</v>
      </c>
      <c r="F7828" s="30">
        <v>2020</v>
      </c>
      <c r="G7828" s="29" t="s">
        <v>16</v>
      </c>
      <c r="H7828" s="6">
        <v>500</v>
      </c>
      <c r="I7828" s="6">
        <v>500</v>
      </c>
      <c r="J7828" s="32"/>
      <c r="K7828" s="32"/>
      <c r="L7828" s="14" t="s">
        <v>330</v>
      </c>
      <c r="M7828" s="36" t="str">
        <f t="shared" si="122"/>
        <v>19910112</v>
      </c>
    </row>
    <row r="7829" s="1" customFormat="1" spans="1:13">
      <c r="A7829" s="2">
        <v>7208</v>
      </c>
      <c r="B7829" s="5" t="s">
        <v>13908</v>
      </c>
      <c r="C7829" s="5" t="s">
        <v>14064</v>
      </c>
      <c r="D7829" s="5" t="s">
        <v>14065</v>
      </c>
      <c r="E7829" s="5" t="s">
        <v>15</v>
      </c>
      <c r="F7829" s="5" t="s">
        <v>15</v>
      </c>
      <c r="G7829" s="14" t="s">
        <v>16</v>
      </c>
      <c r="H7829" s="17">
        <v>1000</v>
      </c>
      <c r="I7829" s="17">
        <v>1000</v>
      </c>
      <c r="J7829" s="5"/>
      <c r="K7829" s="10"/>
      <c r="L7829" s="10">
        <v>20201118</v>
      </c>
      <c r="M7829" s="36" t="str">
        <f t="shared" si="122"/>
        <v>19910112</v>
      </c>
    </row>
    <row r="7830" s="1" customFormat="1" spans="1:13">
      <c r="A7830" s="2">
        <v>1745</v>
      </c>
      <c r="B7830" s="5" t="s">
        <v>3381</v>
      </c>
      <c r="C7830" s="9" t="s">
        <v>4050</v>
      </c>
      <c r="D7830" s="9" t="s">
        <v>4051</v>
      </c>
      <c r="E7830" s="5">
        <v>2020</v>
      </c>
      <c r="F7830" s="5">
        <v>2020</v>
      </c>
      <c r="G7830" s="14" t="s">
        <v>16</v>
      </c>
      <c r="H7830" s="6">
        <v>200</v>
      </c>
      <c r="I7830" s="6">
        <v>200</v>
      </c>
      <c r="J7830" s="5"/>
      <c r="K7830" s="13"/>
      <c r="L7830" s="10">
        <v>20201118</v>
      </c>
      <c r="M7830" s="36" t="str">
        <f t="shared" si="122"/>
        <v>19910120</v>
      </c>
    </row>
    <row r="7831" s="1" customFormat="1" spans="1:13">
      <c r="A7831" s="2">
        <v>5181</v>
      </c>
      <c r="B7831" s="6" t="s">
        <v>10242</v>
      </c>
      <c r="C7831" s="9" t="s">
        <v>10485</v>
      </c>
      <c r="D7831" s="9" t="s">
        <v>10486</v>
      </c>
      <c r="E7831" s="5" t="s">
        <v>10250</v>
      </c>
      <c r="F7831" s="5">
        <v>2020</v>
      </c>
      <c r="G7831" s="6" t="s">
        <v>16</v>
      </c>
      <c r="H7831" s="6">
        <v>200</v>
      </c>
      <c r="I7831" s="6">
        <v>200</v>
      </c>
      <c r="J7831" s="6"/>
      <c r="K7831" s="5"/>
      <c r="L7831" s="10">
        <v>20201118</v>
      </c>
      <c r="M7831" s="36" t="str">
        <f t="shared" si="122"/>
        <v>19910203</v>
      </c>
    </row>
    <row r="7832" s="1" customFormat="1" spans="1:13">
      <c r="A7832" s="2">
        <v>304</v>
      </c>
      <c r="B7832" s="14" t="s">
        <v>327</v>
      </c>
      <c r="C7832" s="17" t="s">
        <v>800</v>
      </c>
      <c r="D7832" s="306" t="s">
        <v>801</v>
      </c>
      <c r="E7832" s="5">
        <v>2020</v>
      </c>
      <c r="F7832" s="5">
        <v>2020</v>
      </c>
      <c r="G7832" s="14" t="s">
        <v>16</v>
      </c>
      <c r="H7832" s="17">
        <v>200</v>
      </c>
      <c r="I7832" s="17">
        <v>200</v>
      </c>
      <c r="J7832" s="17"/>
      <c r="K7832" s="10"/>
      <c r="L7832" s="14" t="s">
        <v>330</v>
      </c>
      <c r="M7832" s="36" t="str">
        <f t="shared" si="122"/>
        <v>19910210</v>
      </c>
    </row>
    <row r="7833" s="1" customFormat="1" spans="1:13">
      <c r="A7833" s="2">
        <v>1343</v>
      </c>
      <c r="B7833" s="5" t="s">
        <v>2469</v>
      </c>
      <c r="C7833" s="9" t="s">
        <v>3264</v>
      </c>
      <c r="D7833" s="9" t="s">
        <v>3265</v>
      </c>
      <c r="E7833" s="5">
        <v>2020</v>
      </c>
      <c r="F7833" s="5">
        <v>2020</v>
      </c>
      <c r="G7833" s="9" t="s">
        <v>2480</v>
      </c>
      <c r="H7833" s="9">
        <v>200</v>
      </c>
      <c r="I7833" s="9">
        <v>200</v>
      </c>
      <c r="J7833" s="5"/>
      <c r="K7833" s="5"/>
      <c r="L7833" s="10">
        <v>20201118</v>
      </c>
      <c r="M7833" s="36" t="str">
        <f t="shared" si="122"/>
        <v>19910214</v>
      </c>
    </row>
    <row r="7834" s="1" customFormat="1" spans="1:13">
      <c r="A7834" s="2">
        <v>4130</v>
      </c>
      <c r="B7834" s="5" t="s">
        <v>7412</v>
      </c>
      <c r="C7834" s="5" t="s">
        <v>8467</v>
      </c>
      <c r="D7834" s="5" t="s">
        <v>8468</v>
      </c>
      <c r="E7834" s="6">
        <v>2020</v>
      </c>
      <c r="F7834" s="6">
        <v>2020</v>
      </c>
      <c r="G7834" s="5" t="s">
        <v>3359</v>
      </c>
      <c r="H7834" s="5">
        <v>200</v>
      </c>
      <c r="I7834" s="5">
        <v>200</v>
      </c>
      <c r="J7834" s="5"/>
      <c r="K7834" s="5"/>
      <c r="L7834" s="10">
        <v>20201118</v>
      </c>
      <c r="M7834" s="36" t="str">
        <f t="shared" si="122"/>
        <v>19910215</v>
      </c>
    </row>
    <row r="7835" s="1" customFormat="1" spans="1:13">
      <c r="A7835" s="2">
        <v>7324</v>
      </c>
      <c r="B7835" s="5" t="s">
        <v>13908</v>
      </c>
      <c r="C7835" s="5" t="s">
        <v>14283</v>
      </c>
      <c r="D7835" s="5" t="s">
        <v>14284</v>
      </c>
      <c r="E7835" s="5" t="s">
        <v>15</v>
      </c>
      <c r="F7835" s="5" t="s">
        <v>15</v>
      </c>
      <c r="G7835" s="14" t="s">
        <v>16</v>
      </c>
      <c r="H7835" s="17">
        <v>200</v>
      </c>
      <c r="I7835" s="17">
        <v>200</v>
      </c>
      <c r="J7835" s="5"/>
      <c r="K7835" s="10"/>
      <c r="L7835" s="10">
        <v>20201118</v>
      </c>
      <c r="M7835" s="36" t="str">
        <f t="shared" si="122"/>
        <v>19910217</v>
      </c>
    </row>
    <row r="7836" s="1" customFormat="1" spans="1:13">
      <c r="A7836" s="2">
        <v>4392</v>
      </c>
      <c r="B7836" s="9" t="s">
        <v>8515</v>
      </c>
      <c r="C7836" s="9" t="s">
        <v>8972</v>
      </c>
      <c r="D7836" s="9" t="s">
        <v>8973</v>
      </c>
      <c r="E7836" s="5" t="s">
        <v>15</v>
      </c>
      <c r="F7836" s="5">
        <v>2020</v>
      </c>
      <c r="G7836" s="9" t="s">
        <v>2480</v>
      </c>
      <c r="H7836" s="9">
        <v>200</v>
      </c>
      <c r="I7836" s="9">
        <v>200</v>
      </c>
      <c r="J7836" s="9"/>
      <c r="K7836" s="9"/>
      <c r="L7836" s="10">
        <v>20201118</v>
      </c>
      <c r="M7836" s="36" t="str">
        <f t="shared" si="122"/>
        <v>19910224</v>
      </c>
    </row>
    <row r="7837" s="1" customFormat="1" spans="1:13">
      <c r="A7837" s="2">
        <v>7827</v>
      </c>
      <c r="B7837" s="5" t="s">
        <v>15086</v>
      </c>
      <c r="C7837" s="6" t="s">
        <v>15095</v>
      </c>
      <c r="D7837" s="6" t="str">
        <f>"152326199103176881"</f>
        <v>152326199103176881</v>
      </c>
      <c r="E7837" s="5" t="s">
        <v>15</v>
      </c>
      <c r="F7837" s="5">
        <v>2020</v>
      </c>
      <c r="G7837" s="5" t="s">
        <v>16</v>
      </c>
      <c r="H7837" s="5">
        <v>200</v>
      </c>
      <c r="I7837" s="5">
        <v>200</v>
      </c>
      <c r="J7837" s="5"/>
      <c r="K7837" s="5"/>
      <c r="L7837" s="10">
        <v>20201118</v>
      </c>
      <c r="M7837" s="36" t="str">
        <f t="shared" si="122"/>
        <v>19910317</v>
      </c>
    </row>
    <row r="7838" s="1" customFormat="1" spans="1:13">
      <c r="A7838" s="2">
        <v>5956</v>
      </c>
      <c r="B7838" s="30" t="s">
        <v>11090</v>
      </c>
      <c r="C7838" s="6" t="s">
        <v>11959</v>
      </c>
      <c r="D7838" s="293" t="s">
        <v>11960</v>
      </c>
      <c r="E7838" s="5" t="s">
        <v>15</v>
      </c>
      <c r="F7838" s="5" t="s">
        <v>10250</v>
      </c>
      <c r="G7838" s="6" t="s">
        <v>16</v>
      </c>
      <c r="H7838" s="32">
        <v>200</v>
      </c>
      <c r="I7838" s="32">
        <v>200</v>
      </c>
      <c r="J7838" s="6"/>
      <c r="K7838" s="48"/>
      <c r="L7838" s="10">
        <v>20201118</v>
      </c>
      <c r="M7838" s="36" t="str">
        <f t="shared" si="122"/>
        <v>19910327</v>
      </c>
    </row>
    <row r="7839" s="1" customFormat="1" spans="1:13">
      <c r="A7839" s="2">
        <v>2377</v>
      </c>
      <c r="B7839" s="9" t="s">
        <v>4837</v>
      </c>
      <c r="C7839" s="9" t="s">
        <v>5293</v>
      </c>
      <c r="D7839" s="9" t="s">
        <v>5294</v>
      </c>
      <c r="E7839" s="6" t="s">
        <v>15</v>
      </c>
      <c r="F7839" s="6">
        <v>2020</v>
      </c>
      <c r="G7839" s="9" t="s">
        <v>2480</v>
      </c>
      <c r="H7839" s="9">
        <v>200</v>
      </c>
      <c r="I7839" s="9">
        <v>200</v>
      </c>
      <c r="J7839" s="6"/>
      <c r="K7839" s="10"/>
      <c r="L7839" s="10">
        <v>20201118</v>
      </c>
      <c r="M7839" s="36" t="str">
        <f t="shared" si="122"/>
        <v>19910422</v>
      </c>
    </row>
    <row r="7840" s="1" customFormat="1" spans="1:13">
      <c r="A7840" s="2">
        <v>7091</v>
      </c>
      <c r="B7840" s="5" t="s">
        <v>13533</v>
      </c>
      <c r="C7840" s="32" t="s">
        <v>13851</v>
      </c>
      <c r="D7840" s="32" t="s">
        <v>13852</v>
      </c>
      <c r="E7840" s="5">
        <v>2020</v>
      </c>
      <c r="F7840" s="5">
        <v>2020</v>
      </c>
      <c r="G7840" s="9" t="s">
        <v>2480</v>
      </c>
      <c r="H7840" s="32">
        <v>200</v>
      </c>
      <c r="I7840" s="32">
        <v>200</v>
      </c>
      <c r="J7840" s="32"/>
      <c r="K7840" s="10"/>
      <c r="L7840" s="10">
        <v>20201118</v>
      </c>
      <c r="M7840" s="36" t="str">
        <f t="shared" si="122"/>
        <v>19910502</v>
      </c>
    </row>
    <row r="7841" s="1" customFormat="1" spans="1:13">
      <c r="A7841" s="2">
        <v>4131</v>
      </c>
      <c r="B7841" s="5" t="s">
        <v>7412</v>
      </c>
      <c r="C7841" s="5" t="s">
        <v>8469</v>
      </c>
      <c r="D7841" s="5" t="s">
        <v>8470</v>
      </c>
      <c r="E7841" s="6">
        <v>2020</v>
      </c>
      <c r="F7841" s="6">
        <v>2020</v>
      </c>
      <c r="G7841" s="5" t="s">
        <v>3359</v>
      </c>
      <c r="H7841" s="5">
        <v>200</v>
      </c>
      <c r="I7841" s="5">
        <v>200</v>
      </c>
      <c r="J7841" s="5"/>
      <c r="K7841" s="5"/>
      <c r="L7841" s="10">
        <v>20201118</v>
      </c>
      <c r="M7841" s="36" t="str">
        <f t="shared" si="122"/>
        <v>19910513</v>
      </c>
    </row>
    <row r="7842" s="1" customFormat="1" spans="1:13">
      <c r="A7842" s="2">
        <v>7092</v>
      </c>
      <c r="B7842" s="5" t="s">
        <v>13533</v>
      </c>
      <c r="C7842" s="32" t="s">
        <v>13853</v>
      </c>
      <c r="D7842" s="32" t="s">
        <v>13854</v>
      </c>
      <c r="E7842" s="5">
        <v>2020</v>
      </c>
      <c r="F7842" s="5">
        <v>2020</v>
      </c>
      <c r="G7842" s="9" t="s">
        <v>2480</v>
      </c>
      <c r="H7842" s="32">
        <v>200</v>
      </c>
      <c r="I7842" s="32">
        <v>200</v>
      </c>
      <c r="J7842" s="32"/>
      <c r="K7842" s="10"/>
      <c r="L7842" s="10">
        <v>20201118</v>
      </c>
      <c r="M7842" s="36" t="str">
        <f t="shared" si="122"/>
        <v>19910518</v>
      </c>
    </row>
    <row r="7843" s="1" customFormat="1" spans="1:13">
      <c r="A7843" s="2">
        <v>866</v>
      </c>
      <c r="B7843" s="29" t="s">
        <v>1040</v>
      </c>
      <c r="C7843" s="6" t="s">
        <v>2245</v>
      </c>
      <c r="D7843" s="6" t="s">
        <v>2246</v>
      </c>
      <c r="E7843" s="30">
        <v>2020</v>
      </c>
      <c r="F7843" s="30">
        <v>2020</v>
      </c>
      <c r="G7843" s="29" t="s">
        <v>16</v>
      </c>
      <c r="H7843" s="29">
        <v>200</v>
      </c>
      <c r="I7843" s="29">
        <v>200</v>
      </c>
      <c r="J7843" s="32"/>
      <c r="K7843" s="32"/>
      <c r="L7843" s="14" t="s">
        <v>330</v>
      </c>
      <c r="M7843" s="36" t="str">
        <f t="shared" si="122"/>
        <v>19910607</v>
      </c>
    </row>
    <row r="7844" s="1" customFormat="1" spans="1:13">
      <c r="A7844" s="2">
        <v>7608</v>
      </c>
      <c r="B7844" s="5" t="s">
        <v>14402</v>
      </c>
      <c r="C7844" s="5" t="s">
        <v>14814</v>
      </c>
      <c r="D7844" s="5" t="s">
        <v>14815</v>
      </c>
      <c r="E7844" s="5">
        <v>2020</v>
      </c>
      <c r="F7844" s="5">
        <v>2020</v>
      </c>
      <c r="G7844" s="17" t="s">
        <v>16</v>
      </c>
      <c r="H7844" s="5">
        <v>200</v>
      </c>
      <c r="I7844" s="5">
        <v>200</v>
      </c>
      <c r="J7844" s="5"/>
      <c r="K7844" s="10"/>
      <c r="L7844" s="10">
        <v>20201118</v>
      </c>
      <c r="M7844" s="36" t="str">
        <f t="shared" si="122"/>
        <v>19910717</v>
      </c>
    </row>
    <row r="7845" s="1" customFormat="1" spans="1:13">
      <c r="A7845" s="2">
        <v>2756</v>
      </c>
      <c r="B7845" s="32" t="s">
        <v>5602</v>
      </c>
      <c r="C7845" s="9" t="s">
        <v>6040</v>
      </c>
      <c r="D7845" s="9" t="s">
        <v>6041</v>
      </c>
      <c r="E7845" s="32">
        <v>2020</v>
      </c>
      <c r="F7845" s="32">
        <v>2020</v>
      </c>
      <c r="G7845" s="32" t="s">
        <v>16</v>
      </c>
      <c r="H7845" s="9">
        <v>200</v>
      </c>
      <c r="I7845" s="9">
        <v>200</v>
      </c>
      <c r="J7845" s="32"/>
      <c r="K7845" s="52"/>
      <c r="L7845" s="10">
        <v>20201118</v>
      </c>
      <c r="M7845" s="36" t="str">
        <f t="shared" si="122"/>
        <v>19910718</v>
      </c>
    </row>
    <row r="7846" s="1" customFormat="1" spans="1:13">
      <c r="A7846" s="2">
        <v>7409</v>
      </c>
      <c r="B7846" s="62" t="s">
        <v>14402</v>
      </c>
      <c r="C7846" s="62" t="s">
        <v>14441</v>
      </c>
      <c r="D7846" s="62" t="s">
        <v>14442</v>
      </c>
      <c r="E7846" s="62">
        <v>2020</v>
      </c>
      <c r="F7846" s="62">
        <v>2020</v>
      </c>
      <c r="G7846" s="3" t="s">
        <v>16</v>
      </c>
      <c r="H7846" s="62">
        <v>200</v>
      </c>
      <c r="I7846" s="62">
        <v>200</v>
      </c>
      <c r="J7846" s="62"/>
      <c r="K7846" s="10"/>
      <c r="L7846" s="10">
        <v>20201118</v>
      </c>
      <c r="M7846" s="36" t="str">
        <f t="shared" si="122"/>
        <v>19910718</v>
      </c>
    </row>
    <row r="7847" s="1" customFormat="1" spans="1:13">
      <c r="A7847" s="2">
        <v>7096</v>
      </c>
      <c r="B7847" s="5" t="s">
        <v>13533</v>
      </c>
      <c r="C7847" s="32" t="s">
        <v>13861</v>
      </c>
      <c r="D7847" s="32" t="s">
        <v>13862</v>
      </c>
      <c r="E7847" s="5">
        <v>2020</v>
      </c>
      <c r="F7847" s="5">
        <v>2020</v>
      </c>
      <c r="G7847" s="9" t="s">
        <v>2480</v>
      </c>
      <c r="H7847" s="32">
        <v>200</v>
      </c>
      <c r="I7847" s="32">
        <v>200</v>
      </c>
      <c r="J7847" s="32"/>
      <c r="K7847" s="10"/>
      <c r="L7847" s="10">
        <v>20201118</v>
      </c>
      <c r="M7847" s="36" t="str">
        <f t="shared" si="122"/>
        <v>19910719</v>
      </c>
    </row>
    <row r="7848" s="1" customFormat="1" spans="1:13">
      <c r="A7848" s="2">
        <v>5575</v>
      </c>
      <c r="B7848" s="30" t="s">
        <v>11090</v>
      </c>
      <c r="C7848" s="30" t="s">
        <v>11244</v>
      </c>
      <c r="D7848" s="30" t="s">
        <v>11245</v>
      </c>
      <c r="E7848" s="5" t="s">
        <v>15</v>
      </c>
      <c r="F7848" s="5" t="s">
        <v>10250</v>
      </c>
      <c r="G7848" s="6" t="s">
        <v>16</v>
      </c>
      <c r="H7848" s="32">
        <v>200</v>
      </c>
      <c r="I7848" s="32">
        <v>200</v>
      </c>
      <c r="J7848" s="6"/>
      <c r="K7848" s="48"/>
      <c r="L7848" s="10">
        <v>20201118</v>
      </c>
      <c r="M7848" s="36" t="str">
        <f t="shared" si="122"/>
        <v>19910802</v>
      </c>
    </row>
    <row r="7849" s="1" customFormat="1" spans="1:13">
      <c r="A7849" s="2">
        <v>7407</v>
      </c>
      <c r="B7849" s="5" t="s">
        <v>14402</v>
      </c>
      <c r="C7849" s="5" t="s">
        <v>14437</v>
      </c>
      <c r="D7849" s="5" t="s">
        <v>14438</v>
      </c>
      <c r="E7849" s="5">
        <v>2020</v>
      </c>
      <c r="F7849" s="5">
        <v>2020</v>
      </c>
      <c r="G7849" s="17" t="s">
        <v>16</v>
      </c>
      <c r="H7849" s="5">
        <v>200</v>
      </c>
      <c r="I7849" s="5">
        <v>200</v>
      </c>
      <c r="J7849" s="5"/>
      <c r="K7849" s="10"/>
      <c r="L7849" s="10">
        <v>20201118</v>
      </c>
      <c r="M7849" s="36" t="str">
        <f t="shared" si="122"/>
        <v>19910804</v>
      </c>
    </row>
    <row r="7850" s="1" customFormat="1" spans="1:13">
      <c r="A7850" s="2">
        <v>7404</v>
      </c>
      <c r="B7850" s="5" t="s">
        <v>14402</v>
      </c>
      <c r="C7850" s="5" t="s">
        <v>14431</v>
      </c>
      <c r="D7850" s="5" t="s">
        <v>14432</v>
      </c>
      <c r="E7850" s="5">
        <v>2020</v>
      </c>
      <c r="F7850" s="5">
        <v>2020</v>
      </c>
      <c r="G7850" s="17" t="s">
        <v>16</v>
      </c>
      <c r="H7850" s="5">
        <v>200</v>
      </c>
      <c r="I7850" s="17">
        <v>200</v>
      </c>
      <c r="J7850" s="5"/>
      <c r="K7850" s="10"/>
      <c r="L7850" s="10">
        <v>20201118</v>
      </c>
      <c r="M7850" s="36" t="str">
        <f t="shared" si="122"/>
        <v>19910810</v>
      </c>
    </row>
    <row r="7851" s="1" customFormat="1" spans="1:13">
      <c r="A7851" s="2">
        <v>7826</v>
      </c>
      <c r="B7851" s="5" t="s">
        <v>15086</v>
      </c>
      <c r="C7851" s="6" t="s">
        <v>15093</v>
      </c>
      <c r="D7851" s="6" t="s">
        <v>15094</v>
      </c>
      <c r="E7851" s="5" t="s">
        <v>15</v>
      </c>
      <c r="F7851" s="5">
        <v>2020</v>
      </c>
      <c r="G7851" s="5" t="s">
        <v>16</v>
      </c>
      <c r="H7851" s="5">
        <v>200</v>
      </c>
      <c r="I7851" s="5">
        <v>200</v>
      </c>
      <c r="J7851" s="5" t="s">
        <v>768</v>
      </c>
      <c r="K7851" s="5"/>
      <c r="L7851" s="10">
        <v>20201118</v>
      </c>
      <c r="M7851" s="36" t="str">
        <f t="shared" si="122"/>
        <v>19910817</v>
      </c>
    </row>
    <row r="7852" s="1" customFormat="1" spans="1:13">
      <c r="A7852" s="2">
        <v>2378</v>
      </c>
      <c r="B7852" s="9" t="s">
        <v>4837</v>
      </c>
      <c r="C7852" s="9" t="s">
        <v>5295</v>
      </c>
      <c r="D7852" s="9" t="s">
        <v>5296</v>
      </c>
      <c r="E7852" s="6" t="s">
        <v>15</v>
      </c>
      <c r="F7852" s="6">
        <v>2020</v>
      </c>
      <c r="G7852" s="9" t="s">
        <v>2480</v>
      </c>
      <c r="H7852" s="9">
        <v>200</v>
      </c>
      <c r="I7852" s="9">
        <v>200</v>
      </c>
      <c r="J7852" s="6"/>
      <c r="K7852" s="10"/>
      <c r="L7852" s="10">
        <v>20201118</v>
      </c>
      <c r="M7852" s="36" t="str">
        <f t="shared" si="122"/>
        <v>19910827</v>
      </c>
    </row>
    <row r="7853" s="1" customFormat="1" spans="1:13">
      <c r="A7853" s="2">
        <v>7405</v>
      </c>
      <c r="B7853" s="5" t="s">
        <v>14402</v>
      </c>
      <c r="C7853" s="5" t="s">
        <v>14433</v>
      </c>
      <c r="D7853" s="5" t="s">
        <v>14434</v>
      </c>
      <c r="E7853" s="5">
        <v>2020</v>
      </c>
      <c r="F7853" s="5">
        <v>2020</v>
      </c>
      <c r="G7853" s="17" t="s">
        <v>16</v>
      </c>
      <c r="H7853" s="5">
        <v>200</v>
      </c>
      <c r="I7853" s="17">
        <v>200</v>
      </c>
      <c r="J7853" s="5"/>
      <c r="K7853" s="10"/>
      <c r="L7853" s="10">
        <v>20201118</v>
      </c>
      <c r="M7853" s="36" t="str">
        <f t="shared" si="122"/>
        <v>19910827</v>
      </c>
    </row>
    <row r="7854" s="1" customFormat="1" spans="1:13">
      <c r="A7854" s="2">
        <v>7406</v>
      </c>
      <c r="B7854" s="62" t="s">
        <v>14402</v>
      </c>
      <c r="C7854" s="62" t="s">
        <v>14435</v>
      </c>
      <c r="D7854" s="62" t="s">
        <v>14436</v>
      </c>
      <c r="E7854" s="62">
        <v>2020</v>
      </c>
      <c r="F7854" s="62">
        <v>2020</v>
      </c>
      <c r="G7854" s="3" t="s">
        <v>16</v>
      </c>
      <c r="H7854" s="62">
        <v>200</v>
      </c>
      <c r="I7854" s="62">
        <v>200</v>
      </c>
      <c r="J7854" s="62"/>
      <c r="K7854" s="10"/>
      <c r="L7854" s="10">
        <v>20201118</v>
      </c>
      <c r="M7854" s="36" t="str">
        <f t="shared" si="122"/>
        <v>19910828</v>
      </c>
    </row>
    <row r="7855" s="1" customFormat="1" spans="1:13">
      <c r="A7855" s="2">
        <v>1344</v>
      </c>
      <c r="B7855" s="5" t="s">
        <v>2469</v>
      </c>
      <c r="C7855" s="9" t="s">
        <v>3266</v>
      </c>
      <c r="D7855" s="9" t="s">
        <v>3267</v>
      </c>
      <c r="E7855" s="5">
        <v>2020</v>
      </c>
      <c r="F7855" s="5">
        <v>2020</v>
      </c>
      <c r="G7855" s="9" t="s">
        <v>2480</v>
      </c>
      <c r="H7855" s="9">
        <v>200</v>
      </c>
      <c r="I7855" s="9">
        <v>200</v>
      </c>
      <c r="J7855" s="5"/>
      <c r="K7855" s="5"/>
      <c r="L7855" s="10">
        <v>20201118</v>
      </c>
      <c r="M7855" s="36" t="str">
        <f t="shared" si="122"/>
        <v>19910830</v>
      </c>
    </row>
    <row r="7856" s="1" customFormat="1" spans="1:13">
      <c r="A7856" s="2">
        <v>2379</v>
      </c>
      <c r="B7856" s="9" t="s">
        <v>4837</v>
      </c>
      <c r="C7856" s="9" t="s">
        <v>3224</v>
      </c>
      <c r="D7856" s="9" t="s">
        <v>5297</v>
      </c>
      <c r="E7856" s="6" t="s">
        <v>15</v>
      </c>
      <c r="F7856" s="6">
        <v>2020</v>
      </c>
      <c r="G7856" s="9" t="s">
        <v>2480</v>
      </c>
      <c r="H7856" s="9">
        <v>200</v>
      </c>
      <c r="I7856" s="9">
        <v>200</v>
      </c>
      <c r="J7856" s="6"/>
      <c r="K7856" s="10"/>
      <c r="L7856" s="10">
        <v>20201118</v>
      </c>
      <c r="M7856" s="36" t="str">
        <f t="shared" si="122"/>
        <v>19910902</v>
      </c>
    </row>
    <row r="7857" s="1" customFormat="1" spans="1:13">
      <c r="A7857" s="2">
        <v>4132</v>
      </c>
      <c r="B7857" s="5" t="s">
        <v>7412</v>
      </c>
      <c r="C7857" s="5" t="s">
        <v>8471</v>
      </c>
      <c r="D7857" s="5" t="s">
        <v>8472</v>
      </c>
      <c r="E7857" s="6">
        <v>2020</v>
      </c>
      <c r="F7857" s="6">
        <v>2020</v>
      </c>
      <c r="G7857" s="5" t="s">
        <v>3359</v>
      </c>
      <c r="H7857" s="5">
        <v>200</v>
      </c>
      <c r="I7857" s="5">
        <v>200</v>
      </c>
      <c r="J7857" s="5"/>
      <c r="K7857" s="5"/>
      <c r="L7857" s="10">
        <v>20201118</v>
      </c>
      <c r="M7857" s="36" t="str">
        <f t="shared" si="122"/>
        <v>19910904</v>
      </c>
    </row>
    <row r="7858" s="1" customFormat="1" spans="1:13">
      <c r="A7858" s="2">
        <v>2380</v>
      </c>
      <c r="B7858" s="9" t="s">
        <v>4837</v>
      </c>
      <c r="C7858" s="9" t="s">
        <v>5298</v>
      </c>
      <c r="D7858" s="9" t="s">
        <v>5299</v>
      </c>
      <c r="E7858" s="6" t="s">
        <v>15</v>
      </c>
      <c r="F7858" s="6">
        <v>2020</v>
      </c>
      <c r="G7858" s="9" t="s">
        <v>2480</v>
      </c>
      <c r="H7858" s="9">
        <v>200</v>
      </c>
      <c r="I7858" s="9">
        <v>200</v>
      </c>
      <c r="J7858" s="6"/>
      <c r="K7858" s="10"/>
      <c r="L7858" s="10">
        <v>20201118</v>
      </c>
      <c r="M7858" s="36" t="str">
        <f t="shared" si="122"/>
        <v>19910909</v>
      </c>
    </row>
    <row r="7859" s="1" customFormat="1" spans="1:13">
      <c r="A7859" s="2">
        <v>1345</v>
      </c>
      <c r="B7859" s="5" t="s">
        <v>2469</v>
      </c>
      <c r="C7859" s="9" t="s">
        <v>3268</v>
      </c>
      <c r="D7859" s="9" t="s">
        <v>3269</v>
      </c>
      <c r="E7859" s="5">
        <v>2020</v>
      </c>
      <c r="F7859" s="5">
        <v>2020</v>
      </c>
      <c r="G7859" s="9" t="s">
        <v>2480</v>
      </c>
      <c r="H7859" s="9">
        <v>200</v>
      </c>
      <c r="I7859" s="9">
        <v>200</v>
      </c>
      <c r="J7859" s="5"/>
      <c r="K7859" s="5"/>
      <c r="L7859" s="10">
        <v>20201118</v>
      </c>
      <c r="M7859" s="36" t="str">
        <f t="shared" si="122"/>
        <v>19910920</v>
      </c>
    </row>
    <row r="7860" s="1" customFormat="1" spans="1:13">
      <c r="A7860" s="2">
        <v>4859</v>
      </c>
      <c r="B7860" s="6" t="s">
        <v>9015</v>
      </c>
      <c r="C7860" s="6" t="s">
        <v>9861</v>
      </c>
      <c r="D7860" s="293" t="s">
        <v>9862</v>
      </c>
      <c r="E7860" s="6">
        <v>2020</v>
      </c>
      <c r="F7860" s="6">
        <v>2020</v>
      </c>
      <c r="G7860" s="6" t="s">
        <v>16</v>
      </c>
      <c r="H7860" s="6">
        <v>200</v>
      </c>
      <c r="I7860" s="6">
        <v>200</v>
      </c>
      <c r="J7860" s="6"/>
      <c r="K7860" s="6"/>
      <c r="L7860" s="10">
        <v>20201118</v>
      </c>
      <c r="M7860" s="36" t="str">
        <f t="shared" si="122"/>
        <v>19910924</v>
      </c>
    </row>
    <row r="7861" s="1" customFormat="1" spans="1:13">
      <c r="A7861" s="2">
        <v>634</v>
      </c>
      <c r="B7861" s="29" t="s">
        <v>1040</v>
      </c>
      <c r="C7861" s="29" t="s">
        <v>1555</v>
      </c>
      <c r="D7861" s="29" t="s">
        <v>1556</v>
      </c>
      <c r="E7861" s="30">
        <v>2020</v>
      </c>
      <c r="F7861" s="30">
        <v>2020</v>
      </c>
      <c r="G7861" s="29" t="s">
        <v>16</v>
      </c>
      <c r="H7861" s="29">
        <v>200</v>
      </c>
      <c r="I7861" s="29">
        <v>200</v>
      </c>
      <c r="J7861" s="29"/>
      <c r="K7861" s="47"/>
      <c r="L7861" s="2" t="s">
        <v>330</v>
      </c>
      <c r="M7861" s="36" t="str">
        <f t="shared" si="122"/>
        <v>19911005</v>
      </c>
    </row>
    <row r="7862" s="1" customFormat="1" spans="1:13">
      <c r="A7862" s="2">
        <v>2381</v>
      </c>
      <c r="B7862" s="9" t="s">
        <v>4837</v>
      </c>
      <c r="C7862" s="9" t="s">
        <v>3228</v>
      </c>
      <c r="D7862" s="9" t="s">
        <v>5300</v>
      </c>
      <c r="E7862" s="6" t="s">
        <v>15</v>
      </c>
      <c r="F7862" s="6">
        <v>2020</v>
      </c>
      <c r="G7862" s="9" t="s">
        <v>2480</v>
      </c>
      <c r="H7862" s="9">
        <v>200</v>
      </c>
      <c r="I7862" s="9">
        <v>200</v>
      </c>
      <c r="J7862" s="6"/>
      <c r="K7862" s="10"/>
      <c r="L7862" s="10">
        <v>20201118</v>
      </c>
      <c r="M7862" s="36" t="str">
        <f t="shared" si="122"/>
        <v>19911006</v>
      </c>
    </row>
    <row r="7863" s="1" customFormat="1" spans="1:13">
      <c r="A7863" s="2">
        <v>4133</v>
      </c>
      <c r="B7863" s="5" t="s">
        <v>7412</v>
      </c>
      <c r="C7863" s="5" t="s">
        <v>8473</v>
      </c>
      <c r="D7863" s="5" t="s">
        <v>8474</v>
      </c>
      <c r="E7863" s="6">
        <v>2020</v>
      </c>
      <c r="F7863" s="6">
        <v>2020</v>
      </c>
      <c r="G7863" s="5" t="s">
        <v>3359</v>
      </c>
      <c r="H7863" s="5">
        <v>200</v>
      </c>
      <c r="I7863" s="5">
        <v>200</v>
      </c>
      <c r="J7863" s="5"/>
      <c r="K7863" s="5"/>
      <c r="L7863" s="10">
        <v>20201118</v>
      </c>
      <c r="M7863" s="36" t="str">
        <f t="shared" si="122"/>
        <v>19911006</v>
      </c>
    </row>
    <row r="7864" s="1" customFormat="1" spans="1:13">
      <c r="A7864" s="2">
        <v>6042</v>
      </c>
      <c r="B7864" s="30" t="s">
        <v>11090</v>
      </c>
      <c r="C7864" s="32" t="s">
        <v>12127</v>
      </c>
      <c r="D7864" s="32" t="s">
        <v>12128</v>
      </c>
      <c r="E7864" s="5" t="s">
        <v>15</v>
      </c>
      <c r="F7864" s="5" t="s">
        <v>10250</v>
      </c>
      <c r="G7864" s="6" t="s">
        <v>16</v>
      </c>
      <c r="H7864" s="32">
        <v>200</v>
      </c>
      <c r="I7864" s="32">
        <v>200</v>
      </c>
      <c r="J7864" s="5"/>
      <c r="K7864" s="48"/>
      <c r="L7864" s="10">
        <v>20201118</v>
      </c>
      <c r="M7864" s="36" t="str">
        <f t="shared" si="122"/>
        <v>19911010</v>
      </c>
    </row>
    <row r="7865" s="1" customFormat="1" spans="1:13">
      <c r="A7865" s="2">
        <v>4400</v>
      </c>
      <c r="B7865" s="9" t="s">
        <v>8515</v>
      </c>
      <c r="C7865" s="6" t="s">
        <v>8987</v>
      </c>
      <c r="D7865" s="293" t="s">
        <v>8988</v>
      </c>
      <c r="E7865" s="5" t="s">
        <v>15</v>
      </c>
      <c r="F7865" s="5">
        <v>2020</v>
      </c>
      <c r="G7865" s="6" t="s">
        <v>295</v>
      </c>
      <c r="H7865" s="9">
        <v>200</v>
      </c>
      <c r="I7865" s="9">
        <v>200</v>
      </c>
      <c r="J7865" s="6"/>
      <c r="K7865" s="6"/>
      <c r="L7865" s="10">
        <v>20201118</v>
      </c>
      <c r="M7865" s="36" t="str">
        <f t="shared" si="122"/>
        <v>19911020</v>
      </c>
    </row>
    <row r="7866" s="1" customFormat="1" spans="1:13">
      <c r="A7866" s="2">
        <v>5917</v>
      </c>
      <c r="B7866" s="30" t="s">
        <v>11090</v>
      </c>
      <c r="C7866" s="30" t="s">
        <v>11883</v>
      </c>
      <c r="D7866" s="30" t="s">
        <v>11884</v>
      </c>
      <c r="E7866" s="5" t="s">
        <v>15</v>
      </c>
      <c r="F7866" s="5" t="s">
        <v>10250</v>
      </c>
      <c r="G7866" s="6" t="s">
        <v>16</v>
      </c>
      <c r="H7866" s="32">
        <v>200</v>
      </c>
      <c r="I7866" s="32">
        <v>200</v>
      </c>
      <c r="J7866" s="6"/>
      <c r="K7866" s="48"/>
      <c r="L7866" s="10">
        <v>20201118</v>
      </c>
      <c r="M7866" s="36" t="str">
        <f t="shared" si="122"/>
        <v>19911022</v>
      </c>
    </row>
    <row r="7867" s="1" customFormat="1" ht="14.25" spans="1:13">
      <c r="A7867" s="2">
        <v>6006</v>
      </c>
      <c r="B7867" s="30" t="s">
        <v>11090</v>
      </c>
      <c r="C7867" s="32" t="s">
        <v>12055</v>
      </c>
      <c r="D7867" s="12" t="s">
        <v>12056</v>
      </c>
      <c r="E7867" s="5" t="s">
        <v>15</v>
      </c>
      <c r="F7867" s="5" t="s">
        <v>10250</v>
      </c>
      <c r="G7867" s="6" t="s">
        <v>16</v>
      </c>
      <c r="H7867" s="32">
        <v>200</v>
      </c>
      <c r="I7867" s="32">
        <v>200</v>
      </c>
      <c r="J7867" s="5"/>
      <c r="K7867" s="48"/>
      <c r="L7867" s="10">
        <v>20201118</v>
      </c>
      <c r="M7867" s="36" t="str">
        <f t="shared" si="122"/>
        <v>19911024</v>
      </c>
    </row>
    <row r="7868" s="1" customFormat="1" spans="1:13">
      <c r="A7868" s="2">
        <v>7182</v>
      </c>
      <c r="B7868" s="5" t="s">
        <v>13908</v>
      </c>
      <c r="C7868" s="5" t="s">
        <v>14016</v>
      </c>
      <c r="D7868" s="5" t="s">
        <v>14017</v>
      </c>
      <c r="E7868" s="5" t="s">
        <v>15</v>
      </c>
      <c r="F7868" s="5" t="s">
        <v>15</v>
      </c>
      <c r="G7868" s="14" t="s">
        <v>16</v>
      </c>
      <c r="H7868" s="17">
        <v>200</v>
      </c>
      <c r="I7868" s="17">
        <v>200</v>
      </c>
      <c r="J7868" s="5"/>
      <c r="K7868" s="10"/>
      <c r="L7868" s="10">
        <v>20201118</v>
      </c>
      <c r="M7868" s="36" t="str">
        <f t="shared" si="122"/>
        <v>19911024</v>
      </c>
    </row>
    <row r="7869" s="1" customFormat="1" spans="1:13">
      <c r="A7869" s="2">
        <v>3562</v>
      </c>
      <c r="B7869" s="5" t="s">
        <v>3375</v>
      </c>
      <c r="C7869" s="5" t="s">
        <v>6417</v>
      </c>
      <c r="D7869" s="296" t="s">
        <v>7394</v>
      </c>
      <c r="E7869" s="5" t="s">
        <v>15</v>
      </c>
      <c r="F7869" s="5">
        <v>2020</v>
      </c>
      <c r="G7869" s="5" t="s">
        <v>295</v>
      </c>
      <c r="H7869" s="5">
        <v>200</v>
      </c>
      <c r="I7869" s="5">
        <v>200</v>
      </c>
      <c r="J7869" s="5"/>
      <c r="K7869" s="10"/>
      <c r="L7869" s="10">
        <v>20201118</v>
      </c>
      <c r="M7869" s="36" t="str">
        <f t="shared" si="122"/>
        <v>19911026</v>
      </c>
    </row>
    <row r="7870" s="1" customFormat="1" spans="1:13">
      <c r="A7870" s="2">
        <v>930</v>
      </c>
      <c r="B7870" s="29" t="s">
        <v>1040</v>
      </c>
      <c r="C7870" s="6" t="s">
        <v>2437</v>
      </c>
      <c r="D7870" s="6" t="s">
        <v>2438</v>
      </c>
      <c r="E7870" s="30">
        <v>2020</v>
      </c>
      <c r="F7870" s="30">
        <v>2020</v>
      </c>
      <c r="G7870" s="29" t="s">
        <v>16</v>
      </c>
      <c r="H7870" s="29">
        <v>200</v>
      </c>
      <c r="I7870" s="29">
        <v>200</v>
      </c>
      <c r="J7870" s="32" t="s">
        <v>1082</v>
      </c>
      <c r="K7870" s="32"/>
      <c r="L7870" s="2" t="s">
        <v>330</v>
      </c>
      <c r="M7870" s="36" t="str">
        <f t="shared" si="122"/>
        <v>19911029</v>
      </c>
    </row>
    <row r="7871" s="1" customFormat="1" spans="1:13">
      <c r="A7871" s="2">
        <v>5748</v>
      </c>
      <c r="B7871" s="30" t="s">
        <v>11090</v>
      </c>
      <c r="C7871" s="30" t="s">
        <v>11580</v>
      </c>
      <c r="D7871" s="30" t="s">
        <v>11581</v>
      </c>
      <c r="E7871" s="5" t="s">
        <v>15</v>
      </c>
      <c r="F7871" s="5" t="s">
        <v>10250</v>
      </c>
      <c r="G7871" s="6" t="s">
        <v>16</v>
      </c>
      <c r="H7871" s="32">
        <v>200</v>
      </c>
      <c r="I7871" s="32">
        <v>200</v>
      </c>
      <c r="J7871" s="6"/>
      <c r="K7871" s="48"/>
      <c r="L7871" s="10">
        <v>20201118</v>
      </c>
      <c r="M7871" s="36" t="str">
        <f t="shared" si="122"/>
        <v>19911029</v>
      </c>
    </row>
    <row r="7872" s="1" customFormat="1" ht="14.25" spans="1:13">
      <c r="A7872" s="2">
        <v>7642</v>
      </c>
      <c r="B7872" s="5" t="s">
        <v>14875</v>
      </c>
      <c r="C7872" s="51" t="s">
        <v>14882</v>
      </c>
      <c r="D7872" s="24" t="str">
        <f>"152326199110307122"</f>
        <v>152326199110307122</v>
      </c>
      <c r="E7872" s="6" t="s">
        <v>15</v>
      </c>
      <c r="F7872" s="6">
        <v>2020</v>
      </c>
      <c r="G7872" s="24" t="s">
        <v>14877</v>
      </c>
      <c r="H7872" s="6">
        <v>200</v>
      </c>
      <c r="I7872" s="6">
        <v>200</v>
      </c>
      <c r="J7872" s="6"/>
      <c r="K7872" s="10"/>
      <c r="L7872" s="10">
        <v>20201118</v>
      </c>
      <c r="M7872" s="36" t="str">
        <f t="shared" si="122"/>
        <v>19911030</v>
      </c>
    </row>
    <row r="7873" s="1" customFormat="1" spans="1:13">
      <c r="A7873" s="2">
        <v>2382</v>
      </c>
      <c r="B7873" s="9" t="s">
        <v>4837</v>
      </c>
      <c r="C7873" s="9" t="s">
        <v>5301</v>
      </c>
      <c r="D7873" s="9" t="s">
        <v>5302</v>
      </c>
      <c r="E7873" s="6" t="s">
        <v>15</v>
      </c>
      <c r="F7873" s="6">
        <v>2020</v>
      </c>
      <c r="G7873" s="9" t="s">
        <v>2480</v>
      </c>
      <c r="H7873" s="9">
        <v>200</v>
      </c>
      <c r="I7873" s="9">
        <v>200</v>
      </c>
      <c r="J7873" s="6"/>
      <c r="K7873" s="10"/>
      <c r="L7873" s="10">
        <v>20201118</v>
      </c>
      <c r="M7873" s="36" t="str">
        <f t="shared" si="122"/>
        <v>19911103</v>
      </c>
    </row>
    <row r="7874" s="1" customFormat="1" spans="1:13">
      <c r="A7874" s="2">
        <v>2077</v>
      </c>
      <c r="B7874" s="5" t="s">
        <v>4189</v>
      </c>
      <c r="C7874" s="16" t="s">
        <v>4707</v>
      </c>
      <c r="D7874" s="16" t="s">
        <v>4708</v>
      </c>
      <c r="E7874" s="5" t="s">
        <v>15</v>
      </c>
      <c r="F7874" s="5" t="s">
        <v>15</v>
      </c>
      <c r="G7874" s="5" t="s">
        <v>3359</v>
      </c>
      <c r="H7874" s="16">
        <v>200</v>
      </c>
      <c r="I7874" s="16">
        <v>200</v>
      </c>
      <c r="J7874" s="5"/>
      <c r="K7874" s="10"/>
      <c r="L7874" s="10">
        <v>20201118</v>
      </c>
      <c r="M7874" s="36" t="str">
        <f t="shared" ref="M7874:M7937" si="123">MID(D7874,7,8)</f>
        <v>19911107</v>
      </c>
    </row>
    <row r="7875" s="1" customFormat="1" spans="1:13">
      <c r="A7875" s="2">
        <v>2091</v>
      </c>
      <c r="B7875" s="5" t="s">
        <v>4189</v>
      </c>
      <c r="C7875" s="16" t="s">
        <v>4733</v>
      </c>
      <c r="D7875" s="16" t="s">
        <v>4734</v>
      </c>
      <c r="E7875" s="5" t="s">
        <v>15</v>
      </c>
      <c r="F7875" s="5" t="s">
        <v>15</v>
      </c>
      <c r="G7875" s="5" t="s">
        <v>3359</v>
      </c>
      <c r="H7875" s="16">
        <v>200</v>
      </c>
      <c r="I7875" s="16">
        <v>200</v>
      </c>
      <c r="J7875" s="5"/>
      <c r="K7875" s="10"/>
      <c r="L7875" s="10">
        <v>20201118</v>
      </c>
      <c r="M7875" s="36" t="str">
        <f t="shared" si="123"/>
        <v>19911113</v>
      </c>
    </row>
    <row r="7876" s="1" customFormat="1" spans="1:13">
      <c r="A7876" s="2">
        <v>7408</v>
      </c>
      <c r="B7876" s="5" t="s">
        <v>14402</v>
      </c>
      <c r="C7876" s="5" t="s">
        <v>14439</v>
      </c>
      <c r="D7876" s="5" t="s">
        <v>14440</v>
      </c>
      <c r="E7876" s="5">
        <v>2020</v>
      </c>
      <c r="F7876" s="5">
        <v>2020</v>
      </c>
      <c r="G7876" s="17" t="s">
        <v>16</v>
      </c>
      <c r="H7876" s="5">
        <v>200</v>
      </c>
      <c r="I7876" s="5">
        <v>200</v>
      </c>
      <c r="J7876" s="5" t="s">
        <v>768</v>
      </c>
      <c r="K7876" s="10"/>
      <c r="L7876" s="10">
        <v>20201118</v>
      </c>
      <c r="M7876" s="36" t="str">
        <f t="shared" si="123"/>
        <v>19911114</v>
      </c>
    </row>
    <row r="7877" s="1" customFormat="1" spans="1:13">
      <c r="A7877" s="2">
        <v>1346</v>
      </c>
      <c r="B7877" s="5" t="s">
        <v>2469</v>
      </c>
      <c r="C7877" s="9" t="s">
        <v>3270</v>
      </c>
      <c r="D7877" s="9" t="s">
        <v>3271</v>
      </c>
      <c r="E7877" s="5">
        <v>2020</v>
      </c>
      <c r="F7877" s="5">
        <v>2020</v>
      </c>
      <c r="G7877" s="9" t="s">
        <v>2480</v>
      </c>
      <c r="H7877" s="9">
        <v>200</v>
      </c>
      <c r="I7877" s="9">
        <v>200</v>
      </c>
      <c r="J7877" s="5"/>
      <c r="K7877" s="5"/>
      <c r="L7877" s="10">
        <v>20201118</v>
      </c>
      <c r="M7877" s="36" t="str">
        <f t="shared" si="123"/>
        <v>19911124</v>
      </c>
    </row>
    <row r="7878" s="1" customFormat="1" spans="1:13">
      <c r="A7878" s="2">
        <v>4811</v>
      </c>
      <c r="B7878" s="6" t="s">
        <v>9015</v>
      </c>
      <c r="C7878" s="6" t="s">
        <v>9770</v>
      </c>
      <c r="D7878" s="6" t="s">
        <v>9771</v>
      </c>
      <c r="E7878" s="6">
        <v>2020</v>
      </c>
      <c r="F7878" s="6">
        <v>2020</v>
      </c>
      <c r="G7878" s="6" t="s">
        <v>16</v>
      </c>
      <c r="H7878" s="6">
        <v>200</v>
      </c>
      <c r="I7878" s="6">
        <v>200</v>
      </c>
      <c r="J7878" s="6"/>
      <c r="K7878" s="6"/>
      <c r="L7878" s="10">
        <v>20201118</v>
      </c>
      <c r="M7878" s="36" t="str">
        <f t="shared" si="123"/>
        <v>19911129</v>
      </c>
    </row>
    <row r="7879" s="1" customFormat="1" spans="1:13">
      <c r="A7879" s="2">
        <v>7828</v>
      </c>
      <c r="B7879" s="5" t="s">
        <v>15086</v>
      </c>
      <c r="C7879" s="6" t="s">
        <v>15096</v>
      </c>
      <c r="D7879" s="6" t="s">
        <v>15097</v>
      </c>
      <c r="E7879" s="5" t="s">
        <v>15</v>
      </c>
      <c r="F7879" s="5">
        <v>2020</v>
      </c>
      <c r="G7879" s="5" t="s">
        <v>16</v>
      </c>
      <c r="H7879" s="5">
        <v>200</v>
      </c>
      <c r="I7879" s="5">
        <v>200</v>
      </c>
      <c r="J7879" s="5"/>
      <c r="K7879" s="5"/>
      <c r="L7879" s="10">
        <v>20201118</v>
      </c>
      <c r="M7879" s="36" t="str">
        <f t="shared" si="123"/>
        <v>19911211</v>
      </c>
    </row>
    <row r="7880" s="1" customFormat="1" spans="1:13">
      <c r="A7880" s="2">
        <v>1822</v>
      </c>
      <c r="B7880" s="5" t="s">
        <v>4189</v>
      </c>
      <c r="C7880" s="16" t="s">
        <v>4209</v>
      </c>
      <c r="D7880" s="16" t="s">
        <v>4210</v>
      </c>
      <c r="E7880" s="5" t="s">
        <v>15</v>
      </c>
      <c r="F7880" s="5" t="s">
        <v>15</v>
      </c>
      <c r="G7880" s="5" t="s">
        <v>3359</v>
      </c>
      <c r="H7880" s="16">
        <v>200</v>
      </c>
      <c r="I7880" s="16">
        <v>200</v>
      </c>
      <c r="J7880" s="5"/>
      <c r="K7880" s="10"/>
      <c r="L7880" s="10">
        <v>20201118</v>
      </c>
      <c r="M7880" s="36" t="str">
        <f t="shared" si="123"/>
        <v>19911223</v>
      </c>
    </row>
    <row r="7881" s="1" customFormat="1" ht="14.25" spans="1:13">
      <c r="A7881" s="2">
        <v>5478</v>
      </c>
      <c r="B7881" s="33" t="s">
        <v>10535</v>
      </c>
      <c r="C7881" s="34" t="s">
        <v>11051</v>
      </c>
      <c r="D7881" s="34" t="s">
        <v>11052</v>
      </c>
      <c r="E7881" s="35">
        <v>2020</v>
      </c>
      <c r="F7881" s="35">
        <v>2020</v>
      </c>
      <c r="G7881" s="35" t="s">
        <v>16</v>
      </c>
      <c r="H7881" s="34">
        <v>500</v>
      </c>
      <c r="I7881" s="34">
        <v>500</v>
      </c>
      <c r="J7881" s="49"/>
      <c r="K7881" s="10"/>
      <c r="L7881" s="10">
        <v>20201118</v>
      </c>
      <c r="M7881" s="36" t="str">
        <f t="shared" si="123"/>
        <v>19920102</v>
      </c>
    </row>
    <row r="7882" s="1" customFormat="1" spans="1:13">
      <c r="A7882" s="2">
        <v>2383</v>
      </c>
      <c r="B7882" s="9" t="s">
        <v>4837</v>
      </c>
      <c r="C7882" s="9" t="s">
        <v>5303</v>
      </c>
      <c r="D7882" s="9" t="s">
        <v>5304</v>
      </c>
      <c r="E7882" s="6" t="s">
        <v>15</v>
      </c>
      <c r="F7882" s="6">
        <v>2020</v>
      </c>
      <c r="G7882" s="9" t="s">
        <v>2480</v>
      </c>
      <c r="H7882" s="9">
        <v>200</v>
      </c>
      <c r="I7882" s="9">
        <v>200</v>
      </c>
      <c r="J7882" s="6"/>
      <c r="K7882" s="10"/>
      <c r="L7882" s="10">
        <v>20201118</v>
      </c>
      <c r="M7882" s="36" t="str">
        <f t="shared" si="123"/>
        <v>19920103</v>
      </c>
    </row>
    <row r="7883" s="1" customFormat="1" spans="1:13">
      <c r="A7883" s="2">
        <v>5749</v>
      </c>
      <c r="B7883" s="30" t="s">
        <v>11090</v>
      </c>
      <c r="C7883" s="30" t="s">
        <v>11582</v>
      </c>
      <c r="D7883" s="30" t="s">
        <v>11583</v>
      </c>
      <c r="E7883" s="5" t="s">
        <v>15</v>
      </c>
      <c r="F7883" s="5" t="s">
        <v>10250</v>
      </c>
      <c r="G7883" s="6" t="s">
        <v>16</v>
      </c>
      <c r="H7883" s="32">
        <v>200</v>
      </c>
      <c r="I7883" s="32">
        <v>200</v>
      </c>
      <c r="J7883" s="6"/>
      <c r="K7883" s="48"/>
      <c r="L7883" s="10">
        <v>20201118</v>
      </c>
      <c r="M7883" s="36" t="str">
        <f t="shared" si="123"/>
        <v>19920112</v>
      </c>
    </row>
    <row r="7884" s="1" customFormat="1" spans="1:13">
      <c r="A7884" s="2">
        <v>1347</v>
      </c>
      <c r="B7884" s="5" t="s">
        <v>2469</v>
      </c>
      <c r="C7884" s="9" t="s">
        <v>3272</v>
      </c>
      <c r="D7884" s="9" t="s">
        <v>3273</v>
      </c>
      <c r="E7884" s="5">
        <v>2020</v>
      </c>
      <c r="F7884" s="5">
        <v>2020</v>
      </c>
      <c r="G7884" s="9" t="s">
        <v>2480</v>
      </c>
      <c r="H7884" s="9">
        <v>200</v>
      </c>
      <c r="I7884" s="9">
        <v>200</v>
      </c>
      <c r="J7884" s="5"/>
      <c r="K7884" s="5"/>
      <c r="L7884" s="10">
        <v>20201118</v>
      </c>
      <c r="M7884" s="36" t="str">
        <f t="shared" si="123"/>
        <v>19920121</v>
      </c>
    </row>
    <row r="7885" s="1" customFormat="1" spans="1:13">
      <c r="A7885" s="2">
        <v>7403</v>
      </c>
      <c r="B7885" s="5" t="s">
        <v>14402</v>
      </c>
      <c r="C7885" s="5" t="s">
        <v>14429</v>
      </c>
      <c r="D7885" s="5" t="s">
        <v>14430</v>
      </c>
      <c r="E7885" s="5">
        <v>2020</v>
      </c>
      <c r="F7885" s="5">
        <v>2020</v>
      </c>
      <c r="G7885" s="17" t="s">
        <v>16</v>
      </c>
      <c r="H7885" s="5">
        <v>200</v>
      </c>
      <c r="I7885" s="17">
        <v>200</v>
      </c>
      <c r="J7885" s="5"/>
      <c r="K7885" s="10"/>
      <c r="L7885" s="10">
        <v>20201118</v>
      </c>
      <c r="M7885" s="36" t="str">
        <f t="shared" si="123"/>
        <v>19920127</v>
      </c>
    </row>
    <row r="7886" s="1" customFormat="1" spans="1:13">
      <c r="A7886" s="2">
        <v>4134</v>
      </c>
      <c r="B7886" s="5" t="s">
        <v>7412</v>
      </c>
      <c r="C7886" s="5" t="s">
        <v>8475</v>
      </c>
      <c r="D7886" s="5" t="s">
        <v>8476</v>
      </c>
      <c r="E7886" s="6">
        <v>2020</v>
      </c>
      <c r="F7886" s="6">
        <v>2020</v>
      </c>
      <c r="G7886" s="5" t="s">
        <v>3359</v>
      </c>
      <c r="H7886" s="5">
        <v>200</v>
      </c>
      <c r="I7886" s="5">
        <v>200</v>
      </c>
      <c r="J7886" s="5"/>
      <c r="K7886" s="5"/>
      <c r="L7886" s="10">
        <v>20201118</v>
      </c>
      <c r="M7886" s="36" t="str">
        <f t="shared" si="123"/>
        <v>19920202</v>
      </c>
    </row>
    <row r="7887" s="1" customFormat="1" spans="1:13">
      <c r="A7887" s="2">
        <v>3554</v>
      </c>
      <c r="B7887" s="5" t="s">
        <v>3375</v>
      </c>
      <c r="C7887" s="5" t="s">
        <v>7378</v>
      </c>
      <c r="D7887" s="296" t="s">
        <v>7379</v>
      </c>
      <c r="E7887" s="5" t="s">
        <v>15</v>
      </c>
      <c r="F7887" s="5">
        <v>2020</v>
      </c>
      <c r="G7887" s="14" t="s">
        <v>16</v>
      </c>
      <c r="H7887" s="5">
        <v>200</v>
      </c>
      <c r="I7887" s="5">
        <v>200</v>
      </c>
      <c r="J7887" s="5"/>
      <c r="K7887" s="10"/>
      <c r="L7887" s="10">
        <v>20201118</v>
      </c>
      <c r="M7887" s="36" t="str">
        <f t="shared" si="123"/>
        <v>19920205</v>
      </c>
    </row>
    <row r="7888" s="1" customFormat="1" spans="1:13">
      <c r="A7888" s="2">
        <v>6103</v>
      </c>
      <c r="B7888" s="30" t="s">
        <v>11090</v>
      </c>
      <c r="C7888" s="32" t="s">
        <v>12242</v>
      </c>
      <c r="D7888" s="315" t="s">
        <v>12243</v>
      </c>
      <c r="E7888" s="5" t="s">
        <v>15</v>
      </c>
      <c r="F7888" s="5" t="s">
        <v>10250</v>
      </c>
      <c r="G7888" s="32" t="s">
        <v>12241</v>
      </c>
      <c r="H7888" s="32">
        <v>200</v>
      </c>
      <c r="I7888" s="32">
        <v>200</v>
      </c>
      <c r="J7888" s="5"/>
      <c r="K7888" s="48"/>
      <c r="L7888" s="10">
        <v>20201118</v>
      </c>
      <c r="M7888" s="36" t="str">
        <f t="shared" si="123"/>
        <v>19920207</v>
      </c>
    </row>
    <row r="7889" s="1" customFormat="1" ht="14.25" spans="1:13">
      <c r="A7889" s="2">
        <v>6045</v>
      </c>
      <c r="B7889" s="30" t="s">
        <v>11090</v>
      </c>
      <c r="C7889" s="32" t="s">
        <v>12133</v>
      </c>
      <c r="D7889" s="12" t="s">
        <v>12134</v>
      </c>
      <c r="E7889" s="5" t="s">
        <v>15</v>
      </c>
      <c r="F7889" s="5" t="s">
        <v>10250</v>
      </c>
      <c r="G7889" s="6" t="s">
        <v>16</v>
      </c>
      <c r="H7889" s="32">
        <v>200</v>
      </c>
      <c r="I7889" s="32">
        <v>200</v>
      </c>
      <c r="J7889" s="5"/>
      <c r="K7889" s="48"/>
      <c r="L7889" s="10">
        <v>20201118</v>
      </c>
      <c r="M7889" s="36" t="str">
        <f t="shared" si="123"/>
        <v>19920212</v>
      </c>
    </row>
    <row r="7890" s="1" customFormat="1" spans="1:13">
      <c r="A7890" s="2">
        <v>7255</v>
      </c>
      <c r="B7890" s="5" t="s">
        <v>13908</v>
      </c>
      <c r="C7890" s="5" t="s">
        <v>14152</v>
      </c>
      <c r="D7890" s="5" t="s">
        <v>14153</v>
      </c>
      <c r="E7890" s="5" t="s">
        <v>15</v>
      </c>
      <c r="F7890" s="5" t="s">
        <v>15</v>
      </c>
      <c r="G7890" s="14" t="s">
        <v>16</v>
      </c>
      <c r="H7890" s="17">
        <v>200</v>
      </c>
      <c r="I7890" s="17">
        <v>200</v>
      </c>
      <c r="J7890" s="5"/>
      <c r="K7890" s="10"/>
      <c r="L7890" s="10">
        <v>20201118</v>
      </c>
      <c r="M7890" s="36" t="str">
        <f t="shared" si="123"/>
        <v>19920216</v>
      </c>
    </row>
    <row r="7891" s="1" customFormat="1" spans="1:13">
      <c r="A7891" s="2">
        <v>4135</v>
      </c>
      <c r="B7891" s="5" t="s">
        <v>7412</v>
      </c>
      <c r="C7891" s="5" t="s">
        <v>8477</v>
      </c>
      <c r="D7891" s="5" t="s">
        <v>8478</v>
      </c>
      <c r="E7891" s="6">
        <v>2020</v>
      </c>
      <c r="F7891" s="6">
        <v>2020</v>
      </c>
      <c r="G7891" s="5" t="s">
        <v>3359</v>
      </c>
      <c r="H7891" s="5">
        <v>200</v>
      </c>
      <c r="I7891" s="5">
        <v>200</v>
      </c>
      <c r="J7891" s="5"/>
      <c r="K7891" s="5"/>
      <c r="L7891" s="10">
        <v>20201118</v>
      </c>
      <c r="M7891" s="36" t="str">
        <f t="shared" si="123"/>
        <v>19920220</v>
      </c>
    </row>
    <row r="7892" s="1" customFormat="1" spans="1:13">
      <c r="A7892" s="2">
        <v>4887</v>
      </c>
      <c r="B7892" s="6" t="s">
        <v>9015</v>
      </c>
      <c r="C7892" s="6" t="s">
        <v>9916</v>
      </c>
      <c r="D7892" s="293" t="s">
        <v>9917</v>
      </c>
      <c r="E7892" s="6">
        <v>2020</v>
      </c>
      <c r="F7892" s="6">
        <v>2020</v>
      </c>
      <c r="G7892" s="6" t="s">
        <v>189</v>
      </c>
      <c r="H7892" s="6">
        <v>200</v>
      </c>
      <c r="I7892" s="6">
        <v>200</v>
      </c>
      <c r="J7892" s="6"/>
      <c r="K7892" s="6"/>
      <c r="L7892" s="10">
        <v>20201118</v>
      </c>
      <c r="M7892" s="36" t="str">
        <f t="shared" si="123"/>
        <v>19920220</v>
      </c>
    </row>
    <row r="7893" s="1" customFormat="1" spans="1:13">
      <c r="A7893" s="2">
        <v>155</v>
      </c>
      <c r="B7893" s="14" t="s">
        <v>327</v>
      </c>
      <c r="C7893" s="14" t="s">
        <v>353</v>
      </c>
      <c r="D7893" s="14" t="s">
        <v>354</v>
      </c>
      <c r="E7893" s="5">
        <v>2020</v>
      </c>
      <c r="F7893" s="5">
        <v>2020</v>
      </c>
      <c r="G7893" s="14" t="s">
        <v>16</v>
      </c>
      <c r="H7893" s="14">
        <v>200</v>
      </c>
      <c r="I7893" s="14">
        <v>200</v>
      </c>
      <c r="J7893" s="14"/>
      <c r="K7893" s="10"/>
      <c r="L7893" s="2" t="s">
        <v>330</v>
      </c>
      <c r="M7893" s="36" t="str">
        <f t="shared" si="123"/>
        <v>19920305</v>
      </c>
    </row>
    <row r="7894" s="1" customFormat="1" spans="1:13">
      <c r="A7894" s="2">
        <v>4136</v>
      </c>
      <c r="B7894" s="5" t="s">
        <v>7412</v>
      </c>
      <c r="C7894" s="5" t="s">
        <v>8479</v>
      </c>
      <c r="D7894" s="5" t="s">
        <v>8480</v>
      </c>
      <c r="E7894" s="6">
        <v>2020</v>
      </c>
      <c r="F7894" s="6">
        <v>2020</v>
      </c>
      <c r="G7894" s="5" t="s">
        <v>3359</v>
      </c>
      <c r="H7894" s="5">
        <v>200</v>
      </c>
      <c r="I7894" s="5">
        <v>200</v>
      </c>
      <c r="J7894" s="5"/>
      <c r="K7894" s="5"/>
      <c r="L7894" s="10">
        <v>20201118</v>
      </c>
      <c r="M7894" s="36" t="str">
        <f t="shared" si="123"/>
        <v>19920312</v>
      </c>
    </row>
    <row r="7895" s="1" customFormat="1" spans="1:13">
      <c r="A7895" s="2">
        <v>6196</v>
      </c>
      <c r="B7895" s="5" t="s">
        <v>12263</v>
      </c>
      <c r="C7895" s="5" t="s">
        <v>12421</v>
      </c>
      <c r="D7895" s="5" t="s">
        <v>12422</v>
      </c>
      <c r="E7895" s="5" t="s">
        <v>10250</v>
      </c>
      <c r="F7895" s="5">
        <v>2020</v>
      </c>
      <c r="G7895" s="17" t="s">
        <v>3359</v>
      </c>
      <c r="H7895" s="5">
        <v>200</v>
      </c>
      <c r="I7895" s="5">
        <v>200</v>
      </c>
      <c r="J7895" s="5"/>
      <c r="K7895" s="5"/>
      <c r="L7895" s="10">
        <v>20201118</v>
      </c>
      <c r="M7895" s="36" t="str">
        <f t="shared" si="123"/>
        <v>19920317</v>
      </c>
    </row>
    <row r="7896" s="1" customFormat="1" spans="1:13">
      <c r="A7896" s="2">
        <v>3543</v>
      </c>
      <c r="B7896" s="5" t="s">
        <v>3375</v>
      </c>
      <c r="C7896" s="5" t="s">
        <v>7356</v>
      </c>
      <c r="D7896" s="296" t="s">
        <v>7357</v>
      </c>
      <c r="E7896" s="5" t="s">
        <v>15</v>
      </c>
      <c r="F7896" s="5">
        <v>2020</v>
      </c>
      <c r="G7896" s="14" t="s">
        <v>16</v>
      </c>
      <c r="H7896" s="5">
        <v>200</v>
      </c>
      <c r="I7896" s="5">
        <v>200</v>
      </c>
      <c r="J7896" s="5"/>
      <c r="K7896" s="10"/>
      <c r="L7896" s="10">
        <v>20201118</v>
      </c>
      <c r="M7896" s="36" t="str">
        <f t="shared" si="123"/>
        <v>19920325</v>
      </c>
    </row>
    <row r="7897" s="1" customFormat="1" ht="14.25" spans="1:13">
      <c r="A7897" s="2">
        <v>6043</v>
      </c>
      <c r="B7897" s="30" t="s">
        <v>11090</v>
      </c>
      <c r="C7897" s="32" t="s">
        <v>12129</v>
      </c>
      <c r="D7897" s="12" t="s">
        <v>12130</v>
      </c>
      <c r="E7897" s="5" t="s">
        <v>15</v>
      </c>
      <c r="F7897" s="5" t="s">
        <v>10250</v>
      </c>
      <c r="G7897" s="6" t="s">
        <v>16</v>
      </c>
      <c r="H7897" s="32">
        <v>200</v>
      </c>
      <c r="I7897" s="32">
        <v>200</v>
      </c>
      <c r="J7897" s="5"/>
      <c r="K7897" s="48"/>
      <c r="L7897" s="10">
        <v>20201118</v>
      </c>
      <c r="M7897" s="36" t="str">
        <f t="shared" si="123"/>
        <v>19920326</v>
      </c>
    </row>
    <row r="7898" s="1" customFormat="1" spans="1:13">
      <c r="A7898" s="2">
        <v>6791</v>
      </c>
      <c r="B7898" s="5" t="s">
        <v>13533</v>
      </c>
      <c r="C7898" s="32" t="s">
        <v>13541</v>
      </c>
      <c r="D7898" s="32" t="str">
        <f>"152326199204067123"</f>
        <v>152326199204067123</v>
      </c>
      <c r="E7898" s="5">
        <v>2020</v>
      </c>
      <c r="F7898" s="5">
        <v>2020</v>
      </c>
      <c r="G7898" s="9" t="s">
        <v>2480</v>
      </c>
      <c r="H7898" s="32">
        <v>200</v>
      </c>
      <c r="I7898" s="32">
        <v>200</v>
      </c>
      <c r="J7898" s="62"/>
      <c r="K7898" s="10"/>
      <c r="L7898" s="10">
        <v>20201118</v>
      </c>
      <c r="M7898" s="36" t="str">
        <f t="shared" si="123"/>
        <v>19920406</v>
      </c>
    </row>
    <row r="7899" s="1" customFormat="1" spans="1:13">
      <c r="A7899" s="2">
        <v>336</v>
      </c>
      <c r="B7899" s="14" t="s">
        <v>327</v>
      </c>
      <c r="C7899" s="17" t="s">
        <v>896</v>
      </c>
      <c r="D7899" s="306" t="s">
        <v>897</v>
      </c>
      <c r="E7899" s="5">
        <v>2020</v>
      </c>
      <c r="F7899" s="5">
        <v>2020</v>
      </c>
      <c r="G7899" s="14" t="s">
        <v>16</v>
      </c>
      <c r="H7899" s="17">
        <v>200</v>
      </c>
      <c r="I7899" s="17">
        <v>200</v>
      </c>
      <c r="J7899" s="17"/>
      <c r="K7899" s="10"/>
      <c r="L7899" s="14" t="s">
        <v>330</v>
      </c>
      <c r="M7899" s="36" t="str">
        <f t="shared" si="123"/>
        <v>19920409</v>
      </c>
    </row>
    <row r="7900" s="1" customFormat="1" spans="1:13">
      <c r="A7900" s="2">
        <v>1348</v>
      </c>
      <c r="B7900" s="5" t="s">
        <v>2469</v>
      </c>
      <c r="C7900" s="9" t="s">
        <v>3274</v>
      </c>
      <c r="D7900" s="9" t="s">
        <v>3275</v>
      </c>
      <c r="E7900" s="5">
        <v>2020</v>
      </c>
      <c r="F7900" s="5">
        <v>2020</v>
      </c>
      <c r="G7900" s="9" t="s">
        <v>2480</v>
      </c>
      <c r="H7900" s="9">
        <v>200</v>
      </c>
      <c r="I7900" s="9">
        <v>200</v>
      </c>
      <c r="J7900" s="5"/>
      <c r="K7900" s="5"/>
      <c r="L7900" s="10">
        <v>20201118</v>
      </c>
      <c r="M7900" s="36" t="str">
        <f t="shared" si="123"/>
        <v>19920422</v>
      </c>
    </row>
    <row r="7901" s="1" customFormat="1" spans="1:13">
      <c r="A7901" s="2">
        <v>2078</v>
      </c>
      <c r="B7901" s="5" t="s">
        <v>4189</v>
      </c>
      <c r="C7901" s="16" t="s">
        <v>3144</v>
      </c>
      <c r="D7901" s="16" t="s">
        <v>4709</v>
      </c>
      <c r="E7901" s="5" t="s">
        <v>15</v>
      </c>
      <c r="F7901" s="5" t="s">
        <v>15</v>
      </c>
      <c r="G7901" s="5" t="s">
        <v>3359</v>
      </c>
      <c r="H7901" s="16">
        <v>200</v>
      </c>
      <c r="I7901" s="16">
        <v>200</v>
      </c>
      <c r="J7901" s="5"/>
      <c r="K7901" s="10"/>
      <c r="L7901" s="10">
        <v>20201118</v>
      </c>
      <c r="M7901" s="36" t="str">
        <f t="shared" si="123"/>
        <v>19920427</v>
      </c>
    </row>
    <row r="7902" s="1" customFormat="1" ht="14.25" spans="1:13">
      <c r="A7902" s="2">
        <v>6046</v>
      </c>
      <c r="B7902" s="30" t="s">
        <v>11090</v>
      </c>
      <c r="C7902" s="32" t="s">
        <v>12135</v>
      </c>
      <c r="D7902" s="12" t="s">
        <v>12136</v>
      </c>
      <c r="E7902" s="5" t="s">
        <v>15</v>
      </c>
      <c r="F7902" s="5" t="s">
        <v>10250</v>
      </c>
      <c r="G7902" s="6" t="s">
        <v>16</v>
      </c>
      <c r="H7902" s="32">
        <v>200</v>
      </c>
      <c r="I7902" s="32">
        <v>200</v>
      </c>
      <c r="J7902" s="5"/>
      <c r="K7902" s="48"/>
      <c r="L7902" s="10">
        <v>20201118</v>
      </c>
      <c r="M7902" s="36" t="str">
        <f t="shared" si="123"/>
        <v>19920501</v>
      </c>
    </row>
    <row r="7903" s="1" customFormat="1" spans="1:13">
      <c r="A7903" s="2">
        <v>239</v>
      </c>
      <c r="B7903" s="14" t="s">
        <v>327</v>
      </c>
      <c r="C7903" s="14" t="s">
        <v>603</v>
      </c>
      <c r="D7903" s="14" t="s">
        <v>604</v>
      </c>
      <c r="E7903" s="5">
        <v>2020</v>
      </c>
      <c r="F7903" s="5">
        <v>2020</v>
      </c>
      <c r="G7903" s="14" t="s">
        <v>16</v>
      </c>
      <c r="H7903" s="14">
        <v>500</v>
      </c>
      <c r="I7903" s="14">
        <v>500</v>
      </c>
      <c r="J7903" s="14"/>
      <c r="K7903" s="10"/>
      <c r="L7903" s="2" t="s">
        <v>330</v>
      </c>
      <c r="M7903" s="36" t="str">
        <f t="shared" si="123"/>
        <v>19920511</v>
      </c>
    </row>
    <row r="7904" s="1" customFormat="1" spans="1:13">
      <c r="A7904" s="2">
        <v>1349</v>
      </c>
      <c r="B7904" s="5" t="s">
        <v>2469</v>
      </c>
      <c r="C7904" s="9" t="s">
        <v>3276</v>
      </c>
      <c r="D7904" s="9" t="s">
        <v>3277</v>
      </c>
      <c r="E7904" s="5">
        <v>2020</v>
      </c>
      <c r="F7904" s="5">
        <v>2020</v>
      </c>
      <c r="G7904" s="9" t="s">
        <v>2480</v>
      </c>
      <c r="H7904" s="9">
        <v>200</v>
      </c>
      <c r="I7904" s="9">
        <v>200</v>
      </c>
      <c r="J7904" s="5"/>
      <c r="K7904" s="5"/>
      <c r="L7904" s="10">
        <v>20201118</v>
      </c>
      <c r="M7904" s="36" t="str">
        <f t="shared" si="123"/>
        <v>19920511</v>
      </c>
    </row>
    <row r="7905" s="1" customFormat="1" spans="1:13">
      <c r="A7905" s="2">
        <v>4928</v>
      </c>
      <c r="B7905" s="6" t="s">
        <v>9954</v>
      </c>
      <c r="C7905" s="60" t="s">
        <v>9997</v>
      </c>
      <c r="D7905" s="60" t="s">
        <v>9998</v>
      </c>
      <c r="E7905" s="5" t="s">
        <v>15</v>
      </c>
      <c r="F7905" s="5" t="s">
        <v>15</v>
      </c>
      <c r="G7905" s="14" t="s">
        <v>16</v>
      </c>
      <c r="H7905" s="6">
        <v>200</v>
      </c>
      <c r="I7905" s="6">
        <v>200</v>
      </c>
      <c r="J7905" s="6"/>
      <c r="K7905" s="6"/>
      <c r="L7905" s="10">
        <v>20201118</v>
      </c>
      <c r="M7905" s="36" t="str">
        <f t="shared" si="123"/>
        <v>19920518</v>
      </c>
    </row>
    <row r="7906" s="1" customFormat="1" spans="1:13">
      <c r="A7906" s="2">
        <v>7179</v>
      </c>
      <c r="B7906" s="5" t="s">
        <v>13908</v>
      </c>
      <c r="C7906" s="5" t="s">
        <v>14011</v>
      </c>
      <c r="D7906" s="5" t="s">
        <v>14012</v>
      </c>
      <c r="E7906" s="5" t="s">
        <v>15</v>
      </c>
      <c r="F7906" s="5" t="s">
        <v>15</v>
      </c>
      <c r="G7906" s="14" t="s">
        <v>16</v>
      </c>
      <c r="H7906" s="17">
        <v>200</v>
      </c>
      <c r="I7906" s="17">
        <v>200</v>
      </c>
      <c r="J7906" s="5"/>
      <c r="K7906" s="10"/>
      <c r="L7906" s="10">
        <v>20201118</v>
      </c>
      <c r="M7906" s="36" t="str">
        <f t="shared" si="123"/>
        <v>19920528</v>
      </c>
    </row>
    <row r="7907" s="1" customFormat="1" spans="1:13">
      <c r="A7907" s="2">
        <v>4137</v>
      </c>
      <c r="B7907" s="5" t="s">
        <v>7412</v>
      </c>
      <c r="C7907" s="5" t="s">
        <v>878</v>
      </c>
      <c r="D7907" s="5" t="s">
        <v>8481</v>
      </c>
      <c r="E7907" s="6">
        <v>2020</v>
      </c>
      <c r="F7907" s="6">
        <v>2020</v>
      </c>
      <c r="G7907" s="5" t="s">
        <v>3359</v>
      </c>
      <c r="H7907" s="5">
        <v>200</v>
      </c>
      <c r="I7907" s="5">
        <v>200</v>
      </c>
      <c r="J7907" s="5"/>
      <c r="K7907" s="5"/>
      <c r="L7907" s="10">
        <v>20201118</v>
      </c>
      <c r="M7907" s="36" t="str">
        <f t="shared" si="123"/>
        <v>19920529</v>
      </c>
    </row>
    <row r="7908" s="1" customFormat="1" spans="1:13">
      <c r="A7908" s="2">
        <v>2757</v>
      </c>
      <c r="B7908" s="32" t="s">
        <v>5602</v>
      </c>
      <c r="C7908" s="9" t="s">
        <v>6042</v>
      </c>
      <c r="D7908" s="9" t="s">
        <v>6043</v>
      </c>
      <c r="E7908" s="32">
        <v>2020</v>
      </c>
      <c r="F7908" s="32">
        <v>2020</v>
      </c>
      <c r="G7908" s="32" t="s">
        <v>16</v>
      </c>
      <c r="H7908" s="9">
        <v>200</v>
      </c>
      <c r="I7908" s="9">
        <v>200</v>
      </c>
      <c r="J7908" s="32"/>
      <c r="K7908" s="52"/>
      <c r="L7908" s="10">
        <v>20201118</v>
      </c>
      <c r="M7908" s="36" t="str">
        <f t="shared" si="123"/>
        <v>19920704</v>
      </c>
    </row>
    <row r="7909" s="1" customFormat="1" spans="1:13">
      <c r="A7909" s="2">
        <v>7256</v>
      </c>
      <c r="B7909" s="5" t="s">
        <v>13908</v>
      </c>
      <c r="C7909" s="5" t="s">
        <v>14154</v>
      </c>
      <c r="D7909" s="5" t="s">
        <v>14155</v>
      </c>
      <c r="E7909" s="5" t="s">
        <v>15</v>
      </c>
      <c r="F7909" s="5" t="s">
        <v>15</v>
      </c>
      <c r="G7909" s="14" t="s">
        <v>16</v>
      </c>
      <c r="H7909" s="17">
        <v>200</v>
      </c>
      <c r="I7909" s="17">
        <v>200</v>
      </c>
      <c r="J7909" s="5"/>
      <c r="K7909" s="10"/>
      <c r="L7909" s="10">
        <v>20201118</v>
      </c>
      <c r="M7909" s="36" t="str">
        <f t="shared" si="123"/>
        <v>19920706</v>
      </c>
    </row>
    <row r="7910" s="1" customFormat="1" spans="1:13">
      <c r="A7910" s="2">
        <v>2080</v>
      </c>
      <c r="B7910" s="5" t="s">
        <v>4189</v>
      </c>
      <c r="C7910" s="16" t="s">
        <v>4589</v>
      </c>
      <c r="D7910" s="16" t="s">
        <v>4712</v>
      </c>
      <c r="E7910" s="5" t="s">
        <v>15</v>
      </c>
      <c r="F7910" s="5" t="s">
        <v>15</v>
      </c>
      <c r="G7910" s="5" t="s">
        <v>3359</v>
      </c>
      <c r="H7910" s="16">
        <v>200</v>
      </c>
      <c r="I7910" s="16">
        <v>200</v>
      </c>
      <c r="J7910" s="5"/>
      <c r="K7910" s="10"/>
      <c r="L7910" s="10">
        <v>20201118</v>
      </c>
      <c r="M7910" s="36" t="str">
        <f t="shared" si="123"/>
        <v>19920722</v>
      </c>
    </row>
    <row r="7911" s="1" customFormat="1" spans="1:13">
      <c r="A7911" s="2">
        <v>4393</v>
      </c>
      <c r="B7911" s="9" t="s">
        <v>8515</v>
      </c>
      <c r="C7911" s="9" t="s">
        <v>8974</v>
      </c>
      <c r="D7911" s="9" t="s">
        <v>8975</v>
      </c>
      <c r="E7911" s="5" t="s">
        <v>15</v>
      </c>
      <c r="F7911" s="5">
        <v>2020</v>
      </c>
      <c r="G7911" s="9" t="s">
        <v>2480</v>
      </c>
      <c r="H7911" s="9">
        <v>200</v>
      </c>
      <c r="I7911" s="9">
        <v>200</v>
      </c>
      <c r="J7911" s="9"/>
      <c r="K7911" s="9"/>
      <c r="L7911" s="10">
        <v>20201118</v>
      </c>
      <c r="M7911" s="36" t="str">
        <f t="shared" si="123"/>
        <v>19920722</v>
      </c>
    </row>
    <row r="7912" s="1" customFormat="1" spans="1:13">
      <c r="A7912" s="2">
        <v>2758</v>
      </c>
      <c r="B7912" s="32" t="s">
        <v>5602</v>
      </c>
      <c r="C7912" s="9" t="s">
        <v>6044</v>
      </c>
      <c r="D7912" s="9" t="s">
        <v>6045</v>
      </c>
      <c r="E7912" s="32">
        <v>2020</v>
      </c>
      <c r="F7912" s="32">
        <v>2020</v>
      </c>
      <c r="G7912" s="32" t="s">
        <v>16</v>
      </c>
      <c r="H7912" s="9">
        <v>200</v>
      </c>
      <c r="I7912" s="9">
        <v>200</v>
      </c>
      <c r="J7912" s="32"/>
      <c r="K7912" s="52"/>
      <c r="L7912" s="10">
        <v>20201118</v>
      </c>
      <c r="M7912" s="36" t="str">
        <f t="shared" si="123"/>
        <v>19920723</v>
      </c>
    </row>
    <row r="7913" s="1" customFormat="1" spans="1:13">
      <c r="A7913" s="2">
        <v>777</v>
      </c>
      <c r="B7913" s="29" t="s">
        <v>1040</v>
      </c>
      <c r="C7913" s="5" t="s">
        <v>1981</v>
      </c>
      <c r="D7913" s="317" t="s">
        <v>1982</v>
      </c>
      <c r="E7913" s="30">
        <v>2020</v>
      </c>
      <c r="F7913" s="30">
        <v>2020</v>
      </c>
      <c r="G7913" s="29" t="s">
        <v>16</v>
      </c>
      <c r="H7913" s="29">
        <v>200</v>
      </c>
      <c r="I7913" s="29">
        <v>200</v>
      </c>
      <c r="J7913" s="32"/>
      <c r="K7913" s="32"/>
      <c r="L7913" s="2" t="s">
        <v>330</v>
      </c>
      <c r="M7913" s="36" t="str">
        <f t="shared" si="123"/>
        <v>19920727</v>
      </c>
    </row>
    <row r="7914" s="1" customFormat="1" spans="1:13">
      <c r="A7914" s="2">
        <v>6792</v>
      </c>
      <c r="B7914" s="5" t="s">
        <v>13533</v>
      </c>
      <c r="C7914" s="32" t="s">
        <v>13542</v>
      </c>
      <c r="D7914" s="32" t="str">
        <f>"152326199207277118"</f>
        <v>152326199207277118</v>
      </c>
      <c r="E7914" s="5">
        <v>2020</v>
      </c>
      <c r="F7914" s="5">
        <v>2020</v>
      </c>
      <c r="G7914" s="9" t="s">
        <v>2480</v>
      </c>
      <c r="H7914" s="32">
        <v>200</v>
      </c>
      <c r="I7914" s="32">
        <v>200</v>
      </c>
      <c r="J7914" s="62"/>
      <c r="K7914" s="10"/>
      <c r="L7914" s="10">
        <v>20201118</v>
      </c>
      <c r="M7914" s="36" t="str">
        <f t="shared" si="123"/>
        <v>19920727</v>
      </c>
    </row>
    <row r="7915" s="1" customFormat="1" spans="1:13">
      <c r="A7915" s="2">
        <v>7824</v>
      </c>
      <c r="B7915" s="5" t="s">
        <v>15086</v>
      </c>
      <c r="C7915" s="6" t="s">
        <v>15090</v>
      </c>
      <c r="D7915" s="6" t="str">
        <f>"152326199208026871"</f>
        <v>152326199208026871</v>
      </c>
      <c r="E7915" s="5" t="s">
        <v>15</v>
      </c>
      <c r="F7915" s="5">
        <v>2020</v>
      </c>
      <c r="G7915" s="5" t="s">
        <v>16</v>
      </c>
      <c r="H7915" s="5">
        <v>200</v>
      </c>
      <c r="I7915" s="5">
        <v>200</v>
      </c>
      <c r="J7915" s="5"/>
      <c r="K7915" s="5"/>
      <c r="L7915" s="10">
        <v>20201118</v>
      </c>
      <c r="M7915" s="36" t="str">
        <f t="shared" si="123"/>
        <v>19920802</v>
      </c>
    </row>
    <row r="7916" s="1" customFormat="1" spans="1:13">
      <c r="A7916" s="2">
        <v>3534</v>
      </c>
      <c r="B7916" s="5" t="s">
        <v>3375</v>
      </c>
      <c r="C7916" s="5" t="s">
        <v>7339</v>
      </c>
      <c r="D7916" s="5" t="s">
        <v>7340</v>
      </c>
      <c r="E7916" s="5" t="s">
        <v>15</v>
      </c>
      <c r="F7916" s="5">
        <v>2020</v>
      </c>
      <c r="G7916" s="14" t="s">
        <v>16</v>
      </c>
      <c r="H7916" s="5">
        <v>200</v>
      </c>
      <c r="I7916" s="5">
        <v>200</v>
      </c>
      <c r="J7916" s="5"/>
      <c r="K7916" s="10"/>
      <c r="L7916" s="10">
        <v>20201118</v>
      </c>
      <c r="M7916" s="36" t="str">
        <f t="shared" si="123"/>
        <v>19920810</v>
      </c>
    </row>
    <row r="7917" s="1" customFormat="1" spans="1:13">
      <c r="A7917" s="2">
        <v>3064</v>
      </c>
      <c r="B7917" s="6" t="s">
        <v>6075</v>
      </c>
      <c r="C7917" s="6" t="s">
        <v>6652</v>
      </c>
      <c r="D7917" s="6" t="s">
        <v>6653</v>
      </c>
      <c r="E7917" s="5" t="s">
        <v>15</v>
      </c>
      <c r="F7917" s="5">
        <v>2020</v>
      </c>
      <c r="G7917" s="6" t="s">
        <v>16</v>
      </c>
      <c r="H7917" s="6" t="s">
        <v>311</v>
      </c>
      <c r="I7917" s="6">
        <v>200</v>
      </c>
      <c r="J7917" s="6"/>
      <c r="K7917" s="10"/>
      <c r="L7917" s="10">
        <v>20201118</v>
      </c>
      <c r="M7917" s="36" t="str">
        <f t="shared" si="123"/>
        <v>19920814</v>
      </c>
    </row>
    <row r="7918" s="1" customFormat="1" spans="1:13">
      <c r="A7918" s="2">
        <v>4138</v>
      </c>
      <c r="B7918" s="5" t="s">
        <v>7412</v>
      </c>
      <c r="C7918" s="5" t="s">
        <v>8482</v>
      </c>
      <c r="D7918" s="5" t="s">
        <v>8483</v>
      </c>
      <c r="E7918" s="6">
        <v>2020</v>
      </c>
      <c r="F7918" s="6">
        <v>2020</v>
      </c>
      <c r="G7918" s="5" t="s">
        <v>3359</v>
      </c>
      <c r="H7918" s="5">
        <v>200</v>
      </c>
      <c r="I7918" s="5">
        <v>200</v>
      </c>
      <c r="J7918" s="5"/>
      <c r="K7918" s="5"/>
      <c r="L7918" s="10">
        <v>20201118</v>
      </c>
      <c r="M7918" s="36" t="str">
        <f t="shared" si="123"/>
        <v>19920816</v>
      </c>
    </row>
    <row r="7919" s="1" customFormat="1" spans="1:13">
      <c r="A7919" s="2">
        <v>1350</v>
      </c>
      <c r="B7919" s="5" t="s">
        <v>2469</v>
      </c>
      <c r="C7919" s="9" t="s">
        <v>3278</v>
      </c>
      <c r="D7919" s="9" t="s">
        <v>3279</v>
      </c>
      <c r="E7919" s="5">
        <v>2020</v>
      </c>
      <c r="F7919" s="5">
        <v>2020</v>
      </c>
      <c r="G7919" s="9" t="s">
        <v>2480</v>
      </c>
      <c r="H7919" s="9">
        <v>200</v>
      </c>
      <c r="I7919" s="9">
        <v>200</v>
      </c>
      <c r="J7919" s="5"/>
      <c r="K7919" s="5"/>
      <c r="L7919" s="10">
        <v>20201118</v>
      </c>
      <c r="M7919" s="36" t="str">
        <f t="shared" si="123"/>
        <v>19920820</v>
      </c>
    </row>
    <row r="7920" s="1" customFormat="1" spans="1:13">
      <c r="A7920" s="2">
        <v>5703</v>
      </c>
      <c r="B7920" s="30" t="s">
        <v>11090</v>
      </c>
      <c r="C7920" s="30" t="s">
        <v>11491</v>
      </c>
      <c r="D7920" s="30" t="s">
        <v>11492</v>
      </c>
      <c r="E7920" s="5" t="s">
        <v>15</v>
      </c>
      <c r="F7920" s="5" t="s">
        <v>10250</v>
      </c>
      <c r="G7920" s="6" t="s">
        <v>16</v>
      </c>
      <c r="H7920" s="32">
        <v>200</v>
      </c>
      <c r="I7920" s="32">
        <v>200</v>
      </c>
      <c r="J7920" s="6"/>
      <c r="K7920" s="48"/>
      <c r="L7920" s="10">
        <v>20201118</v>
      </c>
      <c r="M7920" s="36" t="str">
        <f t="shared" si="123"/>
        <v>19920824</v>
      </c>
    </row>
    <row r="7921" s="1" customFormat="1" spans="1:13">
      <c r="A7921" s="2">
        <v>3558</v>
      </c>
      <c r="B7921" s="5" t="s">
        <v>3375</v>
      </c>
      <c r="C7921" s="5" t="s">
        <v>7386</v>
      </c>
      <c r="D7921" s="296" t="s">
        <v>7387</v>
      </c>
      <c r="E7921" s="5" t="s">
        <v>15</v>
      </c>
      <c r="F7921" s="5">
        <v>2020</v>
      </c>
      <c r="G7921" s="14" t="s">
        <v>16</v>
      </c>
      <c r="H7921" s="5">
        <v>200</v>
      </c>
      <c r="I7921" s="5">
        <v>200</v>
      </c>
      <c r="J7921" s="5"/>
      <c r="K7921" s="10"/>
      <c r="L7921" s="10">
        <v>20201118</v>
      </c>
      <c r="M7921" s="36" t="str">
        <f t="shared" si="123"/>
        <v>19920825</v>
      </c>
    </row>
    <row r="7922" s="1" customFormat="1" spans="1:13">
      <c r="A7922" s="2">
        <v>920</v>
      </c>
      <c r="B7922" s="29" t="s">
        <v>1040</v>
      </c>
      <c r="C7922" s="6" t="s">
        <v>2407</v>
      </c>
      <c r="D7922" s="6" t="s">
        <v>2408</v>
      </c>
      <c r="E7922" s="30">
        <v>2020</v>
      </c>
      <c r="F7922" s="30">
        <v>2020</v>
      </c>
      <c r="G7922" s="29" t="s">
        <v>16</v>
      </c>
      <c r="H7922" s="29">
        <v>200</v>
      </c>
      <c r="I7922" s="29">
        <v>200</v>
      </c>
      <c r="J7922" s="32" t="s">
        <v>1242</v>
      </c>
      <c r="K7922" s="32"/>
      <c r="L7922" s="14" t="s">
        <v>330</v>
      </c>
      <c r="M7922" s="36" t="str">
        <f t="shared" si="123"/>
        <v>19920902</v>
      </c>
    </row>
    <row r="7923" s="1" customFormat="1" spans="1:13">
      <c r="A7923" s="2">
        <v>4883</v>
      </c>
      <c r="B7923" s="6" t="s">
        <v>9015</v>
      </c>
      <c r="C7923" s="6" t="s">
        <v>9908</v>
      </c>
      <c r="D7923" s="293" t="s">
        <v>9909</v>
      </c>
      <c r="E7923" s="6">
        <v>2020</v>
      </c>
      <c r="F7923" s="6">
        <v>2020</v>
      </c>
      <c r="G7923" s="6" t="s">
        <v>16</v>
      </c>
      <c r="H7923" s="6">
        <v>200</v>
      </c>
      <c r="I7923" s="6">
        <v>200</v>
      </c>
      <c r="J7923" s="6"/>
      <c r="K7923" s="6"/>
      <c r="L7923" s="10">
        <v>20201118</v>
      </c>
      <c r="M7923" s="36" t="str">
        <f t="shared" si="123"/>
        <v>19920902</v>
      </c>
    </row>
    <row r="7924" s="1" customFormat="1" ht="14.25" spans="1:13">
      <c r="A7924" s="2">
        <v>6049</v>
      </c>
      <c r="B7924" s="30" t="s">
        <v>11090</v>
      </c>
      <c r="C7924" s="32" t="s">
        <v>12141</v>
      </c>
      <c r="D7924" s="12" t="s">
        <v>12142</v>
      </c>
      <c r="E7924" s="5" t="s">
        <v>15</v>
      </c>
      <c r="F7924" s="5" t="s">
        <v>10250</v>
      </c>
      <c r="G7924" s="6" t="s">
        <v>16</v>
      </c>
      <c r="H7924" s="32">
        <v>200</v>
      </c>
      <c r="I7924" s="32">
        <v>200</v>
      </c>
      <c r="J7924" s="5"/>
      <c r="K7924" s="48"/>
      <c r="L7924" s="10">
        <v>20201118</v>
      </c>
      <c r="M7924" s="36" t="str">
        <f t="shared" si="123"/>
        <v>19920910</v>
      </c>
    </row>
    <row r="7925" s="1" customFormat="1" spans="1:13">
      <c r="A7925" s="2">
        <v>4394</v>
      </c>
      <c r="B7925" s="9" t="s">
        <v>8515</v>
      </c>
      <c r="C7925" s="9" t="s">
        <v>8976</v>
      </c>
      <c r="D7925" s="9" t="s">
        <v>8977</v>
      </c>
      <c r="E7925" s="5" t="s">
        <v>15</v>
      </c>
      <c r="F7925" s="5">
        <v>2020</v>
      </c>
      <c r="G7925" s="9" t="s">
        <v>2480</v>
      </c>
      <c r="H7925" s="9">
        <v>200</v>
      </c>
      <c r="I7925" s="9">
        <v>200</v>
      </c>
      <c r="J7925" s="9"/>
      <c r="K7925" s="9"/>
      <c r="L7925" s="10">
        <v>20201118</v>
      </c>
      <c r="M7925" s="36" t="str">
        <f t="shared" si="123"/>
        <v>19920919</v>
      </c>
    </row>
    <row r="7926" s="1" customFormat="1" spans="1:13">
      <c r="A7926" s="2">
        <v>7825</v>
      </c>
      <c r="B7926" s="5" t="s">
        <v>15086</v>
      </c>
      <c r="C7926" s="6" t="s">
        <v>15091</v>
      </c>
      <c r="D7926" s="6" t="s">
        <v>15092</v>
      </c>
      <c r="E7926" s="5" t="s">
        <v>15</v>
      </c>
      <c r="F7926" s="5">
        <v>2020</v>
      </c>
      <c r="G7926" s="5" t="s">
        <v>16</v>
      </c>
      <c r="H7926" s="5">
        <v>200</v>
      </c>
      <c r="I7926" s="5">
        <v>200</v>
      </c>
      <c r="J7926" s="5" t="s">
        <v>5625</v>
      </c>
      <c r="K7926" s="5"/>
      <c r="L7926" s="10">
        <v>20201118</v>
      </c>
      <c r="M7926" s="36" t="str">
        <f t="shared" si="123"/>
        <v>19920922</v>
      </c>
    </row>
    <row r="7927" s="1" customFormat="1" ht="14.25" spans="1:13">
      <c r="A7927" s="2">
        <v>2135</v>
      </c>
      <c r="B7927" s="5" t="s">
        <v>4189</v>
      </c>
      <c r="C7927" s="17" t="s">
        <v>4819</v>
      </c>
      <c r="D7927" s="318" t="s">
        <v>4820</v>
      </c>
      <c r="E7927" s="5" t="s">
        <v>15</v>
      </c>
      <c r="F7927" s="5" t="s">
        <v>15</v>
      </c>
      <c r="G7927" s="5" t="s">
        <v>295</v>
      </c>
      <c r="H7927" s="6">
        <v>200</v>
      </c>
      <c r="I7927" s="6">
        <v>200</v>
      </c>
      <c r="J7927" s="6"/>
      <c r="K7927" s="10"/>
      <c r="L7927" s="10">
        <v>20201118</v>
      </c>
      <c r="M7927" s="36" t="str">
        <f t="shared" si="123"/>
        <v>19920927</v>
      </c>
    </row>
    <row r="7928" s="1" customFormat="1" ht="14.25" spans="1:13">
      <c r="A7928" s="2">
        <v>6000</v>
      </c>
      <c r="B7928" s="30" t="s">
        <v>11090</v>
      </c>
      <c r="C7928" s="32" t="s">
        <v>12043</v>
      </c>
      <c r="D7928" s="12" t="s">
        <v>12044</v>
      </c>
      <c r="E7928" s="5" t="s">
        <v>15</v>
      </c>
      <c r="F7928" s="5" t="s">
        <v>10250</v>
      </c>
      <c r="G7928" s="6" t="s">
        <v>16</v>
      </c>
      <c r="H7928" s="32">
        <v>200</v>
      </c>
      <c r="I7928" s="32">
        <v>200</v>
      </c>
      <c r="J7928" s="5"/>
      <c r="K7928" s="48"/>
      <c r="L7928" s="10">
        <v>20201118</v>
      </c>
      <c r="M7928" s="36" t="str">
        <f t="shared" si="123"/>
        <v>19921001</v>
      </c>
    </row>
    <row r="7929" s="1" customFormat="1" spans="1:13">
      <c r="A7929" s="2">
        <v>1351</v>
      </c>
      <c r="B7929" s="5" t="s">
        <v>2469</v>
      </c>
      <c r="C7929" s="9" t="s">
        <v>3280</v>
      </c>
      <c r="D7929" s="9" t="s">
        <v>3281</v>
      </c>
      <c r="E7929" s="5">
        <v>2020</v>
      </c>
      <c r="F7929" s="5">
        <v>2020</v>
      </c>
      <c r="G7929" s="9" t="s">
        <v>2480</v>
      </c>
      <c r="H7929" s="9">
        <v>200</v>
      </c>
      <c r="I7929" s="9">
        <v>200</v>
      </c>
      <c r="J7929" s="5"/>
      <c r="K7929" s="5"/>
      <c r="L7929" s="10">
        <v>20201118</v>
      </c>
      <c r="M7929" s="36" t="str">
        <f t="shared" si="123"/>
        <v>19921003</v>
      </c>
    </row>
    <row r="7930" s="1" customFormat="1" spans="1:13">
      <c r="A7930" s="2">
        <v>5913</v>
      </c>
      <c r="B7930" s="30" t="s">
        <v>11090</v>
      </c>
      <c r="C7930" s="30" t="s">
        <v>11877</v>
      </c>
      <c r="D7930" s="30" t="s">
        <v>11878</v>
      </c>
      <c r="E7930" s="5" t="s">
        <v>15</v>
      </c>
      <c r="F7930" s="5" t="s">
        <v>10250</v>
      </c>
      <c r="G7930" s="6" t="s">
        <v>16</v>
      </c>
      <c r="H7930" s="32">
        <v>200</v>
      </c>
      <c r="I7930" s="32">
        <v>200</v>
      </c>
      <c r="J7930" s="6"/>
      <c r="K7930" s="48"/>
      <c r="L7930" s="10">
        <v>20201118</v>
      </c>
      <c r="M7930" s="36" t="str">
        <f t="shared" si="123"/>
        <v>19921003</v>
      </c>
    </row>
    <row r="7931" s="1" customFormat="1" spans="1:13">
      <c r="A7931" s="2">
        <v>6308</v>
      </c>
      <c r="B7931" s="5" t="s">
        <v>12263</v>
      </c>
      <c r="C7931" s="5" t="s">
        <v>12634</v>
      </c>
      <c r="D7931" s="5" t="s">
        <v>12635</v>
      </c>
      <c r="E7931" s="5" t="s">
        <v>10250</v>
      </c>
      <c r="F7931" s="5">
        <v>2020</v>
      </c>
      <c r="G7931" s="17" t="s">
        <v>3359</v>
      </c>
      <c r="H7931" s="5">
        <v>200</v>
      </c>
      <c r="I7931" s="5">
        <v>200</v>
      </c>
      <c r="J7931" s="5"/>
      <c r="K7931" s="5"/>
      <c r="L7931" s="10">
        <v>20201118</v>
      </c>
      <c r="M7931" s="36" t="str">
        <f t="shared" si="123"/>
        <v>19921004</v>
      </c>
    </row>
    <row r="7932" s="1" customFormat="1" spans="1:13">
      <c r="A7932" s="2">
        <v>5182</v>
      </c>
      <c r="B7932" s="6" t="s">
        <v>10242</v>
      </c>
      <c r="C7932" s="9" t="s">
        <v>10487</v>
      </c>
      <c r="D7932" s="9" t="s">
        <v>10488</v>
      </c>
      <c r="E7932" s="5" t="s">
        <v>10250</v>
      </c>
      <c r="F7932" s="5">
        <v>2020</v>
      </c>
      <c r="G7932" s="6" t="s">
        <v>16</v>
      </c>
      <c r="H7932" s="6">
        <v>200</v>
      </c>
      <c r="I7932" s="6">
        <v>200</v>
      </c>
      <c r="J7932" s="6"/>
      <c r="K7932" s="5"/>
      <c r="L7932" s="10">
        <v>20201118</v>
      </c>
      <c r="M7932" s="36" t="str">
        <f t="shared" si="123"/>
        <v>19921010</v>
      </c>
    </row>
    <row r="7933" s="1" customFormat="1" spans="1:13">
      <c r="A7933" s="2">
        <v>3559</v>
      </c>
      <c r="B7933" s="5" t="s">
        <v>3375</v>
      </c>
      <c r="C7933" s="5" t="s">
        <v>7388</v>
      </c>
      <c r="D7933" s="296" t="s">
        <v>7389</v>
      </c>
      <c r="E7933" s="5" t="s">
        <v>15</v>
      </c>
      <c r="F7933" s="5">
        <v>2020</v>
      </c>
      <c r="G7933" s="14" t="s">
        <v>16</v>
      </c>
      <c r="H7933" s="5">
        <v>200</v>
      </c>
      <c r="I7933" s="5">
        <v>200</v>
      </c>
      <c r="J7933" s="5"/>
      <c r="K7933" s="10"/>
      <c r="L7933" s="10">
        <v>20201118</v>
      </c>
      <c r="M7933" s="36" t="str">
        <f t="shared" si="123"/>
        <v>19921013</v>
      </c>
    </row>
    <row r="7934" s="1" customFormat="1" spans="1:13">
      <c r="A7934" s="2">
        <v>5024</v>
      </c>
      <c r="B7934" s="6" t="s">
        <v>9954</v>
      </c>
      <c r="C7934" s="60" t="s">
        <v>10182</v>
      </c>
      <c r="D7934" s="60" t="s">
        <v>10183</v>
      </c>
      <c r="E7934" s="5" t="s">
        <v>15</v>
      </c>
      <c r="F7934" s="5" t="s">
        <v>15</v>
      </c>
      <c r="G7934" s="14" t="s">
        <v>16</v>
      </c>
      <c r="H7934" s="6">
        <v>200</v>
      </c>
      <c r="I7934" s="6">
        <v>200</v>
      </c>
      <c r="J7934" s="6"/>
      <c r="K7934" s="6"/>
      <c r="L7934" s="10">
        <v>20201118</v>
      </c>
      <c r="M7934" s="36" t="str">
        <f t="shared" si="123"/>
        <v>19921015</v>
      </c>
    </row>
    <row r="7935" s="1" customFormat="1" ht="14.25" spans="1:13">
      <c r="A7935" s="2">
        <v>6084</v>
      </c>
      <c r="B7935" s="30" t="s">
        <v>11090</v>
      </c>
      <c r="C7935" s="6" t="s">
        <v>12207</v>
      </c>
      <c r="D7935" s="12" t="s">
        <v>12208</v>
      </c>
      <c r="E7935" s="5" t="s">
        <v>15</v>
      </c>
      <c r="F7935" s="5" t="s">
        <v>10250</v>
      </c>
      <c r="G7935" s="6" t="s">
        <v>16</v>
      </c>
      <c r="H7935" s="32">
        <v>200</v>
      </c>
      <c r="I7935" s="32">
        <v>200</v>
      </c>
      <c r="J7935" s="5" t="s">
        <v>6097</v>
      </c>
      <c r="K7935" s="48"/>
      <c r="L7935" s="10">
        <v>20201118</v>
      </c>
      <c r="M7935" s="36" t="str">
        <f t="shared" si="123"/>
        <v>19921018</v>
      </c>
    </row>
    <row r="7936" s="1" customFormat="1" ht="14.25" spans="1:13">
      <c r="A7936" s="2">
        <v>6040</v>
      </c>
      <c r="B7936" s="30" t="s">
        <v>11090</v>
      </c>
      <c r="C7936" s="32" t="s">
        <v>12123</v>
      </c>
      <c r="D7936" s="12" t="s">
        <v>12124</v>
      </c>
      <c r="E7936" s="5" t="s">
        <v>15</v>
      </c>
      <c r="F7936" s="5" t="s">
        <v>10250</v>
      </c>
      <c r="G7936" s="6" t="s">
        <v>16</v>
      </c>
      <c r="H7936" s="32">
        <v>200</v>
      </c>
      <c r="I7936" s="32">
        <v>200</v>
      </c>
      <c r="J7936" s="5"/>
      <c r="K7936" s="48"/>
      <c r="L7936" s="10">
        <v>20201118</v>
      </c>
      <c r="M7936" s="36" t="str">
        <f t="shared" si="123"/>
        <v>19921023</v>
      </c>
    </row>
    <row r="7937" s="1" customFormat="1" ht="14.25" spans="1:13">
      <c r="A7937" s="2">
        <v>6102</v>
      </c>
      <c r="B7937" s="30" t="s">
        <v>11090</v>
      </c>
      <c r="C7937" s="32" t="s">
        <v>12239</v>
      </c>
      <c r="D7937" s="12" t="s">
        <v>12240</v>
      </c>
      <c r="E7937" s="5" t="s">
        <v>15</v>
      </c>
      <c r="F7937" s="5" t="s">
        <v>10250</v>
      </c>
      <c r="G7937" s="32" t="s">
        <v>12241</v>
      </c>
      <c r="H7937" s="32">
        <v>200</v>
      </c>
      <c r="I7937" s="32">
        <v>200</v>
      </c>
      <c r="J7937" s="5"/>
      <c r="K7937" s="48"/>
      <c r="L7937" s="10">
        <v>20201118</v>
      </c>
      <c r="M7937" s="36" t="str">
        <f t="shared" si="123"/>
        <v>19921105</v>
      </c>
    </row>
    <row r="7938" s="1" customFormat="1" spans="1:13">
      <c r="A7938" s="2">
        <v>931</v>
      </c>
      <c r="B7938" s="29" t="s">
        <v>1040</v>
      </c>
      <c r="C7938" s="6" t="s">
        <v>2440</v>
      </c>
      <c r="D7938" s="6" t="s">
        <v>2441</v>
      </c>
      <c r="E7938" s="30">
        <v>2020</v>
      </c>
      <c r="F7938" s="30">
        <v>2020</v>
      </c>
      <c r="G7938" s="29" t="s">
        <v>16</v>
      </c>
      <c r="H7938" s="29">
        <v>200</v>
      </c>
      <c r="I7938" s="29">
        <v>200</v>
      </c>
      <c r="J7938" s="32"/>
      <c r="K7938" s="32"/>
      <c r="L7938" s="2" t="s">
        <v>330</v>
      </c>
      <c r="M7938" s="36" t="str">
        <f t="shared" ref="M7938:M8001" si="124">MID(D7938,7,8)</f>
        <v>19921109</v>
      </c>
    </row>
    <row r="7939" s="1" customFormat="1" spans="1:13">
      <c r="A7939" s="2">
        <v>4395</v>
      </c>
      <c r="B7939" s="9" t="s">
        <v>8515</v>
      </c>
      <c r="C7939" s="9" t="s">
        <v>8978</v>
      </c>
      <c r="D7939" s="9" t="s">
        <v>8979</v>
      </c>
      <c r="E7939" s="5" t="s">
        <v>15</v>
      </c>
      <c r="F7939" s="5">
        <v>2020</v>
      </c>
      <c r="G7939" s="9" t="s">
        <v>2480</v>
      </c>
      <c r="H7939" s="9">
        <v>200</v>
      </c>
      <c r="I7939" s="9">
        <v>200</v>
      </c>
      <c r="J7939" s="9"/>
      <c r="K7939" s="9"/>
      <c r="L7939" s="10">
        <v>20201118</v>
      </c>
      <c r="M7939" s="36" t="str">
        <f t="shared" si="124"/>
        <v>19921110</v>
      </c>
    </row>
    <row r="7940" s="1" customFormat="1" spans="1:13">
      <c r="A7940" s="2">
        <v>375</v>
      </c>
      <c r="B7940" s="14" t="s">
        <v>327</v>
      </c>
      <c r="C7940" s="3" t="s">
        <v>1012</v>
      </c>
      <c r="D7940" s="3" t="s">
        <v>1013</v>
      </c>
      <c r="E7940" s="5">
        <v>2020</v>
      </c>
      <c r="F7940" s="5">
        <v>2020</v>
      </c>
      <c r="G7940" s="17" t="s">
        <v>1007</v>
      </c>
      <c r="H7940" s="17">
        <v>300</v>
      </c>
      <c r="I7940" s="17">
        <v>300</v>
      </c>
      <c r="J7940" s="3"/>
      <c r="K7940" s="10"/>
      <c r="L7940" s="2" t="s">
        <v>330</v>
      </c>
      <c r="M7940" s="36" t="str">
        <f t="shared" si="124"/>
        <v>19921119</v>
      </c>
    </row>
    <row r="7941" s="1" customFormat="1" spans="1:13">
      <c r="A7941" s="2">
        <v>1352</v>
      </c>
      <c r="B7941" s="5" t="s">
        <v>2469</v>
      </c>
      <c r="C7941" s="9" t="s">
        <v>3282</v>
      </c>
      <c r="D7941" s="9" t="s">
        <v>3283</v>
      </c>
      <c r="E7941" s="5">
        <v>2020</v>
      </c>
      <c r="F7941" s="5">
        <v>2020</v>
      </c>
      <c r="G7941" s="9" t="s">
        <v>2480</v>
      </c>
      <c r="H7941" s="9">
        <v>200</v>
      </c>
      <c r="I7941" s="9">
        <v>200</v>
      </c>
      <c r="J7941" s="5"/>
      <c r="K7941" s="5"/>
      <c r="L7941" s="10">
        <v>20201118</v>
      </c>
      <c r="M7941" s="36" t="str">
        <f t="shared" si="124"/>
        <v>19921122</v>
      </c>
    </row>
    <row r="7942" s="1" customFormat="1" spans="1:13">
      <c r="A7942" s="2">
        <v>4917</v>
      </c>
      <c r="B7942" s="6" t="s">
        <v>9954</v>
      </c>
      <c r="C7942" s="60" t="s">
        <v>9975</v>
      </c>
      <c r="D7942" s="60" t="s">
        <v>9976</v>
      </c>
      <c r="E7942" s="5" t="s">
        <v>15</v>
      </c>
      <c r="F7942" s="5" t="s">
        <v>15</v>
      </c>
      <c r="G7942" s="14" t="s">
        <v>16</v>
      </c>
      <c r="H7942" s="6">
        <v>200</v>
      </c>
      <c r="I7942" s="6">
        <v>200</v>
      </c>
      <c r="J7942" s="6"/>
      <c r="K7942" s="6"/>
      <c r="L7942" s="10">
        <v>20201118</v>
      </c>
      <c r="M7942" s="36" t="str">
        <f t="shared" si="124"/>
        <v>19921125</v>
      </c>
    </row>
    <row r="7943" s="1" customFormat="1" spans="1:13">
      <c r="A7943" s="2">
        <v>1353</v>
      </c>
      <c r="B7943" s="5" t="s">
        <v>2469</v>
      </c>
      <c r="C7943" s="9" t="s">
        <v>3284</v>
      </c>
      <c r="D7943" s="9" t="s">
        <v>3285</v>
      </c>
      <c r="E7943" s="5">
        <v>2020</v>
      </c>
      <c r="F7943" s="5">
        <v>2020</v>
      </c>
      <c r="G7943" s="9" t="s">
        <v>2480</v>
      </c>
      <c r="H7943" s="9">
        <v>200</v>
      </c>
      <c r="I7943" s="9">
        <v>200</v>
      </c>
      <c r="J7943" s="5"/>
      <c r="K7943" s="5"/>
      <c r="L7943" s="10">
        <v>20201118</v>
      </c>
      <c r="M7943" s="36" t="str">
        <f t="shared" si="124"/>
        <v>19921127</v>
      </c>
    </row>
    <row r="7944" s="1" customFormat="1" spans="1:13">
      <c r="A7944" s="2">
        <v>7186</v>
      </c>
      <c r="B7944" s="5" t="s">
        <v>13908</v>
      </c>
      <c r="C7944" s="5" t="s">
        <v>14023</v>
      </c>
      <c r="D7944" s="5" t="s">
        <v>14024</v>
      </c>
      <c r="E7944" s="5" t="s">
        <v>15</v>
      </c>
      <c r="F7944" s="5" t="s">
        <v>15</v>
      </c>
      <c r="G7944" s="14" t="s">
        <v>16</v>
      </c>
      <c r="H7944" s="17">
        <v>200</v>
      </c>
      <c r="I7944" s="17">
        <v>200</v>
      </c>
      <c r="J7944" s="5"/>
      <c r="K7944" s="10"/>
      <c r="L7944" s="10">
        <v>20201118</v>
      </c>
      <c r="M7944" s="36" t="str">
        <f t="shared" si="124"/>
        <v>19921129</v>
      </c>
    </row>
    <row r="7945" s="1" customFormat="1" spans="1:13">
      <c r="A7945" s="2">
        <v>7402</v>
      </c>
      <c r="B7945" s="5" t="s">
        <v>14402</v>
      </c>
      <c r="C7945" s="5" t="s">
        <v>14427</v>
      </c>
      <c r="D7945" s="5" t="s">
        <v>14428</v>
      </c>
      <c r="E7945" s="5">
        <v>2020</v>
      </c>
      <c r="F7945" s="5">
        <v>2020</v>
      </c>
      <c r="G7945" s="17" t="s">
        <v>16</v>
      </c>
      <c r="H7945" s="5">
        <v>200</v>
      </c>
      <c r="I7945" s="17">
        <v>200</v>
      </c>
      <c r="J7945" s="5" t="s">
        <v>749</v>
      </c>
      <c r="K7945" s="10"/>
      <c r="L7945" s="10">
        <v>20201118</v>
      </c>
      <c r="M7945" s="36" t="str">
        <f t="shared" si="124"/>
        <v>19921202</v>
      </c>
    </row>
    <row r="7946" s="1" customFormat="1" spans="1:13">
      <c r="A7946" s="2">
        <v>4396</v>
      </c>
      <c r="B7946" s="9" t="s">
        <v>8515</v>
      </c>
      <c r="C7946" s="9" t="s">
        <v>8980</v>
      </c>
      <c r="D7946" s="9" t="s">
        <v>8981</v>
      </c>
      <c r="E7946" s="5" t="s">
        <v>15</v>
      </c>
      <c r="F7946" s="5">
        <v>2020</v>
      </c>
      <c r="G7946" s="9" t="s">
        <v>2480</v>
      </c>
      <c r="H7946" s="9">
        <v>200</v>
      </c>
      <c r="I7946" s="9">
        <v>200</v>
      </c>
      <c r="J7946" s="9"/>
      <c r="K7946" s="9"/>
      <c r="L7946" s="10">
        <v>20201118</v>
      </c>
      <c r="M7946" s="36" t="str">
        <f t="shared" si="124"/>
        <v>19921204</v>
      </c>
    </row>
    <row r="7947" s="1" customFormat="1" spans="1:13">
      <c r="A7947" s="2">
        <v>2384</v>
      </c>
      <c r="B7947" s="9" t="s">
        <v>4837</v>
      </c>
      <c r="C7947" s="9" t="s">
        <v>5305</v>
      </c>
      <c r="D7947" s="9" t="s">
        <v>5306</v>
      </c>
      <c r="E7947" s="6" t="s">
        <v>15</v>
      </c>
      <c r="F7947" s="6">
        <v>2020</v>
      </c>
      <c r="G7947" s="9" t="s">
        <v>2480</v>
      </c>
      <c r="H7947" s="9">
        <v>200</v>
      </c>
      <c r="I7947" s="9">
        <v>200</v>
      </c>
      <c r="J7947" s="6"/>
      <c r="K7947" s="10"/>
      <c r="L7947" s="10">
        <v>20201118</v>
      </c>
      <c r="M7947" s="36" t="str">
        <f t="shared" si="124"/>
        <v>19921216</v>
      </c>
    </row>
    <row r="7948" s="1" customFormat="1" spans="1:13">
      <c r="A7948" s="2">
        <v>337</v>
      </c>
      <c r="B7948" s="14" t="s">
        <v>327</v>
      </c>
      <c r="C7948" s="17" t="s">
        <v>899</v>
      </c>
      <c r="D7948" s="306" t="s">
        <v>900</v>
      </c>
      <c r="E7948" s="5">
        <v>2020</v>
      </c>
      <c r="F7948" s="5">
        <v>2020</v>
      </c>
      <c r="G7948" s="14" t="s">
        <v>16</v>
      </c>
      <c r="H7948" s="17">
        <v>200</v>
      </c>
      <c r="I7948" s="17">
        <v>200</v>
      </c>
      <c r="J7948" s="17"/>
      <c r="K7948" s="10"/>
      <c r="L7948" s="2" t="s">
        <v>330</v>
      </c>
      <c r="M7948" s="36" t="str">
        <f t="shared" si="124"/>
        <v>19921220</v>
      </c>
    </row>
    <row r="7949" s="1" customFormat="1" spans="1:13">
      <c r="A7949" s="2">
        <v>6309</v>
      </c>
      <c r="B7949" s="5" t="s">
        <v>12263</v>
      </c>
      <c r="C7949" s="5" t="s">
        <v>881</v>
      </c>
      <c r="D7949" s="5" t="s">
        <v>12636</v>
      </c>
      <c r="E7949" s="5" t="s">
        <v>10250</v>
      </c>
      <c r="F7949" s="5">
        <v>2020</v>
      </c>
      <c r="G7949" s="17" t="s">
        <v>3359</v>
      </c>
      <c r="H7949" s="5">
        <v>200</v>
      </c>
      <c r="I7949" s="5">
        <v>200</v>
      </c>
      <c r="J7949" s="5"/>
      <c r="K7949" s="5"/>
      <c r="L7949" s="10">
        <v>20201118</v>
      </c>
      <c r="M7949" s="36" t="str">
        <f t="shared" si="124"/>
        <v>19921229</v>
      </c>
    </row>
    <row r="7950" s="1" customFormat="1" spans="1:13">
      <c r="A7950" s="2">
        <v>1354</v>
      </c>
      <c r="B7950" s="5" t="s">
        <v>2469</v>
      </c>
      <c r="C7950" s="9" t="s">
        <v>3286</v>
      </c>
      <c r="D7950" s="9" t="s">
        <v>3287</v>
      </c>
      <c r="E7950" s="5">
        <v>2020</v>
      </c>
      <c r="F7950" s="5">
        <v>2020</v>
      </c>
      <c r="G7950" s="9" t="s">
        <v>2480</v>
      </c>
      <c r="H7950" s="9">
        <v>200</v>
      </c>
      <c r="I7950" s="9">
        <v>200</v>
      </c>
      <c r="J7950" s="5"/>
      <c r="K7950" s="5"/>
      <c r="L7950" s="10">
        <v>20201118</v>
      </c>
      <c r="M7950" s="36" t="str">
        <f t="shared" si="124"/>
        <v>19921230</v>
      </c>
    </row>
    <row r="7951" s="1" customFormat="1" spans="1:13">
      <c r="A7951" s="2">
        <v>4959</v>
      </c>
      <c r="B7951" s="6" t="s">
        <v>9954</v>
      </c>
      <c r="C7951" s="60" t="s">
        <v>10058</v>
      </c>
      <c r="D7951" s="60" t="s">
        <v>10059</v>
      </c>
      <c r="E7951" s="5" t="s">
        <v>15</v>
      </c>
      <c r="F7951" s="5" t="s">
        <v>15</v>
      </c>
      <c r="G7951" s="14" t="s">
        <v>16</v>
      </c>
      <c r="H7951" s="6">
        <v>200</v>
      </c>
      <c r="I7951" s="6">
        <v>200</v>
      </c>
      <c r="J7951" s="6"/>
      <c r="K7951" s="6"/>
      <c r="L7951" s="10">
        <v>20201118</v>
      </c>
      <c r="M7951" s="36" t="str">
        <f t="shared" si="124"/>
        <v>19930113</v>
      </c>
    </row>
    <row r="7952" s="1" customFormat="1" spans="1:13">
      <c r="A7952" s="2">
        <v>1355</v>
      </c>
      <c r="B7952" s="5" t="s">
        <v>2469</v>
      </c>
      <c r="C7952" s="9" t="s">
        <v>3288</v>
      </c>
      <c r="D7952" s="9" t="s">
        <v>3289</v>
      </c>
      <c r="E7952" s="5">
        <v>2020</v>
      </c>
      <c r="F7952" s="5">
        <v>2020</v>
      </c>
      <c r="G7952" s="9" t="s">
        <v>2480</v>
      </c>
      <c r="H7952" s="9">
        <v>200</v>
      </c>
      <c r="I7952" s="9">
        <v>200</v>
      </c>
      <c r="J7952" s="5"/>
      <c r="K7952" s="5"/>
      <c r="L7952" s="10">
        <v>20201118</v>
      </c>
      <c r="M7952" s="36" t="str">
        <f t="shared" si="124"/>
        <v>19930118</v>
      </c>
    </row>
    <row r="7953" s="1" customFormat="1" spans="1:13">
      <c r="A7953" s="2">
        <v>1356</v>
      </c>
      <c r="B7953" s="5" t="s">
        <v>2469</v>
      </c>
      <c r="C7953" s="9" t="s">
        <v>3290</v>
      </c>
      <c r="D7953" s="9" t="s">
        <v>3291</v>
      </c>
      <c r="E7953" s="5">
        <v>2020</v>
      </c>
      <c r="F7953" s="5">
        <v>2020</v>
      </c>
      <c r="G7953" s="9" t="s">
        <v>2480</v>
      </c>
      <c r="H7953" s="9">
        <v>200</v>
      </c>
      <c r="I7953" s="9">
        <v>200</v>
      </c>
      <c r="J7953" s="5"/>
      <c r="K7953" s="5"/>
      <c r="L7953" s="10">
        <v>20201118</v>
      </c>
      <c r="M7953" s="36" t="str">
        <f t="shared" si="124"/>
        <v>19930122</v>
      </c>
    </row>
    <row r="7954" s="1" customFormat="1" ht="14.25" spans="1:13">
      <c r="A7954" s="2">
        <v>7641</v>
      </c>
      <c r="B7954" s="5" t="s">
        <v>14875</v>
      </c>
      <c r="C7954" s="51" t="s">
        <v>14880</v>
      </c>
      <c r="D7954" s="24" t="s">
        <v>14881</v>
      </c>
      <c r="E7954" s="6" t="s">
        <v>15</v>
      </c>
      <c r="F7954" s="6">
        <v>2020</v>
      </c>
      <c r="G7954" s="24" t="s">
        <v>14877</v>
      </c>
      <c r="H7954" s="6">
        <v>200</v>
      </c>
      <c r="I7954" s="6">
        <v>200</v>
      </c>
      <c r="J7954" s="6"/>
      <c r="K7954" s="10"/>
      <c r="L7954" s="10">
        <v>20201118</v>
      </c>
      <c r="M7954" s="36" t="str">
        <f t="shared" si="124"/>
        <v>19930203</v>
      </c>
    </row>
    <row r="7955" s="1" customFormat="1" ht="14.25" spans="1:13">
      <c r="A7955" s="2">
        <v>6062</v>
      </c>
      <c r="B7955" s="30" t="s">
        <v>11090</v>
      </c>
      <c r="C7955" s="32" t="s">
        <v>5281</v>
      </c>
      <c r="D7955" s="12" t="s">
        <v>12167</v>
      </c>
      <c r="E7955" s="5" t="s">
        <v>15</v>
      </c>
      <c r="F7955" s="5" t="s">
        <v>10250</v>
      </c>
      <c r="G7955" s="6" t="s">
        <v>16</v>
      </c>
      <c r="H7955" s="32">
        <v>200</v>
      </c>
      <c r="I7955" s="32">
        <v>200</v>
      </c>
      <c r="J7955" s="5" t="s">
        <v>6097</v>
      </c>
      <c r="K7955" s="48"/>
      <c r="L7955" s="10">
        <v>20201118</v>
      </c>
      <c r="M7955" s="36" t="str">
        <f t="shared" si="124"/>
        <v>19930206</v>
      </c>
    </row>
    <row r="7956" s="1" customFormat="1" ht="14.25" spans="1:13">
      <c r="A7956" s="2">
        <v>6047</v>
      </c>
      <c r="B7956" s="30" t="s">
        <v>11090</v>
      </c>
      <c r="C7956" s="32" t="s">
        <v>12137</v>
      </c>
      <c r="D7956" s="12" t="s">
        <v>12138</v>
      </c>
      <c r="E7956" s="5" t="s">
        <v>15</v>
      </c>
      <c r="F7956" s="5" t="s">
        <v>10250</v>
      </c>
      <c r="G7956" s="6" t="s">
        <v>16</v>
      </c>
      <c r="H7956" s="32">
        <v>200</v>
      </c>
      <c r="I7956" s="32">
        <v>200</v>
      </c>
      <c r="J7956" s="5"/>
      <c r="K7956" s="48"/>
      <c r="L7956" s="10">
        <v>20201118</v>
      </c>
      <c r="M7956" s="36" t="str">
        <f t="shared" si="124"/>
        <v>19930214</v>
      </c>
    </row>
    <row r="7957" s="1" customFormat="1" spans="1:13">
      <c r="A7957" s="2">
        <v>4139</v>
      </c>
      <c r="B7957" s="5" t="s">
        <v>7412</v>
      </c>
      <c r="C7957" s="5" t="s">
        <v>8484</v>
      </c>
      <c r="D7957" s="5" t="s">
        <v>8485</v>
      </c>
      <c r="E7957" s="6">
        <v>2020</v>
      </c>
      <c r="F7957" s="6">
        <v>2020</v>
      </c>
      <c r="G7957" s="5" t="s">
        <v>3359</v>
      </c>
      <c r="H7957" s="5">
        <v>200</v>
      </c>
      <c r="I7957" s="5">
        <v>200</v>
      </c>
      <c r="J7957" s="5"/>
      <c r="K7957" s="5"/>
      <c r="L7957" s="10">
        <v>20201118</v>
      </c>
      <c r="M7957" s="36" t="str">
        <f t="shared" si="124"/>
        <v>19930215</v>
      </c>
    </row>
    <row r="7958" s="1" customFormat="1" spans="1:13">
      <c r="A7958" s="2">
        <v>7823</v>
      </c>
      <c r="B7958" s="5" t="s">
        <v>15086</v>
      </c>
      <c r="C7958" s="6" t="s">
        <v>7066</v>
      </c>
      <c r="D7958" s="6" t="s">
        <v>15089</v>
      </c>
      <c r="E7958" s="5" t="s">
        <v>15</v>
      </c>
      <c r="F7958" s="5">
        <v>2020</v>
      </c>
      <c r="G7958" s="5" t="s">
        <v>16</v>
      </c>
      <c r="H7958" s="5">
        <v>200</v>
      </c>
      <c r="I7958" s="5">
        <v>200</v>
      </c>
      <c r="J7958" s="5" t="s">
        <v>5625</v>
      </c>
      <c r="K7958" s="5"/>
      <c r="L7958" s="10">
        <v>20201118</v>
      </c>
      <c r="M7958" s="36" t="str">
        <f t="shared" si="124"/>
        <v>19930215</v>
      </c>
    </row>
    <row r="7959" s="1" customFormat="1" spans="1:13">
      <c r="A7959" s="2">
        <v>2081</v>
      </c>
      <c r="B7959" s="5" t="s">
        <v>4189</v>
      </c>
      <c r="C7959" s="16" t="s">
        <v>4713</v>
      </c>
      <c r="D7959" s="16" t="s">
        <v>4714</v>
      </c>
      <c r="E7959" s="5" t="s">
        <v>15</v>
      </c>
      <c r="F7959" s="5" t="s">
        <v>15</v>
      </c>
      <c r="G7959" s="5" t="s">
        <v>3359</v>
      </c>
      <c r="H7959" s="16">
        <v>200</v>
      </c>
      <c r="I7959" s="16">
        <v>200</v>
      </c>
      <c r="J7959" s="5"/>
      <c r="K7959" s="10"/>
      <c r="L7959" s="10">
        <v>20201118</v>
      </c>
      <c r="M7959" s="36" t="str">
        <f t="shared" si="124"/>
        <v>19930220</v>
      </c>
    </row>
    <row r="7960" s="1" customFormat="1" spans="1:13">
      <c r="A7960" s="2">
        <v>3065</v>
      </c>
      <c r="B7960" s="6" t="s">
        <v>6075</v>
      </c>
      <c r="C7960" s="6" t="s">
        <v>6654</v>
      </c>
      <c r="D7960" s="6" t="s">
        <v>6655</v>
      </c>
      <c r="E7960" s="5" t="s">
        <v>15</v>
      </c>
      <c r="F7960" s="5">
        <v>2020</v>
      </c>
      <c r="G7960" s="6" t="s">
        <v>16</v>
      </c>
      <c r="H7960" s="6" t="s">
        <v>311</v>
      </c>
      <c r="I7960" s="6">
        <v>200</v>
      </c>
      <c r="J7960" s="6"/>
      <c r="K7960" s="10"/>
      <c r="L7960" s="10">
        <v>20201118</v>
      </c>
      <c r="M7960" s="36" t="str">
        <f t="shared" si="124"/>
        <v>19930225</v>
      </c>
    </row>
    <row r="7961" s="1" customFormat="1" spans="1:13">
      <c r="A7961" s="2">
        <v>1357</v>
      </c>
      <c r="B7961" s="5" t="s">
        <v>2469</v>
      </c>
      <c r="C7961" s="9" t="s">
        <v>3292</v>
      </c>
      <c r="D7961" s="9" t="s">
        <v>3293</v>
      </c>
      <c r="E7961" s="5">
        <v>2020</v>
      </c>
      <c r="F7961" s="5">
        <v>2020</v>
      </c>
      <c r="G7961" s="9" t="s">
        <v>2480</v>
      </c>
      <c r="H7961" s="9">
        <v>200</v>
      </c>
      <c r="I7961" s="9">
        <v>200</v>
      </c>
      <c r="J7961" s="5"/>
      <c r="K7961" s="5"/>
      <c r="L7961" s="10">
        <v>20201118</v>
      </c>
      <c r="M7961" s="36" t="str">
        <f t="shared" si="124"/>
        <v>19930302</v>
      </c>
    </row>
    <row r="7962" s="1" customFormat="1" ht="14.25" spans="1:13">
      <c r="A7962" s="2">
        <v>2132</v>
      </c>
      <c r="B7962" s="5" t="s">
        <v>4189</v>
      </c>
      <c r="C7962" s="17" t="s">
        <v>4814</v>
      </c>
      <c r="D7962" s="318" t="s">
        <v>4815</v>
      </c>
      <c r="E7962" s="5" t="s">
        <v>15</v>
      </c>
      <c r="F7962" s="5" t="s">
        <v>15</v>
      </c>
      <c r="G7962" s="5" t="s">
        <v>295</v>
      </c>
      <c r="H7962" s="6">
        <v>200</v>
      </c>
      <c r="I7962" s="6">
        <v>200</v>
      </c>
      <c r="J7962" s="6"/>
      <c r="K7962" s="10"/>
      <c r="L7962" s="10">
        <v>20201118</v>
      </c>
      <c r="M7962" s="36" t="str">
        <f t="shared" si="124"/>
        <v>19930311</v>
      </c>
    </row>
    <row r="7963" s="1" customFormat="1" spans="1:13">
      <c r="A7963" s="2">
        <v>7401</v>
      </c>
      <c r="B7963" s="5" t="s">
        <v>14402</v>
      </c>
      <c r="C7963" s="5" t="s">
        <v>14425</v>
      </c>
      <c r="D7963" s="5" t="s">
        <v>14426</v>
      </c>
      <c r="E7963" s="5">
        <v>2020</v>
      </c>
      <c r="F7963" s="5">
        <v>2020</v>
      </c>
      <c r="G7963" s="17" t="s">
        <v>16</v>
      </c>
      <c r="H7963" s="5">
        <v>200</v>
      </c>
      <c r="I7963" s="17">
        <v>200</v>
      </c>
      <c r="J7963" s="5"/>
      <c r="K7963" s="10"/>
      <c r="L7963" s="10">
        <v>20201118</v>
      </c>
      <c r="M7963" s="36" t="str">
        <f t="shared" si="124"/>
        <v>19930313</v>
      </c>
    </row>
    <row r="7964" s="1" customFormat="1" spans="1:13">
      <c r="A7964" s="2">
        <v>6789</v>
      </c>
      <c r="B7964" s="5" t="s">
        <v>13533</v>
      </c>
      <c r="C7964" s="32" t="s">
        <v>13539</v>
      </c>
      <c r="D7964" s="32" t="str">
        <f>"152326199303217123"</f>
        <v>152326199303217123</v>
      </c>
      <c r="E7964" s="5">
        <v>2020</v>
      </c>
      <c r="F7964" s="5">
        <v>2020</v>
      </c>
      <c r="G7964" s="9" t="s">
        <v>2480</v>
      </c>
      <c r="H7964" s="32">
        <v>200</v>
      </c>
      <c r="I7964" s="32">
        <v>200</v>
      </c>
      <c r="J7964" s="32"/>
      <c r="K7964" s="10"/>
      <c r="L7964" s="10">
        <v>20201118</v>
      </c>
      <c r="M7964" s="36" t="str">
        <f t="shared" si="124"/>
        <v>19930321</v>
      </c>
    </row>
    <row r="7965" s="1" customFormat="1" spans="1:13">
      <c r="A7965" s="2">
        <v>2759</v>
      </c>
      <c r="B7965" s="32" t="s">
        <v>5602</v>
      </c>
      <c r="C7965" s="9" t="s">
        <v>6046</v>
      </c>
      <c r="D7965" s="9" t="s">
        <v>6047</v>
      </c>
      <c r="E7965" s="32">
        <v>2020</v>
      </c>
      <c r="F7965" s="32">
        <v>2020</v>
      </c>
      <c r="G7965" s="32" t="s">
        <v>16</v>
      </c>
      <c r="H7965" s="9">
        <v>200</v>
      </c>
      <c r="I7965" s="9">
        <v>200</v>
      </c>
      <c r="J7965" s="32"/>
      <c r="K7965" s="52"/>
      <c r="L7965" s="10">
        <v>20201118</v>
      </c>
      <c r="M7965" s="36" t="str">
        <f t="shared" si="124"/>
        <v>19930326</v>
      </c>
    </row>
    <row r="7966" s="1" customFormat="1" spans="1:13">
      <c r="A7966" s="2">
        <v>4856</v>
      </c>
      <c r="B7966" s="6" t="s">
        <v>9015</v>
      </c>
      <c r="C7966" s="6" t="s">
        <v>9855</v>
      </c>
      <c r="D7966" s="293" t="s">
        <v>9856</v>
      </c>
      <c r="E7966" s="6">
        <v>2020</v>
      </c>
      <c r="F7966" s="6">
        <v>2020</v>
      </c>
      <c r="G7966" s="6" t="s">
        <v>16</v>
      </c>
      <c r="H7966" s="6">
        <v>200</v>
      </c>
      <c r="I7966" s="6">
        <v>200</v>
      </c>
      <c r="J7966" s="6"/>
      <c r="K7966" s="6"/>
      <c r="L7966" s="10">
        <v>20201118</v>
      </c>
      <c r="M7966" s="36" t="str">
        <f t="shared" si="124"/>
        <v>19930415</v>
      </c>
    </row>
    <row r="7967" s="1" customFormat="1" spans="1:13">
      <c r="A7967" s="2">
        <v>1358</v>
      </c>
      <c r="B7967" s="5" t="s">
        <v>2469</v>
      </c>
      <c r="C7967" s="9" t="s">
        <v>3294</v>
      </c>
      <c r="D7967" s="9" t="s">
        <v>3295</v>
      </c>
      <c r="E7967" s="5">
        <v>2020</v>
      </c>
      <c r="F7967" s="5">
        <v>2020</v>
      </c>
      <c r="G7967" s="9" t="s">
        <v>2480</v>
      </c>
      <c r="H7967" s="9">
        <v>200</v>
      </c>
      <c r="I7967" s="9">
        <v>200</v>
      </c>
      <c r="J7967" s="5"/>
      <c r="K7967" s="5"/>
      <c r="L7967" s="10">
        <v>20201118</v>
      </c>
      <c r="M7967" s="36" t="str">
        <f t="shared" si="124"/>
        <v>19930501</v>
      </c>
    </row>
    <row r="7968" s="1" customFormat="1" spans="1:13">
      <c r="A7968" s="2">
        <v>2385</v>
      </c>
      <c r="B7968" s="9" t="s">
        <v>4837</v>
      </c>
      <c r="C7968" s="9" t="s">
        <v>5307</v>
      </c>
      <c r="D7968" s="9" t="s">
        <v>5308</v>
      </c>
      <c r="E7968" s="6" t="s">
        <v>15</v>
      </c>
      <c r="F7968" s="6">
        <v>2020</v>
      </c>
      <c r="G7968" s="9" t="s">
        <v>2480</v>
      </c>
      <c r="H7968" s="9">
        <v>200</v>
      </c>
      <c r="I7968" s="9">
        <v>200</v>
      </c>
      <c r="J7968" s="6"/>
      <c r="K7968" s="10"/>
      <c r="L7968" s="10">
        <v>20201118</v>
      </c>
      <c r="M7968" s="36" t="str">
        <f t="shared" si="124"/>
        <v>19930510</v>
      </c>
    </row>
    <row r="7969" s="1" customFormat="1" spans="1:13">
      <c r="A7969" s="2">
        <v>4561</v>
      </c>
      <c r="B7969" s="6" t="s">
        <v>9015</v>
      </c>
      <c r="C7969" s="6" t="s">
        <v>9301</v>
      </c>
      <c r="D7969" s="6" t="s">
        <v>9302</v>
      </c>
      <c r="E7969" s="6">
        <v>2020</v>
      </c>
      <c r="F7969" s="6">
        <v>2020</v>
      </c>
      <c r="G7969" s="6" t="s">
        <v>16</v>
      </c>
      <c r="H7969" s="6">
        <v>200</v>
      </c>
      <c r="I7969" s="6">
        <v>200</v>
      </c>
      <c r="J7969" s="6"/>
      <c r="K7969" s="6"/>
      <c r="L7969" s="10">
        <v>20201118</v>
      </c>
      <c r="M7969" s="36" t="str">
        <f t="shared" si="124"/>
        <v>19930519</v>
      </c>
    </row>
    <row r="7970" s="1" customFormat="1" spans="1:13">
      <c r="A7970" s="2">
        <v>2760</v>
      </c>
      <c r="B7970" s="32" t="s">
        <v>5602</v>
      </c>
      <c r="C7970" s="9" t="s">
        <v>6048</v>
      </c>
      <c r="D7970" s="9" t="s">
        <v>6049</v>
      </c>
      <c r="E7970" s="32">
        <v>2020</v>
      </c>
      <c r="F7970" s="32">
        <v>2020</v>
      </c>
      <c r="G7970" s="32" t="s">
        <v>16</v>
      </c>
      <c r="H7970" s="9">
        <v>200</v>
      </c>
      <c r="I7970" s="9">
        <v>200</v>
      </c>
      <c r="J7970" s="32"/>
      <c r="K7970" s="52"/>
      <c r="L7970" s="10">
        <v>20201118</v>
      </c>
      <c r="M7970" s="36" t="str">
        <f t="shared" si="124"/>
        <v>19930521</v>
      </c>
    </row>
    <row r="7971" s="1" customFormat="1" spans="1:13">
      <c r="A7971" s="2">
        <v>1359</v>
      </c>
      <c r="B7971" s="5" t="s">
        <v>2469</v>
      </c>
      <c r="C7971" s="9" t="s">
        <v>3296</v>
      </c>
      <c r="D7971" s="9" t="s">
        <v>3297</v>
      </c>
      <c r="E7971" s="5">
        <v>2020</v>
      </c>
      <c r="F7971" s="5">
        <v>2020</v>
      </c>
      <c r="G7971" s="9" t="s">
        <v>2480</v>
      </c>
      <c r="H7971" s="9">
        <v>200</v>
      </c>
      <c r="I7971" s="9">
        <v>200</v>
      </c>
      <c r="J7971" s="5"/>
      <c r="K7971" s="5"/>
      <c r="L7971" s="10">
        <v>20201118</v>
      </c>
      <c r="M7971" s="36" t="str">
        <f t="shared" si="124"/>
        <v>19930621</v>
      </c>
    </row>
    <row r="7972" s="1" customFormat="1" spans="1:13">
      <c r="A7972" s="2">
        <v>4140</v>
      </c>
      <c r="B7972" s="5" t="s">
        <v>7412</v>
      </c>
      <c r="C7972" s="5" t="s">
        <v>8486</v>
      </c>
      <c r="D7972" s="5" t="s">
        <v>8487</v>
      </c>
      <c r="E7972" s="6">
        <v>2020</v>
      </c>
      <c r="F7972" s="6">
        <v>2020</v>
      </c>
      <c r="G7972" s="5" t="s">
        <v>3359</v>
      </c>
      <c r="H7972" s="5">
        <v>500</v>
      </c>
      <c r="I7972" s="5">
        <v>500</v>
      </c>
      <c r="J7972" s="5"/>
      <c r="K7972" s="5"/>
      <c r="L7972" s="10">
        <v>20201118</v>
      </c>
      <c r="M7972" s="36" t="str">
        <f t="shared" si="124"/>
        <v>19930628</v>
      </c>
    </row>
    <row r="7973" s="1" customFormat="1" spans="1:13">
      <c r="A7973" s="2">
        <v>5929</v>
      </c>
      <c r="B7973" s="30" t="s">
        <v>11090</v>
      </c>
      <c r="C7973" s="6" t="s">
        <v>11907</v>
      </c>
      <c r="D7973" s="306" t="s">
        <v>11908</v>
      </c>
      <c r="E7973" s="5" t="s">
        <v>15</v>
      </c>
      <c r="F7973" s="5" t="s">
        <v>10250</v>
      </c>
      <c r="G7973" s="6" t="s">
        <v>16</v>
      </c>
      <c r="H7973" s="32">
        <v>200</v>
      </c>
      <c r="I7973" s="32">
        <v>200</v>
      </c>
      <c r="J7973" s="6"/>
      <c r="K7973" s="48"/>
      <c r="L7973" s="10">
        <v>20201118</v>
      </c>
      <c r="M7973" s="36" t="str">
        <f t="shared" si="124"/>
        <v>19930629</v>
      </c>
    </row>
    <row r="7974" s="1" customFormat="1" spans="1:13">
      <c r="A7974" s="2">
        <v>6773</v>
      </c>
      <c r="B7974" s="5" t="s">
        <v>13027</v>
      </c>
      <c r="C7974" s="15" t="s">
        <v>13507</v>
      </c>
      <c r="D7974" s="15" t="s">
        <v>13508</v>
      </c>
      <c r="E7974" s="5">
        <v>2020</v>
      </c>
      <c r="F7974" s="5">
        <v>2020</v>
      </c>
      <c r="G7974" s="14" t="s">
        <v>16</v>
      </c>
      <c r="H7974" s="15">
        <v>200</v>
      </c>
      <c r="I7974" s="15">
        <v>200</v>
      </c>
      <c r="J7974" s="5"/>
      <c r="K7974" s="10"/>
      <c r="L7974" s="10">
        <v>20201118</v>
      </c>
      <c r="M7974" s="36" t="str">
        <f t="shared" si="124"/>
        <v>19930721</v>
      </c>
    </row>
    <row r="7975" s="1" customFormat="1" spans="1:13">
      <c r="A7975" s="2">
        <v>7400</v>
      </c>
      <c r="B7975" s="5" t="s">
        <v>14402</v>
      </c>
      <c r="C7975" s="5" t="s">
        <v>14423</v>
      </c>
      <c r="D7975" s="5" t="s">
        <v>14424</v>
      </c>
      <c r="E7975" s="5">
        <v>2020</v>
      </c>
      <c r="F7975" s="5">
        <v>2020</v>
      </c>
      <c r="G7975" s="17" t="s">
        <v>16</v>
      </c>
      <c r="H7975" s="5">
        <v>200</v>
      </c>
      <c r="I7975" s="17">
        <v>200</v>
      </c>
      <c r="J7975" s="5" t="s">
        <v>749</v>
      </c>
      <c r="K7975" s="10"/>
      <c r="L7975" s="10">
        <v>20201118</v>
      </c>
      <c r="M7975" s="36" t="str">
        <f t="shared" si="124"/>
        <v>19930729</v>
      </c>
    </row>
    <row r="7976" s="1" customFormat="1" ht="14.25" spans="1:13">
      <c r="A7976" s="2">
        <v>6013</v>
      </c>
      <c r="B7976" s="30" t="s">
        <v>11090</v>
      </c>
      <c r="C7976" s="32" t="s">
        <v>12069</v>
      </c>
      <c r="D7976" s="12" t="s">
        <v>12070</v>
      </c>
      <c r="E7976" s="5" t="s">
        <v>15</v>
      </c>
      <c r="F7976" s="5" t="s">
        <v>10250</v>
      </c>
      <c r="G7976" s="6" t="s">
        <v>16</v>
      </c>
      <c r="H7976" s="32">
        <v>200</v>
      </c>
      <c r="I7976" s="32">
        <v>200</v>
      </c>
      <c r="J7976" s="5"/>
      <c r="K7976" s="48"/>
      <c r="L7976" s="10">
        <v>20201118</v>
      </c>
      <c r="M7976" s="36" t="str">
        <f t="shared" si="124"/>
        <v>19930801</v>
      </c>
    </row>
    <row r="7977" s="1" customFormat="1" ht="14.25" spans="1:13">
      <c r="A7977" s="2">
        <v>6010</v>
      </c>
      <c r="B7977" s="30" t="s">
        <v>11090</v>
      </c>
      <c r="C7977" s="32" t="s">
        <v>12063</v>
      </c>
      <c r="D7977" s="12" t="s">
        <v>12064</v>
      </c>
      <c r="E7977" s="5" t="s">
        <v>15</v>
      </c>
      <c r="F7977" s="5" t="s">
        <v>10250</v>
      </c>
      <c r="G7977" s="6" t="s">
        <v>16</v>
      </c>
      <c r="H7977" s="32">
        <v>200</v>
      </c>
      <c r="I7977" s="32">
        <v>200</v>
      </c>
      <c r="J7977" s="5"/>
      <c r="K7977" s="48"/>
      <c r="L7977" s="10">
        <v>20201118</v>
      </c>
      <c r="M7977" s="36" t="str">
        <f t="shared" si="124"/>
        <v>19930803</v>
      </c>
    </row>
    <row r="7978" s="1" customFormat="1" spans="1:13">
      <c r="A7978" s="2">
        <v>6790</v>
      </c>
      <c r="B7978" s="5" t="s">
        <v>13533</v>
      </c>
      <c r="C7978" s="32" t="s">
        <v>13540</v>
      </c>
      <c r="D7978" s="32" t="str">
        <f>"152326199308077123"</f>
        <v>152326199308077123</v>
      </c>
      <c r="E7978" s="5">
        <v>2020</v>
      </c>
      <c r="F7978" s="5">
        <v>2020</v>
      </c>
      <c r="G7978" s="9" t="s">
        <v>2480</v>
      </c>
      <c r="H7978" s="32">
        <v>200</v>
      </c>
      <c r="I7978" s="32">
        <v>200</v>
      </c>
      <c r="J7978" s="32"/>
      <c r="K7978" s="10"/>
      <c r="L7978" s="10">
        <v>20201118</v>
      </c>
      <c r="M7978" s="36" t="str">
        <f t="shared" si="124"/>
        <v>19930807</v>
      </c>
    </row>
    <row r="7979" s="1" customFormat="1" spans="1:13">
      <c r="A7979" s="2">
        <v>739</v>
      </c>
      <c r="B7979" s="29" t="s">
        <v>1040</v>
      </c>
      <c r="C7979" s="5" t="s">
        <v>1867</v>
      </c>
      <c r="D7979" s="5" t="s">
        <v>1868</v>
      </c>
      <c r="E7979" s="30">
        <v>2020</v>
      </c>
      <c r="F7979" s="30">
        <v>2020</v>
      </c>
      <c r="G7979" s="29" t="s">
        <v>16</v>
      </c>
      <c r="H7979" s="29">
        <v>200</v>
      </c>
      <c r="I7979" s="29">
        <v>200</v>
      </c>
      <c r="J7979" s="32"/>
      <c r="K7979" s="32"/>
      <c r="L7979" s="2" t="s">
        <v>330</v>
      </c>
      <c r="M7979" s="36" t="str">
        <f t="shared" si="124"/>
        <v>19930820</v>
      </c>
    </row>
    <row r="7980" s="1" customFormat="1" spans="1:13">
      <c r="A7980" s="2">
        <v>6779</v>
      </c>
      <c r="B7980" s="5" t="s">
        <v>13027</v>
      </c>
      <c r="C7980" s="15" t="s">
        <v>13518</v>
      </c>
      <c r="D7980" s="16" t="s">
        <v>13519</v>
      </c>
      <c r="E7980" s="5">
        <v>2020</v>
      </c>
      <c r="F7980" s="5">
        <v>2020</v>
      </c>
      <c r="G7980" s="14" t="s">
        <v>295</v>
      </c>
      <c r="H7980" s="15">
        <v>200</v>
      </c>
      <c r="I7980" s="15">
        <v>200</v>
      </c>
      <c r="J7980" s="5"/>
      <c r="K7980" s="10"/>
      <c r="L7980" s="10">
        <v>20201118</v>
      </c>
      <c r="M7980" s="36" t="str">
        <f t="shared" si="124"/>
        <v>19930912</v>
      </c>
    </row>
    <row r="7981" s="1" customFormat="1" spans="1:13">
      <c r="A7981" s="2">
        <v>338</v>
      </c>
      <c r="B7981" s="14" t="s">
        <v>327</v>
      </c>
      <c r="C7981" s="17" t="s">
        <v>902</v>
      </c>
      <c r="D7981" s="306" t="s">
        <v>903</v>
      </c>
      <c r="E7981" s="5">
        <v>2020</v>
      </c>
      <c r="F7981" s="5">
        <v>2020</v>
      </c>
      <c r="G7981" s="14" t="s">
        <v>16</v>
      </c>
      <c r="H7981" s="17">
        <v>200</v>
      </c>
      <c r="I7981" s="17">
        <v>200</v>
      </c>
      <c r="J7981" s="17"/>
      <c r="K7981" s="10"/>
      <c r="L7981" s="14" t="s">
        <v>330</v>
      </c>
      <c r="M7981" s="36" t="str">
        <f t="shared" si="124"/>
        <v>19930920</v>
      </c>
    </row>
    <row r="7982" s="1" customFormat="1" ht="14.25" spans="1:13">
      <c r="A7982" s="2">
        <v>3037</v>
      </c>
      <c r="B7982" s="6" t="s">
        <v>6075</v>
      </c>
      <c r="C7982" s="25" t="s">
        <v>6597</v>
      </c>
      <c r="D7982" s="26" t="s">
        <v>6598</v>
      </c>
      <c r="E7982" s="5" t="s">
        <v>15</v>
      </c>
      <c r="F7982" s="5">
        <v>2020</v>
      </c>
      <c r="G7982" s="6" t="s">
        <v>16</v>
      </c>
      <c r="H7982" s="6">
        <v>200</v>
      </c>
      <c r="I7982" s="6">
        <v>200</v>
      </c>
      <c r="J7982" s="6"/>
      <c r="K7982" s="10"/>
      <c r="L7982" s="10">
        <v>20201118</v>
      </c>
      <c r="M7982" s="36" t="str">
        <f t="shared" si="124"/>
        <v>19930926</v>
      </c>
    </row>
    <row r="7983" s="1" customFormat="1" spans="1:13">
      <c r="A7983" s="2">
        <v>917</v>
      </c>
      <c r="B7983" s="29" t="s">
        <v>1040</v>
      </c>
      <c r="C7983" s="6" t="s">
        <v>2398</v>
      </c>
      <c r="D7983" s="6" t="s">
        <v>2399</v>
      </c>
      <c r="E7983" s="30">
        <v>2020</v>
      </c>
      <c r="F7983" s="30">
        <v>2020</v>
      </c>
      <c r="G7983" s="29" t="s">
        <v>16</v>
      </c>
      <c r="H7983" s="29">
        <v>200</v>
      </c>
      <c r="I7983" s="29">
        <v>200</v>
      </c>
      <c r="J7983" s="32"/>
      <c r="K7983" s="32"/>
      <c r="L7983" s="2" t="s">
        <v>330</v>
      </c>
      <c r="M7983" s="36" t="str">
        <f t="shared" si="124"/>
        <v>19930929</v>
      </c>
    </row>
    <row r="7984" s="1" customFormat="1" spans="1:13">
      <c r="A7984" s="2">
        <v>3549</v>
      </c>
      <c r="B7984" s="5" t="s">
        <v>3375</v>
      </c>
      <c r="C7984" s="5" t="s">
        <v>7368</v>
      </c>
      <c r="D7984" s="296" t="s">
        <v>7369</v>
      </c>
      <c r="E7984" s="5" t="s">
        <v>15</v>
      </c>
      <c r="F7984" s="5">
        <v>2020</v>
      </c>
      <c r="G7984" s="14" t="s">
        <v>16</v>
      </c>
      <c r="H7984" s="5">
        <v>200</v>
      </c>
      <c r="I7984" s="5">
        <v>200</v>
      </c>
      <c r="J7984" s="5"/>
      <c r="K7984" s="10"/>
      <c r="L7984" s="10">
        <v>20201118</v>
      </c>
      <c r="M7984" s="36" t="str">
        <f t="shared" si="124"/>
        <v>19931008</v>
      </c>
    </row>
    <row r="7985" s="1" customFormat="1" spans="1:13">
      <c r="A7985" s="2">
        <v>6061</v>
      </c>
      <c r="B7985" s="30" t="s">
        <v>11090</v>
      </c>
      <c r="C7985" s="32" t="s">
        <v>12165</v>
      </c>
      <c r="D7985" s="315" t="s">
        <v>12166</v>
      </c>
      <c r="E7985" s="5" t="s">
        <v>15</v>
      </c>
      <c r="F7985" s="5" t="s">
        <v>10250</v>
      </c>
      <c r="G7985" s="6" t="s">
        <v>16</v>
      </c>
      <c r="H7985" s="32">
        <v>200</v>
      </c>
      <c r="I7985" s="32">
        <v>200</v>
      </c>
      <c r="J7985" s="5"/>
      <c r="K7985" s="48"/>
      <c r="L7985" s="10">
        <v>20201118</v>
      </c>
      <c r="M7985" s="36" t="str">
        <f t="shared" si="124"/>
        <v>19931008</v>
      </c>
    </row>
    <row r="7986" s="1" customFormat="1" spans="1:13">
      <c r="A7986" s="2">
        <v>825</v>
      </c>
      <c r="B7986" s="29" t="s">
        <v>1040</v>
      </c>
      <c r="C7986" s="5" t="s">
        <v>2124</v>
      </c>
      <c r="D7986" s="317" t="s">
        <v>2125</v>
      </c>
      <c r="E7986" s="30">
        <v>2020</v>
      </c>
      <c r="F7986" s="30">
        <v>2020</v>
      </c>
      <c r="G7986" s="29" t="s">
        <v>16</v>
      </c>
      <c r="H7986" s="29">
        <v>200</v>
      </c>
      <c r="I7986" s="29">
        <v>200</v>
      </c>
      <c r="J7986" s="32"/>
      <c r="K7986" s="32"/>
      <c r="L7986" s="2" t="s">
        <v>330</v>
      </c>
      <c r="M7986" s="36" t="str">
        <f t="shared" si="124"/>
        <v>19931010</v>
      </c>
    </row>
    <row r="7987" s="1" customFormat="1" spans="1:13">
      <c r="A7987" s="2">
        <v>6788</v>
      </c>
      <c r="B7987" s="5" t="s">
        <v>13533</v>
      </c>
      <c r="C7987" s="32" t="s">
        <v>13538</v>
      </c>
      <c r="D7987" s="32" t="str">
        <f>"152326199310237122"</f>
        <v>152326199310237122</v>
      </c>
      <c r="E7987" s="5">
        <v>2020</v>
      </c>
      <c r="F7987" s="5">
        <v>2020</v>
      </c>
      <c r="G7987" s="9" t="s">
        <v>2480</v>
      </c>
      <c r="H7987" s="32">
        <v>200</v>
      </c>
      <c r="I7987" s="32">
        <v>200</v>
      </c>
      <c r="J7987" s="32"/>
      <c r="K7987" s="10"/>
      <c r="L7987" s="10">
        <v>20201118</v>
      </c>
      <c r="M7987" s="36" t="str">
        <f t="shared" si="124"/>
        <v>19931023</v>
      </c>
    </row>
    <row r="7988" s="1" customFormat="1" spans="1:13">
      <c r="A7988" s="2">
        <v>7152</v>
      </c>
      <c r="B7988" s="5" t="s">
        <v>13908</v>
      </c>
      <c r="C7988" s="5" t="s">
        <v>13962</v>
      </c>
      <c r="D7988" s="5" t="s">
        <v>13963</v>
      </c>
      <c r="E7988" s="5" t="s">
        <v>15</v>
      </c>
      <c r="F7988" s="5" t="s">
        <v>15</v>
      </c>
      <c r="G7988" s="14" t="s">
        <v>16</v>
      </c>
      <c r="H7988" s="17">
        <v>200</v>
      </c>
      <c r="I7988" s="17">
        <v>200</v>
      </c>
      <c r="J7988" s="5"/>
      <c r="K7988" s="10"/>
      <c r="L7988" s="10">
        <v>20201118</v>
      </c>
      <c r="M7988" s="36" t="str">
        <f t="shared" si="124"/>
        <v>19931026</v>
      </c>
    </row>
    <row r="7989" s="1" customFormat="1" spans="1:13">
      <c r="A7989" s="2">
        <v>4141</v>
      </c>
      <c r="B7989" s="5" t="s">
        <v>7412</v>
      </c>
      <c r="C7989" s="5" t="s">
        <v>8488</v>
      </c>
      <c r="D7989" s="5" t="s">
        <v>8489</v>
      </c>
      <c r="E7989" s="6">
        <v>2020</v>
      </c>
      <c r="F7989" s="6">
        <v>2020</v>
      </c>
      <c r="G7989" s="5" t="s">
        <v>3359</v>
      </c>
      <c r="H7989" s="5">
        <v>200</v>
      </c>
      <c r="I7989" s="5">
        <v>200</v>
      </c>
      <c r="J7989" s="5"/>
      <c r="K7989" s="5"/>
      <c r="L7989" s="10">
        <v>20201118</v>
      </c>
      <c r="M7989" s="36" t="str">
        <f t="shared" si="124"/>
        <v>19931107</v>
      </c>
    </row>
    <row r="7990" s="1" customFormat="1" spans="1:13">
      <c r="A7990" s="2">
        <v>7347</v>
      </c>
      <c r="B7990" s="5" t="s">
        <v>13908</v>
      </c>
      <c r="C7990" s="5" t="s">
        <v>14324</v>
      </c>
      <c r="D7990" s="5" t="s">
        <v>14325</v>
      </c>
      <c r="E7990" s="5" t="s">
        <v>15</v>
      </c>
      <c r="F7990" s="5" t="s">
        <v>15</v>
      </c>
      <c r="G7990" s="14" t="s">
        <v>16</v>
      </c>
      <c r="H7990" s="17">
        <v>200</v>
      </c>
      <c r="I7990" s="17">
        <v>200</v>
      </c>
      <c r="J7990" s="5"/>
      <c r="K7990" s="10"/>
      <c r="L7990" s="10">
        <v>20201118</v>
      </c>
      <c r="M7990" s="36" t="str">
        <f t="shared" si="124"/>
        <v>19931110</v>
      </c>
    </row>
    <row r="7991" s="1" customFormat="1" ht="14.25" spans="1:13">
      <c r="A7991" s="2">
        <v>5479</v>
      </c>
      <c r="B7991" s="33" t="s">
        <v>10535</v>
      </c>
      <c r="C7991" s="34" t="s">
        <v>11053</v>
      </c>
      <c r="D7991" s="34" t="s">
        <v>11054</v>
      </c>
      <c r="E7991" s="35">
        <v>2020</v>
      </c>
      <c r="F7991" s="35">
        <v>2020</v>
      </c>
      <c r="G7991" s="35" t="s">
        <v>16</v>
      </c>
      <c r="H7991" s="34">
        <v>200</v>
      </c>
      <c r="I7991" s="34">
        <v>200</v>
      </c>
      <c r="J7991" s="49"/>
      <c r="K7991" s="10"/>
      <c r="L7991" s="10">
        <v>20201118</v>
      </c>
      <c r="M7991" s="36" t="str">
        <f t="shared" si="124"/>
        <v>19931204</v>
      </c>
    </row>
    <row r="7992" s="1" customFormat="1" spans="1:13">
      <c r="A7992" s="2">
        <v>7099</v>
      </c>
      <c r="B7992" s="5" t="s">
        <v>13533</v>
      </c>
      <c r="C7992" s="32" t="s">
        <v>13867</v>
      </c>
      <c r="D7992" s="32" t="s">
        <v>13868</v>
      </c>
      <c r="E7992" s="5">
        <v>2020</v>
      </c>
      <c r="F7992" s="5">
        <v>2020</v>
      </c>
      <c r="G7992" s="9" t="s">
        <v>2480</v>
      </c>
      <c r="H7992" s="32">
        <v>200</v>
      </c>
      <c r="I7992" s="32">
        <v>200</v>
      </c>
      <c r="J7992" s="32"/>
      <c r="K7992" s="10"/>
      <c r="L7992" s="10">
        <v>20201118</v>
      </c>
      <c r="M7992" s="36" t="str">
        <f t="shared" si="124"/>
        <v>19931207</v>
      </c>
    </row>
    <row r="7993" s="1" customFormat="1" spans="1:13">
      <c r="A7993" s="2">
        <v>7626</v>
      </c>
      <c r="B7993" s="5" t="s">
        <v>14402</v>
      </c>
      <c r="C7993" s="5" t="s">
        <v>14849</v>
      </c>
      <c r="D7993" s="5" t="s">
        <v>14850</v>
      </c>
      <c r="E7993" s="5">
        <v>2020</v>
      </c>
      <c r="F7993" s="5">
        <v>2020</v>
      </c>
      <c r="G7993" s="17" t="s">
        <v>189</v>
      </c>
      <c r="H7993" s="5">
        <v>200</v>
      </c>
      <c r="I7993" s="5">
        <v>200</v>
      </c>
      <c r="J7993" s="5"/>
      <c r="K7993" s="10"/>
      <c r="L7993" s="10">
        <v>20201118</v>
      </c>
      <c r="M7993" s="36" t="str">
        <f t="shared" si="124"/>
        <v>19931209</v>
      </c>
    </row>
    <row r="7994" s="1" customFormat="1" spans="1:13">
      <c r="A7994" s="2">
        <v>287</v>
      </c>
      <c r="B7994" s="14" t="s">
        <v>327</v>
      </c>
      <c r="C7994" s="17" t="s">
        <v>747</v>
      </c>
      <c r="D7994" s="306" t="s">
        <v>748</v>
      </c>
      <c r="E7994" s="5">
        <v>2020</v>
      </c>
      <c r="F7994" s="5">
        <v>2020</v>
      </c>
      <c r="G7994" s="14" t="s">
        <v>16</v>
      </c>
      <c r="H7994" s="17">
        <v>200</v>
      </c>
      <c r="I7994" s="17">
        <v>200</v>
      </c>
      <c r="J7994" s="17" t="s">
        <v>749</v>
      </c>
      <c r="K7994" s="10"/>
      <c r="L7994" s="2" t="s">
        <v>330</v>
      </c>
      <c r="M7994" s="36" t="str">
        <f t="shared" si="124"/>
        <v>19931210</v>
      </c>
    </row>
    <row r="7995" s="1" customFormat="1" ht="14.25" spans="1:13">
      <c r="A7995" s="2">
        <v>6099</v>
      </c>
      <c r="B7995" s="30" t="s">
        <v>11090</v>
      </c>
      <c r="C7995" s="32" t="s">
        <v>12235</v>
      </c>
      <c r="D7995" s="12" t="s">
        <v>12236</v>
      </c>
      <c r="E7995" s="5" t="s">
        <v>15</v>
      </c>
      <c r="F7995" s="5" t="s">
        <v>10250</v>
      </c>
      <c r="G7995" s="6" t="s">
        <v>16</v>
      </c>
      <c r="H7995" s="32">
        <v>200</v>
      </c>
      <c r="I7995" s="32">
        <v>200</v>
      </c>
      <c r="J7995" s="5" t="s">
        <v>6097</v>
      </c>
      <c r="K7995" s="48"/>
      <c r="L7995" s="10">
        <v>20201118</v>
      </c>
      <c r="M7995" s="36" t="str">
        <f t="shared" si="124"/>
        <v>19940101</v>
      </c>
    </row>
    <row r="7996" s="1" customFormat="1" spans="1:13">
      <c r="A7996" s="2">
        <v>2761</v>
      </c>
      <c r="B7996" s="32" t="s">
        <v>5602</v>
      </c>
      <c r="C7996" s="9" t="s">
        <v>6050</v>
      </c>
      <c r="D7996" s="9" t="s">
        <v>6051</v>
      </c>
      <c r="E7996" s="32">
        <v>2020</v>
      </c>
      <c r="F7996" s="32">
        <v>2020</v>
      </c>
      <c r="G7996" s="32" t="s">
        <v>16</v>
      </c>
      <c r="H7996" s="9">
        <v>200</v>
      </c>
      <c r="I7996" s="9">
        <v>200</v>
      </c>
      <c r="J7996" s="32"/>
      <c r="K7996" s="52"/>
      <c r="L7996" s="10">
        <v>20201118</v>
      </c>
      <c r="M7996" s="36" t="str">
        <f t="shared" si="124"/>
        <v>19940103</v>
      </c>
    </row>
    <row r="7997" s="1" customFormat="1" spans="1:13">
      <c r="A7997" s="2">
        <v>1823</v>
      </c>
      <c r="B7997" s="5" t="s">
        <v>4189</v>
      </c>
      <c r="C7997" s="16" t="s">
        <v>4211</v>
      </c>
      <c r="D7997" s="16" t="s">
        <v>4212</v>
      </c>
      <c r="E7997" s="5" t="s">
        <v>15</v>
      </c>
      <c r="F7997" s="5" t="s">
        <v>15</v>
      </c>
      <c r="G7997" s="5" t="s">
        <v>3359</v>
      </c>
      <c r="H7997" s="16">
        <v>200</v>
      </c>
      <c r="I7997" s="16">
        <v>200</v>
      </c>
      <c r="J7997" s="5"/>
      <c r="K7997" s="10"/>
      <c r="L7997" s="10">
        <v>20201118</v>
      </c>
      <c r="M7997" s="36" t="str">
        <f t="shared" si="124"/>
        <v>19940120</v>
      </c>
    </row>
    <row r="7998" s="1" customFormat="1" spans="1:13">
      <c r="A7998" s="2">
        <v>886</v>
      </c>
      <c r="B7998" s="29" t="s">
        <v>1040</v>
      </c>
      <c r="C7998" s="6" t="s">
        <v>2305</v>
      </c>
      <c r="D7998" s="6" t="s">
        <v>2306</v>
      </c>
      <c r="E7998" s="30">
        <v>2020</v>
      </c>
      <c r="F7998" s="30">
        <v>2020</v>
      </c>
      <c r="G7998" s="29" t="s">
        <v>16</v>
      </c>
      <c r="H7998" s="29">
        <v>200</v>
      </c>
      <c r="I7998" s="29">
        <v>200</v>
      </c>
      <c r="J7998" s="32"/>
      <c r="K7998" s="32"/>
      <c r="L7998" s="2" t="s">
        <v>330</v>
      </c>
      <c r="M7998" s="36" t="str">
        <f t="shared" si="124"/>
        <v>19940128</v>
      </c>
    </row>
    <row r="7999" s="1" customFormat="1" ht="14.25" spans="1:13">
      <c r="A7999" s="2">
        <v>5480</v>
      </c>
      <c r="B7999" s="33" t="s">
        <v>10535</v>
      </c>
      <c r="C7999" s="34" t="s">
        <v>11055</v>
      </c>
      <c r="D7999" s="34" t="s">
        <v>11056</v>
      </c>
      <c r="E7999" s="35">
        <v>2020</v>
      </c>
      <c r="F7999" s="35">
        <v>2020</v>
      </c>
      <c r="G7999" s="35" t="s">
        <v>16</v>
      </c>
      <c r="H7999" s="34">
        <v>200</v>
      </c>
      <c r="I7999" s="34">
        <v>200</v>
      </c>
      <c r="J7999" s="49"/>
      <c r="K7999" s="10"/>
      <c r="L7999" s="10">
        <v>20201118</v>
      </c>
      <c r="M7999" s="36" t="str">
        <f t="shared" si="124"/>
        <v>19940129</v>
      </c>
    </row>
    <row r="8000" s="1" customFormat="1" ht="14.25" spans="1:13">
      <c r="A8000" s="2">
        <v>3518</v>
      </c>
      <c r="B8000" s="5" t="s">
        <v>3375</v>
      </c>
      <c r="C8000" s="5" t="s">
        <v>7309</v>
      </c>
      <c r="D8000" s="12" t="s">
        <v>7310</v>
      </c>
      <c r="E8000" s="5" t="s">
        <v>15</v>
      </c>
      <c r="F8000" s="5">
        <v>2020</v>
      </c>
      <c r="G8000" s="14" t="s">
        <v>16</v>
      </c>
      <c r="H8000" s="5">
        <v>200</v>
      </c>
      <c r="I8000" s="5">
        <v>200</v>
      </c>
      <c r="J8000" s="5"/>
      <c r="K8000" s="10"/>
      <c r="L8000" s="10">
        <v>20201118</v>
      </c>
      <c r="M8000" s="36" t="str">
        <f t="shared" si="124"/>
        <v>19940219</v>
      </c>
    </row>
    <row r="8001" s="1" customFormat="1" spans="1:13">
      <c r="A8001" s="2">
        <v>6459</v>
      </c>
      <c r="B8001" s="5" t="s">
        <v>12263</v>
      </c>
      <c r="C8001" s="5" t="s">
        <v>12921</v>
      </c>
      <c r="D8001" s="5" t="s">
        <v>12922</v>
      </c>
      <c r="E8001" s="5" t="s">
        <v>10250</v>
      </c>
      <c r="F8001" s="5">
        <v>2020</v>
      </c>
      <c r="G8001" s="17" t="s">
        <v>3359</v>
      </c>
      <c r="H8001" s="5">
        <v>200</v>
      </c>
      <c r="I8001" s="5">
        <v>200</v>
      </c>
      <c r="J8001" s="5"/>
      <c r="K8001" s="5"/>
      <c r="L8001" s="10">
        <v>20201118</v>
      </c>
      <c r="M8001" s="36" t="str">
        <f t="shared" si="124"/>
        <v>19940226</v>
      </c>
    </row>
    <row r="8002" s="1" customFormat="1" ht="14.25" spans="1:13">
      <c r="A8002" s="2">
        <v>5481</v>
      </c>
      <c r="B8002" s="33" t="s">
        <v>10535</v>
      </c>
      <c r="C8002" s="34" t="s">
        <v>11057</v>
      </c>
      <c r="D8002" s="34" t="s">
        <v>11058</v>
      </c>
      <c r="E8002" s="35">
        <v>2020</v>
      </c>
      <c r="F8002" s="35">
        <v>2020</v>
      </c>
      <c r="G8002" s="35" t="s">
        <v>16</v>
      </c>
      <c r="H8002" s="34">
        <v>200</v>
      </c>
      <c r="I8002" s="34">
        <v>200</v>
      </c>
      <c r="J8002" s="49"/>
      <c r="K8002" s="10"/>
      <c r="L8002" s="10">
        <v>20201118</v>
      </c>
      <c r="M8002" s="36" t="str">
        <f t="shared" ref="M8002:M8065" si="125">MID(D8002,7,8)</f>
        <v>19940306</v>
      </c>
    </row>
    <row r="8003" s="1" customFormat="1" spans="1:13">
      <c r="A8003" s="2">
        <v>409</v>
      </c>
      <c r="B8003" s="29" t="s">
        <v>1040</v>
      </c>
      <c r="C8003" s="29" t="s">
        <v>1095</v>
      </c>
      <c r="D8003" s="29" t="s">
        <v>1096</v>
      </c>
      <c r="E8003" s="30">
        <v>2020</v>
      </c>
      <c r="F8003" s="30">
        <v>2020</v>
      </c>
      <c r="G8003" s="29" t="s">
        <v>16</v>
      </c>
      <c r="H8003" s="29">
        <v>200</v>
      </c>
      <c r="I8003" s="29">
        <v>200</v>
      </c>
      <c r="J8003" s="29"/>
      <c r="K8003" s="47"/>
      <c r="L8003" s="14" t="s">
        <v>330</v>
      </c>
      <c r="M8003" s="36" t="str">
        <f t="shared" si="125"/>
        <v>19940320</v>
      </c>
    </row>
    <row r="8004" s="1" customFormat="1" spans="1:13">
      <c r="A8004" s="2">
        <v>3268</v>
      </c>
      <c r="B8004" s="5" t="s">
        <v>3375</v>
      </c>
      <c r="C8004" s="6" t="s">
        <v>7037</v>
      </c>
      <c r="D8004" s="6" t="s">
        <v>7038</v>
      </c>
      <c r="E8004" s="5" t="s">
        <v>15</v>
      </c>
      <c r="F8004" s="5">
        <v>2020</v>
      </c>
      <c r="G8004" s="14" t="s">
        <v>16</v>
      </c>
      <c r="H8004" s="17">
        <v>200</v>
      </c>
      <c r="I8004" s="17">
        <v>200</v>
      </c>
      <c r="J8004" s="6" t="s">
        <v>4064</v>
      </c>
      <c r="K8004" s="10"/>
      <c r="L8004" s="10">
        <v>20201118</v>
      </c>
      <c r="M8004" s="36" t="str">
        <f t="shared" si="125"/>
        <v>19940320</v>
      </c>
    </row>
    <row r="8005" s="1" customFormat="1" spans="1:13">
      <c r="A8005" s="2">
        <v>5834</v>
      </c>
      <c r="B8005" s="30" t="s">
        <v>11090</v>
      </c>
      <c r="C8005" s="30" t="s">
        <v>11735</v>
      </c>
      <c r="D8005" s="30" t="s">
        <v>11736</v>
      </c>
      <c r="E8005" s="5" t="s">
        <v>15</v>
      </c>
      <c r="F8005" s="5" t="s">
        <v>10250</v>
      </c>
      <c r="G8005" s="6" t="s">
        <v>16</v>
      </c>
      <c r="H8005" s="32">
        <v>200</v>
      </c>
      <c r="I8005" s="32">
        <v>200</v>
      </c>
      <c r="J8005" s="6"/>
      <c r="K8005" s="48"/>
      <c r="L8005" s="10">
        <v>20201118</v>
      </c>
      <c r="M8005" s="36" t="str">
        <f t="shared" si="125"/>
        <v>19940320</v>
      </c>
    </row>
    <row r="8006" s="1" customFormat="1" spans="1:13">
      <c r="A8006" s="2">
        <v>7098</v>
      </c>
      <c r="B8006" s="5" t="s">
        <v>13533</v>
      </c>
      <c r="C8006" s="32" t="s">
        <v>13865</v>
      </c>
      <c r="D8006" s="32" t="s">
        <v>13866</v>
      </c>
      <c r="E8006" s="5">
        <v>2020</v>
      </c>
      <c r="F8006" s="5">
        <v>2020</v>
      </c>
      <c r="G8006" s="9" t="s">
        <v>2480</v>
      </c>
      <c r="H8006" s="32">
        <v>200</v>
      </c>
      <c r="I8006" s="32">
        <v>200</v>
      </c>
      <c r="J8006" s="32"/>
      <c r="K8006" s="10"/>
      <c r="L8006" s="10">
        <v>20201118</v>
      </c>
      <c r="M8006" s="36" t="str">
        <f t="shared" si="125"/>
        <v>19940329</v>
      </c>
    </row>
    <row r="8007" s="1" customFormat="1" spans="1:13">
      <c r="A8007" s="2">
        <v>7346</v>
      </c>
      <c r="B8007" s="5" t="s">
        <v>13908</v>
      </c>
      <c r="C8007" s="5" t="s">
        <v>14322</v>
      </c>
      <c r="D8007" s="5" t="s">
        <v>14323</v>
      </c>
      <c r="E8007" s="5" t="s">
        <v>15</v>
      </c>
      <c r="F8007" s="5" t="s">
        <v>15</v>
      </c>
      <c r="G8007" s="14" t="s">
        <v>16</v>
      </c>
      <c r="H8007" s="17">
        <v>200</v>
      </c>
      <c r="I8007" s="17">
        <v>200</v>
      </c>
      <c r="J8007" s="5"/>
      <c r="K8007" s="10"/>
      <c r="L8007" s="10">
        <v>20201118</v>
      </c>
      <c r="M8007" s="36" t="str">
        <f t="shared" si="125"/>
        <v>19940404</v>
      </c>
    </row>
    <row r="8008" s="1" customFormat="1" spans="1:13">
      <c r="A8008" s="2">
        <v>1360</v>
      </c>
      <c r="B8008" s="5" t="s">
        <v>2469</v>
      </c>
      <c r="C8008" s="9" t="s">
        <v>3298</v>
      </c>
      <c r="D8008" s="9" t="s">
        <v>3299</v>
      </c>
      <c r="E8008" s="5">
        <v>2020</v>
      </c>
      <c r="F8008" s="5">
        <v>2020</v>
      </c>
      <c r="G8008" s="9" t="s">
        <v>2480</v>
      </c>
      <c r="H8008" s="9">
        <v>200</v>
      </c>
      <c r="I8008" s="9">
        <v>200</v>
      </c>
      <c r="J8008" s="5"/>
      <c r="K8008" s="5"/>
      <c r="L8008" s="10">
        <v>20201118</v>
      </c>
      <c r="M8008" s="36" t="str">
        <f t="shared" si="125"/>
        <v>19940405</v>
      </c>
    </row>
    <row r="8009" s="1" customFormat="1" ht="14.25" spans="1:13">
      <c r="A8009" s="2">
        <v>6063</v>
      </c>
      <c r="B8009" s="30" t="s">
        <v>11090</v>
      </c>
      <c r="C8009" s="32" t="s">
        <v>12168</v>
      </c>
      <c r="D8009" s="12" t="s">
        <v>12169</v>
      </c>
      <c r="E8009" s="5" t="s">
        <v>15</v>
      </c>
      <c r="F8009" s="5" t="s">
        <v>10250</v>
      </c>
      <c r="G8009" s="6" t="s">
        <v>16</v>
      </c>
      <c r="H8009" s="32">
        <v>200</v>
      </c>
      <c r="I8009" s="32">
        <v>200</v>
      </c>
      <c r="J8009" s="5" t="s">
        <v>6097</v>
      </c>
      <c r="K8009" s="48"/>
      <c r="L8009" s="10">
        <v>20201118</v>
      </c>
      <c r="M8009" s="36" t="str">
        <f t="shared" si="125"/>
        <v>19940408</v>
      </c>
    </row>
    <row r="8010" s="1" customFormat="1" spans="1:13">
      <c r="A8010" s="2">
        <v>164</v>
      </c>
      <c r="B8010" s="14" t="s">
        <v>327</v>
      </c>
      <c r="C8010" s="14" t="s">
        <v>380</v>
      </c>
      <c r="D8010" s="14" t="s">
        <v>381</v>
      </c>
      <c r="E8010" s="5">
        <v>2020</v>
      </c>
      <c r="F8010" s="5">
        <v>2020</v>
      </c>
      <c r="G8010" s="14" t="s">
        <v>16</v>
      </c>
      <c r="H8010" s="14">
        <v>200</v>
      </c>
      <c r="I8010" s="14">
        <v>200</v>
      </c>
      <c r="J8010" s="14"/>
      <c r="K8010" s="10"/>
      <c r="L8010" s="14" t="s">
        <v>330</v>
      </c>
      <c r="M8010" s="36" t="str">
        <f t="shared" si="125"/>
        <v>19940515</v>
      </c>
    </row>
    <row r="8011" s="1" customFormat="1" spans="1:13">
      <c r="A8011" s="2">
        <v>7399</v>
      </c>
      <c r="B8011" s="5" t="s">
        <v>14402</v>
      </c>
      <c r="C8011" s="5" t="s">
        <v>14421</v>
      </c>
      <c r="D8011" s="5" t="s">
        <v>14422</v>
      </c>
      <c r="E8011" s="5">
        <v>2020</v>
      </c>
      <c r="F8011" s="5">
        <v>2020</v>
      </c>
      <c r="G8011" s="17" t="s">
        <v>16</v>
      </c>
      <c r="H8011" s="5">
        <v>200</v>
      </c>
      <c r="I8011" s="17">
        <v>200</v>
      </c>
      <c r="J8011" s="5"/>
      <c r="K8011" s="10"/>
      <c r="L8011" s="10">
        <v>20201118</v>
      </c>
      <c r="M8011" s="36" t="str">
        <f t="shared" si="125"/>
        <v>19940618</v>
      </c>
    </row>
    <row r="8012" s="1" customFormat="1" spans="1:13">
      <c r="A8012" s="2">
        <v>7618</v>
      </c>
      <c r="B8012" s="5" t="s">
        <v>14402</v>
      </c>
      <c r="C8012" s="5" t="s">
        <v>14834</v>
      </c>
      <c r="D8012" s="5" t="s">
        <v>14835</v>
      </c>
      <c r="E8012" s="5">
        <v>2020</v>
      </c>
      <c r="F8012" s="5">
        <v>2020</v>
      </c>
      <c r="G8012" s="17" t="s">
        <v>16</v>
      </c>
      <c r="H8012" s="5">
        <v>200</v>
      </c>
      <c r="I8012" s="5">
        <v>200</v>
      </c>
      <c r="J8012" s="5"/>
      <c r="K8012" s="10"/>
      <c r="L8012" s="10">
        <v>20201118</v>
      </c>
      <c r="M8012" s="36" t="str">
        <f t="shared" si="125"/>
        <v>19940621</v>
      </c>
    </row>
    <row r="8013" s="1" customFormat="1" spans="1:13">
      <c r="A8013" s="2">
        <v>5183</v>
      </c>
      <c r="B8013" s="6" t="s">
        <v>10242</v>
      </c>
      <c r="C8013" s="9" t="s">
        <v>10489</v>
      </c>
      <c r="D8013" s="9" t="s">
        <v>10490</v>
      </c>
      <c r="E8013" s="5" t="s">
        <v>10250</v>
      </c>
      <c r="F8013" s="5">
        <v>2020</v>
      </c>
      <c r="G8013" s="6" t="s">
        <v>16</v>
      </c>
      <c r="H8013" s="6">
        <v>200</v>
      </c>
      <c r="I8013" s="6">
        <v>200</v>
      </c>
      <c r="J8013" s="6"/>
      <c r="K8013" s="5"/>
      <c r="L8013" s="10">
        <v>20201118</v>
      </c>
      <c r="M8013" s="36" t="str">
        <f t="shared" si="125"/>
        <v>19940704</v>
      </c>
    </row>
    <row r="8014" s="1" customFormat="1" spans="1:13">
      <c r="A8014" s="2">
        <v>6774</v>
      </c>
      <c r="B8014" s="5" t="s">
        <v>13027</v>
      </c>
      <c r="C8014" s="15" t="s">
        <v>13509</v>
      </c>
      <c r="D8014" s="15" t="s">
        <v>13510</v>
      </c>
      <c r="E8014" s="5">
        <v>2020</v>
      </c>
      <c r="F8014" s="5">
        <v>2020</v>
      </c>
      <c r="G8014" s="14" t="s">
        <v>16</v>
      </c>
      <c r="H8014" s="15">
        <v>200</v>
      </c>
      <c r="I8014" s="15">
        <v>200</v>
      </c>
      <c r="J8014" s="5"/>
      <c r="K8014" s="10"/>
      <c r="L8014" s="10">
        <v>20201118</v>
      </c>
      <c r="M8014" s="36" t="str">
        <f t="shared" si="125"/>
        <v>19940812</v>
      </c>
    </row>
    <row r="8015" s="1" customFormat="1" spans="1:13">
      <c r="A8015" s="2">
        <v>3266</v>
      </c>
      <c r="B8015" s="5" t="s">
        <v>3375</v>
      </c>
      <c r="C8015" s="6" t="s">
        <v>7035</v>
      </c>
      <c r="D8015" s="6" t="str">
        <f>"152326199409276893"</f>
        <v>152326199409276893</v>
      </c>
      <c r="E8015" s="5" t="s">
        <v>15</v>
      </c>
      <c r="F8015" s="5">
        <v>2020</v>
      </c>
      <c r="G8015" s="14" t="s">
        <v>16</v>
      </c>
      <c r="H8015" s="17">
        <v>200</v>
      </c>
      <c r="I8015" s="17">
        <v>200</v>
      </c>
      <c r="J8015" s="6"/>
      <c r="K8015" s="10"/>
      <c r="L8015" s="10">
        <v>20201118</v>
      </c>
      <c r="M8015" s="36" t="str">
        <f t="shared" si="125"/>
        <v>19940927</v>
      </c>
    </row>
    <row r="8016" s="1" customFormat="1" spans="1:13">
      <c r="A8016" s="2">
        <v>8180</v>
      </c>
      <c r="B8016" s="5" t="s">
        <v>15406</v>
      </c>
      <c r="C8016" s="6" t="s">
        <v>15548</v>
      </c>
      <c r="D8016" s="6" t="s">
        <v>15549</v>
      </c>
      <c r="E8016" s="5" t="s">
        <v>15</v>
      </c>
      <c r="F8016" s="5">
        <v>2020</v>
      </c>
      <c r="G8016" s="14" t="s">
        <v>16</v>
      </c>
      <c r="H8016" s="6">
        <v>200</v>
      </c>
      <c r="I8016" s="6">
        <v>200</v>
      </c>
      <c r="J8016" s="5"/>
      <c r="K8016" s="10"/>
      <c r="L8016" s="10">
        <v>20201118</v>
      </c>
      <c r="M8016" s="36" t="str">
        <f t="shared" si="125"/>
        <v>19940927</v>
      </c>
    </row>
    <row r="8017" s="1" customFormat="1" spans="1:13">
      <c r="A8017" s="2">
        <v>908</v>
      </c>
      <c r="B8017" s="29" t="s">
        <v>1040</v>
      </c>
      <c r="C8017" s="6" t="s">
        <v>2371</v>
      </c>
      <c r="D8017" s="6" t="s">
        <v>2372</v>
      </c>
      <c r="E8017" s="30">
        <v>2020</v>
      </c>
      <c r="F8017" s="30">
        <v>2020</v>
      </c>
      <c r="G8017" s="29" t="s">
        <v>16</v>
      </c>
      <c r="H8017" s="29">
        <v>200</v>
      </c>
      <c r="I8017" s="29">
        <v>200</v>
      </c>
      <c r="J8017" s="32"/>
      <c r="K8017" s="32"/>
      <c r="L8017" s="14" t="s">
        <v>330</v>
      </c>
      <c r="M8017" s="36" t="str">
        <f t="shared" si="125"/>
        <v>19941004</v>
      </c>
    </row>
    <row r="8018" s="1" customFormat="1" spans="1:13">
      <c r="A8018" s="2">
        <v>887</v>
      </c>
      <c r="B8018" s="29" t="s">
        <v>1040</v>
      </c>
      <c r="C8018" s="6" t="s">
        <v>2308</v>
      </c>
      <c r="D8018" s="6" t="s">
        <v>2309</v>
      </c>
      <c r="E8018" s="30">
        <v>2020</v>
      </c>
      <c r="F8018" s="30">
        <v>2020</v>
      </c>
      <c r="G8018" s="29" t="s">
        <v>16</v>
      </c>
      <c r="H8018" s="29">
        <v>200</v>
      </c>
      <c r="I8018" s="29">
        <v>200</v>
      </c>
      <c r="J8018" s="32"/>
      <c r="K8018" s="32"/>
      <c r="L8018" s="14" t="s">
        <v>330</v>
      </c>
      <c r="M8018" s="36" t="str">
        <f t="shared" si="125"/>
        <v>19941009</v>
      </c>
    </row>
    <row r="8019" s="1" customFormat="1" spans="1:13">
      <c r="A8019" s="2">
        <v>7619</v>
      </c>
      <c r="B8019" s="5" t="s">
        <v>14402</v>
      </c>
      <c r="C8019" s="5" t="s">
        <v>14836</v>
      </c>
      <c r="D8019" s="5" t="s">
        <v>14837</v>
      </c>
      <c r="E8019" s="5">
        <v>2020</v>
      </c>
      <c r="F8019" s="5">
        <v>2020</v>
      </c>
      <c r="G8019" s="17" t="s">
        <v>16</v>
      </c>
      <c r="H8019" s="5">
        <v>200</v>
      </c>
      <c r="I8019" s="5">
        <v>200</v>
      </c>
      <c r="J8019" s="5"/>
      <c r="K8019" s="10"/>
      <c r="L8019" s="10">
        <v>20201118</v>
      </c>
      <c r="M8019" s="36" t="str">
        <f t="shared" si="125"/>
        <v>19941010</v>
      </c>
    </row>
    <row r="8020" s="1" customFormat="1" spans="1:13">
      <c r="A8020" s="2">
        <v>7234</v>
      </c>
      <c r="B8020" s="5" t="s">
        <v>13908</v>
      </c>
      <c r="C8020" s="5" t="s">
        <v>14112</v>
      </c>
      <c r="D8020" s="5" t="s">
        <v>14113</v>
      </c>
      <c r="E8020" s="5" t="s">
        <v>15</v>
      </c>
      <c r="F8020" s="5" t="s">
        <v>15</v>
      </c>
      <c r="G8020" s="14" t="s">
        <v>16</v>
      </c>
      <c r="H8020" s="17">
        <v>200</v>
      </c>
      <c r="I8020" s="17">
        <v>200</v>
      </c>
      <c r="J8020" s="5"/>
      <c r="K8020" s="10"/>
      <c r="L8020" s="10">
        <v>20201118</v>
      </c>
      <c r="M8020" s="36" t="str">
        <f t="shared" si="125"/>
        <v>19941012</v>
      </c>
    </row>
    <row r="8021" s="1" customFormat="1" ht="14.25" spans="1:13">
      <c r="A8021" s="2">
        <v>5482</v>
      </c>
      <c r="B8021" s="33" t="s">
        <v>10535</v>
      </c>
      <c r="C8021" s="34" t="s">
        <v>11059</v>
      </c>
      <c r="D8021" s="34" t="s">
        <v>11060</v>
      </c>
      <c r="E8021" s="35">
        <v>2020</v>
      </c>
      <c r="F8021" s="35">
        <v>2020</v>
      </c>
      <c r="G8021" s="35" t="s">
        <v>16</v>
      </c>
      <c r="H8021" s="34">
        <v>200</v>
      </c>
      <c r="I8021" s="34">
        <v>200</v>
      </c>
      <c r="J8021" s="49"/>
      <c r="K8021" s="10"/>
      <c r="L8021" s="10">
        <v>20201118</v>
      </c>
      <c r="M8021" s="36" t="str">
        <f t="shared" si="125"/>
        <v>19941024</v>
      </c>
    </row>
    <row r="8022" s="1" customFormat="1" spans="1:13">
      <c r="A8022" s="2">
        <v>4813</v>
      </c>
      <c r="B8022" s="6" t="s">
        <v>9015</v>
      </c>
      <c r="C8022" s="6" t="s">
        <v>9774</v>
      </c>
      <c r="D8022" s="293" t="s">
        <v>9775</v>
      </c>
      <c r="E8022" s="6">
        <v>2020</v>
      </c>
      <c r="F8022" s="6">
        <v>2020</v>
      </c>
      <c r="G8022" s="6" t="s">
        <v>16</v>
      </c>
      <c r="H8022" s="6">
        <v>200</v>
      </c>
      <c r="I8022" s="6">
        <v>200</v>
      </c>
      <c r="J8022" s="6"/>
      <c r="K8022" s="6"/>
      <c r="L8022" s="10">
        <v>20201118</v>
      </c>
      <c r="M8022" s="36" t="str">
        <f t="shared" si="125"/>
        <v>19941026</v>
      </c>
    </row>
    <row r="8023" s="1" customFormat="1" spans="1:13">
      <c r="A8023" s="2">
        <v>2097</v>
      </c>
      <c r="B8023" s="5" t="s">
        <v>4189</v>
      </c>
      <c r="C8023" s="16" t="s">
        <v>4745</v>
      </c>
      <c r="D8023" s="16" t="s">
        <v>4746</v>
      </c>
      <c r="E8023" s="5" t="s">
        <v>15</v>
      </c>
      <c r="F8023" s="5" t="s">
        <v>15</v>
      </c>
      <c r="G8023" s="5" t="s">
        <v>3359</v>
      </c>
      <c r="H8023" s="16">
        <v>200</v>
      </c>
      <c r="I8023" s="16">
        <v>200</v>
      </c>
      <c r="J8023" s="5"/>
      <c r="K8023" s="10"/>
      <c r="L8023" s="10">
        <v>20201118</v>
      </c>
      <c r="M8023" s="36" t="str">
        <f t="shared" si="125"/>
        <v>19941030</v>
      </c>
    </row>
    <row r="8024" s="1" customFormat="1" spans="1:13">
      <c r="A8024" s="2">
        <v>7115</v>
      </c>
      <c r="B8024" s="5" t="s">
        <v>13533</v>
      </c>
      <c r="C8024" s="5" t="s">
        <v>13890</v>
      </c>
      <c r="D8024" s="5" t="s">
        <v>13891</v>
      </c>
      <c r="E8024" s="5">
        <v>2020</v>
      </c>
      <c r="F8024" s="5">
        <v>2020</v>
      </c>
      <c r="G8024" s="9" t="s">
        <v>2480</v>
      </c>
      <c r="H8024" s="32">
        <v>200</v>
      </c>
      <c r="I8024" s="32">
        <v>200</v>
      </c>
      <c r="J8024" s="32"/>
      <c r="K8024" s="10"/>
      <c r="L8024" s="10">
        <v>20201118</v>
      </c>
      <c r="M8024" s="36" t="str">
        <f t="shared" si="125"/>
        <v>19941103</v>
      </c>
    </row>
    <row r="8025" s="1" customFormat="1" spans="1:13">
      <c r="A8025" s="2">
        <v>5184</v>
      </c>
      <c r="B8025" s="6" t="s">
        <v>10242</v>
      </c>
      <c r="C8025" s="9" t="s">
        <v>10491</v>
      </c>
      <c r="D8025" s="9" t="s">
        <v>10492</v>
      </c>
      <c r="E8025" s="5" t="s">
        <v>10250</v>
      </c>
      <c r="F8025" s="5">
        <v>2020</v>
      </c>
      <c r="G8025" s="6" t="s">
        <v>16</v>
      </c>
      <c r="H8025" s="6">
        <v>200</v>
      </c>
      <c r="I8025" s="6">
        <v>200</v>
      </c>
      <c r="J8025" s="6"/>
      <c r="K8025" s="5"/>
      <c r="L8025" s="10">
        <v>20201118</v>
      </c>
      <c r="M8025" s="36" t="str">
        <f t="shared" si="125"/>
        <v>19941126</v>
      </c>
    </row>
    <row r="8026" s="1" customFormat="1" spans="1:13">
      <c r="A8026" s="2">
        <v>7822</v>
      </c>
      <c r="B8026" s="5" t="s">
        <v>15086</v>
      </c>
      <c r="C8026" s="6" t="s">
        <v>15088</v>
      </c>
      <c r="D8026" s="6" t="str">
        <f>"152326199411286871"</f>
        <v>152326199411286871</v>
      </c>
      <c r="E8026" s="5" t="s">
        <v>15</v>
      </c>
      <c r="F8026" s="5">
        <v>2020</v>
      </c>
      <c r="G8026" s="5" t="s">
        <v>16</v>
      </c>
      <c r="H8026" s="5">
        <v>200</v>
      </c>
      <c r="I8026" s="5">
        <v>200</v>
      </c>
      <c r="J8026" s="5"/>
      <c r="K8026" s="5"/>
      <c r="L8026" s="10">
        <v>20201118</v>
      </c>
      <c r="M8026" s="36" t="str">
        <f t="shared" si="125"/>
        <v>19941128</v>
      </c>
    </row>
    <row r="8027" s="1" customFormat="1" spans="1:13">
      <c r="A8027" s="2">
        <v>95</v>
      </c>
      <c r="B8027" s="3" t="s">
        <v>12</v>
      </c>
      <c r="C8027" s="6" t="s">
        <v>206</v>
      </c>
      <c r="D8027" s="6" t="s">
        <v>207</v>
      </c>
      <c r="E8027" s="3" t="s">
        <v>15</v>
      </c>
      <c r="F8027" s="3" t="s">
        <v>15</v>
      </c>
      <c r="G8027" s="2" t="s">
        <v>16</v>
      </c>
      <c r="H8027" s="3">
        <v>200</v>
      </c>
      <c r="I8027" s="3">
        <v>200</v>
      </c>
      <c r="J8027" s="3"/>
      <c r="K8027" s="3"/>
      <c r="L8027" s="10">
        <v>20201118</v>
      </c>
      <c r="M8027" s="36" t="str">
        <f t="shared" si="125"/>
        <v>19941204</v>
      </c>
    </row>
    <row r="8028" s="1" customFormat="1" ht="14.25" spans="1:13">
      <c r="A8028" s="2">
        <v>6023</v>
      </c>
      <c r="B8028" s="30" t="s">
        <v>11090</v>
      </c>
      <c r="C8028" s="32" t="s">
        <v>12089</v>
      </c>
      <c r="D8028" s="12" t="s">
        <v>12090</v>
      </c>
      <c r="E8028" s="5" t="s">
        <v>15</v>
      </c>
      <c r="F8028" s="5" t="s">
        <v>10250</v>
      </c>
      <c r="G8028" s="6" t="s">
        <v>16</v>
      </c>
      <c r="H8028" s="32">
        <v>200</v>
      </c>
      <c r="I8028" s="32">
        <v>200</v>
      </c>
      <c r="J8028" s="5"/>
      <c r="K8028" s="48"/>
      <c r="L8028" s="10">
        <v>20201118</v>
      </c>
      <c r="M8028" s="36" t="str">
        <f t="shared" si="125"/>
        <v>19941208</v>
      </c>
    </row>
    <row r="8029" s="1" customFormat="1" spans="1:13">
      <c r="A8029" s="2">
        <v>7241</v>
      </c>
      <c r="B8029" s="5" t="s">
        <v>13908</v>
      </c>
      <c r="C8029" s="5" t="s">
        <v>14125</v>
      </c>
      <c r="D8029" s="5" t="s">
        <v>14126</v>
      </c>
      <c r="E8029" s="5" t="s">
        <v>15</v>
      </c>
      <c r="F8029" s="5" t="s">
        <v>15</v>
      </c>
      <c r="G8029" s="14" t="s">
        <v>16</v>
      </c>
      <c r="H8029" s="17">
        <v>200</v>
      </c>
      <c r="I8029" s="17">
        <v>200</v>
      </c>
      <c r="J8029" s="5"/>
      <c r="K8029" s="10"/>
      <c r="L8029" s="10">
        <v>20201118</v>
      </c>
      <c r="M8029" s="36" t="str">
        <f t="shared" si="125"/>
        <v>19941208</v>
      </c>
    </row>
    <row r="8030" s="1" customFormat="1" spans="1:13">
      <c r="A8030" s="2">
        <v>1361</v>
      </c>
      <c r="B8030" s="5" t="s">
        <v>2469</v>
      </c>
      <c r="C8030" s="9" t="s">
        <v>3300</v>
      </c>
      <c r="D8030" s="9" t="s">
        <v>3301</v>
      </c>
      <c r="E8030" s="5">
        <v>2020</v>
      </c>
      <c r="F8030" s="5">
        <v>2020</v>
      </c>
      <c r="G8030" s="9" t="s">
        <v>2480</v>
      </c>
      <c r="H8030" s="9">
        <v>200</v>
      </c>
      <c r="I8030" s="9">
        <v>200</v>
      </c>
      <c r="J8030" s="5"/>
      <c r="K8030" s="5"/>
      <c r="L8030" s="10">
        <v>20201118</v>
      </c>
      <c r="M8030" s="36" t="str">
        <f t="shared" si="125"/>
        <v>19941211</v>
      </c>
    </row>
    <row r="8031" s="1" customFormat="1" spans="1:13">
      <c r="A8031" s="2">
        <v>3267</v>
      </c>
      <c r="B8031" s="5" t="s">
        <v>3375</v>
      </c>
      <c r="C8031" s="6" t="s">
        <v>7036</v>
      </c>
      <c r="D8031" s="6" t="str">
        <f>"152326199412166871"</f>
        <v>152326199412166871</v>
      </c>
      <c r="E8031" s="5" t="s">
        <v>15</v>
      </c>
      <c r="F8031" s="5">
        <v>2020</v>
      </c>
      <c r="G8031" s="14" t="s">
        <v>16</v>
      </c>
      <c r="H8031" s="17">
        <v>200</v>
      </c>
      <c r="I8031" s="17">
        <v>200</v>
      </c>
      <c r="J8031" s="6"/>
      <c r="K8031" s="10"/>
      <c r="L8031" s="10">
        <v>20201118</v>
      </c>
      <c r="M8031" s="36" t="str">
        <f t="shared" si="125"/>
        <v>19941216</v>
      </c>
    </row>
    <row r="8032" s="1" customFormat="1" spans="1:13">
      <c r="A8032" s="2">
        <v>1746</v>
      </c>
      <c r="B8032" s="5" t="s">
        <v>3381</v>
      </c>
      <c r="C8032" s="9" t="s">
        <v>4052</v>
      </c>
      <c r="D8032" s="9" t="s">
        <v>4053</v>
      </c>
      <c r="E8032" s="5">
        <v>2020</v>
      </c>
      <c r="F8032" s="5">
        <v>2020</v>
      </c>
      <c r="G8032" s="14" t="s">
        <v>16</v>
      </c>
      <c r="H8032" s="6">
        <v>200</v>
      </c>
      <c r="I8032" s="6">
        <v>200</v>
      </c>
      <c r="J8032" s="5"/>
      <c r="K8032" s="13"/>
      <c r="L8032" s="10">
        <v>20201118</v>
      </c>
      <c r="M8032" s="36" t="str">
        <f t="shared" si="125"/>
        <v>19941220</v>
      </c>
    </row>
    <row r="8033" s="1" customFormat="1" spans="1:13">
      <c r="A8033" s="2">
        <v>6048</v>
      </c>
      <c r="B8033" s="30" t="s">
        <v>11090</v>
      </c>
      <c r="C8033" s="32" t="s">
        <v>12139</v>
      </c>
      <c r="D8033" s="3" t="s">
        <v>12140</v>
      </c>
      <c r="E8033" s="5" t="s">
        <v>15</v>
      </c>
      <c r="F8033" s="5" t="s">
        <v>10250</v>
      </c>
      <c r="G8033" s="6" t="s">
        <v>16</v>
      </c>
      <c r="H8033" s="32">
        <v>200</v>
      </c>
      <c r="I8033" s="32">
        <v>200</v>
      </c>
      <c r="J8033" s="5"/>
      <c r="K8033" s="48"/>
      <c r="L8033" s="10">
        <v>20201118</v>
      </c>
      <c r="M8033" s="36" t="str">
        <f t="shared" si="125"/>
        <v>19941222</v>
      </c>
    </row>
    <row r="8034" s="1" customFormat="1" spans="1:13">
      <c r="A8034" s="2">
        <v>5946</v>
      </c>
      <c r="B8034" s="30" t="s">
        <v>11090</v>
      </c>
      <c r="C8034" s="6" t="s">
        <v>11939</v>
      </c>
      <c r="D8034" s="6" t="s">
        <v>11940</v>
      </c>
      <c r="E8034" s="5" t="s">
        <v>15</v>
      </c>
      <c r="F8034" s="5" t="s">
        <v>10250</v>
      </c>
      <c r="G8034" s="6" t="s">
        <v>16</v>
      </c>
      <c r="H8034" s="32">
        <v>200</v>
      </c>
      <c r="I8034" s="32">
        <v>200</v>
      </c>
      <c r="J8034" s="6"/>
      <c r="K8034" s="48"/>
      <c r="L8034" s="10">
        <v>20201118</v>
      </c>
      <c r="M8034" s="36" t="str">
        <f t="shared" si="125"/>
        <v>19950102</v>
      </c>
    </row>
    <row r="8035" s="1" customFormat="1" ht="14.25" spans="1:13">
      <c r="A8035" s="2">
        <v>6016</v>
      </c>
      <c r="B8035" s="30" t="s">
        <v>11090</v>
      </c>
      <c r="C8035" s="32" t="s">
        <v>12075</v>
      </c>
      <c r="D8035" s="12" t="s">
        <v>12076</v>
      </c>
      <c r="E8035" s="5" t="s">
        <v>15</v>
      </c>
      <c r="F8035" s="5" t="s">
        <v>10250</v>
      </c>
      <c r="G8035" s="6" t="s">
        <v>16</v>
      </c>
      <c r="H8035" s="32">
        <v>200</v>
      </c>
      <c r="I8035" s="32">
        <v>200</v>
      </c>
      <c r="J8035" s="5"/>
      <c r="K8035" s="48"/>
      <c r="L8035" s="10">
        <v>20201118</v>
      </c>
      <c r="M8035" s="36" t="str">
        <f t="shared" si="125"/>
        <v>19950103</v>
      </c>
    </row>
    <row r="8036" s="1" customFormat="1" ht="14.25" spans="1:13">
      <c r="A8036" s="2">
        <v>6034</v>
      </c>
      <c r="B8036" s="30" t="s">
        <v>11090</v>
      </c>
      <c r="C8036" s="32" t="s">
        <v>12111</v>
      </c>
      <c r="D8036" s="295" t="s">
        <v>12112</v>
      </c>
      <c r="E8036" s="5" t="s">
        <v>15</v>
      </c>
      <c r="F8036" s="5" t="s">
        <v>10250</v>
      </c>
      <c r="G8036" s="6" t="s">
        <v>16</v>
      </c>
      <c r="H8036" s="32">
        <v>200</v>
      </c>
      <c r="I8036" s="32">
        <v>200</v>
      </c>
      <c r="J8036" s="5"/>
      <c r="K8036" s="48"/>
      <c r="L8036" s="10">
        <v>20201118</v>
      </c>
      <c r="M8036" s="36" t="str">
        <f t="shared" si="125"/>
        <v>19950105</v>
      </c>
    </row>
    <row r="8037" s="1" customFormat="1" spans="1:13">
      <c r="A8037" s="2">
        <v>7397</v>
      </c>
      <c r="B8037" s="5" t="s">
        <v>14402</v>
      </c>
      <c r="C8037" s="5" t="s">
        <v>14418</v>
      </c>
      <c r="D8037" s="5" t="s">
        <v>14419</v>
      </c>
      <c r="E8037" s="5">
        <v>2020</v>
      </c>
      <c r="F8037" s="5">
        <v>2020</v>
      </c>
      <c r="G8037" s="17" t="s">
        <v>16</v>
      </c>
      <c r="H8037" s="5">
        <v>200</v>
      </c>
      <c r="I8037" s="17">
        <v>200</v>
      </c>
      <c r="J8037" s="5"/>
      <c r="K8037" s="10"/>
      <c r="L8037" s="10">
        <v>20201118</v>
      </c>
      <c r="M8037" s="36" t="str">
        <f t="shared" si="125"/>
        <v>19950120</v>
      </c>
    </row>
    <row r="8038" s="1" customFormat="1" spans="1:13">
      <c r="A8038" s="2">
        <v>6775</v>
      </c>
      <c r="B8038" s="5" t="s">
        <v>13027</v>
      </c>
      <c r="C8038" s="15" t="s">
        <v>13511</v>
      </c>
      <c r="D8038" s="15" t="s">
        <v>13512</v>
      </c>
      <c r="E8038" s="5">
        <v>2020</v>
      </c>
      <c r="F8038" s="5">
        <v>2020</v>
      </c>
      <c r="G8038" s="14" t="s">
        <v>16</v>
      </c>
      <c r="H8038" s="15">
        <v>200</v>
      </c>
      <c r="I8038" s="15">
        <v>200</v>
      </c>
      <c r="J8038" s="5"/>
      <c r="K8038" s="10"/>
      <c r="L8038" s="10">
        <v>20201118</v>
      </c>
      <c r="M8038" s="36" t="str">
        <f t="shared" si="125"/>
        <v>19950124</v>
      </c>
    </row>
    <row r="8039" s="1" customFormat="1" spans="1:13">
      <c r="A8039" s="2">
        <v>2089</v>
      </c>
      <c r="B8039" s="5" t="s">
        <v>4189</v>
      </c>
      <c r="C8039" s="16" t="s">
        <v>4729</v>
      </c>
      <c r="D8039" s="16" t="s">
        <v>4730</v>
      </c>
      <c r="E8039" s="5" t="s">
        <v>15</v>
      </c>
      <c r="F8039" s="5" t="s">
        <v>15</v>
      </c>
      <c r="G8039" s="5" t="s">
        <v>3359</v>
      </c>
      <c r="H8039" s="16">
        <v>200</v>
      </c>
      <c r="I8039" s="16">
        <v>200</v>
      </c>
      <c r="J8039" s="5"/>
      <c r="K8039" s="10"/>
      <c r="L8039" s="10">
        <v>20201118</v>
      </c>
      <c r="M8039" s="36" t="str">
        <f t="shared" si="125"/>
        <v>19950204</v>
      </c>
    </row>
    <row r="8040" s="1" customFormat="1" spans="1:13">
      <c r="A8040" s="2">
        <v>7617</v>
      </c>
      <c r="B8040" s="5" t="s">
        <v>14402</v>
      </c>
      <c r="C8040" s="5" t="s">
        <v>14832</v>
      </c>
      <c r="D8040" s="5" t="s">
        <v>14833</v>
      </c>
      <c r="E8040" s="5">
        <v>2020</v>
      </c>
      <c r="F8040" s="5">
        <v>2020</v>
      </c>
      <c r="G8040" s="17" t="s">
        <v>16</v>
      </c>
      <c r="H8040" s="5">
        <v>200</v>
      </c>
      <c r="I8040" s="5">
        <v>200</v>
      </c>
      <c r="J8040" s="5"/>
      <c r="K8040" s="10"/>
      <c r="L8040" s="10">
        <v>20201118</v>
      </c>
      <c r="M8040" s="36" t="str">
        <f t="shared" si="125"/>
        <v>19950218</v>
      </c>
    </row>
    <row r="8041" s="1" customFormat="1" spans="1:13">
      <c r="A8041" s="2">
        <v>7113</v>
      </c>
      <c r="B8041" s="5" t="s">
        <v>13533</v>
      </c>
      <c r="C8041" s="5" t="s">
        <v>13887</v>
      </c>
      <c r="D8041" s="5" t="s">
        <v>13888</v>
      </c>
      <c r="E8041" s="5">
        <v>2020</v>
      </c>
      <c r="F8041" s="5">
        <v>2020</v>
      </c>
      <c r="G8041" s="9" t="s">
        <v>2480</v>
      </c>
      <c r="H8041" s="32">
        <v>200</v>
      </c>
      <c r="I8041" s="32">
        <v>200</v>
      </c>
      <c r="J8041" s="32"/>
      <c r="K8041" s="10"/>
      <c r="L8041" s="10">
        <v>20201118</v>
      </c>
      <c r="M8041" s="36" t="str">
        <f t="shared" si="125"/>
        <v>19950227</v>
      </c>
    </row>
    <row r="8042" s="1" customFormat="1" spans="1:13">
      <c r="A8042" s="2">
        <v>1382</v>
      </c>
      <c r="B8042" s="5" t="s">
        <v>2469</v>
      </c>
      <c r="C8042" s="6" t="s">
        <v>3338</v>
      </c>
      <c r="D8042" s="6" t="str">
        <f>"152326199503036618"</f>
        <v>152326199503036618</v>
      </c>
      <c r="E8042" s="5">
        <v>2020</v>
      </c>
      <c r="F8042" s="5">
        <v>2020</v>
      </c>
      <c r="G8042" s="9" t="s">
        <v>2480</v>
      </c>
      <c r="H8042" s="9">
        <v>200</v>
      </c>
      <c r="I8042" s="9">
        <v>200</v>
      </c>
      <c r="J8042" s="5"/>
      <c r="K8042" s="10"/>
      <c r="L8042" s="10">
        <v>20201118</v>
      </c>
      <c r="M8042" s="36" t="str">
        <f t="shared" si="125"/>
        <v>19950303</v>
      </c>
    </row>
    <row r="8043" s="1" customFormat="1" spans="1:13">
      <c r="A8043" s="2">
        <v>5981</v>
      </c>
      <c r="B8043" s="30" t="s">
        <v>11090</v>
      </c>
      <c r="C8043" s="32" t="s">
        <v>12008</v>
      </c>
      <c r="D8043" s="3" t="s">
        <v>12009</v>
      </c>
      <c r="E8043" s="5" t="s">
        <v>15</v>
      </c>
      <c r="F8043" s="5" t="s">
        <v>10250</v>
      </c>
      <c r="G8043" s="6" t="s">
        <v>16</v>
      </c>
      <c r="H8043" s="32">
        <v>200</v>
      </c>
      <c r="I8043" s="32">
        <v>200</v>
      </c>
      <c r="J8043" s="6"/>
      <c r="K8043" s="48"/>
      <c r="L8043" s="10">
        <v>20201118</v>
      </c>
      <c r="M8043" s="36" t="str">
        <f t="shared" si="125"/>
        <v>19950309</v>
      </c>
    </row>
    <row r="8044" s="1" customFormat="1" ht="14.25" spans="1:13">
      <c r="A8044" s="2">
        <v>5960</v>
      </c>
      <c r="B8044" s="30" t="s">
        <v>11090</v>
      </c>
      <c r="C8044" s="32" t="s">
        <v>11967</v>
      </c>
      <c r="D8044" s="12" t="s">
        <v>11968</v>
      </c>
      <c r="E8044" s="5" t="s">
        <v>15</v>
      </c>
      <c r="F8044" s="5" t="s">
        <v>10250</v>
      </c>
      <c r="G8044" s="6" t="s">
        <v>16</v>
      </c>
      <c r="H8044" s="32">
        <v>200</v>
      </c>
      <c r="I8044" s="32">
        <v>200</v>
      </c>
      <c r="J8044" s="6"/>
      <c r="K8044" s="48"/>
      <c r="L8044" s="10">
        <v>20201118</v>
      </c>
      <c r="M8044" s="36" t="str">
        <f t="shared" si="125"/>
        <v>19950318</v>
      </c>
    </row>
    <row r="8045" s="1" customFormat="1" ht="14.25" spans="1:13">
      <c r="A8045" s="2">
        <v>6105</v>
      </c>
      <c r="B8045" s="30" t="s">
        <v>11090</v>
      </c>
      <c r="C8045" s="32" t="s">
        <v>12246</v>
      </c>
      <c r="D8045" s="12" t="s">
        <v>12247</v>
      </c>
      <c r="E8045" s="5" t="s">
        <v>15</v>
      </c>
      <c r="F8045" s="5" t="s">
        <v>10250</v>
      </c>
      <c r="G8045" s="32" t="s">
        <v>12241</v>
      </c>
      <c r="H8045" s="32">
        <v>200</v>
      </c>
      <c r="I8045" s="32">
        <v>200</v>
      </c>
      <c r="J8045" s="5"/>
      <c r="K8045" s="48"/>
      <c r="L8045" s="10">
        <v>20201118</v>
      </c>
      <c r="M8045" s="36" t="str">
        <f t="shared" si="125"/>
        <v>19950408</v>
      </c>
    </row>
    <row r="8046" s="1" customFormat="1" spans="1:13">
      <c r="A8046" s="2">
        <v>331</v>
      </c>
      <c r="B8046" s="14" t="s">
        <v>327</v>
      </c>
      <c r="C8046" s="17" t="s">
        <v>881</v>
      </c>
      <c r="D8046" s="306" t="s">
        <v>882</v>
      </c>
      <c r="E8046" s="5">
        <v>2020</v>
      </c>
      <c r="F8046" s="5">
        <v>2020</v>
      </c>
      <c r="G8046" s="14" t="s">
        <v>16</v>
      </c>
      <c r="H8046" s="17">
        <v>200</v>
      </c>
      <c r="I8046" s="17">
        <v>200</v>
      </c>
      <c r="J8046" s="17"/>
      <c r="K8046" s="10"/>
      <c r="L8046" s="2" t="s">
        <v>330</v>
      </c>
      <c r="M8046" s="36" t="str">
        <f t="shared" si="125"/>
        <v>19950410</v>
      </c>
    </row>
    <row r="8047" s="1" customFormat="1" spans="1:13">
      <c r="A8047" s="2">
        <v>7398</v>
      </c>
      <c r="B8047" s="5" t="s">
        <v>14402</v>
      </c>
      <c r="C8047" s="5" t="s">
        <v>12979</v>
      </c>
      <c r="D8047" s="5" t="s">
        <v>14420</v>
      </c>
      <c r="E8047" s="5">
        <v>2020</v>
      </c>
      <c r="F8047" s="5">
        <v>2020</v>
      </c>
      <c r="G8047" s="17" t="s">
        <v>16</v>
      </c>
      <c r="H8047" s="5">
        <v>200</v>
      </c>
      <c r="I8047" s="17">
        <v>200</v>
      </c>
      <c r="J8047" s="5"/>
      <c r="K8047" s="10"/>
      <c r="L8047" s="10">
        <v>20201118</v>
      </c>
      <c r="M8047" s="36" t="str">
        <f t="shared" si="125"/>
        <v>19950423</v>
      </c>
    </row>
    <row r="8048" s="1" customFormat="1" ht="14.25" spans="1:13">
      <c r="A8048" s="2">
        <v>6005</v>
      </c>
      <c r="B8048" s="30" t="s">
        <v>11090</v>
      </c>
      <c r="C8048" s="32" t="s">
        <v>12053</v>
      </c>
      <c r="D8048" s="12" t="s">
        <v>12054</v>
      </c>
      <c r="E8048" s="5" t="s">
        <v>15</v>
      </c>
      <c r="F8048" s="5" t="s">
        <v>10250</v>
      </c>
      <c r="G8048" s="6" t="s">
        <v>16</v>
      </c>
      <c r="H8048" s="32">
        <v>200</v>
      </c>
      <c r="I8048" s="32">
        <v>200</v>
      </c>
      <c r="J8048" s="5"/>
      <c r="K8048" s="48"/>
      <c r="L8048" s="10">
        <v>20201118</v>
      </c>
      <c r="M8048" s="36" t="str">
        <f t="shared" si="125"/>
        <v>19950430</v>
      </c>
    </row>
    <row r="8049" s="1" customFormat="1" ht="14.25" spans="1:13">
      <c r="A8049" s="2">
        <v>6065</v>
      </c>
      <c r="B8049" s="30" t="s">
        <v>11090</v>
      </c>
      <c r="C8049" s="32" t="s">
        <v>12172</v>
      </c>
      <c r="D8049" s="12" t="s">
        <v>12173</v>
      </c>
      <c r="E8049" s="5" t="s">
        <v>15</v>
      </c>
      <c r="F8049" s="5" t="s">
        <v>10250</v>
      </c>
      <c r="G8049" s="6" t="s">
        <v>16</v>
      </c>
      <c r="H8049" s="32">
        <v>200</v>
      </c>
      <c r="I8049" s="32">
        <v>200</v>
      </c>
      <c r="J8049" s="5"/>
      <c r="K8049" s="48"/>
      <c r="L8049" s="10">
        <v>20201118</v>
      </c>
      <c r="M8049" s="36" t="str">
        <f t="shared" si="125"/>
        <v>19950501</v>
      </c>
    </row>
    <row r="8050" s="1" customFormat="1" ht="14.25" spans="1:13">
      <c r="A8050" s="2">
        <v>6106</v>
      </c>
      <c r="B8050" s="30" t="s">
        <v>11090</v>
      </c>
      <c r="C8050" s="32" t="s">
        <v>12248</v>
      </c>
      <c r="D8050" s="12" t="s">
        <v>12249</v>
      </c>
      <c r="E8050" s="5" t="s">
        <v>15</v>
      </c>
      <c r="F8050" s="5" t="s">
        <v>10250</v>
      </c>
      <c r="G8050" s="32" t="s">
        <v>12241</v>
      </c>
      <c r="H8050" s="32">
        <v>200</v>
      </c>
      <c r="I8050" s="32">
        <v>200</v>
      </c>
      <c r="J8050" s="5"/>
      <c r="K8050" s="48"/>
      <c r="L8050" s="10">
        <v>20201118</v>
      </c>
      <c r="M8050" s="36" t="str">
        <f t="shared" si="125"/>
        <v>19950501</v>
      </c>
    </row>
    <row r="8051" s="1" customFormat="1" spans="1:13">
      <c r="A8051" s="2">
        <v>3154</v>
      </c>
      <c r="B8051" s="3" t="s">
        <v>6671</v>
      </c>
      <c r="C8051" s="9" t="s">
        <v>6825</v>
      </c>
      <c r="D8051" s="9" t="s">
        <v>6826</v>
      </c>
      <c r="E8051" s="3" t="s">
        <v>15</v>
      </c>
      <c r="F8051" s="3" t="s">
        <v>15</v>
      </c>
      <c r="G8051" s="6" t="s">
        <v>3359</v>
      </c>
      <c r="H8051" s="9">
        <v>200</v>
      </c>
      <c r="I8051" s="9">
        <v>200</v>
      </c>
      <c r="J8051" s="6"/>
      <c r="K8051" s="5"/>
      <c r="L8051" s="10">
        <v>20201118</v>
      </c>
      <c r="M8051" s="36" t="str">
        <f t="shared" si="125"/>
        <v>19950503</v>
      </c>
    </row>
    <row r="8052" s="1" customFormat="1" spans="1:13">
      <c r="A8052" s="2">
        <v>7394</v>
      </c>
      <c r="B8052" s="5" t="s">
        <v>14402</v>
      </c>
      <c r="C8052" s="5" t="s">
        <v>14412</v>
      </c>
      <c r="D8052" s="5" t="s">
        <v>14413</v>
      </c>
      <c r="E8052" s="5">
        <v>2020</v>
      </c>
      <c r="F8052" s="5">
        <v>2020</v>
      </c>
      <c r="G8052" s="17" t="s">
        <v>16</v>
      </c>
      <c r="H8052" s="5">
        <v>200</v>
      </c>
      <c r="I8052" s="17">
        <v>200</v>
      </c>
      <c r="J8052" s="5"/>
      <c r="K8052" s="10"/>
      <c r="L8052" s="10">
        <v>20201118</v>
      </c>
      <c r="M8052" s="36" t="str">
        <f t="shared" si="125"/>
        <v>19950506</v>
      </c>
    </row>
    <row r="8053" s="1" customFormat="1" spans="1:13">
      <c r="A8053" s="2">
        <v>1747</v>
      </c>
      <c r="B8053" s="5" t="s">
        <v>3381</v>
      </c>
      <c r="C8053" s="9" t="s">
        <v>4054</v>
      </c>
      <c r="D8053" s="9" t="s">
        <v>4055</v>
      </c>
      <c r="E8053" s="5">
        <v>2020</v>
      </c>
      <c r="F8053" s="5">
        <v>2020</v>
      </c>
      <c r="G8053" s="14" t="s">
        <v>16</v>
      </c>
      <c r="H8053" s="6">
        <v>200</v>
      </c>
      <c r="I8053" s="6">
        <v>200</v>
      </c>
      <c r="J8053" s="5"/>
      <c r="K8053" s="13"/>
      <c r="L8053" s="10">
        <v>20201118</v>
      </c>
      <c r="M8053" s="36" t="str">
        <f t="shared" si="125"/>
        <v>19950509</v>
      </c>
    </row>
    <row r="8054" s="1" customFormat="1" ht="14.25" spans="1:13">
      <c r="A8054" s="2">
        <v>6085</v>
      </c>
      <c r="B8054" s="30" t="s">
        <v>11090</v>
      </c>
      <c r="C8054" s="6" t="s">
        <v>12209</v>
      </c>
      <c r="D8054" s="12" t="s">
        <v>12210</v>
      </c>
      <c r="E8054" s="5" t="s">
        <v>15</v>
      </c>
      <c r="F8054" s="5" t="s">
        <v>10250</v>
      </c>
      <c r="G8054" s="6" t="s">
        <v>16</v>
      </c>
      <c r="H8054" s="32">
        <v>200</v>
      </c>
      <c r="I8054" s="32">
        <v>200</v>
      </c>
      <c r="J8054" s="5"/>
      <c r="K8054" s="48"/>
      <c r="L8054" s="10">
        <v>20201118</v>
      </c>
      <c r="M8054" s="36" t="str">
        <f t="shared" si="125"/>
        <v>19950509</v>
      </c>
    </row>
    <row r="8055" s="1" customFormat="1" ht="14.25" spans="1:13">
      <c r="A8055" s="2">
        <v>6033</v>
      </c>
      <c r="B8055" s="30" t="s">
        <v>11090</v>
      </c>
      <c r="C8055" s="32" t="s">
        <v>12109</v>
      </c>
      <c r="D8055" s="12" t="s">
        <v>12110</v>
      </c>
      <c r="E8055" s="5" t="s">
        <v>15</v>
      </c>
      <c r="F8055" s="5" t="s">
        <v>10250</v>
      </c>
      <c r="G8055" s="6" t="s">
        <v>16</v>
      </c>
      <c r="H8055" s="32">
        <v>200</v>
      </c>
      <c r="I8055" s="32">
        <v>200</v>
      </c>
      <c r="J8055" s="5"/>
      <c r="K8055" s="48"/>
      <c r="L8055" s="10">
        <v>20201118</v>
      </c>
      <c r="M8055" s="36" t="str">
        <f t="shared" si="125"/>
        <v>19950526</v>
      </c>
    </row>
    <row r="8056" s="1" customFormat="1" spans="1:13">
      <c r="A8056" s="2">
        <v>3555</v>
      </c>
      <c r="B8056" s="5" t="s">
        <v>3375</v>
      </c>
      <c r="C8056" s="5" t="s">
        <v>7380</v>
      </c>
      <c r="D8056" s="296" t="s">
        <v>7381</v>
      </c>
      <c r="E8056" s="5" t="s">
        <v>15</v>
      </c>
      <c r="F8056" s="5">
        <v>2020</v>
      </c>
      <c r="G8056" s="14" t="s">
        <v>16</v>
      </c>
      <c r="H8056" s="5">
        <v>200</v>
      </c>
      <c r="I8056" s="5">
        <v>200</v>
      </c>
      <c r="J8056" s="5"/>
      <c r="K8056" s="10"/>
      <c r="L8056" s="10">
        <v>20201118</v>
      </c>
      <c r="M8056" s="36" t="str">
        <f t="shared" si="125"/>
        <v>19950601</v>
      </c>
    </row>
    <row r="8057" s="1" customFormat="1" spans="1:13">
      <c r="A8057" s="2">
        <v>7627</v>
      </c>
      <c r="B8057" s="5" t="s">
        <v>14402</v>
      </c>
      <c r="C8057" s="5" t="s">
        <v>14851</v>
      </c>
      <c r="D8057" s="5" t="s">
        <v>14852</v>
      </c>
      <c r="E8057" s="5">
        <v>2020</v>
      </c>
      <c r="F8057" s="5">
        <v>2020</v>
      </c>
      <c r="G8057" s="17" t="s">
        <v>16</v>
      </c>
      <c r="H8057" s="5">
        <v>200</v>
      </c>
      <c r="I8057" s="5">
        <v>200</v>
      </c>
      <c r="J8057" s="5"/>
      <c r="K8057" s="10"/>
      <c r="L8057" s="10">
        <v>20201118</v>
      </c>
      <c r="M8057" s="36" t="str">
        <f t="shared" si="125"/>
        <v>19950601</v>
      </c>
    </row>
    <row r="8058" s="1" customFormat="1" spans="1:13">
      <c r="A8058" s="2">
        <v>1362</v>
      </c>
      <c r="B8058" s="5" t="s">
        <v>2469</v>
      </c>
      <c r="C8058" s="9" t="s">
        <v>3302</v>
      </c>
      <c r="D8058" s="9" t="s">
        <v>3303</v>
      </c>
      <c r="E8058" s="5">
        <v>2020</v>
      </c>
      <c r="F8058" s="5">
        <v>2020</v>
      </c>
      <c r="G8058" s="9" t="s">
        <v>2480</v>
      </c>
      <c r="H8058" s="9">
        <v>200</v>
      </c>
      <c r="I8058" s="9">
        <v>200</v>
      </c>
      <c r="J8058" s="5"/>
      <c r="K8058" s="5"/>
      <c r="L8058" s="10">
        <v>20201118</v>
      </c>
      <c r="M8058" s="36" t="str">
        <f t="shared" si="125"/>
        <v>19950614</v>
      </c>
    </row>
    <row r="8059" s="1" customFormat="1" spans="1:13">
      <c r="A8059" s="2">
        <v>874</v>
      </c>
      <c r="B8059" s="29" t="s">
        <v>1040</v>
      </c>
      <c r="C8059" s="6" t="s">
        <v>2269</v>
      </c>
      <c r="D8059" s="6" t="s">
        <v>2270</v>
      </c>
      <c r="E8059" s="30">
        <v>2020</v>
      </c>
      <c r="F8059" s="30">
        <v>2020</v>
      </c>
      <c r="G8059" s="29" t="s">
        <v>16</v>
      </c>
      <c r="H8059" s="29">
        <v>200</v>
      </c>
      <c r="I8059" s="29">
        <v>200</v>
      </c>
      <c r="J8059" s="32"/>
      <c r="K8059" s="32"/>
      <c r="L8059" s="2" t="s">
        <v>330</v>
      </c>
      <c r="M8059" s="36" t="str">
        <f t="shared" si="125"/>
        <v>19950705</v>
      </c>
    </row>
    <row r="8060" s="1" customFormat="1" spans="1:13">
      <c r="A8060" s="2">
        <v>1363</v>
      </c>
      <c r="B8060" s="5" t="s">
        <v>2469</v>
      </c>
      <c r="C8060" s="9" t="s">
        <v>3304</v>
      </c>
      <c r="D8060" s="9" t="s">
        <v>3305</v>
      </c>
      <c r="E8060" s="5">
        <v>2020</v>
      </c>
      <c r="F8060" s="5">
        <v>2020</v>
      </c>
      <c r="G8060" s="9" t="s">
        <v>2480</v>
      </c>
      <c r="H8060" s="9">
        <v>200</v>
      </c>
      <c r="I8060" s="9">
        <v>200</v>
      </c>
      <c r="J8060" s="5"/>
      <c r="K8060" s="5"/>
      <c r="L8060" s="10">
        <v>20201118</v>
      </c>
      <c r="M8060" s="36" t="str">
        <f t="shared" si="125"/>
        <v>19950705</v>
      </c>
    </row>
    <row r="8061" s="1" customFormat="1" spans="1:13">
      <c r="A8061" s="2">
        <v>3265</v>
      </c>
      <c r="B8061" s="5" t="s">
        <v>3375</v>
      </c>
      <c r="C8061" s="6" t="s">
        <v>7034</v>
      </c>
      <c r="D8061" s="6" t="str">
        <f>"152326199507247121"</f>
        <v>152326199507247121</v>
      </c>
      <c r="E8061" s="5" t="s">
        <v>15</v>
      </c>
      <c r="F8061" s="5">
        <v>2020</v>
      </c>
      <c r="G8061" s="14" t="s">
        <v>16</v>
      </c>
      <c r="H8061" s="17">
        <v>200</v>
      </c>
      <c r="I8061" s="17">
        <v>200</v>
      </c>
      <c r="J8061" s="6"/>
      <c r="K8061" s="10"/>
      <c r="L8061" s="10">
        <v>20201118</v>
      </c>
      <c r="M8061" s="36" t="str">
        <f t="shared" si="125"/>
        <v>19950724</v>
      </c>
    </row>
    <row r="8062" s="1" customFormat="1" spans="1:13">
      <c r="A8062" s="2">
        <v>3104</v>
      </c>
      <c r="B8062" s="3" t="s">
        <v>6671</v>
      </c>
      <c r="C8062" s="9" t="s">
        <v>6731</v>
      </c>
      <c r="D8062" s="9" t="s">
        <v>6732</v>
      </c>
      <c r="E8062" s="3" t="s">
        <v>15</v>
      </c>
      <c r="F8062" s="3" t="s">
        <v>15</v>
      </c>
      <c r="G8062" s="6" t="s">
        <v>3359</v>
      </c>
      <c r="H8062" s="9">
        <v>200</v>
      </c>
      <c r="I8062" s="9">
        <v>200</v>
      </c>
      <c r="J8062" s="6"/>
      <c r="K8062" s="5"/>
      <c r="L8062" s="10">
        <v>20201118</v>
      </c>
      <c r="M8062" s="36" t="str">
        <f t="shared" si="125"/>
        <v>19950815</v>
      </c>
    </row>
    <row r="8063" s="1" customFormat="1" spans="1:13">
      <c r="A8063" s="2">
        <v>3567</v>
      </c>
      <c r="B8063" s="5" t="s">
        <v>3375</v>
      </c>
      <c r="C8063" s="5" t="s">
        <v>7402</v>
      </c>
      <c r="D8063" s="296" t="s">
        <v>7403</v>
      </c>
      <c r="E8063" s="5" t="s">
        <v>15</v>
      </c>
      <c r="F8063" s="5">
        <v>2020</v>
      </c>
      <c r="G8063" s="5" t="s">
        <v>295</v>
      </c>
      <c r="H8063" s="5">
        <v>200</v>
      </c>
      <c r="I8063" s="5">
        <v>200</v>
      </c>
      <c r="J8063" s="5"/>
      <c r="K8063" s="10"/>
      <c r="L8063" s="10">
        <v>20201118</v>
      </c>
      <c r="M8063" s="36" t="str">
        <f t="shared" si="125"/>
        <v>19950815</v>
      </c>
    </row>
    <row r="8064" s="1" customFormat="1" spans="1:13">
      <c r="A8064" s="2">
        <v>300</v>
      </c>
      <c r="B8064" s="14" t="s">
        <v>327</v>
      </c>
      <c r="C8064" s="17" t="s">
        <v>788</v>
      </c>
      <c r="D8064" s="306" t="s">
        <v>789</v>
      </c>
      <c r="E8064" s="5">
        <v>2020</v>
      </c>
      <c r="F8064" s="5">
        <v>2020</v>
      </c>
      <c r="G8064" s="14" t="s">
        <v>16</v>
      </c>
      <c r="H8064" s="17">
        <v>200</v>
      </c>
      <c r="I8064" s="17">
        <v>200</v>
      </c>
      <c r="J8064" s="17"/>
      <c r="K8064" s="10"/>
      <c r="L8064" s="14" t="s">
        <v>330</v>
      </c>
      <c r="M8064" s="36" t="str">
        <f t="shared" si="125"/>
        <v>19950901</v>
      </c>
    </row>
    <row r="8065" s="1" customFormat="1" ht="14.25" spans="1:13">
      <c r="A8065" s="2">
        <v>1804</v>
      </c>
      <c r="B8065" s="5" t="s">
        <v>3381</v>
      </c>
      <c r="C8065" s="77" t="s">
        <v>4171</v>
      </c>
      <c r="D8065" s="321" t="s">
        <v>4172</v>
      </c>
      <c r="E8065" s="5">
        <v>2020</v>
      </c>
      <c r="F8065" s="5">
        <v>2020</v>
      </c>
      <c r="G8065" s="5" t="s">
        <v>189</v>
      </c>
      <c r="H8065" s="18">
        <v>200</v>
      </c>
      <c r="I8065" s="18">
        <v>200</v>
      </c>
      <c r="J8065" s="77" t="s">
        <v>4064</v>
      </c>
      <c r="K8065" s="13"/>
      <c r="L8065" s="10">
        <v>20201118</v>
      </c>
      <c r="M8065" s="36" t="str">
        <f t="shared" si="125"/>
        <v>19950903</v>
      </c>
    </row>
    <row r="8066" s="1" customFormat="1" spans="1:13">
      <c r="A8066" s="2">
        <v>7395</v>
      </c>
      <c r="B8066" s="5" t="s">
        <v>14402</v>
      </c>
      <c r="C8066" s="5" t="s">
        <v>14414</v>
      </c>
      <c r="D8066" s="5" t="s">
        <v>14415</v>
      </c>
      <c r="E8066" s="5">
        <v>2020</v>
      </c>
      <c r="F8066" s="5">
        <v>2020</v>
      </c>
      <c r="G8066" s="17" t="s">
        <v>16</v>
      </c>
      <c r="H8066" s="5">
        <v>200</v>
      </c>
      <c r="I8066" s="17">
        <v>200</v>
      </c>
      <c r="J8066" s="5"/>
      <c r="K8066" s="10"/>
      <c r="L8066" s="10">
        <v>20201118</v>
      </c>
      <c r="M8066" s="36" t="str">
        <f t="shared" ref="M8066:M8129" si="126">MID(D8066,7,8)</f>
        <v>19950906</v>
      </c>
    </row>
    <row r="8067" s="1" customFormat="1" ht="14.25" spans="1:13">
      <c r="A8067" s="2">
        <v>6089</v>
      </c>
      <c r="B8067" s="30" t="s">
        <v>11090</v>
      </c>
      <c r="C8067" s="32" t="s">
        <v>12216</v>
      </c>
      <c r="D8067" s="12" t="s">
        <v>12217</v>
      </c>
      <c r="E8067" s="5" t="s">
        <v>15</v>
      </c>
      <c r="F8067" s="5" t="s">
        <v>10250</v>
      </c>
      <c r="G8067" s="6" t="s">
        <v>16</v>
      </c>
      <c r="H8067" s="32">
        <v>200</v>
      </c>
      <c r="I8067" s="32">
        <v>200</v>
      </c>
      <c r="J8067" s="5"/>
      <c r="K8067" s="48"/>
      <c r="L8067" s="10">
        <v>20201118</v>
      </c>
      <c r="M8067" s="36" t="str">
        <f t="shared" si="126"/>
        <v>19950907</v>
      </c>
    </row>
    <row r="8068" s="1" customFormat="1" spans="1:13">
      <c r="A8068" s="2">
        <v>357</v>
      </c>
      <c r="B8068" s="14" t="s">
        <v>327</v>
      </c>
      <c r="C8068" s="17" t="s">
        <v>958</v>
      </c>
      <c r="D8068" s="306" t="s">
        <v>959</v>
      </c>
      <c r="E8068" s="5">
        <v>2020</v>
      </c>
      <c r="F8068" s="5">
        <v>2020</v>
      </c>
      <c r="G8068" s="14" t="s">
        <v>16</v>
      </c>
      <c r="H8068" s="17">
        <v>200</v>
      </c>
      <c r="I8068" s="17">
        <v>200</v>
      </c>
      <c r="J8068" s="17"/>
      <c r="K8068" s="10"/>
      <c r="L8068" s="2" t="s">
        <v>330</v>
      </c>
      <c r="M8068" s="36" t="str">
        <f t="shared" si="126"/>
        <v>19950910</v>
      </c>
    </row>
    <row r="8069" s="1" customFormat="1" spans="1:13">
      <c r="A8069" s="2">
        <v>2079</v>
      </c>
      <c r="B8069" s="5" t="s">
        <v>4189</v>
      </c>
      <c r="C8069" s="16" t="s">
        <v>4710</v>
      </c>
      <c r="D8069" s="16" t="s">
        <v>4711</v>
      </c>
      <c r="E8069" s="5" t="s">
        <v>15</v>
      </c>
      <c r="F8069" s="5" t="s">
        <v>15</v>
      </c>
      <c r="G8069" s="5" t="s">
        <v>3359</v>
      </c>
      <c r="H8069" s="16">
        <v>200</v>
      </c>
      <c r="I8069" s="16">
        <v>200</v>
      </c>
      <c r="J8069" s="5"/>
      <c r="K8069" s="10"/>
      <c r="L8069" s="10">
        <v>20201118</v>
      </c>
      <c r="M8069" s="36" t="str">
        <f t="shared" si="126"/>
        <v>19950918</v>
      </c>
    </row>
    <row r="8070" s="1" customFormat="1" spans="1:13">
      <c r="A8070" s="2">
        <v>7614</v>
      </c>
      <c r="B8070" s="5" t="s">
        <v>14402</v>
      </c>
      <c r="C8070" s="5" t="s">
        <v>14826</v>
      </c>
      <c r="D8070" s="5" t="s">
        <v>14827</v>
      </c>
      <c r="E8070" s="5">
        <v>2020</v>
      </c>
      <c r="F8070" s="5">
        <v>2020</v>
      </c>
      <c r="G8070" s="17" t="s">
        <v>16</v>
      </c>
      <c r="H8070" s="5">
        <v>200</v>
      </c>
      <c r="I8070" s="5">
        <v>200</v>
      </c>
      <c r="J8070" s="5"/>
      <c r="K8070" s="10"/>
      <c r="L8070" s="10">
        <v>20201118</v>
      </c>
      <c r="M8070" s="36" t="str">
        <f t="shared" si="126"/>
        <v>19950920</v>
      </c>
    </row>
    <row r="8071" s="1" customFormat="1" spans="1:13">
      <c r="A8071" s="2">
        <v>7294</v>
      </c>
      <c r="B8071" s="5" t="s">
        <v>13908</v>
      </c>
      <c r="C8071" s="5" t="s">
        <v>14226</v>
      </c>
      <c r="D8071" s="5" t="s">
        <v>14227</v>
      </c>
      <c r="E8071" s="5" t="s">
        <v>15</v>
      </c>
      <c r="F8071" s="5" t="s">
        <v>15</v>
      </c>
      <c r="G8071" s="14" t="s">
        <v>16</v>
      </c>
      <c r="H8071" s="17">
        <v>200</v>
      </c>
      <c r="I8071" s="17">
        <v>200</v>
      </c>
      <c r="J8071" s="5"/>
      <c r="K8071" s="10"/>
      <c r="L8071" s="10">
        <v>20201118</v>
      </c>
      <c r="M8071" s="36" t="str">
        <f t="shared" si="126"/>
        <v>19951002</v>
      </c>
    </row>
    <row r="8072" s="1" customFormat="1" spans="1:13">
      <c r="A8072" s="2">
        <v>2386</v>
      </c>
      <c r="B8072" s="9" t="s">
        <v>4837</v>
      </c>
      <c r="C8072" s="9" t="s">
        <v>5309</v>
      </c>
      <c r="D8072" s="9" t="s">
        <v>5310</v>
      </c>
      <c r="E8072" s="6" t="s">
        <v>15</v>
      </c>
      <c r="F8072" s="6">
        <v>2020</v>
      </c>
      <c r="G8072" s="9" t="s">
        <v>2480</v>
      </c>
      <c r="H8072" s="9">
        <v>200</v>
      </c>
      <c r="I8072" s="9">
        <v>200</v>
      </c>
      <c r="J8072" s="6"/>
      <c r="K8072" s="10"/>
      <c r="L8072" s="10">
        <v>20201118</v>
      </c>
      <c r="M8072" s="36" t="str">
        <f t="shared" si="126"/>
        <v>19951010</v>
      </c>
    </row>
    <row r="8073" s="1" customFormat="1" ht="14.25" spans="1:13">
      <c r="A8073" s="2">
        <v>5483</v>
      </c>
      <c r="B8073" s="33" t="s">
        <v>10535</v>
      </c>
      <c r="C8073" s="34" t="s">
        <v>11061</v>
      </c>
      <c r="D8073" s="34" t="s">
        <v>11062</v>
      </c>
      <c r="E8073" s="35">
        <v>2020</v>
      </c>
      <c r="F8073" s="35">
        <v>2020</v>
      </c>
      <c r="G8073" s="35" t="s">
        <v>16</v>
      </c>
      <c r="H8073" s="34">
        <v>200</v>
      </c>
      <c r="I8073" s="34">
        <v>200</v>
      </c>
      <c r="J8073" s="49"/>
      <c r="K8073" s="10"/>
      <c r="L8073" s="10">
        <v>20201118</v>
      </c>
      <c r="M8073" s="36" t="str">
        <f t="shared" si="126"/>
        <v>19951010</v>
      </c>
    </row>
    <row r="8074" s="1" customFormat="1" ht="14.25" spans="1:13">
      <c r="A8074" s="2">
        <v>1800</v>
      </c>
      <c r="B8074" s="5" t="s">
        <v>3381</v>
      </c>
      <c r="C8074" s="77" t="s">
        <v>4163</v>
      </c>
      <c r="D8074" s="77" t="s">
        <v>4164</v>
      </c>
      <c r="E8074" s="5">
        <v>2020</v>
      </c>
      <c r="F8074" s="5">
        <v>2020</v>
      </c>
      <c r="G8074" s="5" t="s">
        <v>189</v>
      </c>
      <c r="H8074" s="18">
        <v>200</v>
      </c>
      <c r="I8074" s="18">
        <v>200</v>
      </c>
      <c r="J8074" s="77" t="s">
        <v>4064</v>
      </c>
      <c r="K8074" s="13"/>
      <c r="L8074" s="10">
        <v>20201118</v>
      </c>
      <c r="M8074" s="36" t="str">
        <f t="shared" si="126"/>
        <v>19951020</v>
      </c>
    </row>
    <row r="8075" s="1" customFormat="1" spans="1:13">
      <c r="A8075" s="2">
        <v>6787</v>
      </c>
      <c r="B8075" s="5" t="s">
        <v>13533</v>
      </c>
      <c r="C8075" s="32" t="s">
        <v>13537</v>
      </c>
      <c r="D8075" s="32" t="str">
        <f>"152326199510297111"</f>
        <v>152326199510297111</v>
      </c>
      <c r="E8075" s="5">
        <v>2020</v>
      </c>
      <c r="F8075" s="5">
        <v>2020</v>
      </c>
      <c r="G8075" s="9" t="s">
        <v>2480</v>
      </c>
      <c r="H8075" s="32">
        <v>200</v>
      </c>
      <c r="I8075" s="32">
        <v>200</v>
      </c>
      <c r="J8075" s="62"/>
      <c r="K8075" s="10"/>
      <c r="L8075" s="10">
        <v>20201118</v>
      </c>
      <c r="M8075" s="36" t="str">
        <f t="shared" si="126"/>
        <v>19951029</v>
      </c>
    </row>
    <row r="8076" s="1" customFormat="1" spans="1:13">
      <c r="A8076" s="2">
        <v>1364</v>
      </c>
      <c r="B8076" s="5" t="s">
        <v>2469</v>
      </c>
      <c r="C8076" s="9" t="s">
        <v>3306</v>
      </c>
      <c r="D8076" s="9" t="s">
        <v>3307</v>
      </c>
      <c r="E8076" s="5">
        <v>2020</v>
      </c>
      <c r="F8076" s="5">
        <v>2020</v>
      </c>
      <c r="G8076" s="9" t="s">
        <v>2480</v>
      </c>
      <c r="H8076" s="9">
        <v>200</v>
      </c>
      <c r="I8076" s="9">
        <v>200</v>
      </c>
      <c r="J8076" s="5"/>
      <c r="K8076" s="5"/>
      <c r="L8076" s="10">
        <v>20201118</v>
      </c>
      <c r="M8076" s="36" t="str">
        <f t="shared" si="126"/>
        <v>19951116</v>
      </c>
    </row>
    <row r="8077" s="1" customFormat="1" spans="1:13">
      <c r="A8077" s="2">
        <v>7396</v>
      </c>
      <c r="B8077" s="5" t="s">
        <v>14402</v>
      </c>
      <c r="C8077" s="5" t="s">
        <v>14416</v>
      </c>
      <c r="D8077" s="5" t="s">
        <v>14417</v>
      </c>
      <c r="E8077" s="5">
        <v>2020</v>
      </c>
      <c r="F8077" s="5">
        <v>2020</v>
      </c>
      <c r="G8077" s="17" t="s">
        <v>16</v>
      </c>
      <c r="H8077" s="5">
        <v>200</v>
      </c>
      <c r="I8077" s="17">
        <v>200</v>
      </c>
      <c r="J8077" s="5"/>
      <c r="K8077" s="10"/>
      <c r="L8077" s="10">
        <v>20201118</v>
      </c>
      <c r="M8077" s="36" t="str">
        <f t="shared" si="126"/>
        <v>19951205</v>
      </c>
    </row>
    <row r="8078" s="1" customFormat="1" ht="14.25" spans="1:13">
      <c r="A8078" s="2">
        <v>6055</v>
      </c>
      <c r="B8078" s="30" t="s">
        <v>11090</v>
      </c>
      <c r="C8078" s="32" t="s">
        <v>12153</v>
      </c>
      <c r="D8078" s="12" t="s">
        <v>12154</v>
      </c>
      <c r="E8078" s="5" t="s">
        <v>15</v>
      </c>
      <c r="F8078" s="5" t="s">
        <v>10250</v>
      </c>
      <c r="G8078" s="6" t="s">
        <v>16</v>
      </c>
      <c r="H8078" s="32">
        <v>200</v>
      </c>
      <c r="I8078" s="32">
        <v>200</v>
      </c>
      <c r="J8078" s="5"/>
      <c r="K8078" s="48"/>
      <c r="L8078" s="10">
        <v>20201118</v>
      </c>
      <c r="M8078" s="36" t="str">
        <f t="shared" si="126"/>
        <v>19951220</v>
      </c>
    </row>
    <row r="8079" s="1" customFormat="1" ht="14.25" spans="1:13">
      <c r="A8079" s="2">
        <v>5484</v>
      </c>
      <c r="B8079" s="33" t="s">
        <v>10535</v>
      </c>
      <c r="C8079" s="34" t="s">
        <v>11063</v>
      </c>
      <c r="D8079" s="34" t="s">
        <v>11064</v>
      </c>
      <c r="E8079" s="35">
        <v>2020</v>
      </c>
      <c r="F8079" s="35">
        <v>2020</v>
      </c>
      <c r="G8079" s="35" t="s">
        <v>16</v>
      </c>
      <c r="H8079" s="34">
        <v>1000</v>
      </c>
      <c r="I8079" s="34">
        <v>1000</v>
      </c>
      <c r="J8079" s="49"/>
      <c r="K8079" s="10"/>
      <c r="L8079" s="10">
        <v>20201118</v>
      </c>
      <c r="M8079" s="36" t="str">
        <f t="shared" si="126"/>
        <v>19951230</v>
      </c>
    </row>
    <row r="8080" s="1" customFormat="1" spans="1:13">
      <c r="A8080" s="2">
        <v>795</v>
      </c>
      <c r="B8080" s="29" t="s">
        <v>1040</v>
      </c>
      <c r="C8080" s="5" t="s">
        <v>2035</v>
      </c>
      <c r="D8080" s="317" t="s">
        <v>2036</v>
      </c>
      <c r="E8080" s="30">
        <v>2020</v>
      </c>
      <c r="F8080" s="30">
        <v>2020</v>
      </c>
      <c r="G8080" s="29" t="s">
        <v>16</v>
      </c>
      <c r="H8080" s="29">
        <v>200</v>
      </c>
      <c r="I8080" s="29">
        <v>200</v>
      </c>
      <c r="J8080" s="32"/>
      <c r="K8080" s="32"/>
      <c r="L8080" s="2" t="s">
        <v>330</v>
      </c>
      <c r="M8080" s="36" t="str">
        <f t="shared" si="126"/>
        <v>19960106</v>
      </c>
    </row>
    <row r="8081" s="1" customFormat="1" spans="1:13">
      <c r="A8081" s="2">
        <v>7393</v>
      </c>
      <c r="B8081" s="5" t="s">
        <v>14402</v>
      </c>
      <c r="C8081" s="5" t="s">
        <v>14410</v>
      </c>
      <c r="D8081" s="5" t="s">
        <v>14411</v>
      </c>
      <c r="E8081" s="5">
        <v>2020</v>
      </c>
      <c r="F8081" s="5">
        <v>2020</v>
      </c>
      <c r="G8081" s="17" t="s">
        <v>16</v>
      </c>
      <c r="H8081" s="5">
        <v>200</v>
      </c>
      <c r="I8081" s="17">
        <v>200</v>
      </c>
      <c r="J8081" s="5"/>
      <c r="K8081" s="10"/>
      <c r="L8081" s="10">
        <v>20201118</v>
      </c>
      <c r="M8081" s="36" t="str">
        <f t="shared" si="126"/>
        <v>19960107</v>
      </c>
    </row>
    <row r="8082" s="1" customFormat="1" ht="14.25" spans="1:13">
      <c r="A8082" s="2">
        <v>6007</v>
      </c>
      <c r="B8082" s="30" t="s">
        <v>11090</v>
      </c>
      <c r="C8082" s="32" t="s">
        <v>12057</v>
      </c>
      <c r="D8082" s="12" t="s">
        <v>12058</v>
      </c>
      <c r="E8082" s="5" t="s">
        <v>15</v>
      </c>
      <c r="F8082" s="5" t="s">
        <v>10250</v>
      </c>
      <c r="G8082" s="6" t="s">
        <v>16</v>
      </c>
      <c r="H8082" s="32">
        <v>200</v>
      </c>
      <c r="I8082" s="32">
        <v>200</v>
      </c>
      <c r="J8082" s="5"/>
      <c r="K8082" s="48"/>
      <c r="L8082" s="10">
        <v>20201118</v>
      </c>
      <c r="M8082" s="36" t="str">
        <f t="shared" si="126"/>
        <v>19960109</v>
      </c>
    </row>
    <row r="8083" s="1" customFormat="1" ht="14.25" spans="1:13">
      <c r="A8083" s="2">
        <v>6024</v>
      </c>
      <c r="B8083" s="30" t="s">
        <v>11090</v>
      </c>
      <c r="C8083" s="32" t="s">
        <v>12091</v>
      </c>
      <c r="D8083" s="12" t="s">
        <v>12092</v>
      </c>
      <c r="E8083" s="5" t="s">
        <v>15</v>
      </c>
      <c r="F8083" s="5" t="s">
        <v>10250</v>
      </c>
      <c r="G8083" s="6" t="s">
        <v>16</v>
      </c>
      <c r="H8083" s="32">
        <v>200</v>
      </c>
      <c r="I8083" s="32">
        <v>200</v>
      </c>
      <c r="J8083" s="5"/>
      <c r="K8083" s="48"/>
      <c r="L8083" s="10">
        <v>20201118</v>
      </c>
      <c r="M8083" s="36" t="str">
        <f t="shared" si="126"/>
        <v>19960109</v>
      </c>
    </row>
    <row r="8084" s="1" customFormat="1" ht="14.25" spans="1:13">
      <c r="A8084" s="2">
        <v>5485</v>
      </c>
      <c r="B8084" s="33" t="s">
        <v>10535</v>
      </c>
      <c r="C8084" s="34" t="s">
        <v>11065</v>
      </c>
      <c r="D8084" s="34" t="s">
        <v>11066</v>
      </c>
      <c r="E8084" s="35">
        <v>2020</v>
      </c>
      <c r="F8084" s="35">
        <v>2020</v>
      </c>
      <c r="G8084" s="35" t="s">
        <v>16</v>
      </c>
      <c r="H8084" s="34">
        <v>200</v>
      </c>
      <c r="I8084" s="34">
        <v>200</v>
      </c>
      <c r="J8084" s="49"/>
      <c r="K8084" s="10"/>
      <c r="L8084" s="10">
        <v>20201118</v>
      </c>
      <c r="M8084" s="36" t="str">
        <f t="shared" si="126"/>
        <v>19960110</v>
      </c>
    </row>
    <row r="8085" s="1" customFormat="1" ht="14.25" spans="1:13">
      <c r="A8085" s="2">
        <v>5486</v>
      </c>
      <c r="B8085" s="33" t="s">
        <v>10535</v>
      </c>
      <c r="C8085" s="34" t="s">
        <v>11067</v>
      </c>
      <c r="D8085" s="34" t="s">
        <v>11068</v>
      </c>
      <c r="E8085" s="35">
        <v>2020</v>
      </c>
      <c r="F8085" s="35">
        <v>2020</v>
      </c>
      <c r="G8085" s="35" t="s">
        <v>16</v>
      </c>
      <c r="H8085" s="34">
        <v>200</v>
      </c>
      <c r="I8085" s="34">
        <v>200</v>
      </c>
      <c r="J8085" s="49"/>
      <c r="K8085" s="10"/>
      <c r="L8085" s="10">
        <v>20201118</v>
      </c>
      <c r="M8085" s="36" t="str">
        <f t="shared" si="126"/>
        <v>19960116</v>
      </c>
    </row>
    <row r="8086" s="1" customFormat="1" spans="1:13">
      <c r="A8086" s="2">
        <v>1748</v>
      </c>
      <c r="B8086" s="5" t="s">
        <v>3381</v>
      </c>
      <c r="C8086" s="9" t="s">
        <v>4056</v>
      </c>
      <c r="D8086" s="9" t="s">
        <v>4057</v>
      </c>
      <c r="E8086" s="5">
        <v>2020</v>
      </c>
      <c r="F8086" s="5">
        <v>2020</v>
      </c>
      <c r="G8086" s="14" t="s">
        <v>16</v>
      </c>
      <c r="H8086" s="6">
        <v>200</v>
      </c>
      <c r="I8086" s="6">
        <v>200</v>
      </c>
      <c r="J8086" s="5"/>
      <c r="K8086" s="13"/>
      <c r="L8086" s="10">
        <v>20201118</v>
      </c>
      <c r="M8086" s="36" t="str">
        <f t="shared" si="126"/>
        <v>19960120</v>
      </c>
    </row>
    <row r="8087" s="1" customFormat="1" spans="1:13">
      <c r="A8087" s="2">
        <v>3264</v>
      </c>
      <c r="B8087" s="5" t="s">
        <v>3375</v>
      </c>
      <c r="C8087" s="6" t="s">
        <v>7032</v>
      </c>
      <c r="D8087" s="6" t="s">
        <v>7033</v>
      </c>
      <c r="E8087" s="5" t="s">
        <v>15</v>
      </c>
      <c r="F8087" s="5">
        <v>2020</v>
      </c>
      <c r="G8087" s="14" t="s">
        <v>16</v>
      </c>
      <c r="H8087" s="17">
        <v>200</v>
      </c>
      <c r="I8087" s="17">
        <v>200</v>
      </c>
      <c r="J8087" s="6"/>
      <c r="K8087" s="10"/>
      <c r="L8087" s="10">
        <v>20201118</v>
      </c>
      <c r="M8087" s="36" t="str">
        <f t="shared" si="126"/>
        <v>19960202</v>
      </c>
    </row>
    <row r="8088" s="1" customFormat="1" ht="14.25" spans="1:13">
      <c r="A8088" s="2">
        <v>6096</v>
      </c>
      <c r="B8088" s="30" t="s">
        <v>11090</v>
      </c>
      <c r="C8088" s="32" t="s">
        <v>12218</v>
      </c>
      <c r="D8088" s="12" t="s">
        <v>12230</v>
      </c>
      <c r="E8088" s="5" t="s">
        <v>15</v>
      </c>
      <c r="F8088" s="5" t="s">
        <v>10250</v>
      </c>
      <c r="G8088" s="6" t="s">
        <v>16</v>
      </c>
      <c r="H8088" s="32">
        <v>200</v>
      </c>
      <c r="I8088" s="32">
        <v>200</v>
      </c>
      <c r="J8088" s="5"/>
      <c r="K8088" s="48"/>
      <c r="L8088" s="10">
        <v>20201118</v>
      </c>
      <c r="M8088" s="36" t="str">
        <f t="shared" si="126"/>
        <v>19960216</v>
      </c>
    </row>
    <row r="8089" s="1" customFormat="1" ht="14.25" spans="1:13">
      <c r="A8089" s="2">
        <v>5487</v>
      </c>
      <c r="B8089" s="33" t="s">
        <v>10535</v>
      </c>
      <c r="C8089" s="34" t="s">
        <v>7066</v>
      </c>
      <c r="D8089" s="34" t="s">
        <v>11069</v>
      </c>
      <c r="E8089" s="35">
        <v>2020</v>
      </c>
      <c r="F8089" s="35">
        <v>2020</v>
      </c>
      <c r="G8089" s="35" t="s">
        <v>16</v>
      </c>
      <c r="H8089" s="34">
        <v>200</v>
      </c>
      <c r="I8089" s="34">
        <v>200</v>
      </c>
      <c r="J8089" s="49"/>
      <c r="K8089" s="10"/>
      <c r="L8089" s="10">
        <v>20201118</v>
      </c>
      <c r="M8089" s="36" t="str">
        <f t="shared" si="126"/>
        <v>19960217</v>
      </c>
    </row>
    <row r="8090" s="1" customFormat="1" spans="1:13">
      <c r="A8090" s="2">
        <v>3263</v>
      </c>
      <c r="B8090" s="5" t="s">
        <v>3375</v>
      </c>
      <c r="C8090" s="6" t="s">
        <v>7031</v>
      </c>
      <c r="D8090" s="6" t="str">
        <f>"152326199602196879"</f>
        <v>152326199602196879</v>
      </c>
      <c r="E8090" s="5" t="s">
        <v>15</v>
      </c>
      <c r="F8090" s="5">
        <v>2020</v>
      </c>
      <c r="G8090" s="14" t="s">
        <v>16</v>
      </c>
      <c r="H8090" s="17">
        <v>200</v>
      </c>
      <c r="I8090" s="17">
        <v>200</v>
      </c>
      <c r="J8090" s="6"/>
      <c r="K8090" s="10"/>
      <c r="L8090" s="10">
        <v>20201118</v>
      </c>
      <c r="M8090" s="36" t="str">
        <f t="shared" si="126"/>
        <v>19960219</v>
      </c>
    </row>
    <row r="8091" s="1" customFormat="1" spans="1:13">
      <c r="A8091" s="2">
        <v>1813</v>
      </c>
      <c r="B8091" s="5" t="s">
        <v>4189</v>
      </c>
      <c r="C8091" s="16" t="s">
        <v>2838</v>
      </c>
      <c r="D8091" s="16" t="s">
        <v>4192</v>
      </c>
      <c r="E8091" s="5" t="s">
        <v>15</v>
      </c>
      <c r="F8091" s="5" t="s">
        <v>15</v>
      </c>
      <c r="G8091" s="5" t="s">
        <v>3359</v>
      </c>
      <c r="H8091" s="16">
        <v>200</v>
      </c>
      <c r="I8091" s="16">
        <v>200</v>
      </c>
      <c r="J8091" s="5"/>
      <c r="K8091" s="10"/>
      <c r="L8091" s="10">
        <v>20201118</v>
      </c>
      <c r="M8091" s="36" t="str">
        <f t="shared" si="126"/>
        <v>19960304</v>
      </c>
    </row>
    <row r="8092" s="1" customFormat="1" spans="1:13">
      <c r="A8092" s="2">
        <v>781</v>
      </c>
      <c r="B8092" s="29" t="s">
        <v>1040</v>
      </c>
      <c r="C8092" s="5" t="s">
        <v>1993</v>
      </c>
      <c r="D8092" s="317" t="s">
        <v>1994</v>
      </c>
      <c r="E8092" s="30">
        <v>2020</v>
      </c>
      <c r="F8092" s="30">
        <v>2020</v>
      </c>
      <c r="G8092" s="29" t="s">
        <v>16</v>
      </c>
      <c r="H8092" s="29">
        <v>200</v>
      </c>
      <c r="I8092" s="29">
        <v>200</v>
      </c>
      <c r="J8092" s="32"/>
      <c r="K8092" s="32"/>
      <c r="L8092" s="2" t="s">
        <v>330</v>
      </c>
      <c r="M8092" s="36" t="str">
        <f t="shared" si="126"/>
        <v>19960308</v>
      </c>
    </row>
    <row r="8093" s="1" customFormat="1" spans="1:13">
      <c r="A8093" s="2">
        <v>1365</v>
      </c>
      <c r="B8093" s="5" t="s">
        <v>2469</v>
      </c>
      <c r="C8093" s="9" t="s">
        <v>3308</v>
      </c>
      <c r="D8093" s="9" t="s">
        <v>3309</v>
      </c>
      <c r="E8093" s="5">
        <v>2020</v>
      </c>
      <c r="F8093" s="5">
        <v>2020</v>
      </c>
      <c r="G8093" s="9" t="s">
        <v>2480</v>
      </c>
      <c r="H8093" s="9">
        <v>200</v>
      </c>
      <c r="I8093" s="9">
        <v>200</v>
      </c>
      <c r="J8093" s="5"/>
      <c r="K8093" s="5"/>
      <c r="L8093" s="10">
        <v>20201118</v>
      </c>
      <c r="M8093" s="36" t="str">
        <f t="shared" si="126"/>
        <v>19960310</v>
      </c>
    </row>
    <row r="8094" s="1" customFormat="1" spans="1:13">
      <c r="A8094" s="2">
        <v>883</v>
      </c>
      <c r="B8094" s="29" t="s">
        <v>1040</v>
      </c>
      <c r="C8094" s="6" t="s">
        <v>2296</v>
      </c>
      <c r="D8094" s="6" t="s">
        <v>2297</v>
      </c>
      <c r="E8094" s="30">
        <v>2020</v>
      </c>
      <c r="F8094" s="30">
        <v>2020</v>
      </c>
      <c r="G8094" s="29" t="s">
        <v>16</v>
      </c>
      <c r="H8094" s="29">
        <v>200</v>
      </c>
      <c r="I8094" s="29">
        <v>200</v>
      </c>
      <c r="J8094" s="32"/>
      <c r="K8094" s="32"/>
      <c r="L8094" s="14" t="s">
        <v>330</v>
      </c>
      <c r="M8094" s="36" t="str">
        <f t="shared" si="126"/>
        <v>19960320</v>
      </c>
    </row>
    <row r="8095" s="1" customFormat="1" spans="1:13">
      <c r="A8095" s="2">
        <v>4942</v>
      </c>
      <c r="B8095" s="6" t="s">
        <v>9954</v>
      </c>
      <c r="C8095" s="53" t="s">
        <v>10025</v>
      </c>
      <c r="D8095" s="53" t="s">
        <v>10026</v>
      </c>
      <c r="E8095" s="5" t="s">
        <v>15</v>
      </c>
      <c r="F8095" s="5" t="s">
        <v>15</v>
      </c>
      <c r="G8095" s="14" t="s">
        <v>16</v>
      </c>
      <c r="H8095" s="6">
        <v>200</v>
      </c>
      <c r="I8095" s="6">
        <v>200</v>
      </c>
      <c r="J8095" s="6"/>
      <c r="K8095" s="6"/>
      <c r="L8095" s="10">
        <v>20201118</v>
      </c>
      <c r="M8095" s="36" t="str">
        <f t="shared" si="126"/>
        <v>19960323</v>
      </c>
    </row>
    <row r="8096" s="1" customFormat="1" spans="1:13">
      <c r="A8096" s="2">
        <v>1366</v>
      </c>
      <c r="B8096" s="5" t="s">
        <v>2469</v>
      </c>
      <c r="C8096" s="9" t="s">
        <v>3310</v>
      </c>
      <c r="D8096" s="9" t="s">
        <v>3311</v>
      </c>
      <c r="E8096" s="5">
        <v>2020</v>
      </c>
      <c r="F8096" s="5">
        <v>2020</v>
      </c>
      <c r="G8096" s="9" t="s">
        <v>2480</v>
      </c>
      <c r="H8096" s="9">
        <v>200</v>
      </c>
      <c r="I8096" s="9">
        <v>200</v>
      </c>
      <c r="J8096" s="5"/>
      <c r="K8096" s="5"/>
      <c r="L8096" s="10">
        <v>20201118</v>
      </c>
      <c r="M8096" s="36" t="str">
        <f t="shared" si="126"/>
        <v>19960425</v>
      </c>
    </row>
    <row r="8097" s="1" customFormat="1" ht="14.25" spans="1:13">
      <c r="A8097" s="2">
        <v>5994</v>
      </c>
      <c r="B8097" s="30" t="s">
        <v>11090</v>
      </c>
      <c r="C8097" s="32" t="s">
        <v>12033</v>
      </c>
      <c r="D8097" s="12" t="s">
        <v>12034</v>
      </c>
      <c r="E8097" s="5" t="s">
        <v>15</v>
      </c>
      <c r="F8097" s="5" t="s">
        <v>10250</v>
      </c>
      <c r="G8097" s="6" t="s">
        <v>16</v>
      </c>
      <c r="H8097" s="32">
        <v>200</v>
      </c>
      <c r="I8097" s="32">
        <v>200</v>
      </c>
      <c r="J8097" s="5"/>
      <c r="K8097" s="48"/>
      <c r="L8097" s="10">
        <v>20201118</v>
      </c>
      <c r="M8097" s="36" t="str">
        <f t="shared" si="126"/>
        <v>19960523</v>
      </c>
    </row>
    <row r="8098" s="1" customFormat="1" spans="1:13">
      <c r="A8098" s="2">
        <v>7392</v>
      </c>
      <c r="B8098" s="5" t="s">
        <v>14402</v>
      </c>
      <c r="C8098" s="5" t="s">
        <v>13817</v>
      </c>
      <c r="D8098" s="5" t="s">
        <v>14409</v>
      </c>
      <c r="E8098" s="5">
        <v>2020</v>
      </c>
      <c r="F8098" s="5">
        <v>2020</v>
      </c>
      <c r="G8098" s="17" t="s">
        <v>16</v>
      </c>
      <c r="H8098" s="5">
        <v>200</v>
      </c>
      <c r="I8098" s="17">
        <v>200</v>
      </c>
      <c r="J8098" s="5" t="s">
        <v>749</v>
      </c>
      <c r="K8098" s="10"/>
      <c r="L8098" s="10">
        <v>20201118</v>
      </c>
      <c r="M8098" s="36" t="str">
        <f t="shared" si="126"/>
        <v>19960616</v>
      </c>
    </row>
    <row r="8099" s="1" customFormat="1" spans="1:13">
      <c r="A8099" s="2">
        <v>94</v>
      </c>
      <c r="B8099" s="3" t="s">
        <v>12</v>
      </c>
      <c r="C8099" s="6" t="s">
        <v>204</v>
      </c>
      <c r="D8099" s="6" t="s">
        <v>205</v>
      </c>
      <c r="E8099" s="3" t="s">
        <v>15</v>
      </c>
      <c r="F8099" s="3" t="s">
        <v>15</v>
      </c>
      <c r="G8099" s="2" t="s">
        <v>16</v>
      </c>
      <c r="H8099" s="3">
        <v>200</v>
      </c>
      <c r="I8099" s="3">
        <v>200</v>
      </c>
      <c r="J8099" s="3"/>
      <c r="K8099" s="3"/>
      <c r="L8099" s="10">
        <v>20201118</v>
      </c>
      <c r="M8099" s="36" t="str">
        <f t="shared" si="126"/>
        <v>19960719</v>
      </c>
    </row>
    <row r="8100" s="1" customFormat="1" spans="1:13">
      <c r="A8100" s="2">
        <v>1367</v>
      </c>
      <c r="B8100" s="5" t="s">
        <v>2469</v>
      </c>
      <c r="C8100" s="9" t="s">
        <v>1888</v>
      </c>
      <c r="D8100" s="9" t="s">
        <v>3312</v>
      </c>
      <c r="E8100" s="5">
        <v>2020</v>
      </c>
      <c r="F8100" s="5">
        <v>2020</v>
      </c>
      <c r="G8100" s="9" t="s">
        <v>2480</v>
      </c>
      <c r="H8100" s="9">
        <v>200</v>
      </c>
      <c r="I8100" s="9">
        <v>200</v>
      </c>
      <c r="J8100" s="5"/>
      <c r="K8100" s="5"/>
      <c r="L8100" s="10">
        <v>20201118</v>
      </c>
      <c r="M8100" s="36" t="str">
        <f t="shared" si="126"/>
        <v>19960805</v>
      </c>
    </row>
    <row r="8101" s="1" customFormat="1" spans="1:13">
      <c r="A8101" s="2">
        <v>296</v>
      </c>
      <c r="B8101" s="14" t="s">
        <v>327</v>
      </c>
      <c r="C8101" s="17" t="s">
        <v>776</v>
      </c>
      <c r="D8101" s="306" t="s">
        <v>777</v>
      </c>
      <c r="E8101" s="5">
        <v>2020</v>
      </c>
      <c r="F8101" s="5">
        <v>2020</v>
      </c>
      <c r="G8101" s="14" t="s">
        <v>16</v>
      </c>
      <c r="H8101" s="17">
        <v>200</v>
      </c>
      <c r="I8101" s="17">
        <v>200</v>
      </c>
      <c r="J8101" s="17"/>
      <c r="K8101" s="10"/>
      <c r="L8101" s="14" t="s">
        <v>330</v>
      </c>
      <c r="M8101" s="36" t="str">
        <f t="shared" si="126"/>
        <v>19960819</v>
      </c>
    </row>
    <row r="8102" s="1" customFormat="1" ht="14.25" spans="1:13">
      <c r="A8102" s="2">
        <v>3015</v>
      </c>
      <c r="B8102" s="6" t="s">
        <v>6075</v>
      </c>
      <c r="C8102" s="25" t="s">
        <v>6554</v>
      </c>
      <c r="D8102" s="26" t="s">
        <v>6555</v>
      </c>
      <c r="E8102" s="5" t="s">
        <v>15</v>
      </c>
      <c r="F8102" s="5">
        <v>2020</v>
      </c>
      <c r="G8102" s="6" t="s">
        <v>16</v>
      </c>
      <c r="H8102" s="6">
        <v>200</v>
      </c>
      <c r="I8102" s="6">
        <v>200</v>
      </c>
      <c r="J8102" s="6" t="s">
        <v>6097</v>
      </c>
      <c r="K8102" s="10"/>
      <c r="L8102" s="10">
        <v>20201118</v>
      </c>
      <c r="M8102" s="36" t="str">
        <f t="shared" si="126"/>
        <v>19960819</v>
      </c>
    </row>
    <row r="8103" s="1" customFormat="1" spans="1:13">
      <c r="A8103" s="2">
        <v>761</v>
      </c>
      <c r="B8103" s="29" t="s">
        <v>1040</v>
      </c>
      <c r="C8103" s="5" t="s">
        <v>1933</v>
      </c>
      <c r="D8103" s="317" t="s">
        <v>1934</v>
      </c>
      <c r="E8103" s="30">
        <v>2020</v>
      </c>
      <c r="F8103" s="30">
        <v>2020</v>
      </c>
      <c r="G8103" s="29" t="s">
        <v>16</v>
      </c>
      <c r="H8103" s="29">
        <v>200</v>
      </c>
      <c r="I8103" s="29">
        <v>200</v>
      </c>
      <c r="J8103" s="32"/>
      <c r="K8103" s="32"/>
      <c r="L8103" s="14" t="s">
        <v>330</v>
      </c>
      <c r="M8103" s="36" t="str">
        <f t="shared" si="126"/>
        <v>19960823</v>
      </c>
    </row>
    <row r="8104" s="1" customFormat="1" spans="1:13">
      <c r="A8104" s="2">
        <v>1368</v>
      </c>
      <c r="B8104" s="5" t="s">
        <v>2469</v>
      </c>
      <c r="C8104" s="9" t="s">
        <v>3313</v>
      </c>
      <c r="D8104" s="9" t="s">
        <v>3314</v>
      </c>
      <c r="E8104" s="5">
        <v>2020</v>
      </c>
      <c r="F8104" s="5">
        <v>2020</v>
      </c>
      <c r="G8104" s="9" t="s">
        <v>2480</v>
      </c>
      <c r="H8104" s="9">
        <v>200</v>
      </c>
      <c r="I8104" s="9">
        <v>200</v>
      </c>
      <c r="J8104" s="5"/>
      <c r="K8104" s="5"/>
      <c r="L8104" s="10">
        <v>20201118</v>
      </c>
      <c r="M8104" s="36" t="str">
        <f t="shared" si="126"/>
        <v>19960825</v>
      </c>
    </row>
    <row r="8105" s="1" customFormat="1" spans="1:13">
      <c r="A8105" s="2">
        <v>885</v>
      </c>
      <c r="B8105" s="29" t="s">
        <v>1040</v>
      </c>
      <c r="C8105" s="6" t="s">
        <v>2302</v>
      </c>
      <c r="D8105" s="6" t="s">
        <v>2303</v>
      </c>
      <c r="E8105" s="30">
        <v>2020</v>
      </c>
      <c r="F8105" s="30">
        <v>2020</v>
      </c>
      <c r="G8105" s="29" t="s">
        <v>16</v>
      </c>
      <c r="H8105" s="29">
        <v>200</v>
      </c>
      <c r="I8105" s="29">
        <v>200</v>
      </c>
      <c r="J8105" s="32"/>
      <c r="K8105" s="32"/>
      <c r="L8105" s="14" t="s">
        <v>330</v>
      </c>
      <c r="M8105" s="36" t="str">
        <f t="shared" si="126"/>
        <v>19960901</v>
      </c>
    </row>
    <row r="8106" s="1" customFormat="1" spans="1:13">
      <c r="A8106" s="2">
        <v>7227</v>
      </c>
      <c r="B8106" s="5" t="s">
        <v>13908</v>
      </c>
      <c r="C8106" s="5" t="s">
        <v>14099</v>
      </c>
      <c r="D8106" s="5" t="s">
        <v>14100</v>
      </c>
      <c r="E8106" s="5" t="s">
        <v>15</v>
      </c>
      <c r="F8106" s="5" t="s">
        <v>15</v>
      </c>
      <c r="G8106" s="14" t="s">
        <v>16</v>
      </c>
      <c r="H8106" s="17">
        <v>500</v>
      </c>
      <c r="I8106" s="17">
        <v>500</v>
      </c>
      <c r="J8106" s="5"/>
      <c r="K8106" s="10"/>
      <c r="L8106" s="10">
        <v>20201118</v>
      </c>
      <c r="M8106" s="36" t="str">
        <f t="shared" si="126"/>
        <v>19960911</v>
      </c>
    </row>
    <row r="8107" s="1" customFormat="1" spans="1:13">
      <c r="A8107" s="2">
        <v>1369</v>
      </c>
      <c r="B8107" s="5" t="s">
        <v>2469</v>
      </c>
      <c r="C8107" s="9" t="s">
        <v>3315</v>
      </c>
      <c r="D8107" s="9" t="s">
        <v>3316</v>
      </c>
      <c r="E8107" s="5">
        <v>2020</v>
      </c>
      <c r="F8107" s="5">
        <v>2020</v>
      </c>
      <c r="G8107" s="9" t="s">
        <v>2480</v>
      </c>
      <c r="H8107" s="9">
        <v>200</v>
      </c>
      <c r="I8107" s="9">
        <v>200</v>
      </c>
      <c r="J8107" s="5"/>
      <c r="K8107" s="5"/>
      <c r="L8107" s="10">
        <v>20201118</v>
      </c>
      <c r="M8107" s="36" t="str">
        <f t="shared" si="126"/>
        <v>19960921</v>
      </c>
    </row>
    <row r="8108" s="1" customFormat="1" spans="1:13">
      <c r="A8108" s="2">
        <v>4921</v>
      </c>
      <c r="B8108" s="6" t="s">
        <v>9954</v>
      </c>
      <c r="C8108" s="60" t="s">
        <v>9983</v>
      </c>
      <c r="D8108" s="60" t="s">
        <v>9984</v>
      </c>
      <c r="E8108" s="5" t="s">
        <v>15</v>
      </c>
      <c r="F8108" s="5" t="s">
        <v>15</v>
      </c>
      <c r="G8108" s="14" t="s">
        <v>16</v>
      </c>
      <c r="H8108" s="6">
        <v>500</v>
      </c>
      <c r="I8108" s="6">
        <v>500</v>
      </c>
      <c r="J8108" s="6"/>
      <c r="K8108" s="6"/>
      <c r="L8108" s="10">
        <v>20201118</v>
      </c>
      <c r="M8108" s="36" t="str">
        <f t="shared" si="126"/>
        <v>19960921</v>
      </c>
    </row>
    <row r="8109" s="1" customFormat="1" spans="1:13">
      <c r="A8109" s="2">
        <v>770</v>
      </c>
      <c r="B8109" s="29" t="s">
        <v>1040</v>
      </c>
      <c r="C8109" s="5" t="s">
        <v>1960</v>
      </c>
      <c r="D8109" s="317" t="s">
        <v>1961</v>
      </c>
      <c r="E8109" s="30">
        <v>2020</v>
      </c>
      <c r="F8109" s="30">
        <v>2020</v>
      </c>
      <c r="G8109" s="29" t="s">
        <v>16</v>
      </c>
      <c r="H8109" s="29">
        <v>200</v>
      </c>
      <c r="I8109" s="29">
        <v>200</v>
      </c>
      <c r="J8109" s="32"/>
      <c r="K8109" s="32"/>
      <c r="L8109" s="2" t="s">
        <v>330</v>
      </c>
      <c r="M8109" s="36" t="str">
        <f t="shared" si="126"/>
        <v>19960924</v>
      </c>
    </row>
    <row r="8110" s="1" customFormat="1" spans="1:13">
      <c r="A8110" s="2">
        <v>1370</v>
      </c>
      <c r="B8110" s="5" t="s">
        <v>2469</v>
      </c>
      <c r="C8110" s="9" t="s">
        <v>3317</v>
      </c>
      <c r="D8110" s="9" t="s">
        <v>3318</v>
      </c>
      <c r="E8110" s="5">
        <v>2020</v>
      </c>
      <c r="F8110" s="5">
        <v>2020</v>
      </c>
      <c r="G8110" s="9" t="s">
        <v>2480</v>
      </c>
      <c r="H8110" s="9">
        <v>200</v>
      </c>
      <c r="I8110" s="9">
        <v>200</v>
      </c>
      <c r="J8110" s="5"/>
      <c r="K8110" s="5"/>
      <c r="L8110" s="10">
        <v>20201118</v>
      </c>
      <c r="M8110" s="36" t="str">
        <f t="shared" si="126"/>
        <v>19960926</v>
      </c>
    </row>
    <row r="8111" s="1" customFormat="1" spans="1:13">
      <c r="A8111" s="2">
        <v>4873</v>
      </c>
      <c r="B8111" s="6" t="s">
        <v>9015</v>
      </c>
      <c r="C8111" s="6" t="s">
        <v>9889</v>
      </c>
      <c r="D8111" s="293" t="s">
        <v>9890</v>
      </c>
      <c r="E8111" s="6">
        <v>2020</v>
      </c>
      <c r="F8111" s="6">
        <v>2020</v>
      </c>
      <c r="G8111" s="6" t="s">
        <v>16</v>
      </c>
      <c r="H8111" s="6">
        <v>200</v>
      </c>
      <c r="I8111" s="6">
        <v>200</v>
      </c>
      <c r="J8111" s="6"/>
      <c r="K8111" s="6"/>
      <c r="L8111" s="10">
        <v>20201118</v>
      </c>
      <c r="M8111" s="36" t="str">
        <f t="shared" si="126"/>
        <v>19961023</v>
      </c>
    </row>
    <row r="8112" s="1" customFormat="1" spans="1:13">
      <c r="A8112" s="2">
        <v>7821</v>
      </c>
      <c r="B8112" s="5" t="s">
        <v>15086</v>
      </c>
      <c r="C8112" s="6" t="s">
        <v>15087</v>
      </c>
      <c r="D8112" s="6" t="str">
        <f>"152326199611076879"</f>
        <v>152326199611076879</v>
      </c>
      <c r="E8112" s="5" t="s">
        <v>15</v>
      </c>
      <c r="F8112" s="5">
        <v>2020</v>
      </c>
      <c r="G8112" s="5" t="s">
        <v>16</v>
      </c>
      <c r="H8112" s="5">
        <v>200</v>
      </c>
      <c r="I8112" s="5">
        <v>200</v>
      </c>
      <c r="J8112" s="5"/>
      <c r="K8112" s="5"/>
      <c r="L8112" s="10">
        <v>20201118</v>
      </c>
      <c r="M8112" s="36" t="str">
        <f t="shared" si="126"/>
        <v>19961107</v>
      </c>
    </row>
    <row r="8113" s="1" customFormat="1" spans="1:13">
      <c r="A8113" s="2">
        <v>6230</v>
      </c>
      <c r="B8113" s="5" t="s">
        <v>12263</v>
      </c>
      <c r="C8113" s="5" t="s">
        <v>12485</v>
      </c>
      <c r="D8113" s="5" t="s">
        <v>12486</v>
      </c>
      <c r="E8113" s="5" t="s">
        <v>10250</v>
      </c>
      <c r="F8113" s="5">
        <v>2020</v>
      </c>
      <c r="G8113" s="17" t="s">
        <v>3359</v>
      </c>
      <c r="H8113" s="5">
        <v>200</v>
      </c>
      <c r="I8113" s="5">
        <v>200</v>
      </c>
      <c r="J8113" s="5" t="s">
        <v>5331</v>
      </c>
      <c r="K8113" s="5"/>
      <c r="L8113" s="10">
        <v>20201118</v>
      </c>
      <c r="M8113" s="36" t="str">
        <f t="shared" si="126"/>
        <v>19961206</v>
      </c>
    </row>
    <row r="8114" s="1" customFormat="1" spans="1:13">
      <c r="A8114" s="2">
        <v>7391</v>
      </c>
      <c r="B8114" s="5" t="s">
        <v>14402</v>
      </c>
      <c r="C8114" s="5" t="s">
        <v>14407</v>
      </c>
      <c r="D8114" s="5" t="s">
        <v>14408</v>
      </c>
      <c r="E8114" s="5">
        <v>2020</v>
      </c>
      <c r="F8114" s="5">
        <v>2020</v>
      </c>
      <c r="G8114" s="17" t="s">
        <v>16</v>
      </c>
      <c r="H8114" s="5">
        <v>200</v>
      </c>
      <c r="I8114" s="17">
        <v>200</v>
      </c>
      <c r="J8114" s="5"/>
      <c r="K8114" s="10"/>
      <c r="L8114" s="10">
        <v>20201118</v>
      </c>
      <c r="M8114" s="36" t="str">
        <f t="shared" si="126"/>
        <v>19961220</v>
      </c>
    </row>
    <row r="8115" s="1" customFormat="1" spans="1:13">
      <c r="A8115" s="2">
        <v>2762</v>
      </c>
      <c r="B8115" s="32" t="s">
        <v>5602</v>
      </c>
      <c r="C8115" s="9" t="s">
        <v>6052</v>
      </c>
      <c r="D8115" s="9" t="s">
        <v>6053</v>
      </c>
      <c r="E8115" s="32">
        <v>2020</v>
      </c>
      <c r="F8115" s="32">
        <v>2020</v>
      </c>
      <c r="G8115" s="32" t="s">
        <v>16</v>
      </c>
      <c r="H8115" s="9">
        <v>200</v>
      </c>
      <c r="I8115" s="9">
        <v>200</v>
      </c>
      <c r="J8115" s="32"/>
      <c r="K8115" s="52"/>
      <c r="L8115" s="10">
        <v>20201118</v>
      </c>
      <c r="M8115" s="36" t="str">
        <f t="shared" si="126"/>
        <v>19961224</v>
      </c>
    </row>
    <row r="8116" s="1" customFormat="1" spans="1:13">
      <c r="A8116" s="2">
        <v>810</v>
      </c>
      <c r="B8116" s="29" t="s">
        <v>1040</v>
      </c>
      <c r="C8116" s="5" t="s">
        <v>2080</v>
      </c>
      <c r="D8116" s="317" t="s">
        <v>2081</v>
      </c>
      <c r="E8116" s="30">
        <v>2020</v>
      </c>
      <c r="F8116" s="30">
        <v>2020</v>
      </c>
      <c r="G8116" s="29" t="s">
        <v>16</v>
      </c>
      <c r="H8116" s="29">
        <v>200</v>
      </c>
      <c r="I8116" s="29">
        <v>200</v>
      </c>
      <c r="J8116" s="32"/>
      <c r="K8116" s="32"/>
      <c r="L8116" s="14" t="s">
        <v>330</v>
      </c>
      <c r="M8116" s="36" t="str">
        <f t="shared" si="126"/>
        <v>19961227</v>
      </c>
    </row>
    <row r="8117" s="1" customFormat="1" spans="1:13">
      <c r="A8117" s="2">
        <v>1381</v>
      </c>
      <c r="B8117" s="5" t="s">
        <v>2469</v>
      </c>
      <c r="C8117" s="6" t="s">
        <v>3337</v>
      </c>
      <c r="D8117" s="6" t="str">
        <f>"152326199612306875"</f>
        <v>152326199612306875</v>
      </c>
      <c r="E8117" s="5">
        <v>2020</v>
      </c>
      <c r="F8117" s="5">
        <v>2020</v>
      </c>
      <c r="G8117" s="9" t="s">
        <v>2480</v>
      </c>
      <c r="H8117" s="9">
        <v>200</v>
      </c>
      <c r="I8117" s="9">
        <v>200</v>
      </c>
      <c r="J8117" s="5"/>
      <c r="K8117" s="10"/>
      <c r="L8117" s="10">
        <v>20201118</v>
      </c>
      <c r="M8117" s="36" t="str">
        <f t="shared" si="126"/>
        <v>19961230</v>
      </c>
    </row>
    <row r="8118" s="1" customFormat="1" spans="1:13">
      <c r="A8118" s="2">
        <v>1890</v>
      </c>
      <c r="B8118" s="5" t="s">
        <v>4189</v>
      </c>
      <c r="C8118" s="16" t="s">
        <v>4343</v>
      </c>
      <c r="D8118" s="16" t="s">
        <v>4344</v>
      </c>
      <c r="E8118" s="5" t="s">
        <v>15</v>
      </c>
      <c r="F8118" s="5" t="s">
        <v>15</v>
      </c>
      <c r="G8118" s="5" t="s">
        <v>3359</v>
      </c>
      <c r="H8118" s="16">
        <v>200</v>
      </c>
      <c r="I8118" s="16">
        <v>200</v>
      </c>
      <c r="J8118" s="5"/>
      <c r="K8118" s="10"/>
      <c r="L8118" s="10">
        <v>20201118</v>
      </c>
      <c r="M8118" s="36" t="str">
        <f t="shared" si="126"/>
        <v>19970102</v>
      </c>
    </row>
    <row r="8119" s="1" customFormat="1" spans="1:13">
      <c r="A8119" s="2">
        <v>3072</v>
      </c>
      <c r="B8119" s="6" t="s">
        <v>6075</v>
      </c>
      <c r="C8119" s="9" t="s">
        <v>6668</v>
      </c>
      <c r="D8119" s="6" t="s">
        <v>6669</v>
      </c>
      <c r="E8119" s="5" t="s">
        <v>15</v>
      </c>
      <c r="F8119" s="5">
        <v>2020</v>
      </c>
      <c r="G8119" s="6" t="s">
        <v>16</v>
      </c>
      <c r="H8119" s="6" t="s">
        <v>311</v>
      </c>
      <c r="I8119" s="6">
        <v>200</v>
      </c>
      <c r="J8119" s="6"/>
      <c r="K8119" s="10"/>
      <c r="L8119" s="10">
        <v>20201118</v>
      </c>
      <c r="M8119" s="36" t="str">
        <f t="shared" si="126"/>
        <v>19970103</v>
      </c>
    </row>
    <row r="8120" s="1" customFormat="1" spans="1:13">
      <c r="A8120" s="2">
        <v>2120</v>
      </c>
      <c r="B8120" s="5" t="s">
        <v>4189</v>
      </c>
      <c r="C8120" s="9" t="s">
        <v>4790</v>
      </c>
      <c r="D8120" s="9" t="s">
        <v>4791</v>
      </c>
      <c r="E8120" s="5" t="s">
        <v>15</v>
      </c>
      <c r="F8120" s="5" t="s">
        <v>15</v>
      </c>
      <c r="G8120" s="5" t="s">
        <v>3359</v>
      </c>
      <c r="H8120" s="16">
        <v>1000</v>
      </c>
      <c r="I8120" s="16">
        <v>1000</v>
      </c>
      <c r="J8120" s="5"/>
      <c r="K8120" s="10"/>
      <c r="L8120" s="10">
        <v>20201118</v>
      </c>
      <c r="M8120" s="36" t="str">
        <f t="shared" si="126"/>
        <v>19970107</v>
      </c>
    </row>
    <row r="8121" s="1" customFormat="1" spans="1:13">
      <c r="A8121" s="2">
        <v>5932</v>
      </c>
      <c r="B8121" s="30" t="s">
        <v>11090</v>
      </c>
      <c r="C8121" s="6" t="s">
        <v>11913</v>
      </c>
      <c r="D8121" s="306" t="s">
        <v>11914</v>
      </c>
      <c r="E8121" s="5" t="s">
        <v>15</v>
      </c>
      <c r="F8121" s="5" t="s">
        <v>10250</v>
      </c>
      <c r="G8121" s="6" t="s">
        <v>16</v>
      </c>
      <c r="H8121" s="32">
        <v>500</v>
      </c>
      <c r="I8121" s="32">
        <v>500</v>
      </c>
      <c r="J8121" s="6"/>
      <c r="K8121" s="48"/>
      <c r="L8121" s="10">
        <v>20201118</v>
      </c>
      <c r="M8121" s="36" t="str">
        <f t="shared" si="126"/>
        <v>19970114</v>
      </c>
    </row>
    <row r="8122" s="1" customFormat="1" ht="14.25" spans="1:13">
      <c r="A8122" s="2">
        <v>7640</v>
      </c>
      <c r="B8122" s="5" t="s">
        <v>14875</v>
      </c>
      <c r="C8122" s="51" t="s">
        <v>14878</v>
      </c>
      <c r="D8122" s="24" t="s">
        <v>14879</v>
      </c>
      <c r="E8122" s="6" t="s">
        <v>15</v>
      </c>
      <c r="F8122" s="6">
        <v>2020</v>
      </c>
      <c r="G8122" s="24" t="s">
        <v>14877</v>
      </c>
      <c r="H8122" s="6">
        <v>200</v>
      </c>
      <c r="I8122" s="6">
        <v>200</v>
      </c>
      <c r="J8122" s="6" t="s">
        <v>5331</v>
      </c>
      <c r="K8122" s="10"/>
      <c r="L8122" s="10">
        <v>20201118</v>
      </c>
      <c r="M8122" s="36" t="str">
        <f t="shared" si="126"/>
        <v>19970117</v>
      </c>
    </row>
    <row r="8123" s="1" customFormat="1" ht="14.25" spans="1:13">
      <c r="A8123" s="2">
        <v>7815</v>
      </c>
      <c r="B8123" s="5" t="s">
        <v>14875</v>
      </c>
      <c r="C8123" s="23" t="s">
        <v>15072</v>
      </c>
      <c r="D8123" s="12" t="s">
        <v>15073</v>
      </c>
      <c r="E8123" s="6" t="s">
        <v>15</v>
      </c>
      <c r="F8123" s="6">
        <v>2020</v>
      </c>
      <c r="G8123" s="24" t="s">
        <v>14877</v>
      </c>
      <c r="H8123" s="6">
        <v>200</v>
      </c>
      <c r="I8123" s="6">
        <v>200</v>
      </c>
      <c r="J8123" s="6"/>
      <c r="K8123" s="10"/>
      <c r="L8123" s="10">
        <v>20201118</v>
      </c>
      <c r="M8123" s="36" t="str">
        <f t="shared" si="126"/>
        <v>19970117</v>
      </c>
    </row>
    <row r="8124" s="1" customFormat="1" spans="1:13">
      <c r="A8124" s="2">
        <v>67</v>
      </c>
      <c r="B8124" s="3" t="s">
        <v>12</v>
      </c>
      <c r="C8124" s="3" t="s">
        <v>149</v>
      </c>
      <c r="D8124" s="3" t="s">
        <v>150</v>
      </c>
      <c r="E8124" s="3" t="s">
        <v>15</v>
      </c>
      <c r="F8124" s="3" t="s">
        <v>15</v>
      </c>
      <c r="G8124" s="2" t="s">
        <v>16</v>
      </c>
      <c r="H8124" s="3">
        <v>200</v>
      </c>
      <c r="I8124" s="3">
        <v>200</v>
      </c>
      <c r="J8124" s="3"/>
      <c r="K8124" s="3"/>
      <c r="L8124" s="10">
        <v>20201118</v>
      </c>
      <c r="M8124" s="36" t="str">
        <f t="shared" si="126"/>
        <v>19970217</v>
      </c>
    </row>
    <row r="8125" s="1" customFormat="1" spans="1:13">
      <c r="A8125" s="2">
        <v>804</v>
      </c>
      <c r="B8125" s="29" t="s">
        <v>1040</v>
      </c>
      <c r="C8125" s="5" t="s">
        <v>2062</v>
      </c>
      <c r="D8125" s="317" t="s">
        <v>2063</v>
      </c>
      <c r="E8125" s="30">
        <v>2020</v>
      </c>
      <c r="F8125" s="30">
        <v>2020</v>
      </c>
      <c r="G8125" s="29" t="s">
        <v>16</v>
      </c>
      <c r="H8125" s="29">
        <v>200</v>
      </c>
      <c r="I8125" s="29">
        <v>200</v>
      </c>
      <c r="J8125" s="32"/>
      <c r="K8125" s="32"/>
      <c r="L8125" s="2" t="s">
        <v>330</v>
      </c>
      <c r="M8125" s="36" t="str">
        <f t="shared" si="126"/>
        <v>19970305</v>
      </c>
    </row>
    <row r="8126" s="1" customFormat="1" spans="1:13">
      <c r="A8126" s="2">
        <v>4142</v>
      </c>
      <c r="B8126" s="5" t="s">
        <v>7412</v>
      </c>
      <c r="C8126" s="5" t="s">
        <v>8490</v>
      </c>
      <c r="D8126" s="5" t="s">
        <v>8491</v>
      </c>
      <c r="E8126" s="6">
        <v>2020</v>
      </c>
      <c r="F8126" s="6">
        <v>2020</v>
      </c>
      <c r="G8126" s="5" t="s">
        <v>3359</v>
      </c>
      <c r="H8126" s="5">
        <v>200</v>
      </c>
      <c r="I8126" s="5">
        <v>200</v>
      </c>
      <c r="J8126" s="5"/>
      <c r="K8126" s="5"/>
      <c r="L8126" s="10">
        <v>20201118</v>
      </c>
      <c r="M8126" s="36" t="str">
        <f t="shared" si="126"/>
        <v>19970325</v>
      </c>
    </row>
    <row r="8127" s="1" customFormat="1" spans="1:13">
      <c r="A8127" s="2">
        <v>4639</v>
      </c>
      <c r="B8127" s="6" t="s">
        <v>9015</v>
      </c>
      <c r="C8127" s="6" t="s">
        <v>5253</v>
      </c>
      <c r="D8127" s="6" t="s">
        <v>9445</v>
      </c>
      <c r="E8127" s="6">
        <v>2020</v>
      </c>
      <c r="F8127" s="6">
        <v>2020</v>
      </c>
      <c r="G8127" s="6" t="s">
        <v>16</v>
      </c>
      <c r="H8127" s="6">
        <v>200</v>
      </c>
      <c r="I8127" s="6">
        <v>200</v>
      </c>
      <c r="J8127" s="6"/>
      <c r="K8127" s="6"/>
      <c r="L8127" s="10">
        <v>20201118</v>
      </c>
      <c r="M8127" s="36" t="str">
        <f t="shared" si="126"/>
        <v>19970428</v>
      </c>
    </row>
    <row r="8128" s="1" customFormat="1" spans="1:13">
      <c r="A8128" s="2">
        <v>2387</v>
      </c>
      <c r="B8128" s="9" t="s">
        <v>4837</v>
      </c>
      <c r="C8128" s="9" t="s">
        <v>5311</v>
      </c>
      <c r="D8128" s="9" t="s">
        <v>5312</v>
      </c>
      <c r="E8128" s="6" t="s">
        <v>15</v>
      </c>
      <c r="F8128" s="6">
        <v>2020</v>
      </c>
      <c r="G8128" s="9" t="s">
        <v>2480</v>
      </c>
      <c r="H8128" s="9">
        <v>200</v>
      </c>
      <c r="I8128" s="9">
        <v>200</v>
      </c>
      <c r="J8128" s="6"/>
      <c r="K8128" s="10"/>
      <c r="L8128" s="10">
        <v>20201118</v>
      </c>
      <c r="M8128" s="36" t="str">
        <f t="shared" si="126"/>
        <v>19970429</v>
      </c>
    </row>
    <row r="8129" s="1" customFormat="1" ht="14.25" spans="1:13">
      <c r="A8129" s="2">
        <v>6060</v>
      </c>
      <c r="B8129" s="30" t="s">
        <v>11090</v>
      </c>
      <c r="C8129" s="32" t="s">
        <v>12163</v>
      </c>
      <c r="D8129" s="12" t="s">
        <v>12164</v>
      </c>
      <c r="E8129" s="5" t="s">
        <v>15</v>
      </c>
      <c r="F8129" s="5" t="s">
        <v>10250</v>
      </c>
      <c r="G8129" s="6" t="s">
        <v>16</v>
      </c>
      <c r="H8129" s="32">
        <v>200</v>
      </c>
      <c r="I8129" s="32">
        <v>200</v>
      </c>
      <c r="J8129" s="5"/>
      <c r="K8129" s="48"/>
      <c r="L8129" s="10">
        <v>20201118</v>
      </c>
      <c r="M8129" s="36" t="str">
        <f t="shared" si="126"/>
        <v>19970430</v>
      </c>
    </row>
    <row r="8130" s="1" customFormat="1" spans="1:13">
      <c r="A8130" s="2">
        <v>3203</v>
      </c>
      <c r="B8130" s="3" t="s">
        <v>6671</v>
      </c>
      <c r="C8130" s="9" t="s">
        <v>6915</v>
      </c>
      <c r="D8130" s="9" t="s">
        <v>6916</v>
      </c>
      <c r="E8130" s="3" t="s">
        <v>15</v>
      </c>
      <c r="F8130" s="3" t="s">
        <v>15</v>
      </c>
      <c r="G8130" s="6" t="s">
        <v>3359</v>
      </c>
      <c r="H8130" s="9">
        <v>200</v>
      </c>
      <c r="I8130" s="9">
        <v>200</v>
      </c>
      <c r="J8130" s="6" t="s">
        <v>5331</v>
      </c>
      <c r="K8130" s="5"/>
      <c r="L8130" s="10">
        <v>20201118</v>
      </c>
      <c r="M8130" s="36" t="str">
        <f t="shared" ref="M8130:M8193" si="127">MID(D8130,7,8)</f>
        <v>19970510</v>
      </c>
    </row>
    <row r="8131" s="1" customFormat="1" ht="14.25" spans="1:13">
      <c r="A8131" s="2">
        <v>1801</v>
      </c>
      <c r="B8131" s="5" t="s">
        <v>3381</v>
      </c>
      <c r="C8131" s="77" t="s">
        <v>4165</v>
      </c>
      <c r="D8131" s="11" t="s">
        <v>4166</v>
      </c>
      <c r="E8131" s="5">
        <v>2020</v>
      </c>
      <c r="F8131" s="5">
        <v>2020</v>
      </c>
      <c r="G8131" s="5" t="s">
        <v>189</v>
      </c>
      <c r="H8131" s="18">
        <v>200</v>
      </c>
      <c r="I8131" s="18">
        <v>200</v>
      </c>
      <c r="J8131" s="77" t="s">
        <v>1242</v>
      </c>
      <c r="K8131" s="13"/>
      <c r="L8131" s="10">
        <v>20201118</v>
      </c>
      <c r="M8131" s="36" t="str">
        <f t="shared" si="127"/>
        <v>19970529</v>
      </c>
    </row>
    <row r="8132" s="1" customFormat="1" ht="14.25" spans="1:13">
      <c r="A8132" s="2">
        <v>5980</v>
      </c>
      <c r="B8132" s="30" t="s">
        <v>11090</v>
      </c>
      <c r="C8132" s="32" t="s">
        <v>12006</v>
      </c>
      <c r="D8132" s="12" t="s">
        <v>12007</v>
      </c>
      <c r="E8132" s="5" t="s">
        <v>15</v>
      </c>
      <c r="F8132" s="5" t="s">
        <v>10250</v>
      </c>
      <c r="G8132" s="6" t="s">
        <v>16</v>
      </c>
      <c r="H8132" s="32">
        <v>200</v>
      </c>
      <c r="I8132" s="32">
        <v>200</v>
      </c>
      <c r="J8132" s="6"/>
      <c r="K8132" s="48"/>
      <c r="L8132" s="10">
        <v>20201118</v>
      </c>
      <c r="M8132" s="36" t="str">
        <f t="shared" si="127"/>
        <v>19970531</v>
      </c>
    </row>
    <row r="8133" s="1" customFormat="1" spans="1:13">
      <c r="A8133" s="2">
        <v>5187</v>
      </c>
      <c r="B8133" s="6" t="s">
        <v>10242</v>
      </c>
      <c r="C8133" s="9" t="s">
        <v>10497</v>
      </c>
      <c r="D8133" s="287" t="s">
        <v>10498</v>
      </c>
      <c r="E8133" s="5" t="s">
        <v>10250</v>
      </c>
      <c r="F8133" s="5">
        <v>2020</v>
      </c>
      <c r="G8133" s="6" t="s">
        <v>16</v>
      </c>
      <c r="H8133" s="6">
        <v>200</v>
      </c>
      <c r="I8133" s="6">
        <v>200</v>
      </c>
      <c r="J8133" s="6"/>
      <c r="K8133" s="5"/>
      <c r="L8133" s="10">
        <v>20201118</v>
      </c>
      <c r="M8133" s="36" t="str">
        <f t="shared" si="127"/>
        <v>19970703</v>
      </c>
    </row>
    <row r="8134" s="1" customFormat="1" spans="1:13">
      <c r="A8134" s="2">
        <v>1749</v>
      </c>
      <c r="B8134" s="5" t="s">
        <v>3381</v>
      </c>
      <c r="C8134" s="9" t="s">
        <v>4058</v>
      </c>
      <c r="D8134" s="9" t="s">
        <v>4059</v>
      </c>
      <c r="E8134" s="5">
        <v>2020</v>
      </c>
      <c r="F8134" s="5">
        <v>2020</v>
      </c>
      <c r="G8134" s="14" t="s">
        <v>16</v>
      </c>
      <c r="H8134" s="6">
        <v>200</v>
      </c>
      <c r="I8134" s="6">
        <v>200</v>
      </c>
      <c r="J8134" s="5"/>
      <c r="K8134" s="13"/>
      <c r="L8134" s="10">
        <v>20201118</v>
      </c>
      <c r="M8134" s="36" t="str">
        <f t="shared" si="127"/>
        <v>19970723</v>
      </c>
    </row>
    <row r="8135" s="1" customFormat="1" spans="1:13">
      <c r="A8135" s="2">
        <v>3075</v>
      </c>
      <c r="B8135" s="3" t="s">
        <v>6671</v>
      </c>
      <c r="C8135" s="9" t="s">
        <v>6676</v>
      </c>
      <c r="D8135" s="9" t="s">
        <v>6677</v>
      </c>
      <c r="E8135" s="3" t="s">
        <v>15</v>
      </c>
      <c r="F8135" s="3" t="s">
        <v>15</v>
      </c>
      <c r="G8135" s="6" t="s">
        <v>3359</v>
      </c>
      <c r="H8135" s="9">
        <v>200</v>
      </c>
      <c r="I8135" s="9">
        <v>200</v>
      </c>
      <c r="J8135" s="6"/>
      <c r="K8135" s="5"/>
      <c r="L8135" s="10">
        <v>20201118</v>
      </c>
      <c r="M8135" s="36" t="str">
        <f t="shared" si="127"/>
        <v>19970815</v>
      </c>
    </row>
    <row r="8136" s="1" customFormat="1" spans="1:13">
      <c r="A8136" s="2">
        <v>2098</v>
      </c>
      <c r="B8136" s="5" t="s">
        <v>4189</v>
      </c>
      <c r="C8136" s="16" t="s">
        <v>4747</v>
      </c>
      <c r="D8136" s="16" t="s">
        <v>4748</v>
      </c>
      <c r="E8136" s="5" t="s">
        <v>15</v>
      </c>
      <c r="F8136" s="5" t="s">
        <v>15</v>
      </c>
      <c r="G8136" s="5" t="s">
        <v>3359</v>
      </c>
      <c r="H8136" s="16">
        <v>200</v>
      </c>
      <c r="I8136" s="16">
        <v>200</v>
      </c>
      <c r="J8136" s="5"/>
      <c r="K8136" s="10"/>
      <c r="L8136" s="10">
        <v>20201118</v>
      </c>
      <c r="M8136" s="36" t="str">
        <f t="shared" si="127"/>
        <v>19970910</v>
      </c>
    </row>
    <row r="8137" s="1" customFormat="1" spans="1:13">
      <c r="A8137" s="2">
        <v>5029</v>
      </c>
      <c r="B8137" s="6" t="s">
        <v>9954</v>
      </c>
      <c r="C8137" s="6" t="s">
        <v>10191</v>
      </c>
      <c r="D8137" s="306" t="s">
        <v>10192</v>
      </c>
      <c r="E8137" s="5" t="s">
        <v>15</v>
      </c>
      <c r="F8137" s="5" t="s">
        <v>15</v>
      </c>
      <c r="G8137" s="14" t="s">
        <v>16</v>
      </c>
      <c r="H8137" s="6">
        <v>200</v>
      </c>
      <c r="I8137" s="6">
        <v>200</v>
      </c>
      <c r="J8137" s="6" t="s">
        <v>5625</v>
      </c>
      <c r="K8137" s="6"/>
      <c r="L8137" s="10">
        <v>20201118</v>
      </c>
      <c r="M8137" s="36" t="str">
        <f t="shared" si="127"/>
        <v>19970919</v>
      </c>
    </row>
    <row r="8138" s="1" customFormat="1" spans="1:13">
      <c r="A8138" s="2">
        <v>349</v>
      </c>
      <c r="B8138" s="14" t="s">
        <v>327</v>
      </c>
      <c r="C8138" s="17" t="s">
        <v>934</v>
      </c>
      <c r="D8138" s="306" t="s">
        <v>935</v>
      </c>
      <c r="E8138" s="5">
        <v>2020</v>
      </c>
      <c r="F8138" s="5">
        <v>2020</v>
      </c>
      <c r="G8138" s="14" t="s">
        <v>16</v>
      </c>
      <c r="H8138" s="17">
        <v>200</v>
      </c>
      <c r="I8138" s="17">
        <v>200</v>
      </c>
      <c r="J8138" s="17"/>
      <c r="K8138" s="10"/>
      <c r="L8138" s="2" t="s">
        <v>330</v>
      </c>
      <c r="M8138" s="36" t="str">
        <f t="shared" si="127"/>
        <v>19970930</v>
      </c>
    </row>
    <row r="8139" s="1" customFormat="1" ht="14.25" spans="1:13">
      <c r="A8139" s="2">
        <v>6086</v>
      </c>
      <c r="B8139" s="30" t="s">
        <v>11090</v>
      </c>
      <c r="C8139" s="6" t="s">
        <v>11521</v>
      </c>
      <c r="D8139" s="12" t="s">
        <v>12211</v>
      </c>
      <c r="E8139" s="5" t="s">
        <v>15</v>
      </c>
      <c r="F8139" s="5" t="s">
        <v>10250</v>
      </c>
      <c r="G8139" s="6" t="s">
        <v>16</v>
      </c>
      <c r="H8139" s="32">
        <v>200</v>
      </c>
      <c r="I8139" s="32">
        <v>200</v>
      </c>
      <c r="J8139" s="5"/>
      <c r="K8139" s="48"/>
      <c r="L8139" s="10">
        <v>20201118</v>
      </c>
      <c r="M8139" s="36" t="str">
        <f t="shared" si="127"/>
        <v>19971003</v>
      </c>
    </row>
    <row r="8140" s="1" customFormat="1" spans="1:13">
      <c r="A8140" s="2">
        <v>55</v>
      </c>
      <c r="B8140" s="31" t="s">
        <v>12</v>
      </c>
      <c r="C8140" s="17" t="s">
        <v>125</v>
      </c>
      <c r="D8140" s="17" t="s">
        <v>126</v>
      </c>
      <c r="E8140" s="3" t="s">
        <v>15</v>
      </c>
      <c r="F8140" s="3" t="s">
        <v>15</v>
      </c>
      <c r="G8140" s="2" t="s">
        <v>16</v>
      </c>
      <c r="H8140" s="17">
        <v>200</v>
      </c>
      <c r="I8140" s="17">
        <v>200</v>
      </c>
      <c r="J8140" s="17"/>
      <c r="K8140" s="17"/>
      <c r="L8140" s="10">
        <v>20201118</v>
      </c>
      <c r="M8140" s="36" t="str">
        <f t="shared" si="127"/>
        <v>19971010</v>
      </c>
    </row>
    <row r="8141" s="1" customFormat="1" spans="1:13">
      <c r="A8141" s="2">
        <v>1371</v>
      </c>
      <c r="B8141" s="5" t="s">
        <v>2469</v>
      </c>
      <c r="C8141" s="9" t="s">
        <v>3319</v>
      </c>
      <c r="D8141" s="9" t="s">
        <v>3320</v>
      </c>
      <c r="E8141" s="5">
        <v>2020</v>
      </c>
      <c r="F8141" s="5">
        <v>2020</v>
      </c>
      <c r="G8141" s="9" t="s">
        <v>2480</v>
      </c>
      <c r="H8141" s="9">
        <v>200</v>
      </c>
      <c r="I8141" s="9">
        <v>200</v>
      </c>
      <c r="J8141" s="5"/>
      <c r="K8141" s="5"/>
      <c r="L8141" s="10">
        <v>20201118</v>
      </c>
      <c r="M8141" s="36" t="str">
        <f t="shared" si="127"/>
        <v>19971013</v>
      </c>
    </row>
    <row r="8142" s="1" customFormat="1" spans="1:13">
      <c r="A8142" s="2">
        <v>7153</v>
      </c>
      <c r="B8142" s="5" t="s">
        <v>13908</v>
      </c>
      <c r="C8142" s="5" t="s">
        <v>13964</v>
      </c>
      <c r="D8142" s="5" t="s">
        <v>13965</v>
      </c>
      <c r="E8142" s="5" t="s">
        <v>15</v>
      </c>
      <c r="F8142" s="5" t="s">
        <v>15</v>
      </c>
      <c r="G8142" s="14" t="s">
        <v>16</v>
      </c>
      <c r="H8142" s="17">
        <v>200</v>
      </c>
      <c r="I8142" s="17">
        <v>200</v>
      </c>
      <c r="J8142" s="5"/>
      <c r="K8142" s="10"/>
      <c r="L8142" s="10">
        <v>20201118</v>
      </c>
      <c r="M8142" s="36" t="str">
        <f t="shared" si="127"/>
        <v>19971022</v>
      </c>
    </row>
    <row r="8143" s="1" customFormat="1" spans="1:13">
      <c r="A8143" s="2">
        <v>4638</v>
      </c>
      <c r="B8143" s="6" t="s">
        <v>9015</v>
      </c>
      <c r="C8143" s="6" t="s">
        <v>9443</v>
      </c>
      <c r="D8143" s="6" t="s">
        <v>9444</v>
      </c>
      <c r="E8143" s="6">
        <v>2020</v>
      </c>
      <c r="F8143" s="6">
        <v>2020</v>
      </c>
      <c r="G8143" s="6" t="s">
        <v>16</v>
      </c>
      <c r="H8143" s="6">
        <v>200</v>
      </c>
      <c r="I8143" s="6">
        <v>200</v>
      </c>
      <c r="J8143" s="6"/>
      <c r="K8143" s="6"/>
      <c r="L8143" s="10">
        <v>20201118</v>
      </c>
      <c r="M8143" s="36" t="str">
        <f t="shared" si="127"/>
        <v>19971027</v>
      </c>
    </row>
    <row r="8144" s="1" customFormat="1" spans="1:13">
      <c r="A8144" s="2">
        <v>7390</v>
      </c>
      <c r="B8144" s="5" t="s">
        <v>14402</v>
      </c>
      <c r="C8144" s="17" t="s">
        <v>14405</v>
      </c>
      <c r="D8144" s="306" t="s">
        <v>14406</v>
      </c>
      <c r="E8144" s="5">
        <v>2020</v>
      </c>
      <c r="F8144" s="5">
        <v>2020</v>
      </c>
      <c r="G8144" s="17" t="s">
        <v>16</v>
      </c>
      <c r="H8144" s="5">
        <v>200</v>
      </c>
      <c r="I8144" s="17">
        <v>200</v>
      </c>
      <c r="J8144" s="17"/>
      <c r="K8144" s="10"/>
      <c r="L8144" s="10">
        <v>20201118</v>
      </c>
      <c r="M8144" s="36" t="str">
        <f t="shared" si="127"/>
        <v>19971027</v>
      </c>
    </row>
    <row r="8145" s="1" customFormat="1" ht="14.25" spans="1:13">
      <c r="A8145" s="2">
        <v>5488</v>
      </c>
      <c r="B8145" s="33" t="s">
        <v>10535</v>
      </c>
      <c r="C8145" s="34" t="s">
        <v>11070</v>
      </c>
      <c r="D8145" s="34" t="s">
        <v>11071</v>
      </c>
      <c r="E8145" s="35">
        <v>2020</v>
      </c>
      <c r="F8145" s="35">
        <v>2020</v>
      </c>
      <c r="G8145" s="35" t="s">
        <v>16</v>
      </c>
      <c r="H8145" s="34">
        <v>200</v>
      </c>
      <c r="I8145" s="34">
        <v>200</v>
      </c>
      <c r="J8145" s="49"/>
      <c r="K8145" s="10"/>
      <c r="L8145" s="10">
        <v>20201118</v>
      </c>
      <c r="M8145" s="36" t="str">
        <f t="shared" si="127"/>
        <v>19971030</v>
      </c>
    </row>
    <row r="8146" s="1" customFormat="1" ht="14.25" spans="1:13">
      <c r="A8146" s="2">
        <v>6012</v>
      </c>
      <c r="B8146" s="30" t="s">
        <v>11090</v>
      </c>
      <c r="C8146" s="32" t="s">
        <v>12067</v>
      </c>
      <c r="D8146" s="12" t="s">
        <v>12068</v>
      </c>
      <c r="E8146" s="5" t="s">
        <v>15</v>
      </c>
      <c r="F8146" s="5" t="s">
        <v>10250</v>
      </c>
      <c r="G8146" s="6" t="s">
        <v>16</v>
      </c>
      <c r="H8146" s="32">
        <v>200</v>
      </c>
      <c r="I8146" s="32">
        <v>200</v>
      </c>
      <c r="J8146" s="5"/>
      <c r="K8146" s="48"/>
      <c r="L8146" s="10">
        <v>20201118</v>
      </c>
      <c r="M8146" s="36" t="str">
        <f t="shared" si="127"/>
        <v>19980102</v>
      </c>
    </row>
    <row r="8147" s="1" customFormat="1" spans="1:13">
      <c r="A8147" s="2">
        <v>1750</v>
      </c>
      <c r="B8147" s="5" t="s">
        <v>3381</v>
      </c>
      <c r="C8147" s="9" t="s">
        <v>4060</v>
      </c>
      <c r="D8147" s="9" t="s">
        <v>4061</v>
      </c>
      <c r="E8147" s="5">
        <v>2020</v>
      </c>
      <c r="F8147" s="5">
        <v>2020</v>
      </c>
      <c r="G8147" s="14" t="s">
        <v>16</v>
      </c>
      <c r="H8147" s="6">
        <v>300</v>
      </c>
      <c r="I8147" s="6">
        <v>300</v>
      </c>
      <c r="J8147" s="5"/>
      <c r="K8147" s="13"/>
      <c r="L8147" s="10">
        <v>20201118</v>
      </c>
      <c r="M8147" s="36" t="str">
        <f t="shared" si="127"/>
        <v>19980125</v>
      </c>
    </row>
    <row r="8148" s="1" customFormat="1" spans="1:13">
      <c r="A8148" s="2">
        <v>1372</v>
      </c>
      <c r="B8148" s="5" t="s">
        <v>2469</v>
      </c>
      <c r="C8148" s="9" t="s">
        <v>3321</v>
      </c>
      <c r="D8148" s="9" t="s">
        <v>3322</v>
      </c>
      <c r="E8148" s="5">
        <v>2020</v>
      </c>
      <c r="F8148" s="5">
        <v>2020</v>
      </c>
      <c r="G8148" s="9" t="s">
        <v>2480</v>
      </c>
      <c r="H8148" s="9">
        <v>200</v>
      </c>
      <c r="I8148" s="9">
        <v>200</v>
      </c>
      <c r="J8148" s="5"/>
      <c r="K8148" s="5"/>
      <c r="L8148" s="10">
        <v>20201118</v>
      </c>
      <c r="M8148" s="36" t="str">
        <f t="shared" si="127"/>
        <v>19980126</v>
      </c>
    </row>
    <row r="8149" s="1" customFormat="1" ht="14.25" spans="1:13">
      <c r="A8149" s="2">
        <v>2892</v>
      </c>
      <c r="B8149" s="6" t="s">
        <v>6075</v>
      </c>
      <c r="C8149" s="25" t="s">
        <v>6312</v>
      </c>
      <c r="D8149" s="26" t="s">
        <v>6313</v>
      </c>
      <c r="E8149" s="5" t="s">
        <v>15</v>
      </c>
      <c r="F8149" s="5">
        <v>2020</v>
      </c>
      <c r="G8149" s="6" t="s">
        <v>16</v>
      </c>
      <c r="H8149" s="6">
        <v>200</v>
      </c>
      <c r="I8149" s="6">
        <v>200</v>
      </c>
      <c r="J8149" s="6"/>
      <c r="K8149" s="10"/>
      <c r="L8149" s="10">
        <v>20201118</v>
      </c>
      <c r="M8149" s="36" t="str">
        <f t="shared" si="127"/>
        <v>19980202</v>
      </c>
    </row>
    <row r="8150" s="1" customFormat="1" spans="1:13">
      <c r="A8150" s="2">
        <v>2518</v>
      </c>
      <c r="B8150" s="5" t="s">
        <v>5328</v>
      </c>
      <c r="C8150" s="16" t="s">
        <v>5570</v>
      </c>
      <c r="D8150" s="16" t="s">
        <v>5571</v>
      </c>
      <c r="E8150" s="5" t="s">
        <v>15</v>
      </c>
      <c r="F8150" s="5" t="s">
        <v>15</v>
      </c>
      <c r="G8150" s="14" t="s">
        <v>16</v>
      </c>
      <c r="H8150" s="6">
        <v>300</v>
      </c>
      <c r="I8150" s="6">
        <v>300</v>
      </c>
      <c r="J8150" s="5"/>
      <c r="K8150" s="5"/>
      <c r="L8150" s="10">
        <v>20201118</v>
      </c>
      <c r="M8150" s="36" t="str">
        <f t="shared" si="127"/>
        <v>19980211</v>
      </c>
    </row>
    <row r="8151" s="1" customFormat="1" spans="1:13">
      <c r="A8151" s="2">
        <v>3545</v>
      </c>
      <c r="B8151" s="5" t="s">
        <v>3375</v>
      </c>
      <c r="C8151" s="5" t="s">
        <v>7360</v>
      </c>
      <c r="D8151" s="296" t="s">
        <v>7361</v>
      </c>
      <c r="E8151" s="5" t="s">
        <v>15</v>
      </c>
      <c r="F8151" s="5">
        <v>2020</v>
      </c>
      <c r="G8151" s="14" t="s">
        <v>16</v>
      </c>
      <c r="H8151" s="5">
        <v>200</v>
      </c>
      <c r="I8151" s="5">
        <v>200</v>
      </c>
      <c r="J8151" s="5"/>
      <c r="K8151" s="10"/>
      <c r="L8151" s="10">
        <v>20201118</v>
      </c>
      <c r="M8151" s="36" t="str">
        <f t="shared" si="127"/>
        <v>19980215</v>
      </c>
    </row>
    <row r="8152" s="1" customFormat="1" ht="14.25" spans="1:13">
      <c r="A8152" s="2">
        <v>1803</v>
      </c>
      <c r="B8152" s="5" t="s">
        <v>3381</v>
      </c>
      <c r="C8152" s="77" t="s">
        <v>4169</v>
      </c>
      <c r="D8152" s="77" t="s">
        <v>4170</v>
      </c>
      <c r="E8152" s="5">
        <v>2020</v>
      </c>
      <c r="F8152" s="5">
        <v>2020</v>
      </c>
      <c r="G8152" s="5" t="s">
        <v>189</v>
      </c>
      <c r="H8152" s="18">
        <v>200</v>
      </c>
      <c r="I8152" s="18">
        <v>200</v>
      </c>
      <c r="J8152" s="77" t="s">
        <v>4064</v>
      </c>
      <c r="K8152" s="13"/>
      <c r="L8152" s="10">
        <v>20201118</v>
      </c>
      <c r="M8152" s="36" t="str">
        <f t="shared" si="127"/>
        <v>19980223</v>
      </c>
    </row>
    <row r="8153" s="1" customFormat="1" ht="14.25" spans="1:13">
      <c r="A8153" s="2">
        <v>5489</v>
      </c>
      <c r="B8153" s="33" t="s">
        <v>10535</v>
      </c>
      <c r="C8153" s="34" t="s">
        <v>11072</v>
      </c>
      <c r="D8153" s="34" t="s">
        <v>11073</v>
      </c>
      <c r="E8153" s="35">
        <v>2020</v>
      </c>
      <c r="F8153" s="35">
        <v>2020</v>
      </c>
      <c r="G8153" s="35" t="s">
        <v>16</v>
      </c>
      <c r="H8153" s="34">
        <v>200</v>
      </c>
      <c r="I8153" s="34">
        <v>200</v>
      </c>
      <c r="J8153" s="49"/>
      <c r="K8153" s="10"/>
      <c r="L8153" s="10">
        <v>20201118</v>
      </c>
      <c r="M8153" s="36" t="str">
        <f t="shared" si="127"/>
        <v>19980309</v>
      </c>
    </row>
    <row r="8154" s="1" customFormat="1" ht="14.25" spans="1:13">
      <c r="A8154" s="2">
        <v>6054</v>
      </c>
      <c r="B8154" s="30" t="s">
        <v>11090</v>
      </c>
      <c r="C8154" s="32" t="s">
        <v>12151</v>
      </c>
      <c r="D8154" s="12" t="s">
        <v>12152</v>
      </c>
      <c r="E8154" s="5" t="s">
        <v>15</v>
      </c>
      <c r="F8154" s="5" t="s">
        <v>10250</v>
      </c>
      <c r="G8154" s="6" t="s">
        <v>16</v>
      </c>
      <c r="H8154" s="32">
        <v>200</v>
      </c>
      <c r="I8154" s="32">
        <v>200</v>
      </c>
      <c r="J8154" s="5"/>
      <c r="K8154" s="48"/>
      <c r="L8154" s="10">
        <v>20201118</v>
      </c>
      <c r="M8154" s="36" t="str">
        <f t="shared" si="127"/>
        <v>19980508</v>
      </c>
    </row>
    <row r="8155" s="1" customFormat="1" spans="1:13">
      <c r="A8155" s="2">
        <v>1373</v>
      </c>
      <c r="B8155" s="5" t="s">
        <v>2469</v>
      </c>
      <c r="C8155" s="9" t="s">
        <v>3323</v>
      </c>
      <c r="D8155" s="9" t="s">
        <v>3324</v>
      </c>
      <c r="E8155" s="5">
        <v>2020</v>
      </c>
      <c r="F8155" s="5">
        <v>2020</v>
      </c>
      <c r="G8155" s="9" t="s">
        <v>2480</v>
      </c>
      <c r="H8155" s="9">
        <v>200</v>
      </c>
      <c r="I8155" s="9">
        <v>200</v>
      </c>
      <c r="J8155" s="5"/>
      <c r="K8155" s="5"/>
      <c r="L8155" s="10">
        <v>20201118</v>
      </c>
      <c r="M8155" s="36" t="str">
        <f t="shared" si="127"/>
        <v>19980523</v>
      </c>
    </row>
    <row r="8156" s="1" customFormat="1" spans="1:13">
      <c r="A8156" s="2">
        <v>6369</v>
      </c>
      <c r="B8156" s="5" t="s">
        <v>12263</v>
      </c>
      <c r="C8156" s="5" t="s">
        <v>12752</v>
      </c>
      <c r="D8156" s="5" t="s">
        <v>12753</v>
      </c>
      <c r="E8156" s="5" t="s">
        <v>10250</v>
      </c>
      <c r="F8156" s="5">
        <v>2020</v>
      </c>
      <c r="G8156" s="17" t="s">
        <v>3359</v>
      </c>
      <c r="H8156" s="5" t="s">
        <v>311</v>
      </c>
      <c r="I8156" s="5">
        <v>200</v>
      </c>
      <c r="J8156" s="5"/>
      <c r="K8156" s="5"/>
      <c r="L8156" s="10">
        <v>20201118</v>
      </c>
      <c r="M8156" s="36" t="str">
        <f t="shared" si="127"/>
        <v>19980705</v>
      </c>
    </row>
    <row r="8157" s="1" customFormat="1" spans="1:13">
      <c r="A8157" s="2">
        <v>1374</v>
      </c>
      <c r="B8157" s="5" t="s">
        <v>2469</v>
      </c>
      <c r="C8157" s="9" t="s">
        <v>3325</v>
      </c>
      <c r="D8157" s="9" t="s">
        <v>3326</v>
      </c>
      <c r="E8157" s="5">
        <v>2020</v>
      </c>
      <c r="F8157" s="5">
        <v>2020</v>
      </c>
      <c r="G8157" s="9" t="s">
        <v>2480</v>
      </c>
      <c r="H8157" s="9">
        <v>200</v>
      </c>
      <c r="I8157" s="9">
        <v>200</v>
      </c>
      <c r="J8157" s="5"/>
      <c r="K8157" s="5"/>
      <c r="L8157" s="10">
        <v>20201118</v>
      </c>
      <c r="M8157" s="36" t="str">
        <f t="shared" si="127"/>
        <v>19980721</v>
      </c>
    </row>
    <row r="8158" s="1" customFormat="1" ht="14.25" spans="1:13">
      <c r="A8158" s="2">
        <v>5490</v>
      </c>
      <c r="B8158" s="33" t="s">
        <v>10535</v>
      </c>
      <c r="C8158" s="34" t="s">
        <v>11074</v>
      </c>
      <c r="D8158" s="34" t="s">
        <v>11075</v>
      </c>
      <c r="E8158" s="35">
        <v>2020</v>
      </c>
      <c r="F8158" s="35">
        <v>2020</v>
      </c>
      <c r="G8158" s="35" t="s">
        <v>16</v>
      </c>
      <c r="H8158" s="34">
        <v>200</v>
      </c>
      <c r="I8158" s="34">
        <v>200</v>
      </c>
      <c r="J8158" s="49"/>
      <c r="K8158" s="10"/>
      <c r="L8158" s="10">
        <v>20201118</v>
      </c>
      <c r="M8158" s="36" t="str">
        <f t="shared" si="127"/>
        <v>19980831</v>
      </c>
    </row>
    <row r="8159" s="1" customFormat="1" spans="1:13">
      <c r="A8159" s="2">
        <v>6786</v>
      </c>
      <c r="B8159" s="5" t="s">
        <v>13533</v>
      </c>
      <c r="C8159" s="32" t="s">
        <v>13536</v>
      </c>
      <c r="D8159" s="32" t="str">
        <f>"152326199810017142"</f>
        <v>152326199810017142</v>
      </c>
      <c r="E8159" s="5">
        <v>2020</v>
      </c>
      <c r="F8159" s="5">
        <v>2020</v>
      </c>
      <c r="G8159" s="9" t="s">
        <v>2480</v>
      </c>
      <c r="H8159" s="32">
        <v>200</v>
      </c>
      <c r="I8159" s="32">
        <v>200</v>
      </c>
      <c r="J8159" s="62"/>
      <c r="K8159" s="10"/>
      <c r="L8159" s="10">
        <v>20201118</v>
      </c>
      <c r="M8159" s="36" t="str">
        <f t="shared" si="127"/>
        <v>19981001</v>
      </c>
    </row>
    <row r="8160" s="1" customFormat="1" spans="1:13">
      <c r="A8160" s="2">
        <v>4975</v>
      </c>
      <c r="B8160" s="6" t="s">
        <v>9954</v>
      </c>
      <c r="C8160" s="60" t="s">
        <v>10089</v>
      </c>
      <c r="D8160" s="60" t="s">
        <v>10090</v>
      </c>
      <c r="E8160" s="5" t="s">
        <v>15</v>
      </c>
      <c r="F8160" s="5" t="s">
        <v>15</v>
      </c>
      <c r="G8160" s="14" t="s">
        <v>16</v>
      </c>
      <c r="H8160" s="6">
        <v>200</v>
      </c>
      <c r="I8160" s="6">
        <v>200</v>
      </c>
      <c r="J8160" s="6"/>
      <c r="K8160" s="6"/>
      <c r="L8160" s="10">
        <v>20201118</v>
      </c>
      <c r="M8160" s="36" t="str">
        <f t="shared" si="127"/>
        <v>19981012</v>
      </c>
    </row>
    <row r="8161" s="1" customFormat="1" spans="1:13">
      <c r="A8161" s="2">
        <v>3546</v>
      </c>
      <c r="B8161" s="5" t="s">
        <v>3375</v>
      </c>
      <c r="C8161" s="5" t="s">
        <v>7362</v>
      </c>
      <c r="D8161" s="296" t="s">
        <v>7363</v>
      </c>
      <c r="E8161" s="5" t="s">
        <v>15</v>
      </c>
      <c r="F8161" s="5">
        <v>2020</v>
      </c>
      <c r="G8161" s="14" t="s">
        <v>16</v>
      </c>
      <c r="H8161" s="5">
        <v>200</v>
      </c>
      <c r="I8161" s="5">
        <v>200</v>
      </c>
      <c r="J8161" s="5"/>
      <c r="K8161" s="10"/>
      <c r="L8161" s="10">
        <v>20201118</v>
      </c>
      <c r="M8161" s="36" t="str">
        <f t="shared" si="127"/>
        <v>19981018</v>
      </c>
    </row>
    <row r="8162" s="1" customFormat="1" spans="1:13">
      <c r="A8162" s="2">
        <v>1380</v>
      </c>
      <c r="B8162" s="5" t="s">
        <v>2469</v>
      </c>
      <c r="C8162" s="6" t="s">
        <v>3336</v>
      </c>
      <c r="D8162" s="6" t="str">
        <f>"152326199811296876"</f>
        <v>152326199811296876</v>
      </c>
      <c r="E8162" s="5">
        <v>2020</v>
      </c>
      <c r="F8162" s="5">
        <v>2020</v>
      </c>
      <c r="G8162" s="9" t="s">
        <v>2480</v>
      </c>
      <c r="H8162" s="9">
        <v>200</v>
      </c>
      <c r="I8162" s="9">
        <v>200</v>
      </c>
      <c r="J8162" s="5"/>
      <c r="K8162" s="10"/>
      <c r="L8162" s="10">
        <v>20201118</v>
      </c>
      <c r="M8162" s="36" t="str">
        <f t="shared" si="127"/>
        <v>19981129</v>
      </c>
    </row>
    <row r="8163" s="1" customFormat="1" ht="14.25" spans="1:13">
      <c r="A8163" s="2">
        <v>6025</v>
      </c>
      <c r="B8163" s="30" t="s">
        <v>11090</v>
      </c>
      <c r="C8163" s="32" t="s">
        <v>12093</v>
      </c>
      <c r="D8163" s="12" t="s">
        <v>12094</v>
      </c>
      <c r="E8163" s="5" t="s">
        <v>15</v>
      </c>
      <c r="F8163" s="5" t="s">
        <v>10250</v>
      </c>
      <c r="G8163" s="6" t="s">
        <v>16</v>
      </c>
      <c r="H8163" s="32">
        <v>200</v>
      </c>
      <c r="I8163" s="32">
        <v>200</v>
      </c>
      <c r="J8163" s="5" t="s">
        <v>11317</v>
      </c>
      <c r="K8163" s="48"/>
      <c r="L8163" s="10">
        <v>20201118</v>
      </c>
      <c r="M8163" s="36" t="str">
        <f t="shared" si="127"/>
        <v>19990114</v>
      </c>
    </row>
    <row r="8164" s="1" customFormat="1" spans="1:13">
      <c r="A8164" s="2">
        <v>909</v>
      </c>
      <c r="B8164" s="29" t="s">
        <v>1040</v>
      </c>
      <c r="C8164" s="6" t="s">
        <v>2374</v>
      </c>
      <c r="D8164" s="6" t="s">
        <v>2375</v>
      </c>
      <c r="E8164" s="30">
        <v>2020</v>
      </c>
      <c r="F8164" s="30">
        <v>2020</v>
      </c>
      <c r="G8164" s="29" t="s">
        <v>16</v>
      </c>
      <c r="H8164" s="29">
        <v>200</v>
      </c>
      <c r="I8164" s="29">
        <v>200</v>
      </c>
      <c r="J8164" s="32"/>
      <c r="K8164" s="32"/>
      <c r="L8164" s="2" t="s">
        <v>330</v>
      </c>
      <c r="M8164" s="36" t="str">
        <f t="shared" si="127"/>
        <v>19990211</v>
      </c>
    </row>
    <row r="8165" s="1" customFormat="1" ht="14.25" spans="1:13">
      <c r="A8165" s="2">
        <v>7639</v>
      </c>
      <c r="B8165" s="5" t="s">
        <v>14875</v>
      </c>
      <c r="C8165" s="51" t="s">
        <v>14876</v>
      </c>
      <c r="D8165" s="24" t="str">
        <f>"152326199902117132"</f>
        <v>152326199902117132</v>
      </c>
      <c r="E8165" s="6" t="s">
        <v>15</v>
      </c>
      <c r="F8165" s="6">
        <v>2020</v>
      </c>
      <c r="G8165" s="24" t="s">
        <v>14877</v>
      </c>
      <c r="H8165" s="6">
        <v>200</v>
      </c>
      <c r="I8165" s="6">
        <v>200</v>
      </c>
      <c r="J8165" s="6"/>
      <c r="K8165" s="10"/>
      <c r="L8165" s="10">
        <v>20201118</v>
      </c>
      <c r="M8165" s="36" t="str">
        <f t="shared" si="127"/>
        <v>19990211</v>
      </c>
    </row>
    <row r="8166" s="1" customFormat="1" spans="1:13">
      <c r="A8166" s="2">
        <v>7151</v>
      </c>
      <c r="B8166" s="5" t="s">
        <v>13908</v>
      </c>
      <c r="C8166" s="5" t="s">
        <v>8062</v>
      </c>
      <c r="D8166" s="5" t="s">
        <v>13961</v>
      </c>
      <c r="E8166" s="5" t="s">
        <v>15</v>
      </c>
      <c r="F8166" s="5" t="s">
        <v>15</v>
      </c>
      <c r="G8166" s="14" t="s">
        <v>16</v>
      </c>
      <c r="H8166" s="17">
        <v>200</v>
      </c>
      <c r="I8166" s="17">
        <v>200</v>
      </c>
      <c r="J8166" s="5"/>
      <c r="K8166" s="10"/>
      <c r="L8166" s="10">
        <v>20201118</v>
      </c>
      <c r="M8166" s="36" t="str">
        <f t="shared" si="127"/>
        <v>19990322</v>
      </c>
    </row>
    <row r="8167" s="1" customFormat="1" spans="1:13">
      <c r="A8167" s="2">
        <v>702</v>
      </c>
      <c r="B8167" s="29" t="s">
        <v>1040</v>
      </c>
      <c r="C8167" s="5" t="s">
        <v>1758</v>
      </c>
      <c r="D8167" s="5" t="s">
        <v>1759</v>
      </c>
      <c r="E8167" s="30">
        <v>2020</v>
      </c>
      <c r="F8167" s="30">
        <v>2020</v>
      </c>
      <c r="G8167" s="29" t="s">
        <v>16</v>
      </c>
      <c r="H8167" s="29">
        <v>200</v>
      </c>
      <c r="I8167" s="29">
        <v>200</v>
      </c>
      <c r="J8167" s="29"/>
      <c r="K8167" s="54"/>
      <c r="L8167" s="2" t="s">
        <v>330</v>
      </c>
      <c r="M8167" s="36" t="str">
        <f t="shared" si="127"/>
        <v>19990330</v>
      </c>
    </row>
    <row r="8168" s="1" customFormat="1" spans="1:13">
      <c r="A8168" s="2">
        <v>3533</v>
      </c>
      <c r="B8168" s="5" t="s">
        <v>3375</v>
      </c>
      <c r="C8168" s="5" t="s">
        <v>7337</v>
      </c>
      <c r="D8168" s="296" t="s">
        <v>7338</v>
      </c>
      <c r="E8168" s="5" t="s">
        <v>15</v>
      </c>
      <c r="F8168" s="5">
        <v>2020</v>
      </c>
      <c r="G8168" s="14" t="s">
        <v>16</v>
      </c>
      <c r="H8168" s="5">
        <v>200</v>
      </c>
      <c r="I8168" s="5">
        <v>200</v>
      </c>
      <c r="J8168" s="5"/>
      <c r="K8168" s="10"/>
      <c r="L8168" s="10">
        <v>20201118</v>
      </c>
      <c r="M8168" s="36" t="str">
        <f t="shared" si="127"/>
        <v>19990905</v>
      </c>
    </row>
    <row r="8169" s="1" customFormat="1" spans="1:13">
      <c r="A8169" s="2">
        <v>726</v>
      </c>
      <c r="B8169" s="29" t="s">
        <v>1040</v>
      </c>
      <c r="C8169" s="5" t="s">
        <v>1828</v>
      </c>
      <c r="D8169" s="317" t="s">
        <v>1829</v>
      </c>
      <c r="E8169" s="30">
        <v>2020</v>
      </c>
      <c r="F8169" s="30">
        <v>2020</v>
      </c>
      <c r="G8169" s="29" t="s">
        <v>16</v>
      </c>
      <c r="H8169" s="29">
        <v>200</v>
      </c>
      <c r="I8169" s="29">
        <v>200</v>
      </c>
      <c r="J8169" s="29"/>
      <c r="K8169" s="54"/>
      <c r="L8169" s="14" t="s">
        <v>330</v>
      </c>
      <c r="M8169" s="36" t="str">
        <f t="shared" si="127"/>
        <v>19991003</v>
      </c>
    </row>
    <row r="8170" s="1" customFormat="1" spans="1:13">
      <c r="A8170" s="2">
        <v>856</v>
      </c>
      <c r="B8170" s="29" t="s">
        <v>1040</v>
      </c>
      <c r="C8170" s="6" t="s">
        <v>2215</v>
      </c>
      <c r="D8170" s="6" t="s">
        <v>2216</v>
      </c>
      <c r="E8170" s="30">
        <v>2020</v>
      </c>
      <c r="F8170" s="30">
        <v>2020</v>
      </c>
      <c r="G8170" s="29" t="s">
        <v>16</v>
      </c>
      <c r="H8170" s="29">
        <v>200</v>
      </c>
      <c r="I8170" s="29">
        <v>200</v>
      </c>
      <c r="J8170" s="32"/>
      <c r="K8170" s="32"/>
      <c r="L8170" s="2" t="s">
        <v>330</v>
      </c>
      <c r="M8170" s="36" t="str">
        <f t="shared" si="127"/>
        <v>19991003</v>
      </c>
    </row>
    <row r="8171" s="1" customFormat="1" spans="1:13">
      <c r="A8171" s="2">
        <v>717</v>
      </c>
      <c r="B8171" s="29" t="s">
        <v>1040</v>
      </c>
      <c r="C8171" s="5" t="s">
        <v>1802</v>
      </c>
      <c r="D8171" s="317" t="s">
        <v>1803</v>
      </c>
      <c r="E8171" s="30">
        <v>2020</v>
      </c>
      <c r="F8171" s="30">
        <v>2020</v>
      </c>
      <c r="G8171" s="29" t="s">
        <v>16</v>
      </c>
      <c r="H8171" s="29">
        <v>200</v>
      </c>
      <c r="I8171" s="29">
        <v>200</v>
      </c>
      <c r="J8171" s="29"/>
      <c r="K8171" s="54"/>
      <c r="L8171" s="14" t="s">
        <v>330</v>
      </c>
      <c r="M8171" s="36" t="str">
        <f t="shared" si="127"/>
        <v>19991005</v>
      </c>
    </row>
    <row r="8172" s="1" customFormat="1" spans="1:13">
      <c r="A8172" s="2">
        <v>831</v>
      </c>
      <c r="B8172" s="29" t="s">
        <v>1040</v>
      </c>
      <c r="C8172" s="5" t="s">
        <v>2142</v>
      </c>
      <c r="D8172" s="317" t="s">
        <v>2143</v>
      </c>
      <c r="E8172" s="30">
        <v>2020</v>
      </c>
      <c r="F8172" s="30">
        <v>2020</v>
      </c>
      <c r="G8172" s="29" t="s">
        <v>16</v>
      </c>
      <c r="H8172" s="29">
        <v>200</v>
      </c>
      <c r="I8172" s="29">
        <v>200</v>
      </c>
      <c r="J8172" s="32"/>
      <c r="K8172" s="32"/>
      <c r="L8172" s="14" t="s">
        <v>330</v>
      </c>
      <c r="M8172" s="36" t="str">
        <f t="shared" si="127"/>
        <v>19991115</v>
      </c>
    </row>
    <row r="8173" s="1" customFormat="1" spans="1:13">
      <c r="A8173" s="2">
        <v>2763</v>
      </c>
      <c r="B8173" s="32" t="s">
        <v>5602</v>
      </c>
      <c r="C8173" s="9" t="s">
        <v>6054</v>
      </c>
      <c r="D8173" s="9" t="s">
        <v>6055</v>
      </c>
      <c r="E8173" s="32">
        <v>2020</v>
      </c>
      <c r="F8173" s="32">
        <v>2020</v>
      </c>
      <c r="G8173" s="32" t="s">
        <v>16</v>
      </c>
      <c r="H8173" s="9">
        <v>200</v>
      </c>
      <c r="I8173" s="9">
        <v>200</v>
      </c>
      <c r="J8173" s="32"/>
      <c r="K8173" s="52"/>
      <c r="L8173" s="10">
        <v>20201118</v>
      </c>
      <c r="M8173" s="36" t="str">
        <f t="shared" si="127"/>
        <v>19991125</v>
      </c>
    </row>
    <row r="8174" s="1" customFormat="1" spans="1:13">
      <c r="A8174" s="2">
        <v>1375</v>
      </c>
      <c r="B8174" s="5" t="s">
        <v>2469</v>
      </c>
      <c r="C8174" s="9" t="s">
        <v>3327</v>
      </c>
      <c r="D8174" s="9" t="s">
        <v>3328</v>
      </c>
      <c r="E8174" s="5">
        <v>2020</v>
      </c>
      <c r="F8174" s="5">
        <v>2020</v>
      </c>
      <c r="G8174" s="9" t="s">
        <v>2480</v>
      </c>
      <c r="H8174" s="9">
        <v>200</v>
      </c>
      <c r="I8174" s="9">
        <v>200</v>
      </c>
      <c r="J8174" s="5"/>
      <c r="K8174" s="5"/>
      <c r="L8174" s="10">
        <v>20201118</v>
      </c>
      <c r="M8174" s="36" t="str">
        <f t="shared" si="127"/>
        <v>19991203</v>
      </c>
    </row>
    <row r="8175" s="1" customFormat="1" ht="14.25" spans="1:13">
      <c r="A8175" s="2">
        <v>6041</v>
      </c>
      <c r="B8175" s="30" t="s">
        <v>11090</v>
      </c>
      <c r="C8175" s="32" t="s">
        <v>12125</v>
      </c>
      <c r="D8175" s="12" t="s">
        <v>12126</v>
      </c>
      <c r="E8175" s="5" t="s">
        <v>15</v>
      </c>
      <c r="F8175" s="5" t="s">
        <v>10250</v>
      </c>
      <c r="G8175" s="6" t="s">
        <v>16</v>
      </c>
      <c r="H8175" s="32">
        <v>200</v>
      </c>
      <c r="I8175" s="32">
        <v>200</v>
      </c>
      <c r="J8175" s="5" t="s">
        <v>6097</v>
      </c>
      <c r="K8175" s="48"/>
      <c r="L8175" s="10">
        <v>20201118</v>
      </c>
      <c r="M8175" s="36" t="str">
        <f t="shared" si="127"/>
        <v>19991212</v>
      </c>
    </row>
    <row r="8176" s="1" customFormat="1" spans="1:13">
      <c r="A8176" s="2">
        <v>775</v>
      </c>
      <c r="B8176" s="29" t="s">
        <v>1040</v>
      </c>
      <c r="C8176" s="5" t="s">
        <v>1975</v>
      </c>
      <c r="D8176" s="317" t="s">
        <v>1976</v>
      </c>
      <c r="E8176" s="30">
        <v>2020</v>
      </c>
      <c r="F8176" s="30">
        <v>2020</v>
      </c>
      <c r="G8176" s="29" t="s">
        <v>16</v>
      </c>
      <c r="H8176" s="29">
        <v>200</v>
      </c>
      <c r="I8176" s="29">
        <v>200</v>
      </c>
      <c r="J8176" s="32"/>
      <c r="K8176" s="32"/>
      <c r="L8176" s="14" t="s">
        <v>330</v>
      </c>
      <c r="M8176" s="36" t="str">
        <f t="shared" si="127"/>
        <v>19991222</v>
      </c>
    </row>
    <row r="8177" s="1" customFormat="1" spans="1:13">
      <c r="A8177" s="2">
        <v>716</v>
      </c>
      <c r="B8177" s="29" t="s">
        <v>1040</v>
      </c>
      <c r="C8177" s="5" t="s">
        <v>1799</v>
      </c>
      <c r="D8177" s="317" t="s">
        <v>1800</v>
      </c>
      <c r="E8177" s="30">
        <v>2020</v>
      </c>
      <c r="F8177" s="30">
        <v>2020</v>
      </c>
      <c r="G8177" s="29" t="s">
        <v>16</v>
      </c>
      <c r="H8177" s="29">
        <v>200</v>
      </c>
      <c r="I8177" s="29">
        <v>200</v>
      </c>
      <c r="J8177" s="29"/>
      <c r="K8177" s="54"/>
      <c r="L8177" s="2" t="s">
        <v>330</v>
      </c>
      <c r="M8177" s="36" t="str">
        <f t="shared" si="127"/>
        <v>20000115</v>
      </c>
    </row>
    <row r="8178" s="1" customFormat="1" spans="1:13">
      <c r="A8178" s="2">
        <v>4830</v>
      </c>
      <c r="B8178" s="6" t="s">
        <v>9015</v>
      </c>
      <c r="C8178" s="6" t="s">
        <v>9807</v>
      </c>
      <c r="D8178" s="293" t="s">
        <v>9808</v>
      </c>
      <c r="E8178" s="6">
        <v>2020</v>
      </c>
      <c r="F8178" s="6">
        <v>2020</v>
      </c>
      <c r="G8178" s="6" t="s">
        <v>16</v>
      </c>
      <c r="H8178" s="6">
        <v>200</v>
      </c>
      <c r="I8178" s="6">
        <v>200</v>
      </c>
      <c r="J8178" s="6"/>
      <c r="K8178" s="6"/>
      <c r="L8178" s="10">
        <v>20201118</v>
      </c>
      <c r="M8178" s="36" t="str">
        <f t="shared" si="127"/>
        <v>20000119</v>
      </c>
    </row>
    <row r="8179" s="1" customFormat="1" spans="1:13">
      <c r="A8179" s="2">
        <v>4882</v>
      </c>
      <c r="B8179" s="6" t="s">
        <v>9906</v>
      </c>
      <c r="C8179" s="6" t="s">
        <v>1867</v>
      </c>
      <c r="D8179" s="293" t="s">
        <v>9907</v>
      </c>
      <c r="E8179" s="6">
        <v>2020</v>
      </c>
      <c r="F8179" s="6">
        <v>2020</v>
      </c>
      <c r="G8179" s="6" t="s">
        <v>16</v>
      </c>
      <c r="H8179" s="6">
        <v>200</v>
      </c>
      <c r="I8179" s="6">
        <v>200</v>
      </c>
      <c r="J8179" s="6"/>
      <c r="K8179" s="6"/>
      <c r="L8179" s="10">
        <v>20201118</v>
      </c>
      <c r="M8179" s="36" t="str">
        <f t="shared" si="127"/>
        <v>20000125</v>
      </c>
    </row>
    <row r="8180" s="1" customFormat="1" ht="14.25" spans="1:13">
      <c r="A8180" s="2">
        <v>6009</v>
      </c>
      <c r="B8180" s="30" t="s">
        <v>11090</v>
      </c>
      <c r="C8180" s="32" t="s">
        <v>12061</v>
      </c>
      <c r="D8180" s="12" t="s">
        <v>12062</v>
      </c>
      <c r="E8180" s="5" t="s">
        <v>15</v>
      </c>
      <c r="F8180" s="5" t="s">
        <v>10250</v>
      </c>
      <c r="G8180" s="6" t="s">
        <v>16</v>
      </c>
      <c r="H8180" s="32">
        <v>200</v>
      </c>
      <c r="I8180" s="32">
        <v>200</v>
      </c>
      <c r="J8180" s="5"/>
      <c r="K8180" s="48"/>
      <c r="L8180" s="10">
        <v>20201118</v>
      </c>
      <c r="M8180" s="36" t="str">
        <f t="shared" si="127"/>
        <v>20000131</v>
      </c>
    </row>
    <row r="8181" s="1" customFormat="1" spans="1:13">
      <c r="A8181" s="2">
        <v>1376</v>
      </c>
      <c r="B8181" s="5" t="s">
        <v>2469</v>
      </c>
      <c r="C8181" s="9" t="s">
        <v>3329</v>
      </c>
      <c r="D8181" s="9" t="s">
        <v>3330</v>
      </c>
      <c r="E8181" s="5">
        <v>2020</v>
      </c>
      <c r="F8181" s="5">
        <v>2020</v>
      </c>
      <c r="G8181" s="9" t="s">
        <v>2480</v>
      </c>
      <c r="H8181" s="9">
        <v>200</v>
      </c>
      <c r="I8181" s="9">
        <v>200</v>
      </c>
      <c r="J8181" s="5"/>
      <c r="K8181" s="5"/>
      <c r="L8181" s="10">
        <v>20201118</v>
      </c>
      <c r="M8181" s="36" t="str">
        <f t="shared" si="127"/>
        <v>20000304</v>
      </c>
    </row>
    <row r="8182" s="1" customFormat="1" spans="1:13">
      <c r="A8182" s="2">
        <v>330</v>
      </c>
      <c r="B8182" s="14" t="s">
        <v>327</v>
      </c>
      <c r="C8182" s="17" t="s">
        <v>878</v>
      </c>
      <c r="D8182" s="306" t="s">
        <v>879</v>
      </c>
      <c r="E8182" s="5">
        <v>2020</v>
      </c>
      <c r="F8182" s="5">
        <v>2020</v>
      </c>
      <c r="G8182" s="14" t="s">
        <v>16</v>
      </c>
      <c r="H8182" s="17">
        <v>200</v>
      </c>
      <c r="I8182" s="17">
        <v>200</v>
      </c>
      <c r="J8182" s="17"/>
      <c r="K8182" s="10"/>
      <c r="L8182" s="14" t="s">
        <v>330</v>
      </c>
      <c r="M8182" s="36" t="str">
        <f t="shared" si="127"/>
        <v>20000314</v>
      </c>
    </row>
    <row r="8183" s="1" customFormat="1" spans="1:13">
      <c r="A8183" s="2">
        <v>78</v>
      </c>
      <c r="B8183" s="3" t="s">
        <v>12</v>
      </c>
      <c r="C8183" s="3" t="s">
        <v>171</v>
      </c>
      <c r="D8183" s="3" t="s">
        <v>172</v>
      </c>
      <c r="E8183" s="3" t="s">
        <v>15</v>
      </c>
      <c r="F8183" s="3" t="s">
        <v>15</v>
      </c>
      <c r="G8183" s="2" t="s">
        <v>16</v>
      </c>
      <c r="H8183" s="3">
        <v>200</v>
      </c>
      <c r="I8183" s="3">
        <v>200</v>
      </c>
      <c r="J8183" s="3"/>
      <c r="K8183" s="3"/>
      <c r="L8183" s="10">
        <v>20201118</v>
      </c>
      <c r="M8183" s="36" t="str">
        <f t="shared" si="127"/>
        <v>20000818</v>
      </c>
    </row>
    <row r="8184" s="1" customFormat="1" spans="1:13">
      <c r="A8184" s="2">
        <v>7605</v>
      </c>
      <c r="B8184" s="5" t="s">
        <v>14402</v>
      </c>
      <c r="C8184" s="5" t="s">
        <v>3348</v>
      </c>
      <c r="D8184" s="5" t="s">
        <v>14809</v>
      </c>
      <c r="E8184" s="5">
        <v>2020</v>
      </c>
      <c r="F8184" s="5">
        <v>2020</v>
      </c>
      <c r="G8184" s="17" t="s">
        <v>16</v>
      </c>
      <c r="H8184" s="5">
        <v>200</v>
      </c>
      <c r="I8184" s="5">
        <v>200</v>
      </c>
      <c r="J8184" s="5"/>
      <c r="K8184" s="10"/>
      <c r="L8184" s="10">
        <v>20201118</v>
      </c>
      <c r="M8184" s="36" t="str">
        <f t="shared" si="127"/>
        <v>20001001</v>
      </c>
    </row>
    <row r="8185" s="1" customFormat="1" spans="1:13">
      <c r="A8185" s="2">
        <v>4866</v>
      </c>
      <c r="B8185" s="6" t="s">
        <v>9015</v>
      </c>
      <c r="C8185" s="6" t="s">
        <v>9875</v>
      </c>
      <c r="D8185" s="293" t="s">
        <v>9876</v>
      </c>
      <c r="E8185" s="6">
        <v>2020</v>
      </c>
      <c r="F8185" s="6">
        <v>2020</v>
      </c>
      <c r="G8185" s="6" t="s">
        <v>16</v>
      </c>
      <c r="H8185" s="6">
        <v>200</v>
      </c>
      <c r="I8185" s="6">
        <v>200</v>
      </c>
      <c r="J8185" s="6"/>
      <c r="K8185" s="6"/>
      <c r="L8185" s="10">
        <v>20201118</v>
      </c>
      <c r="M8185" s="36" t="str">
        <f t="shared" si="127"/>
        <v>20001016</v>
      </c>
    </row>
    <row r="8186" s="1" customFormat="1" ht="14.25" spans="1:13">
      <c r="A8186" s="2">
        <v>1755</v>
      </c>
      <c r="B8186" s="5" t="s">
        <v>3381</v>
      </c>
      <c r="C8186" s="77" t="s">
        <v>4071</v>
      </c>
      <c r="D8186" s="321" t="s">
        <v>4072</v>
      </c>
      <c r="E8186" s="5">
        <v>2020</v>
      </c>
      <c r="F8186" s="5">
        <v>2020</v>
      </c>
      <c r="G8186" s="14" t="s">
        <v>16</v>
      </c>
      <c r="H8186" s="18">
        <v>200</v>
      </c>
      <c r="I8186" s="18">
        <v>200</v>
      </c>
      <c r="J8186" s="77" t="s">
        <v>4064</v>
      </c>
      <c r="K8186" s="13"/>
      <c r="L8186" s="10">
        <v>20201118</v>
      </c>
      <c r="M8186" s="36" t="str">
        <f t="shared" si="127"/>
        <v>20001101</v>
      </c>
    </row>
    <row r="8187" s="1" customFormat="1" spans="1:13">
      <c r="A8187" s="2">
        <v>7364</v>
      </c>
      <c r="B8187" s="5" t="s">
        <v>13908</v>
      </c>
      <c r="C8187" s="5" t="s">
        <v>14355</v>
      </c>
      <c r="D8187" s="5" t="s">
        <v>14356</v>
      </c>
      <c r="E8187" s="5" t="s">
        <v>15</v>
      </c>
      <c r="F8187" s="5" t="s">
        <v>15</v>
      </c>
      <c r="G8187" s="14" t="s">
        <v>16</v>
      </c>
      <c r="H8187" s="17">
        <v>200</v>
      </c>
      <c r="I8187" s="17">
        <v>200</v>
      </c>
      <c r="J8187" s="5"/>
      <c r="K8187" s="10"/>
      <c r="L8187" s="10">
        <v>20201118</v>
      </c>
      <c r="M8187" s="36" t="str">
        <f t="shared" si="127"/>
        <v>20001103</v>
      </c>
    </row>
    <row r="8188" s="1" customFormat="1" spans="1:13">
      <c r="A8188" s="2">
        <v>322</v>
      </c>
      <c r="B8188" s="14" t="s">
        <v>327</v>
      </c>
      <c r="C8188" s="17" t="s">
        <v>854</v>
      </c>
      <c r="D8188" s="306" t="s">
        <v>855</v>
      </c>
      <c r="E8188" s="5">
        <v>2020</v>
      </c>
      <c r="F8188" s="5">
        <v>2020</v>
      </c>
      <c r="G8188" s="14" t="s">
        <v>16</v>
      </c>
      <c r="H8188" s="17">
        <v>200</v>
      </c>
      <c r="I8188" s="17">
        <v>200</v>
      </c>
      <c r="J8188" s="17"/>
      <c r="K8188" s="10"/>
      <c r="L8188" s="14" t="s">
        <v>330</v>
      </c>
      <c r="M8188" s="36" t="str">
        <f t="shared" si="127"/>
        <v>20001221</v>
      </c>
    </row>
    <row r="8189" s="1" customFormat="1" spans="1:13">
      <c r="A8189" s="2">
        <v>1377</v>
      </c>
      <c r="B8189" s="5" t="s">
        <v>2469</v>
      </c>
      <c r="C8189" s="9" t="s">
        <v>3331</v>
      </c>
      <c r="D8189" s="9" t="s">
        <v>3332</v>
      </c>
      <c r="E8189" s="5">
        <v>2020</v>
      </c>
      <c r="F8189" s="5">
        <v>2020</v>
      </c>
      <c r="G8189" s="9" t="s">
        <v>2480</v>
      </c>
      <c r="H8189" s="9">
        <v>200</v>
      </c>
      <c r="I8189" s="9">
        <v>200</v>
      </c>
      <c r="J8189" s="5"/>
      <c r="K8189" s="5"/>
      <c r="L8189" s="10">
        <v>20201118</v>
      </c>
      <c r="M8189" s="36" t="str">
        <f t="shared" si="127"/>
        <v>20010101</v>
      </c>
    </row>
    <row r="8190" s="1" customFormat="1" spans="1:13">
      <c r="A8190" s="2">
        <v>7228</v>
      </c>
      <c r="B8190" s="5" t="s">
        <v>13908</v>
      </c>
      <c r="C8190" s="5" t="s">
        <v>6090</v>
      </c>
      <c r="D8190" s="5" t="s">
        <v>14101</v>
      </c>
      <c r="E8190" s="5" t="s">
        <v>15</v>
      </c>
      <c r="F8190" s="5" t="s">
        <v>15</v>
      </c>
      <c r="G8190" s="14" t="s">
        <v>16</v>
      </c>
      <c r="H8190" s="17">
        <v>200</v>
      </c>
      <c r="I8190" s="17">
        <v>200</v>
      </c>
      <c r="J8190" s="5"/>
      <c r="K8190" s="10"/>
      <c r="L8190" s="10">
        <v>20201118</v>
      </c>
      <c r="M8190" s="36" t="str">
        <f t="shared" si="127"/>
        <v>20010101</v>
      </c>
    </row>
    <row r="8191" s="1" customFormat="1" spans="1:13">
      <c r="A8191" s="2">
        <v>6291</v>
      </c>
      <c r="B8191" s="5" t="s">
        <v>12263</v>
      </c>
      <c r="C8191" s="5" t="s">
        <v>12602</v>
      </c>
      <c r="D8191" s="5" t="s">
        <v>12603</v>
      </c>
      <c r="E8191" s="5" t="s">
        <v>10250</v>
      </c>
      <c r="F8191" s="5">
        <v>2020</v>
      </c>
      <c r="G8191" s="17" t="s">
        <v>3359</v>
      </c>
      <c r="H8191" s="5">
        <v>200</v>
      </c>
      <c r="I8191" s="5">
        <v>200</v>
      </c>
      <c r="J8191" s="5"/>
      <c r="K8191" s="5"/>
      <c r="L8191" s="10">
        <v>20201118</v>
      </c>
      <c r="M8191" s="36" t="str">
        <f t="shared" si="127"/>
        <v>20010310</v>
      </c>
    </row>
    <row r="8192" s="1" customFormat="1" spans="1:13">
      <c r="A8192" s="2">
        <v>7389</v>
      </c>
      <c r="B8192" s="5" t="s">
        <v>14402</v>
      </c>
      <c r="C8192" s="17" t="s">
        <v>14403</v>
      </c>
      <c r="D8192" s="17" t="s">
        <v>14404</v>
      </c>
      <c r="E8192" s="5">
        <v>2020</v>
      </c>
      <c r="F8192" s="5">
        <v>2020</v>
      </c>
      <c r="G8192" s="17" t="s">
        <v>16</v>
      </c>
      <c r="H8192" s="5">
        <v>200</v>
      </c>
      <c r="I8192" s="17">
        <v>200</v>
      </c>
      <c r="J8192" s="17"/>
      <c r="K8192" s="10"/>
      <c r="L8192" s="10">
        <v>20201118</v>
      </c>
      <c r="M8192" s="36" t="str">
        <f t="shared" si="127"/>
        <v>20010316</v>
      </c>
    </row>
    <row r="8193" s="1" customFormat="1" spans="1:13">
      <c r="A8193" s="2">
        <v>7192</v>
      </c>
      <c r="B8193" s="5" t="s">
        <v>13908</v>
      </c>
      <c r="C8193" s="5" t="s">
        <v>14035</v>
      </c>
      <c r="D8193" s="5" t="s">
        <v>14036</v>
      </c>
      <c r="E8193" s="5" t="s">
        <v>15</v>
      </c>
      <c r="F8193" s="5" t="s">
        <v>15</v>
      </c>
      <c r="G8193" s="14" t="s">
        <v>16</v>
      </c>
      <c r="H8193" s="17">
        <v>200</v>
      </c>
      <c r="I8193" s="17">
        <v>200</v>
      </c>
      <c r="J8193" s="5"/>
      <c r="K8193" s="10"/>
      <c r="L8193" s="10">
        <v>20201118</v>
      </c>
      <c r="M8193" s="36" t="str">
        <f t="shared" si="127"/>
        <v>20010413</v>
      </c>
    </row>
    <row r="8194" s="1" customFormat="1" spans="1:13">
      <c r="A8194" s="2">
        <v>5939</v>
      </c>
      <c r="B8194" s="30" t="s">
        <v>11090</v>
      </c>
      <c r="C8194" s="6" t="s">
        <v>11926</v>
      </c>
      <c r="D8194" s="306" t="s">
        <v>11927</v>
      </c>
      <c r="E8194" s="5" t="s">
        <v>15</v>
      </c>
      <c r="F8194" s="5" t="s">
        <v>10250</v>
      </c>
      <c r="G8194" s="6" t="s">
        <v>16</v>
      </c>
      <c r="H8194" s="32">
        <v>200</v>
      </c>
      <c r="I8194" s="32">
        <v>200</v>
      </c>
      <c r="J8194" s="6"/>
      <c r="K8194" s="48"/>
      <c r="L8194" s="10">
        <v>20201118</v>
      </c>
      <c r="M8194" s="36" t="str">
        <f t="shared" ref="M8194:M8227" si="128">MID(D8194,7,8)</f>
        <v>20010429</v>
      </c>
    </row>
    <row r="8195" s="1" customFormat="1" ht="14.25" spans="1:13">
      <c r="A8195" s="2">
        <v>5959</v>
      </c>
      <c r="B8195" s="30" t="s">
        <v>11090</v>
      </c>
      <c r="C8195" s="32" t="s">
        <v>11965</v>
      </c>
      <c r="D8195" s="12" t="s">
        <v>11966</v>
      </c>
      <c r="E8195" s="5" t="s">
        <v>15</v>
      </c>
      <c r="F8195" s="5" t="s">
        <v>10250</v>
      </c>
      <c r="G8195" s="6" t="s">
        <v>16</v>
      </c>
      <c r="H8195" s="32">
        <v>200</v>
      </c>
      <c r="I8195" s="32">
        <v>200</v>
      </c>
      <c r="J8195" s="6"/>
      <c r="K8195" s="48"/>
      <c r="L8195" s="10">
        <v>20201118</v>
      </c>
      <c r="M8195" s="36" t="str">
        <f t="shared" si="128"/>
        <v>20010430</v>
      </c>
    </row>
    <row r="8196" s="1" customFormat="1" spans="1:13">
      <c r="A8196" s="2">
        <v>6197</v>
      </c>
      <c r="B8196" s="5" t="s">
        <v>12263</v>
      </c>
      <c r="C8196" s="5" t="s">
        <v>12423</v>
      </c>
      <c r="D8196" s="5" t="s">
        <v>12424</v>
      </c>
      <c r="E8196" s="5" t="s">
        <v>10250</v>
      </c>
      <c r="F8196" s="5">
        <v>2020</v>
      </c>
      <c r="G8196" s="17" t="s">
        <v>3359</v>
      </c>
      <c r="H8196" s="5">
        <v>200</v>
      </c>
      <c r="I8196" s="5">
        <v>200</v>
      </c>
      <c r="J8196" s="5"/>
      <c r="K8196" s="5"/>
      <c r="L8196" s="10">
        <v>20201118</v>
      </c>
      <c r="M8196" s="36" t="str">
        <f t="shared" si="128"/>
        <v>20010510</v>
      </c>
    </row>
    <row r="8197" s="1" customFormat="1" spans="1:13">
      <c r="A8197" s="2">
        <v>7233</v>
      </c>
      <c r="B8197" s="5" t="s">
        <v>13908</v>
      </c>
      <c r="C8197" s="5" t="s">
        <v>14110</v>
      </c>
      <c r="D8197" s="5" t="s">
        <v>14111</v>
      </c>
      <c r="E8197" s="5" t="s">
        <v>15</v>
      </c>
      <c r="F8197" s="5" t="s">
        <v>15</v>
      </c>
      <c r="G8197" s="14" t="s">
        <v>16</v>
      </c>
      <c r="H8197" s="17">
        <v>200</v>
      </c>
      <c r="I8197" s="17">
        <v>200</v>
      </c>
      <c r="J8197" s="5"/>
      <c r="K8197" s="10"/>
      <c r="L8197" s="10">
        <v>20201118</v>
      </c>
      <c r="M8197" s="36" t="str">
        <f t="shared" si="128"/>
        <v>20010622</v>
      </c>
    </row>
    <row r="8198" s="1" customFormat="1" spans="1:13">
      <c r="A8198" s="2">
        <v>1378</v>
      </c>
      <c r="B8198" s="5" t="s">
        <v>2469</v>
      </c>
      <c r="C8198" s="9" t="s">
        <v>3333</v>
      </c>
      <c r="D8198" s="9" t="s">
        <v>3334</v>
      </c>
      <c r="E8198" s="5">
        <v>2020</v>
      </c>
      <c r="F8198" s="5">
        <v>2020</v>
      </c>
      <c r="G8198" s="9" t="s">
        <v>2480</v>
      </c>
      <c r="H8198" s="9">
        <v>200</v>
      </c>
      <c r="I8198" s="9">
        <v>200</v>
      </c>
      <c r="J8198" s="5"/>
      <c r="K8198" s="5"/>
      <c r="L8198" s="10">
        <v>20201118</v>
      </c>
      <c r="M8198" s="36" t="str">
        <f t="shared" si="128"/>
        <v>20010629</v>
      </c>
    </row>
    <row r="8199" s="1" customFormat="1" spans="1:13">
      <c r="A8199" s="2">
        <v>3107</v>
      </c>
      <c r="B8199" s="3" t="s">
        <v>6671</v>
      </c>
      <c r="C8199" s="9" t="s">
        <v>6736</v>
      </c>
      <c r="D8199" s="9" t="s">
        <v>6737</v>
      </c>
      <c r="E8199" s="3" t="s">
        <v>15</v>
      </c>
      <c r="F8199" s="3" t="s">
        <v>15</v>
      </c>
      <c r="G8199" s="6" t="s">
        <v>3359</v>
      </c>
      <c r="H8199" s="9">
        <v>200</v>
      </c>
      <c r="I8199" s="9">
        <v>200</v>
      </c>
      <c r="J8199" s="6"/>
      <c r="K8199" s="5"/>
      <c r="L8199" s="10">
        <v>20201118</v>
      </c>
      <c r="M8199" s="36" t="str">
        <f t="shared" si="128"/>
        <v>20010915</v>
      </c>
    </row>
    <row r="8200" s="1" customFormat="1" spans="1:13">
      <c r="A8200" s="2">
        <v>880</v>
      </c>
      <c r="B8200" s="29" t="s">
        <v>1040</v>
      </c>
      <c r="C8200" s="6" t="s">
        <v>2287</v>
      </c>
      <c r="D8200" s="6" t="s">
        <v>2288</v>
      </c>
      <c r="E8200" s="30">
        <v>2020</v>
      </c>
      <c r="F8200" s="30">
        <v>2020</v>
      </c>
      <c r="G8200" s="29" t="s">
        <v>16</v>
      </c>
      <c r="H8200" s="29">
        <v>200</v>
      </c>
      <c r="I8200" s="29">
        <v>200</v>
      </c>
      <c r="J8200" s="32" t="s">
        <v>1082</v>
      </c>
      <c r="K8200" s="32"/>
      <c r="L8200" s="14" t="s">
        <v>330</v>
      </c>
      <c r="M8200" s="36" t="str">
        <f t="shared" si="128"/>
        <v>20011225</v>
      </c>
    </row>
    <row r="8201" s="1" customFormat="1" spans="1:13">
      <c r="A8201" s="2">
        <v>6453</v>
      </c>
      <c r="B8201" s="5" t="s">
        <v>12263</v>
      </c>
      <c r="C8201" s="5" t="s">
        <v>12910</v>
      </c>
      <c r="D8201" s="5" t="s">
        <v>12911</v>
      </c>
      <c r="E8201" s="5" t="s">
        <v>10250</v>
      </c>
      <c r="F8201" s="5">
        <v>2020</v>
      </c>
      <c r="G8201" s="17" t="s">
        <v>3359</v>
      </c>
      <c r="H8201" s="5">
        <v>200</v>
      </c>
      <c r="I8201" s="5">
        <v>200</v>
      </c>
      <c r="J8201" s="5" t="s">
        <v>5331</v>
      </c>
      <c r="K8201" s="5"/>
      <c r="L8201" s="10">
        <v>20201118</v>
      </c>
      <c r="M8201" s="36" t="str">
        <f t="shared" si="128"/>
        <v>20020228</v>
      </c>
    </row>
    <row r="8202" s="1" customFormat="1" spans="1:13">
      <c r="A8202" s="2">
        <v>7154</v>
      </c>
      <c r="B8202" s="5" t="s">
        <v>13908</v>
      </c>
      <c r="C8202" s="5" t="s">
        <v>13966</v>
      </c>
      <c r="D8202" s="5" t="s">
        <v>13967</v>
      </c>
      <c r="E8202" s="5" t="s">
        <v>15</v>
      </c>
      <c r="F8202" s="5" t="s">
        <v>15</v>
      </c>
      <c r="G8202" s="14" t="s">
        <v>16</v>
      </c>
      <c r="H8202" s="17">
        <v>200</v>
      </c>
      <c r="I8202" s="17">
        <v>200</v>
      </c>
      <c r="J8202" s="5"/>
      <c r="K8202" s="10"/>
      <c r="L8202" s="10">
        <v>20201118</v>
      </c>
      <c r="M8202" s="36" t="str">
        <f t="shared" si="128"/>
        <v>20020405</v>
      </c>
    </row>
    <row r="8203" s="1" customFormat="1" spans="1:13">
      <c r="A8203" s="2">
        <v>7609</v>
      </c>
      <c r="B8203" s="5" t="s">
        <v>14402</v>
      </c>
      <c r="C8203" s="5" t="s">
        <v>14816</v>
      </c>
      <c r="D8203" s="5" t="s">
        <v>14817</v>
      </c>
      <c r="E8203" s="5">
        <v>2020</v>
      </c>
      <c r="F8203" s="5">
        <v>2020</v>
      </c>
      <c r="G8203" s="17" t="s">
        <v>16</v>
      </c>
      <c r="H8203" s="5">
        <v>200</v>
      </c>
      <c r="I8203" s="5">
        <v>200</v>
      </c>
      <c r="J8203" s="5"/>
      <c r="K8203" s="10"/>
      <c r="L8203" s="10">
        <v>20201118</v>
      </c>
      <c r="M8203" s="36" t="str">
        <f t="shared" si="128"/>
        <v>20020408</v>
      </c>
    </row>
    <row r="8204" s="1" customFormat="1" spans="1:13">
      <c r="A8204" s="2">
        <v>7276</v>
      </c>
      <c r="B8204" s="5" t="s">
        <v>13908</v>
      </c>
      <c r="C8204" s="5" t="s">
        <v>14193</v>
      </c>
      <c r="D8204" s="5" t="s">
        <v>14194</v>
      </c>
      <c r="E8204" s="5" t="s">
        <v>15</v>
      </c>
      <c r="F8204" s="5" t="s">
        <v>15</v>
      </c>
      <c r="G8204" s="14" t="s">
        <v>16</v>
      </c>
      <c r="H8204" s="17">
        <v>200</v>
      </c>
      <c r="I8204" s="17">
        <v>200</v>
      </c>
      <c r="J8204" s="5"/>
      <c r="K8204" s="10"/>
      <c r="L8204" s="10">
        <v>20201118</v>
      </c>
      <c r="M8204" s="36" t="str">
        <f t="shared" si="128"/>
        <v>20020409</v>
      </c>
    </row>
    <row r="8205" s="1" customFormat="1" spans="1:13">
      <c r="A8205" s="2">
        <v>325</v>
      </c>
      <c r="B8205" s="14" t="s">
        <v>327</v>
      </c>
      <c r="C8205" s="17" t="s">
        <v>863</v>
      </c>
      <c r="D8205" s="306" t="s">
        <v>864</v>
      </c>
      <c r="E8205" s="5">
        <v>2020</v>
      </c>
      <c r="F8205" s="5">
        <v>2020</v>
      </c>
      <c r="G8205" s="14" t="s">
        <v>16</v>
      </c>
      <c r="H8205" s="17">
        <v>200</v>
      </c>
      <c r="I8205" s="17">
        <v>200</v>
      </c>
      <c r="J8205" s="17"/>
      <c r="K8205" s="10"/>
      <c r="L8205" s="2" t="s">
        <v>330</v>
      </c>
      <c r="M8205" s="36" t="str">
        <f t="shared" si="128"/>
        <v>20020627</v>
      </c>
    </row>
    <row r="8206" s="1" customFormat="1" spans="1:13">
      <c r="A8206" s="2">
        <v>7332</v>
      </c>
      <c r="B8206" s="5" t="s">
        <v>13908</v>
      </c>
      <c r="C8206" s="5" t="s">
        <v>14297</v>
      </c>
      <c r="D8206" s="5" t="s">
        <v>14298</v>
      </c>
      <c r="E8206" s="5" t="s">
        <v>15</v>
      </c>
      <c r="F8206" s="5" t="s">
        <v>15</v>
      </c>
      <c r="G8206" s="14" t="s">
        <v>16</v>
      </c>
      <c r="H8206" s="17">
        <v>200</v>
      </c>
      <c r="I8206" s="17">
        <v>200</v>
      </c>
      <c r="J8206" s="5" t="s">
        <v>108</v>
      </c>
      <c r="K8206" s="10"/>
      <c r="L8206" s="10">
        <v>20201118</v>
      </c>
      <c r="M8206" s="36" t="str">
        <f t="shared" si="128"/>
        <v>20020708</v>
      </c>
    </row>
    <row r="8207" s="1" customFormat="1" spans="1:13">
      <c r="A8207" s="2">
        <v>7333</v>
      </c>
      <c r="B8207" s="5" t="s">
        <v>13908</v>
      </c>
      <c r="C8207" s="5" t="s">
        <v>14299</v>
      </c>
      <c r="D8207" s="5" t="s">
        <v>14300</v>
      </c>
      <c r="E8207" s="5" t="s">
        <v>15</v>
      </c>
      <c r="F8207" s="5" t="s">
        <v>15</v>
      </c>
      <c r="G8207" s="14" t="s">
        <v>16</v>
      </c>
      <c r="H8207" s="17">
        <v>200</v>
      </c>
      <c r="I8207" s="17">
        <v>200</v>
      </c>
      <c r="J8207" s="5" t="s">
        <v>108</v>
      </c>
      <c r="K8207" s="10"/>
      <c r="L8207" s="10">
        <v>20201118</v>
      </c>
      <c r="M8207" s="36" t="str">
        <f t="shared" si="128"/>
        <v>20020708</v>
      </c>
    </row>
    <row r="8208" s="1" customFormat="1" spans="1:13">
      <c r="A8208" s="2">
        <v>7175</v>
      </c>
      <c r="B8208" s="5" t="s">
        <v>13908</v>
      </c>
      <c r="C8208" s="5" t="s">
        <v>14003</v>
      </c>
      <c r="D8208" s="5" t="s">
        <v>14004</v>
      </c>
      <c r="E8208" s="5" t="s">
        <v>15</v>
      </c>
      <c r="F8208" s="5" t="s">
        <v>15</v>
      </c>
      <c r="G8208" s="14" t="s">
        <v>16</v>
      </c>
      <c r="H8208" s="17">
        <v>200</v>
      </c>
      <c r="I8208" s="17">
        <v>200</v>
      </c>
      <c r="J8208" s="5"/>
      <c r="K8208" s="10"/>
      <c r="L8208" s="10">
        <v>20201118</v>
      </c>
      <c r="M8208" s="36" t="str">
        <f t="shared" si="128"/>
        <v>20020717</v>
      </c>
    </row>
    <row r="8209" s="1" customFormat="1" spans="1:13">
      <c r="A8209" s="2">
        <v>851</v>
      </c>
      <c r="B8209" s="29" t="s">
        <v>1040</v>
      </c>
      <c r="C8209" s="6" t="s">
        <v>2200</v>
      </c>
      <c r="D8209" s="6" t="s">
        <v>2201</v>
      </c>
      <c r="E8209" s="30">
        <v>2020</v>
      </c>
      <c r="F8209" s="30">
        <v>2020</v>
      </c>
      <c r="G8209" s="29" t="s">
        <v>16</v>
      </c>
      <c r="H8209" s="29">
        <v>200</v>
      </c>
      <c r="I8209" s="29">
        <v>200</v>
      </c>
      <c r="J8209" s="32"/>
      <c r="K8209" s="32"/>
      <c r="L8209" s="2" t="s">
        <v>330</v>
      </c>
      <c r="M8209" s="36" t="str">
        <f t="shared" si="128"/>
        <v>20020720</v>
      </c>
    </row>
    <row r="8210" s="1" customFormat="1" spans="1:13">
      <c r="A8210" s="2">
        <v>2863</v>
      </c>
      <c r="B8210" s="6" t="s">
        <v>6075</v>
      </c>
      <c r="C8210" s="6" t="s">
        <v>6255</v>
      </c>
      <c r="D8210" s="6" t="s">
        <v>6256</v>
      </c>
      <c r="E8210" s="5" t="s">
        <v>15</v>
      </c>
      <c r="F8210" s="5">
        <v>2020</v>
      </c>
      <c r="G8210" s="6" t="s">
        <v>16</v>
      </c>
      <c r="H8210" s="6">
        <v>200</v>
      </c>
      <c r="I8210" s="6">
        <v>200</v>
      </c>
      <c r="J8210" s="6"/>
      <c r="K8210" s="10"/>
      <c r="L8210" s="10">
        <v>20201118</v>
      </c>
      <c r="M8210" s="36" t="str">
        <f t="shared" si="128"/>
        <v>20020816</v>
      </c>
    </row>
    <row r="8211" s="1" customFormat="1" spans="1:13">
      <c r="A8211" s="2">
        <v>2002</v>
      </c>
      <c r="B8211" s="5" t="s">
        <v>4189</v>
      </c>
      <c r="C8211" s="16" t="s">
        <v>4561</v>
      </c>
      <c r="D8211" s="16" t="s">
        <v>4562</v>
      </c>
      <c r="E8211" s="5" t="s">
        <v>15</v>
      </c>
      <c r="F8211" s="5" t="s">
        <v>15</v>
      </c>
      <c r="G8211" s="5" t="s">
        <v>3359</v>
      </c>
      <c r="H8211" s="16">
        <v>200</v>
      </c>
      <c r="I8211" s="16">
        <v>200</v>
      </c>
      <c r="J8211" s="5"/>
      <c r="K8211" s="10"/>
      <c r="L8211" s="10">
        <v>20201118</v>
      </c>
      <c r="M8211" s="36" t="str">
        <f t="shared" si="128"/>
        <v>20020919</v>
      </c>
    </row>
    <row r="8212" s="1" customFormat="1" spans="1:13">
      <c r="A8212" s="2">
        <v>4943</v>
      </c>
      <c r="B8212" s="6" t="s">
        <v>9954</v>
      </c>
      <c r="C8212" s="32" t="s">
        <v>10027</v>
      </c>
      <c r="D8212" s="32" t="s">
        <v>10028</v>
      </c>
      <c r="E8212" s="5" t="s">
        <v>15</v>
      </c>
      <c r="F8212" s="5" t="s">
        <v>15</v>
      </c>
      <c r="G8212" s="14" t="s">
        <v>16</v>
      </c>
      <c r="H8212" s="6">
        <v>200</v>
      </c>
      <c r="I8212" s="6">
        <v>200</v>
      </c>
      <c r="J8212" s="6" t="s">
        <v>108</v>
      </c>
      <c r="K8212" s="6"/>
      <c r="L8212" s="10">
        <v>20201118</v>
      </c>
      <c r="M8212" s="36" t="str">
        <f t="shared" si="128"/>
        <v>20021005</v>
      </c>
    </row>
    <row r="8213" s="1" customFormat="1" spans="1:13">
      <c r="A8213" s="2">
        <v>890</v>
      </c>
      <c r="B8213" s="29" t="s">
        <v>1040</v>
      </c>
      <c r="C8213" s="6" t="s">
        <v>2317</v>
      </c>
      <c r="D8213" s="6" t="s">
        <v>2318</v>
      </c>
      <c r="E8213" s="30">
        <v>2020</v>
      </c>
      <c r="F8213" s="30">
        <v>2020</v>
      </c>
      <c r="G8213" s="29" t="s">
        <v>16</v>
      </c>
      <c r="H8213" s="29">
        <v>200</v>
      </c>
      <c r="I8213" s="29">
        <v>200</v>
      </c>
      <c r="J8213" s="32" t="s">
        <v>1082</v>
      </c>
      <c r="K8213" s="32"/>
      <c r="L8213" s="14" t="s">
        <v>330</v>
      </c>
      <c r="M8213" s="36" t="str">
        <f t="shared" si="128"/>
        <v>20021023</v>
      </c>
    </row>
    <row r="8214" s="1" customFormat="1" spans="1:13">
      <c r="A8214" s="2">
        <v>6785</v>
      </c>
      <c r="B8214" s="5" t="s">
        <v>13533</v>
      </c>
      <c r="C8214" s="32" t="s">
        <v>13534</v>
      </c>
      <c r="D8214" s="32" t="s">
        <v>13535</v>
      </c>
      <c r="E8214" s="5">
        <v>2020</v>
      </c>
      <c r="F8214" s="5">
        <v>2020</v>
      </c>
      <c r="G8214" s="9" t="s">
        <v>2480</v>
      </c>
      <c r="H8214" s="32">
        <v>200</v>
      </c>
      <c r="I8214" s="32">
        <v>200</v>
      </c>
      <c r="J8214" s="62"/>
      <c r="K8214" s="10"/>
      <c r="L8214" s="10">
        <v>20201118</v>
      </c>
      <c r="M8214" s="36" t="str">
        <f t="shared" si="128"/>
        <v>20021216</v>
      </c>
    </row>
    <row r="8215" s="1" customFormat="1" spans="1:13">
      <c r="A8215" s="2">
        <v>7337</v>
      </c>
      <c r="B8215" s="5" t="s">
        <v>13908</v>
      </c>
      <c r="C8215" s="5" t="s">
        <v>14306</v>
      </c>
      <c r="D8215" s="5" t="s">
        <v>14307</v>
      </c>
      <c r="E8215" s="5" t="s">
        <v>15</v>
      </c>
      <c r="F8215" s="5" t="s">
        <v>15</v>
      </c>
      <c r="G8215" s="14" t="s">
        <v>16</v>
      </c>
      <c r="H8215" s="17">
        <v>200</v>
      </c>
      <c r="I8215" s="17">
        <v>200</v>
      </c>
      <c r="J8215" s="5"/>
      <c r="K8215" s="10"/>
      <c r="L8215" s="10">
        <v>20201118</v>
      </c>
      <c r="M8215" s="36" t="str">
        <f t="shared" si="128"/>
        <v>20030124</v>
      </c>
    </row>
    <row r="8216" s="1" customFormat="1" ht="14.25" spans="1:13">
      <c r="A8216" s="2">
        <v>5982</v>
      </c>
      <c r="B8216" s="30" t="s">
        <v>11090</v>
      </c>
      <c r="C8216" s="32" t="s">
        <v>12010</v>
      </c>
      <c r="D8216" s="12" t="s">
        <v>12011</v>
      </c>
      <c r="E8216" s="5" t="s">
        <v>15</v>
      </c>
      <c r="F8216" s="5" t="s">
        <v>10250</v>
      </c>
      <c r="G8216" s="6" t="s">
        <v>16</v>
      </c>
      <c r="H8216" s="32">
        <v>200</v>
      </c>
      <c r="I8216" s="32">
        <v>200</v>
      </c>
      <c r="J8216" s="6"/>
      <c r="K8216" s="48"/>
      <c r="L8216" s="10">
        <v>20201118</v>
      </c>
      <c r="M8216" s="36" t="str">
        <f t="shared" si="128"/>
        <v>20030208</v>
      </c>
    </row>
    <row r="8217" s="1" customFormat="1" ht="14.25" spans="1:13">
      <c r="A8217" s="2">
        <v>6026</v>
      </c>
      <c r="B8217" s="30" t="s">
        <v>11090</v>
      </c>
      <c r="C8217" s="32" t="s">
        <v>12095</v>
      </c>
      <c r="D8217" s="12" t="s">
        <v>12096</v>
      </c>
      <c r="E8217" s="5" t="s">
        <v>15</v>
      </c>
      <c r="F8217" s="5" t="s">
        <v>10250</v>
      </c>
      <c r="G8217" s="6" t="s">
        <v>16</v>
      </c>
      <c r="H8217" s="32">
        <v>200</v>
      </c>
      <c r="I8217" s="32">
        <v>200</v>
      </c>
      <c r="J8217" s="5"/>
      <c r="K8217" s="48"/>
      <c r="L8217" s="10">
        <v>20201118</v>
      </c>
      <c r="M8217" s="36" t="str">
        <f t="shared" si="128"/>
        <v>20030912</v>
      </c>
    </row>
    <row r="8218" s="1" customFormat="1" ht="14.25" spans="1:13">
      <c r="A8218" s="2">
        <v>6029</v>
      </c>
      <c r="B8218" s="30" t="s">
        <v>11090</v>
      </c>
      <c r="C8218" s="32" t="s">
        <v>12101</v>
      </c>
      <c r="D8218" s="12" t="s">
        <v>12102</v>
      </c>
      <c r="E8218" s="5" t="s">
        <v>15</v>
      </c>
      <c r="F8218" s="5" t="s">
        <v>10250</v>
      </c>
      <c r="G8218" s="6" t="s">
        <v>16</v>
      </c>
      <c r="H8218" s="32">
        <v>200</v>
      </c>
      <c r="I8218" s="32">
        <v>200</v>
      </c>
      <c r="J8218" s="5"/>
      <c r="K8218" s="48"/>
      <c r="L8218" s="10">
        <v>20201118</v>
      </c>
      <c r="M8218" s="36" t="str">
        <f t="shared" si="128"/>
        <v>20031106</v>
      </c>
    </row>
    <row r="8219" s="1" customFormat="1" spans="1:13">
      <c r="A8219" s="2">
        <v>888</v>
      </c>
      <c r="B8219" s="29" t="s">
        <v>1040</v>
      </c>
      <c r="C8219" s="6" t="s">
        <v>2311</v>
      </c>
      <c r="D8219" s="6" t="s">
        <v>2312</v>
      </c>
      <c r="E8219" s="30">
        <v>2020</v>
      </c>
      <c r="F8219" s="30">
        <v>2020</v>
      </c>
      <c r="G8219" s="29" t="s">
        <v>16</v>
      </c>
      <c r="H8219" s="29">
        <v>200</v>
      </c>
      <c r="I8219" s="29">
        <v>200</v>
      </c>
      <c r="J8219" s="32"/>
      <c r="K8219" s="32"/>
      <c r="L8219" s="2" t="s">
        <v>330</v>
      </c>
      <c r="M8219" s="36" t="str">
        <f t="shared" si="128"/>
        <v>20040626</v>
      </c>
    </row>
    <row r="8220" s="1" customFormat="1" spans="1:13">
      <c r="A8220" s="2">
        <v>1379</v>
      </c>
      <c r="B8220" s="5" t="s">
        <v>2469</v>
      </c>
      <c r="C8220" s="6" t="s">
        <v>3335</v>
      </c>
      <c r="D8220" s="6" t="str">
        <f>"152326200410136877"</f>
        <v>152326200410136877</v>
      </c>
      <c r="E8220" s="5">
        <v>2020</v>
      </c>
      <c r="F8220" s="5">
        <v>2020</v>
      </c>
      <c r="G8220" s="9" t="s">
        <v>2480</v>
      </c>
      <c r="H8220" s="9">
        <v>200</v>
      </c>
      <c r="I8220" s="9">
        <v>200</v>
      </c>
      <c r="J8220" s="5"/>
      <c r="K8220" s="10"/>
      <c r="L8220" s="10">
        <v>20201118</v>
      </c>
      <c r="M8220" s="36" t="str">
        <f t="shared" si="128"/>
        <v>20041013</v>
      </c>
    </row>
    <row r="8221" s="1" customFormat="1" ht="14.25" spans="1:13">
      <c r="A8221" s="2">
        <v>6077</v>
      </c>
      <c r="B8221" s="30" t="s">
        <v>11090</v>
      </c>
      <c r="C8221" s="32" t="s">
        <v>12193</v>
      </c>
      <c r="D8221" s="12" t="s">
        <v>12194</v>
      </c>
      <c r="E8221" s="5" t="s">
        <v>15</v>
      </c>
      <c r="F8221" s="5" t="s">
        <v>10250</v>
      </c>
      <c r="G8221" s="32" t="s">
        <v>295</v>
      </c>
      <c r="H8221" s="32">
        <v>200</v>
      </c>
      <c r="I8221" s="32">
        <v>200</v>
      </c>
      <c r="J8221" s="5"/>
      <c r="K8221" s="48"/>
      <c r="L8221" s="10">
        <v>20201118</v>
      </c>
      <c r="M8221" s="36" t="str">
        <f t="shared" si="128"/>
        <v>20041028</v>
      </c>
    </row>
    <row r="8222" s="1" customFormat="1" spans="1:13">
      <c r="A8222" s="2">
        <v>8086</v>
      </c>
      <c r="B8222" s="5" t="s">
        <v>15086</v>
      </c>
      <c r="C8222" s="6" t="s">
        <v>15366</v>
      </c>
      <c r="D8222" s="6" t="s">
        <v>15367</v>
      </c>
      <c r="E8222" s="5" t="s">
        <v>310</v>
      </c>
      <c r="F8222" s="5">
        <v>2020</v>
      </c>
      <c r="G8222" s="5" t="s">
        <v>289</v>
      </c>
      <c r="H8222" s="6">
        <v>200</v>
      </c>
      <c r="I8222" s="5">
        <v>2000</v>
      </c>
      <c r="J8222" s="5"/>
      <c r="K8222" s="5"/>
      <c r="L8222" s="10">
        <v>20201118</v>
      </c>
      <c r="M8222" s="36" t="str">
        <f t="shared" si="128"/>
        <v>26196108</v>
      </c>
    </row>
    <row r="8223" s="1" customFormat="1" spans="1:13">
      <c r="A8223" s="2">
        <v>7034</v>
      </c>
      <c r="B8223" s="5" t="s">
        <v>13533</v>
      </c>
      <c r="C8223" s="32" t="s">
        <v>13780</v>
      </c>
      <c r="D8223" s="32" t="s">
        <v>13781</v>
      </c>
      <c r="E8223" s="5">
        <v>2020</v>
      </c>
      <c r="F8223" s="5">
        <v>2020</v>
      </c>
      <c r="G8223" s="9" t="s">
        <v>2480</v>
      </c>
      <c r="H8223" s="32">
        <v>200</v>
      </c>
      <c r="I8223" s="32">
        <v>200</v>
      </c>
      <c r="J8223" s="81" t="s">
        <v>108</v>
      </c>
      <c r="K8223" s="10"/>
      <c r="L8223" s="10">
        <v>20201118</v>
      </c>
      <c r="M8223" s="36" t="str">
        <f t="shared" si="128"/>
        <v>26196301</v>
      </c>
    </row>
    <row r="8224" s="1" customFormat="1" spans="1:13">
      <c r="A8224" s="2">
        <v>6869</v>
      </c>
      <c r="B8224" s="5" t="s">
        <v>13533</v>
      </c>
      <c r="C8224" s="32" t="s">
        <v>13620</v>
      </c>
      <c r="D8224" s="32" t="s">
        <v>13621</v>
      </c>
      <c r="E8224" s="5">
        <v>2020</v>
      </c>
      <c r="F8224" s="5">
        <v>2020</v>
      </c>
      <c r="G8224" s="9" t="s">
        <v>2480</v>
      </c>
      <c r="H8224" s="32">
        <v>200</v>
      </c>
      <c r="I8224" s="32">
        <v>200</v>
      </c>
      <c r="J8224" s="32" t="s">
        <v>5331</v>
      </c>
      <c r="K8224" s="10"/>
      <c r="L8224" s="10">
        <v>20201118</v>
      </c>
      <c r="M8224" s="36" t="str">
        <f t="shared" si="128"/>
        <v>26197606</v>
      </c>
    </row>
    <row r="8225" s="1" customFormat="1" spans="1:13">
      <c r="A8225" s="2">
        <v>6865</v>
      </c>
      <c r="B8225" s="5" t="s">
        <v>13533</v>
      </c>
      <c r="C8225" s="32" t="s">
        <v>13615</v>
      </c>
      <c r="D8225" s="32" t="s">
        <v>13616</v>
      </c>
      <c r="E8225" s="5">
        <v>2020</v>
      </c>
      <c r="F8225" s="5">
        <v>2020</v>
      </c>
      <c r="G8225" s="9" t="s">
        <v>2480</v>
      </c>
      <c r="H8225" s="32">
        <v>200</v>
      </c>
      <c r="I8225" s="32">
        <v>200</v>
      </c>
      <c r="J8225" s="81" t="s">
        <v>13551</v>
      </c>
      <c r="K8225" s="10"/>
      <c r="L8225" s="10">
        <v>20201118</v>
      </c>
      <c r="M8225" s="36" t="str">
        <f t="shared" si="128"/>
        <v>26197609</v>
      </c>
    </row>
    <row r="8226" s="1" customFormat="1" spans="1:13">
      <c r="A8226" s="2">
        <v>6799</v>
      </c>
      <c r="B8226" s="5" t="s">
        <v>13533</v>
      </c>
      <c r="C8226" s="32" t="s">
        <v>13549</v>
      </c>
      <c r="D8226" s="32" t="s">
        <v>13550</v>
      </c>
      <c r="E8226" s="5">
        <v>2020</v>
      </c>
      <c r="F8226" s="5">
        <v>2020</v>
      </c>
      <c r="G8226" s="9" t="s">
        <v>2480</v>
      </c>
      <c r="H8226" s="32">
        <v>200</v>
      </c>
      <c r="I8226" s="32">
        <v>200</v>
      </c>
      <c r="J8226" s="81" t="s">
        <v>13551</v>
      </c>
      <c r="K8226" s="10"/>
      <c r="L8226" s="10">
        <v>20201118</v>
      </c>
      <c r="M8226" s="36" t="str">
        <f t="shared" si="128"/>
        <v>26198805</v>
      </c>
    </row>
    <row r="8227" s="1" customFormat="1" spans="1:13">
      <c r="A8227" s="2">
        <v>3544</v>
      </c>
      <c r="B8227" s="5" t="s">
        <v>3375</v>
      </c>
      <c r="C8227" s="5" t="s">
        <v>7358</v>
      </c>
      <c r="D8227" s="296" t="s">
        <v>7359</v>
      </c>
      <c r="E8227" s="5" t="s">
        <v>15</v>
      </c>
      <c r="F8227" s="5">
        <v>2020</v>
      </c>
      <c r="G8227" s="14" t="s">
        <v>16</v>
      </c>
      <c r="H8227" s="5">
        <v>200</v>
      </c>
      <c r="I8227" s="5">
        <v>200</v>
      </c>
      <c r="J8227" s="5"/>
      <c r="K8227" s="10"/>
      <c r="L8227" s="10">
        <v>20201118</v>
      </c>
      <c r="M8227" s="36" t="str">
        <f t="shared" si="128"/>
        <v>41990080</v>
      </c>
    </row>
    <row r="8228" s="1" customFormat="1" spans="1:12">
      <c r="A8228" s="2">
        <v>8226</v>
      </c>
      <c r="B8228" s="5" t="s">
        <v>15406</v>
      </c>
      <c r="C8228" s="9" t="s">
        <v>15633</v>
      </c>
      <c r="D8228" s="9" t="s">
        <v>15634</v>
      </c>
      <c r="E8228" s="5" t="s">
        <v>310</v>
      </c>
      <c r="F8228" s="5">
        <v>2020</v>
      </c>
      <c r="G8228" s="93" t="s">
        <v>15635</v>
      </c>
      <c r="H8228" s="9" t="s">
        <v>1700</v>
      </c>
      <c r="I8228" s="5">
        <v>3000</v>
      </c>
      <c r="J8228" s="5"/>
      <c r="K8228" s="10"/>
      <c r="L8228" s="94">
        <v>20201118</v>
      </c>
    </row>
  </sheetData>
  <mergeCells count="1">
    <mergeCell ref="E1:F1"/>
  </mergeCells>
  <conditionalFormatting sqref="D371">
    <cfRule type="cellIs" dxfId="0" priority="7" stopIfTrue="1" operator="equal">
      <formula>"人员减少"</formula>
    </cfRule>
  </conditionalFormatting>
  <conditionalFormatting sqref="D372">
    <cfRule type="cellIs" dxfId="0" priority="8" stopIfTrue="1" operator="equal">
      <formula>"人员减少"</formula>
    </cfRule>
  </conditionalFormatting>
  <conditionalFormatting sqref="D5963">
    <cfRule type="cellIs" dxfId="0" priority="6" stopIfTrue="1" operator="equal">
      <formula>"人员减少"</formula>
    </cfRule>
  </conditionalFormatting>
  <conditionalFormatting sqref="D5982">
    <cfRule type="cellIs" dxfId="0" priority="5" stopIfTrue="1" operator="equal">
      <formula>"人员减少"</formula>
    </cfRule>
  </conditionalFormatting>
  <conditionalFormatting sqref="D5986">
    <cfRule type="cellIs" dxfId="0" priority="4" stopIfTrue="1" operator="equal">
      <formula>"人员减少"</formula>
    </cfRule>
  </conditionalFormatting>
  <conditionalFormatting sqref="D5987">
    <cfRule type="cellIs" dxfId="0" priority="3" stopIfTrue="1" operator="equal">
      <formula>"人员减少"</formula>
    </cfRule>
  </conditionalFormatting>
  <conditionalFormatting sqref="D6020">
    <cfRule type="cellIs" dxfId="0" priority="2" stopIfTrue="1" operator="equal">
      <formula>"人员减少"</formula>
    </cfRule>
  </conditionalFormatting>
  <conditionalFormatting sqref="D6049">
    <cfRule type="cellIs" dxfId="0" priority="1" stopIfTrue="1" operator="equal">
      <formula>"人员减少"</formula>
    </cfRule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59"/>
  <sheetViews>
    <sheetView tabSelected="1" topLeftCell="A74" workbookViewId="0">
      <selection activeCell="J103" sqref="J103"/>
    </sheetView>
  </sheetViews>
  <sheetFormatPr defaultColWidth="9" defaultRowHeight="13.5"/>
  <cols>
    <col min="1" max="1" width="6.25" customWidth="1"/>
    <col min="3" max="3" width="13.375" customWidth="1"/>
    <col min="4" max="4" width="21.75" customWidth="1"/>
    <col min="5" max="5" width="8.25" customWidth="1"/>
    <col min="12" max="12" width="13.125" customWidth="1"/>
  </cols>
  <sheetData>
    <row r="1" s="228" customFormat="1" ht="18.75" spans="1:12">
      <c r="A1" s="241" t="s">
        <v>1039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/>
    </row>
    <row r="2" s="96" customFormat="1" ht="15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10" t="s">
        <v>11</v>
      </c>
    </row>
    <row r="3" s="257" customFormat="1" ht="15" customHeight="1" spans="1:12">
      <c r="A3" s="44" t="s">
        <v>316</v>
      </c>
      <c r="B3" s="21" t="s">
        <v>1040</v>
      </c>
      <c r="C3" s="21" t="s">
        <v>1041</v>
      </c>
      <c r="D3" s="22" t="s">
        <v>1042</v>
      </c>
      <c r="E3" s="104">
        <v>2020</v>
      </c>
      <c r="F3" s="2" t="s">
        <v>15</v>
      </c>
      <c r="G3" s="21" t="s">
        <v>16</v>
      </c>
      <c r="H3" s="21">
        <v>200</v>
      </c>
      <c r="I3" s="21">
        <v>200</v>
      </c>
      <c r="J3" s="44"/>
      <c r="K3" s="110"/>
      <c r="L3" s="2" t="s">
        <v>325</v>
      </c>
    </row>
    <row r="4" s="257" customFormat="1" ht="15" customHeight="1" spans="1:12">
      <c r="A4" s="44" t="s">
        <v>322</v>
      </c>
      <c r="B4" s="21" t="s">
        <v>1040</v>
      </c>
      <c r="C4" s="21" t="s">
        <v>1043</v>
      </c>
      <c r="D4" s="22" t="s">
        <v>1044</v>
      </c>
      <c r="E4" s="104">
        <v>2020</v>
      </c>
      <c r="F4" s="2" t="s">
        <v>15</v>
      </c>
      <c r="G4" s="21" t="s">
        <v>16</v>
      </c>
      <c r="H4" s="21">
        <v>200</v>
      </c>
      <c r="I4" s="21">
        <v>200</v>
      </c>
      <c r="J4" s="44"/>
      <c r="K4" s="110"/>
      <c r="L4" s="2" t="s">
        <v>325</v>
      </c>
    </row>
    <row r="5" s="257" customFormat="1" ht="15" customHeight="1" spans="1:12">
      <c r="A5" s="44" t="s">
        <v>326</v>
      </c>
      <c r="B5" s="21" t="s">
        <v>1040</v>
      </c>
      <c r="C5" s="21" t="s">
        <v>1045</v>
      </c>
      <c r="D5" s="22" t="s">
        <v>1046</v>
      </c>
      <c r="E5" s="104">
        <v>2011</v>
      </c>
      <c r="F5" s="2" t="s">
        <v>1047</v>
      </c>
      <c r="G5" s="21" t="s">
        <v>1048</v>
      </c>
      <c r="H5" s="21">
        <v>200</v>
      </c>
      <c r="I5" s="21">
        <v>1800</v>
      </c>
      <c r="J5" s="44"/>
      <c r="K5" s="110"/>
      <c r="L5" s="2" t="s">
        <v>325</v>
      </c>
    </row>
    <row r="6" s="257" customFormat="1" ht="15" customHeight="1" spans="1:12">
      <c r="A6" s="44" t="s">
        <v>331</v>
      </c>
      <c r="B6" s="21" t="s">
        <v>1040</v>
      </c>
      <c r="C6" s="21" t="s">
        <v>1049</v>
      </c>
      <c r="D6" s="22" t="s">
        <v>1050</v>
      </c>
      <c r="E6" s="104">
        <v>2020</v>
      </c>
      <c r="F6" s="2" t="s">
        <v>15</v>
      </c>
      <c r="G6" s="21" t="s">
        <v>1051</v>
      </c>
      <c r="H6" s="21">
        <v>200</v>
      </c>
      <c r="I6" s="21">
        <v>200</v>
      </c>
      <c r="J6" s="44"/>
      <c r="K6" s="110"/>
      <c r="L6" s="2" t="s">
        <v>325</v>
      </c>
    </row>
    <row r="7" s="257" customFormat="1" ht="15" customHeight="1" spans="1:12">
      <c r="A7" s="44" t="s">
        <v>334</v>
      </c>
      <c r="B7" s="76" t="s">
        <v>1040</v>
      </c>
      <c r="C7" s="76" t="s">
        <v>1052</v>
      </c>
      <c r="D7" s="29" t="s">
        <v>1053</v>
      </c>
      <c r="E7" s="104">
        <v>2020</v>
      </c>
      <c r="F7" s="2" t="s">
        <v>15</v>
      </c>
      <c r="G7" s="76" t="s">
        <v>16</v>
      </c>
      <c r="H7" s="76">
        <v>200</v>
      </c>
      <c r="I7" s="76">
        <v>200</v>
      </c>
      <c r="J7" s="44"/>
      <c r="K7" s="110"/>
      <c r="L7" s="2" t="s">
        <v>325</v>
      </c>
    </row>
    <row r="8" s="240" customFormat="1" ht="15" customHeight="1" spans="1:13">
      <c r="A8" s="44" t="s">
        <v>337</v>
      </c>
      <c r="B8" s="29" t="s">
        <v>1040</v>
      </c>
      <c r="C8" s="29" t="s">
        <v>1054</v>
      </c>
      <c r="D8" s="29" t="s">
        <v>1055</v>
      </c>
      <c r="E8" s="104">
        <v>2020</v>
      </c>
      <c r="F8" s="2" t="s">
        <v>15</v>
      </c>
      <c r="G8" s="76" t="s">
        <v>16</v>
      </c>
      <c r="H8" s="76">
        <v>200</v>
      </c>
      <c r="I8" s="76">
        <v>200</v>
      </c>
      <c r="J8" s="83"/>
      <c r="K8" s="84"/>
      <c r="L8" s="132" t="s">
        <v>330</v>
      </c>
      <c r="M8" s="259"/>
    </row>
    <row r="9" ht="15" customHeight="1" spans="1:12">
      <c r="A9" s="44" t="s">
        <v>340</v>
      </c>
      <c r="B9" s="258" t="s">
        <v>1040</v>
      </c>
      <c r="C9" s="29" t="s">
        <v>1056</v>
      </c>
      <c r="D9" s="29" t="s">
        <v>1057</v>
      </c>
      <c r="E9" s="158">
        <v>2020</v>
      </c>
      <c r="F9" s="158">
        <v>2020</v>
      </c>
      <c r="G9" s="258" t="s">
        <v>16</v>
      </c>
      <c r="H9" s="258">
        <v>200</v>
      </c>
      <c r="I9" s="258">
        <v>200</v>
      </c>
      <c r="J9" s="29"/>
      <c r="K9" s="47"/>
      <c r="L9" s="260" t="s">
        <v>330</v>
      </c>
    </row>
    <row r="10" ht="15" customHeight="1" spans="1:12">
      <c r="A10" s="44" t="s">
        <v>343</v>
      </c>
      <c r="B10" s="258" t="s">
        <v>1040</v>
      </c>
      <c r="C10" s="29" t="s">
        <v>1058</v>
      </c>
      <c r="D10" s="29" t="s">
        <v>1059</v>
      </c>
      <c r="E10" s="158">
        <v>2020</v>
      </c>
      <c r="F10" s="158">
        <v>2020</v>
      </c>
      <c r="G10" s="258" t="s">
        <v>16</v>
      </c>
      <c r="H10" s="258">
        <v>200</v>
      </c>
      <c r="I10" s="258">
        <v>200</v>
      </c>
      <c r="J10" s="258"/>
      <c r="K10" s="261"/>
      <c r="L10" s="132" t="s">
        <v>330</v>
      </c>
    </row>
    <row r="11" ht="15" customHeight="1" spans="1:12">
      <c r="A11" s="44" t="s">
        <v>346</v>
      </c>
      <c r="B11" s="29" t="s">
        <v>1040</v>
      </c>
      <c r="C11" s="29" t="s">
        <v>1060</v>
      </c>
      <c r="D11" s="29" t="s">
        <v>1061</v>
      </c>
      <c r="E11" s="30">
        <v>2020</v>
      </c>
      <c r="F11" s="30">
        <v>2020</v>
      </c>
      <c r="G11" s="29" t="s">
        <v>16</v>
      </c>
      <c r="H11" s="29">
        <v>200</v>
      </c>
      <c r="I11" s="29">
        <v>200</v>
      </c>
      <c r="J11" s="258"/>
      <c r="K11" s="261"/>
      <c r="L11" s="260" t="s">
        <v>330</v>
      </c>
    </row>
    <row r="12" ht="15" customHeight="1" spans="1:12">
      <c r="A12" s="44" t="s">
        <v>349</v>
      </c>
      <c r="B12" s="258" t="s">
        <v>1040</v>
      </c>
      <c r="C12" s="29" t="s">
        <v>1062</v>
      </c>
      <c r="D12" s="29" t="s">
        <v>1063</v>
      </c>
      <c r="E12" s="158">
        <v>2020</v>
      </c>
      <c r="F12" s="158">
        <v>2020</v>
      </c>
      <c r="G12" s="258" t="s">
        <v>16</v>
      </c>
      <c r="H12" s="258">
        <v>200</v>
      </c>
      <c r="I12" s="258">
        <v>200</v>
      </c>
      <c r="J12" s="29"/>
      <c r="K12" s="261"/>
      <c r="L12" s="132" t="s">
        <v>330</v>
      </c>
    </row>
    <row r="13" ht="15" customHeight="1" spans="1:12">
      <c r="A13" s="44" t="s">
        <v>352</v>
      </c>
      <c r="B13" s="258" t="s">
        <v>1040</v>
      </c>
      <c r="C13" s="29" t="s">
        <v>1064</v>
      </c>
      <c r="D13" s="29" t="s">
        <v>1065</v>
      </c>
      <c r="E13" s="158">
        <v>2020</v>
      </c>
      <c r="F13" s="158">
        <v>2020</v>
      </c>
      <c r="G13" s="258" t="s">
        <v>16</v>
      </c>
      <c r="H13" s="258">
        <v>200</v>
      </c>
      <c r="I13" s="258">
        <v>200</v>
      </c>
      <c r="J13" s="258"/>
      <c r="K13" s="261"/>
      <c r="L13" s="260" t="s">
        <v>330</v>
      </c>
    </row>
    <row r="14" ht="15" customHeight="1" spans="1:12">
      <c r="A14" s="44" t="s">
        <v>355</v>
      </c>
      <c r="B14" s="258" t="s">
        <v>1040</v>
      </c>
      <c r="C14" s="29" t="s">
        <v>1066</v>
      </c>
      <c r="D14" s="29" t="s">
        <v>1067</v>
      </c>
      <c r="E14" s="158">
        <v>2020</v>
      </c>
      <c r="F14" s="158">
        <v>2020</v>
      </c>
      <c r="G14" s="258" t="s">
        <v>16</v>
      </c>
      <c r="H14" s="258">
        <v>200</v>
      </c>
      <c r="I14" s="258">
        <v>200</v>
      </c>
      <c r="J14" s="258"/>
      <c r="K14" s="261"/>
      <c r="L14" s="132" t="s">
        <v>330</v>
      </c>
    </row>
    <row r="15" ht="15" customHeight="1" spans="1:12">
      <c r="A15" s="44" t="s">
        <v>358</v>
      </c>
      <c r="B15" s="258" t="s">
        <v>1040</v>
      </c>
      <c r="C15" s="29" t="s">
        <v>1068</v>
      </c>
      <c r="D15" s="29" t="s">
        <v>1069</v>
      </c>
      <c r="E15" s="158">
        <v>2020</v>
      </c>
      <c r="F15" s="158">
        <v>2020</v>
      </c>
      <c r="G15" s="258" t="s">
        <v>16</v>
      </c>
      <c r="H15" s="258">
        <v>200</v>
      </c>
      <c r="I15" s="258">
        <v>200</v>
      </c>
      <c r="J15" s="258"/>
      <c r="K15" s="261"/>
      <c r="L15" s="260" t="s">
        <v>330</v>
      </c>
    </row>
    <row r="16" ht="15" customHeight="1" spans="1:12">
      <c r="A16" s="44" t="s">
        <v>361</v>
      </c>
      <c r="B16" s="258" t="s">
        <v>1040</v>
      </c>
      <c r="C16" s="29" t="s">
        <v>1070</v>
      </c>
      <c r="D16" s="29" t="s">
        <v>1071</v>
      </c>
      <c r="E16" s="158">
        <v>2020</v>
      </c>
      <c r="F16" s="158">
        <v>2020</v>
      </c>
      <c r="G16" s="258" t="s">
        <v>16</v>
      </c>
      <c r="H16" s="258">
        <v>200</v>
      </c>
      <c r="I16" s="258">
        <v>200</v>
      </c>
      <c r="J16" s="258"/>
      <c r="K16" s="261"/>
      <c r="L16" s="132" t="s">
        <v>330</v>
      </c>
    </row>
    <row r="17" ht="15" customHeight="1" spans="1:12">
      <c r="A17" s="44" t="s">
        <v>364</v>
      </c>
      <c r="B17" s="29" t="s">
        <v>1040</v>
      </c>
      <c r="C17" s="29" t="s">
        <v>1072</v>
      </c>
      <c r="D17" s="29" t="s">
        <v>1073</v>
      </c>
      <c r="E17" s="30">
        <v>2020</v>
      </c>
      <c r="F17" s="30">
        <v>2020</v>
      </c>
      <c r="G17" s="29" t="s">
        <v>16</v>
      </c>
      <c r="H17" s="29">
        <v>200</v>
      </c>
      <c r="I17" s="29">
        <v>200</v>
      </c>
      <c r="J17" s="258"/>
      <c r="K17" s="261"/>
      <c r="L17" s="260" t="s">
        <v>330</v>
      </c>
    </row>
    <row r="18" ht="15" customHeight="1" spans="1:12">
      <c r="A18" s="44" t="s">
        <v>367</v>
      </c>
      <c r="B18" s="258" t="s">
        <v>1040</v>
      </c>
      <c r="C18" s="29" t="s">
        <v>1074</v>
      </c>
      <c r="D18" s="29" t="s">
        <v>1075</v>
      </c>
      <c r="E18" s="158">
        <v>2020</v>
      </c>
      <c r="F18" s="158">
        <v>2020</v>
      </c>
      <c r="G18" s="258" t="s">
        <v>16</v>
      </c>
      <c r="H18" s="258">
        <v>200</v>
      </c>
      <c r="I18" s="258">
        <v>200</v>
      </c>
      <c r="J18" s="29"/>
      <c r="K18" s="47"/>
      <c r="L18" s="132" t="s">
        <v>330</v>
      </c>
    </row>
    <row r="19" ht="15" customHeight="1" spans="1:12">
      <c r="A19" s="44" t="s">
        <v>370</v>
      </c>
      <c r="B19" s="258" t="s">
        <v>1040</v>
      </c>
      <c r="C19" s="29" t="s">
        <v>1076</v>
      </c>
      <c r="D19" s="29" t="s">
        <v>1077</v>
      </c>
      <c r="E19" s="158">
        <v>2020</v>
      </c>
      <c r="F19" s="158">
        <v>2020</v>
      </c>
      <c r="G19" s="258" t="s">
        <v>16</v>
      </c>
      <c r="H19" s="258">
        <v>200</v>
      </c>
      <c r="I19" s="258">
        <v>200</v>
      </c>
      <c r="J19" s="258"/>
      <c r="K19" s="261"/>
      <c r="L19" s="260" t="s">
        <v>330</v>
      </c>
    </row>
    <row r="20" ht="15" customHeight="1" spans="1:12">
      <c r="A20" s="44" t="s">
        <v>373</v>
      </c>
      <c r="B20" s="258" t="s">
        <v>1040</v>
      </c>
      <c r="C20" s="29" t="s">
        <v>1078</v>
      </c>
      <c r="D20" s="29" t="s">
        <v>1079</v>
      </c>
      <c r="E20" s="158">
        <v>2020</v>
      </c>
      <c r="F20" s="158">
        <v>2020</v>
      </c>
      <c r="G20" s="258" t="s">
        <v>16</v>
      </c>
      <c r="H20" s="258">
        <v>200</v>
      </c>
      <c r="I20" s="258">
        <v>200</v>
      </c>
      <c r="J20" s="258"/>
      <c r="K20" s="261"/>
      <c r="L20" s="132" t="s">
        <v>330</v>
      </c>
    </row>
    <row r="21" ht="15" customHeight="1" spans="1:12">
      <c r="A21" s="44" t="s">
        <v>376</v>
      </c>
      <c r="B21" s="258" t="s">
        <v>1040</v>
      </c>
      <c r="C21" s="29" t="s">
        <v>1080</v>
      </c>
      <c r="D21" s="29" t="s">
        <v>1081</v>
      </c>
      <c r="E21" s="158">
        <v>2020</v>
      </c>
      <c r="F21" s="158">
        <v>2020</v>
      </c>
      <c r="G21" s="258" t="s">
        <v>16</v>
      </c>
      <c r="H21" s="258">
        <v>200</v>
      </c>
      <c r="I21" s="258">
        <v>200</v>
      </c>
      <c r="J21" s="258" t="s">
        <v>1082</v>
      </c>
      <c r="K21" s="261"/>
      <c r="L21" s="260" t="s">
        <v>330</v>
      </c>
    </row>
    <row r="22" ht="15" customHeight="1" spans="1:12">
      <c r="A22" s="44" t="s">
        <v>379</v>
      </c>
      <c r="B22" s="258" t="s">
        <v>1040</v>
      </c>
      <c r="C22" s="29" t="s">
        <v>1083</v>
      </c>
      <c r="D22" s="29" t="s">
        <v>1084</v>
      </c>
      <c r="E22" s="158">
        <v>2020</v>
      </c>
      <c r="F22" s="158">
        <v>2020</v>
      </c>
      <c r="G22" s="258" t="s">
        <v>16</v>
      </c>
      <c r="H22" s="258">
        <v>200</v>
      </c>
      <c r="I22" s="258">
        <v>200</v>
      </c>
      <c r="J22" s="258" t="s">
        <v>1082</v>
      </c>
      <c r="K22" s="261"/>
      <c r="L22" s="132" t="s">
        <v>330</v>
      </c>
    </row>
    <row r="23" ht="15" customHeight="1" spans="1:12">
      <c r="A23" s="44" t="s">
        <v>382</v>
      </c>
      <c r="B23" s="258" t="s">
        <v>1040</v>
      </c>
      <c r="C23" s="29" t="s">
        <v>1085</v>
      </c>
      <c r="D23" s="29" t="s">
        <v>1086</v>
      </c>
      <c r="E23" s="158">
        <v>2020</v>
      </c>
      <c r="F23" s="158">
        <v>2020</v>
      </c>
      <c r="G23" s="258" t="s">
        <v>16</v>
      </c>
      <c r="H23" s="258">
        <v>200</v>
      </c>
      <c r="I23" s="258">
        <v>200</v>
      </c>
      <c r="J23" s="258" t="s">
        <v>1082</v>
      </c>
      <c r="K23" s="261"/>
      <c r="L23" s="260" t="s">
        <v>330</v>
      </c>
    </row>
    <row r="24" ht="15" customHeight="1" spans="1:12">
      <c r="A24" s="44" t="s">
        <v>385</v>
      </c>
      <c r="B24" s="29" t="s">
        <v>1040</v>
      </c>
      <c r="C24" s="29" t="s">
        <v>1087</v>
      </c>
      <c r="D24" s="29" t="s">
        <v>1088</v>
      </c>
      <c r="E24" s="30">
        <v>2020</v>
      </c>
      <c r="F24" s="30">
        <v>2020</v>
      </c>
      <c r="G24" s="29" t="s">
        <v>16</v>
      </c>
      <c r="H24" s="29">
        <v>200</v>
      </c>
      <c r="I24" s="29">
        <v>200</v>
      </c>
      <c r="J24" s="258" t="s">
        <v>1082</v>
      </c>
      <c r="K24" s="261"/>
      <c r="L24" s="132" t="s">
        <v>330</v>
      </c>
    </row>
    <row r="25" ht="15" customHeight="1" spans="1:12">
      <c r="A25" s="44" t="s">
        <v>388</v>
      </c>
      <c r="B25" s="258" t="s">
        <v>1040</v>
      </c>
      <c r="C25" s="29" t="s">
        <v>1089</v>
      </c>
      <c r="D25" s="29" t="s">
        <v>1090</v>
      </c>
      <c r="E25" s="158">
        <v>2020</v>
      </c>
      <c r="F25" s="158">
        <v>2020</v>
      </c>
      <c r="G25" s="258" t="s">
        <v>16</v>
      </c>
      <c r="H25" s="258">
        <v>200</v>
      </c>
      <c r="I25" s="258">
        <v>200</v>
      </c>
      <c r="J25" s="29"/>
      <c r="K25" s="47"/>
      <c r="L25" s="260" t="s">
        <v>330</v>
      </c>
    </row>
    <row r="26" ht="15" customHeight="1" spans="1:12">
      <c r="A26" s="44" t="s">
        <v>391</v>
      </c>
      <c r="B26" s="258" t="s">
        <v>1040</v>
      </c>
      <c r="C26" s="29" t="s">
        <v>1091</v>
      </c>
      <c r="D26" s="29" t="s">
        <v>1092</v>
      </c>
      <c r="E26" s="158">
        <v>2020</v>
      </c>
      <c r="F26" s="158">
        <v>2020</v>
      </c>
      <c r="G26" s="258" t="s">
        <v>16</v>
      </c>
      <c r="H26" s="258">
        <v>200</v>
      </c>
      <c r="I26" s="258">
        <v>200</v>
      </c>
      <c r="J26" s="258"/>
      <c r="K26" s="261"/>
      <c r="L26" s="132" t="s">
        <v>330</v>
      </c>
    </row>
    <row r="27" ht="15" customHeight="1" spans="1:12">
      <c r="A27" s="44" t="s">
        <v>394</v>
      </c>
      <c r="B27" s="258" t="s">
        <v>1040</v>
      </c>
      <c r="C27" s="29" t="s">
        <v>1093</v>
      </c>
      <c r="D27" s="29" t="s">
        <v>1094</v>
      </c>
      <c r="E27" s="158">
        <v>2020</v>
      </c>
      <c r="F27" s="158">
        <v>2020</v>
      </c>
      <c r="G27" s="258" t="s">
        <v>16</v>
      </c>
      <c r="H27" s="258">
        <v>200</v>
      </c>
      <c r="I27" s="258">
        <v>200</v>
      </c>
      <c r="J27" s="258"/>
      <c r="K27" s="261"/>
      <c r="L27" s="260" t="s">
        <v>330</v>
      </c>
    </row>
    <row r="28" ht="15" customHeight="1" spans="1:12">
      <c r="A28" s="44" t="s">
        <v>397</v>
      </c>
      <c r="B28" s="258" t="s">
        <v>1040</v>
      </c>
      <c r="C28" s="29" t="s">
        <v>1095</v>
      </c>
      <c r="D28" s="29" t="s">
        <v>1096</v>
      </c>
      <c r="E28" s="158">
        <v>2020</v>
      </c>
      <c r="F28" s="158">
        <v>2020</v>
      </c>
      <c r="G28" s="258" t="s">
        <v>16</v>
      </c>
      <c r="H28" s="258">
        <v>200</v>
      </c>
      <c r="I28" s="258">
        <v>200</v>
      </c>
      <c r="J28" s="258"/>
      <c r="K28" s="261"/>
      <c r="L28" s="132" t="s">
        <v>330</v>
      </c>
    </row>
    <row r="29" ht="15" customHeight="1" spans="1:12">
      <c r="A29" s="44" t="s">
        <v>400</v>
      </c>
      <c r="B29" s="258" t="s">
        <v>1040</v>
      </c>
      <c r="C29" s="29" t="s">
        <v>1097</v>
      </c>
      <c r="D29" s="29" t="s">
        <v>1098</v>
      </c>
      <c r="E29" s="158">
        <v>2020</v>
      </c>
      <c r="F29" s="158">
        <v>2020</v>
      </c>
      <c r="G29" s="258" t="s">
        <v>16</v>
      </c>
      <c r="H29" s="258">
        <v>200</v>
      </c>
      <c r="I29" s="258">
        <v>200</v>
      </c>
      <c r="J29" s="258"/>
      <c r="K29" s="261"/>
      <c r="L29" s="260" t="s">
        <v>330</v>
      </c>
    </row>
    <row r="30" ht="15" customHeight="1" spans="1:12">
      <c r="A30" s="44" t="s">
        <v>403</v>
      </c>
      <c r="B30" s="258" t="s">
        <v>1040</v>
      </c>
      <c r="C30" s="29" t="s">
        <v>94</v>
      </c>
      <c r="D30" s="29" t="s">
        <v>1099</v>
      </c>
      <c r="E30" s="158">
        <v>2020</v>
      </c>
      <c r="F30" s="158">
        <v>2020</v>
      </c>
      <c r="G30" s="258" t="s">
        <v>16</v>
      </c>
      <c r="H30" s="258">
        <v>200</v>
      </c>
      <c r="I30" s="258">
        <v>200</v>
      </c>
      <c r="J30" s="258"/>
      <c r="K30" s="261"/>
      <c r="L30" s="132" t="s">
        <v>330</v>
      </c>
    </row>
    <row r="31" ht="15" customHeight="1" spans="1:12">
      <c r="A31" s="44" t="s">
        <v>406</v>
      </c>
      <c r="B31" s="258" t="s">
        <v>1040</v>
      </c>
      <c r="C31" s="29" t="s">
        <v>1100</v>
      </c>
      <c r="D31" s="29" t="s">
        <v>1101</v>
      </c>
      <c r="E31" s="158">
        <v>2020</v>
      </c>
      <c r="F31" s="158">
        <v>2020</v>
      </c>
      <c r="G31" s="258" t="s">
        <v>16</v>
      </c>
      <c r="H31" s="258">
        <v>200</v>
      </c>
      <c r="I31" s="258">
        <v>200</v>
      </c>
      <c r="J31" s="258"/>
      <c r="K31" s="261"/>
      <c r="L31" s="260" t="s">
        <v>330</v>
      </c>
    </row>
    <row r="32" ht="15" customHeight="1" spans="1:12">
      <c r="A32" s="44" t="s">
        <v>409</v>
      </c>
      <c r="B32" s="258" t="s">
        <v>1040</v>
      </c>
      <c r="C32" s="29" t="s">
        <v>1102</v>
      </c>
      <c r="D32" s="29" t="s">
        <v>1103</v>
      </c>
      <c r="E32" s="158">
        <v>2020</v>
      </c>
      <c r="F32" s="158">
        <v>2020</v>
      </c>
      <c r="G32" s="258" t="s">
        <v>16</v>
      </c>
      <c r="H32" s="258">
        <v>200</v>
      </c>
      <c r="I32" s="258">
        <v>200</v>
      </c>
      <c r="J32" s="258"/>
      <c r="K32" s="261"/>
      <c r="L32" s="132" t="s">
        <v>330</v>
      </c>
    </row>
    <row r="33" ht="15" customHeight="1" spans="1:12">
      <c r="A33" s="44" t="s">
        <v>412</v>
      </c>
      <c r="B33" s="258" t="s">
        <v>1040</v>
      </c>
      <c r="C33" s="29" t="s">
        <v>1104</v>
      </c>
      <c r="D33" s="29" t="s">
        <v>1105</v>
      </c>
      <c r="E33" s="158">
        <v>2020</v>
      </c>
      <c r="F33" s="158">
        <v>2020</v>
      </c>
      <c r="G33" s="258" t="s">
        <v>16</v>
      </c>
      <c r="H33" s="258">
        <v>200</v>
      </c>
      <c r="I33" s="258">
        <v>200</v>
      </c>
      <c r="J33" s="258"/>
      <c r="K33" s="261"/>
      <c r="L33" s="260" t="s">
        <v>330</v>
      </c>
    </row>
    <row r="34" ht="15" customHeight="1" spans="1:12">
      <c r="A34" s="44" t="s">
        <v>415</v>
      </c>
      <c r="B34" s="258" t="s">
        <v>1040</v>
      </c>
      <c r="C34" s="29" t="s">
        <v>1106</v>
      </c>
      <c r="D34" s="29" t="s">
        <v>1107</v>
      </c>
      <c r="E34" s="158">
        <v>2020</v>
      </c>
      <c r="F34" s="158">
        <v>2020</v>
      </c>
      <c r="G34" s="258" t="s">
        <v>16</v>
      </c>
      <c r="H34" s="258">
        <v>200</v>
      </c>
      <c r="I34" s="258">
        <v>200</v>
      </c>
      <c r="J34" s="258"/>
      <c r="K34" s="261"/>
      <c r="L34" s="132" t="s">
        <v>330</v>
      </c>
    </row>
    <row r="35" ht="15" customHeight="1" spans="1:12">
      <c r="A35" s="44" t="s">
        <v>418</v>
      </c>
      <c r="B35" s="258" t="s">
        <v>1040</v>
      </c>
      <c r="C35" s="29" t="s">
        <v>1108</v>
      </c>
      <c r="D35" s="29" t="s">
        <v>1109</v>
      </c>
      <c r="E35" s="158">
        <v>2020</v>
      </c>
      <c r="F35" s="158">
        <v>2020</v>
      </c>
      <c r="G35" s="258" t="s">
        <v>16</v>
      </c>
      <c r="H35" s="258">
        <v>200</v>
      </c>
      <c r="I35" s="258">
        <v>200</v>
      </c>
      <c r="J35" s="258"/>
      <c r="K35" s="261"/>
      <c r="L35" s="260" t="s">
        <v>330</v>
      </c>
    </row>
    <row r="36" ht="15" customHeight="1" spans="1:12">
      <c r="A36" s="44" t="s">
        <v>421</v>
      </c>
      <c r="B36" s="258" t="s">
        <v>1040</v>
      </c>
      <c r="C36" s="29" t="s">
        <v>1110</v>
      </c>
      <c r="D36" s="29" t="s">
        <v>1111</v>
      </c>
      <c r="E36" s="158">
        <v>2020</v>
      </c>
      <c r="F36" s="158">
        <v>2020</v>
      </c>
      <c r="G36" s="258" t="s">
        <v>16</v>
      </c>
      <c r="H36" s="258">
        <v>200</v>
      </c>
      <c r="I36" s="258">
        <v>200</v>
      </c>
      <c r="J36" s="258"/>
      <c r="K36" s="261"/>
      <c r="L36" s="132" t="s">
        <v>330</v>
      </c>
    </row>
    <row r="37" ht="15" customHeight="1" spans="1:12">
      <c r="A37" s="44" t="s">
        <v>424</v>
      </c>
      <c r="B37" s="258" t="s">
        <v>1040</v>
      </c>
      <c r="C37" s="29" t="s">
        <v>1112</v>
      </c>
      <c r="D37" s="29" t="s">
        <v>1113</v>
      </c>
      <c r="E37" s="158">
        <v>2020</v>
      </c>
      <c r="F37" s="158">
        <v>2020</v>
      </c>
      <c r="G37" s="258" t="s">
        <v>16</v>
      </c>
      <c r="H37" s="258">
        <v>200</v>
      </c>
      <c r="I37" s="258">
        <v>200</v>
      </c>
      <c r="J37" s="258"/>
      <c r="K37" s="261"/>
      <c r="L37" s="260" t="s">
        <v>330</v>
      </c>
    </row>
    <row r="38" ht="15" customHeight="1" spans="1:12">
      <c r="A38" s="44" t="s">
        <v>427</v>
      </c>
      <c r="B38" s="258" t="s">
        <v>1040</v>
      </c>
      <c r="C38" s="29" t="s">
        <v>1114</v>
      </c>
      <c r="D38" s="29" t="s">
        <v>1115</v>
      </c>
      <c r="E38" s="158">
        <v>2020</v>
      </c>
      <c r="F38" s="158">
        <v>2020</v>
      </c>
      <c r="G38" s="258" t="s">
        <v>16</v>
      </c>
      <c r="H38" s="258">
        <v>200</v>
      </c>
      <c r="I38" s="258">
        <v>200</v>
      </c>
      <c r="J38" s="258"/>
      <c r="K38" s="261"/>
      <c r="L38" s="132" t="s">
        <v>330</v>
      </c>
    </row>
    <row r="39" ht="15" customHeight="1" spans="1:12">
      <c r="A39" s="44" t="s">
        <v>430</v>
      </c>
      <c r="B39" s="258" t="s">
        <v>1040</v>
      </c>
      <c r="C39" s="29" t="s">
        <v>1116</v>
      </c>
      <c r="D39" s="29" t="s">
        <v>1117</v>
      </c>
      <c r="E39" s="158">
        <v>2020</v>
      </c>
      <c r="F39" s="158">
        <v>2020</v>
      </c>
      <c r="G39" s="258" t="s">
        <v>16</v>
      </c>
      <c r="H39" s="258">
        <v>200</v>
      </c>
      <c r="I39" s="258">
        <v>200</v>
      </c>
      <c r="J39" s="258"/>
      <c r="K39" s="261"/>
      <c r="L39" s="260" t="s">
        <v>330</v>
      </c>
    </row>
    <row r="40" ht="15" customHeight="1" spans="1:12">
      <c r="A40" s="44" t="s">
        <v>433</v>
      </c>
      <c r="B40" s="258" t="s">
        <v>1040</v>
      </c>
      <c r="C40" s="29" t="s">
        <v>1118</v>
      </c>
      <c r="D40" s="29" t="s">
        <v>1119</v>
      </c>
      <c r="E40" s="158">
        <v>2020</v>
      </c>
      <c r="F40" s="158">
        <v>2020</v>
      </c>
      <c r="G40" s="258" t="s">
        <v>16</v>
      </c>
      <c r="H40" s="258">
        <v>200</v>
      </c>
      <c r="I40" s="258">
        <v>200</v>
      </c>
      <c r="J40" s="258"/>
      <c r="K40" s="261"/>
      <c r="L40" s="132" t="s">
        <v>330</v>
      </c>
    </row>
    <row r="41" ht="15" customHeight="1" spans="1:12">
      <c r="A41" s="44" t="s">
        <v>436</v>
      </c>
      <c r="B41" s="258" t="s">
        <v>1040</v>
      </c>
      <c r="C41" s="29" t="s">
        <v>1120</v>
      </c>
      <c r="D41" s="29" t="s">
        <v>1121</v>
      </c>
      <c r="E41" s="158">
        <v>2020</v>
      </c>
      <c r="F41" s="158">
        <v>2020</v>
      </c>
      <c r="G41" s="258" t="s">
        <v>16</v>
      </c>
      <c r="H41" s="258">
        <v>200</v>
      </c>
      <c r="I41" s="258">
        <v>200</v>
      </c>
      <c r="J41" s="258"/>
      <c r="K41" s="261"/>
      <c r="L41" s="260" t="s">
        <v>330</v>
      </c>
    </row>
    <row r="42" ht="15" customHeight="1" spans="1:12">
      <c r="A42" s="44" t="s">
        <v>439</v>
      </c>
      <c r="B42" s="258" t="s">
        <v>1040</v>
      </c>
      <c r="C42" s="29" t="s">
        <v>1122</v>
      </c>
      <c r="D42" s="29" t="s">
        <v>1123</v>
      </c>
      <c r="E42" s="158">
        <v>2020</v>
      </c>
      <c r="F42" s="158">
        <v>2020</v>
      </c>
      <c r="G42" s="258" t="s">
        <v>16</v>
      </c>
      <c r="H42" s="258">
        <v>200</v>
      </c>
      <c r="I42" s="258">
        <v>200</v>
      </c>
      <c r="J42" s="258"/>
      <c r="K42" s="261"/>
      <c r="L42" s="132" t="s">
        <v>330</v>
      </c>
    </row>
    <row r="43" ht="15" customHeight="1" spans="1:12">
      <c r="A43" s="44" t="s">
        <v>442</v>
      </c>
      <c r="B43" s="258" t="s">
        <v>1040</v>
      </c>
      <c r="C43" s="29" t="s">
        <v>1124</v>
      </c>
      <c r="D43" s="29" t="s">
        <v>1125</v>
      </c>
      <c r="E43" s="158">
        <v>2020</v>
      </c>
      <c r="F43" s="158">
        <v>2020</v>
      </c>
      <c r="G43" s="258" t="s">
        <v>16</v>
      </c>
      <c r="H43" s="258">
        <v>200</v>
      </c>
      <c r="I43" s="258">
        <v>200</v>
      </c>
      <c r="J43" s="258"/>
      <c r="K43" s="261"/>
      <c r="L43" s="260" t="s">
        <v>330</v>
      </c>
    </row>
    <row r="44" ht="15" customHeight="1" spans="1:12">
      <c r="A44" s="44" t="s">
        <v>445</v>
      </c>
      <c r="B44" s="258" t="s">
        <v>1040</v>
      </c>
      <c r="C44" s="29" t="s">
        <v>1126</v>
      </c>
      <c r="D44" s="29" t="s">
        <v>1127</v>
      </c>
      <c r="E44" s="158">
        <v>2020</v>
      </c>
      <c r="F44" s="158">
        <v>2020</v>
      </c>
      <c r="G44" s="258" t="s">
        <v>16</v>
      </c>
      <c r="H44" s="258">
        <v>200</v>
      </c>
      <c r="I44" s="258">
        <v>200</v>
      </c>
      <c r="J44" s="258"/>
      <c r="K44" s="261"/>
      <c r="L44" s="132" t="s">
        <v>330</v>
      </c>
    </row>
    <row r="45" ht="15" customHeight="1" spans="1:12">
      <c r="A45" s="44" t="s">
        <v>448</v>
      </c>
      <c r="B45" s="258" t="s">
        <v>1040</v>
      </c>
      <c r="C45" s="29" t="s">
        <v>1128</v>
      </c>
      <c r="D45" s="29" t="s">
        <v>1129</v>
      </c>
      <c r="E45" s="158">
        <v>2020</v>
      </c>
      <c r="F45" s="158">
        <v>2020</v>
      </c>
      <c r="G45" s="258" t="s">
        <v>16</v>
      </c>
      <c r="H45" s="258">
        <v>200</v>
      </c>
      <c r="I45" s="258">
        <v>200</v>
      </c>
      <c r="J45" s="258"/>
      <c r="K45" s="261"/>
      <c r="L45" s="260" t="s">
        <v>330</v>
      </c>
    </row>
    <row r="46" ht="15" customHeight="1" spans="1:12">
      <c r="A46" s="44" t="s">
        <v>451</v>
      </c>
      <c r="B46" s="258" t="s">
        <v>1040</v>
      </c>
      <c r="C46" s="29" t="s">
        <v>1130</v>
      </c>
      <c r="D46" s="29" t="s">
        <v>1131</v>
      </c>
      <c r="E46" s="158">
        <v>2020</v>
      </c>
      <c r="F46" s="158">
        <v>2020</v>
      </c>
      <c r="G46" s="258" t="s">
        <v>16</v>
      </c>
      <c r="H46" s="258">
        <v>200</v>
      </c>
      <c r="I46" s="258">
        <v>200</v>
      </c>
      <c r="J46" s="258"/>
      <c r="K46" s="261"/>
      <c r="L46" s="132" t="s">
        <v>330</v>
      </c>
    </row>
    <row r="47" ht="15" customHeight="1" spans="1:12">
      <c r="A47" s="44" t="s">
        <v>454</v>
      </c>
      <c r="B47" s="258" t="s">
        <v>1040</v>
      </c>
      <c r="C47" s="29" t="s">
        <v>1132</v>
      </c>
      <c r="D47" s="29" t="s">
        <v>1133</v>
      </c>
      <c r="E47" s="158">
        <v>2020</v>
      </c>
      <c r="F47" s="158">
        <v>2020</v>
      </c>
      <c r="G47" s="258" t="s">
        <v>16</v>
      </c>
      <c r="H47" s="258">
        <v>200</v>
      </c>
      <c r="I47" s="258">
        <v>200</v>
      </c>
      <c r="J47" s="258"/>
      <c r="K47" s="261"/>
      <c r="L47" s="260" t="s">
        <v>330</v>
      </c>
    </row>
    <row r="48" ht="15" customHeight="1" spans="1:12">
      <c r="A48" s="44" t="s">
        <v>457</v>
      </c>
      <c r="B48" s="258" t="s">
        <v>1040</v>
      </c>
      <c r="C48" s="29" t="s">
        <v>1134</v>
      </c>
      <c r="D48" s="29" t="s">
        <v>1135</v>
      </c>
      <c r="E48" s="158">
        <v>2020</v>
      </c>
      <c r="F48" s="158">
        <v>2020</v>
      </c>
      <c r="G48" s="258" t="s">
        <v>16</v>
      </c>
      <c r="H48" s="258">
        <v>200</v>
      </c>
      <c r="I48" s="258">
        <v>200</v>
      </c>
      <c r="J48" s="258"/>
      <c r="K48" s="261"/>
      <c r="L48" s="132" t="s">
        <v>330</v>
      </c>
    </row>
    <row r="49" ht="15" customHeight="1" spans="1:12">
      <c r="A49" s="44" t="s">
        <v>460</v>
      </c>
      <c r="B49" s="258" t="s">
        <v>1040</v>
      </c>
      <c r="C49" s="29" t="s">
        <v>1136</v>
      </c>
      <c r="D49" s="29" t="s">
        <v>1137</v>
      </c>
      <c r="E49" s="158">
        <v>2020</v>
      </c>
      <c r="F49" s="158">
        <v>2020</v>
      </c>
      <c r="G49" s="258" t="s">
        <v>16</v>
      </c>
      <c r="H49" s="258">
        <v>200</v>
      </c>
      <c r="I49" s="258">
        <v>200</v>
      </c>
      <c r="J49" s="258"/>
      <c r="K49" s="261"/>
      <c r="L49" s="260" t="s">
        <v>330</v>
      </c>
    </row>
    <row r="50" ht="15" customHeight="1" spans="1:12">
      <c r="A50" s="44" t="s">
        <v>463</v>
      </c>
      <c r="B50" s="258" t="s">
        <v>1040</v>
      </c>
      <c r="C50" s="29" t="s">
        <v>1138</v>
      </c>
      <c r="D50" s="29" t="s">
        <v>1139</v>
      </c>
      <c r="E50" s="158">
        <v>2020</v>
      </c>
      <c r="F50" s="158">
        <v>2020</v>
      </c>
      <c r="G50" s="258" t="s">
        <v>16</v>
      </c>
      <c r="H50" s="258">
        <v>200</v>
      </c>
      <c r="I50" s="258">
        <v>200</v>
      </c>
      <c r="J50" s="258"/>
      <c r="K50" s="261"/>
      <c r="L50" s="132" t="s">
        <v>330</v>
      </c>
    </row>
    <row r="51" ht="15" customHeight="1" spans="1:12">
      <c r="A51" s="44" t="s">
        <v>466</v>
      </c>
      <c r="B51" s="258" t="s">
        <v>1040</v>
      </c>
      <c r="C51" s="29" t="s">
        <v>1140</v>
      </c>
      <c r="D51" s="29" t="s">
        <v>1141</v>
      </c>
      <c r="E51" s="158">
        <v>2020</v>
      </c>
      <c r="F51" s="158">
        <v>2020</v>
      </c>
      <c r="G51" s="258" t="s">
        <v>16</v>
      </c>
      <c r="H51" s="258">
        <v>200</v>
      </c>
      <c r="I51" s="258">
        <v>200</v>
      </c>
      <c r="J51" s="258"/>
      <c r="K51" s="261"/>
      <c r="L51" s="260" t="s">
        <v>330</v>
      </c>
    </row>
    <row r="52" ht="15" customHeight="1" spans="1:12">
      <c r="A52" s="44" t="s">
        <v>469</v>
      </c>
      <c r="B52" s="258" t="s">
        <v>1040</v>
      </c>
      <c r="C52" s="29" t="s">
        <v>1142</v>
      </c>
      <c r="D52" s="29" t="s">
        <v>1143</v>
      </c>
      <c r="E52" s="158">
        <v>2020</v>
      </c>
      <c r="F52" s="158">
        <v>2020</v>
      </c>
      <c r="G52" s="258" t="s">
        <v>16</v>
      </c>
      <c r="H52" s="258">
        <v>200</v>
      </c>
      <c r="I52" s="258">
        <v>200</v>
      </c>
      <c r="J52" s="258"/>
      <c r="K52" s="261"/>
      <c r="L52" s="132" t="s">
        <v>330</v>
      </c>
    </row>
    <row r="53" ht="15" customHeight="1" spans="1:12">
      <c r="A53" s="44" t="s">
        <v>472</v>
      </c>
      <c r="B53" s="258" t="s">
        <v>1040</v>
      </c>
      <c r="C53" s="29" t="s">
        <v>1144</v>
      </c>
      <c r="D53" s="29" t="s">
        <v>1145</v>
      </c>
      <c r="E53" s="158">
        <v>2020</v>
      </c>
      <c r="F53" s="158">
        <v>2020</v>
      </c>
      <c r="G53" s="258" t="s">
        <v>16</v>
      </c>
      <c r="H53" s="258">
        <v>200</v>
      </c>
      <c r="I53" s="258">
        <v>200</v>
      </c>
      <c r="J53" s="258"/>
      <c r="K53" s="261"/>
      <c r="L53" s="260" t="s">
        <v>330</v>
      </c>
    </row>
    <row r="54" ht="15" customHeight="1" spans="1:12">
      <c r="A54" s="44" t="s">
        <v>475</v>
      </c>
      <c r="B54" s="258" t="s">
        <v>1040</v>
      </c>
      <c r="C54" s="29" t="s">
        <v>1146</v>
      </c>
      <c r="D54" s="29" t="s">
        <v>1147</v>
      </c>
      <c r="E54" s="158">
        <v>2020</v>
      </c>
      <c r="F54" s="158">
        <v>2020</v>
      </c>
      <c r="G54" s="258" t="s">
        <v>16</v>
      </c>
      <c r="H54" s="258">
        <v>200</v>
      </c>
      <c r="I54" s="258">
        <v>200</v>
      </c>
      <c r="J54" s="258"/>
      <c r="K54" s="261"/>
      <c r="L54" s="132" t="s">
        <v>330</v>
      </c>
    </row>
    <row r="55" ht="15" customHeight="1" spans="1:12">
      <c r="A55" s="44" t="s">
        <v>478</v>
      </c>
      <c r="B55" s="258" t="s">
        <v>1040</v>
      </c>
      <c r="C55" s="29" t="s">
        <v>1148</v>
      </c>
      <c r="D55" s="29" t="s">
        <v>1149</v>
      </c>
      <c r="E55" s="158">
        <v>2020</v>
      </c>
      <c r="F55" s="158">
        <v>2020</v>
      </c>
      <c r="G55" s="258" t="s">
        <v>16</v>
      </c>
      <c r="H55" s="258">
        <v>200</v>
      </c>
      <c r="I55" s="258">
        <v>200</v>
      </c>
      <c r="J55" s="258"/>
      <c r="K55" s="261"/>
      <c r="L55" s="260" t="s">
        <v>330</v>
      </c>
    </row>
    <row r="56" ht="15" customHeight="1" spans="1:12">
      <c r="A56" s="44" t="s">
        <v>481</v>
      </c>
      <c r="B56" s="258" t="s">
        <v>1040</v>
      </c>
      <c r="C56" s="29" t="s">
        <v>1150</v>
      </c>
      <c r="D56" s="29" t="s">
        <v>1151</v>
      </c>
      <c r="E56" s="158">
        <v>2020</v>
      </c>
      <c r="F56" s="158">
        <v>2020</v>
      </c>
      <c r="G56" s="258" t="s">
        <v>16</v>
      </c>
      <c r="H56" s="258">
        <v>200</v>
      </c>
      <c r="I56" s="258">
        <v>200</v>
      </c>
      <c r="J56" s="258"/>
      <c r="K56" s="261"/>
      <c r="L56" s="132" t="s">
        <v>330</v>
      </c>
    </row>
    <row r="57" ht="15" customHeight="1" spans="1:12">
      <c r="A57" s="44" t="s">
        <v>484</v>
      </c>
      <c r="B57" s="258" t="s">
        <v>1040</v>
      </c>
      <c r="C57" s="29" t="s">
        <v>1152</v>
      </c>
      <c r="D57" s="29" t="s">
        <v>1153</v>
      </c>
      <c r="E57" s="158">
        <v>2020</v>
      </c>
      <c r="F57" s="158">
        <v>2020</v>
      </c>
      <c r="G57" s="258" t="s">
        <v>16</v>
      </c>
      <c r="H57" s="258">
        <v>200</v>
      </c>
      <c r="I57" s="258">
        <v>200</v>
      </c>
      <c r="J57" s="258"/>
      <c r="K57" s="261"/>
      <c r="L57" s="260" t="s">
        <v>330</v>
      </c>
    </row>
    <row r="58" ht="15" customHeight="1" spans="1:12">
      <c r="A58" s="44" t="s">
        <v>487</v>
      </c>
      <c r="B58" s="258" t="s">
        <v>1040</v>
      </c>
      <c r="C58" s="29" t="s">
        <v>1154</v>
      </c>
      <c r="D58" s="29" t="s">
        <v>1155</v>
      </c>
      <c r="E58" s="158">
        <v>2020</v>
      </c>
      <c r="F58" s="158">
        <v>2020</v>
      </c>
      <c r="G58" s="258" t="s">
        <v>16</v>
      </c>
      <c r="H58" s="258">
        <v>200</v>
      </c>
      <c r="I58" s="258">
        <v>200</v>
      </c>
      <c r="J58" s="258"/>
      <c r="K58" s="261"/>
      <c r="L58" s="132" t="s">
        <v>330</v>
      </c>
    </row>
    <row r="59" ht="15" customHeight="1" spans="1:12">
      <c r="A59" s="44" t="s">
        <v>490</v>
      </c>
      <c r="B59" s="258" t="s">
        <v>1040</v>
      </c>
      <c r="C59" s="29" t="s">
        <v>1156</v>
      </c>
      <c r="D59" s="29" t="s">
        <v>1157</v>
      </c>
      <c r="E59" s="158">
        <v>2020</v>
      </c>
      <c r="F59" s="158">
        <v>2020</v>
      </c>
      <c r="G59" s="258" t="s">
        <v>16</v>
      </c>
      <c r="H59" s="258">
        <v>200</v>
      </c>
      <c r="I59" s="258">
        <v>200</v>
      </c>
      <c r="J59" s="258"/>
      <c r="K59" s="261"/>
      <c r="L59" s="260" t="s">
        <v>330</v>
      </c>
    </row>
    <row r="60" ht="15" customHeight="1" spans="1:12">
      <c r="A60" s="44" t="s">
        <v>493</v>
      </c>
      <c r="B60" s="258" t="s">
        <v>1040</v>
      </c>
      <c r="C60" s="29" t="s">
        <v>1158</v>
      </c>
      <c r="D60" s="29" t="s">
        <v>1159</v>
      </c>
      <c r="E60" s="158">
        <v>2020</v>
      </c>
      <c r="F60" s="158">
        <v>2020</v>
      </c>
      <c r="G60" s="258" t="s">
        <v>16</v>
      </c>
      <c r="H60" s="258">
        <v>200</v>
      </c>
      <c r="I60" s="258">
        <v>200</v>
      </c>
      <c r="J60" s="258"/>
      <c r="K60" s="261"/>
      <c r="L60" s="132" t="s">
        <v>330</v>
      </c>
    </row>
    <row r="61" ht="15" customHeight="1" spans="1:12">
      <c r="A61" s="44" t="s">
        <v>496</v>
      </c>
      <c r="B61" s="258" t="s">
        <v>1040</v>
      </c>
      <c r="C61" s="29" t="s">
        <v>1160</v>
      </c>
      <c r="D61" s="29" t="s">
        <v>1161</v>
      </c>
      <c r="E61" s="158">
        <v>2020</v>
      </c>
      <c r="F61" s="158">
        <v>2020</v>
      </c>
      <c r="G61" s="258" t="s">
        <v>16</v>
      </c>
      <c r="H61" s="258">
        <v>200</v>
      </c>
      <c r="I61" s="258">
        <v>200</v>
      </c>
      <c r="J61" s="258"/>
      <c r="K61" s="261"/>
      <c r="L61" s="260" t="s">
        <v>330</v>
      </c>
    </row>
    <row r="62" ht="15" customHeight="1" spans="1:12">
      <c r="A62" s="44" t="s">
        <v>499</v>
      </c>
      <c r="B62" s="258" t="s">
        <v>1040</v>
      </c>
      <c r="C62" s="29" t="s">
        <v>1162</v>
      </c>
      <c r="D62" s="29" t="s">
        <v>1163</v>
      </c>
      <c r="E62" s="158">
        <v>2020</v>
      </c>
      <c r="F62" s="158">
        <v>2020</v>
      </c>
      <c r="G62" s="258" t="s">
        <v>16</v>
      </c>
      <c r="H62" s="258">
        <v>200</v>
      </c>
      <c r="I62" s="258">
        <v>200</v>
      </c>
      <c r="J62" s="258"/>
      <c r="K62" s="261"/>
      <c r="L62" s="132" t="s">
        <v>330</v>
      </c>
    </row>
    <row r="63" ht="15" customHeight="1" spans="1:12">
      <c r="A63" s="44" t="s">
        <v>502</v>
      </c>
      <c r="B63" s="258" t="s">
        <v>1040</v>
      </c>
      <c r="C63" s="29" t="s">
        <v>1164</v>
      </c>
      <c r="D63" s="29" t="s">
        <v>1165</v>
      </c>
      <c r="E63" s="158">
        <v>2020</v>
      </c>
      <c r="F63" s="158">
        <v>2020</v>
      </c>
      <c r="G63" s="258" t="s">
        <v>16</v>
      </c>
      <c r="H63" s="258">
        <v>200</v>
      </c>
      <c r="I63" s="258">
        <v>200</v>
      </c>
      <c r="J63" s="258"/>
      <c r="K63" s="261"/>
      <c r="L63" s="260" t="s">
        <v>330</v>
      </c>
    </row>
    <row r="64" ht="15" customHeight="1" spans="1:12">
      <c r="A64" s="44" t="s">
        <v>505</v>
      </c>
      <c r="B64" s="258" t="s">
        <v>1040</v>
      </c>
      <c r="C64" s="29" t="s">
        <v>1166</v>
      </c>
      <c r="D64" s="29" t="s">
        <v>1167</v>
      </c>
      <c r="E64" s="158">
        <v>2020</v>
      </c>
      <c r="F64" s="158">
        <v>2020</v>
      </c>
      <c r="G64" s="258" t="s">
        <v>16</v>
      </c>
      <c r="H64" s="258">
        <v>200</v>
      </c>
      <c r="I64" s="258">
        <v>200</v>
      </c>
      <c r="J64" s="258"/>
      <c r="K64" s="261"/>
      <c r="L64" s="132" t="s">
        <v>330</v>
      </c>
    </row>
    <row r="65" ht="15" customHeight="1" spans="1:12">
      <c r="A65" s="44" t="s">
        <v>508</v>
      </c>
      <c r="B65" s="258" t="s">
        <v>1040</v>
      </c>
      <c r="C65" s="29" t="s">
        <v>1168</v>
      </c>
      <c r="D65" s="29" t="s">
        <v>1169</v>
      </c>
      <c r="E65" s="158">
        <v>2020</v>
      </c>
      <c r="F65" s="158">
        <v>2020</v>
      </c>
      <c r="G65" s="258" t="s">
        <v>16</v>
      </c>
      <c r="H65" s="258">
        <v>200</v>
      </c>
      <c r="I65" s="258">
        <v>200</v>
      </c>
      <c r="J65" s="258"/>
      <c r="K65" s="261"/>
      <c r="L65" s="260" t="s">
        <v>330</v>
      </c>
    </row>
    <row r="66" ht="15" customHeight="1" spans="1:12">
      <c r="A66" s="44" t="s">
        <v>511</v>
      </c>
      <c r="B66" s="258" t="s">
        <v>1040</v>
      </c>
      <c r="C66" s="29" t="s">
        <v>1170</v>
      </c>
      <c r="D66" s="29" t="s">
        <v>1171</v>
      </c>
      <c r="E66" s="158">
        <v>2020</v>
      </c>
      <c r="F66" s="158">
        <v>2020</v>
      </c>
      <c r="G66" s="258" t="s">
        <v>16</v>
      </c>
      <c r="H66" s="258">
        <v>200</v>
      </c>
      <c r="I66" s="258">
        <v>200</v>
      </c>
      <c r="J66" s="258"/>
      <c r="K66" s="261"/>
      <c r="L66" s="132" t="s">
        <v>330</v>
      </c>
    </row>
    <row r="67" ht="15" customHeight="1" spans="1:12">
      <c r="A67" s="44" t="s">
        <v>514</v>
      </c>
      <c r="B67" s="258" t="s">
        <v>1040</v>
      </c>
      <c r="C67" s="29" t="s">
        <v>1172</v>
      </c>
      <c r="D67" s="29" t="s">
        <v>1173</v>
      </c>
      <c r="E67" s="158">
        <v>2020</v>
      </c>
      <c r="F67" s="158">
        <v>2020</v>
      </c>
      <c r="G67" s="258" t="s">
        <v>16</v>
      </c>
      <c r="H67" s="258">
        <v>200</v>
      </c>
      <c r="I67" s="258">
        <v>200</v>
      </c>
      <c r="J67" s="258"/>
      <c r="K67" s="261"/>
      <c r="L67" s="260" t="s">
        <v>330</v>
      </c>
    </row>
    <row r="68" ht="15" customHeight="1" spans="1:12">
      <c r="A68" s="44" t="s">
        <v>517</v>
      </c>
      <c r="B68" s="258" t="s">
        <v>1040</v>
      </c>
      <c r="C68" s="29" t="s">
        <v>1174</v>
      </c>
      <c r="D68" s="29" t="s">
        <v>1175</v>
      </c>
      <c r="E68" s="158">
        <v>2020</v>
      </c>
      <c r="F68" s="158">
        <v>2020</v>
      </c>
      <c r="G68" s="258" t="s">
        <v>16</v>
      </c>
      <c r="H68" s="258">
        <v>200</v>
      </c>
      <c r="I68" s="258">
        <v>200</v>
      </c>
      <c r="J68" s="258"/>
      <c r="K68" s="261"/>
      <c r="L68" s="132" t="s">
        <v>330</v>
      </c>
    </row>
    <row r="69" ht="15" customHeight="1" spans="1:12">
      <c r="A69" s="44" t="s">
        <v>518</v>
      </c>
      <c r="B69" s="29" t="s">
        <v>1040</v>
      </c>
      <c r="C69" s="29" t="s">
        <v>1176</v>
      </c>
      <c r="D69" s="29" t="s">
        <v>1177</v>
      </c>
      <c r="E69" s="158">
        <v>2020</v>
      </c>
      <c r="F69" s="158">
        <v>2020</v>
      </c>
      <c r="G69" s="29" t="s">
        <v>16</v>
      </c>
      <c r="H69" s="258">
        <v>200</v>
      </c>
      <c r="I69" s="258">
        <v>200</v>
      </c>
      <c r="J69" s="258"/>
      <c r="K69" s="261"/>
      <c r="L69" s="260" t="s">
        <v>330</v>
      </c>
    </row>
    <row r="70" ht="15" customHeight="1" spans="1:12">
      <c r="A70" s="44" t="s">
        <v>521</v>
      </c>
      <c r="B70" s="258" t="s">
        <v>1040</v>
      </c>
      <c r="C70" s="29" t="s">
        <v>1178</v>
      </c>
      <c r="D70" s="29" t="s">
        <v>1179</v>
      </c>
      <c r="E70" s="158">
        <v>2020</v>
      </c>
      <c r="F70" s="158">
        <v>2020</v>
      </c>
      <c r="G70" s="258" t="s">
        <v>16</v>
      </c>
      <c r="H70" s="258">
        <v>200</v>
      </c>
      <c r="I70" s="258">
        <v>200</v>
      </c>
      <c r="J70" s="29"/>
      <c r="K70" s="47"/>
      <c r="L70" s="132" t="s">
        <v>330</v>
      </c>
    </row>
    <row r="71" ht="15" customHeight="1" spans="1:12">
      <c r="A71" s="44" t="s">
        <v>524</v>
      </c>
      <c r="B71" s="258" t="s">
        <v>1040</v>
      </c>
      <c r="C71" s="29" t="s">
        <v>1180</v>
      </c>
      <c r="D71" s="29" t="s">
        <v>1181</v>
      </c>
      <c r="E71" s="158">
        <v>2020</v>
      </c>
      <c r="F71" s="158">
        <v>2020</v>
      </c>
      <c r="G71" s="258" t="s">
        <v>16</v>
      </c>
      <c r="H71" s="258">
        <v>200</v>
      </c>
      <c r="I71" s="258">
        <v>200</v>
      </c>
      <c r="J71" s="258"/>
      <c r="K71" s="261"/>
      <c r="L71" s="260" t="s">
        <v>330</v>
      </c>
    </row>
    <row r="72" ht="15" customHeight="1" spans="1:12">
      <c r="A72" s="44" t="s">
        <v>527</v>
      </c>
      <c r="B72" s="258" t="s">
        <v>1040</v>
      </c>
      <c r="C72" s="29" t="s">
        <v>1182</v>
      </c>
      <c r="D72" s="29" t="s">
        <v>1183</v>
      </c>
      <c r="E72" s="158">
        <v>2020</v>
      </c>
      <c r="F72" s="158">
        <v>2020</v>
      </c>
      <c r="G72" s="258" t="s">
        <v>16</v>
      </c>
      <c r="H72" s="258">
        <v>200</v>
      </c>
      <c r="I72" s="258">
        <v>200</v>
      </c>
      <c r="J72" s="258"/>
      <c r="K72" s="261"/>
      <c r="L72" s="132" t="s">
        <v>330</v>
      </c>
    </row>
    <row r="73" ht="15" customHeight="1" spans="1:12">
      <c r="A73" s="44" t="s">
        <v>530</v>
      </c>
      <c r="B73" s="258" t="s">
        <v>1040</v>
      </c>
      <c r="C73" s="29" t="s">
        <v>1184</v>
      </c>
      <c r="D73" s="29" t="s">
        <v>1185</v>
      </c>
      <c r="E73" s="158">
        <v>2020</v>
      </c>
      <c r="F73" s="158">
        <v>2020</v>
      </c>
      <c r="G73" s="258" t="s">
        <v>16</v>
      </c>
      <c r="H73" s="258">
        <v>200</v>
      </c>
      <c r="I73" s="258">
        <v>200</v>
      </c>
      <c r="J73" s="258"/>
      <c r="K73" s="261"/>
      <c r="L73" s="260" t="s">
        <v>330</v>
      </c>
    </row>
    <row r="74" ht="15" customHeight="1" spans="1:12">
      <c r="A74" s="44" t="s">
        <v>533</v>
      </c>
      <c r="B74" s="258" t="s">
        <v>1040</v>
      </c>
      <c r="C74" s="29" t="s">
        <v>1186</v>
      </c>
      <c r="D74" s="29" t="s">
        <v>1187</v>
      </c>
      <c r="E74" s="158">
        <v>2020</v>
      </c>
      <c r="F74" s="158">
        <v>2020</v>
      </c>
      <c r="G74" s="258" t="s">
        <v>16</v>
      </c>
      <c r="H74" s="258">
        <v>200</v>
      </c>
      <c r="I74" s="258">
        <v>200</v>
      </c>
      <c r="J74" s="258"/>
      <c r="K74" s="261"/>
      <c r="L74" s="132" t="s">
        <v>330</v>
      </c>
    </row>
    <row r="75" ht="15" customHeight="1" spans="1:12">
      <c r="A75" s="44" t="s">
        <v>536</v>
      </c>
      <c r="B75" s="258" t="s">
        <v>1040</v>
      </c>
      <c r="C75" s="29" t="s">
        <v>1188</v>
      </c>
      <c r="D75" s="29" t="s">
        <v>1189</v>
      </c>
      <c r="E75" s="158">
        <v>2020</v>
      </c>
      <c r="F75" s="158">
        <v>2020</v>
      </c>
      <c r="G75" s="258" t="s">
        <v>16</v>
      </c>
      <c r="H75" s="258">
        <v>200</v>
      </c>
      <c r="I75" s="258">
        <v>200</v>
      </c>
      <c r="J75" s="258"/>
      <c r="K75" s="261"/>
      <c r="L75" s="260" t="s">
        <v>330</v>
      </c>
    </row>
    <row r="76" ht="15" customHeight="1" spans="1:12">
      <c r="A76" s="44" t="s">
        <v>539</v>
      </c>
      <c r="B76" s="258" t="s">
        <v>1040</v>
      </c>
      <c r="C76" s="29" t="s">
        <v>1190</v>
      </c>
      <c r="D76" s="29" t="s">
        <v>1191</v>
      </c>
      <c r="E76" s="158">
        <v>2020</v>
      </c>
      <c r="F76" s="158">
        <v>2020</v>
      </c>
      <c r="G76" s="258" t="s">
        <v>16</v>
      </c>
      <c r="H76" s="258">
        <v>200</v>
      </c>
      <c r="I76" s="258">
        <v>200</v>
      </c>
      <c r="J76" s="258"/>
      <c r="K76" s="261"/>
      <c r="L76" s="132" t="s">
        <v>330</v>
      </c>
    </row>
    <row r="77" ht="15" customHeight="1" spans="1:12">
      <c r="A77" s="44" t="s">
        <v>542</v>
      </c>
      <c r="B77" s="258" t="s">
        <v>1040</v>
      </c>
      <c r="C77" s="29" t="s">
        <v>1192</v>
      </c>
      <c r="D77" s="29" t="s">
        <v>1193</v>
      </c>
      <c r="E77" s="158">
        <v>2020</v>
      </c>
      <c r="F77" s="158">
        <v>2020</v>
      </c>
      <c r="G77" s="258" t="s">
        <v>16</v>
      </c>
      <c r="H77" s="258">
        <v>200</v>
      </c>
      <c r="I77" s="258">
        <v>200</v>
      </c>
      <c r="J77" s="258"/>
      <c r="K77" s="261"/>
      <c r="L77" s="260" t="s">
        <v>330</v>
      </c>
    </row>
    <row r="78" ht="15" customHeight="1" spans="1:12">
      <c r="A78" s="44" t="s">
        <v>545</v>
      </c>
      <c r="B78" s="258" t="s">
        <v>1040</v>
      </c>
      <c r="C78" s="29" t="s">
        <v>1194</v>
      </c>
      <c r="D78" s="29" t="s">
        <v>1195</v>
      </c>
      <c r="E78" s="158">
        <v>2020</v>
      </c>
      <c r="F78" s="158">
        <v>2020</v>
      </c>
      <c r="G78" s="258" t="s">
        <v>16</v>
      </c>
      <c r="H78" s="258">
        <v>200</v>
      </c>
      <c r="I78" s="258">
        <v>200</v>
      </c>
      <c r="J78" s="258"/>
      <c r="K78" s="261"/>
      <c r="L78" s="132" t="s">
        <v>330</v>
      </c>
    </row>
    <row r="79" ht="15" customHeight="1" spans="1:12">
      <c r="A79" s="44" t="s">
        <v>548</v>
      </c>
      <c r="B79" s="258" t="s">
        <v>1040</v>
      </c>
      <c r="C79" s="29" t="s">
        <v>1196</v>
      </c>
      <c r="D79" s="29" t="s">
        <v>1197</v>
      </c>
      <c r="E79" s="158">
        <v>2020</v>
      </c>
      <c r="F79" s="158">
        <v>2020</v>
      </c>
      <c r="G79" s="258" t="s">
        <v>16</v>
      </c>
      <c r="H79" s="258">
        <v>200</v>
      </c>
      <c r="I79" s="258">
        <v>200</v>
      </c>
      <c r="J79" s="258"/>
      <c r="K79" s="261"/>
      <c r="L79" s="260" t="s">
        <v>330</v>
      </c>
    </row>
    <row r="80" ht="15" customHeight="1" spans="1:12">
      <c r="A80" s="44" t="s">
        <v>551</v>
      </c>
      <c r="B80" s="258" t="s">
        <v>1040</v>
      </c>
      <c r="C80" s="29" t="s">
        <v>1198</v>
      </c>
      <c r="D80" s="29" t="s">
        <v>1199</v>
      </c>
      <c r="E80" s="158">
        <v>2020</v>
      </c>
      <c r="F80" s="158">
        <v>2020</v>
      </c>
      <c r="G80" s="258" t="s">
        <v>16</v>
      </c>
      <c r="H80" s="258">
        <v>200</v>
      </c>
      <c r="I80" s="258">
        <v>200</v>
      </c>
      <c r="J80" s="258"/>
      <c r="K80" s="261"/>
      <c r="L80" s="132" t="s">
        <v>330</v>
      </c>
    </row>
    <row r="81" ht="15" customHeight="1" spans="1:12">
      <c r="A81" s="44" t="s">
        <v>554</v>
      </c>
      <c r="B81" s="258" t="s">
        <v>1040</v>
      </c>
      <c r="C81" s="29" t="s">
        <v>1200</v>
      </c>
      <c r="D81" s="29" t="s">
        <v>1201</v>
      </c>
      <c r="E81" s="158">
        <v>2020</v>
      </c>
      <c r="F81" s="158">
        <v>2020</v>
      </c>
      <c r="G81" s="258" t="s">
        <v>16</v>
      </c>
      <c r="H81" s="258">
        <v>200</v>
      </c>
      <c r="I81" s="258">
        <v>200</v>
      </c>
      <c r="J81" s="258"/>
      <c r="K81" s="261"/>
      <c r="L81" s="260" t="s">
        <v>330</v>
      </c>
    </row>
    <row r="82" ht="15" customHeight="1" spans="1:12">
      <c r="A82" s="44" t="s">
        <v>557</v>
      </c>
      <c r="B82" s="258" t="s">
        <v>1040</v>
      </c>
      <c r="C82" s="29" t="s">
        <v>1202</v>
      </c>
      <c r="D82" s="29" t="s">
        <v>1203</v>
      </c>
      <c r="E82" s="158">
        <v>2020</v>
      </c>
      <c r="F82" s="158">
        <v>2020</v>
      </c>
      <c r="G82" s="258" t="s">
        <v>16</v>
      </c>
      <c r="H82" s="258">
        <v>200</v>
      </c>
      <c r="I82" s="258">
        <v>200</v>
      </c>
      <c r="J82" s="258"/>
      <c r="K82" s="261"/>
      <c r="L82" s="132" t="s">
        <v>330</v>
      </c>
    </row>
    <row r="83" ht="15" customHeight="1" spans="1:12">
      <c r="A83" s="44" t="s">
        <v>560</v>
      </c>
      <c r="B83" s="258" t="s">
        <v>1040</v>
      </c>
      <c r="C83" s="29" t="s">
        <v>1204</v>
      </c>
      <c r="D83" s="29" t="s">
        <v>1205</v>
      </c>
      <c r="E83" s="158">
        <v>2020</v>
      </c>
      <c r="F83" s="158">
        <v>2020</v>
      </c>
      <c r="G83" s="258" t="s">
        <v>16</v>
      </c>
      <c r="H83" s="258">
        <v>200</v>
      </c>
      <c r="I83" s="258">
        <v>200</v>
      </c>
      <c r="J83" s="258"/>
      <c r="K83" s="261"/>
      <c r="L83" s="260" t="s">
        <v>330</v>
      </c>
    </row>
    <row r="84" ht="15" customHeight="1" spans="1:12">
      <c r="A84" s="44" t="s">
        <v>563</v>
      </c>
      <c r="B84" s="258" t="s">
        <v>1040</v>
      </c>
      <c r="C84" s="29" t="s">
        <v>1206</v>
      </c>
      <c r="D84" s="29" t="s">
        <v>1207</v>
      </c>
      <c r="E84" s="158">
        <v>2020</v>
      </c>
      <c r="F84" s="158">
        <v>2020</v>
      </c>
      <c r="G84" s="258" t="s">
        <v>16</v>
      </c>
      <c r="H84" s="258">
        <v>200</v>
      </c>
      <c r="I84" s="258">
        <v>200</v>
      </c>
      <c r="J84" s="258"/>
      <c r="K84" s="261"/>
      <c r="L84" s="132" t="s">
        <v>330</v>
      </c>
    </row>
    <row r="85" ht="15" customHeight="1" spans="1:12">
      <c r="A85" s="44" t="s">
        <v>566</v>
      </c>
      <c r="B85" s="258" t="s">
        <v>1040</v>
      </c>
      <c r="C85" s="29" t="s">
        <v>1208</v>
      </c>
      <c r="D85" s="29" t="s">
        <v>1209</v>
      </c>
      <c r="E85" s="158">
        <v>2020</v>
      </c>
      <c r="F85" s="158">
        <v>2020</v>
      </c>
      <c r="G85" s="258" t="s">
        <v>16</v>
      </c>
      <c r="H85" s="258">
        <v>200</v>
      </c>
      <c r="I85" s="258">
        <v>200</v>
      </c>
      <c r="J85" s="258"/>
      <c r="K85" s="261"/>
      <c r="L85" s="260" t="s">
        <v>330</v>
      </c>
    </row>
    <row r="86" ht="15" customHeight="1" spans="1:12">
      <c r="A86" s="44" t="s">
        <v>569</v>
      </c>
      <c r="B86" s="258" t="s">
        <v>1040</v>
      </c>
      <c r="C86" s="29" t="s">
        <v>1210</v>
      </c>
      <c r="D86" s="29" t="s">
        <v>1211</v>
      </c>
      <c r="E86" s="158">
        <v>2020</v>
      </c>
      <c r="F86" s="158">
        <v>2020</v>
      </c>
      <c r="G86" s="258" t="s">
        <v>16</v>
      </c>
      <c r="H86" s="258">
        <v>200</v>
      </c>
      <c r="I86" s="258">
        <v>200</v>
      </c>
      <c r="J86" s="258"/>
      <c r="K86" s="261"/>
      <c r="L86" s="132" t="s">
        <v>330</v>
      </c>
    </row>
    <row r="87" ht="15" customHeight="1" spans="1:12">
      <c r="A87" s="44" t="s">
        <v>572</v>
      </c>
      <c r="B87" s="258" t="s">
        <v>1040</v>
      </c>
      <c r="C87" s="29" t="s">
        <v>1212</v>
      </c>
      <c r="D87" s="29" t="s">
        <v>1213</v>
      </c>
      <c r="E87" s="158">
        <v>2020</v>
      </c>
      <c r="F87" s="158">
        <v>2020</v>
      </c>
      <c r="G87" s="258" t="s">
        <v>16</v>
      </c>
      <c r="H87" s="258">
        <v>200</v>
      </c>
      <c r="I87" s="258">
        <v>200</v>
      </c>
      <c r="J87" s="258"/>
      <c r="K87" s="261"/>
      <c r="L87" s="260" t="s">
        <v>330</v>
      </c>
    </row>
    <row r="88" ht="15" customHeight="1" spans="1:12">
      <c r="A88" s="44" t="s">
        <v>575</v>
      </c>
      <c r="B88" s="258" t="s">
        <v>1040</v>
      </c>
      <c r="C88" s="29" t="s">
        <v>1214</v>
      </c>
      <c r="D88" s="29" t="s">
        <v>1215</v>
      </c>
      <c r="E88" s="158">
        <v>2020</v>
      </c>
      <c r="F88" s="158">
        <v>2020</v>
      </c>
      <c r="G88" s="258" t="s">
        <v>16</v>
      </c>
      <c r="H88" s="258">
        <v>200</v>
      </c>
      <c r="I88" s="258">
        <v>200</v>
      </c>
      <c r="J88" s="258"/>
      <c r="K88" s="261"/>
      <c r="L88" s="132" t="s">
        <v>330</v>
      </c>
    </row>
    <row r="89" ht="15" customHeight="1" spans="1:12">
      <c r="A89" s="44" t="s">
        <v>578</v>
      </c>
      <c r="B89" s="29" t="s">
        <v>1040</v>
      </c>
      <c r="C89" s="29" t="s">
        <v>1216</v>
      </c>
      <c r="D89" s="29" t="s">
        <v>1217</v>
      </c>
      <c r="E89" s="158">
        <v>2020</v>
      </c>
      <c r="F89" s="158">
        <v>2020</v>
      </c>
      <c r="G89" s="29" t="s">
        <v>16</v>
      </c>
      <c r="H89" s="258">
        <v>200</v>
      </c>
      <c r="I89" s="258">
        <v>200</v>
      </c>
      <c r="J89" s="258"/>
      <c r="K89" s="261"/>
      <c r="L89" s="260" t="s">
        <v>330</v>
      </c>
    </row>
    <row r="90" ht="15" customHeight="1" spans="1:12">
      <c r="A90" s="44" t="s">
        <v>581</v>
      </c>
      <c r="B90" s="258" t="s">
        <v>1040</v>
      </c>
      <c r="C90" s="29" t="s">
        <v>1218</v>
      </c>
      <c r="D90" s="29" t="s">
        <v>1219</v>
      </c>
      <c r="E90" s="158">
        <v>2020</v>
      </c>
      <c r="F90" s="158">
        <v>2020</v>
      </c>
      <c r="G90" s="258" t="s">
        <v>16</v>
      </c>
      <c r="H90" s="258">
        <v>200</v>
      </c>
      <c r="I90" s="258">
        <v>200</v>
      </c>
      <c r="J90" s="29"/>
      <c r="K90" s="47"/>
      <c r="L90" s="132" t="s">
        <v>330</v>
      </c>
    </row>
    <row r="91" ht="15" customHeight="1" spans="1:12">
      <c r="A91" s="44" t="s">
        <v>584</v>
      </c>
      <c r="B91" s="258" t="s">
        <v>1040</v>
      </c>
      <c r="C91" s="29" t="s">
        <v>1220</v>
      </c>
      <c r="D91" s="29" t="s">
        <v>1221</v>
      </c>
      <c r="E91" s="158">
        <v>2020</v>
      </c>
      <c r="F91" s="158">
        <v>2020</v>
      </c>
      <c r="G91" s="258" t="s">
        <v>16</v>
      </c>
      <c r="H91" s="258">
        <v>200</v>
      </c>
      <c r="I91" s="258">
        <v>200</v>
      </c>
      <c r="J91" s="258"/>
      <c r="K91" s="261"/>
      <c r="L91" s="260" t="s">
        <v>330</v>
      </c>
    </row>
    <row r="92" ht="15" customHeight="1" spans="1:12">
      <c r="A92" s="44" t="s">
        <v>587</v>
      </c>
      <c r="B92" s="258" t="s">
        <v>1040</v>
      </c>
      <c r="C92" s="29" t="s">
        <v>1222</v>
      </c>
      <c r="D92" s="29" t="s">
        <v>1223</v>
      </c>
      <c r="E92" s="158">
        <v>2020</v>
      </c>
      <c r="F92" s="158">
        <v>2020</v>
      </c>
      <c r="G92" s="258" t="s">
        <v>16</v>
      </c>
      <c r="H92" s="258">
        <v>200</v>
      </c>
      <c r="I92" s="258">
        <v>200</v>
      </c>
      <c r="J92" s="258"/>
      <c r="K92" s="261"/>
      <c r="L92" s="132" t="s">
        <v>330</v>
      </c>
    </row>
    <row r="93" ht="15" customHeight="1" spans="1:12">
      <c r="A93" s="44" t="s">
        <v>590</v>
      </c>
      <c r="B93" s="258" t="s">
        <v>1040</v>
      </c>
      <c r="C93" s="29" t="s">
        <v>1224</v>
      </c>
      <c r="D93" s="29" t="s">
        <v>1225</v>
      </c>
      <c r="E93" s="158">
        <v>2020</v>
      </c>
      <c r="F93" s="158">
        <v>2020</v>
      </c>
      <c r="G93" s="258" t="s">
        <v>16</v>
      </c>
      <c r="H93" s="258">
        <v>200</v>
      </c>
      <c r="I93" s="258">
        <v>200</v>
      </c>
      <c r="J93" s="258"/>
      <c r="K93" s="261"/>
      <c r="L93" s="260" t="s">
        <v>330</v>
      </c>
    </row>
    <row r="94" ht="15" customHeight="1" spans="1:12">
      <c r="A94" s="44" t="s">
        <v>593</v>
      </c>
      <c r="B94" s="258" t="s">
        <v>1040</v>
      </c>
      <c r="C94" s="29" t="s">
        <v>1226</v>
      </c>
      <c r="D94" s="29" t="s">
        <v>1227</v>
      </c>
      <c r="E94" s="158">
        <v>2020</v>
      </c>
      <c r="F94" s="158">
        <v>2020</v>
      </c>
      <c r="G94" s="258" t="s">
        <v>16</v>
      </c>
      <c r="H94" s="258">
        <v>200</v>
      </c>
      <c r="I94" s="258">
        <v>200</v>
      </c>
      <c r="J94" s="258"/>
      <c r="K94" s="261"/>
      <c r="L94" s="132" t="s">
        <v>330</v>
      </c>
    </row>
    <row r="95" ht="15" customHeight="1" spans="1:12">
      <c r="A95" s="44" t="s">
        <v>596</v>
      </c>
      <c r="B95" s="258" t="s">
        <v>1040</v>
      </c>
      <c r="C95" s="29" t="s">
        <v>1228</v>
      </c>
      <c r="D95" s="29" t="s">
        <v>1229</v>
      </c>
      <c r="E95" s="158">
        <v>2020</v>
      </c>
      <c r="F95" s="158">
        <v>2020</v>
      </c>
      <c r="G95" s="258" t="s">
        <v>16</v>
      </c>
      <c r="H95" s="258">
        <v>200</v>
      </c>
      <c r="I95" s="258">
        <v>200</v>
      </c>
      <c r="J95" s="258"/>
      <c r="K95" s="261"/>
      <c r="L95" s="260" t="s">
        <v>330</v>
      </c>
    </row>
    <row r="96" ht="15" customHeight="1" spans="1:12">
      <c r="A96" s="44" t="s">
        <v>599</v>
      </c>
      <c r="B96" s="258" t="s">
        <v>1040</v>
      </c>
      <c r="C96" s="29" t="s">
        <v>1230</v>
      </c>
      <c r="D96" s="29" t="s">
        <v>1231</v>
      </c>
      <c r="E96" s="158">
        <v>2020</v>
      </c>
      <c r="F96" s="158">
        <v>2020</v>
      </c>
      <c r="G96" s="258" t="s">
        <v>16</v>
      </c>
      <c r="H96" s="258">
        <v>200</v>
      </c>
      <c r="I96" s="258">
        <v>200</v>
      </c>
      <c r="J96" s="258"/>
      <c r="K96" s="261"/>
      <c r="L96" s="132" t="s">
        <v>330</v>
      </c>
    </row>
    <row r="97" ht="15" customHeight="1" spans="1:12">
      <c r="A97" s="44" t="s">
        <v>602</v>
      </c>
      <c r="B97" s="258" t="s">
        <v>1040</v>
      </c>
      <c r="C97" s="29" t="s">
        <v>1232</v>
      </c>
      <c r="D97" s="29" t="s">
        <v>1233</v>
      </c>
      <c r="E97" s="158">
        <v>2020</v>
      </c>
      <c r="F97" s="158">
        <v>2020</v>
      </c>
      <c r="G97" s="258" t="s">
        <v>16</v>
      </c>
      <c r="H97" s="258">
        <v>200</v>
      </c>
      <c r="I97" s="258">
        <v>200</v>
      </c>
      <c r="J97" s="258"/>
      <c r="K97" s="261"/>
      <c r="L97" s="260" t="s">
        <v>330</v>
      </c>
    </row>
    <row r="98" ht="15" customHeight="1" spans="1:12">
      <c r="A98" s="44" t="s">
        <v>605</v>
      </c>
      <c r="B98" s="258" t="s">
        <v>1040</v>
      </c>
      <c r="C98" s="29" t="s">
        <v>1234</v>
      </c>
      <c r="D98" s="29" t="s">
        <v>1235</v>
      </c>
      <c r="E98" s="158">
        <v>2020</v>
      </c>
      <c r="F98" s="158">
        <v>2020</v>
      </c>
      <c r="G98" s="258" t="s">
        <v>16</v>
      </c>
      <c r="H98" s="258">
        <v>200</v>
      </c>
      <c r="I98" s="258">
        <v>200</v>
      </c>
      <c r="J98" s="258"/>
      <c r="K98" s="261"/>
      <c r="L98" s="132" t="s">
        <v>330</v>
      </c>
    </row>
    <row r="99" ht="15" customHeight="1" spans="1:12">
      <c r="A99" s="44" t="s">
        <v>608</v>
      </c>
      <c r="B99" s="29" t="s">
        <v>1040</v>
      </c>
      <c r="C99" s="29" t="s">
        <v>1236</v>
      </c>
      <c r="D99" s="29" t="s">
        <v>1237</v>
      </c>
      <c r="E99" s="30">
        <v>2020</v>
      </c>
      <c r="F99" s="30">
        <v>2020</v>
      </c>
      <c r="G99" s="29" t="s">
        <v>16</v>
      </c>
      <c r="H99" s="29">
        <v>200</v>
      </c>
      <c r="I99" s="29">
        <v>200</v>
      </c>
      <c r="J99" s="258"/>
      <c r="K99" s="261"/>
      <c r="L99" s="260" t="s">
        <v>330</v>
      </c>
    </row>
    <row r="100" ht="15" customHeight="1" spans="1:12">
      <c r="A100" s="44" t="s">
        <v>611</v>
      </c>
      <c r="B100" s="29" t="s">
        <v>1040</v>
      </c>
      <c r="C100" s="29" t="s">
        <v>1238</v>
      </c>
      <c r="D100" s="29" t="s">
        <v>1239</v>
      </c>
      <c r="E100" s="30">
        <v>2020</v>
      </c>
      <c r="F100" s="30">
        <v>2020</v>
      </c>
      <c r="G100" s="29" t="s">
        <v>16</v>
      </c>
      <c r="H100" s="29">
        <v>200</v>
      </c>
      <c r="I100" s="29">
        <v>200</v>
      </c>
      <c r="J100" s="29"/>
      <c r="K100" s="47"/>
      <c r="L100" s="132" t="s">
        <v>330</v>
      </c>
    </row>
    <row r="101" ht="15" customHeight="1" spans="1:12">
      <c r="A101" s="44" t="s">
        <v>614</v>
      </c>
      <c r="B101" s="258" t="s">
        <v>1040</v>
      </c>
      <c r="C101" s="29" t="s">
        <v>1240</v>
      </c>
      <c r="D101" s="29" t="s">
        <v>1241</v>
      </c>
      <c r="E101" s="158">
        <v>2020</v>
      </c>
      <c r="F101" s="158">
        <v>2020</v>
      </c>
      <c r="G101" s="258" t="s">
        <v>16</v>
      </c>
      <c r="H101" s="258">
        <v>200</v>
      </c>
      <c r="I101" s="258">
        <v>200</v>
      </c>
      <c r="J101" s="258" t="s">
        <v>1242</v>
      </c>
      <c r="K101" s="47"/>
      <c r="L101" s="260" t="s">
        <v>330</v>
      </c>
    </row>
    <row r="102" ht="15" customHeight="1" spans="1:12">
      <c r="A102" s="44" t="s">
        <v>617</v>
      </c>
      <c r="B102" s="258" t="s">
        <v>1040</v>
      </c>
      <c r="C102" s="29" t="s">
        <v>1243</v>
      </c>
      <c r="D102" s="29" t="s">
        <v>1244</v>
      </c>
      <c r="E102" s="158">
        <v>2020</v>
      </c>
      <c r="F102" s="158">
        <v>2020</v>
      </c>
      <c r="G102" s="258" t="s">
        <v>16</v>
      </c>
      <c r="H102" s="258">
        <v>200</v>
      </c>
      <c r="I102" s="258">
        <v>200</v>
      </c>
      <c r="J102" s="258" t="s">
        <v>1242</v>
      </c>
      <c r="K102" s="261"/>
      <c r="L102" s="132" t="s">
        <v>330</v>
      </c>
    </row>
    <row r="103" ht="15" customHeight="1" spans="1:12">
      <c r="A103" s="44" t="s">
        <v>620</v>
      </c>
      <c r="B103" s="29" t="s">
        <v>1040</v>
      </c>
      <c r="C103" s="29" t="s">
        <v>1245</v>
      </c>
      <c r="D103" s="29" t="s">
        <v>1246</v>
      </c>
      <c r="E103" s="158">
        <v>2020</v>
      </c>
      <c r="F103" s="158">
        <v>2020</v>
      </c>
      <c r="G103" s="258" t="s">
        <v>16</v>
      </c>
      <c r="H103" s="258">
        <v>1000</v>
      </c>
      <c r="I103" s="258">
        <v>1000</v>
      </c>
      <c r="J103" s="258"/>
      <c r="K103" s="261"/>
      <c r="L103" s="260" t="s">
        <v>330</v>
      </c>
    </row>
    <row r="104" ht="15" customHeight="1" spans="1:12">
      <c r="A104" s="44" t="s">
        <v>623</v>
      </c>
      <c r="B104" s="29" t="s">
        <v>1040</v>
      </c>
      <c r="C104" s="29" t="s">
        <v>1247</v>
      </c>
      <c r="D104" s="29" t="s">
        <v>1248</v>
      </c>
      <c r="E104" s="158">
        <v>2020</v>
      </c>
      <c r="F104" s="158">
        <v>2020</v>
      </c>
      <c r="G104" s="258" t="s">
        <v>16</v>
      </c>
      <c r="H104" s="258">
        <v>1000</v>
      </c>
      <c r="I104" s="258">
        <v>1000</v>
      </c>
      <c r="J104" s="29"/>
      <c r="K104" s="47"/>
      <c r="L104" s="132" t="s">
        <v>330</v>
      </c>
    </row>
    <row r="105" ht="15" customHeight="1" spans="1:12">
      <c r="A105" s="44" t="s">
        <v>626</v>
      </c>
      <c r="B105" s="29" t="s">
        <v>1040</v>
      </c>
      <c r="C105" s="29" t="s">
        <v>1249</v>
      </c>
      <c r="D105" s="29" t="s">
        <v>1250</v>
      </c>
      <c r="E105" s="158">
        <v>2020</v>
      </c>
      <c r="F105" s="158">
        <v>2020</v>
      </c>
      <c r="G105" s="29" t="s">
        <v>16</v>
      </c>
      <c r="H105" s="258">
        <v>200</v>
      </c>
      <c r="I105" s="258">
        <v>200</v>
      </c>
      <c r="J105" s="29"/>
      <c r="K105" s="47"/>
      <c r="L105" s="260" t="s">
        <v>330</v>
      </c>
    </row>
    <row r="106" ht="15" customHeight="1" spans="1:12">
      <c r="A106" s="44" t="s">
        <v>629</v>
      </c>
      <c r="B106" s="258" t="s">
        <v>1040</v>
      </c>
      <c r="C106" s="29" t="s">
        <v>1251</v>
      </c>
      <c r="D106" s="29" t="s">
        <v>1252</v>
      </c>
      <c r="E106" s="158">
        <v>2020</v>
      </c>
      <c r="F106" s="158">
        <v>2020</v>
      </c>
      <c r="G106" s="258" t="s">
        <v>16</v>
      </c>
      <c r="H106" s="258">
        <v>200</v>
      </c>
      <c r="I106" s="258">
        <v>200</v>
      </c>
      <c r="J106" s="29"/>
      <c r="K106" s="47"/>
      <c r="L106" s="132" t="s">
        <v>330</v>
      </c>
    </row>
    <row r="107" ht="15" customHeight="1" spans="1:12">
      <c r="A107" s="44" t="s">
        <v>632</v>
      </c>
      <c r="B107" s="258" t="s">
        <v>1040</v>
      </c>
      <c r="C107" s="29" t="s">
        <v>1253</v>
      </c>
      <c r="D107" s="29" t="s">
        <v>1254</v>
      </c>
      <c r="E107" s="158">
        <v>2020</v>
      </c>
      <c r="F107" s="158">
        <v>2020</v>
      </c>
      <c r="G107" s="258" t="s">
        <v>16</v>
      </c>
      <c r="H107" s="258">
        <v>200</v>
      </c>
      <c r="I107" s="258">
        <v>200</v>
      </c>
      <c r="J107" s="258"/>
      <c r="K107" s="261"/>
      <c r="L107" s="260" t="s">
        <v>330</v>
      </c>
    </row>
    <row r="108" ht="15" customHeight="1" spans="1:12">
      <c r="A108" s="44" t="s">
        <v>635</v>
      </c>
      <c r="B108" s="258" t="s">
        <v>1040</v>
      </c>
      <c r="C108" s="29" t="s">
        <v>1255</v>
      </c>
      <c r="D108" s="29" t="s">
        <v>1256</v>
      </c>
      <c r="E108" s="158">
        <v>2020</v>
      </c>
      <c r="F108" s="158">
        <v>2020</v>
      </c>
      <c r="G108" s="258" t="s">
        <v>16</v>
      </c>
      <c r="H108" s="258">
        <v>200</v>
      </c>
      <c r="I108" s="258">
        <v>200</v>
      </c>
      <c r="J108" s="258"/>
      <c r="K108" s="261"/>
      <c r="L108" s="132" t="s">
        <v>330</v>
      </c>
    </row>
    <row r="109" ht="15" customHeight="1" spans="1:12">
      <c r="A109" s="44" t="s">
        <v>638</v>
      </c>
      <c r="B109" s="258" t="s">
        <v>1040</v>
      </c>
      <c r="C109" s="29" t="s">
        <v>1257</v>
      </c>
      <c r="D109" s="29" t="s">
        <v>1258</v>
      </c>
      <c r="E109" s="158">
        <v>2020</v>
      </c>
      <c r="F109" s="158">
        <v>2020</v>
      </c>
      <c r="G109" s="258" t="s">
        <v>16</v>
      </c>
      <c r="H109" s="258">
        <v>200</v>
      </c>
      <c r="I109" s="258">
        <v>200</v>
      </c>
      <c r="J109" s="258"/>
      <c r="K109" s="261"/>
      <c r="L109" s="260" t="s">
        <v>330</v>
      </c>
    </row>
    <row r="110" ht="15" customHeight="1" spans="1:12">
      <c r="A110" s="44" t="s">
        <v>641</v>
      </c>
      <c r="B110" s="258" t="s">
        <v>1040</v>
      </c>
      <c r="C110" s="29" t="s">
        <v>1259</v>
      </c>
      <c r="D110" s="29" t="s">
        <v>1260</v>
      </c>
      <c r="E110" s="158">
        <v>2020</v>
      </c>
      <c r="F110" s="158">
        <v>2020</v>
      </c>
      <c r="G110" s="258" t="s">
        <v>16</v>
      </c>
      <c r="H110" s="258">
        <v>200</v>
      </c>
      <c r="I110" s="258">
        <v>200</v>
      </c>
      <c r="J110" s="258"/>
      <c r="K110" s="261"/>
      <c r="L110" s="132" t="s">
        <v>330</v>
      </c>
    </row>
    <row r="111" ht="15" customHeight="1" spans="1:12">
      <c r="A111" s="44" t="s">
        <v>644</v>
      </c>
      <c r="B111" s="258" t="s">
        <v>1040</v>
      </c>
      <c r="C111" s="29" t="s">
        <v>1261</v>
      </c>
      <c r="D111" s="29" t="s">
        <v>1262</v>
      </c>
      <c r="E111" s="158">
        <v>2020</v>
      </c>
      <c r="F111" s="158">
        <v>2020</v>
      </c>
      <c r="G111" s="258" t="s">
        <v>16</v>
      </c>
      <c r="H111" s="258">
        <v>200</v>
      </c>
      <c r="I111" s="258">
        <v>200</v>
      </c>
      <c r="J111" s="258"/>
      <c r="K111" s="261"/>
      <c r="L111" s="260" t="s">
        <v>330</v>
      </c>
    </row>
    <row r="112" ht="15" customHeight="1" spans="1:12">
      <c r="A112" s="44" t="s">
        <v>647</v>
      </c>
      <c r="B112" s="258" t="s">
        <v>1040</v>
      </c>
      <c r="C112" s="29" t="s">
        <v>1263</v>
      </c>
      <c r="D112" s="29" t="s">
        <v>1264</v>
      </c>
      <c r="E112" s="158">
        <v>2020</v>
      </c>
      <c r="F112" s="158">
        <v>2020</v>
      </c>
      <c r="G112" s="258" t="s">
        <v>16</v>
      </c>
      <c r="H112" s="258">
        <v>200</v>
      </c>
      <c r="I112" s="258">
        <v>200</v>
      </c>
      <c r="J112" s="258"/>
      <c r="K112" s="261"/>
      <c r="L112" s="132" t="s">
        <v>330</v>
      </c>
    </row>
    <row r="113" ht="15" customHeight="1" spans="1:12">
      <c r="A113" s="44" t="s">
        <v>650</v>
      </c>
      <c r="B113" s="258" t="s">
        <v>1040</v>
      </c>
      <c r="C113" s="29" t="s">
        <v>1265</v>
      </c>
      <c r="D113" s="29" t="s">
        <v>1266</v>
      </c>
      <c r="E113" s="158">
        <v>2020</v>
      </c>
      <c r="F113" s="158">
        <v>2020</v>
      </c>
      <c r="G113" s="258" t="s">
        <v>16</v>
      </c>
      <c r="H113" s="258">
        <v>200</v>
      </c>
      <c r="I113" s="258">
        <v>200</v>
      </c>
      <c r="J113" s="258"/>
      <c r="K113" s="261"/>
      <c r="L113" s="260" t="s">
        <v>330</v>
      </c>
    </row>
    <row r="114" ht="15" customHeight="1" spans="1:12">
      <c r="A114" s="44" t="s">
        <v>653</v>
      </c>
      <c r="B114" s="258" t="s">
        <v>1040</v>
      </c>
      <c r="C114" s="29" t="s">
        <v>1267</v>
      </c>
      <c r="D114" s="29" t="s">
        <v>1268</v>
      </c>
      <c r="E114" s="158">
        <v>2020</v>
      </c>
      <c r="F114" s="158">
        <v>2020</v>
      </c>
      <c r="G114" s="258" t="s">
        <v>16</v>
      </c>
      <c r="H114" s="258">
        <v>200</v>
      </c>
      <c r="I114" s="258">
        <v>200</v>
      </c>
      <c r="J114" s="258"/>
      <c r="K114" s="261"/>
      <c r="L114" s="132" t="s">
        <v>330</v>
      </c>
    </row>
    <row r="115" ht="15" customHeight="1" spans="1:12">
      <c r="A115" s="44" t="s">
        <v>656</v>
      </c>
      <c r="B115" s="258" t="s">
        <v>1040</v>
      </c>
      <c r="C115" s="29" t="s">
        <v>1269</v>
      </c>
      <c r="D115" s="29" t="s">
        <v>1270</v>
      </c>
      <c r="E115" s="158">
        <v>2020</v>
      </c>
      <c r="F115" s="158">
        <v>2020</v>
      </c>
      <c r="G115" s="258" t="s">
        <v>16</v>
      </c>
      <c r="H115" s="258">
        <v>200</v>
      </c>
      <c r="I115" s="258">
        <v>200</v>
      </c>
      <c r="J115" s="258"/>
      <c r="K115" s="261"/>
      <c r="L115" s="260" t="s">
        <v>330</v>
      </c>
    </row>
    <row r="116" ht="15" customHeight="1" spans="1:12">
      <c r="A116" s="44" t="s">
        <v>659</v>
      </c>
      <c r="B116" s="29" t="s">
        <v>1040</v>
      </c>
      <c r="C116" s="29" t="s">
        <v>1271</v>
      </c>
      <c r="D116" s="29" t="s">
        <v>1272</v>
      </c>
      <c r="E116" s="30">
        <v>2020</v>
      </c>
      <c r="F116" s="30">
        <v>2020</v>
      </c>
      <c r="G116" s="29" t="s">
        <v>16</v>
      </c>
      <c r="H116" s="29">
        <v>200</v>
      </c>
      <c r="I116" s="29">
        <v>200</v>
      </c>
      <c r="J116" s="258"/>
      <c r="K116" s="261"/>
      <c r="L116" s="132" t="s">
        <v>330</v>
      </c>
    </row>
    <row r="117" ht="15" customHeight="1" spans="1:12">
      <c r="A117" s="44" t="s">
        <v>662</v>
      </c>
      <c r="B117" s="258" t="s">
        <v>1040</v>
      </c>
      <c r="C117" s="29" t="s">
        <v>1273</v>
      </c>
      <c r="D117" s="29" t="s">
        <v>1274</v>
      </c>
      <c r="E117" s="158">
        <v>2020</v>
      </c>
      <c r="F117" s="158">
        <v>2020</v>
      </c>
      <c r="G117" s="258" t="s">
        <v>16</v>
      </c>
      <c r="H117" s="258">
        <v>200</v>
      </c>
      <c r="I117" s="258">
        <v>200</v>
      </c>
      <c r="J117" s="29"/>
      <c r="K117" s="47"/>
      <c r="L117" s="260" t="s">
        <v>330</v>
      </c>
    </row>
    <row r="118" ht="15" customHeight="1" spans="1:12">
      <c r="A118" s="44" t="s">
        <v>665</v>
      </c>
      <c r="B118" s="258" t="s">
        <v>1040</v>
      </c>
      <c r="C118" s="29" t="s">
        <v>1275</v>
      </c>
      <c r="D118" s="29" t="s">
        <v>1276</v>
      </c>
      <c r="E118" s="158">
        <v>2020</v>
      </c>
      <c r="F118" s="158">
        <v>2020</v>
      </c>
      <c r="G118" s="258" t="s">
        <v>16</v>
      </c>
      <c r="H118" s="258">
        <v>200</v>
      </c>
      <c r="I118" s="258">
        <v>200</v>
      </c>
      <c r="J118" s="258"/>
      <c r="K118" s="261"/>
      <c r="L118" s="132" t="s">
        <v>330</v>
      </c>
    </row>
    <row r="119" ht="15" customHeight="1" spans="1:12">
      <c r="A119" s="44" t="s">
        <v>668</v>
      </c>
      <c r="B119" s="258" t="s">
        <v>1040</v>
      </c>
      <c r="C119" s="29" t="s">
        <v>1277</v>
      </c>
      <c r="D119" s="29" t="s">
        <v>1278</v>
      </c>
      <c r="E119" s="158">
        <v>2020</v>
      </c>
      <c r="F119" s="158">
        <v>2020</v>
      </c>
      <c r="G119" s="258" t="s">
        <v>16</v>
      </c>
      <c r="H119" s="258">
        <v>200</v>
      </c>
      <c r="I119" s="258">
        <v>200</v>
      </c>
      <c r="J119" s="258"/>
      <c r="K119" s="261"/>
      <c r="L119" s="260" t="s">
        <v>330</v>
      </c>
    </row>
    <row r="120" ht="15" customHeight="1" spans="1:12">
      <c r="A120" s="44" t="s">
        <v>671</v>
      </c>
      <c r="B120" s="258" t="s">
        <v>1040</v>
      </c>
      <c r="C120" s="29" t="s">
        <v>1279</v>
      </c>
      <c r="D120" s="29" t="s">
        <v>1280</v>
      </c>
      <c r="E120" s="158">
        <v>2020</v>
      </c>
      <c r="F120" s="158">
        <v>2020</v>
      </c>
      <c r="G120" s="258" t="s">
        <v>16</v>
      </c>
      <c r="H120" s="258">
        <v>200</v>
      </c>
      <c r="I120" s="258">
        <v>200</v>
      </c>
      <c r="J120" s="258"/>
      <c r="K120" s="261"/>
      <c r="L120" s="132" t="s">
        <v>330</v>
      </c>
    </row>
    <row r="121" ht="15" customHeight="1" spans="1:12">
      <c r="A121" s="44" t="s">
        <v>674</v>
      </c>
      <c r="B121" s="258" t="s">
        <v>1040</v>
      </c>
      <c r="C121" s="29" t="s">
        <v>1281</v>
      </c>
      <c r="D121" s="29" t="s">
        <v>1282</v>
      </c>
      <c r="E121" s="158">
        <v>2020</v>
      </c>
      <c r="F121" s="158">
        <v>2020</v>
      </c>
      <c r="G121" s="258" t="s">
        <v>16</v>
      </c>
      <c r="H121" s="258">
        <v>200</v>
      </c>
      <c r="I121" s="258">
        <v>200</v>
      </c>
      <c r="J121" s="258" t="s">
        <v>1082</v>
      </c>
      <c r="K121" s="261"/>
      <c r="L121" s="260" t="s">
        <v>330</v>
      </c>
    </row>
    <row r="122" ht="15" customHeight="1" spans="1:12">
      <c r="A122" s="44" t="s">
        <v>677</v>
      </c>
      <c r="B122" s="258" t="s">
        <v>1040</v>
      </c>
      <c r="C122" s="29" t="s">
        <v>1283</v>
      </c>
      <c r="D122" s="29" t="s">
        <v>1284</v>
      </c>
      <c r="E122" s="158">
        <v>2020</v>
      </c>
      <c r="F122" s="158">
        <v>2020</v>
      </c>
      <c r="G122" s="258" t="s">
        <v>16</v>
      </c>
      <c r="H122" s="258">
        <v>200</v>
      </c>
      <c r="I122" s="258">
        <v>200</v>
      </c>
      <c r="J122" s="258" t="s">
        <v>1082</v>
      </c>
      <c r="K122" s="261"/>
      <c r="L122" s="132" t="s">
        <v>330</v>
      </c>
    </row>
    <row r="123" ht="15" customHeight="1" spans="1:12">
      <c r="A123" s="44" t="s">
        <v>680</v>
      </c>
      <c r="B123" s="258" t="s">
        <v>1040</v>
      </c>
      <c r="C123" s="29" t="s">
        <v>1285</v>
      </c>
      <c r="D123" s="29" t="s">
        <v>1286</v>
      </c>
      <c r="E123" s="158">
        <v>2020</v>
      </c>
      <c r="F123" s="158">
        <v>2020</v>
      </c>
      <c r="G123" s="258" t="s">
        <v>16</v>
      </c>
      <c r="H123" s="258">
        <v>200</v>
      </c>
      <c r="I123" s="258">
        <v>200</v>
      </c>
      <c r="J123" s="258"/>
      <c r="K123" s="261"/>
      <c r="L123" s="260" t="s">
        <v>330</v>
      </c>
    </row>
    <row r="124" ht="15" customHeight="1" spans="1:12">
      <c r="A124" s="44" t="s">
        <v>683</v>
      </c>
      <c r="B124" s="258" t="s">
        <v>1040</v>
      </c>
      <c r="C124" s="29" t="s">
        <v>1287</v>
      </c>
      <c r="D124" s="29" t="s">
        <v>1288</v>
      </c>
      <c r="E124" s="158">
        <v>2020</v>
      </c>
      <c r="F124" s="158">
        <v>2020</v>
      </c>
      <c r="G124" s="258" t="s">
        <v>16</v>
      </c>
      <c r="H124" s="258">
        <v>200</v>
      </c>
      <c r="I124" s="258">
        <v>200</v>
      </c>
      <c r="J124" s="258"/>
      <c r="K124" s="261"/>
      <c r="L124" s="132" t="s">
        <v>330</v>
      </c>
    </row>
    <row r="125" ht="15" customHeight="1" spans="1:12">
      <c r="A125" s="44" t="s">
        <v>686</v>
      </c>
      <c r="B125" s="258" t="s">
        <v>1040</v>
      </c>
      <c r="C125" s="29" t="s">
        <v>1289</v>
      </c>
      <c r="D125" s="29" t="s">
        <v>1290</v>
      </c>
      <c r="E125" s="158">
        <v>2020</v>
      </c>
      <c r="F125" s="158">
        <v>2020</v>
      </c>
      <c r="G125" s="258" t="s">
        <v>16</v>
      </c>
      <c r="H125" s="258">
        <v>200</v>
      </c>
      <c r="I125" s="258">
        <v>200</v>
      </c>
      <c r="J125" s="258"/>
      <c r="K125" s="261"/>
      <c r="L125" s="260" t="s">
        <v>330</v>
      </c>
    </row>
    <row r="126" ht="15" customHeight="1" spans="1:12">
      <c r="A126" s="44" t="s">
        <v>689</v>
      </c>
      <c r="B126" s="258" t="s">
        <v>1040</v>
      </c>
      <c r="C126" s="29" t="s">
        <v>1291</v>
      </c>
      <c r="D126" s="29" t="s">
        <v>1292</v>
      </c>
      <c r="E126" s="158">
        <v>2020</v>
      </c>
      <c r="F126" s="158">
        <v>2020</v>
      </c>
      <c r="G126" s="258" t="s">
        <v>16</v>
      </c>
      <c r="H126" s="258">
        <v>200</v>
      </c>
      <c r="I126" s="258">
        <v>200</v>
      </c>
      <c r="J126" s="258"/>
      <c r="K126" s="261"/>
      <c r="L126" s="132" t="s">
        <v>330</v>
      </c>
    </row>
    <row r="127" ht="15" customHeight="1" spans="1:12">
      <c r="A127" s="44" t="s">
        <v>692</v>
      </c>
      <c r="B127" s="258" t="s">
        <v>1040</v>
      </c>
      <c r="C127" s="29" t="s">
        <v>1293</v>
      </c>
      <c r="D127" s="29" t="s">
        <v>1294</v>
      </c>
      <c r="E127" s="158">
        <v>2020</v>
      </c>
      <c r="F127" s="158">
        <v>2020</v>
      </c>
      <c r="G127" s="258" t="s">
        <v>16</v>
      </c>
      <c r="H127" s="258">
        <v>200</v>
      </c>
      <c r="I127" s="258">
        <v>200</v>
      </c>
      <c r="J127" s="258"/>
      <c r="K127" s="261"/>
      <c r="L127" s="260" t="s">
        <v>330</v>
      </c>
    </row>
    <row r="128" ht="15" customHeight="1" spans="1:12">
      <c r="A128" s="44" t="s">
        <v>695</v>
      </c>
      <c r="B128" s="258" t="s">
        <v>1040</v>
      </c>
      <c r="C128" s="29" t="s">
        <v>1295</v>
      </c>
      <c r="D128" s="29" t="s">
        <v>1296</v>
      </c>
      <c r="E128" s="158">
        <v>2020</v>
      </c>
      <c r="F128" s="158">
        <v>2020</v>
      </c>
      <c r="G128" s="258" t="s">
        <v>16</v>
      </c>
      <c r="H128" s="258">
        <v>200</v>
      </c>
      <c r="I128" s="258">
        <v>200</v>
      </c>
      <c r="J128" s="258"/>
      <c r="K128" s="261"/>
      <c r="L128" s="132" t="s">
        <v>330</v>
      </c>
    </row>
    <row r="129" ht="15" customHeight="1" spans="1:12">
      <c r="A129" s="44" t="s">
        <v>698</v>
      </c>
      <c r="B129" s="258" t="s">
        <v>1040</v>
      </c>
      <c r="C129" s="29" t="s">
        <v>1297</v>
      </c>
      <c r="D129" s="29" t="s">
        <v>1298</v>
      </c>
      <c r="E129" s="158">
        <v>2020</v>
      </c>
      <c r="F129" s="158">
        <v>2020</v>
      </c>
      <c r="G129" s="258" t="s">
        <v>16</v>
      </c>
      <c r="H129" s="258">
        <v>200</v>
      </c>
      <c r="I129" s="258">
        <v>200</v>
      </c>
      <c r="J129" s="258"/>
      <c r="K129" s="261"/>
      <c r="L129" s="260" t="s">
        <v>330</v>
      </c>
    </row>
    <row r="130" ht="15" customHeight="1" spans="1:12">
      <c r="A130" s="44" t="s">
        <v>701</v>
      </c>
      <c r="B130" s="258" t="s">
        <v>1040</v>
      </c>
      <c r="C130" s="29" t="s">
        <v>1299</v>
      </c>
      <c r="D130" s="29" t="s">
        <v>1300</v>
      </c>
      <c r="E130" s="158">
        <v>2020</v>
      </c>
      <c r="F130" s="158">
        <v>2020</v>
      </c>
      <c r="G130" s="258" t="s">
        <v>16</v>
      </c>
      <c r="H130" s="258">
        <v>200</v>
      </c>
      <c r="I130" s="258">
        <v>200</v>
      </c>
      <c r="J130" s="258"/>
      <c r="K130" s="261"/>
      <c r="L130" s="132" t="s">
        <v>330</v>
      </c>
    </row>
    <row r="131" ht="15" customHeight="1" spans="1:12">
      <c r="A131" s="44" t="s">
        <v>704</v>
      </c>
      <c r="B131" s="258" t="s">
        <v>1040</v>
      </c>
      <c r="C131" s="29" t="s">
        <v>1301</v>
      </c>
      <c r="D131" s="29" t="s">
        <v>1302</v>
      </c>
      <c r="E131" s="158">
        <v>2020</v>
      </c>
      <c r="F131" s="158">
        <v>2020</v>
      </c>
      <c r="G131" s="258" t="s">
        <v>16</v>
      </c>
      <c r="H131" s="258">
        <v>200</v>
      </c>
      <c r="I131" s="258">
        <v>200</v>
      </c>
      <c r="J131" s="258"/>
      <c r="K131" s="261"/>
      <c r="L131" s="260" t="s">
        <v>330</v>
      </c>
    </row>
    <row r="132" ht="15" customHeight="1" spans="1:12">
      <c r="A132" s="44" t="s">
        <v>707</v>
      </c>
      <c r="B132" s="258" t="s">
        <v>1040</v>
      </c>
      <c r="C132" s="29" t="s">
        <v>1303</v>
      </c>
      <c r="D132" s="29" t="s">
        <v>1304</v>
      </c>
      <c r="E132" s="158">
        <v>2020</v>
      </c>
      <c r="F132" s="158">
        <v>2020</v>
      </c>
      <c r="G132" s="258" t="s">
        <v>16</v>
      </c>
      <c r="H132" s="258">
        <v>200</v>
      </c>
      <c r="I132" s="258">
        <v>200</v>
      </c>
      <c r="J132" s="258"/>
      <c r="K132" s="261"/>
      <c r="L132" s="132" t="s">
        <v>330</v>
      </c>
    </row>
    <row r="133" ht="15" customHeight="1" spans="1:12">
      <c r="A133" s="44" t="s">
        <v>710</v>
      </c>
      <c r="B133" s="258" t="s">
        <v>1040</v>
      </c>
      <c r="C133" s="29" t="s">
        <v>1305</v>
      </c>
      <c r="D133" s="29" t="s">
        <v>1306</v>
      </c>
      <c r="E133" s="158">
        <v>2020</v>
      </c>
      <c r="F133" s="158">
        <v>2020</v>
      </c>
      <c r="G133" s="258" t="s">
        <v>16</v>
      </c>
      <c r="H133" s="258">
        <v>200</v>
      </c>
      <c r="I133" s="258">
        <v>200</v>
      </c>
      <c r="J133" s="258"/>
      <c r="K133" s="261"/>
      <c r="L133" s="260" t="s">
        <v>330</v>
      </c>
    </row>
    <row r="134" ht="15" customHeight="1" spans="1:12">
      <c r="A134" s="44" t="s">
        <v>713</v>
      </c>
      <c r="B134" s="29" t="s">
        <v>1040</v>
      </c>
      <c r="C134" s="29" t="s">
        <v>1307</v>
      </c>
      <c r="D134" s="29" t="s">
        <v>1308</v>
      </c>
      <c r="E134" s="30">
        <v>2020</v>
      </c>
      <c r="F134" s="30">
        <v>2020</v>
      </c>
      <c r="G134" s="29" t="s">
        <v>16</v>
      </c>
      <c r="H134" s="29">
        <v>200</v>
      </c>
      <c r="I134" s="29">
        <v>200</v>
      </c>
      <c r="J134" s="258"/>
      <c r="K134" s="261"/>
      <c r="L134" s="132" t="s">
        <v>330</v>
      </c>
    </row>
    <row r="135" ht="15" customHeight="1" spans="1:12">
      <c r="A135" s="44" t="s">
        <v>716</v>
      </c>
      <c r="B135" s="29" t="s">
        <v>1040</v>
      </c>
      <c r="C135" s="29" t="s">
        <v>1309</v>
      </c>
      <c r="D135" s="29" t="s">
        <v>1310</v>
      </c>
      <c r="E135" s="30">
        <v>2020</v>
      </c>
      <c r="F135" s="30">
        <v>2020</v>
      </c>
      <c r="G135" s="29" t="s">
        <v>16</v>
      </c>
      <c r="H135" s="29">
        <v>200</v>
      </c>
      <c r="I135" s="29">
        <v>200</v>
      </c>
      <c r="J135" s="29"/>
      <c r="K135" s="47"/>
      <c r="L135" s="260" t="s">
        <v>330</v>
      </c>
    </row>
    <row r="136" ht="15" customHeight="1" spans="1:12">
      <c r="A136" s="44" t="s">
        <v>719</v>
      </c>
      <c r="B136" s="29" t="s">
        <v>1040</v>
      </c>
      <c r="C136" s="29" t="s">
        <v>1311</v>
      </c>
      <c r="D136" s="29" t="s">
        <v>1312</v>
      </c>
      <c r="E136" s="30">
        <v>2020</v>
      </c>
      <c r="F136" s="30">
        <v>2020</v>
      </c>
      <c r="G136" s="29" t="s">
        <v>16</v>
      </c>
      <c r="H136" s="29">
        <v>200</v>
      </c>
      <c r="I136" s="29">
        <v>200</v>
      </c>
      <c r="J136" s="29"/>
      <c r="K136" s="47"/>
      <c r="L136" s="132" t="s">
        <v>330</v>
      </c>
    </row>
    <row r="137" ht="15" customHeight="1" spans="1:12">
      <c r="A137" s="44" t="s">
        <v>722</v>
      </c>
      <c r="B137" s="258" t="s">
        <v>1040</v>
      </c>
      <c r="C137" s="29" t="s">
        <v>1313</v>
      </c>
      <c r="D137" s="29" t="s">
        <v>1314</v>
      </c>
      <c r="E137" s="158">
        <v>2020</v>
      </c>
      <c r="F137" s="158">
        <v>2020</v>
      </c>
      <c r="G137" s="258" t="s">
        <v>16</v>
      </c>
      <c r="H137" s="258">
        <v>200</v>
      </c>
      <c r="I137" s="258">
        <v>200</v>
      </c>
      <c r="J137" s="29"/>
      <c r="K137" s="47"/>
      <c r="L137" s="260" t="s">
        <v>330</v>
      </c>
    </row>
    <row r="138" ht="15" customHeight="1" spans="1:12">
      <c r="A138" s="44" t="s">
        <v>725</v>
      </c>
      <c r="B138" s="258" t="s">
        <v>1040</v>
      </c>
      <c r="C138" s="29" t="s">
        <v>1315</v>
      </c>
      <c r="D138" s="29" t="s">
        <v>1316</v>
      </c>
      <c r="E138" s="158">
        <v>2020</v>
      </c>
      <c r="F138" s="158">
        <v>2020</v>
      </c>
      <c r="G138" s="258" t="s">
        <v>16</v>
      </c>
      <c r="H138" s="258">
        <v>200</v>
      </c>
      <c r="I138" s="258">
        <v>200</v>
      </c>
      <c r="J138" s="258"/>
      <c r="K138" s="261"/>
      <c r="L138" s="132" t="s">
        <v>330</v>
      </c>
    </row>
    <row r="139" ht="15" customHeight="1" spans="1:12">
      <c r="A139" s="44" t="s">
        <v>728</v>
      </c>
      <c r="B139" s="258" t="s">
        <v>1040</v>
      </c>
      <c r="C139" s="29" t="s">
        <v>1317</v>
      </c>
      <c r="D139" s="29" t="s">
        <v>1318</v>
      </c>
      <c r="E139" s="158">
        <v>2020</v>
      </c>
      <c r="F139" s="158">
        <v>2020</v>
      </c>
      <c r="G139" s="258" t="s">
        <v>16</v>
      </c>
      <c r="H139" s="258">
        <v>200</v>
      </c>
      <c r="I139" s="258">
        <v>200</v>
      </c>
      <c r="J139" s="258"/>
      <c r="K139" s="261"/>
      <c r="L139" s="260" t="s">
        <v>330</v>
      </c>
    </row>
    <row r="140" ht="15" customHeight="1" spans="1:12">
      <c r="A140" s="44" t="s">
        <v>731</v>
      </c>
      <c r="B140" s="258" t="s">
        <v>1040</v>
      </c>
      <c r="C140" s="29" t="s">
        <v>1319</v>
      </c>
      <c r="D140" s="29" t="s">
        <v>1320</v>
      </c>
      <c r="E140" s="158">
        <v>2020</v>
      </c>
      <c r="F140" s="158">
        <v>2020</v>
      </c>
      <c r="G140" s="258" t="s">
        <v>16</v>
      </c>
      <c r="H140" s="258">
        <v>200</v>
      </c>
      <c r="I140" s="258">
        <v>200</v>
      </c>
      <c r="J140" s="258"/>
      <c r="K140" s="261"/>
      <c r="L140" s="132" t="s">
        <v>330</v>
      </c>
    </row>
    <row r="141" ht="15" customHeight="1" spans="1:12">
      <c r="A141" s="44" t="s">
        <v>734</v>
      </c>
      <c r="B141" s="258" t="s">
        <v>1040</v>
      </c>
      <c r="C141" s="29" t="s">
        <v>1321</v>
      </c>
      <c r="D141" s="29" t="s">
        <v>1322</v>
      </c>
      <c r="E141" s="158">
        <v>2020</v>
      </c>
      <c r="F141" s="158">
        <v>2020</v>
      </c>
      <c r="G141" s="258" t="s">
        <v>16</v>
      </c>
      <c r="H141" s="258">
        <v>200</v>
      </c>
      <c r="I141" s="258">
        <v>200</v>
      </c>
      <c r="J141" s="258"/>
      <c r="K141" s="261"/>
      <c r="L141" s="260" t="s">
        <v>330</v>
      </c>
    </row>
    <row r="142" ht="15" customHeight="1" spans="1:12">
      <c r="A142" s="44" t="s">
        <v>737</v>
      </c>
      <c r="B142" s="258" t="s">
        <v>1040</v>
      </c>
      <c r="C142" s="29" t="s">
        <v>1323</v>
      </c>
      <c r="D142" s="29" t="s">
        <v>1324</v>
      </c>
      <c r="E142" s="158">
        <v>2020</v>
      </c>
      <c r="F142" s="158">
        <v>2020</v>
      </c>
      <c r="G142" s="258" t="s">
        <v>16</v>
      </c>
      <c r="H142" s="258">
        <v>200</v>
      </c>
      <c r="I142" s="258">
        <v>200</v>
      </c>
      <c r="J142" s="258"/>
      <c r="K142" s="261"/>
      <c r="L142" s="132" t="s">
        <v>330</v>
      </c>
    </row>
    <row r="143" ht="15" customHeight="1" spans="1:12">
      <c r="A143" s="44" t="s">
        <v>740</v>
      </c>
      <c r="B143" s="258" t="s">
        <v>1040</v>
      </c>
      <c r="C143" s="29" t="s">
        <v>1325</v>
      </c>
      <c r="D143" s="29" t="s">
        <v>1326</v>
      </c>
      <c r="E143" s="158">
        <v>2020</v>
      </c>
      <c r="F143" s="158">
        <v>2020</v>
      </c>
      <c r="G143" s="258" t="s">
        <v>16</v>
      </c>
      <c r="H143" s="258">
        <v>200</v>
      </c>
      <c r="I143" s="258">
        <v>200</v>
      </c>
      <c r="J143" s="258"/>
      <c r="K143" s="261"/>
      <c r="L143" s="260" t="s">
        <v>330</v>
      </c>
    </row>
    <row r="144" ht="15" customHeight="1" spans="1:12">
      <c r="A144" s="44" t="s">
        <v>743</v>
      </c>
      <c r="B144" s="258" t="s">
        <v>1040</v>
      </c>
      <c r="C144" s="29" t="s">
        <v>1327</v>
      </c>
      <c r="D144" s="29" t="s">
        <v>1328</v>
      </c>
      <c r="E144" s="158">
        <v>2020</v>
      </c>
      <c r="F144" s="158">
        <v>2020</v>
      </c>
      <c r="G144" s="258" t="s">
        <v>16</v>
      </c>
      <c r="H144" s="258">
        <v>200</v>
      </c>
      <c r="I144" s="258">
        <v>200</v>
      </c>
      <c r="J144" s="258"/>
      <c r="K144" s="261"/>
      <c r="L144" s="132" t="s">
        <v>330</v>
      </c>
    </row>
    <row r="145" ht="15" customHeight="1" spans="1:12">
      <c r="A145" s="44" t="s">
        <v>746</v>
      </c>
      <c r="B145" s="258" t="s">
        <v>1040</v>
      </c>
      <c r="C145" s="29" t="s">
        <v>1329</v>
      </c>
      <c r="D145" s="29" t="s">
        <v>1330</v>
      </c>
      <c r="E145" s="158">
        <v>2020</v>
      </c>
      <c r="F145" s="158">
        <v>2020</v>
      </c>
      <c r="G145" s="258" t="s">
        <v>16</v>
      </c>
      <c r="H145" s="258">
        <v>200</v>
      </c>
      <c r="I145" s="258">
        <v>200</v>
      </c>
      <c r="J145" s="258"/>
      <c r="K145" s="261"/>
      <c r="L145" s="260" t="s">
        <v>330</v>
      </c>
    </row>
    <row r="146" ht="15" customHeight="1" spans="1:12">
      <c r="A146" s="44" t="s">
        <v>750</v>
      </c>
      <c r="B146" s="258" t="s">
        <v>1040</v>
      </c>
      <c r="C146" s="29" t="s">
        <v>1331</v>
      </c>
      <c r="D146" s="29" t="s">
        <v>1332</v>
      </c>
      <c r="E146" s="158">
        <v>2020</v>
      </c>
      <c r="F146" s="158">
        <v>2020</v>
      </c>
      <c r="G146" s="258" t="s">
        <v>16</v>
      </c>
      <c r="H146" s="258">
        <v>200</v>
      </c>
      <c r="I146" s="258">
        <v>200</v>
      </c>
      <c r="J146" s="258"/>
      <c r="K146" s="261"/>
      <c r="L146" s="132" t="s">
        <v>330</v>
      </c>
    </row>
    <row r="147" ht="15" customHeight="1" spans="1:12">
      <c r="A147" s="44" t="s">
        <v>753</v>
      </c>
      <c r="B147" s="258" t="s">
        <v>1040</v>
      </c>
      <c r="C147" s="29" t="s">
        <v>1333</v>
      </c>
      <c r="D147" s="29" t="s">
        <v>1334</v>
      </c>
      <c r="E147" s="158">
        <v>2020</v>
      </c>
      <c r="F147" s="158">
        <v>2020</v>
      </c>
      <c r="G147" s="258" t="s">
        <v>16</v>
      </c>
      <c r="H147" s="258">
        <v>200</v>
      </c>
      <c r="I147" s="258">
        <v>200</v>
      </c>
      <c r="J147" s="258"/>
      <c r="K147" s="261"/>
      <c r="L147" s="260" t="s">
        <v>330</v>
      </c>
    </row>
    <row r="148" ht="15" customHeight="1" spans="1:12">
      <c r="A148" s="44" t="s">
        <v>756</v>
      </c>
      <c r="B148" s="258" t="s">
        <v>1040</v>
      </c>
      <c r="C148" s="29" t="s">
        <v>1335</v>
      </c>
      <c r="D148" s="29" t="s">
        <v>1336</v>
      </c>
      <c r="E148" s="158">
        <v>2020</v>
      </c>
      <c r="F148" s="158">
        <v>2020</v>
      </c>
      <c r="G148" s="258" t="s">
        <v>16</v>
      </c>
      <c r="H148" s="258">
        <v>200</v>
      </c>
      <c r="I148" s="258">
        <v>200</v>
      </c>
      <c r="J148" s="258"/>
      <c r="K148" s="261"/>
      <c r="L148" s="132" t="s">
        <v>330</v>
      </c>
    </row>
    <row r="149" ht="15" customHeight="1" spans="1:12">
      <c r="A149" s="44" t="s">
        <v>759</v>
      </c>
      <c r="B149" s="258" t="s">
        <v>1040</v>
      </c>
      <c r="C149" s="29" t="s">
        <v>1337</v>
      </c>
      <c r="D149" s="29" t="s">
        <v>1338</v>
      </c>
      <c r="E149" s="158">
        <v>2020</v>
      </c>
      <c r="F149" s="158">
        <v>2020</v>
      </c>
      <c r="G149" s="258" t="s">
        <v>16</v>
      </c>
      <c r="H149" s="258">
        <v>200</v>
      </c>
      <c r="I149" s="258">
        <v>200</v>
      </c>
      <c r="J149" s="258"/>
      <c r="K149" s="261"/>
      <c r="L149" s="260" t="s">
        <v>330</v>
      </c>
    </row>
    <row r="150" ht="15" customHeight="1" spans="1:12">
      <c r="A150" s="44" t="s">
        <v>762</v>
      </c>
      <c r="B150" s="258" t="s">
        <v>1040</v>
      </c>
      <c r="C150" s="29" t="s">
        <v>1339</v>
      </c>
      <c r="D150" s="29" t="s">
        <v>1340</v>
      </c>
      <c r="E150" s="158">
        <v>2020</v>
      </c>
      <c r="F150" s="158">
        <v>2020</v>
      </c>
      <c r="G150" s="258" t="s">
        <v>16</v>
      </c>
      <c r="H150" s="258">
        <v>200</v>
      </c>
      <c r="I150" s="258">
        <v>200</v>
      </c>
      <c r="J150" s="258"/>
      <c r="K150" s="261"/>
      <c r="L150" s="132" t="s">
        <v>330</v>
      </c>
    </row>
    <row r="151" ht="15" customHeight="1" spans="1:12">
      <c r="A151" s="44" t="s">
        <v>765</v>
      </c>
      <c r="B151" s="258" t="s">
        <v>1040</v>
      </c>
      <c r="C151" s="29" t="s">
        <v>1341</v>
      </c>
      <c r="D151" s="29" t="s">
        <v>1342</v>
      </c>
      <c r="E151" s="158">
        <v>2020</v>
      </c>
      <c r="F151" s="158">
        <v>2020</v>
      </c>
      <c r="G151" s="258" t="s">
        <v>16</v>
      </c>
      <c r="H151" s="258">
        <v>200</v>
      </c>
      <c r="I151" s="258">
        <v>200</v>
      </c>
      <c r="J151" s="258"/>
      <c r="K151" s="261"/>
      <c r="L151" s="260" t="s">
        <v>330</v>
      </c>
    </row>
    <row r="152" ht="15" customHeight="1" spans="1:12">
      <c r="A152" s="44" t="s">
        <v>769</v>
      </c>
      <c r="B152" s="258" t="s">
        <v>1040</v>
      </c>
      <c r="C152" s="29" t="s">
        <v>1343</v>
      </c>
      <c r="D152" s="29" t="s">
        <v>1344</v>
      </c>
      <c r="E152" s="158">
        <v>2020</v>
      </c>
      <c r="F152" s="158">
        <v>2020</v>
      </c>
      <c r="G152" s="258" t="s">
        <v>16</v>
      </c>
      <c r="H152" s="258">
        <v>200</v>
      </c>
      <c r="I152" s="258">
        <v>200</v>
      </c>
      <c r="J152" s="258"/>
      <c r="K152" s="261"/>
      <c r="L152" s="132" t="s">
        <v>330</v>
      </c>
    </row>
    <row r="153" ht="15" customHeight="1" spans="1:12">
      <c r="A153" s="44" t="s">
        <v>772</v>
      </c>
      <c r="B153" s="258" t="s">
        <v>1040</v>
      </c>
      <c r="C153" s="29" t="s">
        <v>1345</v>
      </c>
      <c r="D153" s="29" t="s">
        <v>1346</v>
      </c>
      <c r="E153" s="158">
        <v>2020</v>
      </c>
      <c r="F153" s="158">
        <v>2020</v>
      </c>
      <c r="G153" s="258" t="s">
        <v>16</v>
      </c>
      <c r="H153" s="258">
        <v>200</v>
      </c>
      <c r="I153" s="258">
        <v>200</v>
      </c>
      <c r="J153" s="258"/>
      <c r="K153" s="261"/>
      <c r="L153" s="260" t="s">
        <v>330</v>
      </c>
    </row>
    <row r="154" ht="15" customHeight="1" spans="1:12">
      <c r="A154" s="44" t="s">
        <v>775</v>
      </c>
      <c r="B154" s="258" t="s">
        <v>1040</v>
      </c>
      <c r="C154" s="29" t="s">
        <v>1347</v>
      </c>
      <c r="D154" s="29" t="s">
        <v>1348</v>
      </c>
      <c r="E154" s="158">
        <v>2020</v>
      </c>
      <c r="F154" s="158">
        <v>2020</v>
      </c>
      <c r="G154" s="258" t="s">
        <v>16</v>
      </c>
      <c r="H154" s="258">
        <v>200</v>
      </c>
      <c r="I154" s="258">
        <v>200</v>
      </c>
      <c r="J154" s="258"/>
      <c r="K154" s="261"/>
      <c r="L154" s="132" t="s">
        <v>330</v>
      </c>
    </row>
    <row r="155" ht="15" customHeight="1" spans="1:12">
      <c r="A155" s="44" t="s">
        <v>778</v>
      </c>
      <c r="B155" s="258" t="s">
        <v>1040</v>
      </c>
      <c r="C155" s="29" t="s">
        <v>1349</v>
      </c>
      <c r="D155" s="29" t="s">
        <v>1350</v>
      </c>
      <c r="E155" s="158">
        <v>2020</v>
      </c>
      <c r="F155" s="158">
        <v>2020</v>
      </c>
      <c r="G155" s="258" t="s">
        <v>16</v>
      </c>
      <c r="H155" s="258">
        <v>200</v>
      </c>
      <c r="I155" s="258">
        <v>200</v>
      </c>
      <c r="J155" s="258"/>
      <c r="K155" s="261"/>
      <c r="L155" s="260" t="s">
        <v>330</v>
      </c>
    </row>
    <row r="156" ht="15" customHeight="1" spans="1:12">
      <c r="A156" s="44" t="s">
        <v>781</v>
      </c>
      <c r="B156" s="258" t="s">
        <v>1040</v>
      </c>
      <c r="C156" s="29" t="s">
        <v>1351</v>
      </c>
      <c r="D156" s="29" t="s">
        <v>1352</v>
      </c>
      <c r="E156" s="158">
        <v>2020</v>
      </c>
      <c r="F156" s="158">
        <v>2020</v>
      </c>
      <c r="G156" s="258" t="s">
        <v>16</v>
      </c>
      <c r="H156" s="258">
        <v>200</v>
      </c>
      <c r="I156" s="258">
        <v>200</v>
      </c>
      <c r="J156" s="258"/>
      <c r="K156" s="261"/>
      <c r="L156" s="132" t="s">
        <v>330</v>
      </c>
    </row>
    <row r="157" ht="15" customHeight="1" spans="1:12">
      <c r="A157" s="44" t="s">
        <v>784</v>
      </c>
      <c r="B157" s="258" t="s">
        <v>1040</v>
      </c>
      <c r="C157" s="29" t="s">
        <v>1353</v>
      </c>
      <c r="D157" s="29" t="s">
        <v>1354</v>
      </c>
      <c r="E157" s="158">
        <v>2020</v>
      </c>
      <c r="F157" s="158">
        <v>2020</v>
      </c>
      <c r="G157" s="258" t="s">
        <v>16</v>
      </c>
      <c r="H157" s="258">
        <v>200</v>
      </c>
      <c r="I157" s="258">
        <v>200</v>
      </c>
      <c r="J157" s="258"/>
      <c r="K157" s="261"/>
      <c r="L157" s="260" t="s">
        <v>330</v>
      </c>
    </row>
    <row r="158" ht="15" customHeight="1" spans="1:12">
      <c r="A158" s="44" t="s">
        <v>787</v>
      </c>
      <c r="B158" s="258" t="s">
        <v>1040</v>
      </c>
      <c r="C158" s="29" t="s">
        <v>1355</v>
      </c>
      <c r="D158" s="29" t="s">
        <v>1356</v>
      </c>
      <c r="E158" s="158">
        <v>2020</v>
      </c>
      <c r="F158" s="158">
        <v>2020</v>
      </c>
      <c r="G158" s="258" t="s">
        <v>16</v>
      </c>
      <c r="H158" s="258">
        <v>200</v>
      </c>
      <c r="I158" s="258">
        <v>200</v>
      </c>
      <c r="J158" s="258"/>
      <c r="K158" s="261"/>
      <c r="L158" s="132" t="s">
        <v>330</v>
      </c>
    </row>
    <row r="159" ht="15" customHeight="1" spans="1:12">
      <c r="A159" s="44" t="s">
        <v>790</v>
      </c>
      <c r="B159" s="258" t="s">
        <v>1040</v>
      </c>
      <c r="C159" s="29" t="s">
        <v>1357</v>
      </c>
      <c r="D159" s="29" t="s">
        <v>1358</v>
      </c>
      <c r="E159" s="158">
        <v>2020</v>
      </c>
      <c r="F159" s="158">
        <v>2020</v>
      </c>
      <c r="G159" s="258" t="s">
        <v>16</v>
      </c>
      <c r="H159" s="258">
        <v>200</v>
      </c>
      <c r="I159" s="258">
        <v>200</v>
      </c>
      <c r="J159" s="258"/>
      <c r="K159" s="261"/>
      <c r="L159" s="260" t="s">
        <v>330</v>
      </c>
    </row>
    <row r="160" ht="15" customHeight="1" spans="1:12">
      <c r="A160" s="44" t="s">
        <v>793</v>
      </c>
      <c r="B160" s="258" t="s">
        <v>1040</v>
      </c>
      <c r="C160" s="29" t="s">
        <v>1359</v>
      </c>
      <c r="D160" s="29" t="s">
        <v>1360</v>
      </c>
      <c r="E160" s="158">
        <v>2020</v>
      </c>
      <c r="F160" s="158">
        <v>2020</v>
      </c>
      <c r="G160" s="258" t="s">
        <v>16</v>
      </c>
      <c r="H160" s="258">
        <v>200</v>
      </c>
      <c r="I160" s="258">
        <v>200</v>
      </c>
      <c r="J160" s="258"/>
      <c r="K160" s="261"/>
      <c r="L160" s="132" t="s">
        <v>330</v>
      </c>
    </row>
    <row r="161" ht="15" customHeight="1" spans="1:12">
      <c r="A161" s="44" t="s">
        <v>796</v>
      </c>
      <c r="B161" s="258" t="s">
        <v>1040</v>
      </c>
      <c r="C161" s="29" t="s">
        <v>1361</v>
      </c>
      <c r="D161" s="29" t="s">
        <v>1362</v>
      </c>
      <c r="E161" s="158">
        <v>2020</v>
      </c>
      <c r="F161" s="158">
        <v>2020</v>
      </c>
      <c r="G161" s="258" t="s">
        <v>16</v>
      </c>
      <c r="H161" s="258">
        <v>200</v>
      </c>
      <c r="I161" s="258">
        <v>200</v>
      </c>
      <c r="J161" s="258"/>
      <c r="K161" s="261"/>
      <c r="L161" s="260" t="s">
        <v>330</v>
      </c>
    </row>
    <row r="162" ht="15" customHeight="1" spans="1:12">
      <c r="A162" s="44" t="s">
        <v>799</v>
      </c>
      <c r="B162" s="258" t="s">
        <v>1040</v>
      </c>
      <c r="C162" s="29" t="s">
        <v>1363</v>
      </c>
      <c r="D162" s="29" t="s">
        <v>1364</v>
      </c>
      <c r="E162" s="158">
        <v>2020</v>
      </c>
      <c r="F162" s="158">
        <v>2020</v>
      </c>
      <c r="G162" s="258" t="s">
        <v>16</v>
      </c>
      <c r="H162" s="258">
        <v>200</v>
      </c>
      <c r="I162" s="258">
        <v>200</v>
      </c>
      <c r="J162" s="258"/>
      <c r="K162" s="261"/>
      <c r="L162" s="132" t="s">
        <v>330</v>
      </c>
    </row>
    <row r="163" ht="15" customHeight="1" spans="1:12">
      <c r="A163" s="44" t="s">
        <v>802</v>
      </c>
      <c r="B163" s="258" t="s">
        <v>1040</v>
      </c>
      <c r="C163" s="29" t="s">
        <v>1365</v>
      </c>
      <c r="D163" s="29" t="s">
        <v>1366</v>
      </c>
      <c r="E163" s="158">
        <v>2020</v>
      </c>
      <c r="F163" s="158">
        <v>2020</v>
      </c>
      <c r="G163" s="258" t="s">
        <v>16</v>
      </c>
      <c r="H163" s="258">
        <v>200</v>
      </c>
      <c r="I163" s="258">
        <v>200</v>
      </c>
      <c r="J163" s="258"/>
      <c r="K163" s="261"/>
      <c r="L163" s="260" t="s">
        <v>330</v>
      </c>
    </row>
    <row r="164" ht="15" customHeight="1" spans="1:12">
      <c r="A164" s="44" t="s">
        <v>805</v>
      </c>
      <c r="B164" s="258" t="s">
        <v>1040</v>
      </c>
      <c r="C164" s="29" t="s">
        <v>1367</v>
      </c>
      <c r="D164" s="29" t="s">
        <v>1368</v>
      </c>
      <c r="E164" s="158">
        <v>2020</v>
      </c>
      <c r="F164" s="158">
        <v>2020</v>
      </c>
      <c r="G164" s="258" t="s">
        <v>16</v>
      </c>
      <c r="H164" s="258">
        <v>200</v>
      </c>
      <c r="I164" s="258">
        <v>200</v>
      </c>
      <c r="J164" s="258"/>
      <c r="K164" s="261"/>
      <c r="L164" s="132" t="s">
        <v>330</v>
      </c>
    </row>
    <row r="165" ht="15" customHeight="1" spans="1:12">
      <c r="A165" s="44" t="s">
        <v>808</v>
      </c>
      <c r="B165" s="258" t="s">
        <v>1040</v>
      </c>
      <c r="C165" s="29" t="s">
        <v>1369</v>
      </c>
      <c r="D165" s="29" t="s">
        <v>1370</v>
      </c>
      <c r="E165" s="158">
        <v>2020</v>
      </c>
      <c r="F165" s="158">
        <v>2020</v>
      </c>
      <c r="G165" s="258" t="s">
        <v>16</v>
      </c>
      <c r="H165" s="258">
        <v>200</v>
      </c>
      <c r="I165" s="258">
        <v>200</v>
      </c>
      <c r="J165" s="258"/>
      <c r="K165" s="261"/>
      <c r="L165" s="260" t="s">
        <v>330</v>
      </c>
    </row>
    <row r="166" ht="15" customHeight="1" spans="1:12">
      <c r="A166" s="44" t="s">
        <v>811</v>
      </c>
      <c r="B166" s="258" t="s">
        <v>1040</v>
      </c>
      <c r="C166" s="29" t="s">
        <v>1371</v>
      </c>
      <c r="D166" s="29" t="s">
        <v>1372</v>
      </c>
      <c r="E166" s="158">
        <v>2020</v>
      </c>
      <c r="F166" s="158">
        <v>2020</v>
      </c>
      <c r="G166" s="258" t="s">
        <v>16</v>
      </c>
      <c r="H166" s="258">
        <v>200</v>
      </c>
      <c r="I166" s="258">
        <v>200</v>
      </c>
      <c r="J166" s="258"/>
      <c r="K166" s="261"/>
      <c r="L166" s="132" t="s">
        <v>330</v>
      </c>
    </row>
    <row r="167" ht="15" customHeight="1" spans="1:12">
      <c r="A167" s="44" t="s">
        <v>814</v>
      </c>
      <c r="B167" s="258" t="s">
        <v>1040</v>
      </c>
      <c r="C167" s="29" t="s">
        <v>1373</v>
      </c>
      <c r="D167" s="29" t="s">
        <v>1374</v>
      </c>
      <c r="E167" s="158">
        <v>2020</v>
      </c>
      <c r="F167" s="158">
        <v>2020</v>
      </c>
      <c r="G167" s="258" t="s">
        <v>16</v>
      </c>
      <c r="H167" s="258">
        <v>200</v>
      </c>
      <c r="I167" s="258">
        <v>200</v>
      </c>
      <c r="J167" s="258"/>
      <c r="K167" s="261"/>
      <c r="L167" s="260" t="s">
        <v>330</v>
      </c>
    </row>
    <row r="168" ht="15" customHeight="1" spans="1:12">
      <c r="A168" s="44" t="s">
        <v>817</v>
      </c>
      <c r="B168" s="258" t="s">
        <v>1040</v>
      </c>
      <c r="C168" s="29" t="s">
        <v>1375</v>
      </c>
      <c r="D168" s="29" t="s">
        <v>1376</v>
      </c>
      <c r="E168" s="158">
        <v>2020</v>
      </c>
      <c r="F168" s="158">
        <v>2020</v>
      </c>
      <c r="G168" s="258" t="s">
        <v>16</v>
      </c>
      <c r="H168" s="258">
        <v>200</v>
      </c>
      <c r="I168" s="258">
        <v>200</v>
      </c>
      <c r="J168" s="258"/>
      <c r="K168" s="261"/>
      <c r="L168" s="132" t="s">
        <v>330</v>
      </c>
    </row>
    <row r="169" ht="15" customHeight="1" spans="1:12">
      <c r="A169" s="44" t="s">
        <v>820</v>
      </c>
      <c r="B169" s="258" t="s">
        <v>1040</v>
      </c>
      <c r="C169" s="29" t="s">
        <v>1377</v>
      </c>
      <c r="D169" s="29" t="s">
        <v>1378</v>
      </c>
      <c r="E169" s="158">
        <v>2020</v>
      </c>
      <c r="F169" s="158">
        <v>2020</v>
      </c>
      <c r="G169" s="258" t="s">
        <v>16</v>
      </c>
      <c r="H169" s="258">
        <v>200</v>
      </c>
      <c r="I169" s="258">
        <v>200</v>
      </c>
      <c r="J169" s="258"/>
      <c r="K169" s="261"/>
      <c r="L169" s="260" t="s">
        <v>330</v>
      </c>
    </row>
    <row r="170" ht="15" customHeight="1" spans="1:12">
      <c r="A170" s="44" t="s">
        <v>823</v>
      </c>
      <c r="B170" s="258" t="s">
        <v>1040</v>
      </c>
      <c r="C170" s="29" t="s">
        <v>1379</v>
      </c>
      <c r="D170" s="29" t="s">
        <v>1380</v>
      </c>
      <c r="E170" s="158">
        <v>2020</v>
      </c>
      <c r="F170" s="158">
        <v>2020</v>
      </c>
      <c r="G170" s="258" t="s">
        <v>16</v>
      </c>
      <c r="H170" s="258">
        <v>200</v>
      </c>
      <c r="I170" s="258">
        <v>200</v>
      </c>
      <c r="J170" s="258"/>
      <c r="K170" s="261"/>
      <c r="L170" s="132" t="s">
        <v>330</v>
      </c>
    </row>
    <row r="171" ht="15" customHeight="1" spans="1:12">
      <c r="A171" s="44" t="s">
        <v>826</v>
      </c>
      <c r="B171" s="258" t="s">
        <v>1040</v>
      </c>
      <c r="C171" s="29" t="s">
        <v>1381</v>
      </c>
      <c r="D171" s="29" t="s">
        <v>1382</v>
      </c>
      <c r="E171" s="158">
        <v>2020</v>
      </c>
      <c r="F171" s="158">
        <v>2020</v>
      </c>
      <c r="G171" s="258" t="s">
        <v>16</v>
      </c>
      <c r="H171" s="258">
        <v>200</v>
      </c>
      <c r="I171" s="258">
        <v>200</v>
      </c>
      <c r="J171" s="258"/>
      <c r="K171" s="261"/>
      <c r="L171" s="260" t="s">
        <v>330</v>
      </c>
    </row>
    <row r="172" ht="15" customHeight="1" spans="1:12">
      <c r="A172" s="44" t="s">
        <v>829</v>
      </c>
      <c r="B172" s="258" t="s">
        <v>1040</v>
      </c>
      <c r="C172" s="29" t="s">
        <v>1383</v>
      </c>
      <c r="D172" s="29" t="s">
        <v>1384</v>
      </c>
      <c r="E172" s="158">
        <v>2020</v>
      </c>
      <c r="F172" s="158">
        <v>2020</v>
      </c>
      <c r="G172" s="258" t="s">
        <v>16</v>
      </c>
      <c r="H172" s="258">
        <v>200</v>
      </c>
      <c r="I172" s="258">
        <v>200</v>
      </c>
      <c r="J172" s="258"/>
      <c r="K172" s="261"/>
      <c r="L172" s="132" t="s">
        <v>330</v>
      </c>
    </row>
    <row r="173" ht="15" customHeight="1" spans="1:12">
      <c r="A173" s="44" t="s">
        <v>832</v>
      </c>
      <c r="B173" s="258" t="s">
        <v>1040</v>
      </c>
      <c r="C173" s="29" t="s">
        <v>1385</v>
      </c>
      <c r="D173" s="29" t="s">
        <v>1386</v>
      </c>
      <c r="E173" s="158">
        <v>2020</v>
      </c>
      <c r="F173" s="158">
        <v>2020</v>
      </c>
      <c r="G173" s="258" t="s">
        <v>16</v>
      </c>
      <c r="H173" s="258">
        <v>200</v>
      </c>
      <c r="I173" s="258">
        <v>200</v>
      </c>
      <c r="J173" s="258"/>
      <c r="K173" s="261"/>
      <c r="L173" s="260" t="s">
        <v>330</v>
      </c>
    </row>
    <row r="174" ht="15" customHeight="1" spans="1:12">
      <c r="A174" s="44" t="s">
        <v>835</v>
      </c>
      <c r="B174" s="29" t="s">
        <v>1040</v>
      </c>
      <c r="C174" s="29" t="s">
        <v>1387</v>
      </c>
      <c r="D174" s="29" t="s">
        <v>1388</v>
      </c>
      <c r="E174" s="30">
        <v>2020</v>
      </c>
      <c r="F174" s="30">
        <v>2020</v>
      </c>
      <c r="G174" s="29" t="s">
        <v>16</v>
      </c>
      <c r="H174" s="29">
        <v>200</v>
      </c>
      <c r="I174" s="29">
        <v>200</v>
      </c>
      <c r="J174" s="258"/>
      <c r="K174" s="261"/>
      <c r="L174" s="132" t="s">
        <v>330</v>
      </c>
    </row>
    <row r="175" ht="15" customHeight="1" spans="1:12">
      <c r="A175" s="44" t="s">
        <v>838</v>
      </c>
      <c r="B175" s="29" t="s">
        <v>1040</v>
      </c>
      <c r="C175" s="29" t="s">
        <v>1389</v>
      </c>
      <c r="D175" s="29" t="s">
        <v>1390</v>
      </c>
      <c r="E175" s="30">
        <v>2020</v>
      </c>
      <c r="F175" s="30">
        <v>2020</v>
      </c>
      <c r="G175" s="29" t="s">
        <v>16</v>
      </c>
      <c r="H175" s="29">
        <v>200</v>
      </c>
      <c r="I175" s="29">
        <v>200</v>
      </c>
      <c r="J175" s="29"/>
      <c r="K175" s="47"/>
      <c r="L175" s="260" t="s">
        <v>330</v>
      </c>
    </row>
    <row r="176" ht="15" customHeight="1" spans="1:12">
      <c r="A176" s="44" t="s">
        <v>841</v>
      </c>
      <c r="B176" s="29" t="s">
        <v>1040</v>
      </c>
      <c r="C176" s="29" t="s">
        <v>1391</v>
      </c>
      <c r="D176" s="29" t="s">
        <v>1392</v>
      </c>
      <c r="E176" s="30">
        <v>2020</v>
      </c>
      <c r="F176" s="30">
        <v>2020</v>
      </c>
      <c r="G176" s="29" t="s">
        <v>16</v>
      </c>
      <c r="H176" s="29">
        <v>200</v>
      </c>
      <c r="I176" s="29">
        <v>200</v>
      </c>
      <c r="J176" s="29"/>
      <c r="K176" s="47"/>
      <c r="L176" s="132" t="s">
        <v>330</v>
      </c>
    </row>
    <row r="177" ht="15" customHeight="1" spans="1:12">
      <c r="A177" s="44" t="s">
        <v>844</v>
      </c>
      <c r="B177" s="29" t="s">
        <v>1040</v>
      </c>
      <c r="C177" s="29" t="s">
        <v>1393</v>
      </c>
      <c r="D177" s="29" t="s">
        <v>1394</v>
      </c>
      <c r="E177" s="30">
        <v>2020</v>
      </c>
      <c r="F177" s="30">
        <v>2020</v>
      </c>
      <c r="G177" s="29" t="s">
        <v>16</v>
      </c>
      <c r="H177" s="29">
        <v>200</v>
      </c>
      <c r="I177" s="29">
        <v>200</v>
      </c>
      <c r="J177" s="29"/>
      <c r="K177" s="47"/>
      <c r="L177" s="260" t="s">
        <v>330</v>
      </c>
    </row>
    <row r="178" ht="15" customHeight="1" spans="1:12">
      <c r="A178" s="44" t="s">
        <v>847</v>
      </c>
      <c r="B178" s="258" t="s">
        <v>1040</v>
      </c>
      <c r="C178" s="29" t="s">
        <v>1395</v>
      </c>
      <c r="D178" s="29" t="s">
        <v>1396</v>
      </c>
      <c r="E178" s="158">
        <v>2020</v>
      </c>
      <c r="F178" s="158">
        <v>2020</v>
      </c>
      <c r="G178" s="258" t="s">
        <v>16</v>
      </c>
      <c r="H178" s="258">
        <v>200</v>
      </c>
      <c r="I178" s="258">
        <v>200</v>
      </c>
      <c r="J178" s="29"/>
      <c r="K178" s="47"/>
      <c r="L178" s="132" t="s">
        <v>330</v>
      </c>
    </row>
    <row r="179" ht="15" customHeight="1" spans="1:12">
      <c r="A179" s="44" t="s">
        <v>850</v>
      </c>
      <c r="B179" s="258" t="s">
        <v>1040</v>
      </c>
      <c r="C179" s="29" t="s">
        <v>1397</v>
      </c>
      <c r="D179" s="29" t="s">
        <v>1398</v>
      </c>
      <c r="E179" s="158">
        <v>2020</v>
      </c>
      <c r="F179" s="158">
        <v>2020</v>
      </c>
      <c r="G179" s="258" t="s">
        <v>16</v>
      </c>
      <c r="H179" s="258">
        <v>200</v>
      </c>
      <c r="I179" s="258">
        <v>200</v>
      </c>
      <c r="J179" s="258"/>
      <c r="K179" s="261"/>
      <c r="L179" s="260" t="s">
        <v>330</v>
      </c>
    </row>
    <row r="180" ht="15" customHeight="1" spans="1:12">
      <c r="A180" s="44" t="s">
        <v>853</v>
      </c>
      <c r="B180" s="258" t="s">
        <v>1040</v>
      </c>
      <c r="C180" s="29" t="s">
        <v>681</v>
      </c>
      <c r="D180" s="29" t="s">
        <v>1399</v>
      </c>
      <c r="E180" s="158">
        <v>2020</v>
      </c>
      <c r="F180" s="158">
        <v>2020</v>
      </c>
      <c r="G180" s="258" t="s">
        <v>16</v>
      </c>
      <c r="H180" s="258">
        <v>200</v>
      </c>
      <c r="I180" s="258">
        <v>200</v>
      </c>
      <c r="J180" s="258"/>
      <c r="K180" s="261"/>
      <c r="L180" s="132" t="s">
        <v>330</v>
      </c>
    </row>
    <row r="181" ht="15" customHeight="1" spans="1:12">
      <c r="A181" s="44" t="s">
        <v>856</v>
      </c>
      <c r="B181" s="258" t="s">
        <v>1040</v>
      </c>
      <c r="C181" s="29" t="s">
        <v>1400</v>
      </c>
      <c r="D181" s="29" t="s">
        <v>1401</v>
      </c>
      <c r="E181" s="158">
        <v>2020</v>
      </c>
      <c r="F181" s="158">
        <v>2020</v>
      </c>
      <c r="G181" s="258" t="s">
        <v>16</v>
      </c>
      <c r="H181" s="258">
        <v>200</v>
      </c>
      <c r="I181" s="258">
        <v>200</v>
      </c>
      <c r="J181" s="258"/>
      <c r="K181" s="261"/>
      <c r="L181" s="260" t="s">
        <v>330</v>
      </c>
    </row>
    <row r="182" ht="15" customHeight="1" spans="1:12">
      <c r="A182" s="44" t="s">
        <v>859</v>
      </c>
      <c r="B182" s="258" t="s">
        <v>1040</v>
      </c>
      <c r="C182" s="29" t="s">
        <v>1402</v>
      </c>
      <c r="D182" s="29" t="s">
        <v>1403</v>
      </c>
      <c r="E182" s="158">
        <v>2020</v>
      </c>
      <c r="F182" s="158">
        <v>2020</v>
      </c>
      <c r="G182" s="258" t="s">
        <v>16</v>
      </c>
      <c r="H182" s="258">
        <v>200</v>
      </c>
      <c r="I182" s="258">
        <v>200</v>
      </c>
      <c r="J182" s="258"/>
      <c r="K182" s="261"/>
      <c r="L182" s="132" t="s">
        <v>330</v>
      </c>
    </row>
    <row r="183" ht="15" customHeight="1" spans="1:12">
      <c r="A183" s="44" t="s">
        <v>862</v>
      </c>
      <c r="B183" s="258" t="s">
        <v>1040</v>
      </c>
      <c r="C183" s="29" t="s">
        <v>1404</v>
      </c>
      <c r="D183" s="29" t="s">
        <v>1405</v>
      </c>
      <c r="E183" s="158">
        <v>2020</v>
      </c>
      <c r="F183" s="158">
        <v>2020</v>
      </c>
      <c r="G183" s="258" t="s">
        <v>16</v>
      </c>
      <c r="H183" s="258">
        <v>200</v>
      </c>
      <c r="I183" s="258">
        <v>200</v>
      </c>
      <c r="J183" s="258"/>
      <c r="K183" s="261"/>
      <c r="L183" s="260" t="s">
        <v>330</v>
      </c>
    </row>
    <row r="184" ht="15" customHeight="1" spans="1:12">
      <c r="A184" s="44" t="s">
        <v>865</v>
      </c>
      <c r="B184" s="258" t="s">
        <v>1040</v>
      </c>
      <c r="C184" s="29" t="s">
        <v>1406</v>
      </c>
      <c r="D184" s="29" t="s">
        <v>1407</v>
      </c>
      <c r="E184" s="158">
        <v>2020</v>
      </c>
      <c r="F184" s="158">
        <v>2020</v>
      </c>
      <c r="G184" s="258" t="s">
        <v>16</v>
      </c>
      <c r="H184" s="258">
        <v>200</v>
      </c>
      <c r="I184" s="258">
        <v>200</v>
      </c>
      <c r="J184" s="258"/>
      <c r="K184" s="261"/>
      <c r="L184" s="132" t="s">
        <v>330</v>
      </c>
    </row>
    <row r="185" ht="15" customHeight="1" spans="1:12">
      <c r="A185" s="44" t="s">
        <v>868</v>
      </c>
      <c r="B185" s="258" t="s">
        <v>1040</v>
      </c>
      <c r="C185" s="29" t="s">
        <v>1408</v>
      </c>
      <c r="D185" s="29" t="s">
        <v>1409</v>
      </c>
      <c r="E185" s="158">
        <v>2020</v>
      </c>
      <c r="F185" s="158">
        <v>2020</v>
      </c>
      <c r="G185" s="258" t="s">
        <v>16</v>
      </c>
      <c r="H185" s="258">
        <v>200</v>
      </c>
      <c r="I185" s="258">
        <v>200</v>
      </c>
      <c r="J185" s="258"/>
      <c r="K185" s="261"/>
      <c r="L185" s="260" t="s">
        <v>330</v>
      </c>
    </row>
    <row r="186" ht="15" customHeight="1" spans="1:12">
      <c r="A186" s="44" t="s">
        <v>871</v>
      </c>
      <c r="B186" s="258" t="s">
        <v>1040</v>
      </c>
      <c r="C186" s="29" t="s">
        <v>1410</v>
      </c>
      <c r="D186" s="29" t="s">
        <v>1411</v>
      </c>
      <c r="E186" s="158">
        <v>2020</v>
      </c>
      <c r="F186" s="158">
        <v>2020</v>
      </c>
      <c r="G186" s="258" t="s">
        <v>16</v>
      </c>
      <c r="H186" s="258">
        <v>200</v>
      </c>
      <c r="I186" s="258">
        <v>200</v>
      </c>
      <c r="J186" s="258"/>
      <c r="K186" s="261"/>
      <c r="L186" s="132" t="s">
        <v>330</v>
      </c>
    </row>
    <row r="187" ht="15" customHeight="1" spans="1:12">
      <c r="A187" s="44" t="s">
        <v>874</v>
      </c>
      <c r="B187" s="258" t="s">
        <v>1040</v>
      </c>
      <c r="C187" s="29" t="s">
        <v>1412</v>
      </c>
      <c r="D187" s="29" t="s">
        <v>1413</v>
      </c>
      <c r="E187" s="158">
        <v>2020</v>
      </c>
      <c r="F187" s="158">
        <v>2020</v>
      </c>
      <c r="G187" s="258" t="s">
        <v>16</v>
      </c>
      <c r="H187" s="258">
        <v>200</v>
      </c>
      <c r="I187" s="258">
        <v>200</v>
      </c>
      <c r="J187" s="258"/>
      <c r="K187" s="261"/>
      <c r="L187" s="260" t="s">
        <v>330</v>
      </c>
    </row>
    <row r="188" ht="15" customHeight="1" spans="1:12">
      <c r="A188" s="44" t="s">
        <v>877</v>
      </c>
      <c r="B188" s="29" t="s">
        <v>1040</v>
      </c>
      <c r="C188" s="29" t="s">
        <v>1414</v>
      </c>
      <c r="D188" s="29" t="s">
        <v>1415</v>
      </c>
      <c r="E188" s="30">
        <v>2020</v>
      </c>
      <c r="F188" s="30">
        <v>2020</v>
      </c>
      <c r="G188" s="29" t="s">
        <v>16</v>
      </c>
      <c r="H188" s="29">
        <v>200</v>
      </c>
      <c r="I188" s="29">
        <v>200</v>
      </c>
      <c r="J188" s="258"/>
      <c r="K188" s="261"/>
      <c r="L188" s="132" t="s">
        <v>330</v>
      </c>
    </row>
    <row r="189" ht="15" customHeight="1" spans="1:12">
      <c r="A189" s="44" t="s">
        <v>880</v>
      </c>
      <c r="B189" s="29" t="s">
        <v>1040</v>
      </c>
      <c r="C189" s="29" t="s">
        <v>1416</v>
      </c>
      <c r="D189" s="29" t="s">
        <v>1417</v>
      </c>
      <c r="E189" s="30">
        <v>2020</v>
      </c>
      <c r="F189" s="30">
        <v>2020</v>
      </c>
      <c r="G189" s="29" t="s">
        <v>16</v>
      </c>
      <c r="H189" s="29">
        <v>200</v>
      </c>
      <c r="I189" s="29">
        <v>200</v>
      </c>
      <c r="J189" s="29"/>
      <c r="K189" s="47"/>
      <c r="L189" s="260" t="s">
        <v>330</v>
      </c>
    </row>
    <row r="190" ht="15" customHeight="1" spans="1:12">
      <c r="A190" s="44" t="s">
        <v>883</v>
      </c>
      <c r="B190" s="258" t="s">
        <v>1040</v>
      </c>
      <c r="C190" s="29" t="s">
        <v>1418</v>
      </c>
      <c r="D190" s="29" t="s">
        <v>1419</v>
      </c>
      <c r="E190" s="158">
        <v>2020</v>
      </c>
      <c r="F190" s="158">
        <v>2020</v>
      </c>
      <c r="G190" s="258" t="s">
        <v>16</v>
      </c>
      <c r="H190" s="258">
        <v>200</v>
      </c>
      <c r="I190" s="258">
        <v>200</v>
      </c>
      <c r="J190" s="29"/>
      <c r="K190" s="47"/>
      <c r="L190" s="132" t="s">
        <v>330</v>
      </c>
    </row>
    <row r="191" ht="15" customHeight="1" spans="1:12">
      <c r="A191" s="44" t="s">
        <v>886</v>
      </c>
      <c r="B191" s="258" t="s">
        <v>1040</v>
      </c>
      <c r="C191" s="29" t="s">
        <v>1420</v>
      </c>
      <c r="D191" s="29" t="s">
        <v>1421</v>
      </c>
      <c r="E191" s="158">
        <v>2020</v>
      </c>
      <c r="F191" s="158">
        <v>2020</v>
      </c>
      <c r="G191" s="258" t="s">
        <v>16</v>
      </c>
      <c r="H191" s="258">
        <v>200</v>
      </c>
      <c r="I191" s="258">
        <v>200</v>
      </c>
      <c r="J191" s="258"/>
      <c r="K191" s="261"/>
      <c r="L191" s="260" t="s">
        <v>330</v>
      </c>
    </row>
    <row r="192" ht="15" customHeight="1" spans="1:12">
      <c r="A192" s="44" t="s">
        <v>889</v>
      </c>
      <c r="B192" s="258" t="s">
        <v>1040</v>
      </c>
      <c r="C192" s="29" t="s">
        <v>1422</v>
      </c>
      <c r="D192" s="29" t="s">
        <v>1423</v>
      </c>
      <c r="E192" s="158">
        <v>2020</v>
      </c>
      <c r="F192" s="158">
        <v>2020</v>
      </c>
      <c r="G192" s="258" t="s">
        <v>16</v>
      </c>
      <c r="H192" s="258">
        <v>200</v>
      </c>
      <c r="I192" s="258">
        <v>200</v>
      </c>
      <c r="J192" s="258"/>
      <c r="K192" s="261"/>
      <c r="L192" s="132" t="s">
        <v>330</v>
      </c>
    </row>
    <row r="193" ht="15" customHeight="1" spans="1:12">
      <c r="A193" s="44" t="s">
        <v>892</v>
      </c>
      <c r="B193" s="258" t="s">
        <v>1040</v>
      </c>
      <c r="C193" s="29" t="s">
        <v>1424</v>
      </c>
      <c r="D193" s="29" t="s">
        <v>1425</v>
      </c>
      <c r="E193" s="158">
        <v>2020</v>
      </c>
      <c r="F193" s="158">
        <v>2020</v>
      </c>
      <c r="G193" s="258" t="s">
        <v>16</v>
      </c>
      <c r="H193" s="258">
        <v>200</v>
      </c>
      <c r="I193" s="258">
        <v>200</v>
      </c>
      <c r="J193" s="258"/>
      <c r="K193" s="261"/>
      <c r="L193" s="260" t="s">
        <v>330</v>
      </c>
    </row>
    <row r="194" ht="15" customHeight="1" spans="1:12">
      <c r="A194" s="44" t="s">
        <v>895</v>
      </c>
      <c r="B194" s="258" t="s">
        <v>1040</v>
      </c>
      <c r="C194" s="29" t="s">
        <v>1426</v>
      </c>
      <c r="D194" s="29" t="s">
        <v>1427</v>
      </c>
      <c r="E194" s="158">
        <v>2020</v>
      </c>
      <c r="F194" s="158">
        <v>2020</v>
      </c>
      <c r="G194" s="258" t="s">
        <v>16</v>
      </c>
      <c r="H194" s="258">
        <v>200</v>
      </c>
      <c r="I194" s="258">
        <v>200</v>
      </c>
      <c r="J194" s="258"/>
      <c r="K194" s="261"/>
      <c r="L194" s="132" t="s">
        <v>330</v>
      </c>
    </row>
    <row r="195" ht="15" customHeight="1" spans="1:12">
      <c r="A195" s="44" t="s">
        <v>898</v>
      </c>
      <c r="B195" s="258" t="s">
        <v>1040</v>
      </c>
      <c r="C195" s="29" t="s">
        <v>1428</v>
      </c>
      <c r="D195" s="29" t="s">
        <v>1429</v>
      </c>
      <c r="E195" s="158">
        <v>2020</v>
      </c>
      <c r="F195" s="158">
        <v>2020</v>
      </c>
      <c r="G195" s="258" t="s">
        <v>16</v>
      </c>
      <c r="H195" s="258">
        <v>200</v>
      </c>
      <c r="I195" s="258">
        <v>200</v>
      </c>
      <c r="J195" s="258"/>
      <c r="K195" s="261"/>
      <c r="L195" s="260" t="s">
        <v>330</v>
      </c>
    </row>
    <row r="196" ht="15" customHeight="1" spans="1:12">
      <c r="A196" s="44" t="s">
        <v>901</v>
      </c>
      <c r="B196" s="258" t="s">
        <v>1040</v>
      </c>
      <c r="C196" s="29" t="s">
        <v>1430</v>
      </c>
      <c r="D196" s="29" t="s">
        <v>1431</v>
      </c>
      <c r="E196" s="158">
        <v>2020</v>
      </c>
      <c r="F196" s="158">
        <v>2020</v>
      </c>
      <c r="G196" s="258" t="s">
        <v>16</v>
      </c>
      <c r="H196" s="258">
        <v>200</v>
      </c>
      <c r="I196" s="258">
        <v>200</v>
      </c>
      <c r="J196" s="258"/>
      <c r="K196" s="261"/>
      <c r="L196" s="132" t="s">
        <v>330</v>
      </c>
    </row>
    <row r="197" ht="15" customHeight="1" spans="1:12">
      <c r="A197" s="44" t="s">
        <v>904</v>
      </c>
      <c r="B197" s="258" t="s">
        <v>1040</v>
      </c>
      <c r="C197" s="29" t="s">
        <v>1432</v>
      </c>
      <c r="D197" s="29" t="s">
        <v>1433</v>
      </c>
      <c r="E197" s="158">
        <v>2020</v>
      </c>
      <c r="F197" s="158">
        <v>2020</v>
      </c>
      <c r="G197" s="258" t="s">
        <v>16</v>
      </c>
      <c r="H197" s="258">
        <v>200</v>
      </c>
      <c r="I197" s="258">
        <v>200</v>
      </c>
      <c r="J197" s="258"/>
      <c r="K197" s="261"/>
      <c r="L197" s="260" t="s">
        <v>330</v>
      </c>
    </row>
    <row r="198" ht="15" customHeight="1" spans="1:12">
      <c r="A198" s="44" t="s">
        <v>907</v>
      </c>
      <c r="B198" s="258" t="s">
        <v>1040</v>
      </c>
      <c r="C198" s="29" t="s">
        <v>1434</v>
      </c>
      <c r="D198" s="29" t="s">
        <v>1435</v>
      </c>
      <c r="E198" s="158">
        <v>2020</v>
      </c>
      <c r="F198" s="158">
        <v>2020</v>
      </c>
      <c r="G198" s="258" t="s">
        <v>16</v>
      </c>
      <c r="H198" s="258">
        <v>200</v>
      </c>
      <c r="I198" s="258">
        <v>200</v>
      </c>
      <c r="J198" s="258"/>
      <c r="K198" s="261"/>
      <c r="L198" s="132" t="s">
        <v>330</v>
      </c>
    </row>
    <row r="199" ht="15" customHeight="1" spans="1:12">
      <c r="A199" s="44" t="s">
        <v>910</v>
      </c>
      <c r="B199" s="258" t="s">
        <v>1040</v>
      </c>
      <c r="C199" s="29" t="s">
        <v>1436</v>
      </c>
      <c r="D199" s="29" t="s">
        <v>1437</v>
      </c>
      <c r="E199" s="158">
        <v>2020</v>
      </c>
      <c r="F199" s="158">
        <v>2020</v>
      </c>
      <c r="G199" s="258" t="s">
        <v>16</v>
      </c>
      <c r="H199" s="258">
        <v>200</v>
      </c>
      <c r="I199" s="258">
        <v>200</v>
      </c>
      <c r="J199" s="258"/>
      <c r="K199" s="261"/>
      <c r="L199" s="260" t="s">
        <v>330</v>
      </c>
    </row>
    <row r="200" ht="15" customHeight="1" spans="1:12">
      <c r="A200" s="44" t="s">
        <v>913</v>
      </c>
      <c r="B200" s="258" t="s">
        <v>1040</v>
      </c>
      <c r="C200" s="29" t="s">
        <v>1438</v>
      </c>
      <c r="D200" s="29" t="s">
        <v>1439</v>
      </c>
      <c r="E200" s="158">
        <v>2020</v>
      </c>
      <c r="F200" s="158">
        <v>2020</v>
      </c>
      <c r="G200" s="258" t="s">
        <v>16</v>
      </c>
      <c r="H200" s="258">
        <v>200</v>
      </c>
      <c r="I200" s="258">
        <v>200</v>
      </c>
      <c r="J200" s="258"/>
      <c r="K200" s="261"/>
      <c r="L200" s="132" t="s">
        <v>330</v>
      </c>
    </row>
    <row r="201" ht="15" customHeight="1" spans="1:12">
      <c r="A201" s="44" t="s">
        <v>916</v>
      </c>
      <c r="B201" s="258" t="s">
        <v>1040</v>
      </c>
      <c r="C201" s="29" t="s">
        <v>1440</v>
      </c>
      <c r="D201" s="29" t="s">
        <v>1441</v>
      </c>
      <c r="E201" s="158">
        <v>2020</v>
      </c>
      <c r="F201" s="158">
        <v>2020</v>
      </c>
      <c r="G201" s="258" t="s">
        <v>16</v>
      </c>
      <c r="H201" s="258">
        <v>200</v>
      </c>
      <c r="I201" s="258">
        <v>200</v>
      </c>
      <c r="J201" s="258"/>
      <c r="K201" s="261"/>
      <c r="L201" s="260" t="s">
        <v>330</v>
      </c>
    </row>
    <row r="202" ht="15" customHeight="1" spans="1:12">
      <c r="A202" s="44" t="s">
        <v>311</v>
      </c>
      <c r="B202" s="29" t="s">
        <v>1040</v>
      </c>
      <c r="C202" s="29" t="s">
        <v>1442</v>
      </c>
      <c r="D202" s="29" t="s">
        <v>1443</v>
      </c>
      <c r="E202" s="30">
        <v>2020</v>
      </c>
      <c r="F202" s="30">
        <v>2020</v>
      </c>
      <c r="G202" s="29" t="s">
        <v>16</v>
      </c>
      <c r="H202" s="29">
        <v>200</v>
      </c>
      <c r="I202" s="29">
        <v>200</v>
      </c>
      <c r="J202" s="258"/>
      <c r="K202" s="261"/>
      <c r="L202" s="132" t="s">
        <v>330</v>
      </c>
    </row>
    <row r="203" ht="15" customHeight="1" spans="1:12">
      <c r="A203" s="44" t="s">
        <v>921</v>
      </c>
      <c r="B203" s="258" t="s">
        <v>1040</v>
      </c>
      <c r="C203" s="29" t="s">
        <v>1444</v>
      </c>
      <c r="D203" s="29" t="s">
        <v>1445</v>
      </c>
      <c r="E203" s="158">
        <v>2020</v>
      </c>
      <c r="F203" s="158">
        <v>2020</v>
      </c>
      <c r="G203" s="258" t="s">
        <v>16</v>
      </c>
      <c r="H203" s="258">
        <v>200</v>
      </c>
      <c r="I203" s="258">
        <v>200</v>
      </c>
      <c r="J203" s="29"/>
      <c r="K203" s="47"/>
      <c r="L203" s="260" t="s">
        <v>330</v>
      </c>
    </row>
    <row r="204" ht="15" customHeight="1" spans="1:12">
      <c r="A204" s="44" t="s">
        <v>924</v>
      </c>
      <c r="B204" s="258" t="s">
        <v>1040</v>
      </c>
      <c r="C204" s="29" t="s">
        <v>1446</v>
      </c>
      <c r="D204" s="29" t="s">
        <v>1447</v>
      </c>
      <c r="E204" s="158">
        <v>2020</v>
      </c>
      <c r="F204" s="158">
        <v>2020</v>
      </c>
      <c r="G204" s="258" t="s">
        <v>16</v>
      </c>
      <c r="H204" s="258">
        <v>200</v>
      </c>
      <c r="I204" s="258">
        <v>200</v>
      </c>
      <c r="J204" s="258"/>
      <c r="K204" s="261"/>
      <c r="L204" s="132" t="s">
        <v>330</v>
      </c>
    </row>
    <row r="205" ht="15" customHeight="1" spans="1:12">
      <c r="A205" s="44" t="s">
        <v>927</v>
      </c>
      <c r="B205" s="258" t="s">
        <v>1040</v>
      </c>
      <c r="C205" s="29" t="s">
        <v>1448</v>
      </c>
      <c r="D205" s="29" t="s">
        <v>1449</v>
      </c>
      <c r="E205" s="158">
        <v>2020</v>
      </c>
      <c r="F205" s="158">
        <v>2020</v>
      </c>
      <c r="G205" s="258" t="s">
        <v>16</v>
      </c>
      <c r="H205" s="258">
        <v>200</v>
      </c>
      <c r="I205" s="258">
        <v>200</v>
      </c>
      <c r="J205" s="258"/>
      <c r="K205" s="261"/>
      <c r="L205" s="260" t="s">
        <v>330</v>
      </c>
    </row>
    <row r="206" ht="15" customHeight="1" spans="1:12">
      <c r="A206" s="44" t="s">
        <v>930</v>
      </c>
      <c r="B206" s="258" t="s">
        <v>1040</v>
      </c>
      <c r="C206" s="29" t="s">
        <v>1450</v>
      </c>
      <c r="D206" s="29" t="s">
        <v>1451</v>
      </c>
      <c r="E206" s="158">
        <v>2020</v>
      </c>
      <c r="F206" s="158">
        <v>2020</v>
      </c>
      <c r="G206" s="258" t="s">
        <v>16</v>
      </c>
      <c r="H206" s="258">
        <v>200</v>
      </c>
      <c r="I206" s="258">
        <v>200</v>
      </c>
      <c r="J206" s="258"/>
      <c r="K206" s="261"/>
      <c r="L206" s="132" t="s">
        <v>330</v>
      </c>
    </row>
    <row r="207" ht="15" customHeight="1" spans="1:12">
      <c r="A207" s="44" t="s">
        <v>933</v>
      </c>
      <c r="B207" s="258" t="s">
        <v>1040</v>
      </c>
      <c r="C207" s="29" t="s">
        <v>1452</v>
      </c>
      <c r="D207" s="29" t="s">
        <v>1453</v>
      </c>
      <c r="E207" s="158">
        <v>2020</v>
      </c>
      <c r="F207" s="158">
        <v>2020</v>
      </c>
      <c r="G207" s="258" t="s">
        <v>16</v>
      </c>
      <c r="H207" s="258">
        <v>200</v>
      </c>
      <c r="I207" s="258">
        <v>200</v>
      </c>
      <c r="J207" s="258"/>
      <c r="K207" s="261"/>
      <c r="L207" s="260" t="s">
        <v>330</v>
      </c>
    </row>
    <row r="208" ht="15" customHeight="1" spans="1:12">
      <c r="A208" s="44" t="s">
        <v>936</v>
      </c>
      <c r="B208" s="258" t="s">
        <v>1040</v>
      </c>
      <c r="C208" s="29" t="s">
        <v>1454</v>
      </c>
      <c r="D208" s="29" t="s">
        <v>1455</v>
      </c>
      <c r="E208" s="158">
        <v>2020</v>
      </c>
      <c r="F208" s="158">
        <v>2020</v>
      </c>
      <c r="G208" s="258" t="s">
        <v>16</v>
      </c>
      <c r="H208" s="258">
        <v>200</v>
      </c>
      <c r="I208" s="258">
        <v>200</v>
      </c>
      <c r="J208" s="258"/>
      <c r="K208" s="261"/>
      <c r="L208" s="132" t="s">
        <v>330</v>
      </c>
    </row>
    <row r="209" ht="15" customHeight="1" spans="1:12">
      <c r="A209" s="44" t="s">
        <v>939</v>
      </c>
      <c r="B209" s="258" t="s">
        <v>1040</v>
      </c>
      <c r="C209" s="29" t="s">
        <v>1456</v>
      </c>
      <c r="D209" s="29" t="s">
        <v>1457</v>
      </c>
      <c r="E209" s="158">
        <v>2020</v>
      </c>
      <c r="F209" s="158">
        <v>2020</v>
      </c>
      <c r="G209" s="258" t="s">
        <v>16</v>
      </c>
      <c r="H209" s="258">
        <v>200</v>
      </c>
      <c r="I209" s="258">
        <v>200</v>
      </c>
      <c r="J209" s="258"/>
      <c r="K209" s="261"/>
      <c r="L209" s="260" t="s">
        <v>330</v>
      </c>
    </row>
    <row r="210" ht="15" customHeight="1" spans="1:12">
      <c r="A210" s="44" t="s">
        <v>942</v>
      </c>
      <c r="B210" s="258" t="s">
        <v>1040</v>
      </c>
      <c r="C210" s="29" t="s">
        <v>1458</v>
      </c>
      <c r="D210" s="29" t="s">
        <v>1459</v>
      </c>
      <c r="E210" s="158">
        <v>2020</v>
      </c>
      <c r="F210" s="158">
        <v>2020</v>
      </c>
      <c r="G210" s="258" t="s">
        <v>16</v>
      </c>
      <c r="H210" s="258">
        <v>200</v>
      </c>
      <c r="I210" s="258">
        <v>200</v>
      </c>
      <c r="J210" s="258"/>
      <c r="K210" s="261"/>
      <c r="L210" s="132" t="s">
        <v>330</v>
      </c>
    </row>
    <row r="211" ht="15" customHeight="1" spans="1:12">
      <c r="A211" s="44" t="s">
        <v>945</v>
      </c>
      <c r="B211" s="258" t="s">
        <v>1040</v>
      </c>
      <c r="C211" s="29" t="s">
        <v>1460</v>
      </c>
      <c r="D211" s="29" t="s">
        <v>1461</v>
      </c>
      <c r="E211" s="158">
        <v>2020</v>
      </c>
      <c r="F211" s="158">
        <v>2020</v>
      </c>
      <c r="G211" s="258" t="s">
        <v>16</v>
      </c>
      <c r="H211" s="258">
        <v>200</v>
      </c>
      <c r="I211" s="258">
        <v>200</v>
      </c>
      <c r="J211" s="258"/>
      <c r="K211" s="261"/>
      <c r="L211" s="260" t="s">
        <v>330</v>
      </c>
    </row>
    <row r="212" ht="15" customHeight="1" spans="1:12">
      <c r="A212" s="44" t="s">
        <v>948</v>
      </c>
      <c r="B212" s="258" t="s">
        <v>1040</v>
      </c>
      <c r="C212" s="29" t="s">
        <v>1462</v>
      </c>
      <c r="D212" s="29" t="s">
        <v>1463</v>
      </c>
      <c r="E212" s="158">
        <v>2020</v>
      </c>
      <c r="F212" s="158">
        <v>2020</v>
      </c>
      <c r="G212" s="258" t="s">
        <v>16</v>
      </c>
      <c r="H212" s="258">
        <v>200</v>
      </c>
      <c r="I212" s="258">
        <v>200</v>
      </c>
      <c r="J212" s="258"/>
      <c r="K212" s="261"/>
      <c r="L212" s="132" t="s">
        <v>330</v>
      </c>
    </row>
    <row r="213" ht="15" customHeight="1" spans="1:12">
      <c r="A213" s="44" t="s">
        <v>951</v>
      </c>
      <c r="B213" s="258" t="s">
        <v>1040</v>
      </c>
      <c r="C213" s="29" t="s">
        <v>1464</v>
      </c>
      <c r="D213" s="29" t="s">
        <v>1465</v>
      </c>
      <c r="E213" s="158">
        <v>2020</v>
      </c>
      <c r="F213" s="158">
        <v>2020</v>
      </c>
      <c r="G213" s="258" t="s">
        <v>16</v>
      </c>
      <c r="H213" s="258">
        <v>200</v>
      </c>
      <c r="I213" s="258">
        <v>200</v>
      </c>
      <c r="J213" s="258"/>
      <c r="K213" s="261"/>
      <c r="L213" s="260" t="s">
        <v>330</v>
      </c>
    </row>
    <row r="214" ht="15" customHeight="1" spans="1:12">
      <c r="A214" s="44" t="s">
        <v>954</v>
      </c>
      <c r="B214" s="29" t="s">
        <v>1040</v>
      </c>
      <c r="C214" s="29" t="s">
        <v>1466</v>
      </c>
      <c r="D214" s="29" t="s">
        <v>1467</v>
      </c>
      <c r="E214" s="30">
        <v>2020</v>
      </c>
      <c r="F214" s="30">
        <v>2020</v>
      </c>
      <c r="G214" s="29" t="s">
        <v>16</v>
      </c>
      <c r="H214" s="29">
        <v>200</v>
      </c>
      <c r="I214" s="29">
        <v>200</v>
      </c>
      <c r="J214" s="258"/>
      <c r="K214" s="261"/>
      <c r="L214" s="132" t="s">
        <v>330</v>
      </c>
    </row>
    <row r="215" ht="15" customHeight="1" spans="1:12">
      <c r="A215" s="44" t="s">
        <v>957</v>
      </c>
      <c r="B215" s="258" t="s">
        <v>1040</v>
      </c>
      <c r="C215" s="29" t="s">
        <v>1468</v>
      </c>
      <c r="D215" s="29" t="s">
        <v>1469</v>
      </c>
      <c r="E215" s="158">
        <v>2020</v>
      </c>
      <c r="F215" s="158">
        <v>2020</v>
      </c>
      <c r="G215" s="258" t="s">
        <v>16</v>
      </c>
      <c r="H215" s="258">
        <v>200</v>
      </c>
      <c r="I215" s="258">
        <v>200</v>
      </c>
      <c r="J215" s="29"/>
      <c r="K215" s="47"/>
      <c r="L215" s="260" t="s">
        <v>330</v>
      </c>
    </row>
    <row r="216" ht="15" customHeight="1" spans="1:12">
      <c r="A216" s="44" t="s">
        <v>960</v>
      </c>
      <c r="B216" s="258" t="s">
        <v>1040</v>
      </c>
      <c r="C216" s="29" t="s">
        <v>1470</v>
      </c>
      <c r="D216" s="29" t="s">
        <v>1471</v>
      </c>
      <c r="E216" s="158">
        <v>2020</v>
      </c>
      <c r="F216" s="158">
        <v>2020</v>
      </c>
      <c r="G216" s="258" t="s">
        <v>16</v>
      </c>
      <c r="H216" s="258">
        <v>200</v>
      </c>
      <c r="I216" s="258">
        <v>200</v>
      </c>
      <c r="J216" s="258"/>
      <c r="K216" s="261"/>
      <c r="L216" s="132" t="s">
        <v>330</v>
      </c>
    </row>
    <row r="217" ht="15" customHeight="1" spans="1:12">
      <c r="A217" s="44" t="s">
        <v>963</v>
      </c>
      <c r="B217" s="258" t="s">
        <v>1040</v>
      </c>
      <c r="C217" s="29" t="s">
        <v>1472</v>
      </c>
      <c r="D217" s="29" t="s">
        <v>1473</v>
      </c>
      <c r="E217" s="158">
        <v>2020</v>
      </c>
      <c r="F217" s="158">
        <v>2020</v>
      </c>
      <c r="G217" s="258" t="s">
        <v>16</v>
      </c>
      <c r="H217" s="258">
        <v>200</v>
      </c>
      <c r="I217" s="258">
        <v>200</v>
      </c>
      <c r="J217" s="258"/>
      <c r="K217" s="261"/>
      <c r="L217" s="260" t="s">
        <v>330</v>
      </c>
    </row>
    <row r="218" ht="15" customHeight="1" spans="1:12">
      <c r="A218" s="44" t="s">
        <v>966</v>
      </c>
      <c r="B218" s="258" t="s">
        <v>1040</v>
      </c>
      <c r="C218" s="29" t="s">
        <v>1474</v>
      </c>
      <c r="D218" s="29" t="s">
        <v>1475</v>
      </c>
      <c r="E218" s="158">
        <v>2020</v>
      </c>
      <c r="F218" s="158">
        <v>2020</v>
      </c>
      <c r="G218" s="258" t="s">
        <v>16</v>
      </c>
      <c r="H218" s="258">
        <v>200</v>
      </c>
      <c r="I218" s="258">
        <v>200</v>
      </c>
      <c r="J218" s="258"/>
      <c r="K218" s="261"/>
      <c r="L218" s="132" t="s">
        <v>330</v>
      </c>
    </row>
    <row r="219" ht="15" customHeight="1" spans="1:12">
      <c r="A219" s="44" t="s">
        <v>969</v>
      </c>
      <c r="B219" s="258" t="s">
        <v>1040</v>
      </c>
      <c r="C219" s="29" t="s">
        <v>1476</v>
      </c>
      <c r="D219" s="29" t="s">
        <v>1477</v>
      </c>
      <c r="E219" s="158">
        <v>2020</v>
      </c>
      <c r="F219" s="158">
        <v>2020</v>
      </c>
      <c r="G219" s="258" t="s">
        <v>16</v>
      </c>
      <c r="H219" s="258">
        <v>200</v>
      </c>
      <c r="I219" s="258">
        <v>200</v>
      </c>
      <c r="J219" s="258"/>
      <c r="K219" s="261"/>
      <c r="L219" s="260" t="s">
        <v>330</v>
      </c>
    </row>
    <row r="220" ht="15" customHeight="1" spans="1:12">
      <c r="A220" s="44" t="s">
        <v>972</v>
      </c>
      <c r="B220" s="258" t="s">
        <v>1040</v>
      </c>
      <c r="C220" s="29" t="s">
        <v>1478</v>
      </c>
      <c r="D220" s="29" t="s">
        <v>1479</v>
      </c>
      <c r="E220" s="158">
        <v>2020</v>
      </c>
      <c r="F220" s="158">
        <v>2020</v>
      </c>
      <c r="G220" s="258" t="s">
        <v>16</v>
      </c>
      <c r="H220" s="258">
        <v>200</v>
      </c>
      <c r="I220" s="258">
        <v>200</v>
      </c>
      <c r="J220" s="258"/>
      <c r="K220" s="261"/>
      <c r="L220" s="132" t="s">
        <v>330</v>
      </c>
    </row>
    <row r="221" ht="15" customHeight="1" spans="1:12">
      <c r="A221" s="44" t="s">
        <v>975</v>
      </c>
      <c r="B221" s="258" t="s">
        <v>1040</v>
      </c>
      <c r="C221" s="29" t="s">
        <v>1480</v>
      </c>
      <c r="D221" s="29" t="s">
        <v>1481</v>
      </c>
      <c r="E221" s="158">
        <v>2020</v>
      </c>
      <c r="F221" s="158">
        <v>2020</v>
      </c>
      <c r="G221" s="258" t="s">
        <v>16</v>
      </c>
      <c r="H221" s="258">
        <v>200</v>
      </c>
      <c r="I221" s="258">
        <v>200</v>
      </c>
      <c r="J221" s="258"/>
      <c r="K221" s="261"/>
      <c r="L221" s="260" t="s">
        <v>330</v>
      </c>
    </row>
    <row r="222" ht="15" customHeight="1" spans="1:12">
      <c r="A222" s="44" t="s">
        <v>978</v>
      </c>
      <c r="B222" s="258" t="s">
        <v>1040</v>
      </c>
      <c r="C222" s="29" t="s">
        <v>1482</v>
      </c>
      <c r="D222" s="29" t="s">
        <v>1483</v>
      </c>
      <c r="E222" s="158">
        <v>2020</v>
      </c>
      <c r="F222" s="158">
        <v>2020</v>
      </c>
      <c r="G222" s="258" t="s">
        <v>16</v>
      </c>
      <c r="H222" s="258">
        <v>200</v>
      </c>
      <c r="I222" s="258">
        <v>200</v>
      </c>
      <c r="J222" s="258"/>
      <c r="K222" s="261"/>
      <c r="L222" s="132" t="s">
        <v>330</v>
      </c>
    </row>
    <row r="223" ht="15" customHeight="1" spans="1:12">
      <c r="A223" s="44" t="s">
        <v>981</v>
      </c>
      <c r="B223" s="258" t="s">
        <v>1040</v>
      </c>
      <c r="C223" s="29" t="s">
        <v>1484</v>
      </c>
      <c r="D223" s="29" t="s">
        <v>1485</v>
      </c>
      <c r="E223" s="158">
        <v>2020</v>
      </c>
      <c r="F223" s="158">
        <v>2020</v>
      </c>
      <c r="G223" s="258" t="s">
        <v>16</v>
      </c>
      <c r="H223" s="258">
        <v>200</v>
      </c>
      <c r="I223" s="258">
        <v>200</v>
      </c>
      <c r="J223" s="258"/>
      <c r="K223" s="261"/>
      <c r="L223" s="260" t="s">
        <v>330</v>
      </c>
    </row>
    <row r="224" ht="15" customHeight="1" spans="1:12">
      <c r="A224" s="44" t="s">
        <v>984</v>
      </c>
      <c r="B224" s="258" t="s">
        <v>1040</v>
      </c>
      <c r="C224" s="29" t="s">
        <v>1486</v>
      </c>
      <c r="D224" s="29" t="s">
        <v>1487</v>
      </c>
      <c r="E224" s="158">
        <v>2020</v>
      </c>
      <c r="F224" s="158">
        <v>2020</v>
      </c>
      <c r="G224" s="258" t="s">
        <v>16</v>
      </c>
      <c r="H224" s="258">
        <v>200</v>
      </c>
      <c r="I224" s="258">
        <v>200</v>
      </c>
      <c r="J224" s="258"/>
      <c r="K224" s="261"/>
      <c r="L224" s="132" t="s">
        <v>330</v>
      </c>
    </row>
    <row r="225" ht="15" customHeight="1" spans="1:12">
      <c r="A225" s="44" t="s">
        <v>987</v>
      </c>
      <c r="B225" s="29" t="s">
        <v>1040</v>
      </c>
      <c r="C225" s="29" t="s">
        <v>1488</v>
      </c>
      <c r="D225" s="29" t="s">
        <v>1489</v>
      </c>
      <c r="E225" s="30">
        <v>2020</v>
      </c>
      <c r="F225" s="30">
        <v>2020</v>
      </c>
      <c r="G225" s="29" t="s">
        <v>16</v>
      </c>
      <c r="H225" s="29">
        <v>200</v>
      </c>
      <c r="I225" s="29">
        <v>200</v>
      </c>
      <c r="J225" s="258"/>
      <c r="K225" s="261"/>
      <c r="L225" s="260" t="s">
        <v>330</v>
      </c>
    </row>
    <row r="226" ht="15" customHeight="1" spans="1:12">
      <c r="A226" s="44" t="s">
        <v>990</v>
      </c>
      <c r="B226" s="258" t="s">
        <v>1040</v>
      </c>
      <c r="C226" s="29" t="s">
        <v>1490</v>
      </c>
      <c r="D226" s="29" t="s">
        <v>1491</v>
      </c>
      <c r="E226" s="158">
        <v>2020</v>
      </c>
      <c r="F226" s="158">
        <v>2020</v>
      </c>
      <c r="G226" s="258" t="s">
        <v>16</v>
      </c>
      <c r="H226" s="258">
        <v>200</v>
      </c>
      <c r="I226" s="258">
        <v>200</v>
      </c>
      <c r="J226" s="29"/>
      <c r="K226" s="47"/>
      <c r="L226" s="132" t="s">
        <v>330</v>
      </c>
    </row>
    <row r="227" ht="15" customHeight="1" spans="1:12">
      <c r="A227" s="44" t="s">
        <v>993</v>
      </c>
      <c r="B227" s="258" t="s">
        <v>1040</v>
      </c>
      <c r="C227" s="29" t="s">
        <v>1492</v>
      </c>
      <c r="D227" s="29" t="s">
        <v>1493</v>
      </c>
      <c r="E227" s="158">
        <v>2020</v>
      </c>
      <c r="F227" s="158">
        <v>2020</v>
      </c>
      <c r="G227" s="258" t="s">
        <v>16</v>
      </c>
      <c r="H227" s="258">
        <v>200</v>
      </c>
      <c r="I227" s="258">
        <v>200</v>
      </c>
      <c r="J227" s="258"/>
      <c r="K227" s="261"/>
      <c r="L227" s="260" t="s">
        <v>330</v>
      </c>
    </row>
    <row r="228" ht="15" customHeight="1" spans="1:12">
      <c r="A228" s="44" t="s">
        <v>996</v>
      </c>
      <c r="B228" s="258" t="s">
        <v>1040</v>
      </c>
      <c r="C228" s="29" t="s">
        <v>1494</v>
      </c>
      <c r="D228" s="29" t="s">
        <v>1495</v>
      </c>
      <c r="E228" s="158">
        <v>2020</v>
      </c>
      <c r="F228" s="158">
        <v>2020</v>
      </c>
      <c r="G228" s="258" t="s">
        <v>16</v>
      </c>
      <c r="H228" s="258">
        <v>200</v>
      </c>
      <c r="I228" s="258">
        <v>200</v>
      </c>
      <c r="J228" s="258"/>
      <c r="K228" s="261"/>
      <c r="L228" s="132" t="s">
        <v>330</v>
      </c>
    </row>
    <row r="229" ht="15" customHeight="1" spans="1:12">
      <c r="A229" s="44" t="s">
        <v>999</v>
      </c>
      <c r="B229" s="258" t="s">
        <v>1040</v>
      </c>
      <c r="C229" s="29" t="s">
        <v>1496</v>
      </c>
      <c r="D229" s="29" t="s">
        <v>1497</v>
      </c>
      <c r="E229" s="158">
        <v>2020</v>
      </c>
      <c r="F229" s="158">
        <v>2020</v>
      </c>
      <c r="G229" s="258" t="s">
        <v>16</v>
      </c>
      <c r="H229" s="258">
        <v>200</v>
      </c>
      <c r="I229" s="258">
        <v>200</v>
      </c>
      <c r="J229" s="258"/>
      <c r="K229" s="261"/>
      <c r="L229" s="260" t="s">
        <v>330</v>
      </c>
    </row>
    <row r="230" ht="15" customHeight="1" spans="1:12">
      <c r="A230" s="44" t="s">
        <v>1001</v>
      </c>
      <c r="B230" s="29" t="s">
        <v>1040</v>
      </c>
      <c r="C230" s="29" t="s">
        <v>1498</v>
      </c>
      <c r="D230" s="29" t="s">
        <v>1499</v>
      </c>
      <c r="E230" s="158">
        <v>2020</v>
      </c>
      <c r="F230" s="158">
        <v>2020</v>
      </c>
      <c r="G230" s="29" t="s">
        <v>16</v>
      </c>
      <c r="H230" s="258">
        <v>200</v>
      </c>
      <c r="I230" s="258">
        <v>200</v>
      </c>
      <c r="J230" s="258"/>
      <c r="K230" s="261"/>
      <c r="L230" s="132" t="s">
        <v>330</v>
      </c>
    </row>
    <row r="231" ht="15" customHeight="1" spans="1:12">
      <c r="A231" s="44" t="s">
        <v>1004</v>
      </c>
      <c r="B231" s="258" t="s">
        <v>1040</v>
      </c>
      <c r="C231" s="29" t="s">
        <v>1500</v>
      </c>
      <c r="D231" s="29" t="s">
        <v>1501</v>
      </c>
      <c r="E231" s="158">
        <v>2020</v>
      </c>
      <c r="F231" s="158">
        <v>2020</v>
      </c>
      <c r="G231" s="258" t="s">
        <v>16</v>
      </c>
      <c r="H231" s="258">
        <v>200</v>
      </c>
      <c r="I231" s="258">
        <v>200</v>
      </c>
      <c r="J231" s="29"/>
      <c r="K231" s="47"/>
      <c r="L231" s="260" t="s">
        <v>330</v>
      </c>
    </row>
    <row r="232" ht="15" customHeight="1" spans="1:12">
      <c r="A232" s="44" t="s">
        <v>1008</v>
      </c>
      <c r="B232" s="258" t="s">
        <v>1040</v>
      </c>
      <c r="C232" s="29" t="s">
        <v>1502</v>
      </c>
      <c r="D232" s="29" t="s">
        <v>1503</v>
      </c>
      <c r="E232" s="158">
        <v>2020</v>
      </c>
      <c r="F232" s="158">
        <v>2020</v>
      </c>
      <c r="G232" s="258" t="s">
        <v>16</v>
      </c>
      <c r="H232" s="258">
        <v>200</v>
      </c>
      <c r="I232" s="258">
        <v>200</v>
      </c>
      <c r="J232" s="258"/>
      <c r="K232" s="261"/>
      <c r="L232" s="132" t="s">
        <v>330</v>
      </c>
    </row>
    <row r="233" ht="15" customHeight="1" spans="1:12">
      <c r="A233" s="44" t="s">
        <v>1011</v>
      </c>
      <c r="B233" s="258" t="s">
        <v>1040</v>
      </c>
      <c r="C233" s="29" t="s">
        <v>1504</v>
      </c>
      <c r="D233" s="29" t="s">
        <v>1505</v>
      </c>
      <c r="E233" s="158">
        <v>2020</v>
      </c>
      <c r="F233" s="158">
        <v>2020</v>
      </c>
      <c r="G233" s="258" t="s">
        <v>16</v>
      </c>
      <c r="H233" s="258">
        <v>200</v>
      </c>
      <c r="I233" s="258">
        <v>200</v>
      </c>
      <c r="J233" s="258"/>
      <c r="K233" s="261"/>
      <c r="L233" s="260" t="s">
        <v>330</v>
      </c>
    </row>
    <row r="234" ht="15" customHeight="1" spans="1:12">
      <c r="A234" s="44" t="s">
        <v>1014</v>
      </c>
      <c r="B234" s="258" t="s">
        <v>1040</v>
      </c>
      <c r="C234" s="29" t="s">
        <v>1506</v>
      </c>
      <c r="D234" s="29" t="s">
        <v>1507</v>
      </c>
      <c r="E234" s="158">
        <v>2020</v>
      </c>
      <c r="F234" s="158">
        <v>2020</v>
      </c>
      <c r="G234" s="258" t="s">
        <v>16</v>
      </c>
      <c r="H234" s="258">
        <v>200</v>
      </c>
      <c r="I234" s="258">
        <v>200</v>
      </c>
      <c r="J234" s="258"/>
      <c r="K234" s="261"/>
      <c r="L234" s="132" t="s">
        <v>330</v>
      </c>
    </row>
    <row r="235" ht="15" customHeight="1" spans="1:12">
      <c r="A235" s="44" t="s">
        <v>1017</v>
      </c>
      <c r="B235" s="258" t="s">
        <v>1040</v>
      </c>
      <c r="C235" s="29" t="s">
        <v>1508</v>
      </c>
      <c r="D235" s="29" t="s">
        <v>1509</v>
      </c>
      <c r="E235" s="158">
        <v>2020</v>
      </c>
      <c r="F235" s="158">
        <v>2020</v>
      </c>
      <c r="G235" s="258" t="s">
        <v>16</v>
      </c>
      <c r="H235" s="258">
        <v>200</v>
      </c>
      <c r="I235" s="258">
        <v>200</v>
      </c>
      <c r="J235" s="258"/>
      <c r="K235" s="261"/>
      <c r="L235" s="260" t="s">
        <v>330</v>
      </c>
    </row>
    <row r="236" ht="15" customHeight="1" spans="1:12">
      <c r="A236" s="44" t="s">
        <v>1020</v>
      </c>
      <c r="B236" s="258" t="s">
        <v>1040</v>
      </c>
      <c r="C236" s="29" t="s">
        <v>1510</v>
      </c>
      <c r="D236" s="29" t="s">
        <v>1511</v>
      </c>
      <c r="E236" s="158">
        <v>2020</v>
      </c>
      <c r="F236" s="158">
        <v>2020</v>
      </c>
      <c r="G236" s="258" t="s">
        <v>16</v>
      </c>
      <c r="H236" s="258">
        <v>200</v>
      </c>
      <c r="I236" s="258">
        <v>200</v>
      </c>
      <c r="J236" s="258"/>
      <c r="K236" s="261"/>
      <c r="L236" s="132" t="s">
        <v>330</v>
      </c>
    </row>
    <row r="237" ht="15" customHeight="1" spans="1:12">
      <c r="A237" s="44" t="s">
        <v>1023</v>
      </c>
      <c r="B237" s="29" t="s">
        <v>1040</v>
      </c>
      <c r="C237" s="29" t="s">
        <v>1512</v>
      </c>
      <c r="D237" s="29" t="s">
        <v>1513</v>
      </c>
      <c r="E237" s="158">
        <v>2020</v>
      </c>
      <c r="F237" s="158">
        <v>2020</v>
      </c>
      <c r="G237" s="29" t="s">
        <v>16</v>
      </c>
      <c r="H237" s="258">
        <v>200</v>
      </c>
      <c r="I237" s="258">
        <v>200</v>
      </c>
      <c r="J237" s="258"/>
      <c r="K237" s="261"/>
      <c r="L237" s="260" t="s">
        <v>330</v>
      </c>
    </row>
    <row r="238" ht="15" customHeight="1" spans="1:12">
      <c r="A238" s="44" t="s">
        <v>1026</v>
      </c>
      <c r="B238" s="29" t="s">
        <v>1040</v>
      </c>
      <c r="C238" s="29" t="s">
        <v>1514</v>
      </c>
      <c r="D238" s="29" t="s">
        <v>1515</v>
      </c>
      <c r="E238" s="158">
        <v>2020</v>
      </c>
      <c r="F238" s="158">
        <v>2020</v>
      </c>
      <c r="G238" s="29" t="s">
        <v>16</v>
      </c>
      <c r="H238" s="258">
        <v>200</v>
      </c>
      <c r="I238" s="258">
        <v>200</v>
      </c>
      <c r="J238" s="29"/>
      <c r="K238" s="47"/>
      <c r="L238" s="132" t="s">
        <v>330</v>
      </c>
    </row>
    <row r="239" ht="15" customHeight="1" spans="1:12">
      <c r="A239" s="44" t="s">
        <v>1029</v>
      </c>
      <c r="B239" s="29" t="s">
        <v>1040</v>
      </c>
      <c r="C239" s="29" t="s">
        <v>1516</v>
      </c>
      <c r="D239" s="29" t="s">
        <v>1517</v>
      </c>
      <c r="E239" s="158">
        <v>2020</v>
      </c>
      <c r="F239" s="158">
        <v>2020</v>
      </c>
      <c r="G239" s="29" t="s">
        <v>16</v>
      </c>
      <c r="H239" s="258">
        <v>200</v>
      </c>
      <c r="I239" s="258">
        <v>200</v>
      </c>
      <c r="J239" s="29"/>
      <c r="K239" s="47"/>
      <c r="L239" s="260" t="s">
        <v>330</v>
      </c>
    </row>
    <row r="240" ht="15" customHeight="1" spans="1:12">
      <c r="A240" s="44" t="s">
        <v>1032</v>
      </c>
      <c r="B240" s="29" t="s">
        <v>1040</v>
      </c>
      <c r="C240" s="29" t="s">
        <v>1518</v>
      </c>
      <c r="D240" s="29" t="s">
        <v>1519</v>
      </c>
      <c r="E240" s="158">
        <v>2020</v>
      </c>
      <c r="F240" s="158">
        <v>2020</v>
      </c>
      <c r="G240" s="29" t="s">
        <v>16</v>
      </c>
      <c r="H240" s="258">
        <v>200</v>
      </c>
      <c r="I240" s="258">
        <v>200</v>
      </c>
      <c r="J240" s="29"/>
      <c r="K240" s="47"/>
      <c r="L240" s="132" t="s">
        <v>330</v>
      </c>
    </row>
    <row r="241" ht="15" customHeight="1" spans="1:12">
      <c r="A241" s="44" t="s">
        <v>1035</v>
      </c>
      <c r="B241" s="258" t="s">
        <v>1040</v>
      </c>
      <c r="C241" s="29" t="s">
        <v>1520</v>
      </c>
      <c r="D241" s="29" t="s">
        <v>1521</v>
      </c>
      <c r="E241" s="158">
        <v>2020</v>
      </c>
      <c r="F241" s="158">
        <v>2020</v>
      </c>
      <c r="G241" s="258" t="s">
        <v>16</v>
      </c>
      <c r="H241" s="258">
        <v>200</v>
      </c>
      <c r="I241" s="258">
        <v>200</v>
      </c>
      <c r="J241" s="29"/>
      <c r="K241" s="47"/>
      <c r="L241" s="260" t="s">
        <v>330</v>
      </c>
    </row>
    <row r="242" ht="15" customHeight="1" spans="1:12">
      <c r="A242" s="44" t="s">
        <v>1522</v>
      </c>
      <c r="B242" s="258" t="s">
        <v>1040</v>
      </c>
      <c r="C242" s="29" t="s">
        <v>1523</v>
      </c>
      <c r="D242" s="29" t="s">
        <v>1524</v>
      </c>
      <c r="E242" s="158">
        <v>2020</v>
      </c>
      <c r="F242" s="158">
        <v>2020</v>
      </c>
      <c r="G242" s="258" t="s">
        <v>16</v>
      </c>
      <c r="H242" s="258">
        <v>200</v>
      </c>
      <c r="I242" s="258">
        <v>200</v>
      </c>
      <c r="J242" s="258"/>
      <c r="K242" s="261"/>
      <c r="L242" s="260" t="s">
        <v>330</v>
      </c>
    </row>
    <row r="243" ht="15" customHeight="1" spans="1:12">
      <c r="A243" s="44" t="s">
        <v>1525</v>
      </c>
      <c r="B243" s="258" t="s">
        <v>1040</v>
      </c>
      <c r="C243" s="29" t="s">
        <v>1526</v>
      </c>
      <c r="D243" s="29" t="s">
        <v>1527</v>
      </c>
      <c r="E243" s="158">
        <v>2020</v>
      </c>
      <c r="F243" s="158">
        <v>2020</v>
      </c>
      <c r="G243" s="258" t="s">
        <v>16</v>
      </c>
      <c r="H243" s="258">
        <v>200</v>
      </c>
      <c r="I243" s="258">
        <v>200</v>
      </c>
      <c r="J243" s="258"/>
      <c r="K243" s="261"/>
      <c r="L243" s="132" t="s">
        <v>330</v>
      </c>
    </row>
    <row r="244" ht="15" customHeight="1" spans="1:12">
      <c r="A244" s="44" t="s">
        <v>1528</v>
      </c>
      <c r="B244" s="258" t="s">
        <v>1040</v>
      </c>
      <c r="C244" s="29" t="s">
        <v>1529</v>
      </c>
      <c r="D244" s="29" t="s">
        <v>1530</v>
      </c>
      <c r="E244" s="158">
        <v>2020</v>
      </c>
      <c r="F244" s="158">
        <v>2020</v>
      </c>
      <c r="G244" s="258" t="s">
        <v>16</v>
      </c>
      <c r="H244" s="258">
        <v>200</v>
      </c>
      <c r="I244" s="258">
        <v>200</v>
      </c>
      <c r="J244" s="258"/>
      <c r="K244" s="261"/>
      <c r="L244" s="260" t="s">
        <v>330</v>
      </c>
    </row>
    <row r="245" ht="15" customHeight="1" spans="1:12">
      <c r="A245" s="44" t="s">
        <v>1531</v>
      </c>
      <c r="B245" s="258" t="s">
        <v>1040</v>
      </c>
      <c r="C245" s="29" t="s">
        <v>1532</v>
      </c>
      <c r="D245" s="29" t="s">
        <v>1533</v>
      </c>
      <c r="E245" s="158">
        <v>2020</v>
      </c>
      <c r="F245" s="158">
        <v>2020</v>
      </c>
      <c r="G245" s="258" t="s">
        <v>16</v>
      </c>
      <c r="H245" s="258">
        <v>200</v>
      </c>
      <c r="I245" s="258">
        <v>200</v>
      </c>
      <c r="J245" s="258"/>
      <c r="K245" s="261"/>
      <c r="L245" s="132" t="s">
        <v>330</v>
      </c>
    </row>
    <row r="246" ht="15" customHeight="1" spans="1:12">
      <c r="A246" s="44" t="s">
        <v>1534</v>
      </c>
      <c r="B246" s="29" t="s">
        <v>1040</v>
      </c>
      <c r="C246" s="29" t="s">
        <v>1535</v>
      </c>
      <c r="D246" s="29" t="s">
        <v>1536</v>
      </c>
      <c r="E246" s="30">
        <v>2020</v>
      </c>
      <c r="F246" s="30">
        <v>2020</v>
      </c>
      <c r="G246" s="29" t="s">
        <v>16</v>
      </c>
      <c r="H246" s="29">
        <v>200</v>
      </c>
      <c r="I246" s="29">
        <v>200</v>
      </c>
      <c r="J246" s="258"/>
      <c r="K246" s="261"/>
      <c r="L246" s="260" t="s">
        <v>330</v>
      </c>
    </row>
    <row r="247" ht="15" customHeight="1" spans="1:12">
      <c r="A247" s="44" t="s">
        <v>1537</v>
      </c>
      <c r="B247" s="29" t="s">
        <v>1040</v>
      </c>
      <c r="C247" s="29" t="s">
        <v>94</v>
      </c>
      <c r="D247" s="29" t="s">
        <v>1538</v>
      </c>
      <c r="E247" s="30">
        <v>2020</v>
      </c>
      <c r="F247" s="30">
        <v>2020</v>
      </c>
      <c r="G247" s="29" t="s">
        <v>16</v>
      </c>
      <c r="H247" s="29">
        <v>200</v>
      </c>
      <c r="I247" s="29">
        <v>200</v>
      </c>
      <c r="J247" s="29"/>
      <c r="K247" s="47"/>
      <c r="L247" s="132" t="s">
        <v>330</v>
      </c>
    </row>
    <row r="248" ht="15" customHeight="1" spans="1:12">
      <c r="A248" s="44" t="s">
        <v>1539</v>
      </c>
      <c r="B248" s="258" t="s">
        <v>1040</v>
      </c>
      <c r="C248" s="29" t="s">
        <v>1540</v>
      </c>
      <c r="D248" s="29" t="s">
        <v>1541</v>
      </c>
      <c r="E248" s="158">
        <v>2020</v>
      </c>
      <c r="F248" s="158">
        <v>2020</v>
      </c>
      <c r="G248" s="258" t="s">
        <v>16</v>
      </c>
      <c r="H248" s="258">
        <v>200</v>
      </c>
      <c r="I248" s="258">
        <v>200</v>
      </c>
      <c r="J248" s="29"/>
      <c r="K248" s="47"/>
      <c r="L248" s="260" t="s">
        <v>330</v>
      </c>
    </row>
    <row r="249" ht="15" customHeight="1" spans="1:12">
      <c r="A249" s="44" t="s">
        <v>1542</v>
      </c>
      <c r="B249" s="258" t="s">
        <v>1040</v>
      </c>
      <c r="C249" s="29" t="s">
        <v>1543</v>
      </c>
      <c r="D249" s="29" t="s">
        <v>1544</v>
      </c>
      <c r="E249" s="158">
        <v>2020</v>
      </c>
      <c r="F249" s="158">
        <v>2020</v>
      </c>
      <c r="G249" s="258" t="s">
        <v>16</v>
      </c>
      <c r="H249" s="258">
        <v>200</v>
      </c>
      <c r="I249" s="258">
        <v>200</v>
      </c>
      <c r="J249" s="258"/>
      <c r="K249" s="261"/>
      <c r="L249" s="260" t="s">
        <v>330</v>
      </c>
    </row>
    <row r="250" ht="15" customHeight="1" spans="1:12">
      <c r="A250" s="44" t="s">
        <v>1545</v>
      </c>
      <c r="B250" s="258" t="s">
        <v>1040</v>
      </c>
      <c r="C250" s="29" t="s">
        <v>1546</v>
      </c>
      <c r="D250" s="29" t="s">
        <v>1547</v>
      </c>
      <c r="E250" s="158">
        <v>2020</v>
      </c>
      <c r="F250" s="158">
        <v>2020</v>
      </c>
      <c r="G250" s="258" t="s">
        <v>16</v>
      </c>
      <c r="H250" s="258">
        <v>200</v>
      </c>
      <c r="I250" s="258">
        <v>200</v>
      </c>
      <c r="J250" s="258"/>
      <c r="K250" s="261"/>
      <c r="L250" s="132" t="s">
        <v>330</v>
      </c>
    </row>
    <row r="251" ht="15" customHeight="1" spans="1:12">
      <c r="A251" s="44" t="s">
        <v>1548</v>
      </c>
      <c r="B251" s="258" t="s">
        <v>1040</v>
      </c>
      <c r="C251" s="29" t="s">
        <v>1549</v>
      </c>
      <c r="D251" s="29" t="s">
        <v>1550</v>
      </c>
      <c r="E251" s="158">
        <v>2020</v>
      </c>
      <c r="F251" s="158">
        <v>2020</v>
      </c>
      <c r="G251" s="258" t="s">
        <v>16</v>
      </c>
      <c r="H251" s="258">
        <v>200</v>
      </c>
      <c r="I251" s="258">
        <v>200</v>
      </c>
      <c r="J251" s="258"/>
      <c r="K251" s="261"/>
      <c r="L251" s="260" t="s">
        <v>330</v>
      </c>
    </row>
    <row r="252" ht="15" customHeight="1" spans="1:12">
      <c r="A252" s="44" t="s">
        <v>1551</v>
      </c>
      <c r="B252" s="258" t="s">
        <v>1040</v>
      </c>
      <c r="C252" s="29" t="s">
        <v>1552</v>
      </c>
      <c r="D252" s="29" t="s">
        <v>1553</v>
      </c>
      <c r="E252" s="158">
        <v>2020</v>
      </c>
      <c r="F252" s="158">
        <v>2020</v>
      </c>
      <c r="G252" s="258" t="s">
        <v>16</v>
      </c>
      <c r="H252" s="258">
        <v>200</v>
      </c>
      <c r="I252" s="258">
        <v>200</v>
      </c>
      <c r="J252" s="258"/>
      <c r="K252" s="261"/>
      <c r="L252" s="132" t="s">
        <v>330</v>
      </c>
    </row>
    <row r="253" ht="15" customHeight="1" spans="1:12">
      <c r="A253" s="44" t="s">
        <v>1554</v>
      </c>
      <c r="B253" s="258" t="s">
        <v>1040</v>
      </c>
      <c r="C253" s="29" t="s">
        <v>1555</v>
      </c>
      <c r="D253" s="29" t="s">
        <v>1556</v>
      </c>
      <c r="E253" s="158">
        <v>2020</v>
      </c>
      <c r="F253" s="158">
        <v>2020</v>
      </c>
      <c r="G253" s="258" t="s">
        <v>16</v>
      </c>
      <c r="H253" s="258">
        <v>200</v>
      </c>
      <c r="I253" s="258">
        <v>200</v>
      </c>
      <c r="J253" s="258"/>
      <c r="K253" s="261"/>
      <c r="L253" s="260" t="s">
        <v>330</v>
      </c>
    </row>
    <row r="254" ht="15" customHeight="1" spans="1:12">
      <c r="A254" s="44" t="s">
        <v>1557</v>
      </c>
      <c r="B254" s="258" t="s">
        <v>1040</v>
      </c>
      <c r="C254" s="29" t="s">
        <v>1558</v>
      </c>
      <c r="D254" s="29" t="s">
        <v>1559</v>
      </c>
      <c r="E254" s="158">
        <v>2020</v>
      </c>
      <c r="F254" s="158">
        <v>2020</v>
      </c>
      <c r="G254" s="258" t="s">
        <v>16</v>
      </c>
      <c r="H254" s="258">
        <v>200</v>
      </c>
      <c r="I254" s="258">
        <v>200</v>
      </c>
      <c r="J254" s="258"/>
      <c r="K254" s="261"/>
      <c r="L254" s="132" t="s">
        <v>330</v>
      </c>
    </row>
    <row r="255" ht="15" customHeight="1" spans="1:12">
      <c r="A255" s="44" t="s">
        <v>1560</v>
      </c>
      <c r="B255" s="258" t="s">
        <v>1040</v>
      </c>
      <c r="C255" s="29" t="s">
        <v>1561</v>
      </c>
      <c r="D255" s="29" t="s">
        <v>1562</v>
      </c>
      <c r="E255" s="158">
        <v>2020</v>
      </c>
      <c r="F255" s="158">
        <v>2020</v>
      </c>
      <c r="G255" s="258" t="s">
        <v>16</v>
      </c>
      <c r="H255" s="258">
        <v>200</v>
      </c>
      <c r="I255" s="258">
        <v>200</v>
      </c>
      <c r="J255" s="258"/>
      <c r="K255" s="261"/>
      <c r="L255" s="260" t="s">
        <v>330</v>
      </c>
    </row>
    <row r="256" ht="15" customHeight="1" spans="1:12">
      <c r="A256" s="44" t="s">
        <v>1563</v>
      </c>
      <c r="B256" s="258" t="s">
        <v>1040</v>
      </c>
      <c r="C256" s="29" t="s">
        <v>1564</v>
      </c>
      <c r="D256" s="29" t="s">
        <v>1565</v>
      </c>
      <c r="E256" s="158">
        <v>2020</v>
      </c>
      <c r="F256" s="158">
        <v>2020</v>
      </c>
      <c r="G256" s="258" t="s">
        <v>16</v>
      </c>
      <c r="H256" s="258">
        <v>200</v>
      </c>
      <c r="I256" s="258">
        <v>200</v>
      </c>
      <c r="J256" s="258"/>
      <c r="K256" s="261"/>
      <c r="L256" s="260" t="s">
        <v>330</v>
      </c>
    </row>
    <row r="257" ht="15" customHeight="1" spans="1:12">
      <c r="A257" s="44" t="s">
        <v>1566</v>
      </c>
      <c r="B257" s="258" t="s">
        <v>1040</v>
      </c>
      <c r="C257" s="29" t="s">
        <v>1567</v>
      </c>
      <c r="D257" s="29" t="s">
        <v>1568</v>
      </c>
      <c r="E257" s="158">
        <v>2020</v>
      </c>
      <c r="F257" s="158">
        <v>2020</v>
      </c>
      <c r="G257" s="258" t="s">
        <v>16</v>
      </c>
      <c r="H257" s="258">
        <v>200</v>
      </c>
      <c r="I257" s="258">
        <v>200</v>
      </c>
      <c r="J257" s="258"/>
      <c r="K257" s="261"/>
      <c r="L257" s="132" t="s">
        <v>330</v>
      </c>
    </row>
    <row r="258" ht="15" customHeight="1" spans="1:12">
      <c r="A258" s="44" t="s">
        <v>1569</v>
      </c>
      <c r="B258" s="29" t="s">
        <v>1040</v>
      </c>
      <c r="C258" s="47" t="s">
        <v>1570</v>
      </c>
      <c r="D258" s="47" t="s">
        <v>1571</v>
      </c>
      <c r="E258" s="30">
        <v>2020</v>
      </c>
      <c r="F258" s="30">
        <v>2020</v>
      </c>
      <c r="G258" s="29" t="s">
        <v>16</v>
      </c>
      <c r="H258" s="29">
        <v>200</v>
      </c>
      <c r="I258" s="29">
        <v>200</v>
      </c>
      <c r="J258" s="258"/>
      <c r="K258" s="261"/>
      <c r="L258" s="260" t="s">
        <v>330</v>
      </c>
    </row>
    <row r="259" ht="15" customHeight="1" spans="1:12">
      <c r="A259" s="44" t="s">
        <v>1572</v>
      </c>
      <c r="B259" s="29" t="s">
        <v>1040</v>
      </c>
      <c r="C259" s="47" t="s">
        <v>1573</v>
      </c>
      <c r="D259" s="47" t="s">
        <v>1574</v>
      </c>
      <c r="E259" s="30">
        <v>2020</v>
      </c>
      <c r="F259" s="30">
        <v>2020</v>
      </c>
      <c r="G259" s="29" t="s">
        <v>16</v>
      </c>
      <c r="H259" s="29">
        <v>200</v>
      </c>
      <c r="I259" s="29">
        <v>200</v>
      </c>
      <c r="J259" s="29"/>
      <c r="K259" s="47"/>
      <c r="L259" s="132" t="s">
        <v>330</v>
      </c>
    </row>
    <row r="260" ht="15" customHeight="1" spans="1:12">
      <c r="A260" s="44" t="s">
        <v>1575</v>
      </c>
      <c r="B260" s="258" t="s">
        <v>1040</v>
      </c>
      <c r="C260" s="47" t="s">
        <v>1576</v>
      </c>
      <c r="D260" s="47" t="s">
        <v>1577</v>
      </c>
      <c r="E260" s="158">
        <v>2020</v>
      </c>
      <c r="F260" s="158">
        <v>2020</v>
      </c>
      <c r="G260" s="258" t="s">
        <v>16</v>
      </c>
      <c r="H260" s="258">
        <v>200</v>
      </c>
      <c r="I260" s="258">
        <v>200</v>
      </c>
      <c r="J260" s="29"/>
      <c r="K260" s="47"/>
      <c r="L260" s="260" t="s">
        <v>330</v>
      </c>
    </row>
    <row r="261" ht="15" customHeight="1" spans="1:12">
      <c r="A261" s="44" t="s">
        <v>1578</v>
      </c>
      <c r="B261" s="258" t="s">
        <v>1040</v>
      </c>
      <c r="C261" s="47" t="s">
        <v>1579</v>
      </c>
      <c r="D261" s="47" t="s">
        <v>1580</v>
      </c>
      <c r="E261" s="158">
        <v>2020</v>
      </c>
      <c r="F261" s="158">
        <v>2020</v>
      </c>
      <c r="G261" s="258" t="s">
        <v>16</v>
      </c>
      <c r="H261" s="258">
        <v>200</v>
      </c>
      <c r="I261" s="258">
        <v>200</v>
      </c>
      <c r="J261" s="258"/>
      <c r="K261" s="261"/>
      <c r="L261" s="132" t="s">
        <v>330</v>
      </c>
    </row>
    <row r="262" ht="15" customHeight="1" spans="1:12">
      <c r="A262" s="44" t="s">
        <v>1581</v>
      </c>
      <c r="B262" s="258" t="s">
        <v>1040</v>
      </c>
      <c r="C262" s="47" t="s">
        <v>1582</v>
      </c>
      <c r="D262" s="47" t="s">
        <v>1583</v>
      </c>
      <c r="E262" s="158">
        <v>2020</v>
      </c>
      <c r="F262" s="158">
        <v>2020</v>
      </c>
      <c r="G262" s="258" t="s">
        <v>16</v>
      </c>
      <c r="H262" s="258">
        <v>200</v>
      </c>
      <c r="I262" s="258">
        <v>200</v>
      </c>
      <c r="J262" s="258"/>
      <c r="K262" s="261"/>
      <c r="L262" s="260" t="s">
        <v>330</v>
      </c>
    </row>
    <row r="263" ht="15" customHeight="1" spans="1:12">
      <c r="A263" s="44" t="s">
        <v>1584</v>
      </c>
      <c r="B263" s="258" t="s">
        <v>1040</v>
      </c>
      <c r="C263" s="47" t="s">
        <v>1585</v>
      </c>
      <c r="D263" s="47" t="s">
        <v>1586</v>
      </c>
      <c r="E263" s="158">
        <v>2020</v>
      </c>
      <c r="F263" s="158">
        <v>2020</v>
      </c>
      <c r="G263" s="258" t="s">
        <v>16</v>
      </c>
      <c r="H263" s="258">
        <v>200</v>
      </c>
      <c r="I263" s="258">
        <v>200</v>
      </c>
      <c r="J263" s="258"/>
      <c r="K263" s="261"/>
      <c r="L263" s="260" t="s">
        <v>330</v>
      </c>
    </row>
    <row r="264" ht="15" customHeight="1" spans="1:12">
      <c r="A264" s="44" t="s">
        <v>1587</v>
      </c>
      <c r="B264" s="258" t="s">
        <v>1040</v>
      </c>
      <c r="C264" s="47" t="s">
        <v>1588</v>
      </c>
      <c r="D264" s="47" t="s">
        <v>1589</v>
      </c>
      <c r="E264" s="158">
        <v>2020</v>
      </c>
      <c r="F264" s="158">
        <v>2020</v>
      </c>
      <c r="G264" s="258" t="s">
        <v>16</v>
      </c>
      <c r="H264" s="258">
        <v>200</v>
      </c>
      <c r="I264" s="258">
        <v>200</v>
      </c>
      <c r="J264" s="258"/>
      <c r="K264" s="261"/>
      <c r="L264" s="132" t="s">
        <v>330</v>
      </c>
    </row>
    <row r="265" ht="15" customHeight="1" spans="1:12">
      <c r="A265" s="44" t="s">
        <v>1590</v>
      </c>
      <c r="B265" s="258" t="s">
        <v>1040</v>
      </c>
      <c r="C265" s="47" t="s">
        <v>1591</v>
      </c>
      <c r="D265" s="47" t="s">
        <v>1592</v>
      </c>
      <c r="E265" s="158">
        <v>2020</v>
      </c>
      <c r="F265" s="158">
        <v>2020</v>
      </c>
      <c r="G265" s="258" t="s">
        <v>16</v>
      </c>
      <c r="H265" s="258">
        <v>200</v>
      </c>
      <c r="I265" s="258">
        <v>200</v>
      </c>
      <c r="J265" s="258"/>
      <c r="K265" s="261"/>
      <c r="L265" s="260" t="s">
        <v>330</v>
      </c>
    </row>
    <row r="266" ht="15" customHeight="1" spans="1:12">
      <c r="A266" s="44" t="s">
        <v>1593</v>
      </c>
      <c r="B266" s="258" t="s">
        <v>1040</v>
      </c>
      <c r="C266" s="47" t="s">
        <v>1594</v>
      </c>
      <c r="D266" s="47" t="s">
        <v>1595</v>
      </c>
      <c r="E266" s="158">
        <v>2020</v>
      </c>
      <c r="F266" s="158">
        <v>2020</v>
      </c>
      <c r="G266" s="258" t="s">
        <v>16</v>
      </c>
      <c r="H266" s="258">
        <v>200</v>
      </c>
      <c r="I266" s="258">
        <v>200</v>
      </c>
      <c r="J266" s="258"/>
      <c r="K266" s="261"/>
      <c r="L266" s="132" t="s">
        <v>330</v>
      </c>
    </row>
    <row r="267" ht="15" customHeight="1" spans="1:12">
      <c r="A267" s="44" t="s">
        <v>1596</v>
      </c>
      <c r="B267" s="29" t="s">
        <v>1040</v>
      </c>
      <c r="C267" s="47" t="s">
        <v>1597</v>
      </c>
      <c r="D267" s="47" t="s">
        <v>1598</v>
      </c>
      <c r="E267" s="30">
        <v>2020</v>
      </c>
      <c r="F267" s="30">
        <v>2020</v>
      </c>
      <c r="G267" s="29" t="s">
        <v>16</v>
      </c>
      <c r="H267" s="29">
        <v>200</v>
      </c>
      <c r="I267" s="29">
        <v>200</v>
      </c>
      <c r="J267" s="258"/>
      <c r="K267" s="261"/>
      <c r="L267" s="260" t="s">
        <v>330</v>
      </c>
    </row>
    <row r="268" ht="15" customHeight="1" spans="1:12">
      <c r="A268" s="44" t="s">
        <v>1599</v>
      </c>
      <c r="B268" s="258" t="s">
        <v>1040</v>
      </c>
      <c r="C268" s="47" t="s">
        <v>1600</v>
      </c>
      <c r="D268" s="47" t="s">
        <v>1601</v>
      </c>
      <c r="E268" s="158">
        <v>2020</v>
      </c>
      <c r="F268" s="158">
        <v>2020</v>
      </c>
      <c r="G268" s="258" t="s">
        <v>16</v>
      </c>
      <c r="H268" s="258">
        <v>200</v>
      </c>
      <c r="I268" s="258">
        <v>200</v>
      </c>
      <c r="J268" s="29"/>
      <c r="K268" s="47"/>
      <c r="L268" s="132" t="s">
        <v>330</v>
      </c>
    </row>
    <row r="269" ht="15" customHeight="1" spans="1:12">
      <c r="A269" s="44" t="s">
        <v>1602</v>
      </c>
      <c r="B269" s="258" t="s">
        <v>1040</v>
      </c>
      <c r="C269" s="47" t="s">
        <v>1603</v>
      </c>
      <c r="D269" s="47" t="s">
        <v>1604</v>
      </c>
      <c r="E269" s="158">
        <v>2020</v>
      </c>
      <c r="F269" s="158">
        <v>2020</v>
      </c>
      <c r="G269" s="258" t="s">
        <v>16</v>
      </c>
      <c r="H269" s="258">
        <v>200</v>
      </c>
      <c r="I269" s="258">
        <v>200</v>
      </c>
      <c r="J269" s="258"/>
      <c r="K269" s="261"/>
      <c r="L269" s="260" t="s">
        <v>330</v>
      </c>
    </row>
    <row r="270" ht="15" customHeight="1" spans="1:12">
      <c r="A270" s="44" t="s">
        <v>1605</v>
      </c>
      <c r="B270" s="258" t="s">
        <v>1040</v>
      </c>
      <c r="C270" s="47" t="s">
        <v>1606</v>
      </c>
      <c r="D270" s="47" t="s">
        <v>1607</v>
      </c>
      <c r="E270" s="158">
        <v>2020</v>
      </c>
      <c r="F270" s="158">
        <v>2020</v>
      </c>
      <c r="G270" s="258" t="s">
        <v>16</v>
      </c>
      <c r="H270" s="258">
        <v>200</v>
      </c>
      <c r="I270" s="258">
        <v>200</v>
      </c>
      <c r="J270" s="258"/>
      <c r="K270" s="261"/>
      <c r="L270" s="260" t="s">
        <v>330</v>
      </c>
    </row>
    <row r="271" ht="15" customHeight="1" spans="1:12">
      <c r="A271" s="44" t="s">
        <v>1608</v>
      </c>
      <c r="B271" s="258" t="s">
        <v>1040</v>
      </c>
      <c r="C271" s="47" t="s">
        <v>1609</v>
      </c>
      <c r="D271" s="47" t="s">
        <v>1610</v>
      </c>
      <c r="E271" s="158">
        <v>2020</v>
      </c>
      <c r="F271" s="158">
        <v>2020</v>
      </c>
      <c r="G271" s="258" t="s">
        <v>16</v>
      </c>
      <c r="H271" s="258">
        <v>200</v>
      </c>
      <c r="I271" s="258">
        <v>200</v>
      </c>
      <c r="J271" s="258"/>
      <c r="K271" s="261"/>
      <c r="L271" s="132" t="s">
        <v>330</v>
      </c>
    </row>
    <row r="272" ht="15" customHeight="1" spans="1:12">
      <c r="A272" s="44" t="s">
        <v>1611</v>
      </c>
      <c r="B272" s="29" t="s">
        <v>1040</v>
      </c>
      <c r="C272" s="47" t="s">
        <v>1612</v>
      </c>
      <c r="D272" s="47" t="s">
        <v>1613</v>
      </c>
      <c r="E272" s="30">
        <v>2020</v>
      </c>
      <c r="F272" s="30">
        <v>2020</v>
      </c>
      <c r="G272" s="29" t="s">
        <v>16</v>
      </c>
      <c r="H272" s="29">
        <v>200</v>
      </c>
      <c r="I272" s="29">
        <v>200</v>
      </c>
      <c r="J272" s="258"/>
      <c r="K272" s="261"/>
      <c r="L272" s="260" t="s">
        <v>330</v>
      </c>
    </row>
    <row r="273" ht="15" customHeight="1" spans="1:12">
      <c r="A273" s="44" t="s">
        <v>1614</v>
      </c>
      <c r="B273" s="258" t="s">
        <v>1040</v>
      </c>
      <c r="C273" s="47" t="s">
        <v>1615</v>
      </c>
      <c r="D273" s="47" t="s">
        <v>1616</v>
      </c>
      <c r="E273" s="158">
        <v>2020</v>
      </c>
      <c r="F273" s="158">
        <v>2020</v>
      </c>
      <c r="G273" s="258" t="s">
        <v>16</v>
      </c>
      <c r="H273" s="258">
        <v>200</v>
      </c>
      <c r="I273" s="258">
        <v>200</v>
      </c>
      <c r="J273" s="29"/>
      <c r="K273" s="47"/>
      <c r="L273" s="132" t="s">
        <v>330</v>
      </c>
    </row>
    <row r="274" ht="15" customHeight="1" spans="1:12">
      <c r="A274" s="44" t="s">
        <v>1617</v>
      </c>
      <c r="B274" s="258" t="s">
        <v>1040</v>
      </c>
      <c r="C274" s="47" t="s">
        <v>1618</v>
      </c>
      <c r="D274" s="47" t="s">
        <v>1619</v>
      </c>
      <c r="E274" s="158">
        <v>2020</v>
      </c>
      <c r="F274" s="158">
        <v>2020</v>
      </c>
      <c r="G274" s="258" t="s">
        <v>16</v>
      </c>
      <c r="H274" s="258">
        <v>200</v>
      </c>
      <c r="I274" s="258">
        <v>200</v>
      </c>
      <c r="J274" s="258"/>
      <c r="K274" s="261"/>
      <c r="L274" s="260" t="s">
        <v>330</v>
      </c>
    </row>
    <row r="275" ht="15" customHeight="1" spans="1:12">
      <c r="A275" s="44" t="s">
        <v>1620</v>
      </c>
      <c r="B275" s="258" t="s">
        <v>1040</v>
      </c>
      <c r="C275" s="47" t="s">
        <v>1621</v>
      </c>
      <c r="D275" s="47" t="s">
        <v>1622</v>
      </c>
      <c r="E275" s="158">
        <v>2020</v>
      </c>
      <c r="F275" s="158">
        <v>2020</v>
      </c>
      <c r="G275" s="258" t="s">
        <v>16</v>
      </c>
      <c r="H275" s="258">
        <v>200</v>
      </c>
      <c r="I275" s="258">
        <v>200</v>
      </c>
      <c r="J275" s="258"/>
      <c r="K275" s="261"/>
      <c r="L275" s="132" t="s">
        <v>330</v>
      </c>
    </row>
    <row r="276" ht="15" customHeight="1" spans="1:12">
      <c r="A276" s="44" t="s">
        <v>1623</v>
      </c>
      <c r="B276" s="258" t="s">
        <v>1040</v>
      </c>
      <c r="C276" s="47" t="s">
        <v>1624</v>
      </c>
      <c r="D276" s="47" t="s">
        <v>1625</v>
      </c>
      <c r="E276" s="158">
        <v>2020</v>
      </c>
      <c r="F276" s="158">
        <v>2020</v>
      </c>
      <c r="G276" s="258" t="s">
        <v>16</v>
      </c>
      <c r="H276" s="258">
        <v>200</v>
      </c>
      <c r="I276" s="258">
        <v>200</v>
      </c>
      <c r="J276" s="258"/>
      <c r="K276" s="261"/>
      <c r="L276" s="260" t="s">
        <v>330</v>
      </c>
    </row>
    <row r="277" ht="15" customHeight="1" spans="1:12">
      <c r="A277" s="44" t="s">
        <v>1626</v>
      </c>
      <c r="B277" s="258" t="s">
        <v>1040</v>
      </c>
      <c r="C277" s="47" t="s">
        <v>1627</v>
      </c>
      <c r="D277" s="47" t="s">
        <v>1628</v>
      </c>
      <c r="E277" s="158">
        <v>2020</v>
      </c>
      <c r="F277" s="158">
        <v>2020</v>
      </c>
      <c r="G277" s="258" t="s">
        <v>16</v>
      </c>
      <c r="H277" s="258">
        <v>200</v>
      </c>
      <c r="I277" s="258">
        <v>200</v>
      </c>
      <c r="J277" s="258"/>
      <c r="K277" s="261"/>
      <c r="L277" s="260" t="s">
        <v>330</v>
      </c>
    </row>
    <row r="278" ht="15" customHeight="1" spans="1:12">
      <c r="A278" s="44" t="s">
        <v>1629</v>
      </c>
      <c r="B278" s="258" t="s">
        <v>1040</v>
      </c>
      <c r="C278" s="47" t="s">
        <v>1630</v>
      </c>
      <c r="D278" s="47" t="s">
        <v>1631</v>
      </c>
      <c r="E278" s="158">
        <v>2020</v>
      </c>
      <c r="F278" s="158">
        <v>2020</v>
      </c>
      <c r="G278" s="258" t="s">
        <v>16</v>
      </c>
      <c r="H278" s="258">
        <v>200</v>
      </c>
      <c r="I278" s="258">
        <v>200</v>
      </c>
      <c r="J278" s="258"/>
      <c r="K278" s="261"/>
      <c r="L278" s="132" t="s">
        <v>330</v>
      </c>
    </row>
    <row r="279" ht="15" customHeight="1" spans="1:12">
      <c r="A279" s="44" t="s">
        <v>1632</v>
      </c>
      <c r="B279" s="258" t="s">
        <v>1040</v>
      </c>
      <c r="C279" s="47" t="s">
        <v>1633</v>
      </c>
      <c r="D279" s="47" t="s">
        <v>1634</v>
      </c>
      <c r="E279" s="158">
        <v>2020</v>
      </c>
      <c r="F279" s="158">
        <v>2020</v>
      </c>
      <c r="G279" s="258" t="s">
        <v>16</v>
      </c>
      <c r="H279" s="258">
        <v>200</v>
      </c>
      <c r="I279" s="258">
        <v>200</v>
      </c>
      <c r="J279" s="258"/>
      <c r="K279" s="261"/>
      <c r="L279" s="260" t="s">
        <v>330</v>
      </c>
    </row>
    <row r="280" ht="15" customHeight="1" spans="1:12">
      <c r="A280" s="44" t="s">
        <v>1635</v>
      </c>
      <c r="B280" s="258" t="s">
        <v>1040</v>
      </c>
      <c r="C280" s="47" t="s">
        <v>1636</v>
      </c>
      <c r="D280" s="47" t="s">
        <v>1637</v>
      </c>
      <c r="E280" s="158">
        <v>2020</v>
      </c>
      <c r="F280" s="158">
        <v>2020</v>
      </c>
      <c r="G280" s="258" t="s">
        <v>16</v>
      </c>
      <c r="H280" s="258">
        <v>200</v>
      </c>
      <c r="I280" s="258">
        <v>200</v>
      </c>
      <c r="J280" s="258"/>
      <c r="K280" s="261"/>
      <c r="L280" s="132" t="s">
        <v>330</v>
      </c>
    </row>
    <row r="281" ht="15" customHeight="1" spans="1:12">
      <c r="A281" s="44" t="s">
        <v>1638</v>
      </c>
      <c r="B281" s="258" t="s">
        <v>1040</v>
      </c>
      <c r="C281" s="47" t="s">
        <v>1639</v>
      </c>
      <c r="D281" s="47" t="s">
        <v>1640</v>
      </c>
      <c r="E281" s="158">
        <v>2020</v>
      </c>
      <c r="F281" s="158">
        <v>2020</v>
      </c>
      <c r="G281" s="258" t="s">
        <v>16</v>
      </c>
      <c r="H281" s="258">
        <v>200</v>
      </c>
      <c r="I281" s="258">
        <v>200</v>
      </c>
      <c r="J281" s="258"/>
      <c r="K281" s="261"/>
      <c r="L281" s="260" t="s">
        <v>330</v>
      </c>
    </row>
    <row r="282" ht="15" customHeight="1" spans="1:12">
      <c r="A282" s="44" t="s">
        <v>1641</v>
      </c>
      <c r="B282" s="258" t="s">
        <v>1040</v>
      </c>
      <c r="C282" s="47" t="s">
        <v>434</v>
      </c>
      <c r="D282" s="47" t="s">
        <v>1642</v>
      </c>
      <c r="E282" s="158">
        <v>2020</v>
      </c>
      <c r="F282" s="158">
        <v>2020</v>
      </c>
      <c r="G282" s="258" t="s">
        <v>16</v>
      </c>
      <c r="H282" s="258">
        <v>200</v>
      </c>
      <c r="I282" s="258">
        <v>200</v>
      </c>
      <c r="J282" s="258"/>
      <c r="K282" s="261"/>
      <c r="L282" s="132" t="s">
        <v>330</v>
      </c>
    </row>
    <row r="283" ht="15" customHeight="1" spans="1:12">
      <c r="A283" s="44" t="s">
        <v>1643</v>
      </c>
      <c r="B283" s="258" t="s">
        <v>1040</v>
      </c>
      <c r="C283" s="47" t="s">
        <v>1644</v>
      </c>
      <c r="D283" s="47" t="s">
        <v>1645</v>
      </c>
      <c r="E283" s="158">
        <v>2020</v>
      </c>
      <c r="F283" s="158">
        <v>2020</v>
      </c>
      <c r="G283" s="258" t="s">
        <v>16</v>
      </c>
      <c r="H283" s="258">
        <v>200</v>
      </c>
      <c r="I283" s="258">
        <v>200</v>
      </c>
      <c r="J283" s="258"/>
      <c r="K283" s="261"/>
      <c r="L283" s="260" t="s">
        <v>330</v>
      </c>
    </row>
    <row r="284" ht="15" customHeight="1" spans="1:12">
      <c r="A284" s="44" t="s">
        <v>1646</v>
      </c>
      <c r="B284" s="258" t="s">
        <v>1040</v>
      </c>
      <c r="C284" s="47" t="s">
        <v>1647</v>
      </c>
      <c r="D284" s="47" t="s">
        <v>1648</v>
      </c>
      <c r="E284" s="158">
        <v>2020</v>
      </c>
      <c r="F284" s="158">
        <v>2020</v>
      </c>
      <c r="G284" s="258" t="s">
        <v>16</v>
      </c>
      <c r="H284" s="258">
        <v>200</v>
      </c>
      <c r="I284" s="258">
        <v>200</v>
      </c>
      <c r="J284" s="258"/>
      <c r="K284" s="262"/>
      <c r="L284" s="260" t="s">
        <v>330</v>
      </c>
    </row>
    <row r="285" ht="15" customHeight="1" spans="1:12">
      <c r="A285" s="44" t="s">
        <v>1649</v>
      </c>
      <c r="B285" s="258" t="s">
        <v>1040</v>
      </c>
      <c r="C285" s="47" t="s">
        <v>1650</v>
      </c>
      <c r="D285" s="47" t="s">
        <v>1651</v>
      </c>
      <c r="E285" s="158">
        <v>2020</v>
      </c>
      <c r="F285" s="158">
        <v>2020</v>
      </c>
      <c r="G285" s="258" t="s">
        <v>16</v>
      </c>
      <c r="H285" s="258">
        <v>200</v>
      </c>
      <c r="I285" s="258">
        <v>200</v>
      </c>
      <c r="J285" s="258"/>
      <c r="K285" s="262"/>
      <c r="L285" s="132" t="s">
        <v>330</v>
      </c>
    </row>
    <row r="286" ht="15" customHeight="1" spans="1:12">
      <c r="A286" s="44" t="s">
        <v>1652</v>
      </c>
      <c r="B286" s="258" t="s">
        <v>1040</v>
      </c>
      <c r="C286" s="47" t="s">
        <v>1653</v>
      </c>
      <c r="D286" s="47" t="s">
        <v>1654</v>
      </c>
      <c r="E286" s="158">
        <v>2020</v>
      </c>
      <c r="F286" s="158">
        <v>2020</v>
      </c>
      <c r="G286" s="258" t="s">
        <v>16</v>
      </c>
      <c r="H286" s="258">
        <v>200</v>
      </c>
      <c r="I286" s="258">
        <v>200</v>
      </c>
      <c r="J286" s="258"/>
      <c r="K286" s="262"/>
      <c r="L286" s="260" t="s">
        <v>330</v>
      </c>
    </row>
    <row r="287" ht="15" customHeight="1" spans="1:12">
      <c r="A287" s="44" t="s">
        <v>1655</v>
      </c>
      <c r="B287" s="258" t="s">
        <v>1040</v>
      </c>
      <c r="C287" s="47" t="s">
        <v>1656</v>
      </c>
      <c r="D287" s="47" t="s">
        <v>1657</v>
      </c>
      <c r="E287" s="158">
        <v>2020</v>
      </c>
      <c r="F287" s="158">
        <v>2020</v>
      </c>
      <c r="G287" s="258" t="s">
        <v>16</v>
      </c>
      <c r="H287" s="258">
        <v>200</v>
      </c>
      <c r="I287" s="258">
        <v>200</v>
      </c>
      <c r="J287" s="258"/>
      <c r="K287" s="262"/>
      <c r="L287" s="132" t="s">
        <v>330</v>
      </c>
    </row>
    <row r="288" ht="15" customHeight="1" spans="1:12">
      <c r="A288" s="44" t="s">
        <v>1658</v>
      </c>
      <c r="B288" s="258" t="s">
        <v>1040</v>
      </c>
      <c r="C288" s="47" t="s">
        <v>1659</v>
      </c>
      <c r="D288" s="47" t="s">
        <v>1660</v>
      </c>
      <c r="E288" s="158">
        <v>2020</v>
      </c>
      <c r="F288" s="158">
        <v>2020</v>
      </c>
      <c r="G288" s="258" t="s">
        <v>16</v>
      </c>
      <c r="H288" s="258">
        <v>200</v>
      </c>
      <c r="I288" s="258">
        <v>200</v>
      </c>
      <c r="J288" s="258"/>
      <c r="K288" s="262"/>
      <c r="L288" s="260" t="s">
        <v>330</v>
      </c>
    </row>
    <row r="289" ht="15" customHeight="1" spans="1:12">
      <c r="A289" s="44" t="s">
        <v>1661</v>
      </c>
      <c r="B289" s="258" t="s">
        <v>1040</v>
      </c>
      <c r="C289" s="47" t="s">
        <v>1662</v>
      </c>
      <c r="D289" s="47" t="s">
        <v>1663</v>
      </c>
      <c r="E289" s="158">
        <v>2020</v>
      </c>
      <c r="F289" s="158">
        <v>2020</v>
      </c>
      <c r="G289" s="258" t="s">
        <v>16</v>
      </c>
      <c r="H289" s="258">
        <v>200</v>
      </c>
      <c r="I289" s="258">
        <v>200</v>
      </c>
      <c r="J289" s="258"/>
      <c r="K289" s="262"/>
      <c r="L289" s="132" t="s">
        <v>330</v>
      </c>
    </row>
    <row r="290" ht="15" customHeight="1" spans="1:12">
      <c r="A290" s="44" t="s">
        <v>1664</v>
      </c>
      <c r="B290" s="258" t="s">
        <v>1040</v>
      </c>
      <c r="C290" s="47" t="s">
        <v>1665</v>
      </c>
      <c r="D290" s="47" t="s">
        <v>1666</v>
      </c>
      <c r="E290" s="158">
        <v>2020</v>
      </c>
      <c r="F290" s="158">
        <v>2020</v>
      </c>
      <c r="G290" s="258" t="s">
        <v>16</v>
      </c>
      <c r="H290" s="258">
        <v>200</v>
      </c>
      <c r="I290" s="258">
        <v>200</v>
      </c>
      <c r="J290" s="258"/>
      <c r="K290" s="262"/>
      <c r="L290" s="260" t="s">
        <v>330</v>
      </c>
    </row>
    <row r="291" ht="15" customHeight="1" spans="1:12">
      <c r="A291" s="44" t="s">
        <v>1667</v>
      </c>
      <c r="B291" s="258" t="s">
        <v>1040</v>
      </c>
      <c r="C291" s="47" t="s">
        <v>1668</v>
      </c>
      <c r="D291" s="47" t="s">
        <v>1669</v>
      </c>
      <c r="E291" s="158">
        <v>2020</v>
      </c>
      <c r="F291" s="158">
        <v>2020</v>
      </c>
      <c r="G291" s="258" t="s">
        <v>16</v>
      </c>
      <c r="H291" s="258">
        <v>200</v>
      </c>
      <c r="I291" s="258">
        <v>200</v>
      </c>
      <c r="J291" s="258"/>
      <c r="K291" s="262"/>
      <c r="L291" s="260" t="s">
        <v>330</v>
      </c>
    </row>
    <row r="292" ht="15" customHeight="1" spans="1:12">
      <c r="A292" s="44" t="s">
        <v>1670</v>
      </c>
      <c r="B292" s="258" t="s">
        <v>1040</v>
      </c>
      <c r="C292" s="47" t="s">
        <v>1671</v>
      </c>
      <c r="D292" s="47" t="s">
        <v>1672</v>
      </c>
      <c r="E292" s="158">
        <v>2020</v>
      </c>
      <c r="F292" s="158">
        <v>2020</v>
      </c>
      <c r="G292" s="258" t="s">
        <v>16</v>
      </c>
      <c r="H292" s="258">
        <v>200</v>
      </c>
      <c r="I292" s="258">
        <v>200</v>
      </c>
      <c r="J292" s="258"/>
      <c r="K292" s="262"/>
      <c r="L292" s="132" t="s">
        <v>330</v>
      </c>
    </row>
    <row r="293" ht="15" customHeight="1" spans="1:12">
      <c r="A293" s="44" t="s">
        <v>1673</v>
      </c>
      <c r="B293" s="258" t="s">
        <v>1040</v>
      </c>
      <c r="C293" s="47" t="s">
        <v>1674</v>
      </c>
      <c r="D293" s="47" t="s">
        <v>1675</v>
      </c>
      <c r="E293" s="158">
        <v>2020</v>
      </c>
      <c r="F293" s="158">
        <v>2020</v>
      </c>
      <c r="G293" s="258" t="s">
        <v>16</v>
      </c>
      <c r="H293" s="258">
        <v>200</v>
      </c>
      <c r="I293" s="258">
        <v>200</v>
      </c>
      <c r="J293" s="258"/>
      <c r="K293" s="262"/>
      <c r="L293" s="260" t="s">
        <v>330</v>
      </c>
    </row>
    <row r="294" ht="15" customHeight="1" spans="1:12">
      <c r="A294" s="44" t="s">
        <v>1676</v>
      </c>
      <c r="B294" s="258" t="s">
        <v>1040</v>
      </c>
      <c r="C294" s="47" t="s">
        <v>1677</v>
      </c>
      <c r="D294" s="47" t="s">
        <v>1678</v>
      </c>
      <c r="E294" s="158">
        <v>2020</v>
      </c>
      <c r="F294" s="158">
        <v>2020</v>
      </c>
      <c r="G294" s="258" t="s">
        <v>16</v>
      </c>
      <c r="H294" s="258">
        <v>200</v>
      </c>
      <c r="I294" s="258">
        <v>200</v>
      </c>
      <c r="J294" s="258"/>
      <c r="K294" s="262"/>
      <c r="L294" s="132" t="s">
        <v>330</v>
      </c>
    </row>
    <row r="295" ht="15" customHeight="1" spans="1:12">
      <c r="A295" s="44" t="s">
        <v>1679</v>
      </c>
      <c r="B295" s="258" t="s">
        <v>1040</v>
      </c>
      <c r="C295" s="47" t="s">
        <v>1680</v>
      </c>
      <c r="D295" s="47" t="s">
        <v>1681</v>
      </c>
      <c r="E295" s="158">
        <v>2020</v>
      </c>
      <c r="F295" s="158">
        <v>2020</v>
      </c>
      <c r="G295" s="258" t="s">
        <v>16</v>
      </c>
      <c r="H295" s="258">
        <v>200</v>
      </c>
      <c r="I295" s="258">
        <v>200</v>
      </c>
      <c r="J295" s="258"/>
      <c r="K295" s="262"/>
      <c r="L295" s="260" t="s">
        <v>330</v>
      </c>
    </row>
    <row r="296" ht="15" customHeight="1" spans="1:12">
      <c r="A296" s="44" t="s">
        <v>1682</v>
      </c>
      <c r="B296" s="258" t="s">
        <v>1040</v>
      </c>
      <c r="C296" s="47" t="s">
        <v>1683</v>
      </c>
      <c r="D296" s="47" t="s">
        <v>1684</v>
      </c>
      <c r="E296" s="158">
        <v>2020</v>
      </c>
      <c r="F296" s="158">
        <v>2020</v>
      </c>
      <c r="G296" s="258" t="s">
        <v>16</v>
      </c>
      <c r="H296" s="258">
        <v>200</v>
      </c>
      <c r="I296" s="258">
        <v>200</v>
      </c>
      <c r="J296" s="258"/>
      <c r="K296" s="262"/>
      <c r="L296" s="132" t="s">
        <v>330</v>
      </c>
    </row>
    <row r="297" ht="15" customHeight="1" spans="1:12">
      <c r="A297" s="44" t="s">
        <v>1685</v>
      </c>
      <c r="B297" s="258" t="s">
        <v>1040</v>
      </c>
      <c r="C297" s="47" t="s">
        <v>1686</v>
      </c>
      <c r="D297" s="47" t="s">
        <v>1687</v>
      </c>
      <c r="E297" s="158">
        <v>2020</v>
      </c>
      <c r="F297" s="158">
        <v>2020</v>
      </c>
      <c r="G297" s="258" t="s">
        <v>16</v>
      </c>
      <c r="H297" s="258">
        <v>200</v>
      </c>
      <c r="I297" s="258">
        <v>200</v>
      </c>
      <c r="J297" s="258"/>
      <c r="K297" s="262"/>
      <c r="L297" s="260" t="s">
        <v>330</v>
      </c>
    </row>
    <row r="298" ht="15" customHeight="1" spans="1:12">
      <c r="A298" s="44" t="s">
        <v>1688</v>
      </c>
      <c r="B298" s="258" t="s">
        <v>1040</v>
      </c>
      <c r="C298" s="47" t="s">
        <v>1689</v>
      </c>
      <c r="D298" s="47" t="s">
        <v>1690</v>
      </c>
      <c r="E298" s="158">
        <v>2020</v>
      </c>
      <c r="F298" s="158">
        <v>2020</v>
      </c>
      <c r="G298" s="258" t="s">
        <v>16</v>
      </c>
      <c r="H298" s="258">
        <v>200</v>
      </c>
      <c r="I298" s="258">
        <v>200</v>
      </c>
      <c r="J298" s="258"/>
      <c r="K298" s="262"/>
      <c r="L298" s="260" t="s">
        <v>330</v>
      </c>
    </row>
    <row r="299" ht="15" customHeight="1" spans="1:12">
      <c r="A299" s="44" t="s">
        <v>1691</v>
      </c>
      <c r="B299" s="258" t="s">
        <v>1040</v>
      </c>
      <c r="C299" s="47" t="s">
        <v>1692</v>
      </c>
      <c r="D299" s="47" t="s">
        <v>1693</v>
      </c>
      <c r="E299" s="158">
        <v>2020</v>
      </c>
      <c r="F299" s="158">
        <v>2020</v>
      </c>
      <c r="G299" s="258" t="s">
        <v>16</v>
      </c>
      <c r="H299" s="258">
        <v>200</v>
      </c>
      <c r="I299" s="258">
        <v>200</v>
      </c>
      <c r="J299" s="258"/>
      <c r="K299" s="262"/>
      <c r="L299" s="132" t="s">
        <v>330</v>
      </c>
    </row>
    <row r="300" ht="15" customHeight="1" spans="1:12">
      <c r="A300" s="44" t="s">
        <v>1694</v>
      </c>
      <c r="B300" s="258" t="s">
        <v>1040</v>
      </c>
      <c r="C300" s="47" t="s">
        <v>1695</v>
      </c>
      <c r="D300" s="47" t="s">
        <v>1696</v>
      </c>
      <c r="E300" s="158">
        <v>2020</v>
      </c>
      <c r="F300" s="158">
        <v>2020</v>
      </c>
      <c r="G300" s="258" t="s">
        <v>16</v>
      </c>
      <c r="H300" s="258">
        <v>200</v>
      </c>
      <c r="I300" s="258">
        <v>200</v>
      </c>
      <c r="J300" s="258"/>
      <c r="K300" s="262"/>
      <c r="L300" s="260" t="s">
        <v>330</v>
      </c>
    </row>
    <row r="301" ht="15" customHeight="1" spans="1:12">
      <c r="A301" s="44" t="s">
        <v>1697</v>
      </c>
      <c r="B301" s="258" t="s">
        <v>1040</v>
      </c>
      <c r="C301" s="47" t="s">
        <v>1698</v>
      </c>
      <c r="D301" s="47" t="s">
        <v>1699</v>
      </c>
      <c r="E301" s="158">
        <v>2020</v>
      </c>
      <c r="F301" s="158">
        <v>2020</v>
      </c>
      <c r="G301" s="258" t="s">
        <v>16</v>
      </c>
      <c r="H301" s="258">
        <v>200</v>
      </c>
      <c r="I301" s="258">
        <v>200</v>
      </c>
      <c r="J301" s="258"/>
      <c r="K301" s="262"/>
      <c r="L301" s="132" t="s">
        <v>330</v>
      </c>
    </row>
    <row r="302" ht="15" customHeight="1" spans="1:12">
      <c r="A302" s="44" t="s">
        <v>1700</v>
      </c>
      <c r="B302" s="258" t="s">
        <v>1040</v>
      </c>
      <c r="C302" s="47" t="s">
        <v>1701</v>
      </c>
      <c r="D302" s="47" t="s">
        <v>1702</v>
      </c>
      <c r="E302" s="158">
        <v>2020</v>
      </c>
      <c r="F302" s="158">
        <v>2020</v>
      </c>
      <c r="G302" s="258" t="s">
        <v>16</v>
      </c>
      <c r="H302" s="258">
        <v>200</v>
      </c>
      <c r="I302" s="258">
        <v>200</v>
      </c>
      <c r="J302" s="258"/>
      <c r="K302" s="262"/>
      <c r="L302" s="260" t="s">
        <v>330</v>
      </c>
    </row>
    <row r="303" ht="15" customHeight="1" spans="1:12">
      <c r="A303" s="44" t="s">
        <v>1703</v>
      </c>
      <c r="B303" s="258" t="s">
        <v>1040</v>
      </c>
      <c r="C303" s="47" t="s">
        <v>1704</v>
      </c>
      <c r="D303" s="47" t="s">
        <v>1705</v>
      </c>
      <c r="E303" s="158">
        <v>2020</v>
      </c>
      <c r="F303" s="158">
        <v>2020</v>
      </c>
      <c r="G303" s="258" t="s">
        <v>16</v>
      </c>
      <c r="H303" s="258">
        <v>200</v>
      </c>
      <c r="I303" s="258">
        <v>200</v>
      </c>
      <c r="J303" s="258"/>
      <c r="K303" s="262"/>
      <c r="L303" s="132" t="s">
        <v>330</v>
      </c>
    </row>
    <row r="304" ht="15" customHeight="1" spans="1:12">
      <c r="A304" s="44" t="s">
        <v>1706</v>
      </c>
      <c r="B304" s="258" t="s">
        <v>1040</v>
      </c>
      <c r="C304" s="47" t="s">
        <v>1707</v>
      </c>
      <c r="D304" s="47" t="s">
        <v>1708</v>
      </c>
      <c r="E304" s="158">
        <v>2020</v>
      </c>
      <c r="F304" s="158">
        <v>2020</v>
      </c>
      <c r="G304" s="258" t="s">
        <v>16</v>
      </c>
      <c r="H304" s="258">
        <v>200</v>
      </c>
      <c r="I304" s="258">
        <v>200</v>
      </c>
      <c r="J304" s="258"/>
      <c r="K304" s="262"/>
      <c r="L304" s="260" t="s">
        <v>330</v>
      </c>
    </row>
    <row r="305" ht="15" customHeight="1" spans="1:12">
      <c r="A305" s="44" t="s">
        <v>1709</v>
      </c>
      <c r="B305" s="258" t="s">
        <v>1040</v>
      </c>
      <c r="C305" s="47" t="s">
        <v>1710</v>
      </c>
      <c r="D305" s="47" t="s">
        <v>1711</v>
      </c>
      <c r="E305" s="158">
        <v>2020</v>
      </c>
      <c r="F305" s="158">
        <v>2020</v>
      </c>
      <c r="G305" s="258" t="s">
        <v>16</v>
      </c>
      <c r="H305" s="258">
        <v>200</v>
      </c>
      <c r="I305" s="258">
        <v>200</v>
      </c>
      <c r="J305" s="258"/>
      <c r="K305" s="262"/>
      <c r="L305" s="260" t="s">
        <v>330</v>
      </c>
    </row>
    <row r="306" ht="15" customHeight="1" spans="1:12">
      <c r="A306" s="44" t="s">
        <v>1712</v>
      </c>
      <c r="B306" s="258" t="s">
        <v>1040</v>
      </c>
      <c r="C306" s="47" t="s">
        <v>1713</v>
      </c>
      <c r="D306" s="47" t="s">
        <v>1714</v>
      </c>
      <c r="E306" s="158">
        <v>2020</v>
      </c>
      <c r="F306" s="158">
        <v>2020</v>
      </c>
      <c r="G306" s="258" t="s">
        <v>16</v>
      </c>
      <c r="H306" s="258">
        <v>200</v>
      </c>
      <c r="I306" s="258">
        <v>200</v>
      </c>
      <c r="J306" s="258"/>
      <c r="K306" s="262"/>
      <c r="L306" s="132" t="s">
        <v>330</v>
      </c>
    </row>
    <row r="307" ht="15" customHeight="1" spans="1:12">
      <c r="A307" s="44" t="s">
        <v>1715</v>
      </c>
      <c r="B307" s="258" t="s">
        <v>1040</v>
      </c>
      <c r="C307" s="47" t="s">
        <v>1716</v>
      </c>
      <c r="D307" s="47" t="s">
        <v>1717</v>
      </c>
      <c r="E307" s="158">
        <v>2020</v>
      </c>
      <c r="F307" s="158">
        <v>2020</v>
      </c>
      <c r="G307" s="258" t="s">
        <v>16</v>
      </c>
      <c r="H307" s="258">
        <v>200</v>
      </c>
      <c r="I307" s="258">
        <v>200</v>
      </c>
      <c r="J307" s="258"/>
      <c r="K307" s="262"/>
      <c r="L307" s="260" t="s">
        <v>330</v>
      </c>
    </row>
    <row r="308" ht="15" customHeight="1" spans="1:12">
      <c r="A308" s="44" t="s">
        <v>1718</v>
      </c>
      <c r="B308" s="258" t="s">
        <v>1040</v>
      </c>
      <c r="C308" s="47" t="s">
        <v>1719</v>
      </c>
      <c r="D308" s="47" t="s">
        <v>1720</v>
      </c>
      <c r="E308" s="158">
        <v>2020</v>
      </c>
      <c r="F308" s="158">
        <v>2020</v>
      </c>
      <c r="G308" s="258" t="s">
        <v>16</v>
      </c>
      <c r="H308" s="258">
        <v>200</v>
      </c>
      <c r="I308" s="258">
        <v>200</v>
      </c>
      <c r="J308" s="258"/>
      <c r="K308" s="262"/>
      <c r="L308" s="132" t="s">
        <v>330</v>
      </c>
    </row>
    <row r="309" ht="15" customHeight="1" spans="1:12">
      <c r="A309" s="44" t="s">
        <v>1721</v>
      </c>
      <c r="B309" s="258" t="s">
        <v>1040</v>
      </c>
      <c r="C309" s="47" t="s">
        <v>1722</v>
      </c>
      <c r="D309" s="47" t="s">
        <v>1723</v>
      </c>
      <c r="E309" s="158">
        <v>2020</v>
      </c>
      <c r="F309" s="158">
        <v>2020</v>
      </c>
      <c r="G309" s="258" t="s">
        <v>16</v>
      </c>
      <c r="H309" s="258">
        <v>200</v>
      </c>
      <c r="I309" s="258">
        <v>200</v>
      </c>
      <c r="J309" s="258"/>
      <c r="K309" s="262"/>
      <c r="L309" s="260" t="s">
        <v>330</v>
      </c>
    </row>
    <row r="310" ht="15" customHeight="1" spans="1:12">
      <c r="A310" s="44" t="s">
        <v>1724</v>
      </c>
      <c r="B310" s="258" t="s">
        <v>1040</v>
      </c>
      <c r="C310" s="47" t="s">
        <v>1725</v>
      </c>
      <c r="D310" s="47" t="s">
        <v>1726</v>
      </c>
      <c r="E310" s="158">
        <v>2020</v>
      </c>
      <c r="F310" s="158">
        <v>2020</v>
      </c>
      <c r="G310" s="258" t="s">
        <v>16</v>
      </c>
      <c r="H310" s="258">
        <v>200</v>
      </c>
      <c r="I310" s="258">
        <v>200</v>
      </c>
      <c r="J310" s="258"/>
      <c r="K310" s="262"/>
      <c r="L310" s="132" t="s">
        <v>330</v>
      </c>
    </row>
    <row r="311" ht="15" customHeight="1" spans="1:12">
      <c r="A311" s="44" t="s">
        <v>1727</v>
      </c>
      <c r="B311" s="258" t="s">
        <v>1040</v>
      </c>
      <c r="C311" s="47" t="s">
        <v>1728</v>
      </c>
      <c r="D311" s="47" t="s">
        <v>1729</v>
      </c>
      <c r="E311" s="158">
        <v>2020</v>
      </c>
      <c r="F311" s="158">
        <v>2020</v>
      </c>
      <c r="G311" s="258" t="s">
        <v>16</v>
      </c>
      <c r="H311" s="258">
        <v>200</v>
      </c>
      <c r="I311" s="258">
        <v>200</v>
      </c>
      <c r="J311" s="258"/>
      <c r="K311" s="262"/>
      <c r="L311" s="260" t="s">
        <v>330</v>
      </c>
    </row>
    <row r="312" ht="15" customHeight="1" spans="1:12">
      <c r="A312" s="44" t="s">
        <v>1730</v>
      </c>
      <c r="B312" s="29" t="s">
        <v>1040</v>
      </c>
      <c r="C312" s="47" t="s">
        <v>1731</v>
      </c>
      <c r="D312" s="47" t="s">
        <v>1732</v>
      </c>
      <c r="E312" s="30">
        <v>2020</v>
      </c>
      <c r="F312" s="30">
        <v>2020</v>
      </c>
      <c r="G312" s="29" t="s">
        <v>16</v>
      </c>
      <c r="H312" s="29">
        <v>200</v>
      </c>
      <c r="I312" s="29">
        <v>200</v>
      </c>
      <c r="J312" s="258"/>
      <c r="K312" s="262"/>
      <c r="L312" s="260" t="s">
        <v>330</v>
      </c>
    </row>
    <row r="313" ht="15" customHeight="1" spans="1:12">
      <c r="A313" s="44" t="s">
        <v>1733</v>
      </c>
      <c r="B313" s="258" t="s">
        <v>1040</v>
      </c>
      <c r="C313" s="47" t="s">
        <v>1734</v>
      </c>
      <c r="D313" s="47" t="s">
        <v>1735</v>
      </c>
      <c r="E313" s="158">
        <v>2020</v>
      </c>
      <c r="F313" s="158">
        <v>2020</v>
      </c>
      <c r="G313" s="258" t="s">
        <v>16</v>
      </c>
      <c r="H313" s="258">
        <v>200</v>
      </c>
      <c r="I313" s="258">
        <v>200</v>
      </c>
      <c r="J313" s="29"/>
      <c r="K313" s="54"/>
      <c r="L313" s="132" t="s">
        <v>330</v>
      </c>
    </row>
    <row r="314" ht="15" customHeight="1" spans="1:12">
      <c r="A314" s="44" t="s">
        <v>1736</v>
      </c>
      <c r="B314" s="258" t="s">
        <v>1040</v>
      </c>
      <c r="C314" s="47" t="s">
        <v>1737</v>
      </c>
      <c r="D314" s="47" t="s">
        <v>1738</v>
      </c>
      <c r="E314" s="158">
        <v>2020</v>
      </c>
      <c r="F314" s="158">
        <v>2020</v>
      </c>
      <c r="G314" s="258" t="s">
        <v>16</v>
      </c>
      <c r="H314" s="258">
        <v>200</v>
      </c>
      <c r="I314" s="258">
        <v>200</v>
      </c>
      <c r="J314" s="258"/>
      <c r="K314" s="262"/>
      <c r="L314" s="260" t="s">
        <v>330</v>
      </c>
    </row>
    <row r="315" ht="15" customHeight="1" spans="1:12">
      <c r="A315" s="44" t="s">
        <v>1739</v>
      </c>
      <c r="B315" s="258" t="s">
        <v>1040</v>
      </c>
      <c r="C315" s="5" t="s">
        <v>1740</v>
      </c>
      <c r="D315" s="5" t="s">
        <v>1741</v>
      </c>
      <c r="E315" s="158">
        <v>2020</v>
      </c>
      <c r="F315" s="158">
        <v>2020</v>
      </c>
      <c r="G315" s="258" t="s">
        <v>16</v>
      </c>
      <c r="H315" s="258">
        <v>500</v>
      </c>
      <c r="I315" s="258">
        <v>500</v>
      </c>
      <c r="J315" s="258"/>
      <c r="K315" s="262"/>
      <c r="L315" s="132" t="s">
        <v>330</v>
      </c>
    </row>
    <row r="316" ht="15" customHeight="1" spans="1:12">
      <c r="A316" s="44" t="s">
        <v>1742</v>
      </c>
      <c r="B316" s="258" t="s">
        <v>1040</v>
      </c>
      <c r="C316" s="5" t="s">
        <v>1743</v>
      </c>
      <c r="D316" s="5" t="s">
        <v>1744</v>
      </c>
      <c r="E316" s="158">
        <v>2020</v>
      </c>
      <c r="F316" s="158">
        <v>2020</v>
      </c>
      <c r="G316" s="258" t="s">
        <v>16</v>
      </c>
      <c r="H316" s="258">
        <v>200</v>
      </c>
      <c r="I316" s="258">
        <v>200</v>
      </c>
      <c r="J316" s="258"/>
      <c r="K316" s="262"/>
      <c r="L316" s="260" t="s">
        <v>330</v>
      </c>
    </row>
    <row r="317" ht="15" customHeight="1" spans="1:12">
      <c r="A317" s="44" t="s">
        <v>1745</v>
      </c>
      <c r="B317" s="258" t="s">
        <v>1040</v>
      </c>
      <c r="C317" s="5" t="s">
        <v>1746</v>
      </c>
      <c r="D317" s="5" t="s">
        <v>1747</v>
      </c>
      <c r="E317" s="158">
        <v>2020</v>
      </c>
      <c r="F317" s="158">
        <v>2020</v>
      </c>
      <c r="G317" s="258" t="s">
        <v>16</v>
      </c>
      <c r="H317" s="258">
        <v>200</v>
      </c>
      <c r="I317" s="258">
        <v>200</v>
      </c>
      <c r="J317" s="258"/>
      <c r="K317" s="262"/>
      <c r="L317" s="132" t="s">
        <v>330</v>
      </c>
    </row>
    <row r="318" ht="15" customHeight="1" spans="1:12">
      <c r="A318" s="44" t="s">
        <v>1748</v>
      </c>
      <c r="B318" s="258" t="s">
        <v>1040</v>
      </c>
      <c r="C318" s="5" t="s">
        <v>1749</v>
      </c>
      <c r="D318" s="5" t="s">
        <v>1750</v>
      </c>
      <c r="E318" s="158">
        <v>2020</v>
      </c>
      <c r="F318" s="158">
        <v>2020</v>
      </c>
      <c r="G318" s="258" t="s">
        <v>16</v>
      </c>
      <c r="H318" s="258">
        <v>200</v>
      </c>
      <c r="I318" s="258">
        <v>200</v>
      </c>
      <c r="J318" s="258"/>
      <c r="K318" s="262"/>
      <c r="L318" s="260" t="s">
        <v>330</v>
      </c>
    </row>
    <row r="319" ht="15" customHeight="1" spans="1:12">
      <c r="A319" s="44" t="s">
        <v>1751</v>
      </c>
      <c r="B319" s="258" t="s">
        <v>1040</v>
      </c>
      <c r="C319" s="5" t="s">
        <v>1752</v>
      </c>
      <c r="D319" s="5" t="s">
        <v>1753</v>
      </c>
      <c r="E319" s="158">
        <v>2020</v>
      </c>
      <c r="F319" s="158">
        <v>2020</v>
      </c>
      <c r="G319" s="258" t="s">
        <v>16</v>
      </c>
      <c r="H319" s="258">
        <v>200</v>
      </c>
      <c r="I319" s="258">
        <v>200</v>
      </c>
      <c r="J319" s="258"/>
      <c r="K319" s="262"/>
      <c r="L319" s="260" t="s">
        <v>330</v>
      </c>
    </row>
    <row r="320" ht="15" customHeight="1" spans="1:12">
      <c r="A320" s="44" t="s">
        <v>1754</v>
      </c>
      <c r="B320" s="258" t="s">
        <v>1040</v>
      </c>
      <c r="C320" s="5" t="s">
        <v>1755</v>
      </c>
      <c r="D320" s="5" t="s">
        <v>1756</v>
      </c>
      <c r="E320" s="158">
        <v>2020</v>
      </c>
      <c r="F320" s="158">
        <v>2020</v>
      </c>
      <c r="G320" s="258" t="s">
        <v>16</v>
      </c>
      <c r="H320" s="258">
        <v>200</v>
      </c>
      <c r="I320" s="258">
        <v>200</v>
      </c>
      <c r="J320" s="258"/>
      <c r="K320" s="262"/>
      <c r="L320" s="132" t="s">
        <v>330</v>
      </c>
    </row>
    <row r="321" ht="15" customHeight="1" spans="1:12">
      <c r="A321" s="44" t="s">
        <v>1757</v>
      </c>
      <c r="B321" s="258" t="s">
        <v>1040</v>
      </c>
      <c r="C321" s="5" t="s">
        <v>1758</v>
      </c>
      <c r="D321" s="5" t="s">
        <v>1759</v>
      </c>
      <c r="E321" s="158">
        <v>2020</v>
      </c>
      <c r="F321" s="158">
        <v>2020</v>
      </c>
      <c r="G321" s="258" t="s">
        <v>16</v>
      </c>
      <c r="H321" s="258">
        <v>200</v>
      </c>
      <c r="I321" s="258">
        <v>200</v>
      </c>
      <c r="J321" s="258"/>
      <c r="K321" s="262"/>
      <c r="L321" s="260" t="s">
        <v>330</v>
      </c>
    </row>
    <row r="322" ht="15" customHeight="1" spans="1:12">
      <c r="A322" s="44" t="s">
        <v>1760</v>
      </c>
      <c r="B322" s="258" t="s">
        <v>1040</v>
      </c>
      <c r="C322" s="5" t="s">
        <v>1106</v>
      </c>
      <c r="D322" s="5" t="s">
        <v>1761</v>
      </c>
      <c r="E322" s="158">
        <v>2020</v>
      </c>
      <c r="F322" s="158">
        <v>2020</v>
      </c>
      <c r="G322" s="258" t="s">
        <v>16</v>
      </c>
      <c r="H322" s="258">
        <v>200</v>
      </c>
      <c r="I322" s="258">
        <v>200</v>
      </c>
      <c r="J322" s="258"/>
      <c r="K322" s="262"/>
      <c r="L322" s="132" t="s">
        <v>330</v>
      </c>
    </row>
    <row r="323" ht="15" customHeight="1" spans="1:12">
      <c r="A323" s="44" t="s">
        <v>1762</v>
      </c>
      <c r="B323" s="258" t="s">
        <v>1040</v>
      </c>
      <c r="C323" s="5" t="s">
        <v>1763</v>
      </c>
      <c r="D323" s="5" t="s">
        <v>1764</v>
      </c>
      <c r="E323" s="158">
        <v>2020</v>
      </c>
      <c r="F323" s="158">
        <v>2020</v>
      </c>
      <c r="G323" s="258" t="s">
        <v>16</v>
      </c>
      <c r="H323" s="258">
        <v>200</v>
      </c>
      <c r="I323" s="258">
        <v>200</v>
      </c>
      <c r="J323" s="258"/>
      <c r="K323" s="262"/>
      <c r="L323" s="260" t="s">
        <v>330</v>
      </c>
    </row>
    <row r="324" ht="15" customHeight="1" spans="1:12">
      <c r="A324" s="44" t="s">
        <v>1765</v>
      </c>
      <c r="B324" s="258" t="s">
        <v>1040</v>
      </c>
      <c r="C324" s="5" t="s">
        <v>1766</v>
      </c>
      <c r="D324" s="5" t="s">
        <v>1767</v>
      </c>
      <c r="E324" s="158">
        <v>2020</v>
      </c>
      <c r="F324" s="158">
        <v>2020</v>
      </c>
      <c r="G324" s="258" t="s">
        <v>16</v>
      </c>
      <c r="H324" s="258">
        <v>200</v>
      </c>
      <c r="I324" s="258">
        <v>200</v>
      </c>
      <c r="J324" s="258"/>
      <c r="K324" s="262"/>
      <c r="L324" s="132" t="s">
        <v>330</v>
      </c>
    </row>
    <row r="325" ht="15" customHeight="1" spans="1:12">
      <c r="A325" s="44" t="s">
        <v>1768</v>
      </c>
      <c r="B325" s="258" t="s">
        <v>1040</v>
      </c>
      <c r="C325" s="5" t="s">
        <v>1769</v>
      </c>
      <c r="D325" s="5" t="s">
        <v>1770</v>
      </c>
      <c r="E325" s="158">
        <v>2020</v>
      </c>
      <c r="F325" s="158">
        <v>2020</v>
      </c>
      <c r="G325" s="258" t="s">
        <v>16</v>
      </c>
      <c r="H325" s="258">
        <v>200</v>
      </c>
      <c r="I325" s="258">
        <v>200</v>
      </c>
      <c r="J325" s="258"/>
      <c r="K325" s="262"/>
      <c r="L325" s="260" t="s">
        <v>330</v>
      </c>
    </row>
    <row r="326" ht="15" customHeight="1" spans="1:12">
      <c r="A326" s="44" t="s">
        <v>1771</v>
      </c>
      <c r="B326" s="258" t="s">
        <v>1040</v>
      </c>
      <c r="C326" s="5" t="s">
        <v>1772</v>
      </c>
      <c r="D326" s="5" t="s">
        <v>1773</v>
      </c>
      <c r="E326" s="158">
        <v>2020</v>
      </c>
      <c r="F326" s="158">
        <v>2020</v>
      </c>
      <c r="G326" s="258" t="s">
        <v>16</v>
      </c>
      <c r="H326" s="258">
        <v>200</v>
      </c>
      <c r="I326" s="258">
        <v>200</v>
      </c>
      <c r="J326" s="258"/>
      <c r="K326" s="262"/>
      <c r="L326" s="260" t="s">
        <v>330</v>
      </c>
    </row>
    <row r="327" ht="15" customHeight="1" spans="1:12">
      <c r="A327" s="44" t="s">
        <v>1774</v>
      </c>
      <c r="B327" s="29" t="s">
        <v>1040</v>
      </c>
      <c r="C327" s="5" t="s">
        <v>1775</v>
      </c>
      <c r="D327" s="5" t="s">
        <v>1776</v>
      </c>
      <c r="E327" s="30">
        <v>2020</v>
      </c>
      <c r="F327" s="30">
        <v>2020</v>
      </c>
      <c r="G327" s="29" t="s">
        <v>16</v>
      </c>
      <c r="H327" s="29">
        <v>200</v>
      </c>
      <c r="I327" s="29">
        <v>200</v>
      </c>
      <c r="J327" s="258"/>
      <c r="K327" s="262"/>
      <c r="L327" s="132" t="s">
        <v>330</v>
      </c>
    </row>
    <row r="328" ht="15" customHeight="1" spans="1:12">
      <c r="A328" s="44" t="s">
        <v>1777</v>
      </c>
      <c r="B328" s="258" t="s">
        <v>1040</v>
      </c>
      <c r="C328" s="5" t="s">
        <v>1778</v>
      </c>
      <c r="D328" s="5" t="s">
        <v>1779</v>
      </c>
      <c r="E328" s="158">
        <v>2020</v>
      </c>
      <c r="F328" s="158">
        <v>2020</v>
      </c>
      <c r="G328" s="258" t="s">
        <v>16</v>
      </c>
      <c r="H328" s="258">
        <v>200</v>
      </c>
      <c r="I328" s="258">
        <v>200</v>
      </c>
      <c r="J328" s="29"/>
      <c r="K328" s="54"/>
      <c r="L328" s="260" t="s">
        <v>330</v>
      </c>
    </row>
    <row r="329" ht="15" customHeight="1" spans="1:12">
      <c r="A329" s="44" t="s">
        <v>1780</v>
      </c>
      <c r="B329" s="29" t="s">
        <v>1040</v>
      </c>
      <c r="C329" s="5" t="s">
        <v>1781</v>
      </c>
      <c r="D329" s="5" t="s">
        <v>1782</v>
      </c>
      <c r="E329" s="158">
        <v>2020</v>
      </c>
      <c r="F329" s="158">
        <v>2020</v>
      </c>
      <c r="G329" s="29" t="s">
        <v>16</v>
      </c>
      <c r="H329" s="258">
        <v>200</v>
      </c>
      <c r="I329" s="258">
        <v>200</v>
      </c>
      <c r="J329" s="258"/>
      <c r="K329" s="262"/>
      <c r="L329" s="132" t="s">
        <v>330</v>
      </c>
    </row>
    <row r="330" ht="15" customHeight="1" spans="1:12">
      <c r="A330" s="44" t="s">
        <v>1783</v>
      </c>
      <c r="B330" s="29" t="s">
        <v>1040</v>
      </c>
      <c r="C330" s="5" t="s">
        <v>1784</v>
      </c>
      <c r="D330" s="5" t="s">
        <v>1785</v>
      </c>
      <c r="E330" s="158">
        <v>2020</v>
      </c>
      <c r="F330" s="158">
        <v>2020</v>
      </c>
      <c r="G330" s="29" t="s">
        <v>16</v>
      </c>
      <c r="H330" s="258">
        <v>200</v>
      </c>
      <c r="I330" s="258">
        <v>200</v>
      </c>
      <c r="J330" s="29"/>
      <c r="K330" s="54"/>
      <c r="L330" s="260" t="s">
        <v>330</v>
      </c>
    </row>
    <row r="331" ht="15" customHeight="1" spans="1:12">
      <c r="A331" s="44" t="s">
        <v>1786</v>
      </c>
      <c r="B331" s="29" t="s">
        <v>1040</v>
      </c>
      <c r="C331" s="5" t="s">
        <v>1787</v>
      </c>
      <c r="D331" s="5" t="s">
        <v>1788</v>
      </c>
      <c r="E331" s="158">
        <v>2020</v>
      </c>
      <c r="F331" s="158">
        <v>2020</v>
      </c>
      <c r="G331" s="29" t="s">
        <v>16</v>
      </c>
      <c r="H331" s="258">
        <v>200</v>
      </c>
      <c r="I331" s="258">
        <v>200</v>
      </c>
      <c r="J331" s="29"/>
      <c r="K331" s="54"/>
      <c r="L331" s="132" t="s">
        <v>330</v>
      </c>
    </row>
    <row r="332" ht="15" customHeight="1" spans="1:12">
      <c r="A332" s="44" t="s">
        <v>1789</v>
      </c>
      <c r="B332" s="258" t="s">
        <v>1040</v>
      </c>
      <c r="C332" s="5" t="s">
        <v>1790</v>
      </c>
      <c r="D332" s="283" t="s">
        <v>1791</v>
      </c>
      <c r="E332" s="158">
        <v>2020</v>
      </c>
      <c r="F332" s="158">
        <v>2020</v>
      </c>
      <c r="G332" s="258" t="s">
        <v>16</v>
      </c>
      <c r="H332" s="258">
        <v>200</v>
      </c>
      <c r="I332" s="258">
        <v>200</v>
      </c>
      <c r="J332" s="29"/>
      <c r="K332" s="54"/>
      <c r="L332" s="260" t="s">
        <v>330</v>
      </c>
    </row>
    <row r="333" ht="15" customHeight="1" spans="1:12">
      <c r="A333" s="44" t="s">
        <v>1792</v>
      </c>
      <c r="B333" s="29" t="s">
        <v>1040</v>
      </c>
      <c r="C333" s="5" t="s">
        <v>1793</v>
      </c>
      <c r="D333" s="283" t="s">
        <v>1794</v>
      </c>
      <c r="E333" s="30">
        <v>2020</v>
      </c>
      <c r="F333" s="30">
        <v>2020</v>
      </c>
      <c r="G333" s="29" t="s">
        <v>16</v>
      </c>
      <c r="H333" s="29">
        <v>200</v>
      </c>
      <c r="I333" s="29">
        <v>200</v>
      </c>
      <c r="J333" s="258"/>
      <c r="K333" s="262"/>
      <c r="L333" s="260" t="s">
        <v>330</v>
      </c>
    </row>
    <row r="334" ht="15" customHeight="1" spans="1:12">
      <c r="A334" s="44" t="s">
        <v>1795</v>
      </c>
      <c r="B334" s="29" t="s">
        <v>1040</v>
      </c>
      <c r="C334" s="5" t="s">
        <v>1796</v>
      </c>
      <c r="D334" s="283" t="s">
        <v>1797</v>
      </c>
      <c r="E334" s="30">
        <v>2020</v>
      </c>
      <c r="F334" s="30">
        <v>2020</v>
      </c>
      <c r="G334" s="29" t="s">
        <v>16</v>
      </c>
      <c r="H334" s="29">
        <v>200</v>
      </c>
      <c r="I334" s="29">
        <v>200</v>
      </c>
      <c r="J334" s="29"/>
      <c r="K334" s="54"/>
      <c r="L334" s="132" t="s">
        <v>330</v>
      </c>
    </row>
    <row r="335" ht="15" customHeight="1" spans="1:12">
      <c r="A335" s="44" t="s">
        <v>1798</v>
      </c>
      <c r="B335" s="258" t="s">
        <v>1040</v>
      </c>
      <c r="C335" s="5" t="s">
        <v>1799</v>
      </c>
      <c r="D335" s="283" t="s">
        <v>1800</v>
      </c>
      <c r="E335" s="158">
        <v>2020</v>
      </c>
      <c r="F335" s="158">
        <v>2020</v>
      </c>
      <c r="G335" s="258" t="s">
        <v>16</v>
      </c>
      <c r="H335" s="258">
        <v>200</v>
      </c>
      <c r="I335" s="258">
        <v>200</v>
      </c>
      <c r="J335" s="29"/>
      <c r="K335" s="54"/>
      <c r="L335" s="260" t="s">
        <v>330</v>
      </c>
    </row>
    <row r="336" ht="15" customHeight="1" spans="1:12">
      <c r="A336" s="44" t="s">
        <v>1801</v>
      </c>
      <c r="B336" s="258" t="s">
        <v>1040</v>
      </c>
      <c r="C336" s="5" t="s">
        <v>1802</v>
      </c>
      <c r="D336" s="283" t="s">
        <v>1803</v>
      </c>
      <c r="E336" s="158">
        <v>2020</v>
      </c>
      <c r="F336" s="158">
        <v>2020</v>
      </c>
      <c r="G336" s="258" t="s">
        <v>16</v>
      </c>
      <c r="H336" s="258">
        <v>200</v>
      </c>
      <c r="I336" s="258">
        <v>200</v>
      </c>
      <c r="J336" s="258"/>
      <c r="K336" s="262"/>
      <c r="L336" s="132" t="s">
        <v>330</v>
      </c>
    </row>
    <row r="337" ht="15" customHeight="1" spans="1:12">
      <c r="A337" s="44" t="s">
        <v>1804</v>
      </c>
      <c r="B337" s="29" t="s">
        <v>1040</v>
      </c>
      <c r="C337" s="5" t="s">
        <v>1805</v>
      </c>
      <c r="D337" s="263" t="s">
        <v>1806</v>
      </c>
      <c r="E337" s="30">
        <v>2020</v>
      </c>
      <c r="F337" s="30">
        <v>2020</v>
      </c>
      <c r="G337" s="29" t="s">
        <v>16</v>
      </c>
      <c r="H337" s="29">
        <v>200</v>
      </c>
      <c r="I337" s="29">
        <v>200</v>
      </c>
      <c r="J337" s="258"/>
      <c r="K337" s="262"/>
      <c r="L337" s="260" t="s">
        <v>330</v>
      </c>
    </row>
    <row r="338" ht="15" customHeight="1" spans="1:12">
      <c r="A338" s="44" t="s">
        <v>1807</v>
      </c>
      <c r="B338" s="258" t="s">
        <v>1040</v>
      </c>
      <c r="C338" s="5" t="s">
        <v>1808</v>
      </c>
      <c r="D338" s="283" t="s">
        <v>1809</v>
      </c>
      <c r="E338" s="158">
        <v>2020</v>
      </c>
      <c r="F338" s="158">
        <v>2020</v>
      </c>
      <c r="G338" s="258" t="s">
        <v>16</v>
      </c>
      <c r="H338" s="258">
        <v>200</v>
      </c>
      <c r="I338" s="258">
        <v>200</v>
      </c>
      <c r="J338" s="29"/>
      <c r="K338" s="54"/>
      <c r="L338" s="132" t="s">
        <v>330</v>
      </c>
    </row>
    <row r="339" ht="15" customHeight="1" spans="1:12">
      <c r="A339" s="44" t="s">
        <v>1810</v>
      </c>
      <c r="B339" s="258" t="s">
        <v>1040</v>
      </c>
      <c r="C339" s="5" t="s">
        <v>1811</v>
      </c>
      <c r="D339" s="5" t="s">
        <v>1812</v>
      </c>
      <c r="E339" s="158">
        <v>2020</v>
      </c>
      <c r="F339" s="158">
        <v>2020</v>
      </c>
      <c r="G339" s="258" t="s">
        <v>16</v>
      </c>
      <c r="H339" s="258">
        <v>200</v>
      </c>
      <c r="I339" s="258">
        <v>200</v>
      </c>
      <c r="J339" s="258"/>
      <c r="K339" s="262"/>
      <c r="L339" s="260" t="s">
        <v>330</v>
      </c>
    </row>
    <row r="340" ht="15" customHeight="1" spans="1:12">
      <c r="A340" s="44" t="s">
        <v>1813</v>
      </c>
      <c r="B340" s="258" t="s">
        <v>1040</v>
      </c>
      <c r="C340" s="5" t="s">
        <v>1814</v>
      </c>
      <c r="D340" s="283" t="s">
        <v>1815</v>
      </c>
      <c r="E340" s="158">
        <v>2020</v>
      </c>
      <c r="F340" s="158">
        <v>2020</v>
      </c>
      <c r="G340" s="258" t="s">
        <v>16</v>
      </c>
      <c r="H340" s="258">
        <v>200</v>
      </c>
      <c r="I340" s="258">
        <v>200</v>
      </c>
      <c r="J340" s="258"/>
      <c r="K340" s="262"/>
      <c r="L340" s="260" t="s">
        <v>330</v>
      </c>
    </row>
    <row r="341" ht="15" customHeight="1" spans="1:12">
      <c r="A341" s="44" t="s">
        <v>1816</v>
      </c>
      <c r="B341" s="29" t="s">
        <v>1040</v>
      </c>
      <c r="C341" s="5" t="s">
        <v>1817</v>
      </c>
      <c r="D341" s="283" t="s">
        <v>1818</v>
      </c>
      <c r="E341" s="30">
        <v>2020</v>
      </c>
      <c r="F341" s="30">
        <v>2020</v>
      </c>
      <c r="G341" s="29" t="s">
        <v>16</v>
      </c>
      <c r="H341" s="29">
        <v>200</v>
      </c>
      <c r="I341" s="29">
        <v>200</v>
      </c>
      <c r="J341" s="258"/>
      <c r="K341" s="262"/>
      <c r="L341" s="132" t="s">
        <v>330</v>
      </c>
    </row>
    <row r="342" ht="15" customHeight="1" spans="1:12">
      <c r="A342" s="44" t="s">
        <v>1819</v>
      </c>
      <c r="B342" s="258" t="s">
        <v>1040</v>
      </c>
      <c r="C342" s="5" t="s">
        <v>1820</v>
      </c>
      <c r="D342" s="283" t="s">
        <v>1821</v>
      </c>
      <c r="E342" s="158">
        <v>2020</v>
      </c>
      <c r="F342" s="158">
        <v>2020</v>
      </c>
      <c r="G342" s="258" t="s">
        <v>16</v>
      </c>
      <c r="H342" s="258">
        <v>200</v>
      </c>
      <c r="I342" s="258">
        <v>200</v>
      </c>
      <c r="J342" s="29"/>
      <c r="K342" s="54"/>
      <c r="L342" s="260" t="s">
        <v>330</v>
      </c>
    </row>
    <row r="343" ht="15" customHeight="1" spans="1:12">
      <c r="A343" s="44" t="s">
        <v>1822</v>
      </c>
      <c r="B343" s="258" t="s">
        <v>1040</v>
      </c>
      <c r="C343" s="5" t="s">
        <v>585</v>
      </c>
      <c r="D343" s="283" t="s">
        <v>1823</v>
      </c>
      <c r="E343" s="158">
        <v>2020</v>
      </c>
      <c r="F343" s="158">
        <v>2020</v>
      </c>
      <c r="G343" s="258" t="s">
        <v>16</v>
      </c>
      <c r="H343" s="258">
        <v>200</v>
      </c>
      <c r="I343" s="258">
        <v>200</v>
      </c>
      <c r="J343" s="258"/>
      <c r="K343" s="262"/>
      <c r="L343" s="132" t="s">
        <v>330</v>
      </c>
    </row>
    <row r="344" ht="15" customHeight="1" spans="1:12">
      <c r="A344" s="44" t="s">
        <v>1824</v>
      </c>
      <c r="B344" s="258" t="s">
        <v>1040</v>
      </c>
      <c r="C344" s="5" t="s">
        <v>1825</v>
      </c>
      <c r="D344" s="283" t="s">
        <v>1826</v>
      </c>
      <c r="E344" s="158">
        <v>2020</v>
      </c>
      <c r="F344" s="158">
        <v>2020</v>
      </c>
      <c r="G344" s="258" t="s">
        <v>16</v>
      </c>
      <c r="H344" s="258">
        <v>200</v>
      </c>
      <c r="I344" s="258">
        <v>200</v>
      </c>
      <c r="J344" s="258"/>
      <c r="K344" s="262"/>
      <c r="L344" s="260" t="s">
        <v>330</v>
      </c>
    </row>
    <row r="345" ht="15" customHeight="1" spans="1:12">
      <c r="A345" s="44" t="s">
        <v>1827</v>
      </c>
      <c r="B345" s="258" t="s">
        <v>1040</v>
      </c>
      <c r="C345" s="5" t="s">
        <v>1828</v>
      </c>
      <c r="D345" s="283" t="s">
        <v>1829</v>
      </c>
      <c r="E345" s="158">
        <v>2020</v>
      </c>
      <c r="F345" s="158">
        <v>2020</v>
      </c>
      <c r="G345" s="258" t="s">
        <v>16</v>
      </c>
      <c r="H345" s="258">
        <v>200</v>
      </c>
      <c r="I345" s="258">
        <v>200</v>
      </c>
      <c r="J345" s="258"/>
      <c r="K345" s="262"/>
      <c r="L345" s="132" t="s">
        <v>330</v>
      </c>
    </row>
    <row r="346" ht="15" customHeight="1" spans="1:12">
      <c r="A346" s="44" t="s">
        <v>1830</v>
      </c>
      <c r="B346" s="258" t="s">
        <v>1040</v>
      </c>
      <c r="C346" s="5" t="s">
        <v>1831</v>
      </c>
      <c r="D346" s="283" t="s">
        <v>1832</v>
      </c>
      <c r="E346" s="158">
        <v>2020</v>
      </c>
      <c r="F346" s="158">
        <v>2020</v>
      </c>
      <c r="G346" s="258" t="s">
        <v>16</v>
      </c>
      <c r="H346" s="258">
        <v>200</v>
      </c>
      <c r="I346" s="258">
        <v>200</v>
      </c>
      <c r="J346" s="258"/>
      <c r="K346" s="262"/>
      <c r="L346" s="260" t="s">
        <v>330</v>
      </c>
    </row>
    <row r="347" ht="15" customHeight="1" spans="1:12">
      <c r="A347" s="44" t="s">
        <v>1833</v>
      </c>
      <c r="B347" s="29" t="s">
        <v>1040</v>
      </c>
      <c r="C347" s="5" t="s">
        <v>1834</v>
      </c>
      <c r="D347" s="283" t="s">
        <v>1835</v>
      </c>
      <c r="E347" s="30">
        <v>2020</v>
      </c>
      <c r="F347" s="30">
        <v>2020</v>
      </c>
      <c r="G347" s="29" t="s">
        <v>16</v>
      </c>
      <c r="H347" s="29">
        <v>200</v>
      </c>
      <c r="I347" s="29">
        <v>200</v>
      </c>
      <c r="J347" s="258"/>
      <c r="K347" s="262"/>
      <c r="L347" s="260" t="s">
        <v>330</v>
      </c>
    </row>
    <row r="348" ht="15" customHeight="1" spans="1:12">
      <c r="A348" s="44" t="s">
        <v>1836</v>
      </c>
      <c r="B348" s="29" t="s">
        <v>1040</v>
      </c>
      <c r="C348" s="5" t="s">
        <v>1837</v>
      </c>
      <c r="D348" s="5" t="s">
        <v>1838</v>
      </c>
      <c r="E348" s="30">
        <v>2020</v>
      </c>
      <c r="F348" s="30">
        <v>2020</v>
      </c>
      <c r="G348" s="29" t="s">
        <v>16</v>
      </c>
      <c r="H348" s="29">
        <v>200</v>
      </c>
      <c r="I348" s="29">
        <v>200</v>
      </c>
      <c r="J348" s="29"/>
      <c r="K348" s="54"/>
      <c r="L348" s="132" t="s">
        <v>330</v>
      </c>
    </row>
    <row r="349" ht="15" customHeight="1" spans="1:12">
      <c r="A349" s="44" t="s">
        <v>1839</v>
      </c>
      <c r="B349" s="258" t="s">
        <v>1040</v>
      </c>
      <c r="C349" s="5" t="s">
        <v>1840</v>
      </c>
      <c r="D349" s="283" t="s">
        <v>1841</v>
      </c>
      <c r="E349" s="158">
        <v>2020</v>
      </c>
      <c r="F349" s="158">
        <v>2020</v>
      </c>
      <c r="G349" s="258" t="s">
        <v>16</v>
      </c>
      <c r="H349" s="258">
        <v>200</v>
      </c>
      <c r="I349" s="258">
        <v>200</v>
      </c>
      <c r="J349" s="29"/>
      <c r="K349" s="54"/>
      <c r="L349" s="260" t="s">
        <v>330</v>
      </c>
    </row>
    <row r="350" ht="15" customHeight="1" spans="1:12">
      <c r="A350" s="44" t="s">
        <v>1842</v>
      </c>
      <c r="B350" s="258" t="s">
        <v>1040</v>
      </c>
      <c r="C350" s="5" t="s">
        <v>1843</v>
      </c>
      <c r="D350" s="283" t="s">
        <v>1844</v>
      </c>
      <c r="E350" s="158">
        <v>2020</v>
      </c>
      <c r="F350" s="158">
        <v>2020</v>
      </c>
      <c r="G350" s="258" t="s">
        <v>16</v>
      </c>
      <c r="H350" s="258">
        <v>200</v>
      </c>
      <c r="I350" s="258">
        <v>200</v>
      </c>
      <c r="J350" s="258"/>
      <c r="K350" s="262"/>
      <c r="L350" s="132" t="s">
        <v>330</v>
      </c>
    </row>
    <row r="351" ht="15" customHeight="1" spans="1:12">
      <c r="A351" s="44" t="s">
        <v>1845</v>
      </c>
      <c r="B351" s="258" t="s">
        <v>1040</v>
      </c>
      <c r="C351" s="5" t="s">
        <v>1846</v>
      </c>
      <c r="D351" s="283" t="s">
        <v>1847</v>
      </c>
      <c r="E351" s="158">
        <v>2020</v>
      </c>
      <c r="F351" s="158">
        <v>2020</v>
      </c>
      <c r="G351" s="258" t="s">
        <v>16</v>
      </c>
      <c r="H351" s="258">
        <v>200</v>
      </c>
      <c r="I351" s="258">
        <v>200</v>
      </c>
      <c r="J351" s="258"/>
      <c r="K351" s="262"/>
      <c r="L351" s="260" t="s">
        <v>330</v>
      </c>
    </row>
    <row r="352" ht="15" customHeight="1" spans="1:12">
      <c r="A352" s="44" t="s">
        <v>1848</v>
      </c>
      <c r="B352" s="258" t="s">
        <v>1040</v>
      </c>
      <c r="C352" s="5" t="s">
        <v>1849</v>
      </c>
      <c r="D352" s="5" t="s">
        <v>1850</v>
      </c>
      <c r="E352" s="158">
        <v>2020</v>
      </c>
      <c r="F352" s="158">
        <v>2020</v>
      </c>
      <c r="G352" s="258" t="s">
        <v>16</v>
      </c>
      <c r="H352" s="258">
        <v>200</v>
      </c>
      <c r="I352" s="258">
        <v>200</v>
      </c>
      <c r="J352" s="258"/>
      <c r="K352" s="262"/>
      <c r="L352" s="132" t="s">
        <v>330</v>
      </c>
    </row>
    <row r="353" ht="15" customHeight="1" spans="1:12">
      <c r="A353" s="44" t="s">
        <v>1851</v>
      </c>
      <c r="B353" s="258" t="s">
        <v>1040</v>
      </c>
      <c r="C353" s="5" t="s">
        <v>1852</v>
      </c>
      <c r="D353" s="283" t="s">
        <v>1853</v>
      </c>
      <c r="E353" s="158">
        <v>2020</v>
      </c>
      <c r="F353" s="158">
        <v>2020</v>
      </c>
      <c r="G353" s="258" t="s">
        <v>16</v>
      </c>
      <c r="H353" s="258">
        <v>200</v>
      </c>
      <c r="I353" s="258">
        <v>200</v>
      </c>
      <c r="J353" s="161"/>
      <c r="K353" s="161"/>
      <c r="L353" s="260" t="s">
        <v>330</v>
      </c>
    </row>
    <row r="354" ht="15" customHeight="1" spans="1:12">
      <c r="A354" s="44" t="s">
        <v>1854</v>
      </c>
      <c r="B354" s="258" t="s">
        <v>1040</v>
      </c>
      <c r="C354" s="5" t="s">
        <v>1855</v>
      </c>
      <c r="D354" s="5" t="s">
        <v>1856</v>
      </c>
      <c r="E354" s="158">
        <v>2020</v>
      </c>
      <c r="F354" s="158">
        <v>2020</v>
      </c>
      <c r="G354" s="258" t="s">
        <v>16</v>
      </c>
      <c r="H354" s="258">
        <v>200</v>
      </c>
      <c r="I354" s="258">
        <v>200</v>
      </c>
      <c r="J354" s="161"/>
      <c r="K354" s="161"/>
      <c r="L354" s="260" t="s">
        <v>330</v>
      </c>
    </row>
    <row r="355" ht="15" customHeight="1" spans="1:12">
      <c r="A355" s="44" t="s">
        <v>1857</v>
      </c>
      <c r="B355" s="258" t="s">
        <v>1040</v>
      </c>
      <c r="C355" s="5" t="s">
        <v>1858</v>
      </c>
      <c r="D355" s="283" t="s">
        <v>1859</v>
      </c>
      <c r="E355" s="158">
        <v>2020</v>
      </c>
      <c r="F355" s="158">
        <v>2020</v>
      </c>
      <c r="G355" s="258" t="s">
        <v>16</v>
      </c>
      <c r="H355" s="258">
        <v>200</v>
      </c>
      <c r="I355" s="258">
        <v>200</v>
      </c>
      <c r="J355" s="161"/>
      <c r="K355" s="161"/>
      <c r="L355" s="132" t="s">
        <v>330</v>
      </c>
    </row>
    <row r="356" ht="15" customHeight="1" spans="1:12">
      <c r="A356" s="44" t="s">
        <v>1860</v>
      </c>
      <c r="B356" s="258" t="s">
        <v>1040</v>
      </c>
      <c r="C356" s="5" t="s">
        <v>1861</v>
      </c>
      <c r="D356" s="283" t="s">
        <v>1862</v>
      </c>
      <c r="E356" s="158">
        <v>2020</v>
      </c>
      <c r="F356" s="158">
        <v>2020</v>
      </c>
      <c r="G356" s="258" t="s">
        <v>16</v>
      </c>
      <c r="H356" s="258">
        <v>200</v>
      </c>
      <c r="I356" s="258">
        <v>200</v>
      </c>
      <c r="J356" s="161"/>
      <c r="K356" s="161"/>
      <c r="L356" s="260" t="s">
        <v>330</v>
      </c>
    </row>
    <row r="357" ht="15" customHeight="1" spans="1:12">
      <c r="A357" s="44" t="s">
        <v>1863</v>
      </c>
      <c r="B357" s="258" t="s">
        <v>1040</v>
      </c>
      <c r="C357" s="5" t="s">
        <v>1864</v>
      </c>
      <c r="D357" s="283" t="s">
        <v>1865</v>
      </c>
      <c r="E357" s="158">
        <v>2020</v>
      </c>
      <c r="F357" s="158">
        <v>2020</v>
      </c>
      <c r="G357" s="258" t="s">
        <v>16</v>
      </c>
      <c r="H357" s="258">
        <v>200</v>
      </c>
      <c r="I357" s="258">
        <v>200</v>
      </c>
      <c r="J357" s="161"/>
      <c r="K357" s="161"/>
      <c r="L357" s="132" t="s">
        <v>330</v>
      </c>
    </row>
    <row r="358" ht="15" customHeight="1" spans="1:12">
      <c r="A358" s="44" t="s">
        <v>1866</v>
      </c>
      <c r="B358" s="258" t="s">
        <v>1040</v>
      </c>
      <c r="C358" s="5" t="s">
        <v>1867</v>
      </c>
      <c r="D358" s="5" t="s">
        <v>1868</v>
      </c>
      <c r="E358" s="158">
        <v>2020</v>
      </c>
      <c r="F358" s="158">
        <v>2020</v>
      </c>
      <c r="G358" s="258" t="s">
        <v>16</v>
      </c>
      <c r="H358" s="258">
        <v>200</v>
      </c>
      <c r="I358" s="258">
        <v>200</v>
      </c>
      <c r="J358" s="161"/>
      <c r="K358" s="161"/>
      <c r="L358" s="260" t="s">
        <v>330</v>
      </c>
    </row>
    <row r="359" ht="15" customHeight="1" spans="1:12">
      <c r="A359" s="44" t="s">
        <v>1869</v>
      </c>
      <c r="B359" s="258" t="s">
        <v>1040</v>
      </c>
      <c r="C359" s="5" t="s">
        <v>1870</v>
      </c>
      <c r="D359" s="283" t="s">
        <v>1871</v>
      </c>
      <c r="E359" s="158">
        <v>2020</v>
      </c>
      <c r="F359" s="158">
        <v>2020</v>
      </c>
      <c r="G359" s="258" t="s">
        <v>16</v>
      </c>
      <c r="H359" s="258">
        <v>200</v>
      </c>
      <c r="I359" s="258">
        <v>200</v>
      </c>
      <c r="J359" s="161"/>
      <c r="K359" s="161"/>
      <c r="L359" s="132" t="s">
        <v>330</v>
      </c>
    </row>
    <row r="360" ht="15" customHeight="1" spans="1:12">
      <c r="A360" s="44" t="s">
        <v>1872</v>
      </c>
      <c r="B360" s="258" t="s">
        <v>1040</v>
      </c>
      <c r="C360" s="5" t="s">
        <v>1873</v>
      </c>
      <c r="D360" s="283" t="s">
        <v>1874</v>
      </c>
      <c r="E360" s="158">
        <v>2020</v>
      </c>
      <c r="F360" s="158">
        <v>2020</v>
      </c>
      <c r="G360" s="258" t="s">
        <v>16</v>
      </c>
      <c r="H360" s="258">
        <v>200</v>
      </c>
      <c r="I360" s="258">
        <v>200</v>
      </c>
      <c r="J360" s="161"/>
      <c r="K360" s="161"/>
      <c r="L360" s="260" t="s">
        <v>330</v>
      </c>
    </row>
    <row r="361" ht="15" customHeight="1" spans="1:12">
      <c r="A361" s="44" t="s">
        <v>1875</v>
      </c>
      <c r="B361" s="258" t="s">
        <v>1040</v>
      </c>
      <c r="C361" s="5" t="s">
        <v>1876</v>
      </c>
      <c r="D361" s="283" t="s">
        <v>1877</v>
      </c>
      <c r="E361" s="158">
        <v>2020</v>
      </c>
      <c r="F361" s="158">
        <v>2020</v>
      </c>
      <c r="G361" s="258" t="s">
        <v>16</v>
      </c>
      <c r="H361" s="258">
        <v>200</v>
      </c>
      <c r="I361" s="258">
        <v>200</v>
      </c>
      <c r="J361" s="161"/>
      <c r="K361" s="161"/>
      <c r="L361" s="260" t="s">
        <v>330</v>
      </c>
    </row>
    <row r="362" ht="15" customHeight="1" spans="1:12">
      <c r="A362" s="44" t="s">
        <v>1878</v>
      </c>
      <c r="B362" s="258" t="s">
        <v>1040</v>
      </c>
      <c r="C362" s="5" t="s">
        <v>1879</v>
      </c>
      <c r="D362" s="283" t="s">
        <v>1880</v>
      </c>
      <c r="E362" s="158">
        <v>2020</v>
      </c>
      <c r="F362" s="158">
        <v>2020</v>
      </c>
      <c r="G362" s="258" t="s">
        <v>16</v>
      </c>
      <c r="H362" s="258">
        <v>200</v>
      </c>
      <c r="I362" s="258">
        <v>200</v>
      </c>
      <c r="J362" s="161"/>
      <c r="K362" s="161"/>
      <c r="L362" s="132" t="s">
        <v>330</v>
      </c>
    </row>
    <row r="363" ht="15" customHeight="1" spans="1:12">
      <c r="A363" s="44" t="s">
        <v>1881</v>
      </c>
      <c r="B363" s="258" t="s">
        <v>1040</v>
      </c>
      <c r="C363" s="5" t="s">
        <v>1882</v>
      </c>
      <c r="D363" s="5" t="s">
        <v>1883</v>
      </c>
      <c r="E363" s="158">
        <v>2020</v>
      </c>
      <c r="F363" s="158">
        <v>2020</v>
      </c>
      <c r="G363" s="258" t="s">
        <v>16</v>
      </c>
      <c r="H363" s="258">
        <v>200</v>
      </c>
      <c r="I363" s="258">
        <v>200</v>
      </c>
      <c r="J363" s="161"/>
      <c r="K363" s="161"/>
      <c r="L363" s="260" t="s">
        <v>330</v>
      </c>
    </row>
    <row r="364" ht="15" customHeight="1" spans="1:12">
      <c r="A364" s="44" t="s">
        <v>1884</v>
      </c>
      <c r="B364" s="258" t="s">
        <v>1040</v>
      </c>
      <c r="C364" s="5" t="s">
        <v>1885</v>
      </c>
      <c r="D364" s="283" t="s">
        <v>1886</v>
      </c>
      <c r="E364" s="158">
        <v>2020</v>
      </c>
      <c r="F364" s="158">
        <v>2020</v>
      </c>
      <c r="G364" s="258" t="s">
        <v>16</v>
      </c>
      <c r="H364" s="258">
        <v>200</v>
      </c>
      <c r="I364" s="258">
        <v>200</v>
      </c>
      <c r="J364" s="161"/>
      <c r="K364" s="161"/>
      <c r="L364" s="132" t="s">
        <v>330</v>
      </c>
    </row>
    <row r="365" ht="15" customHeight="1" spans="1:12">
      <c r="A365" s="44" t="s">
        <v>1887</v>
      </c>
      <c r="B365" s="258" t="s">
        <v>1040</v>
      </c>
      <c r="C365" s="5" t="s">
        <v>1888</v>
      </c>
      <c r="D365" s="283" t="s">
        <v>1889</v>
      </c>
      <c r="E365" s="158">
        <v>2020</v>
      </c>
      <c r="F365" s="158">
        <v>2020</v>
      </c>
      <c r="G365" s="258" t="s">
        <v>16</v>
      </c>
      <c r="H365" s="258">
        <v>200</v>
      </c>
      <c r="I365" s="258">
        <v>200</v>
      </c>
      <c r="J365" s="161"/>
      <c r="K365" s="161"/>
      <c r="L365" s="260" t="s">
        <v>330</v>
      </c>
    </row>
    <row r="366" ht="15" customHeight="1" spans="1:12">
      <c r="A366" s="44" t="s">
        <v>1890</v>
      </c>
      <c r="B366" s="258" t="s">
        <v>1040</v>
      </c>
      <c r="C366" s="5" t="s">
        <v>1891</v>
      </c>
      <c r="D366" s="283" t="s">
        <v>1892</v>
      </c>
      <c r="E366" s="158">
        <v>2020</v>
      </c>
      <c r="F366" s="158">
        <v>2020</v>
      </c>
      <c r="G366" s="258" t="s">
        <v>16</v>
      </c>
      <c r="H366" s="258">
        <v>200</v>
      </c>
      <c r="I366" s="258">
        <v>200</v>
      </c>
      <c r="J366" s="161"/>
      <c r="K366" s="161"/>
      <c r="L366" s="132" t="s">
        <v>330</v>
      </c>
    </row>
    <row r="367" ht="15" customHeight="1" spans="1:12">
      <c r="A367" s="44" t="s">
        <v>1893</v>
      </c>
      <c r="B367" s="258" t="s">
        <v>1040</v>
      </c>
      <c r="C367" s="5" t="s">
        <v>1894</v>
      </c>
      <c r="D367" s="5" t="s">
        <v>1895</v>
      </c>
      <c r="E367" s="158">
        <v>2020</v>
      </c>
      <c r="F367" s="158">
        <v>2020</v>
      </c>
      <c r="G367" s="258" t="s">
        <v>16</v>
      </c>
      <c r="H367" s="258">
        <v>200</v>
      </c>
      <c r="I367" s="258">
        <v>200</v>
      </c>
      <c r="J367" s="161"/>
      <c r="K367" s="161"/>
      <c r="L367" s="260" t="s">
        <v>330</v>
      </c>
    </row>
    <row r="368" ht="15" customHeight="1" spans="1:12">
      <c r="A368" s="44" t="s">
        <v>1896</v>
      </c>
      <c r="B368" s="258" t="s">
        <v>1040</v>
      </c>
      <c r="C368" s="5" t="s">
        <v>1897</v>
      </c>
      <c r="D368" s="283" t="s">
        <v>1898</v>
      </c>
      <c r="E368" s="158">
        <v>2020</v>
      </c>
      <c r="F368" s="158">
        <v>2020</v>
      </c>
      <c r="G368" s="258" t="s">
        <v>16</v>
      </c>
      <c r="H368" s="258">
        <v>200</v>
      </c>
      <c r="I368" s="258">
        <v>200</v>
      </c>
      <c r="J368" s="161"/>
      <c r="K368" s="161"/>
      <c r="L368" s="260" t="s">
        <v>330</v>
      </c>
    </row>
    <row r="369" ht="15" customHeight="1" spans="1:12">
      <c r="A369" s="44" t="s">
        <v>1899</v>
      </c>
      <c r="B369" s="258" t="s">
        <v>1040</v>
      </c>
      <c r="C369" s="5" t="s">
        <v>1900</v>
      </c>
      <c r="D369" s="283" t="s">
        <v>1901</v>
      </c>
      <c r="E369" s="158">
        <v>2020</v>
      </c>
      <c r="F369" s="158">
        <v>2020</v>
      </c>
      <c r="G369" s="258" t="s">
        <v>16</v>
      </c>
      <c r="H369" s="258">
        <v>200</v>
      </c>
      <c r="I369" s="258">
        <v>200</v>
      </c>
      <c r="J369" s="161"/>
      <c r="K369" s="161"/>
      <c r="L369" s="132" t="s">
        <v>330</v>
      </c>
    </row>
    <row r="370" ht="15" customHeight="1" spans="1:12">
      <c r="A370" s="44" t="s">
        <v>1902</v>
      </c>
      <c r="B370" s="258" t="s">
        <v>1040</v>
      </c>
      <c r="C370" s="5" t="s">
        <v>1903</v>
      </c>
      <c r="D370" s="283" t="s">
        <v>1904</v>
      </c>
      <c r="E370" s="158">
        <v>2020</v>
      </c>
      <c r="F370" s="158">
        <v>2020</v>
      </c>
      <c r="G370" s="258" t="s">
        <v>16</v>
      </c>
      <c r="H370" s="258">
        <v>200</v>
      </c>
      <c r="I370" s="258">
        <v>200</v>
      </c>
      <c r="J370" s="161"/>
      <c r="K370" s="161"/>
      <c r="L370" s="260" t="s">
        <v>330</v>
      </c>
    </row>
    <row r="371" ht="15" customHeight="1" spans="1:12">
      <c r="A371" s="44" t="s">
        <v>1905</v>
      </c>
      <c r="B371" s="258" t="s">
        <v>1040</v>
      </c>
      <c r="C371" s="5" t="s">
        <v>1906</v>
      </c>
      <c r="D371" s="283" t="s">
        <v>1907</v>
      </c>
      <c r="E371" s="158">
        <v>2020</v>
      </c>
      <c r="F371" s="158">
        <v>2020</v>
      </c>
      <c r="G371" s="258" t="s">
        <v>16</v>
      </c>
      <c r="H371" s="258">
        <v>200</v>
      </c>
      <c r="I371" s="258">
        <v>200</v>
      </c>
      <c r="J371" s="161"/>
      <c r="K371" s="161"/>
      <c r="L371" s="132" t="s">
        <v>330</v>
      </c>
    </row>
    <row r="372" ht="15" customHeight="1" spans="1:12">
      <c r="A372" s="44" t="s">
        <v>1908</v>
      </c>
      <c r="B372" s="258" t="s">
        <v>1040</v>
      </c>
      <c r="C372" s="5" t="s">
        <v>1909</v>
      </c>
      <c r="D372" s="283" t="s">
        <v>1910</v>
      </c>
      <c r="E372" s="158">
        <v>2020</v>
      </c>
      <c r="F372" s="158">
        <v>2020</v>
      </c>
      <c r="G372" s="258" t="s">
        <v>16</v>
      </c>
      <c r="H372" s="258">
        <v>200</v>
      </c>
      <c r="I372" s="258">
        <v>200</v>
      </c>
      <c r="J372" s="161"/>
      <c r="K372" s="161"/>
      <c r="L372" s="260" t="s">
        <v>330</v>
      </c>
    </row>
    <row r="373" ht="15" customHeight="1" spans="1:12">
      <c r="A373" s="44" t="s">
        <v>1911</v>
      </c>
      <c r="B373" s="258" t="s">
        <v>1040</v>
      </c>
      <c r="C373" s="5" t="s">
        <v>1912</v>
      </c>
      <c r="D373" s="283" t="s">
        <v>1913</v>
      </c>
      <c r="E373" s="158">
        <v>2020</v>
      </c>
      <c r="F373" s="158">
        <v>2020</v>
      </c>
      <c r="G373" s="258" t="s">
        <v>16</v>
      </c>
      <c r="H373" s="258">
        <v>200</v>
      </c>
      <c r="I373" s="258">
        <v>200</v>
      </c>
      <c r="J373" s="161"/>
      <c r="K373" s="161"/>
      <c r="L373" s="132" t="s">
        <v>330</v>
      </c>
    </row>
    <row r="374" ht="15" customHeight="1" spans="1:12">
      <c r="A374" s="44" t="s">
        <v>1914</v>
      </c>
      <c r="B374" s="258" t="s">
        <v>1040</v>
      </c>
      <c r="C374" s="5" t="s">
        <v>1915</v>
      </c>
      <c r="D374" s="283" t="s">
        <v>1916</v>
      </c>
      <c r="E374" s="158">
        <v>2020</v>
      </c>
      <c r="F374" s="158">
        <v>2020</v>
      </c>
      <c r="G374" s="258" t="s">
        <v>16</v>
      </c>
      <c r="H374" s="258">
        <v>200</v>
      </c>
      <c r="I374" s="258">
        <v>200</v>
      </c>
      <c r="J374" s="161"/>
      <c r="K374" s="161"/>
      <c r="L374" s="260" t="s">
        <v>330</v>
      </c>
    </row>
    <row r="375" ht="15" customHeight="1" spans="1:12">
      <c r="A375" s="44" t="s">
        <v>1917</v>
      </c>
      <c r="B375" s="258" t="s">
        <v>1040</v>
      </c>
      <c r="C375" s="5" t="s">
        <v>1918</v>
      </c>
      <c r="D375" s="283" t="s">
        <v>1919</v>
      </c>
      <c r="E375" s="158">
        <v>2020</v>
      </c>
      <c r="F375" s="158">
        <v>2020</v>
      </c>
      <c r="G375" s="258" t="s">
        <v>16</v>
      </c>
      <c r="H375" s="258">
        <v>200</v>
      </c>
      <c r="I375" s="258">
        <v>200</v>
      </c>
      <c r="J375" s="161"/>
      <c r="K375" s="161"/>
      <c r="L375" s="260" t="s">
        <v>330</v>
      </c>
    </row>
    <row r="376" ht="15" customHeight="1" spans="1:12">
      <c r="A376" s="44" t="s">
        <v>1920</v>
      </c>
      <c r="B376" s="258" t="s">
        <v>1040</v>
      </c>
      <c r="C376" s="5" t="s">
        <v>1921</v>
      </c>
      <c r="D376" s="283" t="s">
        <v>1922</v>
      </c>
      <c r="E376" s="158">
        <v>2020</v>
      </c>
      <c r="F376" s="158">
        <v>2020</v>
      </c>
      <c r="G376" s="258" t="s">
        <v>16</v>
      </c>
      <c r="H376" s="258">
        <v>200</v>
      </c>
      <c r="I376" s="258">
        <v>200</v>
      </c>
      <c r="J376" s="161"/>
      <c r="K376" s="161"/>
      <c r="L376" s="132" t="s">
        <v>330</v>
      </c>
    </row>
    <row r="377" ht="15" customHeight="1" spans="1:12">
      <c r="A377" s="44" t="s">
        <v>1923</v>
      </c>
      <c r="B377" s="258" t="s">
        <v>1040</v>
      </c>
      <c r="C377" s="5" t="s">
        <v>1924</v>
      </c>
      <c r="D377" s="283" t="s">
        <v>1925</v>
      </c>
      <c r="E377" s="158">
        <v>2020</v>
      </c>
      <c r="F377" s="158">
        <v>2020</v>
      </c>
      <c r="G377" s="258" t="s">
        <v>16</v>
      </c>
      <c r="H377" s="258">
        <v>200</v>
      </c>
      <c r="I377" s="258">
        <v>200</v>
      </c>
      <c r="J377" s="161"/>
      <c r="K377" s="161"/>
      <c r="L377" s="260" t="s">
        <v>330</v>
      </c>
    </row>
    <row r="378" ht="15" customHeight="1" spans="1:12">
      <c r="A378" s="44" t="s">
        <v>1926</v>
      </c>
      <c r="B378" s="258" t="s">
        <v>1040</v>
      </c>
      <c r="C378" s="5" t="s">
        <v>1927</v>
      </c>
      <c r="D378" s="283" t="s">
        <v>1928</v>
      </c>
      <c r="E378" s="158">
        <v>2020</v>
      </c>
      <c r="F378" s="158">
        <v>2020</v>
      </c>
      <c r="G378" s="258" t="s">
        <v>16</v>
      </c>
      <c r="H378" s="258">
        <v>200</v>
      </c>
      <c r="I378" s="258">
        <v>200</v>
      </c>
      <c r="J378" s="161"/>
      <c r="K378" s="161"/>
      <c r="L378" s="132" t="s">
        <v>330</v>
      </c>
    </row>
    <row r="379" ht="15" customHeight="1" spans="1:12">
      <c r="A379" s="44" t="s">
        <v>1929</v>
      </c>
      <c r="B379" s="258" t="s">
        <v>1040</v>
      </c>
      <c r="C379" s="5" t="s">
        <v>1930</v>
      </c>
      <c r="D379" s="283" t="s">
        <v>1931</v>
      </c>
      <c r="E379" s="158">
        <v>2020</v>
      </c>
      <c r="F379" s="158">
        <v>2020</v>
      </c>
      <c r="G379" s="258" t="s">
        <v>16</v>
      </c>
      <c r="H379" s="258">
        <v>200</v>
      </c>
      <c r="I379" s="258">
        <v>200</v>
      </c>
      <c r="J379" s="161"/>
      <c r="K379" s="161"/>
      <c r="L379" s="260" t="s">
        <v>330</v>
      </c>
    </row>
    <row r="380" ht="15" customHeight="1" spans="1:12">
      <c r="A380" s="44" t="s">
        <v>1932</v>
      </c>
      <c r="B380" s="258" t="s">
        <v>1040</v>
      </c>
      <c r="C380" s="5" t="s">
        <v>1933</v>
      </c>
      <c r="D380" s="283" t="s">
        <v>1934</v>
      </c>
      <c r="E380" s="158">
        <v>2020</v>
      </c>
      <c r="F380" s="158">
        <v>2020</v>
      </c>
      <c r="G380" s="258" t="s">
        <v>16</v>
      </c>
      <c r="H380" s="258">
        <v>200</v>
      </c>
      <c r="I380" s="258">
        <v>200</v>
      </c>
      <c r="J380" s="161"/>
      <c r="K380" s="161"/>
      <c r="L380" s="132" t="s">
        <v>330</v>
      </c>
    </row>
    <row r="381" ht="15" customHeight="1" spans="1:12">
      <c r="A381" s="44" t="s">
        <v>1935</v>
      </c>
      <c r="B381" s="29" t="s">
        <v>1040</v>
      </c>
      <c r="C381" s="5" t="s">
        <v>1936</v>
      </c>
      <c r="D381" s="283" t="s">
        <v>1937</v>
      </c>
      <c r="E381" s="30">
        <v>2020</v>
      </c>
      <c r="F381" s="30">
        <v>2020</v>
      </c>
      <c r="G381" s="29" t="s">
        <v>16</v>
      </c>
      <c r="H381" s="29">
        <v>200</v>
      </c>
      <c r="I381" s="29">
        <v>200</v>
      </c>
      <c r="J381" s="161"/>
      <c r="K381" s="161"/>
      <c r="L381" s="260" t="s">
        <v>330</v>
      </c>
    </row>
    <row r="382" ht="15" customHeight="1" spans="1:12">
      <c r="A382" s="44" t="s">
        <v>1938</v>
      </c>
      <c r="B382" s="258" t="s">
        <v>1040</v>
      </c>
      <c r="C382" s="5" t="s">
        <v>1939</v>
      </c>
      <c r="D382" s="283" t="s">
        <v>1940</v>
      </c>
      <c r="E382" s="158">
        <v>2020</v>
      </c>
      <c r="F382" s="158">
        <v>2020</v>
      </c>
      <c r="G382" s="258" t="s">
        <v>16</v>
      </c>
      <c r="H382" s="258">
        <v>200</v>
      </c>
      <c r="I382" s="258">
        <v>200</v>
      </c>
      <c r="J382" s="32"/>
      <c r="K382" s="32"/>
      <c r="L382" s="260" t="s">
        <v>330</v>
      </c>
    </row>
    <row r="383" ht="15" customHeight="1" spans="1:12">
      <c r="A383" s="44" t="s">
        <v>1941</v>
      </c>
      <c r="B383" s="258" t="s">
        <v>1040</v>
      </c>
      <c r="C383" s="5" t="s">
        <v>1942</v>
      </c>
      <c r="D383" s="283" t="s">
        <v>1943</v>
      </c>
      <c r="E383" s="158">
        <v>2020</v>
      </c>
      <c r="F383" s="158">
        <v>2020</v>
      </c>
      <c r="G383" s="258" t="s">
        <v>16</v>
      </c>
      <c r="H383" s="258">
        <v>200</v>
      </c>
      <c r="I383" s="258">
        <v>200</v>
      </c>
      <c r="J383" s="161"/>
      <c r="K383" s="161"/>
      <c r="L383" s="132" t="s">
        <v>330</v>
      </c>
    </row>
    <row r="384" ht="15" customHeight="1" spans="1:12">
      <c r="A384" s="44" t="s">
        <v>1944</v>
      </c>
      <c r="B384" s="258" t="s">
        <v>1040</v>
      </c>
      <c r="C384" s="5" t="s">
        <v>1945</v>
      </c>
      <c r="D384" s="283" t="s">
        <v>1946</v>
      </c>
      <c r="E384" s="158">
        <v>2020</v>
      </c>
      <c r="F384" s="158">
        <v>2020</v>
      </c>
      <c r="G384" s="258" t="s">
        <v>16</v>
      </c>
      <c r="H384" s="258">
        <v>200</v>
      </c>
      <c r="I384" s="258">
        <v>200</v>
      </c>
      <c r="J384" s="161"/>
      <c r="K384" s="161"/>
      <c r="L384" s="260" t="s">
        <v>330</v>
      </c>
    </row>
    <row r="385" ht="15" customHeight="1" spans="1:12">
      <c r="A385" s="44" t="s">
        <v>1947</v>
      </c>
      <c r="B385" s="258" t="s">
        <v>1040</v>
      </c>
      <c r="C385" s="5" t="s">
        <v>1948</v>
      </c>
      <c r="D385" s="283" t="s">
        <v>1949</v>
      </c>
      <c r="E385" s="158">
        <v>2020</v>
      </c>
      <c r="F385" s="158">
        <v>2020</v>
      </c>
      <c r="G385" s="258" t="s">
        <v>16</v>
      </c>
      <c r="H385" s="258">
        <v>200</v>
      </c>
      <c r="I385" s="258">
        <v>200</v>
      </c>
      <c r="J385" s="161"/>
      <c r="K385" s="161"/>
      <c r="L385" s="132" t="s">
        <v>330</v>
      </c>
    </row>
    <row r="386" ht="15" customHeight="1" spans="1:12">
      <c r="A386" s="44" t="s">
        <v>1950</v>
      </c>
      <c r="B386" s="258" t="s">
        <v>1040</v>
      </c>
      <c r="C386" s="5" t="s">
        <v>1951</v>
      </c>
      <c r="D386" s="283" t="s">
        <v>1952</v>
      </c>
      <c r="E386" s="158">
        <v>2020</v>
      </c>
      <c r="F386" s="158">
        <v>2020</v>
      </c>
      <c r="G386" s="258" t="s">
        <v>16</v>
      </c>
      <c r="H386" s="258">
        <v>200</v>
      </c>
      <c r="I386" s="258">
        <v>200</v>
      </c>
      <c r="J386" s="161"/>
      <c r="K386" s="161"/>
      <c r="L386" s="260" t="s">
        <v>330</v>
      </c>
    </row>
    <row r="387" ht="15" customHeight="1" spans="1:12">
      <c r="A387" s="44" t="s">
        <v>1953</v>
      </c>
      <c r="B387" s="29" t="s">
        <v>1040</v>
      </c>
      <c r="C387" s="5" t="s">
        <v>1954</v>
      </c>
      <c r="D387" s="283" t="s">
        <v>1955</v>
      </c>
      <c r="E387" s="30">
        <v>2020</v>
      </c>
      <c r="F387" s="30">
        <v>2020</v>
      </c>
      <c r="G387" s="29" t="s">
        <v>16</v>
      </c>
      <c r="H387" s="29">
        <v>200</v>
      </c>
      <c r="I387" s="29">
        <v>200</v>
      </c>
      <c r="J387" s="161"/>
      <c r="K387" s="161"/>
      <c r="L387" s="132" t="s">
        <v>330</v>
      </c>
    </row>
    <row r="388" ht="15" customHeight="1" spans="1:12">
      <c r="A388" s="44" t="s">
        <v>1956</v>
      </c>
      <c r="B388" s="258" t="s">
        <v>1040</v>
      </c>
      <c r="C388" s="5" t="s">
        <v>1957</v>
      </c>
      <c r="D388" s="283" t="s">
        <v>1958</v>
      </c>
      <c r="E388" s="158">
        <v>2020</v>
      </c>
      <c r="F388" s="158">
        <v>2020</v>
      </c>
      <c r="G388" s="258" t="s">
        <v>16</v>
      </c>
      <c r="H388" s="258">
        <v>200</v>
      </c>
      <c r="I388" s="258">
        <v>200</v>
      </c>
      <c r="J388" s="32"/>
      <c r="K388" s="32"/>
      <c r="L388" s="260" t="s">
        <v>330</v>
      </c>
    </row>
    <row r="389" ht="15" customHeight="1" spans="1:12">
      <c r="A389" s="44" t="s">
        <v>1959</v>
      </c>
      <c r="B389" s="258" t="s">
        <v>1040</v>
      </c>
      <c r="C389" s="5" t="s">
        <v>1960</v>
      </c>
      <c r="D389" s="283" t="s">
        <v>1961</v>
      </c>
      <c r="E389" s="158">
        <v>2020</v>
      </c>
      <c r="F389" s="158">
        <v>2020</v>
      </c>
      <c r="G389" s="258" t="s">
        <v>16</v>
      </c>
      <c r="H389" s="258">
        <v>200</v>
      </c>
      <c r="I389" s="258">
        <v>200</v>
      </c>
      <c r="J389" s="161"/>
      <c r="K389" s="161"/>
      <c r="L389" s="260" t="s">
        <v>330</v>
      </c>
    </row>
    <row r="390" ht="15" customHeight="1" spans="1:12">
      <c r="A390" s="44" t="s">
        <v>1962</v>
      </c>
      <c r="B390" s="29" t="s">
        <v>1040</v>
      </c>
      <c r="C390" s="5" t="s">
        <v>1963</v>
      </c>
      <c r="D390" s="283" t="s">
        <v>1964</v>
      </c>
      <c r="E390" s="30">
        <v>2020</v>
      </c>
      <c r="F390" s="30">
        <v>2020</v>
      </c>
      <c r="G390" s="29" t="s">
        <v>16</v>
      </c>
      <c r="H390" s="29">
        <v>200</v>
      </c>
      <c r="I390" s="29">
        <v>200</v>
      </c>
      <c r="J390" s="161"/>
      <c r="K390" s="161"/>
      <c r="L390" s="132" t="s">
        <v>330</v>
      </c>
    </row>
    <row r="391" ht="15" customHeight="1" spans="1:12">
      <c r="A391" s="44" t="s">
        <v>1965</v>
      </c>
      <c r="B391" s="258" t="s">
        <v>1040</v>
      </c>
      <c r="C391" s="5" t="s">
        <v>1966</v>
      </c>
      <c r="D391" s="283" t="s">
        <v>1967</v>
      </c>
      <c r="E391" s="158">
        <v>2020</v>
      </c>
      <c r="F391" s="158">
        <v>2020</v>
      </c>
      <c r="G391" s="258" t="s">
        <v>16</v>
      </c>
      <c r="H391" s="258">
        <v>200</v>
      </c>
      <c r="I391" s="258">
        <v>200</v>
      </c>
      <c r="J391" s="32"/>
      <c r="K391" s="32"/>
      <c r="L391" s="260" t="s">
        <v>330</v>
      </c>
    </row>
    <row r="392" ht="15" customHeight="1" spans="1:12">
      <c r="A392" s="44" t="s">
        <v>1968</v>
      </c>
      <c r="B392" s="258" t="s">
        <v>1040</v>
      </c>
      <c r="C392" s="5" t="s">
        <v>1969</v>
      </c>
      <c r="D392" s="283" t="s">
        <v>1970</v>
      </c>
      <c r="E392" s="158">
        <v>2020</v>
      </c>
      <c r="F392" s="158">
        <v>2020</v>
      </c>
      <c r="G392" s="258" t="s">
        <v>16</v>
      </c>
      <c r="H392" s="258">
        <v>200</v>
      </c>
      <c r="I392" s="258">
        <v>200</v>
      </c>
      <c r="J392" s="161"/>
      <c r="K392" s="161"/>
      <c r="L392" s="132" t="s">
        <v>330</v>
      </c>
    </row>
    <row r="393" ht="15" customHeight="1" spans="1:12">
      <c r="A393" s="44" t="s">
        <v>1971</v>
      </c>
      <c r="B393" s="258" t="s">
        <v>1040</v>
      </c>
      <c r="C393" s="5" t="s">
        <v>1972</v>
      </c>
      <c r="D393" s="283" t="s">
        <v>1973</v>
      </c>
      <c r="E393" s="158">
        <v>2020</v>
      </c>
      <c r="F393" s="158">
        <v>2020</v>
      </c>
      <c r="G393" s="258" t="s">
        <v>16</v>
      </c>
      <c r="H393" s="258">
        <v>200</v>
      </c>
      <c r="I393" s="258">
        <v>200</v>
      </c>
      <c r="J393" s="161"/>
      <c r="K393" s="161"/>
      <c r="L393" s="260" t="s">
        <v>330</v>
      </c>
    </row>
    <row r="394" ht="15" customHeight="1" spans="1:12">
      <c r="A394" s="44" t="s">
        <v>1974</v>
      </c>
      <c r="B394" s="29" t="s">
        <v>1040</v>
      </c>
      <c r="C394" s="5" t="s">
        <v>1975</v>
      </c>
      <c r="D394" s="283" t="s">
        <v>1976</v>
      </c>
      <c r="E394" s="30">
        <v>2020</v>
      </c>
      <c r="F394" s="30">
        <v>2020</v>
      </c>
      <c r="G394" s="29" t="s">
        <v>16</v>
      </c>
      <c r="H394" s="29">
        <v>200</v>
      </c>
      <c r="I394" s="29">
        <v>200</v>
      </c>
      <c r="J394" s="161"/>
      <c r="K394" s="161"/>
      <c r="L394" s="132" t="s">
        <v>330</v>
      </c>
    </row>
    <row r="395" ht="15" customHeight="1" spans="1:12">
      <c r="A395" s="44" t="s">
        <v>1977</v>
      </c>
      <c r="B395" s="29" t="s">
        <v>1040</v>
      </c>
      <c r="C395" s="5" t="s">
        <v>1978</v>
      </c>
      <c r="D395" s="283" t="s">
        <v>1979</v>
      </c>
      <c r="E395" s="30">
        <v>2020</v>
      </c>
      <c r="F395" s="30">
        <v>2020</v>
      </c>
      <c r="G395" s="29" t="s">
        <v>16</v>
      </c>
      <c r="H395" s="29">
        <v>200</v>
      </c>
      <c r="I395" s="29">
        <v>200</v>
      </c>
      <c r="J395" s="32"/>
      <c r="K395" s="32"/>
      <c r="L395" s="260" t="s">
        <v>330</v>
      </c>
    </row>
    <row r="396" ht="15" customHeight="1" spans="1:12">
      <c r="A396" s="44" t="s">
        <v>1980</v>
      </c>
      <c r="B396" s="258" t="s">
        <v>1040</v>
      </c>
      <c r="C396" s="5" t="s">
        <v>1981</v>
      </c>
      <c r="D396" s="283" t="s">
        <v>1982</v>
      </c>
      <c r="E396" s="158">
        <v>2020</v>
      </c>
      <c r="F396" s="158">
        <v>2020</v>
      </c>
      <c r="G396" s="258" t="s">
        <v>16</v>
      </c>
      <c r="H396" s="258">
        <v>200</v>
      </c>
      <c r="I396" s="258">
        <v>200</v>
      </c>
      <c r="J396" s="32"/>
      <c r="K396" s="32"/>
      <c r="L396" s="260" t="s">
        <v>330</v>
      </c>
    </row>
    <row r="397" ht="15" customHeight="1" spans="1:12">
      <c r="A397" s="44" t="s">
        <v>1983</v>
      </c>
      <c r="B397" s="258" t="s">
        <v>1040</v>
      </c>
      <c r="C397" s="5" t="s">
        <v>1984</v>
      </c>
      <c r="D397" s="283" t="s">
        <v>1985</v>
      </c>
      <c r="E397" s="158">
        <v>2020</v>
      </c>
      <c r="F397" s="158">
        <v>2020</v>
      </c>
      <c r="G397" s="258" t="s">
        <v>16</v>
      </c>
      <c r="H397" s="258">
        <v>200</v>
      </c>
      <c r="I397" s="258">
        <v>200</v>
      </c>
      <c r="J397" s="161"/>
      <c r="K397" s="161"/>
      <c r="L397" s="132" t="s">
        <v>330</v>
      </c>
    </row>
    <row r="398" ht="15" customHeight="1" spans="1:12">
      <c r="A398" s="44" t="s">
        <v>1986</v>
      </c>
      <c r="B398" s="258" t="s">
        <v>1040</v>
      </c>
      <c r="C398" s="5" t="s">
        <v>1987</v>
      </c>
      <c r="D398" s="283" t="s">
        <v>1988</v>
      </c>
      <c r="E398" s="158">
        <v>2020</v>
      </c>
      <c r="F398" s="158">
        <v>2020</v>
      </c>
      <c r="G398" s="258" t="s">
        <v>16</v>
      </c>
      <c r="H398" s="258">
        <v>200</v>
      </c>
      <c r="I398" s="258">
        <v>200</v>
      </c>
      <c r="J398" s="161"/>
      <c r="K398" s="161"/>
      <c r="L398" s="260" t="s">
        <v>330</v>
      </c>
    </row>
    <row r="399" ht="15" customHeight="1" spans="1:12">
      <c r="A399" s="44" t="s">
        <v>1989</v>
      </c>
      <c r="B399" s="258" t="s">
        <v>1040</v>
      </c>
      <c r="C399" s="5" t="s">
        <v>1990</v>
      </c>
      <c r="D399" s="283" t="s">
        <v>1991</v>
      </c>
      <c r="E399" s="158">
        <v>2020</v>
      </c>
      <c r="F399" s="158">
        <v>2020</v>
      </c>
      <c r="G399" s="258" t="s">
        <v>16</v>
      </c>
      <c r="H399" s="258">
        <v>200</v>
      </c>
      <c r="I399" s="258">
        <v>200</v>
      </c>
      <c r="J399" s="161"/>
      <c r="K399" s="161"/>
      <c r="L399" s="132" t="s">
        <v>330</v>
      </c>
    </row>
    <row r="400" ht="15" customHeight="1" spans="1:12">
      <c r="A400" s="44" t="s">
        <v>1992</v>
      </c>
      <c r="B400" s="258" t="s">
        <v>1040</v>
      </c>
      <c r="C400" s="5" t="s">
        <v>1993</v>
      </c>
      <c r="D400" s="283" t="s">
        <v>1994</v>
      </c>
      <c r="E400" s="158">
        <v>2020</v>
      </c>
      <c r="F400" s="158">
        <v>2020</v>
      </c>
      <c r="G400" s="258" t="s">
        <v>16</v>
      </c>
      <c r="H400" s="258">
        <v>200</v>
      </c>
      <c r="I400" s="258">
        <v>200</v>
      </c>
      <c r="J400" s="161"/>
      <c r="K400" s="161"/>
      <c r="L400" s="260" t="s">
        <v>330</v>
      </c>
    </row>
    <row r="401" ht="15" customHeight="1" spans="1:12">
      <c r="A401" s="44" t="s">
        <v>1995</v>
      </c>
      <c r="B401" s="258" t="s">
        <v>1040</v>
      </c>
      <c r="C401" s="5" t="s">
        <v>1996</v>
      </c>
      <c r="D401" s="283" t="s">
        <v>1997</v>
      </c>
      <c r="E401" s="158">
        <v>2020</v>
      </c>
      <c r="F401" s="158">
        <v>2020</v>
      </c>
      <c r="G401" s="258" t="s">
        <v>16</v>
      </c>
      <c r="H401" s="258">
        <v>200</v>
      </c>
      <c r="I401" s="258">
        <v>200</v>
      </c>
      <c r="J401" s="161"/>
      <c r="K401" s="161"/>
      <c r="L401" s="132" t="s">
        <v>330</v>
      </c>
    </row>
    <row r="402" ht="15" customHeight="1" spans="1:12">
      <c r="A402" s="44" t="s">
        <v>1998</v>
      </c>
      <c r="B402" s="258" t="s">
        <v>1040</v>
      </c>
      <c r="C402" s="5" t="s">
        <v>1999</v>
      </c>
      <c r="D402" s="283" t="s">
        <v>2000</v>
      </c>
      <c r="E402" s="158">
        <v>2020</v>
      </c>
      <c r="F402" s="158">
        <v>2020</v>
      </c>
      <c r="G402" s="258" t="s">
        <v>16</v>
      </c>
      <c r="H402" s="258">
        <v>200</v>
      </c>
      <c r="I402" s="258">
        <v>200</v>
      </c>
      <c r="J402" s="161"/>
      <c r="K402" s="161"/>
      <c r="L402" s="260" t="s">
        <v>330</v>
      </c>
    </row>
    <row r="403" ht="15" customHeight="1" spans="1:12">
      <c r="A403" s="44" t="s">
        <v>2001</v>
      </c>
      <c r="B403" s="258" t="s">
        <v>1040</v>
      </c>
      <c r="C403" s="5" t="s">
        <v>2002</v>
      </c>
      <c r="D403" s="283" t="s">
        <v>2003</v>
      </c>
      <c r="E403" s="158">
        <v>2020</v>
      </c>
      <c r="F403" s="158">
        <v>2020</v>
      </c>
      <c r="G403" s="258" t="s">
        <v>16</v>
      </c>
      <c r="H403" s="258">
        <v>200</v>
      </c>
      <c r="I403" s="258">
        <v>200</v>
      </c>
      <c r="J403" s="161"/>
      <c r="K403" s="161"/>
      <c r="L403" s="260" t="s">
        <v>330</v>
      </c>
    </row>
    <row r="404" ht="15" customHeight="1" spans="1:12">
      <c r="A404" s="44" t="s">
        <v>2004</v>
      </c>
      <c r="B404" s="258" t="s">
        <v>1040</v>
      </c>
      <c r="C404" s="5" t="s">
        <v>2005</v>
      </c>
      <c r="D404" s="283" t="s">
        <v>2006</v>
      </c>
      <c r="E404" s="158">
        <v>2020</v>
      </c>
      <c r="F404" s="158">
        <v>2020</v>
      </c>
      <c r="G404" s="258" t="s">
        <v>16</v>
      </c>
      <c r="H404" s="258">
        <v>700</v>
      </c>
      <c r="I404" s="258">
        <v>700</v>
      </c>
      <c r="J404" s="161"/>
      <c r="K404" s="161"/>
      <c r="L404" s="132" t="s">
        <v>330</v>
      </c>
    </row>
    <row r="405" ht="15" customHeight="1" spans="1:12">
      <c r="A405" s="44" t="s">
        <v>2007</v>
      </c>
      <c r="B405" s="258" t="s">
        <v>1040</v>
      </c>
      <c r="C405" s="5" t="s">
        <v>2008</v>
      </c>
      <c r="D405" s="283" t="s">
        <v>2009</v>
      </c>
      <c r="E405" s="158">
        <v>2020</v>
      </c>
      <c r="F405" s="158">
        <v>2020</v>
      </c>
      <c r="G405" s="258" t="s">
        <v>16</v>
      </c>
      <c r="H405" s="258">
        <v>700</v>
      </c>
      <c r="I405" s="258">
        <v>700</v>
      </c>
      <c r="J405" s="161"/>
      <c r="K405" s="161"/>
      <c r="L405" s="260" t="s">
        <v>330</v>
      </c>
    </row>
    <row r="406" ht="15" customHeight="1" spans="1:12">
      <c r="A406" s="44" t="s">
        <v>2010</v>
      </c>
      <c r="B406" s="258" t="s">
        <v>1040</v>
      </c>
      <c r="C406" s="5" t="s">
        <v>2011</v>
      </c>
      <c r="D406" s="283" t="s">
        <v>2012</v>
      </c>
      <c r="E406" s="158">
        <v>2020</v>
      </c>
      <c r="F406" s="158">
        <v>2020</v>
      </c>
      <c r="G406" s="258" t="s">
        <v>16</v>
      </c>
      <c r="H406" s="258">
        <v>200</v>
      </c>
      <c r="I406" s="258">
        <v>200</v>
      </c>
      <c r="J406" s="161"/>
      <c r="K406" s="161"/>
      <c r="L406" s="132" t="s">
        <v>330</v>
      </c>
    </row>
    <row r="407" ht="15" customHeight="1" spans="1:12">
      <c r="A407" s="44" t="s">
        <v>2013</v>
      </c>
      <c r="B407" s="258" t="s">
        <v>1040</v>
      </c>
      <c r="C407" s="5" t="s">
        <v>2014</v>
      </c>
      <c r="D407" s="283" t="s">
        <v>2015</v>
      </c>
      <c r="E407" s="158">
        <v>2020</v>
      </c>
      <c r="F407" s="158">
        <v>2020</v>
      </c>
      <c r="G407" s="258" t="s">
        <v>16</v>
      </c>
      <c r="H407" s="258">
        <v>200</v>
      </c>
      <c r="I407" s="258">
        <v>200</v>
      </c>
      <c r="J407" s="161"/>
      <c r="K407" s="161"/>
      <c r="L407" s="260" t="s">
        <v>330</v>
      </c>
    </row>
    <row r="408" ht="15" customHeight="1" spans="1:12">
      <c r="A408" s="44" t="s">
        <v>2016</v>
      </c>
      <c r="B408" s="258" t="s">
        <v>1040</v>
      </c>
      <c r="C408" s="5" t="s">
        <v>2017</v>
      </c>
      <c r="D408" s="283" t="s">
        <v>2018</v>
      </c>
      <c r="E408" s="158">
        <v>2020</v>
      </c>
      <c r="F408" s="158">
        <v>2020</v>
      </c>
      <c r="G408" s="258" t="s">
        <v>16</v>
      </c>
      <c r="H408" s="258">
        <v>200</v>
      </c>
      <c r="I408" s="258">
        <v>200</v>
      </c>
      <c r="J408" s="161"/>
      <c r="K408" s="161"/>
      <c r="L408" s="132" t="s">
        <v>330</v>
      </c>
    </row>
    <row r="409" ht="15" customHeight="1" spans="1:12">
      <c r="A409" s="44" t="s">
        <v>2019</v>
      </c>
      <c r="B409" s="258" t="s">
        <v>1040</v>
      </c>
      <c r="C409" s="5" t="s">
        <v>2020</v>
      </c>
      <c r="D409" s="283" t="s">
        <v>2021</v>
      </c>
      <c r="E409" s="158">
        <v>2020</v>
      </c>
      <c r="F409" s="158">
        <v>2020</v>
      </c>
      <c r="G409" s="258" t="s">
        <v>16</v>
      </c>
      <c r="H409" s="258">
        <v>200</v>
      </c>
      <c r="I409" s="258">
        <v>200</v>
      </c>
      <c r="J409" s="161"/>
      <c r="K409" s="161"/>
      <c r="L409" s="260" t="s">
        <v>330</v>
      </c>
    </row>
    <row r="410" ht="15" customHeight="1" spans="1:12">
      <c r="A410" s="44" t="s">
        <v>2022</v>
      </c>
      <c r="B410" s="258" t="s">
        <v>1040</v>
      </c>
      <c r="C410" s="5" t="s">
        <v>2023</v>
      </c>
      <c r="D410" s="283" t="s">
        <v>2024</v>
      </c>
      <c r="E410" s="158">
        <v>2020</v>
      </c>
      <c r="F410" s="158">
        <v>2020</v>
      </c>
      <c r="G410" s="258" t="s">
        <v>16</v>
      </c>
      <c r="H410" s="258">
        <v>200</v>
      </c>
      <c r="I410" s="258">
        <v>200</v>
      </c>
      <c r="J410" s="161"/>
      <c r="K410" s="161"/>
      <c r="L410" s="260" t="s">
        <v>330</v>
      </c>
    </row>
    <row r="411" ht="15" customHeight="1" spans="1:12">
      <c r="A411" s="44" t="s">
        <v>2025</v>
      </c>
      <c r="B411" s="258" t="s">
        <v>1040</v>
      </c>
      <c r="C411" s="5" t="s">
        <v>2026</v>
      </c>
      <c r="D411" s="283" t="s">
        <v>2027</v>
      </c>
      <c r="E411" s="158">
        <v>2020</v>
      </c>
      <c r="F411" s="158">
        <v>2020</v>
      </c>
      <c r="G411" s="258" t="s">
        <v>16</v>
      </c>
      <c r="H411" s="258">
        <v>200</v>
      </c>
      <c r="I411" s="258">
        <v>200</v>
      </c>
      <c r="J411" s="161"/>
      <c r="K411" s="161"/>
      <c r="L411" s="132" t="s">
        <v>330</v>
      </c>
    </row>
    <row r="412" ht="15" customHeight="1" spans="1:12">
      <c r="A412" s="44" t="s">
        <v>2028</v>
      </c>
      <c r="B412" s="258" t="s">
        <v>1040</v>
      </c>
      <c r="C412" s="5" t="s">
        <v>2029</v>
      </c>
      <c r="D412" s="283" t="s">
        <v>2030</v>
      </c>
      <c r="E412" s="158">
        <v>2020</v>
      </c>
      <c r="F412" s="158">
        <v>2020</v>
      </c>
      <c r="G412" s="258" t="s">
        <v>16</v>
      </c>
      <c r="H412" s="258">
        <v>200</v>
      </c>
      <c r="I412" s="258">
        <v>200</v>
      </c>
      <c r="J412" s="161"/>
      <c r="K412" s="161"/>
      <c r="L412" s="260" t="s">
        <v>330</v>
      </c>
    </row>
    <row r="413" ht="15" customHeight="1" spans="1:12">
      <c r="A413" s="44" t="s">
        <v>2031</v>
      </c>
      <c r="B413" s="258" t="s">
        <v>1040</v>
      </c>
      <c r="C413" s="5" t="s">
        <v>2032</v>
      </c>
      <c r="D413" s="283" t="s">
        <v>2033</v>
      </c>
      <c r="E413" s="158">
        <v>2020</v>
      </c>
      <c r="F413" s="158">
        <v>2020</v>
      </c>
      <c r="G413" s="258" t="s">
        <v>16</v>
      </c>
      <c r="H413" s="258">
        <v>200</v>
      </c>
      <c r="I413" s="258">
        <v>200</v>
      </c>
      <c r="J413" s="161"/>
      <c r="K413" s="161"/>
      <c r="L413" s="132" t="s">
        <v>330</v>
      </c>
    </row>
    <row r="414" ht="15" customHeight="1" spans="1:12">
      <c r="A414" s="44" t="s">
        <v>2034</v>
      </c>
      <c r="B414" s="258" t="s">
        <v>1040</v>
      </c>
      <c r="C414" s="5" t="s">
        <v>2035</v>
      </c>
      <c r="D414" s="283" t="s">
        <v>2036</v>
      </c>
      <c r="E414" s="158">
        <v>2020</v>
      </c>
      <c r="F414" s="158">
        <v>2020</v>
      </c>
      <c r="G414" s="258" t="s">
        <v>16</v>
      </c>
      <c r="H414" s="258">
        <v>200</v>
      </c>
      <c r="I414" s="258">
        <v>200</v>
      </c>
      <c r="J414" s="161"/>
      <c r="K414" s="161"/>
      <c r="L414" s="260" t="s">
        <v>330</v>
      </c>
    </row>
    <row r="415" ht="15" customHeight="1" spans="1:12">
      <c r="A415" s="44" t="s">
        <v>2037</v>
      </c>
      <c r="B415" s="258" t="s">
        <v>1040</v>
      </c>
      <c r="C415" s="5" t="s">
        <v>2038</v>
      </c>
      <c r="D415" s="283" t="s">
        <v>2039</v>
      </c>
      <c r="E415" s="158">
        <v>2020</v>
      </c>
      <c r="F415" s="158">
        <v>2020</v>
      </c>
      <c r="G415" s="258" t="s">
        <v>16</v>
      </c>
      <c r="H415" s="102">
        <v>3000</v>
      </c>
      <c r="I415" s="102">
        <v>3000</v>
      </c>
      <c r="J415" s="161"/>
      <c r="K415" s="161"/>
      <c r="L415" s="132" t="s">
        <v>330</v>
      </c>
    </row>
    <row r="416" ht="15" customHeight="1" spans="1:12">
      <c r="A416" s="44" t="s">
        <v>2040</v>
      </c>
      <c r="B416" s="258" t="s">
        <v>1040</v>
      </c>
      <c r="C416" s="5" t="s">
        <v>2041</v>
      </c>
      <c r="D416" s="283" t="s">
        <v>2042</v>
      </c>
      <c r="E416" s="158">
        <v>2020</v>
      </c>
      <c r="F416" s="158">
        <v>2020</v>
      </c>
      <c r="G416" s="258" t="s">
        <v>16</v>
      </c>
      <c r="H416" s="102">
        <v>3000</v>
      </c>
      <c r="I416" s="102">
        <v>3000</v>
      </c>
      <c r="J416" s="161"/>
      <c r="K416" s="161"/>
      <c r="L416" s="260" t="s">
        <v>330</v>
      </c>
    </row>
    <row r="417" ht="15" customHeight="1" spans="1:12">
      <c r="A417" s="44" t="s">
        <v>2043</v>
      </c>
      <c r="B417" s="258" t="s">
        <v>1040</v>
      </c>
      <c r="C417" s="5" t="s">
        <v>2044</v>
      </c>
      <c r="D417" s="283" t="s">
        <v>2045</v>
      </c>
      <c r="E417" s="158">
        <v>2020</v>
      </c>
      <c r="F417" s="158">
        <v>2020</v>
      </c>
      <c r="G417" s="258" t="s">
        <v>16</v>
      </c>
      <c r="H417" s="258">
        <v>200</v>
      </c>
      <c r="I417" s="258">
        <v>200</v>
      </c>
      <c r="J417" s="161"/>
      <c r="K417" s="161"/>
      <c r="L417" s="260" t="s">
        <v>330</v>
      </c>
    </row>
    <row r="418" ht="15" customHeight="1" spans="1:12">
      <c r="A418" s="44" t="s">
        <v>2046</v>
      </c>
      <c r="B418" s="258" t="s">
        <v>1040</v>
      </c>
      <c r="C418" s="5" t="s">
        <v>2047</v>
      </c>
      <c r="D418" s="283" t="s">
        <v>2048</v>
      </c>
      <c r="E418" s="158">
        <v>2020</v>
      </c>
      <c r="F418" s="158">
        <v>2020</v>
      </c>
      <c r="G418" s="258" t="s">
        <v>16</v>
      </c>
      <c r="H418" s="258">
        <v>200</v>
      </c>
      <c r="I418" s="258">
        <v>200</v>
      </c>
      <c r="J418" s="161"/>
      <c r="K418" s="161"/>
      <c r="L418" s="132" t="s">
        <v>330</v>
      </c>
    </row>
    <row r="419" ht="15" customHeight="1" spans="1:12">
      <c r="A419" s="44" t="s">
        <v>2049</v>
      </c>
      <c r="B419" s="258" t="s">
        <v>1040</v>
      </c>
      <c r="C419" s="5" t="s">
        <v>2050</v>
      </c>
      <c r="D419" s="283" t="s">
        <v>2051</v>
      </c>
      <c r="E419" s="158">
        <v>2020</v>
      </c>
      <c r="F419" s="158">
        <v>2020</v>
      </c>
      <c r="G419" s="258" t="s">
        <v>16</v>
      </c>
      <c r="H419" s="258">
        <v>200</v>
      </c>
      <c r="I419" s="258">
        <v>200</v>
      </c>
      <c r="J419" s="161"/>
      <c r="K419" s="161"/>
      <c r="L419" s="260" t="s">
        <v>330</v>
      </c>
    </row>
    <row r="420" ht="15" customHeight="1" spans="1:12">
      <c r="A420" s="44" t="s">
        <v>2052</v>
      </c>
      <c r="B420" s="258" t="s">
        <v>1040</v>
      </c>
      <c r="C420" s="5" t="s">
        <v>2053</v>
      </c>
      <c r="D420" s="283" t="s">
        <v>2054</v>
      </c>
      <c r="E420" s="158">
        <v>2020</v>
      </c>
      <c r="F420" s="158">
        <v>2020</v>
      </c>
      <c r="G420" s="258" t="s">
        <v>16</v>
      </c>
      <c r="H420" s="258">
        <v>200</v>
      </c>
      <c r="I420" s="258">
        <v>200</v>
      </c>
      <c r="J420" s="161"/>
      <c r="K420" s="161"/>
      <c r="L420" s="132" t="s">
        <v>330</v>
      </c>
    </row>
    <row r="421" ht="15" customHeight="1" spans="1:12">
      <c r="A421" s="44" t="s">
        <v>2055</v>
      </c>
      <c r="B421" s="258" t="s">
        <v>1040</v>
      </c>
      <c r="C421" s="5" t="s">
        <v>2056</v>
      </c>
      <c r="D421" s="283" t="s">
        <v>2057</v>
      </c>
      <c r="E421" s="158">
        <v>2020</v>
      </c>
      <c r="F421" s="158">
        <v>2020</v>
      </c>
      <c r="G421" s="258" t="s">
        <v>16</v>
      </c>
      <c r="H421" s="258">
        <v>200</v>
      </c>
      <c r="I421" s="258">
        <v>200</v>
      </c>
      <c r="J421" s="161"/>
      <c r="K421" s="161"/>
      <c r="L421" s="260" t="s">
        <v>330</v>
      </c>
    </row>
    <row r="422" ht="15" customHeight="1" spans="1:12">
      <c r="A422" s="44" t="s">
        <v>2058</v>
      </c>
      <c r="B422" s="258" t="s">
        <v>1040</v>
      </c>
      <c r="C422" s="5" t="s">
        <v>2059</v>
      </c>
      <c r="D422" s="283" t="s">
        <v>2060</v>
      </c>
      <c r="E422" s="158">
        <v>2020</v>
      </c>
      <c r="F422" s="158">
        <v>2020</v>
      </c>
      <c r="G422" s="258" t="s">
        <v>16</v>
      </c>
      <c r="H422" s="258">
        <v>200</v>
      </c>
      <c r="I422" s="258">
        <v>200</v>
      </c>
      <c r="J422" s="161"/>
      <c r="K422" s="161"/>
      <c r="L422" s="132" t="s">
        <v>330</v>
      </c>
    </row>
    <row r="423" ht="15" customHeight="1" spans="1:12">
      <c r="A423" s="44" t="s">
        <v>2061</v>
      </c>
      <c r="B423" s="258" t="s">
        <v>1040</v>
      </c>
      <c r="C423" s="5" t="s">
        <v>2062</v>
      </c>
      <c r="D423" s="283" t="s">
        <v>2063</v>
      </c>
      <c r="E423" s="158">
        <v>2020</v>
      </c>
      <c r="F423" s="158">
        <v>2020</v>
      </c>
      <c r="G423" s="258" t="s">
        <v>16</v>
      </c>
      <c r="H423" s="258">
        <v>200</v>
      </c>
      <c r="I423" s="258">
        <v>200</v>
      </c>
      <c r="J423" s="161"/>
      <c r="K423" s="161"/>
      <c r="L423" s="260" t="s">
        <v>330</v>
      </c>
    </row>
    <row r="424" ht="15" customHeight="1" spans="1:12">
      <c r="A424" s="44" t="s">
        <v>2064</v>
      </c>
      <c r="B424" s="258" t="s">
        <v>1040</v>
      </c>
      <c r="C424" s="5" t="s">
        <v>2065</v>
      </c>
      <c r="D424" s="5" t="s">
        <v>2066</v>
      </c>
      <c r="E424" s="158">
        <v>2020</v>
      </c>
      <c r="F424" s="158">
        <v>2020</v>
      </c>
      <c r="G424" s="258" t="s">
        <v>16</v>
      </c>
      <c r="H424" s="258">
        <v>200</v>
      </c>
      <c r="I424" s="258">
        <v>200</v>
      </c>
      <c r="J424" s="161"/>
      <c r="K424" s="161"/>
      <c r="L424" s="260" t="s">
        <v>330</v>
      </c>
    </row>
    <row r="425" ht="15" customHeight="1" spans="1:12">
      <c r="A425" s="44" t="s">
        <v>2067</v>
      </c>
      <c r="B425" s="258" t="s">
        <v>1040</v>
      </c>
      <c r="C425" s="5" t="s">
        <v>2068</v>
      </c>
      <c r="D425" s="283" t="s">
        <v>2069</v>
      </c>
      <c r="E425" s="158">
        <v>2020</v>
      </c>
      <c r="F425" s="158">
        <v>2020</v>
      </c>
      <c r="G425" s="258" t="s">
        <v>16</v>
      </c>
      <c r="H425" s="258">
        <v>200</v>
      </c>
      <c r="I425" s="258">
        <v>200</v>
      </c>
      <c r="J425" s="161"/>
      <c r="K425" s="161"/>
      <c r="L425" s="132" t="s">
        <v>330</v>
      </c>
    </row>
    <row r="426" ht="15" customHeight="1" spans="1:12">
      <c r="A426" s="44" t="s">
        <v>2070</v>
      </c>
      <c r="B426" s="258" t="s">
        <v>1040</v>
      </c>
      <c r="C426" s="5" t="s">
        <v>2071</v>
      </c>
      <c r="D426" s="283" t="s">
        <v>2072</v>
      </c>
      <c r="E426" s="158">
        <v>2020</v>
      </c>
      <c r="F426" s="158">
        <v>2020</v>
      </c>
      <c r="G426" s="258" t="s">
        <v>16</v>
      </c>
      <c r="H426" s="258">
        <v>200</v>
      </c>
      <c r="I426" s="258">
        <v>200</v>
      </c>
      <c r="J426" s="161"/>
      <c r="K426" s="161"/>
      <c r="L426" s="260" t="s">
        <v>330</v>
      </c>
    </row>
    <row r="427" ht="15" customHeight="1" spans="1:12">
      <c r="A427" s="44" t="s">
        <v>2073</v>
      </c>
      <c r="B427" s="29" t="s">
        <v>1040</v>
      </c>
      <c r="C427" s="5" t="s">
        <v>2074</v>
      </c>
      <c r="D427" s="283" t="s">
        <v>2075</v>
      </c>
      <c r="E427" s="30">
        <v>2020</v>
      </c>
      <c r="F427" s="30">
        <v>2020</v>
      </c>
      <c r="G427" s="29" t="s">
        <v>16</v>
      </c>
      <c r="H427" s="29">
        <v>200</v>
      </c>
      <c r="I427" s="29">
        <v>200</v>
      </c>
      <c r="J427" s="161"/>
      <c r="K427" s="161"/>
      <c r="L427" s="132" t="s">
        <v>330</v>
      </c>
    </row>
    <row r="428" ht="15" customHeight="1" spans="1:12">
      <c r="A428" s="44" t="s">
        <v>2076</v>
      </c>
      <c r="B428" s="29" t="s">
        <v>1040</v>
      </c>
      <c r="C428" s="5" t="s">
        <v>2077</v>
      </c>
      <c r="D428" s="283" t="s">
        <v>2078</v>
      </c>
      <c r="E428" s="30">
        <v>2020</v>
      </c>
      <c r="F428" s="30">
        <v>2020</v>
      </c>
      <c r="G428" s="29" t="s">
        <v>16</v>
      </c>
      <c r="H428" s="29">
        <v>200</v>
      </c>
      <c r="I428" s="29">
        <v>200</v>
      </c>
      <c r="J428" s="32"/>
      <c r="K428" s="32"/>
      <c r="L428" s="260" t="s">
        <v>330</v>
      </c>
    </row>
    <row r="429" ht="15" customHeight="1" spans="1:12">
      <c r="A429" s="44" t="s">
        <v>2079</v>
      </c>
      <c r="B429" s="258" t="s">
        <v>1040</v>
      </c>
      <c r="C429" s="5" t="s">
        <v>2080</v>
      </c>
      <c r="D429" s="283" t="s">
        <v>2081</v>
      </c>
      <c r="E429" s="158">
        <v>2020</v>
      </c>
      <c r="F429" s="158">
        <v>2020</v>
      </c>
      <c r="G429" s="258" t="s">
        <v>16</v>
      </c>
      <c r="H429" s="258">
        <v>200</v>
      </c>
      <c r="I429" s="258">
        <v>200</v>
      </c>
      <c r="J429" s="32"/>
      <c r="K429" s="32"/>
      <c r="L429" s="132" t="s">
        <v>330</v>
      </c>
    </row>
    <row r="430" ht="15" customHeight="1" spans="1:12">
      <c r="A430" s="44" t="s">
        <v>2082</v>
      </c>
      <c r="B430" s="258" t="s">
        <v>1040</v>
      </c>
      <c r="C430" s="5" t="s">
        <v>2083</v>
      </c>
      <c r="D430" s="283" t="s">
        <v>2084</v>
      </c>
      <c r="E430" s="158">
        <v>2020</v>
      </c>
      <c r="F430" s="158">
        <v>2020</v>
      </c>
      <c r="G430" s="258" t="s">
        <v>16</v>
      </c>
      <c r="H430" s="258">
        <v>200</v>
      </c>
      <c r="I430" s="258">
        <v>200</v>
      </c>
      <c r="J430" s="161"/>
      <c r="K430" s="161"/>
      <c r="L430" s="260" t="s">
        <v>330</v>
      </c>
    </row>
    <row r="431" ht="15" customHeight="1" spans="1:12">
      <c r="A431" s="44" t="s">
        <v>2085</v>
      </c>
      <c r="B431" s="258" t="s">
        <v>1040</v>
      </c>
      <c r="C431" s="5" t="s">
        <v>2086</v>
      </c>
      <c r="D431" s="283" t="s">
        <v>2087</v>
      </c>
      <c r="E431" s="158">
        <v>2020</v>
      </c>
      <c r="F431" s="158">
        <v>2020</v>
      </c>
      <c r="G431" s="258" t="s">
        <v>16</v>
      </c>
      <c r="H431" s="258">
        <v>200</v>
      </c>
      <c r="I431" s="258">
        <v>200</v>
      </c>
      <c r="J431" s="161"/>
      <c r="K431" s="161"/>
      <c r="L431" s="260" t="s">
        <v>330</v>
      </c>
    </row>
    <row r="432" ht="15" customHeight="1" spans="1:12">
      <c r="A432" s="44" t="s">
        <v>2088</v>
      </c>
      <c r="B432" s="258" t="s">
        <v>1040</v>
      </c>
      <c r="C432" s="5" t="s">
        <v>2089</v>
      </c>
      <c r="D432" s="283" t="s">
        <v>2090</v>
      </c>
      <c r="E432" s="158">
        <v>2020</v>
      </c>
      <c r="F432" s="158">
        <v>2020</v>
      </c>
      <c r="G432" s="258" t="s">
        <v>16</v>
      </c>
      <c r="H432" s="258">
        <v>200</v>
      </c>
      <c r="I432" s="258">
        <v>200</v>
      </c>
      <c r="J432" s="161"/>
      <c r="K432" s="161"/>
      <c r="L432" s="132" t="s">
        <v>330</v>
      </c>
    </row>
    <row r="433" ht="15" customHeight="1" spans="1:12">
      <c r="A433" s="44" t="s">
        <v>2091</v>
      </c>
      <c r="B433" s="258" t="s">
        <v>1040</v>
      </c>
      <c r="C433" s="5" t="s">
        <v>2092</v>
      </c>
      <c r="D433" s="283" t="s">
        <v>2093</v>
      </c>
      <c r="E433" s="158">
        <v>2020</v>
      </c>
      <c r="F433" s="158">
        <v>2020</v>
      </c>
      <c r="G433" s="258" t="s">
        <v>16</v>
      </c>
      <c r="H433" s="258">
        <v>200</v>
      </c>
      <c r="I433" s="258">
        <v>200</v>
      </c>
      <c r="J433" s="161"/>
      <c r="K433" s="161"/>
      <c r="L433" s="260" t="s">
        <v>330</v>
      </c>
    </row>
    <row r="434" ht="15" customHeight="1" spans="1:12">
      <c r="A434" s="44" t="s">
        <v>2094</v>
      </c>
      <c r="B434" s="258" t="s">
        <v>1040</v>
      </c>
      <c r="C434" s="5" t="s">
        <v>2095</v>
      </c>
      <c r="D434" s="283" t="s">
        <v>2096</v>
      </c>
      <c r="E434" s="158">
        <v>2020</v>
      </c>
      <c r="F434" s="158">
        <v>2020</v>
      </c>
      <c r="G434" s="258" t="s">
        <v>16</v>
      </c>
      <c r="H434" s="258">
        <v>200</v>
      </c>
      <c r="I434" s="258">
        <v>200</v>
      </c>
      <c r="J434" s="161"/>
      <c r="K434" s="161"/>
      <c r="L434" s="132" t="s">
        <v>330</v>
      </c>
    </row>
    <row r="435" ht="15" customHeight="1" spans="1:12">
      <c r="A435" s="44" t="s">
        <v>2097</v>
      </c>
      <c r="B435" s="29" t="s">
        <v>1040</v>
      </c>
      <c r="C435" s="5" t="s">
        <v>2098</v>
      </c>
      <c r="D435" s="283" t="s">
        <v>2099</v>
      </c>
      <c r="E435" s="30">
        <v>2020</v>
      </c>
      <c r="F435" s="30">
        <v>2020</v>
      </c>
      <c r="G435" s="29" t="s">
        <v>16</v>
      </c>
      <c r="H435" s="29">
        <v>200</v>
      </c>
      <c r="I435" s="29">
        <v>200</v>
      </c>
      <c r="J435" s="161"/>
      <c r="K435" s="161"/>
      <c r="L435" s="260" t="s">
        <v>330</v>
      </c>
    </row>
    <row r="436" ht="15" customHeight="1" spans="1:12">
      <c r="A436" s="44" t="s">
        <v>2100</v>
      </c>
      <c r="B436" s="29" t="s">
        <v>1040</v>
      </c>
      <c r="C436" s="5" t="s">
        <v>2101</v>
      </c>
      <c r="D436" s="283" t="s">
        <v>2102</v>
      </c>
      <c r="E436" s="30">
        <v>2020</v>
      </c>
      <c r="F436" s="30">
        <v>2020</v>
      </c>
      <c r="G436" s="29" t="s">
        <v>16</v>
      </c>
      <c r="H436" s="29">
        <v>200</v>
      </c>
      <c r="I436" s="29">
        <v>200</v>
      </c>
      <c r="J436" s="32"/>
      <c r="K436" s="32"/>
      <c r="L436" s="132" t="s">
        <v>330</v>
      </c>
    </row>
    <row r="437" ht="15" customHeight="1" spans="1:12">
      <c r="A437" s="44" t="s">
        <v>2103</v>
      </c>
      <c r="B437" s="258" t="s">
        <v>1040</v>
      </c>
      <c r="C437" s="5" t="s">
        <v>2104</v>
      </c>
      <c r="D437" s="283" t="s">
        <v>2105</v>
      </c>
      <c r="E437" s="158">
        <v>2020</v>
      </c>
      <c r="F437" s="158">
        <v>2020</v>
      </c>
      <c r="G437" s="258" t="s">
        <v>16</v>
      </c>
      <c r="H437" s="258">
        <v>200</v>
      </c>
      <c r="I437" s="258">
        <v>200</v>
      </c>
      <c r="J437" s="32"/>
      <c r="K437" s="32"/>
      <c r="L437" s="260" t="s">
        <v>330</v>
      </c>
    </row>
    <row r="438" ht="15" customHeight="1" spans="1:12">
      <c r="A438" s="44" t="s">
        <v>2106</v>
      </c>
      <c r="B438" s="258" t="s">
        <v>1040</v>
      </c>
      <c r="C438" s="5" t="s">
        <v>2107</v>
      </c>
      <c r="D438" s="283" t="s">
        <v>2108</v>
      </c>
      <c r="E438" s="158">
        <v>2020</v>
      </c>
      <c r="F438" s="158">
        <v>2020</v>
      </c>
      <c r="G438" s="258" t="s">
        <v>16</v>
      </c>
      <c r="H438" s="258">
        <v>200</v>
      </c>
      <c r="I438" s="258">
        <v>200</v>
      </c>
      <c r="J438" s="161"/>
      <c r="K438" s="161"/>
      <c r="L438" s="260" t="s">
        <v>330</v>
      </c>
    </row>
    <row r="439" ht="15" customHeight="1" spans="1:12">
      <c r="A439" s="44" t="s">
        <v>2109</v>
      </c>
      <c r="B439" s="258" t="s">
        <v>1040</v>
      </c>
      <c r="C439" s="5" t="s">
        <v>2110</v>
      </c>
      <c r="D439" s="283" t="s">
        <v>2111</v>
      </c>
      <c r="E439" s="158">
        <v>2020</v>
      </c>
      <c r="F439" s="158">
        <v>2020</v>
      </c>
      <c r="G439" s="258" t="s">
        <v>16</v>
      </c>
      <c r="H439" s="258">
        <v>200</v>
      </c>
      <c r="I439" s="258">
        <v>200</v>
      </c>
      <c r="J439" s="161"/>
      <c r="K439" s="161"/>
      <c r="L439" s="132" t="s">
        <v>330</v>
      </c>
    </row>
    <row r="440" ht="15" customHeight="1" spans="1:12">
      <c r="A440" s="44" t="s">
        <v>2112</v>
      </c>
      <c r="B440" s="258" t="s">
        <v>1040</v>
      </c>
      <c r="C440" s="5" t="s">
        <v>2113</v>
      </c>
      <c r="D440" s="283" t="s">
        <v>2114</v>
      </c>
      <c r="E440" s="158">
        <v>2020</v>
      </c>
      <c r="F440" s="158">
        <v>2020</v>
      </c>
      <c r="G440" s="258" t="s">
        <v>16</v>
      </c>
      <c r="H440" s="258">
        <v>200</v>
      </c>
      <c r="I440" s="258">
        <v>200</v>
      </c>
      <c r="J440" s="161"/>
      <c r="K440" s="161"/>
      <c r="L440" s="260" t="s">
        <v>330</v>
      </c>
    </row>
    <row r="441" ht="15" customHeight="1" spans="1:12">
      <c r="A441" s="44" t="s">
        <v>2115</v>
      </c>
      <c r="B441" s="258" t="s">
        <v>1040</v>
      </c>
      <c r="C441" s="5" t="s">
        <v>884</v>
      </c>
      <c r="D441" s="283" t="s">
        <v>2116</v>
      </c>
      <c r="E441" s="158">
        <v>2020</v>
      </c>
      <c r="F441" s="158">
        <v>2020</v>
      </c>
      <c r="G441" s="258" t="s">
        <v>16</v>
      </c>
      <c r="H441" s="258">
        <v>200</v>
      </c>
      <c r="I441" s="258">
        <v>200</v>
      </c>
      <c r="J441" s="161"/>
      <c r="K441" s="161"/>
      <c r="L441" s="132" t="s">
        <v>330</v>
      </c>
    </row>
    <row r="442" ht="15" customHeight="1" spans="1:12">
      <c r="A442" s="44" t="s">
        <v>2117</v>
      </c>
      <c r="B442" s="258" t="s">
        <v>1040</v>
      </c>
      <c r="C442" s="5" t="s">
        <v>2118</v>
      </c>
      <c r="D442" s="283" t="s">
        <v>2119</v>
      </c>
      <c r="E442" s="158">
        <v>2020</v>
      </c>
      <c r="F442" s="158">
        <v>2020</v>
      </c>
      <c r="G442" s="258" t="s">
        <v>16</v>
      </c>
      <c r="H442" s="258">
        <v>200</v>
      </c>
      <c r="I442" s="258">
        <v>200</v>
      </c>
      <c r="J442" s="161"/>
      <c r="K442" s="161"/>
      <c r="L442" s="260" t="s">
        <v>330</v>
      </c>
    </row>
    <row r="443" ht="15" customHeight="1" spans="1:12">
      <c r="A443" s="44" t="s">
        <v>2120</v>
      </c>
      <c r="B443" s="258" t="s">
        <v>1040</v>
      </c>
      <c r="C443" s="5" t="s">
        <v>2121</v>
      </c>
      <c r="D443" s="283" t="s">
        <v>2122</v>
      </c>
      <c r="E443" s="158">
        <v>2020</v>
      </c>
      <c r="F443" s="158">
        <v>2020</v>
      </c>
      <c r="G443" s="258" t="s">
        <v>16</v>
      </c>
      <c r="H443" s="258">
        <v>200</v>
      </c>
      <c r="I443" s="258">
        <v>200</v>
      </c>
      <c r="J443" s="161"/>
      <c r="K443" s="161"/>
      <c r="L443" s="132" t="s">
        <v>330</v>
      </c>
    </row>
    <row r="444" ht="15" customHeight="1" spans="1:12">
      <c r="A444" s="44" t="s">
        <v>2123</v>
      </c>
      <c r="B444" s="258" t="s">
        <v>1040</v>
      </c>
      <c r="C444" s="5" t="s">
        <v>2124</v>
      </c>
      <c r="D444" s="283" t="s">
        <v>2125</v>
      </c>
      <c r="E444" s="158">
        <v>2020</v>
      </c>
      <c r="F444" s="158">
        <v>2020</v>
      </c>
      <c r="G444" s="258" t="s">
        <v>16</v>
      </c>
      <c r="H444" s="258">
        <v>200</v>
      </c>
      <c r="I444" s="258">
        <v>200</v>
      </c>
      <c r="J444" s="161"/>
      <c r="K444" s="161"/>
      <c r="L444" s="260" t="s">
        <v>330</v>
      </c>
    </row>
    <row r="445" ht="15" customHeight="1" spans="1:12">
      <c r="A445" s="44" t="s">
        <v>2126</v>
      </c>
      <c r="B445" s="258" t="s">
        <v>1040</v>
      </c>
      <c r="C445" s="5" t="s">
        <v>2127</v>
      </c>
      <c r="D445" s="283" t="s">
        <v>2128</v>
      </c>
      <c r="E445" s="158">
        <v>2020</v>
      </c>
      <c r="F445" s="158">
        <v>2020</v>
      </c>
      <c r="G445" s="258" t="s">
        <v>16</v>
      </c>
      <c r="H445" s="258">
        <v>200</v>
      </c>
      <c r="I445" s="258">
        <v>200</v>
      </c>
      <c r="J445" s="161"/>
      <c r="K445" s="161"/>
      <c r="L445" s="260" t="s">
        <v>330</v>
      </c>
    </row>
    <row r="446" ht="15" customHeight="1" spans="1:12">
      <c r="A446" s="44" t="s">
        <v>2129</v>
      </c>
      <c r="B446" s="258" t="s">
        <v>1040</v>
      </c>
      <c r="C446" s="5" t="s">
        <v>2130</v>
      </c>
      <c r="D446" s="283" t="s">
        <v>2131</v>
      </c>
      <c r="E446" s="158">
        <v>2020</v>
      </c>
      <c r="F446" s="158">
        <v>2020</v>
      </c>
      <c r="G446" s="258" t="s">
        <v>16</v>
      </c>
      <c r="H446" s="258">
        <v>200</v>
      </c>
      <c r="I446" s="258">
        <v>200</v>
      </c>
      <c r="J446" s="161"/>
      <c r="K446" s="161"/>
      <c r="L446" s="132" t="s">
        <v>330</v>
      </c>
    </row>
    <row r="447" ht="15" customHeight="1" spans="1:12">
      <c r="A447" s="44" t="s">
        <v>2132</v>
      </c>
      <c r="B447" s="258" t="s">
        <v>1040</v>
      </c>
      <c r="C447" s="5" t="s">
        <v>2133</v>
      </c>
      <c r="D447" s="283" t="s">
        <v>2134</v>
      </c>
      <c r="E447" s="158">
        <v>2020</v>
      </c>
      <c r="F447" s="158">
        <v>2020</v>
      </c>
      <c r="G447" s="258" t="s">
        <v>16</v>
      </c>
      <c r="H447" s="258">
        <v>200</v>
      </c>
      <c r="I447" s="258">
        <v>200</v>
      </c>
      <c r="J447" s="161"/>
      <c r="K447" s="161"/>
      <c r="L447" s="260" t="s">
        <v>330</v>
      </c>
    </row>
    <row r="448" ht="15" customHeight="1" spans="1:12">
      <c r="A448" s="44" t="s">
        <v>2135</v>
      </c>
      <c r="B448" s="258" t="s">
        <v>1040</v>
      </c>
      <c r="C448" s="5" t="s">
        <v>2136</v>
      </c>
      <c r="D448" s="283" t="s">
        <v>2137</v>
      </c>
      <c r="E448" s="158">
        <v>2020</v>
      </c>
      <c r="F448" s="158">
        <v>2020</v>
      </c>
      <c r="G448" s="258" t="s">
        <v>16</v>
      </c>
      <c r="H448" s="258">
        <v>200</v>
      </c>
      <c r="I448" s="258">
        <v>200</v>
      </c>
      <c r="J448" s="161"/>
      <c r="K448" s="161"/>
      <c r="L448" s="132" t="s">
        <v>330</v>
      </c>
    </row>
    <row r="449" ht="15" customHeight="1" spans="1:12">
      <c r="A449" s="44" t="s">
        <v>2138</v>
      </c>
      <c r="B449" s="258" t="s">
        <v>1040</v>
      </c>
      <c r="C449" s="5" t="s">
        <v>2139</v>
      </c>
      <c r="D449" s="283" t="s">
        <v>2140</v>
      </c>
      <c r="E449" s="158">
        <v>2020</v>
      </c>
      <c r="F449" s="158">
        <v>2020</v>
      </c>
      <c r="G449" s="258" t="s">
        <v>16</v>
      </c>
      <c r="H449" s="258">
        <v>200</v>
      </c>
      <c r="I449" s="258">
        <v>200</v>
      </c>
      <c r="J449" s="161"/>
      <c r="K449" s="161"/>
      <c r="L449" s="260" t="s">
        <v>330</v>
      </c>
    </row>
    <row r="450" ht="15" customHeight="1" spans="1:12">
      <c r="A450" s="44" t="s">
        <v>2141</v>
      </c>
      <c r="B450" s="258" t="s">
        <v>1040</v>
      </c>
      <c r="C450" s="5" t="s">
        <v>2142</v>
      </c>
      <c r="D450" s="283" t="s">
        <v>2143</v>
      </c>
      <c r="E450" s="158">
        <v>2020</v>
      </c>
      <c r="F450" s="158">
        <v>2020</v>
      </c>
      <c r="G450" s="258" t="s">
        <v>16</v>
      </c>
      <c r="H450" s="258">
        <v>200</v>
      </c>
      <c r="I450" s="258">
        <v>200</v>
      </c>
      <c r="J450" s="161"/>
      <c r="K450" s="161"/>
      <c r="L450" s="132" t="s">
        <v>330</v>
      </c>
    </row>
    <row r="451" ht="15" customHeight="1" spans="1:12">
      <c r="A451" s="44" t="s">
        <v>2144</v>
      </c>
      <c r="B451" s="29" t="s">
        <v>1040</v>
      </c>
      <c r="C451" s="29" t="s">
        <v>2145</v>
      </c>
      <c r="D451" s="29" t="s">
        <v>2146</v>
      </c>
      <c r="E451" s="158">
        <v>2020</v>
      </c>
      <c r="F451" s="158">
        <v>2020</v>
      </c>
      <c r="G451" s="258" t="s">
        <v>16</v>
      </c>
      <c r="H451" s="258">
        <v>200</v>
      </c>
      <c r="I451" s="258">
        <v>200</v>
      </c>
      <c r="J451" s="161"/>
      <c r="K451" s="161"/>
      <c r="L451" s="260" t="s">
        <v>330</v>
      </c>
    </row>
    <row r="452" ht="15" customHeight="1" spans="1:12">
      <c r="A452" s="44" t="s">
        <v>2147</v>
      </c>
      <c r="B452" s="258" t="s">
        <v>1040</v>
      </c>
      <c r="C452" s="29" t="s">
        <v>2148</v>
      </c>
      <c r="D452" s="29" t="s">
        <v>2149</v>
      </c>
      <c r="E452" s="158">
        <v>2020</v>
      </c>
      <c r="F452" s="158">
        <v>2020</v>
      </c>
      <c r="G452" s="258" t="s">
        <v>16</v>
      </c>
      <c r="H452" s="258">
        <v>200</v>
      </c>
      <c r="I452" s="258">
        <v>200</v>
      </c>
      <c r="J452" s="32"/>
      <c r="K452" s="32"/>
      <c r="L452" s="260" t="s">
        <v>330</v>
      </c>
    </row>
    <row r="453" ht="15" customHeight="1" spans="1:12">
      <c r="A453" s="44" t="s">
        <v>2150</v>
      </c>
      <c r="B453" s="258" t="s">
        <v>1040</v>
      </c>
      <c r="C453" s="29" t="s">
        <v>2151</v>
      </c>
      <c r="D453" s="29" t="s">
        <v>2152</v>
      </c>
      <c r="E453" s="158">
        <v>2020</v>
      </c>
      <c r="F453" s="158">
        <v>2020</v>
      </c>
      <c r="G453" s="258" t="s">
        <v>16</v>
      </c>
      <c r="H453" s="258">
        <v>200</v>
      </c>
      <c r="I453" s="258">
        <v>200</v>
      </c>
      <c r="J453" s="161"/>
      <c r="K453" s="161"/>
      <c r="L453" s="132" t="s">
        <v>330</v>
      </c>
    </row>
    <row r="454" ht="15" customHeight="1" spans="1:12">
      <c r="A454" s="44" t="s">
        <v>2153</v>
      </c>
      <c r="B454" s="29" t="s">
        <v>1040</v>
      </c>
      <c r="C454" s="29" t="s">
        <v>2154</v>
      </c>
      <c r="D454" s="29" t="s">
        <v>2155</v>
      </c>
      <c r="E454" s="30">
        <v>2020</v>
      </c>
      <c r="F454" s="30">
        <v>2020</v>
      </c>
      <c r="G454" s="29" t="s">
        <v>16</v>
      </c>
      <c r="H454" s="29">
        <v>200</v>
      </c>
      <c r="I454" s="29">
        <v>200</v>
      </c>
      <c r="J454" s="161"/>
      <c r="K454" s="161"/>
      <c r="L454" s="260" t="s">
        <v>330</v>
      </c>
    </row>
    <row r="455" ht="15" customHeight="1" spans="1:12">
      <c r="A455" s="44" t="s">
        <v>2156</v>
      </c>
      <c r="B455" s="258" t="s">
        <v>1040</v>
      </c>
      <c r="C455" s="29" t="s">
        <v>2157</v>
      </c>
      <c r="D455" s="29" t="s">
        <v>2158</v>
      </c>
      <c r="E455" s="158">
        <v>2020</v>
      </c>
      <c r="F455" s="158">
        <v>2020</v>
      </c>
      <c r="G455" s="258" t="s">
        <v>16</v>
      </c>
      <c r="H455" s="258">
        <v>200</v>
      </c>
      <c r="I455" s="258">
        <v>200</v>
      </c>
      <c r="J455" s="32"/>
      <c r="K455" s="32"/>
      <c r="L455" s="132" t="s">
        <v>330</v>
      </c>
    </row>
    <row r="456" ht="15" customHeight="1" spans="1:12">
      <c r="A456" s="44" t="s">
        <v>2159</v>
      </c>
      <c r="B456" s="258" t="s">
        <v>1040</v>
      </c>
      <c r="C456" s="29" t="s">
        <v>2160</v>
      </c>
      <c r="D456" s="29" t="s">
        <v>2161</v>
      </c>
      <c r="E456" s="158">
        <v>2020</v>
      </c>
      <c r="F456" s="158">
        <v>2020</v>
      </c>
      <c r="G456" s="258" t="s">
        <v>16</v>
      </c>
      <c r="H456" s="258">
        <v>200</v>
      </c>
      <c r="I456" s="258">
        <v>200</v>
      </c>
      <c r="J456" s="161"/>
      <c r="K456" s="161"/>
      <c r="L456" s="260" t="s">
        <v>330</v>
      </c>
    </row>
    <row r="457" ht="15" customHeight="1" spans="1:12">
      <c r="A457" s="44" t="s">
        <v>2162</v>
      </c>
      <c r="B457" s="258" t="s">
        <v>1040</v>
      </c>
      <c r="C457" s="29" t="s">
        <v>2163</v>
      </c>
      <c r="D457" s="29" t="s">
        <v>2164</v>
      </c>
      <c r="E457" s="158">
        <v>2020</v>
      </c>
      <c r="F457" s="158">
        <v>2020</v>
      </c>
      <c r="G457" s="258" t="s">
        <v>16</v>
      </c>
      <c r="H457" s="258">
        <v>200</v>
      </c>
      <c r="I457" s="258">
        <v>200</v>
      </c>
      <c r="J457" s="161"/>
      <c r="K457" s="161"/>
      <c r="L457" s="132" t="s">
        <v>330</v>
      </c>
    </row>
    <row r="458" ht="15" customHeight="1" spans="1:12">
      <c r="A458" s="44" t="s">
        <v>2165</v>
      </c>
      <c r="B458" s="258" t="s">
        <v>1040</v>
      </c>
      <c r="C458" s="29" t="s">
        <v>1846</v>
      </c>
      <c r="D458" s="29" t="s">
        <v>2166</v>
      </c>
      <c r="E458" s="158">
        <v>2020</v>
      </c>
      <c r="F458" s="158">
        <v>2020</v>
      </c>
      <c r="G458" s="258" t="s">
        <v>16</v>
      </c>
      <c r="H458" s="258">
        <v>200</v>
      </c>
      <c r="I458" s="258">
        <v>200</v>
      </c>
      <c r="J458" s="161"/>
      <c r="K458" s="161"/>
      <c r="L458" s="260" t="s">
        <v>330</v>
      </c>
    </row>
    <row r="459" ht="15" customHeight="1" spans="1:12">
      <c r="A459" s="44" t="s">
        <v>2167</v>
      </c>
      <c r="B459" s="29" t="s">
        <v>1040</v>
      </c>
      <c r="C459" s="29" t="s">
        <v>2168</v>
      </c>
      <c r="D459" s="29" t="s">
        <v>2169</v>
      </c>
      <c r="E459" s="30">
        <v>2020</v>
      </c>
      <c r="F459" s="30">
        <v>2020</v>
      </c>
      <c r="G459" s="29" t="s">
        <v>16</v>
      </c>
      <c r="H459" s="29">
        <v>200</v>
      </c>
      <c r="I459" s="29">
        <v>200</v>
      </c>
      <c r="J459" s="161"/>
      <c r="K459" s="161"/>
      <c r="L459" s="260" t="s">
        <v>330</v>
      </c>
    </row>
    <row r="460" ht="15" customHeight="1" spans="1:12">
      <c r="A460" s="44" t="s">
        <v>2170</v>
      </c>
      <c r="B460" s="29" t="s">
        <v>1040</v>
      </c>
      <c r="C460" s="29" t="s">
        <v>2171</v>
      </c>
      <c r="D460" s="29" t="s">
        <v>2172</v>
      </c>
      <c r="E460" s="30">
        <v>2020</v>
      </c>
      <c r="F460" s="30">
        <v>2020</v>
      </c>
      <c r="G460" s="29" t="s">
        <v>16</v>
      </c>
      <c r="H460" s="29">
        <v>200</v>
      </c>
      <c r="I460" s="29">
        <v>200</v>
      </c>
      <c r="J460" s="32"/>
      <c r="K460" s="32"/>
      <c r="L460" s="132" t="s">
        <v>330</v>
      </c>
    </row>
    <row r="461" ht="15" customHeight="1" spans="1:12">
      <c r="A461" s="44" t="s">
        <v>2173</v>
      </c>
      <c r="B461" s="29" t="s">
        <v>1040</v>
      </c>
      <c r="C461" s="29" t="s">
        <v>2174</v>
      </c>
      <c r="D461" s="29" t="s">
        <v>2175</v>
      </c>
      <c r="E461" s="30">
        <v>2020</v>
      </c>
      <c r="F461" s="30">
        <v>2020</v>
      </c>
      <c r="G461" s="29" t="s">
        <v>16</v>
      </c>
      <c r="H461" s="29">
        <v>200</v>
      </c>
      <c r="I461" s="29">
        <v>200</v>
      </c>
      <c r="J461" s="32"/>
      <c r="K461" s="32"/>
      <c r="L461" s="260" t="s">
        <v>330</v>
      </c>
    </row>
    <row r="462" ht="15" customHeight="1" spans="1:12">
      <c r="A462" s="44" t="s">
        <v>2176</v>
      </c>
      <c r="B462" s="258" t="s">
        <v>1040</v>
      </c>
      <c r="C462" s="29" t="s">
        <v>2177</v>
      </c>
      <c r="D462" s="29" t="s">
        <v>2178</v>
      </c>
      <c r="E462" s="158">
        <v>2020</v>
      </c>
      <c r="F462" s="158">
        <v>2020</v>
      </c>
      <c r="G462" s="258" t="s">
        <v>16</v>
      </c>
      <c r="H462" s="258">
        <v>200</v>
      </c>
      <c r="I462" s="258">
        <v>200</v>
      </c>
      <c r="J462" s="32"/>
      <c r="K462" s="32"/>
      <c r="L462" s="132" t="s">
        <v>330</v>
      </c>
    </row>
    <row r="463" ht="15" customHeight="1" spans="1:12">
      <c r="A463" s="44" t="s">
        <v>2179</v>
      </c>
      <c r="B463" s="258" t="s">
        <v>1040</v>
      </c>
      <c r="C463" s="29" t="s">
        <v>214</v>
      </c>
      <c r="D463" s="29" t="s">
        <v>2180</v>
      </c>
      <c r="E463" s="158">
        <v>2020</v>
      </c>
      <c r="F463" s="158">
        <v>2020</v>
      </c>
      <c r="G463" s="258" t="s">
        <v>16</v>
      </c>
      <c r="H463" s="258">
        <v>200</v>
      </c>
      <c r="I463" s="258">
        <v>200</v>
      </c>
      <c r="J463" s="161"/>
      <c r="K463" s="161"/>
      <c r="L463" s="260" t="s">
        <v>330</v>
      </c>
    </row>
    <row r="464" ht="15" customHeight="1" spans="1:12">
      <c r="A464" s="44" t="s">
        <v>2181</v>
      </c>
      <c r="B464" s="258" t="s">
        <v>1040</v>
      </c>
      <c r="C464" s="29" t="s">
        <v>2182</v>
      </c>
      <c r="D464" s="29" t="s">
        <v>2183</v>
      </c>
      <c r="E464" s="158">
        <v>2020</v>
      </c>
      <c r="F464" s="158">
        <v>2020</v>
      </c>
      <c r="G464" s="258" t="s">
        <v>16</v>
      </c>
      <c r="H464" s="258">
        <v>200</v>
      </c>
      <c r="I464" s="258">
        <v>200</v>
      </c>
      <c r="J464" s="161" t="s">
        <v>1082</v>
      </c>
      <c r="K464" s="161"/>
      <c r="L464" s="132" t="s">
        <v>330</v>
      </c>
    </row>
    <row r="465" ht="15" customHeight="1" spans="1:12">
      <c r="A465" s="44" t="s">
        <v>2184</v>
      </c>
      <c r="B465" s="258" t="s">
        <v>1040</v>
      </c>
      <c r="C465" s="29" t="s">
        <v>2185</v>
      </c>
      <c r="D465" s="29" t="s">
        <v>2186</v>
      </c>
      <c r="E465" s="158">
        <v>2020</v>
      </c>
      <c r="F465" s="158">
        <v>2020</v>
      </c>
      <c r="G465" s="258" t="s">
        <v>16</v>
      </c>
      <c r="H465" s="258">
        <v>200</v>
      </c>
      <c r="I465" s="258">
        <v>200</v>
      </c>
      <c r="J465" s="161" t="s">
        <v>1082</v>
      </c>
      <c r="K465" s="161"/>
      <c r="L465" s="260" t="s">
        <v>330</v>
      </c>
    </row>
    <row r="466" ht="15" customHeight="1" spans="1:12">
      <c r="A466" s="44" t="s">
        <v>2187</v>
      </c>
      <c r="B466" s="258" t="s">
        <v>1040</v>
      </c>
      <c r="C466" s="29" t="s">
        <v>2188</v>
      </c>
      <c r="D466" s="29" t="s">
        <v>2189</v>
      </c>
      <c r="E466" s="158">
        <v>2020</v>
      </c>
      <c r="F466" s="158">
        <v>2020</v>
      </c>
      <c r="G466" s="258" t="s">
        <v>16</v>
      </c>
      <c r="H466" s="258">
        <v>200</v>
      </c>
      <c r="I466" s="258">
        <v>200</v>
      </c>
      <c r="J466" s="161"/>
      <c r="K466" s="161"/>
      <c r="L466" s="260" t="s">
        <v>330</v>
      </c>
    </row>
    <row r="467" ht="15" customHeight="1" spans="1:12">
      <c r="A467" s="44" t="s">
        <v>2190</v>
      </c>
      <c r="B467" s="258" t="s">
        <v>1040</v>
      </c>
      <c r="C467" s="29" t="s">
        <v>2191</v>
      </c>
      <c r="D467" s="29" t="s">
        <v>2192</v>
      </c>
      <c r="E467" s="158">
        <v>2020</v>
      </c>
      <c r="F467" s="158">
        <v>2020</v>
      </c>
      <c r="G467" s="258" t="s">
        <v>16</v>
      </c>
      <c r="H467" s="258">
        <v>200</v>
      </c>
      <c r="I467" s="258">
        <v>200</v>
      </c>
      <c r="J467" s="161"/>
      <c r="K467" s="161"/>
      <c r="L467" s="132" t="s">
        <v>330</v>
      </c>
    </row>
    <row r="468" ht="15" customHeight="1" spans="1:12">
      <c r="A468" s="44" t="s">
        <v>2193</v>
      </c>
      <c r="B468" s="258" t="s">
        <v>1040</v>
      </c>
      <c r="C468" s="29" t="s">
        <v>2194</v>
      </c>
      <c r="D468" s="29" t="s">
        <v>2195</v>
      </c>
      <c r="E468" s="158">
        <v>2020</v>
      </c>
      <c r="F468" s="158">
        <v>2020</v>
      </c>
      <c r="G468" s="258" t="s">
        <v>16</v>
      </c>
      <c r="H468" s="258">
        <v>200</v>
      </c>
      <c r="I468" s="258">
        <v>200</v>
      </c>
      <c r="J468" s="161"/>
      <c r="K468" s="161"/>
      <c r="L468" s="260" t="s">
        <v>330</v>
      </c>
    </row>
    <row r="469" ht="15" customHeight="1" spans="1:12">
      <c r="A469" s="44" t="s">
        <v>2196</v>
      </c>
      <c r="B469" s="258" t="s">
        <v>1040</v>
      </c>
      <c r="C469" s="29" t="s">
        <v>2197</v>
      </c>
      <c r="D469" s="29" t="s">
        <v>2198</v>
      </c>
      <c r="E469" s="158">
        <v>2020</v>
      </c>
      <c r="F469" s="158">
        <v>2020</v>
      </c>
      <c r="G469" s="258" t="s">
        <v>16</v>
      </c>
      <c r="H469" s="258">
        <v>200</v>
      </c>
      <c r="I469" s="258">
        <v>200</v>
      </c>
      <c r="J469" s="161"/>
      <c r="K469" s="161"/>
      <c r="L469" s="132" t="s">
        <v>330</v>
      </c>
    </row>
    <row r="470" ht="15" customHeight="1" spans="1:12">
      <c r="A470" s="44" t="s">
        <v>2199</v>
      </c>
      <c r="B470" s="258" t="s">
        <v>1040</v>
      </c>
      <c r="C470" s="109" t="s">
        <v>2200</v>
      </c>
      <c r="D470" s="109" t="s">
        <v>2201</v>
      </c>
      <c r="E470" s="158">
        <v>2020</v>
      </c>
      <c r="F470" s="158">
        <v>2020</v>
      </c>
      <c r="G470" s="258" t="s">
        <v>16</v>
      </c>
      <c r="H470" s="258">
        <v>200</v>
      </c>
      <c r="I470" s="258">
        <v>200</v>
      </c>
      <c r="J470" s="161"/>
      <c r="K470" s="161"/>
      <c r="L470" s="260" t="s">
        <v>330</v>
      </c>
    </row>
    <row r="471" ht="15" customHeight="1" spans="1:12">
      <c r="A471" s="44" t="s">
        <v>2202</v>
      </c>
      <c r="B471" s="258" t="s">
        <v>1040</v>
      </c>
      <c r="C471" s="109" t="s">
        <v>2203</v>
      </c>
      <c r="D471" s="109" t="s">
        <v>2204</v>
      </c>
      <c r="E471" s="158">
        <v>2020</v>
      </c>
      <c r="F471" s="158">
        <v>2020</v>
      </c>
      <c r="G471" s="258" t="s">
        <v>16</v>
      </c>
      <c r="H471" s="258">
        <v>200</v>
      </c>
      <c r="I471" s="258">
        <v>200</v>
      </c>
      <c r="J471" s="161"/>
      <c r="K471" s="161"/>
      <c r="L471" s="132" t="s">
        <v>330</v>
      </c>
    </row>
    <row r="472" ht="15" customHeight="1" spans="1:12">
      <c r="A472" s="44" t="s">
        <v>2205</v>
      </c>
      <c r="B472" s="258" t="s">
        <v>1040</v>
      </c>
      <c r="C472" s="109" t="s">
        <v>2206</v>
      </c>
      <c r="D472" s="109" t="s">
        <v>2207</v>
      </c>
      <c r="E472" s="158">
        <v>2020</v>
      </c>
      <c r="F472" s="158">
        <v>2020</v>
      </c>
      <c r="G472" s="258" t="s">
        <v>16</v>
      </c>
      <c r="H472" s="258">
        <v>200</v>
      </c>
      <c r="I472" s="258">
        <v>200</v>
      </c>
      <c r="J472" s="161"/>
      <c r="K472" s="161"/>
      <c r="L472" s="260" t="s">
        <v>330</v>
      </c>
    </row>
    <row r="473" ht="15" customHeight="1" spans="1:12">
      <c r="A473" s="44" t="s">
        <v>2208</v>
      </c>
      <c r="B473" s="258" t="s">
        <v>1040</v>
      </c>
      <c r="C473" s="109" t="s">
        <v>2209</v>
      </c>
      <c r="D473" s="109" t="s">
        <v>2210</v>
      </c>
      <c r="E473" s="158">
        <v>2020</v>
      </c>
      <c r="F473" s="158">
        <v>2020</v>
      </c>
      <c r="G473" s="258" t="s">
        <v>16</v>
      </c>
      <c r="H473" s="258">
        <v>200</v>
      </c>
      <c r="I473" s="258">
        <v>200</v>
      </c>
      <c r="J473" s="161"/>
      <c r="K473" s="161"/>
      <c r="L473" s="260" t="s">
        <v>330</v>
      </c>
    </row>
    <row r="474" ht="15" customHeight="1" spans="1:12">
      <c r="A474" s="44" t="s">
        <v>2211</v>
      </c>
      <c r="B474" s="258" t="s">
        <v>1040</v>
      </c>
      <c r="C474" s="109" t="s">
        <v>2212</v>
      </c>
      <c r="D474" s="109" t="s">
        <v>2213</v>
      </c>
      <c r="E474" s="158">
        <v>2020</v>
      </c>
      <c r="F474" s="158">
        <v>2020</v>
      </c>
      <c r="G474" s="258" t="s">
        <v>16</v>
      </c>
      <c r="H474" s="258">
        <v>200</v>
      </c>
      <c r="I474" s="258">
        <v>200</v>
      </c>
      <c r="J474" s="161"/>
      <c r="K474" s="161"/>
      <c r="L474" s="132" t="s">
        <v>330</v>
      </c>
    </row>
    <row r="475" ht="15" customHeight="1" spans="1:12">
      <c r="A475" s="44" t="s">
        <v>2214</v>
      </c>
      <c r="B475" s="258" t="s">
        <v>1040</v>
      </c>
      <c r="C475" s="109" t="s">
        <v>2215</v>
      </c>
      <c r="D475" s="109" t="s">
        <v>2216</v>
      </c>
      <c r="E475" s="158">
        <v>2020</v>
      </c>
      <c r="F475" s="158">
        <v>2020</v>
      </c>
      <c r="G475" s="258" t="s">
        <v>16</v>
      </c>
      <c r="H475" s="258">
        <v>200</v>
      </c>
      <c r="I475" s="258">
        <v>200</v>
      </c>
      <c r="J475" s="161"/>
      <c r="K475" s="161"/>
      <c r="L475" s="260" t="s">
        <v>330</v>
      </c>
    </row>
    <row r="476" ht="15" customHeight="1" spans="1:12">
      <c r="A476" s="44" t="s">
        <v>2217</v>
      </c>
      <c r="B476" s="258" t="s">
        <v>1040</v>
      </c>
      <c r="C476" s="109" t="s">
        <v>2218</v>
      </c>
      <c r="D476" s="109" t="s">
        <v>2219</v>
      </c>
      <c r="E476" s="158">
        <v>2020</v>
      </c>
      <c r="F476" s="158">
        <v>2020</v>
      </c>
      <c r="G476" s="258" t="s">
        <v>16</v>
      </c>
      <c r="H476" s="258">
        <v>200</v>
      </c>
      <c r="I476" s="258">
        <v>200</v>
      </c>
      <c r="J476" s="161"/>
      <c r="K476" s="161"/>
      <c r="L476" s="132" t="s">
        <v>330</v>
      </c>
    </row>
    <row r="477" ht="15" customHeight="1" spans="1:12">
      <c r="A477" s="44" t="s">
        <v>2220</v>
      </c>
      <c r="B477" s="258" t="s">
        <v>1040</v>
      </c>
      <c r="C477" s="109" t="s">
        <v>2221</v>
      </c>
      <c r="D477" s="109" t="s">
        <v>2222</v>
      </c>
      <c r="E477" s="158">
        <v>2020</v>
      </c>
      <c r="F477" s="158">
        <v>2020</v>
      </c>
      <c r="G477" s="258" t="s">
        <v>16</v>
      </c>
      <c r="H477" s="258">
        <v>200</v>
      </c>
      <c r="I477" s="258">
        <v>200</v>
      </c>
      <c r="J477" s="161"/>
      <c r="K477" s="161"/>
      <c r="L477" s="260" t="s">
        <v>330</v>
      </c>
    </row>
    <row r="478" ht="15" customHeight="1" spans="1:12">
      <c r="A478" s="44" t="s">
        <v>2223</v>
      </c>
      <c r="B478" s="258" t="s">
        <v>1040</v>
      </c>
      <c r="C478" s="109" t="s">
        <v>2224</v>
      </c>
      <c r="D478" s="109" t="s">
        <v>2225</v>
      </c>
      <c r="E478" s="158">
        <v>2020</v>
      </c>
      <c r="F478" s="158">
        <v>2020</v>
      </c>
      <c r="G478" s="258" t="s">
        <v>16</v>
      </c>
      <c r="H478" s="258">
        <v>200</v>
      </c>
      <c r="I478" s="258">
        <v>200</v>
      </c>
      <c r="J478" s="161"/>
      <c r="K478" s="161"/>
      <c r="L478" s="132" t="s">
        <v>330</v>
      </c>
    </row>
    <row r="479" ht="15" customHeight="1" spans="1:12">
      <c r="A479" s="44" t="s">
        <v>2226</v>
      </c>
      <c r="B479" s="258" t="s">
        <v>1040</v>
      </c>
      <c r="C479" s="109" t="s">
        <v>2227</v>
      </c>
      <c r="D479" s="109" t="s">
        <v>2228</v>
      </c>
      <c r="E479" s="158">
        <v>2020</v>
      </c>
      <c r="F479" s="158">
        <v>2020</v>
      </c>
      <c r="G479" s="258" t="s">
        <v>16</v>
      </c>
      <c r="H479" s="258">
        <v>200</v>
      </c>
      <c r="I479" s="258">
        <v>200</v>
      </c>
      <c r="J479" s="161"/>
      <c r="K479" s="161"/>
      <c r="L479" s="260" t="s">
        <v>330</v>
      </c>
    </row>
    <row r="480" ht="15" customHeight="1" spans="1:12">
      <c r="A480" s="44" t="s">
        <v>2229</v>
      </c>
      <c r="B480" s="258" t="s">
        <v>1040</v>
      </c>
      <c r="C480" s="109" t="s">
        <v>2230</v>
      </c>
      <c r="D480" s="109" t="s">
        <v>2231</v>
      </c>
      <c r="E480" s="158">
        <v>2020</v>
      </c>
      <c r="F480" s="158">
        <v>2020</v>
      </c>
      <c r="G480" s="258" t="s">
        <v>16</v>
      </c>
      <c r="H480" s="109">
        <v>500</v>
      </c>
      <c r="I480" s="109">
        <v>500</v>
      </c>
      <c r="J480" s="161"/>
      <c r="K480" s="161"/>
      <c r="L480" s="260" t="s">
        <v>330</v>
      </c>
    </row>
    <row r="481" ht="15" customHeight="1" spans="1:12">
      <c r="A481" s="44" t="s">
        <v>2232</v>
      </c>
      <c r="B481" s="258" t="s">
        <v>1040</v>
      </c>
      <c r="C481" s="109" t="s">
        <v>2233</v>
      </c>
      <c r="D481" s="109" t="s">
        <v>2234</v>
      </c>
      <c r="E481" s="158">
        <v>2020</v>
      </c>
      <c r="F481" s="158">
        <v>2020</v>
      </c>
      <c r="G481" s="258" t="s">
        <v>16</v>
      </c>
      <c r="H481" s="109">
        <v>500</v>
      </c>
      <c r="I481" s="109">
        <v>500</v>
      </c>
      <c r="J481" s="161"/>
      <c r="K481" s="161"/>
      <c r="L481" s="132" t="s">
        <v>330</v>
      </c>
    </row>
    <row r="482" ht="15" customHeight="1" spans="1:12">
      <c r="A482" s="44" t="s">
        <v>2235</v>
      </c>
      <c r="B482" s="258" t="s">
        <v>1040</v>
      </c>
      <c r="C482" s="109" t="s">
        <v>2236</v>
      </c>
      <c r="D482" s="109" t="s">
        <v>2237</v>
      </c>
      <c r="E482" s="158">
        <v>2020</v>
      </c>
      <c r="F482" s="158">
        <v>2020</v>
      </c>
      <c r="G482" s="258" t="s">
        <v>16</v>
      </c>
      <c r="H482" s="258">
        <v>200</v>
      </c>
      <c r="I482" s="258">
        <v>200</v>
      </c>
      <c r="J482" s="161"/>
      <c r="K482" s="161"/>
      <c r="L482" s="260" t="s">
        <v>330</v>
      </c>
    </row>
    <row r="483" ht="15" customHeight="1" spans="1:12">
      <c r="A483" s="44" t="s">
        <v>2238</v>
      </c>
      <c r="B483" s="258" t="s">
        <v>1040</v>
      </c>
      <c r="C483" s="109" t="s">
        <v>2239</v>
      </c>
      <c r="D483" s="109" t="s">
        <v>2240</v>
      </c>
      <c r="E483" s="158">
        <v>2020</v>
      </c>
      <c r="F483" s="158">
        <v>2020</v>
      </c>
      <c r="G483" s="258" t="s">
        <v>16</v>
      </c>
      <c r="H483" s="258">
        <v>200</v>
      </c>
      <c r="I483" s="258">
        <v>200</v>
      </c>
      <c r="J483" s="161"/>
      <c r="K483" s="161"/>
      <c r="L483" s="132" t="s">
        <v>330</v>
      </c>
    </row>
    <row r="484" ht="15" customHeight="1" spans="1:12">
      <c r="A484" s="44" t="s">
        <v>2241</v>
      </c>
      <c r="B484" s="258" t="s">
        <v>1040</v>
      </c>
      <c r="C484" s="109" t="s">
        <v>2242</v>
      </c>
      <c r="D484" s="109" t="s">
        <v>2243</v>
      </c>
      <c r="E484" s="158">
        <v>2020</v>
      </c>
      <c r="F484" s="158">
        <v>2020</v>
      </c>
      <c r="G484" s="258" t="s">
        <v>16</v>
      </c>
      <c r="H484" s="258">
        <v>200</v>
      </c>
      <c r="I484" s="258">
        <v>200</v>
      </c>
      <c r="J484" s="161"/>
      <c r="K484" s="161"/>
      <c r="L484" s="260" t="s">
        <v>330</v>
      </c>
    </row>
    <row r="485" ht="15" customHeight="1" spans="1:12">
      <c r="A485" s="44" t="s">
        <v>2244</v>
      </c>
      <c r="B485" s="258" t="s">
        <v>1040</v>
      </c>
      <c r="C485" s="109" t="s">
        <v>2245</v>
      </c>
      <c r="D485" s="109" t="s">
        <v>2246</v>
      </c>
      <c r="E485" s="158">
        <v>2020</v>
      </c>
      <c r="F485" s="158">
        <v>2020</v>
      </c>
      <c r="G485" s="258" t="s">
        <v>16</v>
      </c>
      <c r="H485" s="258">
        <v>200</v>
      </c>
      <c r="I485" s="258">
        <v>200</v>
      </c>
      <c r="J485" s="161"/>
      <c r="K485" s="161"/>
      <c r="L485" s="132" t="s">
        <v>330</v>
      </c>
    </row>
    <row r="486" ht="15" customHeight="1" spans="1:12">
      <c r="A486" s="44" t="s">
        <v>2247</v>
      </c>
      <c r="B486" s="258" t="s">
        <v>1040</v>
      </c>
      <c r="C486" s="109" t="s">
        <v>2248</v>
      </c>
      <c r="D486" s="109" t="s">
        <v>2249</v>
      </c>
      <c r="E486" s="158">
        <v>2020</v>
      </c>
      <c r="F486" s="158">
        <v>2020</v>
      </c>
      <c r="G486" s="258" t="s">
        <v>16</v>
      </c>
      <c r="H486" s="109">
        <v>500</v>
      </c>
      <c r="I486" s="109">
        <v>500</v>
      </c>
      <c r="J486" s="161"/>
      <c r="K486" s="161"/>
      <c r="L486" s="260" t="s">
        <v>330</v>
      </c>
    </row>
    <row r="487" ht="15" customHeight="1" spans="1:12">
      <c r="A487" s="44" t="s">
        <v>2250</v>
      </c>
      <c r="B487" s="258" t="s">
        <v>1040</v>
      </c>
      <c r="C487" s="109" t="s">
        <v>2251</v>
      </c>
      <c r="D487" s="109" t="s">
        <v>2252</v>
      </c>
      <c r="E487" s="158">
        <v>2020</v>
      </c>
      <c r="F487" s="158">
        <v>2020</v>
      </c>
      <c r="G487" s="258" t="s">
        <v>16</v>
      </c>
      <c r="H487" s="109">
        <v>500</v>
      </c>
      <c r="I487" s="109">
        <v>500</v>
      </c>
      <c r="J487" s="161"/>
      <c r="K487" s="161"/>
      <c r="L487" s="260" t="s">
        <v>330</v>
      </c>
    </row>
    <row r="488" ht="15" customHeight="1" spans="1:12">
      <c r="A488" s="44" t="s">
        <v>2253</v>
      </c>
      <c r="B488" s="258" t="s">
        <v>1040</v>
      </c>
      <c r="C488" s="109" t="s">
        <v>2254</v>
      </c>
      <c r="D488" s="109" t="s">
        <v>2255</v>
      </c>
      <c r="E488" s="158">
        <v>2020</v>
      </c>
      <c r="F488" s="158">
        <v>2020</v>
      </c>
      <c r="G488" s="258" t="s">
        <v>16</v>
      </c>
      <c r="H488" s="258">
        <v>200</v>
      </c>
      <c r="I488" s="258">
        <v>200</v>
      </c>
      <c r="J488" s="161"/>
      <c r="K488" s="161"/>
      <c r="L488" s="132" t="s">
        <v>330</v>
      </c>
    </row>
    <row r="489" ht="15" customHeight="1" spans="1:12">
      <c r="A489" s="44" t="s">
        <v>2256</v>
      </c>
      <c r="B489" s="258" t="s">
        <v>1040</v>
      </c>
      <c r="C489" s="109" t="s">
        <v>2257</v>
      </c>
      <c r="D489" s="109" t="s">
        <v>2258</v>
      </c>
      <c r="E489" s="158">
        <v>2020</v>
      </c>
      <c r="F489" s="158">
        <v>2020</v>
      </c>
      <c r="G489" s="258" t="s">
        <v>16</v>
      </c>
      <c r="H489" s="258">
        <v>200</v>
      </c>
      <c r="I489" s="258">
        <v>200</v>
      </c>
      <c r="J489" s="161"/>
      <c r="K489" s="161"/>
      <c r="L489" s="260" t="s">
        <v>330</v>
      </c>
    </row>
    <row r="490" ht="15" customHeight="1" spans="1:12">
      <c r="A490" s="44" t="s">
        <v>2259</v>
      </c>
      <c r="B490" s="258" t="s">
        <v>1040</v>
      </c>
      <c r="C490" s="109" t="s">
        <v>2260</v>
      </c>
      <c r="D490" s="109" t="s">
        <v>2261</v>
      </c>
      <c r="E490" s="158">
        <v>2020</v>
      </c>
      <c r="F490" s="158">
        <v>2020</v>
      </c>
      <c r="G490" s="258" t="s">
        <v>16</v>
      </c>
      <c r="H490" s="258">
        <v>200</v>
      </c>
      <c r="I490" s="258">
        <v>200</v>
      </c>
      <c r="J490" s="161"/>
      <c r="K490" s="161"/>
      <c r="L490" s="132" t="s">
        <v>330</v>
      </c>
    </row>
    <row r="491" ht="15" customHeight="1" spans="1:12">
      <c r="A491" s="44" t="s">
        <v>2262</v>
      </c>
      <c r="B491" s="258" t="s">
        <v>1040</v>
      </c>
      <c r="C491" s="109" t="s">
        <v>2263</v>
      </c>
      <c r="D491" s="109" t="s">
        <v>2264</v>
      </c>
      <c r="E491" s="158">
        <v>2020</v>
      </c>
      <c r="F491" s="158">
        <v>2020</v>
      </c>
      <c r="G491" s="258" t="s">
        <v>16</v>
      </c>
      <c r="H491" s="258">
        <v>200</v>
      </c>
      <c r="I491" s="258">
        <v>200</v>
      </c>
      <c r="J491" s="161"/>
      <c r="K491" s="161"/>
      <c r="L491" s="260" t="s">
        <v>330</v>
      </c>
    </row>
    <row r="492" ht="15" customHeight="1" spans="1:12">
      <c r="A492" s="44" t="s">
        <v>2265</v>
      </c>
      <c r="B492" s="258" t="s">
        <v>1040</v>
      </c>
      <c r="C492" s="109" t="s">
        <v>2266</v>
      </c>
      <c r="D492" s="109" t="s">
        <v>2267</v>
      </c>
      <c r="E492" s="158">
        <v>2020</v>
      </c>
      <c r="F492" s="158">
        <v>2020</v>
      </c>
      <c r="G492" s="258" t="s">
        <v>16</v>
      </c>
      <c r="H492" s="258">
        <v>200</v>
      </c>
      <c r="I492" s="258">
        <v>200</v>
      </c>
      <c r="J492" s="161"/>
      <c r="K492" s="161"/>
      <c r="L492" s="132" t="s">
        <v>330</v>
      </c>
    </row>
    <row r="493" ht="15" customHeight="1" spans="1:12">
      <c r="A493" s="44" t="s">
        <v>2268</v>
      </c>
      <c r="B493" s="258" t="s">
        <v>1040</v>
      </c>
      <c r="C493" s="109" t="s">
        <v>2269</v>
      </c>
      <c r="D493" s="109" t="s">
        <v>2270</v>
      </c>
      <c r="E493" s="158">
        <v>2020</v>
      </c>
      <c r="F493" s="158">
        <v>2020</v>
      </c>
      <c r="G493" s="258" t="s">
        <v>16</v>
      </c>
      <c r="H493" s="258">
        <v>200</v>
      </c>
      <c r="I493" s="258">
        <v>200</v>
      </c>
      <c r="J493" s="161"/>
      <c r="K493" s="161"/>
      <c r="L493" s="260" t="s">
        <v>330</v>
      </c>
    </row>
    <row r="494" ht="15" customHeight="1" spans="1:12">
      <c r="A494" s="44" t="s">
        <v>2271</v>
      </c>
      <c r="B494" s="258" t="s">
        <v>1040</v>
      </c>
      <c r="C494" s="109" t="s">
        <v>2272</v>
      </c>
      <c r="D494" s="109" t="s">
        <v>2273</v>
      </c>
      <c r="E494" s="158">
        <v>2020</v>
      </c>
      <c r="F494" s="158">
        <v>2020</v>
      </c>
      <c r="G494" s="258" t="s">
        <v>16</v>
      </c>
      <c r="H494" s="258">
        <v>200</v>
      </c>
      <c r="I494" s="258">
        <v>200</v>
      </c>
      <c r="J494" s="161"/>
      <c r="K494" s="161"/>
      <c r="L494" s="260" t="s">
        <v>330</v>
      </c>
    </row>
    <row r="495" ht="15" customHeight="1" spans="1:12">
      <c r="A495" s="44" t="s">
        <v>2274</v>
      </c>
      <c r="B495" s="258" t="s">
        <v>1040</v>
      </c>
      <c r="C495" s="109" t="s">
        <v>2275</v>
      </c>
      <c r="D495" s="109" t="s">
        <v>2276</v>
      </c>
      <c r="E495" s="158">
        <v>2020</v>
      </c>
      <c r="F495" s="158">
        <v>2020</v>
      </c>
      <c r="G495" s="258" t="s">
        <v>16</v>
      </c>
      <c r="H495" s="258">
        <v>200</v>
      </c>
      <c r="I495" s="258">
        <v>200</v>
      </c>
      <c r="J495" s="161"/>
      <c r="K495" s="161"/>
      <c r="L495" s="132" t="s">
        <v>330</v>
      </c>
    </row>
    <row r="496" ht="15" customHeight="1" spans="1:12">
      <c r="A496" s="44" t="s">
        <v>2277</v>
      </c>
      <c r="B496" s="258" t="s">
        <v>1040</v>
      </c>
      <c r="C496" s="109" t="s">
        <v>2278</v>
      </c>
      <c r="D496" s="109" t="s">
        <v>2279</v>
      </c>
      <c r="E496" s="158">
        <v>2020</v>
      </c>
      <c r="F496" s="158">
        <v>2020</v>
      </c>
      <c r="G496" s="258" t="s">
        <v>16</v>
      </c>
      <c r="H496" s="258">
        <v>200</v>
      </c>
      <c r="I496" s="258">
        <v>200</v>
      </c>
      <c r="J496" s="161"/>
      <c r="K496" s="161"/>
      <c r="L496" s="260" t="s">
        <v>330</v>
      </c>
    </row>
    <row r="497" ht="15" customHeight="1" spans="1:12">
      <c r="A497" s="44" t="s">
        <v>2280</v>
      </c>
      <c r="B497" s="258" t="s">
        <v>1040</v>
      </c>
      <c r="C497" s="109" t="s">
        <v>2281</v>
      </c>
      <c r="D497" s="109" t="s">
        <v>2282</v>
      </c>
      <c r="E497" s="158">
        <v>2020</v>
      </c>
      <c r="F497" s="158">
        <v>2020</v>
      </c>
      <c r="G497" s="258" t="s">
        <v>16</v>
      </c>
      <c r="H497" s="258">
        <v>200</v>
      </c>
      <c r="I497" s="258">
        <v>200</v>
      </c>
      <c r="J497" s="161"/>
      <c r="K497" s="161"/>
      <c r="L497" s="132" t="s">
        <v>330</v>
      </c>
    </row>
    <row r="498" ht="15" customHeight="1" spans="1:12">
      <c r="A498" s="44" t="s">
        <v>2283</v>
      </c>
      <c r="B498" s="258" t="s">
        <v>1040</v>
      </c>
      <c r="C498" s="109" t="s">
        <v>2284</v>
      </c>
      <c r="D498" s="109" t="s">
        <v>2285</v>
      </c>
      <c r="E498" s="158">
        <v>2020</v>
      </c>
      <c r="F498" s="158">
        <v>2020</v>
      </c>
      <c r="G498" s="258" t="s">
        <v>16</v>
      </c>
      <c r="H498" s="258">
        <v>200</v>
      </c>
      <c r="I498" s="258">
        <v>200</v>
      </c>
      <c r="J498" s="161" t="s">
        <v>1082</v>
      </c>
      <c r="K498" s="161"/>
      <c r="L498" s="260" t="s">
        <v>330</v>
      </c>
    </row>
    <row r="499" ht="15" customHeight="1" spans="1:12">
      <c r="A499" s="44" t="s">
        <v>2286</v>
      </c>
      <c r="B499" s="258" t="s">
        <v>1040</v>
      </c>
      <c r="C499" s="109" t="s">
        <v>2287</v>
      </c>
      <c r="D499" s="109" t="s">
        <v>2288</v>
      </c>
      <c r="E499" s="158">
        <v>2020</v>
      </c>
      <c r="F499" s="158">
        <v>2020</v>
      </c>
      <c r="G499" s="258" t="s">
        <v>16</v>
      </c>
      <c r="H499" s="258">
        <v>200</v>
      </c>
      <c r="I499" s="258">
        <v>200</v>
      </c>
      <c r="J499" s="161" t="s">
        <v>1082</v>
      </c>
      <c r="K499" s="161"/>
      <c r="L499" s="132" t="s">
        <v>330</v>
      </c>
    </row>
    <row r="500" ht="15" customHeight="1" spans="1:12">
      <c r="A500" s="44" t="s">
        <v>2289</v>
      </c>
      <c r="B500" s="258" t="s">
        <v>1040</v>
      </c>
      <c r="C500" s="109" t="s">
        <v>2290</v>
      </c>
      <c r="D500" s="109" t="s">
        <v>2291</v>
      </c>
      <c r="E500" s="158">
        <v>2020</v>
      </c>
      <c r="F500" s="158">
        <v>2020</v>
      </c>
      <c r="G500" s="258" t="s">
        <v>16</v>
      </c>
      <c r="H500" s="258">
        <v>200</v>
      </c>
      <c r="I500" s="258">
        <v>200</v>
      </c>
      <c r="J500" s="161"/>
      <c r="K500" s="161"/>
      <c r="L500" s="260" t="s">
        <v>330</v>
      </c>
    </row>
    <row r="501" ht="15" customHeight="1" spans="1:12">
      <c r="A501" s="44" t="s">
        <v>2292</v>
      </c>
      <c r="B501" s="258" t="s">
        <v>1040</v>
      </c>
      <c r="C501" s="109" t="s">
        <v>2293</v>
      </c>
      <c r="D501" s="109" t="s">
        <v>2294</v>
      </c>
      <c r="E501" s="158">
        <v>2020</v>
      </c>
      <c r="F501" s="158">
        <v>2020</v>
      </c>
      <c r="G501" s="258" t="s">
        <v>16</v>
      </c>
      <c r="H501" s="258">
        <v>200</v>
      </c>
      <c r="I501" s="258">
        <v>200</v>
      </c>
      <c r="J501" s="161"/>
      <c r="K501" s="161"/>
      <c r="L501" s="260" t="s">
        <v>330</v>
      </c>
    </row>
    <row r="502" ht="15" customHeight="1" spans="1:12">
      <c r="A502" s="44" t="s">
        <v>2295</v>
      </c>
      <c r="B502" s="258" t="s">
        <v>1040</v>
      </c>
      <c r="C502" s="109" t="s">
        <v>2296</v>
      </c>
      <c r="D502" s="109" t="s">
        <v>2297</v>
      </c>
      <c r="E502" s="158">
        <v>2020</v>
      </c>
      <c r="F502" s="158">
        <v>2020</v>
      </c>
      <c r="G502" s="258" t="s">
        <v>16</v>
      </c>
      <c r="H502" s="258">
        <v>200</v>
      </c>
      <c r="I502" s="258">
        <v>200</v>
      </c>
      <c r="J502" s="161"/>
      <c r="K502" s="161"/>
      <c r="L502" s="132" t="s">
        <v>330</v>
      </c>
    </row>
    <row r="503" ht="15" customHeight="1" spans="1:12">
      <c r="A503" s="44" t="s">
        <v>2298</v>
      </c>
      <c r="B503" s="258" t="s">
        <v>1040</v>
      </c>
      <c r="C503" s="109" t="s">
        <v>2299</v>
      </c>
      <c r="D503" s="109" t="s">
        <v>2300</v>
      </c>
      <c r="E503" s="158">
        <v>2020</v>
      </c>
      <c r="F503" s="158">
        <v>2020</v>
      </c>
      <c r="G503" s="258" t="s">
        <v>16</v>
      </c>
      <c r="H503" s="258">
        <v>200</v>
      </c>
      <c r="I503" s="258">
        <v>200</v>
      </c>
      <c r="J503" s="161"/>
      <c r="K503" s="161"/>
      <c r="L503" s="260" t="s">
        <v>330</v>
      </c>
    </row>
    <row r="504" ht="15" customHeight="1" spans="1:12">
      <c r="A504" s="44" t="s">
        <v>2301</v>
      </c>
      <c r="B504" s="258" t="s">
        <v>1040</v>
      </c>
      <c r="C504" s="109" t="s">
        <v>2302</v>
      </c>
      <c r="D504" s="109" t="s">
        <v>2303</v>
      </c>
      <c r="E504" s="158">
        <v>2020</v>
      </c>
      <c r="F504" s="158">
        <v>2020</v>
      </c>
      <c r="G504" s="258" t="s">
        <v>16</v>
      </c>
      <c r="H504" s="258">
        <v>200</v>
      </c>
      <c r="I504" s="258">
        <v>200</v>
      </c>
      <c r="J504" s="161"/>
      <c r="K504" s="161"/>
      <c r="L504" s="132" t="s">
        <v>330</v>
      </c>
    </row>
    <row r="505" ht="15" customHeight="1" spans="1:12">
      <c r="A505" s="44" t="s">
        <v>2304</v>
      </c>
      <c r="B505" s="258" t="s">
        <v>1040</v>
      </c>
      <c r="C505" s="109" t="s">
        <v>2305</v>
      </c>
      <c r="D505" s="109" t="s">
        <v>2306</v>
      </c>
      <c r="E505" s="158">
        <v>2020</v>
      </c>
      <c r="F505" s="158">
        <v>2020</v>
      </c>
      <c r="G505" s="258" t="s">
        <v>16</v>
      </c>
      <c r="H505" s="258">
        <v>200</v>
      </c>
      <c r="I505" s="258">
        <v>200</v>
      </c>
      <c r="J505" s="161"/>
      <c r="K505" s="161"/>
      <c r="L505" s="260" t="s">
        <v>330</v>
      </c>
    </row>
    <row r="506" ht="15" customHeight="1" spans="1:12">
      <c r="A506" s="44" t="s">
        <v>2307</v>
      </c>
      <c r="B506" s="258" t="s">
        <v>1040</v>
      </c>
      <c r="C506" s="109" t="s">
        <v>2308</v>
      </c>
      <c r="D506" s="109" t="s">
        <v>2309</v>
      </c>
      <c r="E506" s="158">
        <v>2020</v>
      </c>
      <c r="F506" s="158">
        <v>2020</v>
      </c>
      <c r="G506" s="258" t="s">
        <v>16</v>
      </c>
      <c r="H506" s="258">
        <v>200</v>
      </c>
      <c r="I506" s="258">
        <v>200</v>
      </c>
      <c r="J506" s="161"/>
      <c r="K506" s="161"/>
      <c r="L506" s="132" t="s">
        <v>330</v>
      </c>
    </row>
    <row r="507" ht="15" customHeight="1" spans="1:12">
      <c r="A507" s="44" t="s">
        <v>2310</v>
      </c>
      <c r="B507" s="29" t="s">
        <v>1040</v>
      </c>
      <c r="C507" s="6" t="s">
        <v>2311</v>
      </c>
      <c r="D507" s="6" t="s">
        <v>2312</v>
      </c>
      <c r="E507" s="30">
        <v>2020</v>
      </c>
      <c r="F507" s="30">
        <v>2020</v>
      </c>
      <c r="G507" s="29" t="s">
        <v>16</v>
      </c>
      <c r="H507" s="29">
        <v>200</v>
      </c>
      <c r="I507" s="29">
        <v>200</v>
      </c>
      <c r="J507" s="161"/>
      <c r="K507" s="161"/>
      <c r="L507" s="260" t="s">
        <v>330</v>
      </c>
    </row>
    <row r="508" ht="15" customHeight="1" spans="1:12">
      <c r="A508" s="44" t="s">
        <v>2313</v>
      </c>
      <c r="B508" s="29" t="s">
        <v>1040</v>
      </c>
      <c r="C508" s="6" t="s">
        <v>2314</v>
      </c>
      <c r="D508" s="6" t="s">
        <v>2315</v>
      </c>
      <c r="E508" s="30">
        <v>2020</v>
      </c>
      <c r="F508" s="30">
        <v>2020</v>
      </c>
      <c r="G508" s="29" t="s">
        <v>16</v>
      </c>
      <c r="H508" s="29">
        <v>200</v>
      </c>
      <c r="I508" s="29">
        <v>200</v>
      </c>
      <c r="J508" s="32"/>
      <c r="K508" s="32"/>
      <c r="L508" s="260" t="s">
        <v>330</v>
      </c>
    </row>
    <row r="509" ht="15" customHeight="1" spans="1:12">
      <c r="A509" s="44" t="s">
        <v>2316</v>
      </c>
      <c r="B509" s="258" t="s">
        <v>1040</v>
      </c>
      <c r="C509" s="109" t="s">
        <v>2317</v>
      </c>
      <c r="D509" s="109" t="s">
        <v>2318</v>
      </c>
      <c r="E509" s="158">
        <v>2020</v>
      </c>
      <c r="F509" s="158">
        <v>2020</v>
      </c>
      <c r="G509" s="258" t="s">
        <v>16</v>
      </c>
      <c r="H509" s="258">
        <v>200</v>
      </c>
      <c r="I509" s="258">
        <v>200</v>
      </c>
      <c r="J509" s="32" t="s">
        <v>1082</v>
      </c>
      <c r="K509" s="32"/>
      <c r="L509" s="132" t="s">
        <v>330</v>
      </c>
    </row>
    <row r="510" ht="15" customHeight="1" spans="1:12">
      <c r="A510" s="44" t="s">
        <v>2319</v>
      </c>
      <c r="B510" s="258" t="s">
        <v>1040</v>
      </c>
      <c r="C510" s="109" t="s">
        <v>2320</v>
      </c>
      <c r="D510" s="109" t="s">
        <v>2321</v>
      </c>
      <c r="E510" s="158">
        <v>2020</v>
      </c>
      <c r="F510" s="158">
        <v>2020</v>
      </c>
      <c r="G510" s="258" t="s">
        <v>16</v>
      </c>
      <c r="H510" s="258">
        <v>200</v>
      </c>
      <c r="I510" s="258">
        <v>200</v>
      </c>
      <c r="J510" s="161"/>
      <c r="K510" s="161"/>
      <c r="L510" s="260" t="s">
        <v>330</v>
      </c>
    </row>
    <row r="511" ht="15" customHeight="1" spans="1:12">
      <c r="A511" s="44" t="s">
        <v>2322</v>
      </c>
      <c r="B511" s="258" t="s">
        <v>1040</v>
      </c>
      <c r="C511" s="109" t="s">
        <v>2323</v>
      </c>
      <c r="D511" s="109" t="s">
        <v>2324</v>
      </c>
      <c r="E511" s="158">
        <v>2020</v>
      </c>
      <c r="F511" s="158">
        <v>2020</v>
      </c>
      <c r="G511" s="258" t="s">
        <v>16</v>
      </c>
      <c r="H511" s="258">
        <v>200</v>
      </c>
      <c r="I511" s="258">
        <v>200</v>
      </c>
      <c r="J511" s="161"/>
      <c r="K511" s="161"/>
      <c r="L511" s="132" t="s">
        <v>330</v>
      </c>
    </row>
    <row r="512" ht="15" customHeight="1" spans="1:12">
      <c r="A512" s="44" t="s">
        <v>2325</v>
      </c>
      <c r="B512" s="258" t="s">
        <v>1040</v>
      </c>
      <c r="C512" s="109" t="s">
        <v>2326</v>
      </c>
      <c r="D512" s="109" t="s">
        <v>2327</v>
      </c>
      <c r="E512" s="158">
        <v>2020</v>
      </c>
      <c r="F512" s="158">
        <v>2020</v>
      </c>
      <c r="G512" s="258" t="s">
        <v>16</v>
      </c>
      <c r="H512" s="258">
        <v>200</v>
      </c>
      <c r="I512" s="258">
        <v>200</v>
      </c>
      <c r="J512" s="161"/>
      <c r="K512" s="161"/>
      <c r="L512" s="260" t="s">
        <v>330</v>
      </c>
    </row>
    <row r="513" ht="15" customHeight="1" spans="1:12">
      <c r="A513" s="44" t="s">
        <v>2328</v>
      </c>
      <c r="B513" s="258" t="s">
        <v>1040</v>
      </c>
      <c r="C513" s="109" t="s">
        <v>2329</v>
      </c>
      <c r="D513" s="109" t="s">
        <v>2330</v>
      </c>
      <c r="E513" s="158">
        <v>2020</v>
      </c>
      <c r="F513" s="158">
        <v>2020</v>
      </c>
      <c r="G513" s="258" t="s">
        <v>16</v>
      </c>
      <c r="H513" s="258">
        <v>200</v>
      </c>
      <c r="I513" s="258">
        <v>200</v>
      </c>
      <c r="J513" s="161"/>
      <c r="K513" s="161"/>
      <c r="L513" s="132" t="s">
        <v>330</v>
      </c>
    </row>
    <row r="514" ht="15" customHeight="1" spans="1:12">
      <c r="A514" s="44" t="s">
        <v>2331</v>
      </c>
      <c r="B514" s="258" t="s">
        <v>1040</v>
      </c>
      <c r="C514" s="109" t="s">
        <v>2332</v>
      </c>
      <c r="D514" s="109" t="s">
        <v>2333</v>
      </c>
      <c r="E514" s="158">
        <v>2020</v>
      </c>
      <c r="F514" s="158">
        <v>2020</v>
      </c>
      <c r="G514" s="258" t="s">
        <v>16</v>
      </c>
      <c r="H514" s="258">
        <v>200</v>
      </c>
      <c r="I514" s="258">
        <v>200</v>
      </c>
      <c r="J514" s="161"/>
      <c r="K514" s="161"/>
      <c r="L514" s="260" t="s">
        <v>330</v>
      </c>
    </row>
    <row r="515" ht="15" customHeight="1" spans="1:12">
      <c r="A515" s="44" t="s">
        <v>2334</v>
      </c>
      <c r="B515" s="258" t="s">
        <v>1040</v>
      </c>
      <c r="C515" s="109" t="s">
        <v>2335</v>
      </c>
      <c r="D515" s="109" t="s">
        <v>2336</v>
      </c>
      <c r="E515" s="158">
        <v>2020</v>
      </c>
      <c r="F515" s="158">
        <v>2020</v>
      </c>
      <c r="G515" s="258" t="s">
        <v>16</v>
      </c>
      <c r="H515" s="258">
        <v>200</v>
      </c>
      <c r="I515" s="258">
        <v>200</v>
      </c>
      <c r="J515" s="161"/>
      <c r="K515" s="161"/>
      <c r="L515" s="260" t="s">
        <v>330</v>
      </c>
    </row>
    <row r="516" ht="15" customHeight="1" spans="1:12">
      <c r="A516" s="44" t="s">
        <v>2337</v>
      </c>
      <c r="B516" s="258" t="s">
        <v>1040</v>
      </c>
      <c r="C516" s="109" t="s">
        <v>2338</v>
      </c>
      <c r="D516" s="109" t="s">
        <v>2339</v>
      </c>
      <c r="E516" s="158">
        <v>2020</v>
      </c>
      <c r="F516" s="158">
        <v>2020</v>
      </c>
      <c r="G516" s="258" t="s">
        <v>16</v>
      </c>
      <c r="H516" s="258">
        <v>200</v>
      </c>
      <c r="I516" s="258">
        <v>200</v>
      </c>
      <c r="J516" s="161"/>
      <c r="K516" s="161"/>
      <c r="L516" s="132" t="s">
        <v>330</v>
      </c>
    </row>
    <row r="517" ht="15" customHeight="1" spans="1:12">
      <c r="A517" s="44" t="s">
        <v>2340</v>
      </c>
      <c r="B517" s="29" t="s">
        <v>1040</v>
      </c>
      <c r="C517" s="6" t="s">
        <v>2341</v>
      </c>
      <c r="D517" s="6" t="s">
        <v>2342</v>
      </c>
      <c r="E517" s="30">
        <v>2020</v>
      </c>
      <c r="F517" s="30">
        <v>2020</v>
      </c>
      <c r="G517" s="29" t="s">
        <v>16</v>
      </c>
      <c r="H517" s="6">
        <v>3000</v>
      </c>
      <c r="I517" s="6">
        <v>3000</v>
      </c>
      <c r="J517" s="161"/>
      <c r="K517" s="161"/>
      <c r="L517" s="260" t="s">
        <v>330</v>
      </c>
    </row>
    <row r="518" ht="15" customHeight="1" spans="1:12">
      <c r="A518" s="44" t="s">
        <v>2343</v>
      </c>
      <c r="B518" s="258" t="s">
        <v>1040</v>
      </c>
      <c r="C518" s="109" t="s">
        <v>2344</v>
      </c>
      <c r="D518" s="109" t="s">
        <v>2345</v>
      </c>
      <c r="E518" s="158">
        <v>2020</v>
      </c>
      <c r="F518" s="158">
        <v>2020</v>
      </c>
      <c r="G518" s="258" t="s">
        <v>16</v>
      </c>
      <c r="H518" s="258">
        <v>200</v>
      </c>
      <c r="I518" s="258">
        <v>200</v>
      </c>
      <c r="J518" s="32"/>
      <c r="K518" s="32"/>
      <c r="L518" s="132" t="s">
        <v>330</v>
      </c>
    </row>
    <row r="519" ht="15" customHeight="1" spans="1:12">
      <c r="A519" s="44" t="s">
        <v>2346</v>
      </c>
      <c r="B519" s="258" t="s">
        <v>1040</v>
      </c>
      <c r="C519" s="109" t="s">
        <v>2347</v>
      </c>
      <c r="D519" s="109" t="s">
        <v>2348</v>
      </c>
      <c r="E519" s="158">
        <v>2020</v>
      </c>
      <c r="F519" s="158">
        <v>2020</v>
      </c>
      <c r="G519" s="258" t="s">
        <v>16</v>
      </c>
      <c r="H519" s="258">
        <v>200</v>
      </c>
      <c r="I519" s="258">
        <v>200</v>
      </c>
      <c r="J519" s="161"/>
      <c r="K519" s="161"/>
      <c r="L519" s="260" t="s">
        <v>330</v>
      </c>
    </row>
    <row r="520" ht="15" customHeight="1" spans="1:12">
      <c r="A520" s="44" t="s">
        <v>2349</v>
      </c>
      <c r="B520" s="258" t="s">
        <v>1040</v>
      </c>
      <c r="C520" s="109" t="s">
        <v>2350</v>
      </c>
      <c r="D520" s="109" t="s">
        <v>2351</v>
      </c>
      <c r="E520" s="158">
        <v>2020</v>
      </c>
      <c r="F520" s="158">
        <v>2020</v>
      </c>
      <c r="G520" s="258" t="s">
        <v>16</v>
      </c>
      <c r="H520" s="258">
        <v>200</v>
      </c>
      <c r="I520" s="258">
        <v>200</v>
      </c>
      <c r="J520" s="161"/>
      <c r="K520" s="161"/>
      <c r="L520" s="132" t="s">
        <v>330</v>
      </c>
    </row>
    <row r="521" ht="15" customHeight="1" spans="1:12">
      <c r="A521" s="44" t="s">
        <v>2352</v>
      </c>
      <c r="B521" s="258" t="s">
        <v>1040</v>
      </c>
      <c r="C521" s="109" t="s">
        <v>2353</v>
      </c>
      <c r="D521" s="109" t="s">
        <v>2354</v>
      </c>
      <c r="E521" s="158">
        <v>2020</v>
      </c>
      <c r="F521" s="158">
        <v>2020</v>
      </c>
      <c r="G521" s="258" t="s">
        <v>16</v>
      </c>
      <c r="H521" s="109">
        <v>3000</v>
      </c>
      <c r="I521" s="109">
        <v>3000</v>
      </c>
      <c r="J521" s="161"/>
      <c r="K521" s="161"/>
      <c r="L521" s="260" t="s">
        <v>330</v>
      </c>
    </row>
    <row r="522" ht="15" customHeight="1" spans="1:12">
      <c r="A522" s="44" t="s">
        <v>2355</v>
      </c>
      <c r="B522" s="258" t="s">
        <v>1040</v>
      </c>
      <c r="C522" s="109" t="s">
        <v>2356</v>
      </c>
      <c r="D522" s="109" t="s">
        <v>2357</v>
      </c>
      <c r="E522" s="158">
        <v>2020</v>
      </c>
      <c r="F522" s="158">
        <v>2020</v>
      </c>
      <c r="G522" s="258" t="s">
        <v>16</v>
      </c>
      <c r="H522" s="258">
        <v>200</v>
      </c>
      <c r="I522" s="258">
        <v>200</v>
      </c>
      <c r="J522" s="161"/>
      <c r="K522" s="161"/>
      <c r="L522" s="260" t="s">
        <v>330</v>
      </c>
    </row>
    <row r="523" ht="15" customHeight="1" spans="1:12">
      <c r="A523" s="44" t="s">
        <v>2358</v>
      </c>
      <c r="B523" s="29" t="s">
        <v>1040</v>
      </c>
      <c r="C523" s="6" t="s">
        <v>2359</v>
      </c>
      <c r="D523" s="6" t="s">
        <v>2360</v>
      </c>
      <c r="E523" s="30">
        <v>2020</v>
      </c>
      <c r="F523" s="30">
        <v>2020</v>
      </c>
      <c r="G523" s="29" t="s">
        <v>16</v>
      </c>
      <c r="H523" s="29">
        <v>200</v>
      </c>
      <c r="I523" s="29">
        <v>200</v>
      </c>
      <c r="J523" s="161"/>
      <c r="K523" s="161"/>
      <c r="L523" s="132" t="s">
        <v>330</v>
      </c>
    </row>
    <row r="524" ht="15" customHeight="1" spans="1:12">
      <c r="A524" s="44" t="s">
        <v>2361</v>
      </c>
      <c r="B524" s="29" t="s">
        <v>1040</v>
      </c>
      <c r="C524" s="6" t="s">
        <v>2362</v>
      </c>
      <c r="D524" s="6" t="s">
        <v>2363</v>
      </c>
      <c r="E524" s="30">
        <v>2020</v>
      </c>
      <c r="F524" s="30">
        <v>2020</v>
      </c>
      <c r="G524" s="29" t="s">
        <v>16</v>
      </c>
      <c r="H524" s="29">
        <v>200</v>
      </c>
      <c r="I524" s="29">
        <v>200</v>
      </c>
      <c r="J524" s="32"/>
      <c r="K524" s="32"/>
      <c r="L524" s="260" t="s">
        <v>330</v>
      </c>
    </row>
    <row r="525" ht="15" customHeight="1" spans="1:12">
      <c r="A525" s="44" t="s">
        <v>2364</v>
      </c>
      <c r="B525" s="258" t="s">
        <v>1040</v>
      </c>
      <c r="C525" s="109" t="s">
        <v>2365</v>
      </c>
      <c r="D525" s="109" t="s">
        <v>2366</v>
      </c>
      <c r="E525" s="158">
        <v>2020</v>
      </c>
      <c r="F525" s="158">
        <v>2020</v>
      </c>
      <c r="G525" s="258" t="s">
        <v>16</v>
      </c>
      <c r="H525" s="109">
        <v>500</v>
      </c>
      <c r="I525" s="109">
        <v>500</v>
      </c>
      <c r="J525" s="32"/>
      <c r="K525" s="32"/>
      <c r="L525" s="132" t="s">
        <v>330</v>
      </c>
    </row>
    <row r="526" ht="15" customHeight="1" spans="1:12">
      <c r="A526" s="44" t="s">
        <v>2367</v>
      </c>
      <c r="B526" s="258" t="s">
        <v>1040</v>
      </c>
      <c r="C526" s="109" t="s">
        <v>2368</v>
      </c>
      <c r="D526" s="109" t="s">
        <v>2369</v>
      </c>
      <c r="E526" s="158">
        <v>2020</v>
      </c>
      <c r="F526" s="158">
        <v>2020</v>
      </c>
      <c r="G526" s="258" t="s">
        <v>16</v>
      </c>
      <c r="H526" s="109">
        <v>500</v>
      </c>
      <c r="I526" s="109">
        <v>500</v>
      </c>
      <c r="J526" s="161"/>
      <c r="K526" s="161"/>
      <c r="L526" s="260" t="s">
        <v>330</v>
      </c>
    </row>
    <row r="527" ht="15" customHeight="1" spans="1:12">
      <c r="A527" s="44" t="s">
        <v>2370</v>
      </c>
      <c r="B527" s="258" t="s">
        <v>1040</v>
      </c>
      <c r="C527" s="109" t="s">
        <v>2371</v>
      </c>
      <c r="D527" s="109" t="s">
        <v>2372</v>
      </c>
      <c r="E527" s="158">
        <v>2020</v>
      </c>
      <c r="F527" s="158">
        <v>2020</v>
      </c>
      <c r="G527" s="258" t="s">
        <v>16</v>
      </c>
      <c r="H527" s="258">
        <v>200</v>
      </c>
      <c r="I527" s="258">
        <v>200</v>
      </c>
      <c r="J527" s="161"/>
      <c r="K527" s="161"/>
      <c r="L527" s="132" t="s">
        <v>330</v>
      </c>
    </row>
    <row r="528" ht="15" customHeight="1" spans="1:12">
      <c r="A528" s="44" t="s">
        <v>2373</v>
      </c>
      <c r="B528" s="258" t="s">
        <v>1040</v>
      </c>
      <c r="C528" s="109" t="s">
        <v>2374</v>
      </c>
      <c r="D528" s="109" t="s">
        <v>2375</v>
      </c>
      <c r="E528" s="158">
        <v>2020</v>
      </c>
      <c r="F528" s="158">
        <v>2020</v>
      </c>
      <c r="G528" s="258" t="s">
        <v>16</v>
      </c>
      <c r="H528" s="258">
        <v>200</v>
      </c>
      <c r="I528" s="258">
        <v>200</v>
      </c>
      <c r="J528" s="161"/>
      <c r="K528" s="161"/>
      <c r="L528" s="260" t="s">
        <v>330</v>
      </c>
    </row>
    <row r="529" ht="15" customHeight="1" spans="1:12">
      <c r="A529" s="44" t="s">
        <v>2376</v>
      </c>
      <c r="B529" s="29" t="s">
        <v>1040</v>
      </c>
      <c r="C529" s="6" t="s">
        <v>2377</v>
      </c>
      <c r="D529" s="6" t="s">
        <v>2378</v>
      </c>
      <c r="E529" s="30">
        <v>2020</v>
      </c>
      <c r="F529" s="30">
        <v>2020</v>
      </c>
      <c r="G529" s="29" t="s">
        <v>16</v>
      </c>
      <c r="H529" s="6">
        <v>300</v>
      </c>
      <c r="I529" s="6">
        <v>300</v>
      </c>
      <c r="J529" s="161"/>
      <c r="K529" s="161"/>
      <c r="L529" s="260" t="s">
        <v>330</v>
      </c>
    </row>
    <row r="530" ht="15" customHeight="1" spans="1:12">
      <c r="A530" s="44" t="s">
        <v>2379</v>
      </c>
      <c r="B530" s="29" t="s">
        <v>1040</v>
      </c>
      <c r="C530" s="6" t="s">
        <v>2380</v>
      </c>
      <c r="D530" s="6" t="s">
        <v>2381</v>
      </c>
      <c r="E530" s="30">
        <v>2020</v>
      </c>
      <c r="F530" s="30">
        <v>2020</v>
      </c>
      <c r="G530" s="29" t="s">
        <v>16</v>
      </c>
      <c r="H530" s="29">
        <v>200</v>
      </c>
      <c r="I530" s="29">
        <v>200</v>
      </c>
      <c r="J530" s="32"/>
      <c r="K530" s="32"/>
      <c r="L530" s="132" t="s">
        <v>330</v>
      </c>
    </row>
    <row r="531" ht="15" customHeight="1" spans="1:12">
      <c r="A531" s="44" t="s">
        <v>2382</v>
      </c>
      <c r="B531" s="258" t="s">
        <v>1040</v>
      </c>
      <c r="C531" s="109" t="s">
        <v>2383</v>
      </c>
      <c r="D531" s="109" t="s">
        <v>2384</v>
      </c>
      <c r="E531" s="158">
        <v>2020</v>
      </c>
      <c r="F531" s="158">
        <v>2020</v>
      </c>
      <c r="G531" s="258" t="s">
        <v>16</v>
      </c>
      <c r="H531" s="258">
        <v>200</v>
      </c>
      <c r="I531" s="258">
        <v>200</v>
      </c>
      <c r="J531" s="32"/>
      <c r="K531" s="32"/>
      <c r="L531" s="260" t="s">
        <v>330</v>
      </c>
    </row>
    <row r="532" ht="15" customHeight="1" spans="1:12">
      <c r="A532" s="44" t="s">
        <v>2385</v>
      </c>
      <c r="B532" s="258" t="s">
        <v>1040</v>
      </c>
      <c r="C532" s="109" t="s">
        <v>2386</v>
      </c>
      <c r="D532" s="109" t="s">
        <v>2387</v>
      </c>
      <c r="E532" s="158">
        <v>2020</v>
      </c>
      <c r="F532" s="158">
        <v>2020</v>
      </c>
      <c r="G532" s="258" t="s">
        <v>16</v>
      </c>
      <c r="H532" s="258">
        <v>200</v>
      </c>
      <c r="I532" s="258">
        <v>200</v>
      </c>
      <c r="J532" s="161"/>
      <c r="K532" s="161"/>
      <c r="L532" s="132" t="s">
        <v>330</v>
      </c>
    </row>
    <row r="533" ht="15" customHeight="1" spans="1:12">
      <c r="A533" s="44" t="s">
        <v>2388</v>
      </c>
      <c r="B533" s="258" t="s">
        <v>1040</v>
      </c>
      <c r="C533" s="109" t="s">
        <v>2389</v>
      </c>
      <c r="D533" s="109" t="s">
        <v>2390</v>
      </c>
      <c r="E533" s="158">
        <v>2020</v>
      </c>
      <c r="F533" s="158">
        <v>2020</v>
      </c>
      <c r="G533" s="258" t="s">
        <v>16</v>
      </c>
      <c r="H533" s="258">
        <v>200</v>
      </c>
      <c r="I533" s="258">
        <v>200</v>
      </c>
      <c r="J533" s="161"/>
      <c r="K533" s="161"/>
      <c r="L533" s="260" t="s">
        <v>330</v>
      </c>
    </row>
    <row r="534" ht="15" customHeight="1" spans="1:12">
      <c r="A534" s="44" t="s">
        <v>2391</v>
      </c>
      <c r="B534" s="29" t="s">
        <v>1040</v>
      </c>
      <c r="C534" s="6" t="s">
        <v>2392</v>
      </c>
      <c r="D534" s="6" t="s">
        <v>2393</v>
      </c>
      <c r="E534" s="30">
        <v>2020</v>
      </c>
      <c r="F534" s="30">
        <v>2020</v>
      </c>
      <c r="G534" s="29" t="s">
        <v>16</v>
      </c>
      <c r="H534" s="29">
        <v>200</v>
      </c>
      <c r="I534" s="29">
        <v>200</v>
      </c>
      <c r="J534" s="161"/>
      <c r="K534" s="161"/>
      <c r="L534" s="132" t="s">
        <v>330</v>
      </c>
    </row>
    <row r="535" ht="15" customHeight="1" spans="1:12">
      <c r="A535" s="44" t="s">
        <v>2394</v>
      </c>
      <c r="B535" s="29" t="s">
        <v>1040</v>
      </c>
      <c r="C535" s="6" t="s">
        <v>2395</v>
      </c>
      <c r="D535" s="6" t="s">
        <v>2396</v>
      </c>
      <c r="E535" s="30">
        <v>2020</v>
      </c>
      <c r="F535" s="30">
        <v>2020</v>
      </c>
      <c r="G535" s="29" t="s">
        <v>16</v>
      </c>
      <c r="H535" s="29">
        <v>200</v>
      </c>
      <c r="I535" s="29">
        <v>200</v>
      </c>
      <c r="J535" s="32"/>
      <c r="K535" s="32"/>
      <c r="L535" s="260" t="s">
        <v>330</v>
      </c>
    </row>
    <row r="536" ht="15" customHeight="1" spans="1:12">
      <c r="A536" s="44" t="s">
        <v>2397</v>
      </c>
      <c r="B536" s="258" t="s">
        <v>1040</v>
      </c>
      <c r="C536" s="109" t="s">
        <v>2398</v>
      </c>
      <c r="D536" s="109" t="s">
        <v>2399</v>
      </c>
      <c r="E536" s="158">
        <v>2020</v>
      </c>
      <c r="F536" s="158">
        <v>2020</v>
      </c>
      <c r="G536" s="258" t="s">
        <v>16</v>
      </c>
      <c r="H536" s="258">
        <v>200</v>
      </c>
      <c r="I536" s="258">
        <v>200</v>
      </c>
      <c r="J536" s="32"/>
      <c r="K536" s="32"/>
      <c r="L536" s="260" t="s">
        <v>330</v>
      </c>
    </row>
    <row r="537" ht="15" customHeight="1" spans="1:12">
      <c r="A537" s="44" t="s">
        <v>2400</v>
      </c>
      <c r="B537" s="258" t="s">
        <v>1040</v>
      </c>
      <c r="C537" s="109" t="s">
        <v>2401</v>
      </c>
      <c r="D537" s="109" t="s">
        <v>2402</v>
      </c>
      <c r="E537" s="158">
        <v>2020</v>
      </c>
      <c r="F537" s="158">
        <v>2020</v>
      </c>
      <c r="G537" s="258" t="s">
        <v>16</v>
      </c>
      <c r="H537" s="109">
        <v>500</v>
      </c>
      <c r="I537" s="109">
        <v>500</v>
      </c>
      <c r="J537" s="161"/>
      <c r="K537" s="161"/>
      <c r="L537" s="132" t="s">
        <v>330</v>
      </c>
    </row>
    <row r="538" ht="15" customHeight="1" spans="1:12">
      <c r="A538" s="44" t="s">
        <v>2403</v>
      </c>
      <c r="B538" s="29" t="s">
        <v>1040</v>
      </c>
      <c r="C538" s="6" t="s">
        <v>2404</v>
      </c>
      <c r="D538" s="6" t="s">
        <v>2405</v>
      </c>
      <c r="E538" s="30">
        <v>2020</v>
      </c>
      <c r="F538" s="30">
        <v>2020</v>
      </c>
      <c r="G538" s="29" t="s">
        <v>16</v>
      </c>
      <c r="H538" s="29">
        <v>200</v>
      </c>
      <c r="I538" s="29">
        <v>200</v>
      </c>
      <c r="J538" s="161"/>
      <c r="K538" s="161"/>
      <c r="L538" s="260" t="s">
        <v>330</v>
      </c>
    </row>
    <row r="539" ht="15" customHeight="1" spans="1:12">
      <c r="A539" s="44" t="s">
        <v>2406</v>
      </c>
      <c r="B539" s="29" t="s">
        <v>1040</v>
      </c>
      <c r="C539" s="6" t="s">
        <v>2407</v>
      </c>
      <c r="D539" s="6" t="s">
        <v>2408</v>
      </c>
      <c r="E539" s="30">
        <v>2020</v>
      </c>
      <c r="F539" s="30">
        <v>2020</v>
      </c>
      <c r="G539" s="29" t="s">
        <v>16</v>
      </c>
      <c r="H539" s="29">
        <v>200</v>
      </c>
      <c r="I539" s="29">
        <v>200</v>
      </c>
      <c r="J539" s="32" t="s">
        <v>1242</v>
      </c>
      <c r="K539" s="32"/>
      <c r="L539" s="132" t="s">
        <v>330</v>
      </c>
    </row>
    <row r="540" ht="15" customHeight="1" spans="1:12">
      <c r="A540" s="44" t="s">
        <v>2409</v>
      </c>
      <c r="B540" s="258" t="s">
        <v>1040</v>
      </c>
      <c r="C540" s="109" t="s">
        <v>2410</v>
      </c>
      <c r="D540" s="109" t="s">
        <v>2411</v>
      </c>
      <c r="E540" s="158">
        <v>2020</v>
      </c>
      <c r="F540" s="158">
        <v>2020</v>
      </c>
      <c r="G540" s="258" t="s">
        <v>16</v>
      </c>
      <c r="H540" s="258">
        <v>200</v>
      </c>
      <c r="I540" s="258">
        <v>200</v>
      </c>
      <c r="J540" s="32" t="s">
        <v>1242</v>
      </c>
      <c r="K540" s="32"/>
      <c r="L540" s="260" t="s">
        <v>330</v>
      </c>
    </row>
    <row r="541" ht="15" customHeight="1" spans="1:12">
      <c r="A541" s="44" t="s">
        <v>2412</v>
      </c>
      <c r="B541" s="29" t="s">
        <v>1040</v>
      </c>
      <c r="C541" s="6" t="s">
        <v>2413</v>
      </c>
      <c r="D541" s="6" t="s">
        <v>2414</v>
      </c>
      <c r="E541" s="30">
        <v>2020</v>
      </c>
      <c r="F541" s="30">
        <v>2020</v>
      </c>
      <c r="G541" s="29" t="s">
        <v>16</v>
      </c>
      <c r="H541" s="29">
        <v>200</v>
      </c>
      <c r="I541" s="29">
        <v>200</v>
      </c>
      <c r="J541" s="161"/>
      <c r="K541" s="161"/>
      <c r="L541" s="132" t="s">
        <v>330</v>
      </c>
    </row>
    <row r="542" ht="15" customHeight="1" spans="1:12">
      <c r="A542" s="44" t="s">
        <v>2415</v>
      </c>
      <c r="B542" s="29" t="s">
        <v>1040</v>
      </c>
      <c r="C542" s="6" t="s">
        <v>2416</v>
      </c>
      <c r="D542" s="6" t="s">
        <v>2417</v>
      </c>
      <c r="E542" s="30">
        <v>2020</v>
      </c>
      <c r="F542" s="30">
        <v>2020</v>
      </c>
      <c r="G542" s="29" t="s">
        <v>16</v>
      </c>
      <c r="H542" s="29">
        <v>200</v>
      </c>
      <c r="I542" s="29">
        <v>200</v>
      </c>
      <c r="J542" s="32"/>
      <c r="K542" s="32"/>
      <c r="L542" s="260" t="s">
        <v>330</v>
      </c>
    </row>
    <row r="543" ht="15" customHeight="1" spans="1:12">
      <c r="A543" s="44" t="s">
        <v>2418</v>
      </c>
      <c r="B543" s="258" t="s">
        <v>1040</v>
      </c>
      <c r="C543" s="109" t="s">
        <v>2419</v>
      </c>
      <c r="D543" s="109" t="s">
        <v>2420</v>
      </c>
      <c r="E543" s="158">
        <v>2020</v>
      </c>
      <c r="F543" s="158">
        <v>2020</v>
      </c>
      <c r="G543" s="258" t="s">
        <v>16</v>
      </c>
      <c r="H543" s="109">
        <v>300</v>
      </c>
      <c r="I543" s="109">
        <v>300</v>
      </c>
      <c r="J543" s="32"/>
      <c r="K543" s="32"/>
      <c r="L543" s="260" t="s">
        <v>330</v>
      </c>
    </row>
    <row r="544" ht="15" customHeight="1" spans="1:12">
      <c r="A544" s="44" t="s">
        <v>2421</v>
      </c>
      <c r="B544" s="29" t="s">
        <v>1040</v>
      </c>
      <c r="C544" s="6" t="s">
        <v>2422</v>
      </c>
      <c r="D544" s="6" t="s">
        <v>2423</v>
      </c>
      <c r="E544" s="30">
        <v>2020</v>
      </c>
      <c r="F544" s="30">
        <v>2020</v>
      </c>
      <c r="G544" s="29" t="s">
        <v>16</v>
      </c>
      <c r="H544" s="6">
        <v>500</v>
      </c>
      <c r="I544" s="6">
        <v>500</v>
      </c>
      <c r="J544" s="161"/>
      <c r="K544" s="161"/>
      <c r="L544" s="132" t="s">
        <v>330</v>
      </c>
    </row>
    <row r="545" ht="15" customHeight="1" spans="1:12">
      <c r="A545" s="44" t="s">
        <v>2424</v>
      </c>
      <c r="B545" s="29" t="s">
        <v>1040</v>
      </c>
      <c r="C545" s="6" t="s">
        <v>2425</v>
      </c>
      <c r="D545" s="6" t="s">
        <v>2426</v>
      </c>
      <c r="E545" s="30">
        <v>2020</v>
      </c>
      <c r="F545" s="30">
        <v>2020</v>
      </c>
      <c r="G545" s="29" t="s">
        <v>16</v>
      </c>
      <c r="H545" s="6" t="s">
        <v>2295</v>
      </c>
      <c r="I545" s="6">
        <v>500</v>
      </c>
      <c r="J545" s="32"/>
      <c r="K545" s="32"/>
      <c r="L545" s="260" t="s">
        <v>330</v>
      </c>
    </row>
    <row r="546" ht="15" customHeight="1" spans="1:12">
      <c r="A546" s="44" t="s">
        <v>2427</v>
      </c>
      <c r="B546" s="29" t="s">
        <v>1040</v>
      </c>
      <c r="C546" s="6" t="s">
        <v>2428</v>
      </c>
      <c r="D546" s="6" t="s">
        <v>2429</v>
      </c>
      <c r="E546" s="30">
        <v>2020</v>
      </c>
      <c r="F546" s="30">
        <v>2020</v>
      </c>
      <c r="G546" s="29" t="s">
        <v>16</v>
      </c>
      <c r="H546" s="29" t="s">
        <v>311</v>
      </c>
      <c r="I546" s="29">
        <v>200</v>
      </c>
      <c r="J546" s="32"/>
      <c r="K546" s="32"/>
      <c r="L546" s="132" t="s">
        <v>330</v>
      </c>
    </row>
    <row r="547" ht="15" customHeight="1" spans="1:12">
      <c r="A547" s="44" t="s">
        <v>2430</v>
      </c>
      <c r="B547" s="29" t="s">
        <v>1040</v>
      </c>
      <c r="C547" s="6" t="s">
        <v>2431</v>
      </c>
      <c r="D547" s="6" t="s">
        <v>2432</v>
      </c>
      <c r="E547" s="30">
        <v>2020</v>
      </c>
      <c r="F547" s="30">
        <v>2020</v>
      </c>
      <c r="G547" s="29" t="s">
        <v>16</v>
      </c>
      <c r="H547" s="29">
        <v>200</v>
      </c>
      <c r="I547" s="29">
        <v>200</v>
      </c>
      <c r="J547" s="32" t="s">
        <v>1082</v>
      </c>
      <c r="K547" s="32"/>
      <c r="L547" s="260" t="s">
        <v>330</v>
      </c>
    </row>
    <row r="548" ht="15" customHeight="1" spans="1:12">
      <c r="A548" s="44" t="s">
        <v>2433</v>
      </c>
      <c r="B548" s="29" t="s">
        <v>1040</v>
      </c>
      <c r="C548" s="6" t="s">
        <v>2434</v>
      </c>
      <c r="D548" s="6" t="s">
        <v>2435</v>
      </c>
      <c r="E548" s="30">
        <v>2020</v>
      </c>
      <c r="F548" s="30">
        <v>2020</v>
      </c>
      <c r="G548" s="29" t="s">
        <v>16</v>
      </c>
      <c r="H548" s="29">
        <v>200</v>
      </c>
      <c r="I548" s="29">
        <v>200</v>
      </c>
      <c r="J548" s="32" t="s">
        <v>1082</v>
      </c>
      <c r="K548" s="32"/>
      <c r="L548" s="132" t="s">
        <v>330</v>
      </c>
    </row>
    <row r="549" ht="15" customHeight="1" spans="1:12">
      <c r="A549" s="44" t="s">
        <v>2436</v>
      </c>
      <c r="B549" s="258" t="s">
        <v>1040</v>
      </c>
      <c r="C549" s="109" t="s">
        <v>2437</v>
      </c>
      <c r="D549" s="109" t="s">
        <v>2438</v>
      </c>
      <c r="E549" s="158">
        <v>2020</v>
      </c>
      <c r="F549" s="158">
        <v>2020</v>
      </c>
      <c r="G549" s="258" t="s">
        <v>16</v>
      </c>
      <c r="H549" s="258">
        <v>200</v>
      </c>
      <c r="I549" s="258">
        <v>200</v>
      </c>
      <c r="J549" s="32" t="s">
        <v>1082</v>
      </c>
      <c r="K549" s="32"/>
      <c r="L549" s="260" t="s">
        <v>330</v>
      </c>
    </row>
    <row r="550" ht="15" customHeight="1" spans="1:12">
      <c r="A550" s="44" t="s">
        <v>2439</v>
      </c>
      <c r="B550" s="258" t="s">
        <v>1040</v>
      </c>
      <c r="C550" s="109" t="s">
        <v>2440</v>
      </c>
      <c r="D550" s="109" t="s">
        <v>2441</v>
      </c>
      <c r="E550" s="158">
        <v>2020</v>
      </c>
      <c r="F550" s="158">
        <v>2020</v>
      </c>
      <c r="G550" s="258" t="s">
        <v>16</v>
      </c>
      <c r="H550" s="258">
        <v>200</v>
      </c>
      <c r="I550" s="258">
        <v>200</v>
      </c>
      <c r="J550" s="161"/>
      <c r="K550" s="161"/>
      <c r="L550" s="260" t="s">
        <v>330</v>
      </c>
    </row>
    <row r="551" ht="15" customHeight="1" spans="1:12">
      <c r="A551" s="44" t="s">
        <v>2442</v>
      </c>
      <c r="B551" s="258" t="s">
        <v>1040</v>
      </c>
      <c r="C551" s="109" t="s">
        <v>2443</v>
      </c>
      <c r="D551" s="109" t="s">
        <v>2444</v>
      </c>
      <c r="E551" s="158">
        <v>2020</v>
      </c>
      <c r="F551" s="158">
        <v>2020</v>
      </c>
      <c r="G551" s="258" t="s">
        <v>16</v>
      </c>
      <c r="H551" s="258">
        <v>200</v>
      </c>
      <c r="I551" s="258">
        <v>200</v>
      </c>
      <c r="J551" s="161"/>
      <c r="K551" s="161"/>
      <c r="L551" s="132" t="s">
        <v>330</v>
      </c>
    </row>
    <row r="552" ht="15" customHeight="1" spans="1:12">
      <c r="A552" s="44" t="s">
        <v>2445</v>
      </c>
      <c r="B552" s="258" t="s">
        <v>1040</v>
      </c>
      <c r="C552" s="109" t="s">
        <v>2446</v>
      </c>
      <c r="D552" s="109" t="s">
        <v>2447</v>
      </c>
      <c r="E552" s="158">
        <v>2020</v>
      </c>
      <c r="F552" s="158">
        <v>2020</v>
      </c>
      <c r="G552" s="258" t="s">
        <v>16</v>
      </c>
      <c r="H552" s="258">
        <v>200</v>
      </c>
      <c r="I552" s="258">
        <v>200</v>
      </c>
      <c r="J552" s="161"/>
      <c r="K552" s="161"/>
      <c r="L552" s="260" t="s">
        <v>330</v>
      </c>
    </row>
    <row r="553" ht="15" customHeight="1" spans="1:12">
      <c r="A553" s="44" t="s">
        <v>2448</v>
      </c>
      <c r="B553" s="258" t="s">
        <v>1040</v>
      </c>
      <c r="C553" s="109" t="s">
        <v>2449</v>
      </c>
      <c r="D553" s="109" t="s">
        <v>2450</v>
      </c>
      <c r="E553" s="158">
        <v>2020</v>
      </c>
      <c r="F553" s="158">
        <v>2020</v>
      </c>
      <c r="G553" s="258" t="s">
        <v>16</v>
      </c>
      <c r="H553" s="258">
        <v>200</v>
      </c>
      <c r="I553" s="258">
        <v>200</v>
      </c>
      <c r="J553" s="161"/>
      <c r="K553" s="161"/>
      <c r="L553" s="132" t="s">
        <v>330</v>
      </c>
    </row>
    <row r="554" ht="15" customHeight="1" spans="1:12">
      <c r="A554" s="44" t="s">
        <v>2451</v>
      </c>
      <c r="B554" s="258" t="s">
        <v>1040</v>
      </c>
      <c r="C554" s="109" t="s">
        <v>2452</v>
      </c>
      <c r="D554" s="109" t="s">
        <v>2453</v>
      </c>
      <c r="E554" s="264" t="s">
        <v>1047</v>
      </c>
      <c r="F554" s="264">
        <v>2020</v>
      </c>
      <c r="G554" s="258" t="s">
        <v>289</v>
      </c>
      <c r="H554" s="258" t="s">
        <v>311</v>
      </c>
      <c r="I554" s="258">
        <v>400</v>
      </c>
      <c r="J554" s="161"/>
      <c r="K554" s="161"/>
      <c r="L554" s="260" t="s">
        <v>330</v>
      </c>
    </row>
    <row r="555" ht="15" customHeight="1" spans="1:12">
      <c r="A555" s="44" t="s">
        <v>2454</v>
      </c>
      <c r="B555" s="258" t="s">
        <v>1040</v>
      </c>
      <c r="C555" s="109" t="s">
        <v>2455</v>
      </c>
      <c r="D555" s="109" t="s">
        <v>2456</v>
      </c>
      <c r="E555" s="264" t="s">
        <v>1047</v>
      </c>
      <c r="F555" s="264">
        <v>2020</v>
      </c>
      <c r="G555" s="258" t="s">
        <v>289</v>
      </c>
      <c r="H555" s="258" t="s">
        <v>311</v>
      </c>
      <c r="I555" s="258">
        <v>400</v>
      </c>
      <c r="J555" s="161"/>
      <c r="K555" s="161"/>
      <c r="L555" s="132" t="s">
        <v>330</v>
      </c>
    </row>
    <row r="556" ht="15" customHeight="1" spans="1:12">
      <c r="A556" s="44" t="s">
        <v>2457</v>
      </c>
      <c r="B556" s="258" t="s">
        <v>1040</v>
      </c>
      <c r="C556" s="109" t="s">
        <v>2458</v>
      </c>
      <c r="D556" s="109" t="s">
        <v>2459</v>
      </c>
      <c r="E556" s="264" t="s">
        <v>1047</v>
      </c>
      <c r="F556" s="264">
        <v>2020</v>
      </c>
      <c r="G556" s="258" t="s">
        <v>2460</v>
      </c>
      <c r="H556" s="258" t="s">
        <v>311</v>
      </c>
      <c r="I556" s="258">
        <v>400</v>
      </c>
      <c r="J556" s="161"/>
      <c r="K556" s="161"/>
      <c r="L556" s="260" t="s">
        <v>330</v>
      </c>
    </row>
    <row r="557" ht="15" customHeight="1" spans="1:12">
      <c r="A557" s="44" t="s">
        <v>2461</v>
      </c>
      <c r="B557" s="258" t="s">
        <v>1040</v>
      </c>
      <c r="C557" s="109" t="s">
        <v>2462</v>
      </c>
      <c r="D557" s="109" t="s">
        <v>2463</v>
      </c>
      <c r="E557" s="30" t="s">
        <v>15</v>
      </c>
      <c r="F557" s="30">
        <v>2020</v>
      </c>
      <c r="G557" s="258" t="s">
        <v>2464</v>
      </c>
      <c r="H557" s="258">
        <v>200</v>
      </c>
      <c r="I557" s="258">
        <v>200</v>
      </c>
      <c r="J557" s="161"/>
      <c r="K557" s="161"/>
      <c r="L557" s="260" t="s">
        <v>330</v>
      </c>
    </row>
    <row r="558" ht="15" customHeight="1" spans="1:12">
      <c r="A558" s="44" t="s">
        <v>2465</v>
      </c>
      <c r="B558" s="258" t="s">
        <v>1040</v>
      </c>
      <c r="C558" s="29" t="s">
        <v>2466</v>
      </c>
      <c r="D558" s="29" t="s">
        <v>2467</v>
      </c>
      <c r="E558" s="158">
        <v>2020</v>
      </c>
      <c r="F558" s="158">
        <v>2020</v>
      </c>
      <c r="G558" s="258" t="s">
        <v>16</v>
      </c>
      <c r="H558" s="258">
        <v>200</v>
      </c>
      <c r="I558" s="258">
        <v>200</v>
      </c>
      <c r="J558" s="161"/>
      <c r="K558" s="161"/>
      <c r="L558" s="132" t="s">
        <v>330</v>
      </c>
    </row>
    <row r="559" ht="15.2" customHeight="1" spans="1:12">
      <c r="A559" s="108"/>
      <c r="B559" s="108"/>
      <c r="C559" s="108"/>
      <c r="D559" s="108"/>
      <c r="E559" s="108"/>
      <c r="F559" s="108"/>
      <c r="G559" s="108"/>
      <c r="H559" s="108"/>
      <c r="I559" s="108">
        <v>130400</v>
      </c>
      <c r="J559" s="161"/>
      <c r="K559" s="161"/>
      <c r="L559" s="260"/>
    </row>
  </sheetData>
  <mergeCells count="2">
    <mergeCell ref="A1:K1"/>
    <mergeCell ref="E2:F2"/>
  </mergeCells>
  <pageMargins left="0.7" right="0.7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72"/>
  <sheetViews>
    <sheetView topLeftCell="A425" workbookViewId="0">
      <selection activeCell="A3" sqref="A3:L468"/>
    </sheetView>
  </sheetViews>
  <sheetFormatPr defaultColWidth="9" defaultRowHeight="13.5"/>
  <cols>
    <col min="1" max="1" width="6" style="203" customWidth="1"/>
    <col min="2" max="2" width="11.125" style="203" customWidth="1"/>
    <col min="3" max="3" width="13.75" style="203" customWidth="1"/>
    <col min="4" max="4" width="19.25" style="203" customWidth="1"/>
    <col min="5" max="5" width="10.625" style="203" customWidth="1"/>
    <col min="6" max="6" width="9.75" style="203" customWidth="1"/>
    <col min="7" max="7" width="16.25" style="203" customWidth="1"/>
    <col min="8" max="8" width="11.625" style="203" customWidth="1"/>
    <col min="9" max="9" width="14.375" style="203" customWidth="1"/>
    <col min="10" max="10" width="6" style="203" customWidth="1"/>
    <col min="11" max="11" width="15.375" style="203" customWidth="1"/>
    <col min="12" max="12" width="11.75" customWidth="1"/>
    <col min="13" max="13" width="24.875" customWidth="1"/>
  </cols>
  <sheetData>
    <row r="1" customFormat="1" ht="18.75" spans="1:12">
      <c r="A1" s="99" t="s">
        <v>2468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5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s="97" customFormat="1" ht="15" customHeight="1" spans="1:12">
      <c r="A3" s="2" t="s">
        <v>316</v>
      </c>
      <c r="B3" s="111" t="s">
        <v>2469</v>
      </c>
      <c r="C3" s="130" t="s">
        <v>2470</v>
      </c>
      <c r="D3" s="154" t="s">
        <v>2471</v>
      </c>
      <c r="E3" s="2" t="s">
        <v>320</v>
      </c>
      <c r="F3" s="2" t="s">
        <v>2472</v>
      </c>
      <c r="G3" s="2" t="s">
        <v>289</v>
      </c>
      <c r="H3" s="2" t="s">
        <v>311</v>
      </c>
      <c r="I3" s="41">
        <v>600</v>
      </c>
      <c r="J3" s="2"/>
      <c r="K3" s="104"/>
      <c r="L3" s="105">
        <v>20200814</v>
      </c>
    </row>
    <row r="4" s="97" customFormat="1" ht="15" customHeight="1" spans="1:12">
      <c r="A4" s="2" t="s">
        <v>322</v>
      </c>
      <c r="B4" s="111" t="s">
        <v>2469</v>
      </c>
      <c r="C4" s="111" t="s">
        <v>2473</v>
      </c>
      <c r="D4" s="102" t="s">
        <v>2474</v>
      </c>
      <c r="E4" s="2" t="s">
        <v>288</v>
      </c>
      <c r="F4" s="2" t="s">
        <v>1047</v>
      </c>
      <c r="G4" s="2" t="s">
        <v>289</v>
      </c>
      <c r="H4" s="2" t="s">
        <v>311</v>
      </c>
      <c r="I4" s="41">
        <v>600</v>
      </c>
      <c r="J4" s="2"/>
      <c r="K4" s="104"/>
      <c r="L4" s="105">
        <v>20201224</v>
      </c>
    </row>
    <row r="5" spans="1:12">
      <c r="A5" s="132" t="s">
        <v>326</v>
      </c>
      <c r="B5" s="102" t="s">
        <v>2469</v>
      </c>
      <c r="C5" s="9" t="s">
        <v>2475</v>
      </c>
      <c r="D5" s="9" t="s">
        <v>2476</v>
      </c>
      <c r="E5" s="102">
        <v>2020</v>
      </c>
      <c r="F5" s="102">
        <v>2020</v>
      </c>
      <c r="G5" s="9" t="s">
        <v>2477</v>
      </c>
      <c r="H5" s="9">
        <v>200</v>
      </c>
      <c r="I5" s="9">
        <v>200</v>
      </c>
      <c r="J5" s="128"/>
      <c r="K5" s="102"/>
      <c r="L5" s="105">
        <v>20201118</v>
      </c>
    </row>
    <row r="6" spans="1:12">
      <c r="A6" s="2" t="s">
        <v>331</v>
      </c>
      <c r="B6" s="102" t="s">
        <v>2469</v>
      </c>
      <c r="C6" s="9" t="s">
        <v>2478</v>
      </c>
      <c r="D6" s="9" t="s">
        <v>2479</v>
      </c>
      <c r="E6" s="102">
        <v>2020</v>
      </c>
      <c r="F6" s="102">
        <v>2020</v>
      </c>
      <c r="G6" s="9" t="s">
        <v>2480</v>
      </c>
      <c r="H6" s="9">
        <v>200</v>
      </c>
      <c r="I6" s="9">
        <v>200</v>
      </c>
      <c r="J6" s="128"/>
      <c r="K6" s="102"/>
      <c r="L6" s="105">
        <v>20201118</v>
      </c>
    </row>
    <row r="7" spans="1:12">
      <c r="A7" s="2" t="s">
        <v>334</v>
      </c>
      <c r="B7" s="102" t="s">
        <v>2469</v>
      </c>
      <c r="C7" s="9" t="s">
        <v>2481</v>
      </c>
      <c r="D7" s="9" t="s">
        <v>2482</v>
      </c>
      <c r="E7" s="102">
        <v>2020</v>
      </c>
      <c r="F7" s="102">
        <v>2020</v>
      </c>
      <c r="G7" s="9" t="s">
        <v>2480</v>
      </c>
      <c r="H7" s="9">
        <v>200</v>
      </c>
      <c r="I7" s="9">
        <v>200</v>
      </c>
      <c r="J7" s="102"/>
      <c r="K7" s="102"/>
      <c r="L7" s="105">
        <v>20201118</v>
      </c>
    </row>
    <row r="8" spans="1:12">
      <c r="A8" s="132" t="s">
        <v>337</v>
      </c>
      <c r="B8" s="102" t="s">
        <v>2469</v>
      </c>
      <c r="C8" s="9" t="s">
        <v>2483</v>
      </c>
      <c r="D8" s="9" t="s">
        <v>2484</v>
      </c>
      <c r="E8" s="102">
        <v>2020</v>
      </c>
      <c r="F8" s="102">
        <v>2020</v>
      </c>
      <c r="G8" s="9" t="s">
        <v>2480</v>
      </c>
      <c r="H8" s="9">
        <v>200</v>
      </c>
      <c r="I8" s="9">
        <v>200</v>
      </c>
      <c r="J8" s="102"/>
      <c r="K8" s="102"/>
      <c r="L8" s="105">
        <v>20201118</v>
      </c>
    </row>
    <row r="9" spans="1:12">
      <c r="A9" s="2" t="s">
        <v>340</v>
      </c>
      <c r="B9" s="102" t="s">
        <v>2469</v>
      </c>
      <c r="C9" s="9" t="s">
        <v>2485</v>
      </c>
      <c r="D9" s="9" t="s">
        <v>2486</v>
      </c>
      <c r="E9" s="102">
        <v>2020</v>
      </c>
      <c r="F9" s="102">
        <v>2020</v>
      </c>
      <c r="G9" s="9" t="s">
        <v>2480</v>
      </c>
      <c r="H9" s="9">
        <v>200</v>
      </c>
      <c r="I9" s="9">
        <v>200</v>
      </c>
      <c r="J9" s="102"/>
      <c r="K9" s="102"/>
      <c r="L9" s="105">
        <v>20201118</v>
      </c>
    </row>
    <row r="10" spans="1:12">
      <c r="A10" s="2" t="s">
        <v>343</v>
      </c>
      <c r="B10" s="102" t="s">
        <v>2469</v>
      </c>
      <c r="C10" s="9" t="s">
        <v>2487</v>
      </c>
      <c r="D10" s="9" t="s">
        <v>2488</v>
      </c>
      <c r="E10" s="102">
        <v>2020</v>
      </c>
      <c r="F10" s="102">
        <v>2020</v>
      </c>
      <c r="G10" s="9" t="s">
        <v>2480</v>
      </c>
      <c r="H10" s="9">
        <v>200</v>
      </c>
      <c r="I10" s="9">
        <v>200</v>
      </c>
      <c r="J10" s="102"/>
      <c r="K10" s="102"/>
      <c r="L10" s="105">
        <v>20201118</v>
      </c>
    </row>
    <row r="11" spans="1:12">
      <c r="A11" s="2" t="s">
        <v>346</v>
      </c>
      <c r="B11" s="102" t="s">
        <v>2469</v>
      </c>
      <c r="C11" s="9" t="s">
        <v>2489</v>
      </c>
      <c r="D11" s="9" t="s">
        <v>2490</v>
      </c>
      <c r="E11" s="102">
        <v>2020</v>
      </c>
      <c r="F11" s="102">
        <v>2020</v>
      </c>
      <c r="G11" s="9" t="s">
        <v>2480</v>
      </c>
      <c r="H11" s="9">
        <v>200</v>
      </c>
      <c r="I11" s="9">
        <v>200</v>
      </c>
      <c r="J11" s="102"/>
      <c r="K11" s="102"/>
      <c r="L11" s="105">
        <v>20201118</v>
      </c>
    </row>
    <row r="12" spans="1:12">
      <c r="A12" s="2" t="s">
        <v>349</v>
      </c>
      <c r="B12" s="102" t="s">
        <v>2469</v>
      </c>
      <c r="C12" s="9" t="s">
        <v>2491</v>
      </c>
      <c r="D12" s="9" t="s">
        <v>2492</v>
      </c>
      <c r="E12" s="102">
        <v>2020</v>
      </c>
      <c r="F12" s="102">
        <v>2020</v>
      </c>
      <c r="G12" s="9" t="s">
        <v>2480</v>
      </c>
      <c r="H12" s="9">
        <v>200</v>
      </c>
      <c r="I12" s="9">
        <v>200</v>
      </c>
      <c r="J12" s="102"/>
      <c r="K12" s="102"/>
      <c r="L12" s="105">
        <v>20201118</v>
      </c>
    </row>
    <row r="13" spans="1:12">
      <c r="A13" s="132" t="s">
        <v>352</v>
      </c>
      <c r="B13" s="102" t="s">
        <v>2469</v>
      </c>
      <c r="C13" s="9" t="s">
        <v>2493</v>
      </c>
      <c r="D13" s="9" t="s">
        <v>2494</v>
      </c>
      <c r="E13" s="102">
        <v>2020</v>
      </c>
      <c r="F13" s="102">
        <v>2020</v>
      </c>
      <c r="G13" s="9" t="s">
        <v>2480</v>
      </c>
      <c r="H13" s="9">
        <v>200</v>
      </c>
      <c r="I13" s="9">
        <v>200</v>
      </c>
      <c r="J13" s="102"/>
      <c r="K13" s="102"/>
      <c r="L13" s="105">
        <v>20201118</v>
      </c>
    </row>
    <row r="14" spans="1:12">
      <c r="A14" s="2" t="s">
        <v>355</v>
      </c>
      <c r="B14" s="102" t="s">
        <v>2469</v>
      </c>
      <c r="C14" s="9" t="s">
        <v>2495</v>
      </c>
      <c r="D14" s="9" t="s">
        <v>2496</v>
      </c>
      <c r="E14" s="102">
        <v>2020</v>
      </c>
      <c r="F14" s="102">
        <v>2020</v>
      </c>
      <c r="G14" s="9" t="s">
        <v>2480</v>
      </c>
      <c r="H14" s="9">
        <v>200</v>
      </c>
      <c r="I14" s="9">
        <v>200</v>
      </c>
      <c r="J14" s="102"/>
      <c r="K14" s="102"/>
      <c r="L14" s="105">
        <v>20201118</v>
      </c>
    </row>
    <row r="15" spans="1:12">
      <c r="A15" s="2" t="s">
        <v>358</v>
      </c>
      <c r="B15" s="102" t="s">
        <v>2469</v>
      </c>
      <c r="C15" s="9" t="s">
        <v>2497</v>
      </c>
      <c r="D15" s="9" t="s">
        <v>2498</v>
      </c>
      <c r="E15" s="102">
        <v>2020</v>
      </c>
      <c r="F15" s="102">
        <v>2020</v>
      </c>
      <c r="G15" s="9" t="s">
        <v>2480</v>
      </c>
      <c r="H15" s="9">
        <v>200</v>
      </c>
      <c r="I15" s="9">
        <v>200</v>
      </c>
      <c r="J15" s="102"/>
      <c r="K15" s="102"/>
      <c r="L15" s="105">
        <v>20201118</v>
      </c>
    </row>
    <row r="16" spans="1:12">
      <c r="A16" s="132" t="s">
        <v>361</v>
      </c>
      <c r="B16" s="102" t="s">
        <v>2469</v>
      </c>
      <c r="C16" s="9" t="s">
        <v>2174</v>
      </c>
      <c r="D16" s="9" t="s">
        <v>2499</v>
      </c>
      <c r="E16" s="102">
        <v>2020</v>
      </c>
      <c r="F16" s="102">
        <v>2020</v>
      </c>
      <c r="G16" s="9" t="s">
        <v>2480</v>
      </c>
      <c r="H16" s="9">
        <v>200</v>
      </c>
      <c r="I16" s="9">
        <v>200</v>
      </c>
      <c r="J16" s="102"/>
      <c r="K16" s="102"/>
      <c r="L16" s="105">
        <v>20201118</v>
      </c>
    </row>
    <row r="17" spans="1:12">
      <c r="A17" s="2" t="s">
        <v>364</v>
      </c>
      <c r="B17" s="102" t="s">
        <v>2469</v>
      </c>
      <c r="C17" s="9" t="s">
        <v>2500</v>
      </c>
      <c r="D17" s="9" t="s">
        <v>2501</v>
      </c>
      <c r="E17" s="102">
        <v>2020</v>
      </c>
      <c r="F17" s="102">
        <v>2020</v>
      </c>
      <c r="G17" s="9" t="s">
        <v>2480</v>
      </c>
      <c r="H17" s="9">
        <v>200</v>
      </c>
      <c r="I17" s="9">
        <v>200</v>
      </c>
      <c r="J17" s="102"/>
      <c r="K17" s="102"/>
      <c r="L17" s="105">
        <v>20201118</v>
      </c>
    </row>
    <row r="18" spans="1:12">
      <c r="A18" s="2" t="s">
        <v>367</v>
      </c>
      <c r="B18" s="102" t="s">
        <v>2469</v>
      </c>
      <c r="C18" s="9" t="s">
        <v>2502</v>
      </c>
      <c r="D18" s="9" t="s">
        <v>2503</v>
      </c>
      <c r="E18" s="102">
        <v>2020</v>
      </c>
      <c r="F18" s="102">
        <v>2020</v>
      </c>
      <c r="G18" s="9" t="s">
        <v>2480</v>
      </c>
      <c r="H18" s="9">
        <v>200</v>
      </c>
      <c r="I18" s="9">
        <v>200</v>
      </c>
      <c r="J18" s="102"/>
      <c r="K18" s="102"/>
      <c r="L18" s="105">
        <v>20201118</v>
      </c>
    </row>
    <row r="19" spans="1:12">
      <c r="A19" s="2" t="s">
        <v>370</v>
      </c>
      <c r="B19" s="5" t="s">
        <v>2469</v>
      </c>
      <c r="C19" s="9" t="s">
        <v>2504</v>
      </c>
      <c r="D19" s="9" t="s">
        <v>2505</v>
      </c>
      <c r="E19" s="5">
        <v>2020</v>
      </c>
      <c r="F19" s="5">
        <v>2020</v>
      </c>
      <c r="G19" s="9" t="s">
        <v>2480</v>
      </c>
      <c r="H19" s="9">
        <v>200</v>
      </c>
      <c r="I19" s="9">
        <v>200</v>
      </c>
      <c r="J19" s="5"/>
      <c r="K19" s="102"/>
      <c r="L19" s="105">
        <v>20201118</v>
      </c>
    </row>
    <row r="20" spans="1:12">
      <c r="A20" s="2" t="s">
        <v>373</v>
      </c>
      <c r="B20" s="102" t="s">
        <v>2469</v>
      </c>
      <c r="C20" s="9" t="s">
        <v>2506</v>
      </c>
      <c r="D20" s="9" t="s">
        <v>2507</v>
      </c>
      <c r="E20" s="102">
        <v>2020</v>
      </c>
      <c r="F20" s="102">
        <v>2020</v>
      </c>
      <c r="G20" s="9" t="s">
        <v>2480</v>
      </c>
      <c r="H20" s="9">
        <v>200</v>
      </c>
      <c r="I20" s="9">
        <v>200</v>
      </c>
      <c r="J20" s="102"/>
      <c r="K20" s="102"/>
      <c r="L20" s="105">
        <v>20201118</v>
      </c>
    </row>
    <row r="21" spans="1:12">
      <c r="A21" s="132" t="s">
        <v>376</v>
      </c>
      <c r="B21" s="102" t="s">
        <v>2469</v>
      </c>
      <c r="C21" s="9" t="s">
        <v>2508</v>
      </c>
      <c r="D21" s="9" t="s">
        <v>2509</v>
      </c>
      <c r="E21" s="102">
        <v>2020</v>
      </c>
      <c r="F21" s="102">
        <v>2020</v>
      </c>
      <c r="G21" s="9" t="s">
        <v>2480</v>
      </c>
      <c r="H21" s="9">
        <v>200</v>
      </c>
      <c r="I21" s="9">
        <v>200</v>
      </c>
      <c r="J21" s="102"/>
      <c r="K21" s="102"/>
      <c r="L21" s="105">
        <v>20201118</v>
      </c>
    </row>
    <row r="22" spans="1:12">
      <c r="A22" s="2" t="s">
        <v>379</v>
      </c>
      <c r="B22" s="102" t="s">
        <v>2469</v>
      </c>
      <c r="C22" s="9" t="s">
        <v>2510</v>
      </c>
      <c r="D22" s="9" t="s">
        <v>2511</v>
      </c>
      <c r="E22" s="102">
        <v>2020</v>
      </c>
      <c r="F22" s="102">
        <v>2020</v>
      </c>
      <c r="G22" s="9" t="s">
        <v>2480</v>
      </c>
      <c r="H22" s="9">
        <v>200</v>
      </c>
      <c r="I22" s="9">
        <v>200</v>
      </c>
      <c r="J22" s="102"/>
      <c r="K22" s="102"/>
      <c r="L22" s="105">
        <v>20201118</v>
      </c>
    </row>
    <row r="23" spans="1:12">
      <c r="A23" s="2" t="s">
        <v>382</v>
      </c>
      <c r="B23" s="102" t="s">
        <v>2469</v>
      </c>
      <c r="C23" s="9" t="s">
        <v>2512</v>
      </c>
      <c r="D23" s="9" t="s">
        <v>2513</v>
      </c>
      <c r="E23" s="102">
        <v>2020</v>
      </c>
      <c r="F23" s="102">
        <v>2020</v>
      </c>
      <c r="G23" s="9" t="s">
        <v>2480</v>
      </c>
      <c r="H23" s="9">
        <v>200</v>
      </c>
      <c r="I23" s="9">
        <v>200</v>
      </c>
      <c r="J23" s="102"/>
      <c r="K23" s="102"/>
      <c r="L23" s="105">
        <v>20201118</v>
      </c>
    </row>
    <row r="24" spans="1:12">
      <c r="A24" s="132" t="s">
        <v>385</v>
      </c>
      <c r="B24" s="102" t="s">
        <v>2469</v>
      </c>
      <c r="C24" s="9" t="s">
        <v>2514</v>
      </c>
      <c r="D24" s="9" t="s">
        <v>2515</v>
      </c>
      <c r="E24" s="102">
        <v>2020</v>
      </c>
      <c r="F24" s="102">
        <v>2020</v>
      </c>
      <c r="G24" s="9" t="s">
        <v>2480</v>
      </c>
      <c r="H24" s="9">
        <v>200</v>
      </c>
      <c r="I24" s="9">
        <v>200</v>
      </c>
      <c r="J24" s="102"/>
      <c r="K24" s="102"/>
      <c r="L24" s="105">
        <v>20201118</v>
      </c>
    </row>
    <row r="25" spans="1:12">
      <c r="A25" s="2" t="s">
        <v>388</v>
      </c>
      <c r="B25" s="102" t="s">
        <v>2469</v>
      </c>
      <c r="C25" s="9" t="s">
        <v>2516</v>
      </c>
      <c r="D25" s="9" t="s">
        <v>2517</v>
      </c>
      <c r="E25" s="102">
        <v>2020</v>
      </c>
      <c r="F25" s="102">
        <v>2020</v>
      </c>
      <c r="G25" s="9" t="s">
        <v>2480</v>
      </c>
      <c r="H25" s="9">
        <v>200</v>
      </c>
      <c r="I25" s="9">
        <v>200</v>
      </c>
      <c r="J25" s="102"/>
      <c r="K25" s="102"/>
      <c r="L25" s="105">
        <v>20201118</v>
      </c>
    </row>
    <row r="26" spans="1:12">
      <c r="A26" s="2" t="s">
        <v>391</v>
      </c>
      <c r="B26" s="102" t="s">
        <v>2469</v>
      </c>
      <c r="C26" s="9" t="s">
        <v>2518</v>
      </c>
      <c r="D26" s="9" t="s">
        <v>2519</v>
      </c>
      <c r="E26" s="102">
        <v>2020</v>
      </c>
      <c r="F26" s="102">
        <v>2020</v>
      </c>
      <c r="G26" s="9" t="s">
        <v>2480</v>
      </c>
      <c r="H26" s="9">
        <v>200</v>
      </c>
      <c r="I26" s="9">
        <v>200</v>
      </c>
      <c r="J26" s="102"/>
      <c r="K26" s="102"/>
      <c r="L26" s="105">
        <v>20201118</v>
      </c>
    </row>
    <row r="27" spans="1:12">
      <c r="A27" s="2" t="s">
        <v>394</v>
      </c>
      <c r="B27" s="5" t="s">
        <v>2469</v>
      </c>
      <c r="C27" s="9" t="s">
        <v>2520</v>
      </c>
      <c r="D27" s="9" t="s">
        <v>2521</v>
      </c>
      <c r="E27" s="5">
        <v>2020</v>
      </c>
      <c r="F27" s="5">
        <v>2020</v>
      </c>
      <c r="G27" s="9" t="s">
        <v>2480</v>
      </c>
      <c r="H27" s="9">
        <v>200</v>
      </c>
      <c r="I27" s="9">
        <v>200</v>
      </c>
      <c r="J27" s="5"/>
      <c r="K27" s="102"/>
      <c r="L27" s="105">
        <v>20201118</v>
      </c>
    </row>
    <row r="28" spans="1:12">
      <c r="A28" s="2" t="s">
        <v>397</v>
      </c>
      <c r="B28" s="102" t="s">
        <v>2469</v>
      </c>
      <c r="C28" s="9" t="s">
        <v>2522</v>
      </c>
      <c r="D28" s="9" t="s">
        <v>2523</v>
      </c>
      <c r="E28" s="102">
        <v>2020</v>
      </c>
      <c r="F28" s="102">
        <v>2020</v>
      </c>
      <c r="G28" s="9" t="s">
        <v>2480</v>
      </c>
      <c r="H28" s="9">
        <v>200</v>
      </c>
      <c r="I28" s="9">
        <v>200</v>
      </c>
      <c r="J28" s="102"/>
      <c r="K28" s="102"/>
      <c r="L28" s="105">
        <v>20201118</v>
      </c>
    </row>
    <row r="29" spans="1:12">
      <c r="A29" s="132" t="s">
        <v>400</v>
      </c>
      <c r="B29" s="102" t="s">
        <v>2469</v>
      </c>
      <c r="C29" s="9" t="s">
        <v>2524</v>
      </c>
      <c r="D29" s="9" t="s">
        <v>2525</v>
      </c>
      <c r="E29" s="102">
        <v>2020</v>
      </c>
      <c r="F29" s="102">
        <v>2020</v>
      </c>
      <c r="G29" s="9" t="s">
        <v>2480</v>
      </c>
      <c r="H29" s="9">
        <v>200</v>
      </c>
      <c r="I29" s="9">
        <v>200</v>
      </c>
      <c r="J29" s="102"/>
      <c r="K29" s="102"/>
      <c r="L29" s="105">
        <v>20201118</v>
      </c>
    </row>
    <row r="30" spans="1:12">
      <c r="A30" s="2" t="s">
        <v>403</v>
      </c>
      <c r="B30" s="102" t="s">
        <v>2469</v>
      </c>
      <c r="C30" s="9" t="s">
        <v>2526</v>
      </c>
      <c r="D30" s="9" t="s">
        <v>2527</v>
      </c>
      <c r="E30" s="102">
        <v>2020</v>
      </c>
      <c r="F30" s="102">
        <v>2020</v>
      </c>
      <c r="G30" s="9" t="s">
        <v>2480</v>
      </c>
      <c r="H30" s="9">
        <v>200</v>
      </c>
      <c r="I30" s="9">
        <v>200</v>
      </c>
      <c r="J30" s="102"/>
      <c r="K30" s="102"/>
      <c r="L30" s="105">
        <v>20201118</v>
      </c>
    </row>
    <row r="31" spans="1:12">
      <c r="A31" s="2" t="s">
        <v>406</v>
      </c>
      <c r="B31" s="102" t="s">
        <v>2469</v>
      </c>
      <c r="C31" s="9" t="s">
        <v>2528</v>
      </c>
      <c r="D31" s="9" t="s">
        <v>2529</v>
      </c>
      <c r="E31" s="102">
        <v>2020</v>
      </c>
      <c r="F31" s="102">
        <v>2020</v>
      </c>
      <c r="G31" s="9" t="s">
        <v>2480</v>
      </c>
      <c r="H31" s="9">
        <v>200</v>
      </c>
      <c r="I31" s="9">
        <v>200</v>
      </c>
      <c r="J31" s="102"/>
      <c r="K31" s="102"/>
      <c r="L31" s="105">
        <v>20201118</v>
      </c>
    </row>
    <row r="32" spans="1:12">
      <c r="A32" s="132" t="s">
        <v>409</v>
      </c>
      <c r="B32" s="102" t="s">
        <v>2469</v>
      </c>
      <c r="C32" s="9" t="s">
        <v>2530</v>
      </c>
      <c r="D32" s="9" t="s">
        <v>2531</v>
      </c>
      <c r="E32" s="102">
        <v>2020</v>
      </c>
      <c r="F32" s="102">
        <v>2020</v>
      </c>
      <c r="G32" s="9" t="s">
        <v>2480</v>
      </c>
      <c r="H32" s="9">
        <v>200</v>
      </c>
      <c r="I32" s="9">
        <v>200</v>
      </c>
      <c r="J32" s="102"/>
      <c r="K32" s="102"/>
      <c r="L32" s="105">
        <v>20201118</v>
      </c>
    </row>
    <row r="33" spans="1:12">
      <c r="A33" s="2" t="s">
        <v>412</v>
      </c>
      <c r="B33" s="102" t="s">
        <v>2469</v>
      </c>
      <c r="C33" s="9" t="s">
        <v>2532</v>
      </c>
      <c r="D33" s="9" t="s">
        <v>2533</v>
      </c>
      <c r="E33" s="102">
        <v>2020</v>
      </c>
      <c r="F33" s="102">
        <v>2020</v>
      </c>
      <c r="G33" s="9" t="s">
        <v>2480</v>
      </c>
      <c r="H33" s="9">
        <v>200</v>
      </c>
      <c r="I33" s="9">
        <v>200</v>
      </c>
      <c r="J33" s="102"/>
      <c r="K33" s="102"/>
      <c r="L33" s="105">
        <v>20201118</v>
      </c>
    </row>
    <row r="34" spans="1:12">
      <c r="A34" s="2" t="s">
        <v>415</v>
      </c>
      <c r="B34" s="102" t="s">
        <v>2469</v>
      </c>
      <c r="C34" s="9" t="s">
        <v>2534</v>
      </c>
      <c r="D34" s="9" t="s">
        <v>2535</v>
      </c>
      <c r="E34" s="102">
        <v>2020</v>
      </c>
      <c r="F34" s="102">
        <v>2020</v>
      </c>
      <c r="G34" s="9" t="s">
        <v>2480</v>
      </c>
      <c r="H34" s="9">
        <v>200</v>
      </c>
      <c r="I34" s="9">
        <v>200</v>
      </c>
      <c r="J34" s="102"/>
      <c r="K34" s="102"/>
      <c r="L34" s="105">
        <v>20201118</v>
      </c>
    </row>
    <row r="35" spans="1:12">
      <c r="A35" s="2" t="s">
        <v>418</v>
      </c>
      <c r="B35" s="102" t="s">
        <v>2469</v>
      </c>
      <c r="C35" s="9" t="s">
        <v>2536</v>
      </c>
      <c r="D35" s="9" t="s">
        <v>2537</v>
      </c>
      <c r="E35" s="102">
        <v>2020</v>
      </c>
      <c r="F35" s="102">
        <v>2020</v>
      </c>
      <c r="G35" s="9" t="s">
        <v>2480</v>
      </c>
      <c r="H35" s="9">
        <v>200</v>
      </c>
      <c r="I35" s="9">
        <v>200</v>
      </c>
      <c r="J35" s="102"/>
      <c r="K35" s="102"/>
      <c r="L35" s="105">
        <v>20201118</v>
      </c>
    </row>
    <row r="36" spans="1:12">
      <c r="A36" s="2" t="s">
        <v>421</v>
      </c>
      <c r="B36" s="102" t="s">
        <v>2469</v>
      </c>
      <c r="C36" s="9" t="s">
        <v>2538</v>
      </c>
      <c r="D36" s="9" t="s">
        <v>2539</v>
      </c>
      <c r="E36" s="102">
        <v>2020</v>
      </c>
      <c r="F36" s="102">
        <v>2020</v>
      </c>
      <c r="G36" s="9" t="s">
        <v>2480</v>
      </c>
      <c r="H36" s="9">
        <v>200</v>
      </c>
      <c r="I36" s="9">
        <v>200</v>
      </c>
      <c r="J36" s="102"/>
      <c r="K36" s="102"/>
      <c r="L36" s="105">
        <v>20201118</v>
      </c>
    </row>
    <row r="37" spans="1:12">
      <c r="A37" s="132" t="s">
        <v>424</v>
      </c>
      <c r="B37" s="102" t="s">
        <v>2469</v>
      </c>
      <c r="C37" s="9" t="s">
        <v>2540</v>
      </c>
      <c r="D37" s="9" t="s">
        <v>2541</v>
      </c>
      <c r="E37" s="102">
        <v>2020</v>
      </c>
      <c r="F37" s="102">
        <v>2020</v>
      </c>
      <c r="G37" s="9" t="s">
        <v>2480</v>
      </c>
      <c r="H37" s="9">
        <v>200</v>
      </c>
      <c r="I37" s="9">
        <v>200</v>
      </c>
      <c r="J37" s="102"/>
      <c r="K37" s="102"/>
      <c r="L37" s="105">
        <v>20201118</v>
      </c>
    </row>
    <row r="38" spans="1:12">
      <c r="A38" s="2" t="s">
        <v>427</v>
      </c>
      <c r="B38" s="102" t="s">
        <v>2469</v>
      </c>
      <c r="C38" s="9" t="s">
        <v>2542</v>
      </c>
      <c r="D38" s="9" t="s">
        <v>2543</v>
      </c>
      <c r="E38" s="102">
        <v>2020</v>
      </c>
      <c r="F38" s="102">
        <v>2020</v>
      </c>
      <c r="G38" s="9" t="s">
        <v>2480</v>
      </c>
      <c r="H38" s="9">
        <v>200</v>
      </c>
      <c r="I38" s="9">
        <v>200</v>
      </c>
      <c r="J38" s="102"/>
      <c r="K38" s="102"/>
      <c r="L38" s="105">
        <v>20201118</v>
      </c>
    </row>
    <row r="39" spans="1:12">
      <c r="A39" s="2" t="s">
        <v>430</v>
      </c>
      <c r="B39" s="102" t="s">
        <v>2469</v>
      </c>
      <c r="C39" s="9" t="s">
        <v>2544</v>
      </c>
      <c r="D39" s="9" t="s">
        <v>2545</v>
      </c>
      <c r="E39" s="102">
        <v>2020</v>
      </c>
      <c r="F39" s="102">
        <v>2020</v>
      </c>
      <c r="G39" s="9" t="s">
        <v>2480</v>
      </c>
      <c r="H39" s="9">
        <v>200</v>
      </c>
      <c r="I39" s="9">
        <v>200</v>
      </c>
      <c r="J39" s="102"/>
      <c r="K39" s="102"/>
      <c r="L39" s="105">
        <v>20201118</v>
      </c>
    </row>
    <row r="40" spans="1:12">
      <c r="A40" s="132" t="s">
        <v>433</v>
      </c>
      <c r="B40" s="102" t="s">
        <v>2469</v>
      </c>
      <c r="C40" s="9" t="s">
        <v>2546</v>
      </c>
      <c r="D40" s="9" t="s">
        <v>2547</v>
      </c>
      <c r="E40" s="102">
        <v>2020</v>
      </c>
      <c r="F40" s="102">
        <v>2020</v>
      </c>
      <c r="G40" s="9" t="s">
        <v>2480</v>
      </c>
      <c r="H40" s="9">
        <v>200</v>
      </c>
      <c r="I40" s="9">
        <v>200</v>
      </c>
      <c r="J40" s="102"/>
      <c r="K40" s="102"/>
      <c r="L40" s="105">
        <v>20201118</v>
      </c>
    </row>
    <row r="41" spans="1:12">
      <c r="A41" s="2" t="s">
        <v>436</v>
      </c>
      <c r="B41" s="102" t="s">
        <v>2469</v>
      </c>
      <c r="C41" s="9" t="s">
        <v>2548</v>
      </c>
      <c r="D41" s="9" t="s">
        <v>2549</v>
      </c>
      <c r="E41" s="102">
        <v>2020</v>
      </c>
      <c r="F41" s="102">
        <v>2020</v>
      </c>
      <c r="G41" s="9" t="s">
        <v>2480</v>
      </c>
      <c r="H41" s="9">
        <v>200</v>
      </c>
      <c r="I41" s="9">
        <v>200</v>
      </c>
      <c r="J41" s="102"/>
      <c r="K41" s="102"/>
      <c r="L41" s="105">
        <v>20201118</v>
      </c>
    </row>
    <row r="42" spans="1:12">
      <c r="A42" s="2" t="s">
        <v>439</v>
      </c>
      <c r="B42" s="102" t="s">
        <v>2469</v>
      </c>
      <c r="C42" s="9" t="s">
        <v>2550</v>
      </c>
      <c r="D42" s="9" t="s">
        <v>2551</v>
      </c>
      <c r="E42" s="102">
        <v>2020</v>
      </c>
      <c r="F42" s="102">
        <v>2020</v>
      </c>
      <c r="G42" s="9" t="s">
        <v>2480</v>
      </c>
      <c r="H42" s="9">
        <v>200</v>
      </c>
      <c r="I42" s="9">
        <v>200</v>
      </c>
      <c r="J42" s="102"/>
      <c r="K42" s="102"/>
      <c r="L42" s="105">
        <v>20201118</v>
      </c>
    </row>
    <row r="43" spans="1:12">
      <c r="A43" s="2" t="s">
        <v>442</v>
      </c>
      <c r="B43" s="102" t="s">
        <v>2469</v>
      </c>
      <c r="C43" s="9" t="s">
        <v>2552</v>
      </c>
      <c r="D43" s="9" t="s">
        <v>2553</v>
      </c>
      <c r="E43" s="102">
        <v>2020</v>
      </c>
      <c r="F43" s="102">
        <v>2020</v>
      </c>
      <c r="G43" s="9" t="s">
        <v>2480</v>
      </c>
      <c r="H43" s="9">
        <v>200</v>
      </c>
      <c r="I43" s="9">
        <v>200</v>
      </c>
      <c r="J43" s="102"/>
      <c r="K43" s="102"/>
      <c r="L43" s="105">
        <v>20201118</v>
      </c>
    </row>
    <row r="44" spans="1:12">
      <c r="A44" s="2" t="s">
        <v>445</v>
      </c>
      <c r="B44" s="102" t="s">
        <v>2469</v>
      </c>
      <c r="C44" s="9" t="s">
        <v>2554</v>
      </c>
      <c r="D44" s="9" t="s">
        <v>2555</v>
      </c>
      <c r="E44" s="102">
        <v>2020</v>
      </c>
      <c r="F44" s="102">
        <v>2020</v>
      </c>
      <c r="G44" s="9" t="s">
        <v>2480</v>
      </c>
      <c r="H44" s="9">
        <v>200</v>
      </c>
      <c r="I44" s="9">
        <v>200</v>
      </c>
      <c r="J44" s="102"/>
      <c r="K44" s="102"/>
      <c r="L44" s="105">
        <v>20201118</v>
      </c>
    </row>
    <row r="45" spans="1:12">
      <c r="A45" s="132" t="s">
        <v>448</v>
      </c>
      <c r="B45" s="102" t="s">
        <v>2469</v>
      </c>
      <c r="C45" s="9" t="s">
        <v>2556</v>
      </c>
      <c r="D45" s="9" t="s">
        <v>2557</v>
      </c>
      <c r="E45" s="102">
        <v>2020</v>
      </c>
      <c r="F45" s="102">
        <v>2020</v>
      </c>
      <c r="G45" s="9" t="s">
        <v>2480</v>
      </c>
      <c r="H45" s="9">
        <v>200</v>
      </c>
      <c r="I45" s="9">
        <v>200</v>
      </c>
      <c r="J45" s="102"/>
      <c r="K45" s="102"/>
      <c r="L45" s="105">
        <v>20201118</v>
      </c>
    </row>
    <row r="46" spans="1:12">
      <c r="A46" s="2" t="s">
        <v>451</v>
      </c>
      <c r="B46" s="102" t="s">
        <v>2469</v>
      </c>
      <c r="C46" s="9" t="s">
        <v>2558</v>
      </c>
      <c r="D46" s="9" t="s">
        <v>2559</v>
      </c>
      <c r="E46" s="102">
        <v>2020</v>
      </c>
      <c r="F46" s="102">
        <v>2020</v>
      </c>
      <c r="G46" s="9" t="s">
        <v>2480</v>
      </c>
      <c r="H46" s="9">
        <v>200</v>
      </c>
      <c r="I46" s="9">
        <v>200</v>
      </c>
      <c r="J46" s="102"/>
      <c r="K46" s="102"/>
      <c r="L46" s="105">
        <v>20201118</v>
      </c>
    </row>
    <row r="47" spans="1:12">
      <c r="A47" s="2" t="s">
        <v>454</v>
      </c>
      <c r="B47" s="102" t="s">
        <v>2469</v>
      </c>
      <c r="C47" s="9" t="s">
        <v>2560</v>
      </c>
      <c r="D47" s="9" t="s">
        <v>2561</v>
      </c>
      <c r="E47" s="102">
        <v>2020</v>
      </c>
      <c r="F47" s="102">
        <v>2020</v>
      </c>
      <c r="G47" s="9" t="s">
        <v>2480</v>
      </c>
      <c r="H47" s="9">
        <v>200</v>
      </c>
      <c r="I47" s="9">
        <v>200</v>
      </c>
      <c r="J47" s="102"/>
      <c r="K47" s="102"/>
      <c r="L47" s="105">
        <v>20201118</v>
      </c>
    </row>
    <row r="48" spans="1:12">
      <c r="A48" s="132" t="s">
        <v>457</v>
      </c>
      <c r="B48" s="102" t="s">
        <v>2469</v>
      </c>
      <c r="C48" s="9" t="s">
        <v>2562</v>
      </c>
      <c r="D48" s="9" t="s">
        <v>2563</v>
      </c>
      <c r="E48" s="102">
        <v>2020</v>
      </c>
      <c r="F48" s="102">
        <v>2020</v>
      </c>
      <c r="G48" s="9" t="s">
        <v>2480</v>
      </c>
      <c r="H48" s="9">
        <v>200</v>
      </c>
      <c r="I48" s="9">
        <v>200</v>
      </c>
      <c r="J48" s="102"/>
      <c r="K48" s="102"/>
      <c r="L48" s="105">
        <v>20201118</v>
      </c>
    </row>
    <row r="49" spans="1:12">
      <c r="A49" s="2" t="s">
        <v>460</v>
      </c>
      <c r="B49" s="102" t="s">
        <v>2469</v>
      </c>
      <c r="C49" s="9" t="s">
        <v>2564</v>
      </c>
      <c r="D49" s="9" t="s">
        <v>2565</v>
      </c>
      <c r="E49" s="102">
        <v>2020</v>
      </c>
      <c r="F49" s="102">
        <v>2020</v>
      </c>
      <c r="G49" s="9" t="s">
        <v>2480</v>
      </c>
      <c r="H49" s="9">
        <v>200</v>
      </c>
      <c r="I49" s="9">
        <v>200</v>
      </c>
      <c r="J49" s="102"/>
      <c r="K49" s="102"/>
      <c r="L49" s="105">
        <v>20201118</v>
      </c>
    </row>
    <row r="50" spans="1:12">
      <c r="A50" s="2" t="s">
        <v>463</v>
      </c>
      <c r="B50" s="102" t="s">
        <v>2469</v>
      </c>
      <c r="C50" s="9" t="s">
        <v>2566</v>
      </c>
      <c r="D50" s="9" t="s">
        <v>2567</v>
      </c>
      <c r="E50" s="102">
        <v>2020</v>
      </c>
      <c r="F50" s="102">
        <v>2020</v>
      </c>
      <c r="G50" s="9" t="s">
        <v>2480</v>
      </c>
      <c r="H50" s="9">
        <v>200</v>
      </c>
      <c r="I50" s="9">
        <v>200</v>
      </c>
      <c r="J50" s="102"/>
      <c r="K50" s="102"/>
      <c r="L50" s="105">
        <v>20201118</v>
      </c>
    </row>
    <row r="51" spans="1:12">
      <c r="A51" s="2" t="s">
        <v>466</v>
      </c>
      <c r="B51" s="102" t="s">
        <v>2469</v>
      </c>
      <c r="C51" s="9" t="s">
        <v>2568</v>
      </c>
      <c r="D51" s="9" t="s">
        <v>2569</v>
      </c>
      <c r="E51" s="102">
        <v>2020</v>
      </c>
      <c r="F51" s="102">
        <v>2020</v>
      </c>
      <c r="G51" s="9" t="s">
        <v>2480</v>
      </c>
      <c r="H51" s="9">
        <v>200</v>
      </c>
      <c r="I51" s="9">
        <v>200</v>
      </c>
      <c r="J51" s="102"/>
      <c r="K51" s="102"/>
      <c r="L51" s="105">
        <v>20201118</v>
      </c>
    </row>
    <row r="52" spans="1:12">
      <c r="A52" s="2" t="s">
        <v>469</v>
      </c>
      <c r="B52" s="102" t="s">
        <v>2469</v>
      </c>
      <c r="C52" s="9" t="s">
        <v>2570</v>
      </c>
      <c r="D52" s="9" t="s">
        <v>2571</v>
      </c>
      <c r="E52" s="102">
        <v>2020</v>
      </c>
      <c r="F52" s="102">
        <v>2020</v>
      </c>
      <c r="G52" s="9" t="s">
        <v>2480</v>
      </c>
      <c r="H52" s="9">
        <v>200</v>
      </c>
      <c r="I52" s="9">
        <v>200</v>
      </c>
      <c r="J52" s="102"/>
      <c r="K52" s="102"/>
      <c r="L52" s="105">
        <v>20201118</v>
      </c>
    </row>
    <row r="53" spans="1:12">
      <c r="A53" s="132" t="s">
        <v>472</v>
      </c>
      <c r="B53" s="102" t="s">
        <v>2469</v>
      </c>
      <c r="C53" s="9" t="s">
        <v>2572</v>
      </c>
      <c r="D53" s="9" t="s">
        <v>2573</v>
      </c>
      <c r="E53" s="102">
        <v>2020</v>
      </c>
      <c r="F53" s="102">
        <v>2020</v>
      </c>
      <c r="G53" s="9" t="s">
        <v>2480</v>
      </c>
      <c r="H53" s="9">
        <v>200</v>
      </c>
      <c r="I53" s="9">
        <v>200</v>
      </c>
      <c r="J53" s="102"/>
      <c r="K53" s="102"/>
      <c r="L53" s="105">
        <v>20201118</v>
      </c>
    </row>
    <row r="54" spans="1:12">
      <c r="A54" s="2" t="s">
        <v>475</v>
      </c>
      <c r="B54" s="102" t="s">
        <v>2469</v>
      </c>
      <c r="C54" s="9" t="s">
        <v>1273</v>
      </c>
      <c r="D54" s="9" t="s">
        <v>2574</v>
      </c>
      <c r="E54" s="102">
        <v>2020</v>
      </c>
      <c r="F54" s="102">
        <v>2020</v>
      </c>
      <c r="G54" s="9" t="s">
        <v>2480</v>
      </c>
      <c r="H54" s="9">
        <v>200</v>
      </c>
      <c r="I54" s="9">
        <v>200</v>
      </c>
      <c r="J54" s="102"/>
      <c r="K54" s="102"/>
      <c r="L54" s="105">
        <v>20201118</v>
      </c>
    </row>
    <row r="55" spans="1:12">
      <c r="A55" s="2" t="s">
        <v>478</v>
      </c>
      <c r="B55" s="102" t="s">
        <v>2469</v>
      </c>
      <c r="C55" s="9" t="s">
        <v>2575</v>
      </c>
      <c r="D55" s="9" t="s">
        <v>2576</v>
      </c>
      <c r="E55" s="102">
        <v>2020</v>
      </c>
      <c r="F55" s="102">
        <v>2020</v>
      </c>
      <c r="G55" s="9" t="s">
        <v>2480</v>
      </c>
      <c r="H55" s="9">
        <v>200</v>
      </c>
      <c r="I55" s="9">
        <v>200</v>
      </c>
      <c r="J55" s="102"/>
      <c r="K55" s="102"/>
      <c r="L55" s="105">
        <v>20201118</v>
      </c>
    </row>
    <row r="56" spans="1:12">
      <c r="A56" s="132" t="s">
        <v>481</v>
      </c>
      <c r="B56" s="102" t="s">
        <v>2469</v>
      </c>
      <c r="C56" s="9" t="s">
        <v>2577</v>
      </c>
      <c r="D56" s="9" t="s">
        <v>2578</v>
      </c>
      <c r="E56" s="102">
        <v>2020</v>
      </c>
      <c r="F56" s="102">
        <v>2020</v>
      </c>
      <c r="G56" s="9" t="s">
        <v>2480</v>
      </c>
      <c r="H56" s="9">
        <v>200</v>
      </c>
      <c r="I56" s="9">
        <v>200</v>
      </c>
      <c r="J56" s="102"/>
      <c r="K56" s="102"/>
      <c r="L56" s="105">
        <v>20201118</v>
      </c>
    </row>
    <row r="57" spans="1:12">
      <c r="A57" s="2" t="s">
        <v>484</v>
      </c>
      <c r="B57" s="102" t="s">
        <v>2469</v>
      </c>
      <c r="C57" s="9" t="s">
        <v>2579</v>
      </c>
      <c r="D57" s="9" t="s">
        <v>2580</v>
      </c>
      <c r="E57" s="102">
        <v>2020</v>
      </c>
      <c r="F57" s="102">
        <v>2020</v>
      </c>
      <c r="G57" s="9" t="s">
        <v>2480</v>
      </c>
      <c r="H57" s="9">
        <v>200</v>
      </c>
      <c r="I57" s="9">
        <v>200</v>
      </c>
      <c r="J57" s="102"/>
      <c r="K57" s="102"/>
      <c r="L57" s="105">
        <v>20201118</v>
      </c>
    </row>
    <row r="58" spans="1:12">
      <c r="A58" s="2" t="s">
        <v>487</v>
      </c>
      <c r="B58" s="102" t="s">
        <v>2469</v>
      </c>
      <c r="C58" s="9" t="s">
        <v>2581</v>
      </c>
      <c r="D58" s="9" t="s">
        <v>2582</v>
      </c>
      <c r="E58" s="102">
        <v>2020</v>
      </c>
      <c r="F58" s="102">
        <v>2020</v>
      </c>
      <c r="G58" s="9" t="s">
        <v>2480</v>
      </c>
      <c r="H58" s="9">
        <v>200</v>
      </c>
      <c r="I58" s="9">
        <v>200</v>
      </c>
      <c r="J58" s="102"/>
      <c r="K58" s="102"/>
      <c r="L58" s="105">
        <v>20201118</v>
      </c>
    </row>
    <row r="59" spans="1:12">
      <c r="A59" s="2" t="s">
        <v>490</v>
      </c>
      <c r="B59" s="102" t="s">
        <v>2469</v>
      </c>
      <c r="C59" s="9" t="s">
        <v>2583</v>
      </c>
      <c r="D59" s="9" t="s">
        <v>2584</v>
      </c>
      <c r="E59" s="102">
        <v>2020</v>
      </c>
      <c r="F59" s="102">
        <v>2020</v>
      </c>
      <c r="G59" s="9" t="s">
        <v>2480</v>
      </c>
      <c r="H59" s="9">
        <v>200</v>
      </c>
      <c r="I59" s="9">
        <v>200</v>
      </c>
      <c r="J59" s="102"/>
      <c r="K59" s="102"/>
      <c r="L59" s="105">
        <v>20201118</v>
      </c>
    </row>
    <row r="60" spans="1:12">
      <c r="A60" s="2" t="s">
        <v>493</v>
      </c>
      <c r="B60" s="102" t="s">
        <v>2469</v>
      </c>
      <c r="C60" s="9" t="s">
        <v>2585</v>
      </c>
      <c r="D60" s="9" t="s">
        <v>2586</v>
      </c>
      <c r="E60" s="102">
        <v>2020</v>
      </c>
      <c r="F60" s="102">
        <v>2020</v>
      </c>
      <c r="G60" s="9" t="s">
        <v>2480</v>
      </c>
      <c r="H60" s="9">
        <v>200</v>
      </c>
      <c r="I60" s="9">
        <v>200</v>
      </c>
      <c r="J60" s="102"/>
      <c r="K60" s="102"/>
      <c r="L60" s="105">
        <v>20201118</v>
      </c>
    </row>
    <row r="61" spans="1:12">
      <c r="A61" s="132" t="s">
        <v>496</v>
      </c>
      <c r="B61" s="102" t="s">
        <v>2469</v>
      </c>
      <c r="C61" s="9" t="s">
        <v>2587</v>
      </c>
      <c r="D61" s="9" t="s">
        <v>2588</v>
      </c>
      <c r="E61" s="102">
        <v>2020</v>
      </c>
      <c r="F61" s="102">
        <v>2020</v>
      </c>
      <c r="G61" s="9" t="s">
        <v>2480</v>
      </c>
      <c r="H61" s="9">
        <v>200</v>
      </c>
      <c r="I61" s="9">
        <v>200</v>
      </c>
      <c r="J61" s="102"/>
      <c r="K61" s="102"/>
      <c r="L61" s="105">
        <v>20201118</v>
      </c>
    </row>
    <row r="62" spans="1:12">
      <c r="A62" s="2" t="s">
        <v>499</v>
      </c>
      <c r="B62" s="102" t="s">
        <v>2469</v>
      </c>
      <c r="C62" s="9" t="s">
        <v>2589</v>
      </c>
      <c r="D62" s="9" t="s">
        <v>2590</v>
      </c>
      <c r="E62" s="102">
        <v>2020</v>
      </c>
      <c r="F62" s="102">
        <v>2020</v>
      </c>
      <c r="G62" s="9" t="s">
        <v>2480</v>
      </c>
      <c r="H62" s="9">
        <v>200</v>
      </c>
      <c r="I62" s="9">
        <v>200</v>
      </c>
      <c r="J62" s="102"/>
      <c r="K62" s="102"/>
      <c r="L62" s="105">
        <v>20201118</v>
      </c>
    </row>
    <row r="63" spans="1:12">
      <c r="A63" s="2" t="s">
        <v>502</v>
      </c>
      <c r="B63" s="102" t="s">
        <v>2469</v>
      </c>
      <c r="C63" s="9" t="s">
        <v>2591</v>
      </c>
      <c r="D63" s="9" t="s">
        <v>2592</v>
      </c>
      <c r="E63" s="102">
        <v>2020</v>
      </c>
      <c r="F63" s="102">
        <v>2020</v>
      </c>
      <c r="G63" s="9" t="s">
        <v>2480</v>
      </c>
      <c r="H63" s="9">
        <v>200</v>
      </c>
      <c r="I63" s="9">
        <v>200</v>
      </c>
      <c r="J63" s="102"/>
      <c r="K63" s="102"/>
      <c r="L63" s="105">
        <v>20201118</v>
      </c>
    </row>
    <row r="64" spans="1:12">
      <c r="A64" s="132" t="s">
        <v>505</v>
      </c>
      <c r="B64" s="102" t="s">
        <v>2469</v>
      </c>
      <c r="C64" s="9" t="s">
        <v>2593</v>
      </c>
      <c r="D64" s="9" t="s">
        <v>2594</v>
      </c>
      <c r="E64" s="102">
        <v>2020</v>
      </c>
      <c r="F64" s="102">
        <v>2020</v>
      </c>
      <c r="G64" s="9" t="s">
        <v>2480</v>
      </c>
      <c r="H64" s="9">
        <v>200</v>
      </c>
      <c r="I64" s="9">
        <v>200</v>
      </c>
      <c r="J64" s="102"/>
      <c r="K64" s="102"/>
      <c r="L64" s="105">
        <v>20201118</v>
      </c>
    </row>
    <row r="65" spans="1:12">
      <c r="A65" s="2" t="s">
        <v>508</v>
      </c>
      <c r="B65" s="102" t="s">
        <v>2469</v>
      </c>
      <c r="C65" s="9" t="s">
        <v>2595</v>
      </c>
      <c r="D65" s="9" t="s">
        <v>2596</v>
      </c>
      <c r="E65" s="102">
        <v>2020</v>
      </c>
      <c r="F65" s="102">
        <v>2020</v>
      </c>
      <c r="G65" s="9" t="s">
        <v>2480</v>
      </c>
      <c r="H65" s="9">
        <v>200</v>
      </c>
      <c r="I65" s="9">
        <v>200</v>
      </c>
      <c r="J65" s="102"/>
      <c r="K65" s="102"/>
      <c r="L65" s="105">
        <v>20201118</v>
      </c>
    </row>
    <row r="66" spans="1:12">
      <c r="A66" s="2" t="s">
        <v>511</v>
      </c>
      <c r="B66" s="102" t="s">
        <v>2469</v>
      </c>
      <c r="C66" s="9" t="s">
        <v>2597</v>
      </c>
      <c r="D66" s="9" t="s">
        <v>2598</v>
      </c>
      <c r="E66" s="102">
        <v>2020</v>
      </c>
      <c r="F66" s="102">
        <v>2020</v>
      </c>
      <c r="G66" s="9" t="s">
        <v>2480</v>
      </c>
      <c r="H66" s="9">
        <v>200</v>
      </c>
      <c r="I66" s="9">
        <v>200</v>
      </c>
      <c r="J66" s="102"/>
      <c r="K66" s="102"/>
      <c r="L66" s="105">
        <v>20201118</v>
      </c>
    </row>
    <row r="67" spans="1:12">
      <c r="A67" s="2" t="s">
        <v>514</v>
      </c>
      <c r="B67" s="102" t="s">
        <v>2469</v>
      </c>
      <c r="C67" s="9" t="s">
        <v>2599</v>
      </c>
      <c r="D67" s="9" t="s">
        <v>2600</v>
      </c>
      <c r="E67" s="102">
        <v>2020</v>
      </c>
      <c r="F67" s="102">
        <v>2020</v>
      </c>
      <c r="G67" s="9" t="s">
        <v>2480</v>
      </c>
      <c r="H67" s="9">
        <v>200</v>
      </c>
      <c r="I67" s="9">
        <v>200</v>
      </c>
      <c r="J67" s="102"/>
      <c r="K67" s="102"/>
      <c r="L67" s="105">
        <v>20201118</v>
      </c>
    </row>
    <row r="68" spans="1:12">
      <c r="A68" s="2" t="s">
        <v>517</v>
      </c>
      <c r="B68" s="102" t="s">
        <v>2469</v>
      </c>
      <c r="C68" s="9" t="s">
        <v>2601</v>
      </c>
      <c r="D68" s="9" t="s">
        <v>2602</v>
      </c>
      <c r="E68" s="102">
        <v>2020</v>
      </c>
      <c r="F68" s="102">
        <v>2020</v>
      </c>
      <c r="G68" s="9" t="s">
        <v>2480</v>
      </c>
      <c r="H68" s="9">
        <v>200</v>
      </c>
      <c r="I68" s="9">
        <v>200</v>
      </c>
      <c r="J68" s="102"/>
      <c r="K68" s="102"/>
      <c r="L68" s="105">
        <v>20201118</v>
      </c>
    </row>
    <row r="69" spans="1:12">
      <c r="A69" s="132" t="s">
        <v>518</v>
      </c>
      <c r="B69" s="102" t="s">
        <v>2469</v>
      </c>
      <c r="C69" s="9" t="s">
        <v>2603</v>
      </c>
      <c r="D69" s="9" t="s">
        <v>2604</v>
      </c>
      <c r="E69" s="102">
        <v>2020</v>
      </c>
      <c r="F69" s="102">
        <v>2020</v>
      </c>
      <c r="G69" s="9" t="s">
        <v>2480</v>
      </c>
      <c r="H69" s="9">
        <v>200</v>
      </c>
      <c r="I69" s="9">
        <v>200</v>
      </c>
      <c r="J69" s="102"/>
      <c r="K69" s="102"/>
      <c r="L69" s="105">
        <v>20201118</v>
      </c>
    </row>
    <row r="70" spans="1:12">
      <c r="A70" s="2" t="s">
        <v>521</v>
      </c>
      <c r="B70" s="102" t="s">
        <v>2469</v>
      </c>
      <c r="C70" s="9" t="s">
        <v>2605</v>
      </c>
      <c r="D70" s="9" t="s">
        <v>2606</v>
      </c>
      <c r="E70" s="102">
        <v>2020</v>
      </c>
      <c r="F70" s="102">
        <v>2020</v>
      </c>
      <c r="G70" s="9" t="s">
        <v>2480</v>
      </c>
      <c r="H70" s="9">
        <v>200</v>
      </c>
      <c r="I70" s="9">
        <v>200</v>
      </c>
      <c r="J70" s="102"/>
      <c r="K70" s="102"/>
      <c r="L70" s="105">
        <v>20201118</v>
      </c>
    </row>
    <row r="71" spans="1:12">
      <c r="A71" s="2" t="s">
        <v>524</v>
      </c>
      <c r="B71" s="102" t="s">
        <v>2469</v>
      </c>
      <c r="C71" s="9" t="s">
        <v>2607</v>
      </c>
      <c r="D71" s="9" t="s">
        <v>2608</v>
      </c>
      <c r="E71" s="102">
        <v>2020</v>
      </c>
      <c r="F71" s="102">
        <v>2020</v>
      </c>
      <c r="G71" s="9" t="s">
        <v>2480</v>
      </c>
      <c r="H71" s="9">
        <v>200</v>
      </c>
      <c r="I71" s="9">
        <v>200</v>
      </c>
      <c r="J71" s="102"/>
      <c r="K71" s="102"/>
      <c r="L71" s="105">
        <v>20201118</v>
      </c>
    </row>
    <row r="72" spans="1:12">
      <c r="A72" s="132" t="s">
        <v>527</v>
      </c>
      <c r="B72" s="102" t="s">
        <v>2469</v>
      </c>
      <c r="C72" s="9" t="s">
        <v>2609</v>
      </c>
      <c r="D72" s="9" t="s">
        <v>2610</v>
      </c>
      <c r="E72" s="102">
        <v>2020</v>
      </c>
      <c r="F72" s="102">
        <v>2020</v>
      </c>
      <c r="G72" s="9" t="s">
        <v>2480</v>
      </c>
      <c r="H72" s="9">
        <v>200</v>
      </c>
      <c r="I72" s="9">
        <v>200</v>
      </c>
      <c r="J72" s="102"/>
      <c r="K72" s="102"/>
      <c r="L72" s="105">
        <v>20201118</v>
      </c>
    </row>
    <row r="73" spans="1:12">
      <c r="A73" s="2" t="s">
        <v>530</v>
      </c>
      <c r="B73" s="102" t="s">
        <v>2469</v>
      </c>
      <c r="C73" s="9" t="s">
        <v>2611</v>
      </c>
      <c r="D73" s="9" t="s">
        <v>2612</v>
      </c>
      <c r="E73" s="102">
        <v>2020</v>
      </c>
      <c r="F73" s="102">
        <v>2020</v>
      </c>
      <c r="G73" s="9" t="s">
        <v>2480</v>
      </c>
      <c r="H73" s="9">
        <v>200</v>
      </c>
      <c r="I73" s="9">
        <v>200</v>
      </c>
      <c r="J73" s="102"/>
      <c r="K73" s="102"/>
      <c r="L73" s="105">
        <v>20201118</v>
      </c>
    </row>
    <row r="74" spans="1:12">
      <c r="A74" s="2" t="s">
        <v>533</v>
      </c>
      <c r="B74" s="102" t="s">
        <v>2469</v>
      </c>
      <c r="C74" s="9" t="s">
        <v>2613</v>
      </c>
      <c r="D74" s="9" t="s">
        <v>2614</v>
      </c>
      <c r="E74" s="102">
        <v>2020</v>
      </c>
      <c r="F74" s="102">
        <v>2020</v>
      </c>
      <c r="G74" s="9" t="s">
        <v>2480</v>
      </c>
      <c r="H74" s="9">
        <v>200</v>
      </c>
      <c r="I74" s="9">
        <v>200</v>
      </c>
      <c r="J74" s="102"/>
      <c r="K74" s="102"/>
      <c r="L74" s="105">
        <v>20201118</v>
      </c>
    </row>
    <row r="75" spans="1:12">
      <c r="A75" s="2" t="s">
        <v>536</v>
      </c>
      <c r="B75" s="102" t="s">
        <v>2469</v>
      </c>
      <c r="C75" s="9" t="s">
        <v>2615</v>
      </c>
      <c r="D75" s="9" t="s">
        <v>2616</v>
      </c>
      <c r="E75" s="102">
        <v>2020</v>
      </c>
      <c r="F75" s="102">
        <v>2020</v>
      </c>
      <c r="G75" s="9" t="s">
        <v>2480</v>
      </c>
      <c r="H75" s="9">
        <v>200</v>
      </c>
      <c r="I75" s="9">
        <v>200</v>
      </c>
      <c r="J75" s="102"/>
      <c r="K75" s="102"/>
      <c r="L75" s="105">
        <v>20201118</v>
      </c>
    </row>
    <row r="76" spans="1:12">
      <c r="A76" s="2" t="s">
        <v>539</v>
      </c>
      <c r="B76" s="102" t="s">
        <v>2469</v>
      </c>
      <c r="C76" s="9" t="s">
        <v>2617</v>
      </c>
      <c r="D76" s="9" t="s">
        <v>2618</v>
      </c>
      <c r="E76" s="102">
        <v>2020</v>
      </c>
      <c r="F76" s="102">
        <v>2020</v>
      </c>
      <c r="G76" s="9" t="s">
        <v>2480</v>
      </c>
      <c r="H76" s="9">
        <v>200</v>
      </c>
      <c r="I76" s="9">
        <v>200</v>
      </c>
      <c r="J76" s="102"/>
      <c r="K76" s="102"/>
      <c r="L76" s="105">
        <v>20201118</v>
      </c>
    </row>
    <row r="77" spans="1:12">
      <c r="A77" s="132" t="s">
        <v>542</v>
      </c>
      <c r="B77" s="102" t="s">
        <v>2469</v>
      </c>
      <c r="C77" s="9" t="s">
        <v>2619</v>
      </c>
      <c r="D77" s="9" t="s">
        <v>2620</v>
      </c>
      <c r="E77" s="102">
        <v>2020</v>
      </c>
      <c r="F77" s="102">
        <v>2020</v>
      </c>
      <c r="G77" s="9" t="s">
        <v>2480</v>
      </c>
      <c r="H77" s="9">
        <v>200</v>
      </c>
      <c r="I77" s="9">
        <v>200</v>
      </c>
      <c r="J77" s="102"/>
      <c r="K77" s="102"/>
      <c r="L77" s="105">
        <v>20201118</v>
      </c>
    </row>
    <row r="78" spans="1:12">
      <c r="A78" s="2" t="s">
        <v>545</v>
      </c>
      <c r="B78" s="102" t="s">
        <v>2469</v>
      </c>
      <c r="C78" s="9" t="s">
        <v>2621</v>
      </c>
      <c r="D78" s="9" t="s">
        <v>2622</v>
      </c>
      <c r="E78" s="102">
        <v>2020</v>
      </c>
      <c r="F78" s="102">
        <v>2020</v>
      </c>
      <c r="G78" s="9" t="s">
        <v>2480</v>
      </c>
      <c r="H78" s="9">
        <v>200</v>
      </c>
      <c r="I78" s="9">
        <v>200</v>
      </c>
      <c r="J78" s="102"/>
      <c r="K78" s="102"/>
      <c r="L78" s="105">
        <v>20201118</v>
      </c>
    </row>
    <row r="79" spans="1:12">
      <c r="A79" s="2" t="s">
        <v>548</v>
      </c>
      <c r="B79" s="102" t="s">
        <v>2469</v>
      </c>
      <c r="C79" s="9" t="s">
        <v>2623</v>
      </c>
      <c r="D79" s="9" t="s">
        <v>2624</v>
      </c>
      <c r="E79" s="102">
        <v>2020</v>
      </c>
      <c r="F79" s="102">
        <v>2020</v>
      </c>
      <c r="G79" s="9" t="s">
        <v>2480</v>
      </c>
      <c r="H79" s="9">
        <v>200</v>
      </c>
      <c r="I79" s="9">
        <v>200</v>
      </c>
      <c r="J79" s="102"/>
      <c r="K79" s="102"/>
      <c r="L79" s="105">
        <v>20201118</v>
      </c>
    </row>
    <row r="80" spans="1:12">
      <c r="A80" s="132" t="s">
        <v>551</v>
      </c>
      <c r="B80" s="102" t="s">
        <v>2469</v>
      </c>
      <c r="C80" s="9" t="s">
        <v>2625</v>
      </c>
      <c r="D80" s="9" t="s">
        <v>2626</v>
      </c>
      <c r="E80" s="102">
        <v>2020</v>
      </c>
      <c r="F80" s="102">
        <v>2020</v>
      </c>
      <c r="G80" s="9" t="s">
        <v>2480</v>
      </c>
      <c r="H80" s="9">
        <v>200</v>
      </c>
      <c r="I80" s="9">
        <v>200</v>
      </c>
      <c r="J80" s="102"/>
      <c r="K80" s="102"/>
      <c r="L80" s="105">
        <v>20201118</v>
      </c>
    </row>
    <row r="81" spans="1:12">
      <c r="A81" s="2" t="s">
        <v>554</v>
      </c>
      <c r="B81" s="102" t="s">
        <v>2469</v>
      </c>
      <c r="C81" s="9" t="s">
        <v>2627</v>
      </c>
      <c r="D81" s="9" t="s">
        <v>2628</v>
      </c>
      <c r="E81" s="102">
        <v>2020</v>
      </c>
      <c r="F81" s="102">
        <v>2020</v>
      </c>
      <c r="G81" s="9" t="s">
        <v>2480</v>
      </c>
      <c r="H81" s="9">
        <v>200</v>
      </c>
      <c r="I81" s="9">
        <v>200</v>
      </c>
      <c r="J81" s="102"/>
      <c r="K81" s="102"/>
      <c r="L81" s="105">
        <v>20201118</v>
      </c>
    </row>
    <row r="82" spans="1:12">
      <c r="A82" s="2" t="s">
        <v>557</v>
      </c>
      <c r="B82" s="102" t="s">
        <v>2469</v>
      </c>
      <c r="C82" s="9" t="s">
        <v>2629</v>
      </c>
      <c r="D82" s="9" t="s">
        <v>2630</v>
      </c>
      <c r="E82" s="102">
        <v>2020</v>
      </c>
      <c r="F82" s="102">
        <v>2020</v>
      </c>
      <c r="G82" s="9" t="s">
        <v>2480</v>
      </c>
      <c r="H82" s="9">
        <v>200</v>
      </c>
      <c r="I82" s="9">
        <v>200</v>
      </c>
      <c r="J82" s="102"/>
      <c r="K82" s="102"/>
      <c r="L82" s="105">
        <v>20201118</v>
      </c>
    </row>
    <row r="83" spans="1:12">
      <c r="A83" s="2" t="s">
        <v>560</v>
      </c>
      <c r="B83" s="102" t="s">
        <v>2469</v>
      </c>
      <c r="C83" s="9" t="s">
        <v>2631</v>
      </c>
      <c r="D83" s="9" t="s">
        <v>2632</v>
      </c>
      <c r="E83" s="102">
        <v>2020</v>
      </c>
      <c r="F83" s="102">
        <v>2020</v>
      </c>
      <c r="G83" s="9" t="s">
        <v>2480</v>
      </c>
      <c r="H83" s="9">
        <v>200</v>
      </c>
      <c r="I83" s="9">
        <v>200</v>
      </c>
      <c r="J83" s="102"/>
      <c r="K83" s="102"/>
      <c r="L83" s="105">
        <v>20201118</v>
      </c>
    </row>
    <row r="84" spans="1:12">
      <c r="A84" s="2" t="s">
        <v>563</v>
      </c>
      <c r="B84" s="102" t="s">
        <v>2469</v>
      </c>
      <c r="C84" s="9" t="s">
        <v>2633</v>
      </c>
      <c r="D84" s="9" t="s">
        <v>2634</v>
      </c>
      <c r="E84" s="102">
        <v>2020</v>
      </c>
      <c r="F84" s="102">
        <v>2020</v>
      </c>
      <c r="G84" s="9" t="s">
        <v>2480</v>
      </c>
      <c r="H84" s="9">
        <v>200</v>
      </c>
      <c r="I84" s="9">
        <v>200</v>
      </c>
      <c r="J84" s="102"/>
      <c r="K84" s="102"/>
      <c r="L84" s="105">
        <v>20201118</v>
      </c>
    </row>
    <row r="85" spans="1:12">
      <c r="A85" s="132" t="s">
        <v>566</v>
      </c>
      <c r="B85" s="102" t="s">
        <v>2469</v>
      </c>
      <c r="C85" s="9" t="s">
        <v>2635</v>
      </c>
      <c r="D85" s="9" t="s">
        <v>2636</v>
      </c>
      <c r="E85" s="102">
        <v>2020</v>
      </c>
      <c r="F85" s="102">
        <v>2020</v>
      </c>
      <c r="G85" s="9" t="s">
        <v>2480</v>
      </c>
      <c r="H85" s="9">
        <v>200</v>
      </c>
      <c r="I85" s="9">
        <v>200</v>
      </c>
      <c r="J85" s="102"/>
      <c r="K85" s="102"/>
      <c r="L85" s="105">
        <v>20201118</v>
      </c>
    </row>
    <row r="86" spans="1:12">
      <c r="A86" s="2" t="s">
        <v>569</v>
      </c>
      <c r="B86" s="102" t="s">
        <v>2469</v>
      </c>
      <c r="C86" s="9" t="s">
        <v>2637</v>
      </c>
      <c r="D86" s="9" t="s">
        <v>2638</v>
      </c>
      <c r="E86" s="102">
        <v>2020</v>
      </c>
      <c r="F86" s="102">
        <v>2020</v>
      </c>
      <c r="G86" s="9" t="s">
        <v>2480</v>
      </c>
      <c r="H86" s="9">
        <v>200</v>
      </c>
      <c r="I86" s="9">
        <v>200</v>
      </c>
      <c r="J86" s="102"/>
      <c r="K86" s="102"/>
      <c r="L86" s="105">
        <v>20201118</v>
      </c>
    </row>
    <row r="87" spans="1:12">
      <c r="A87" s="2" t="s">
        <v>572</v>
      </c>
      <c r="B87" s="102" t="s">
        <v>2469</v>
      </c>
      <c r="C87" s="9" t="s">
        <v>2639</v>
      </c>
      <c r="D87" s="9" t="s">
        <v>2640</v>
      </c>
      <c r="E87" s="102">
        <v>2020</v>
      </c>
      <c r="F87" s="102">
        <v>2020</v>
      </c>
      <c r="G87" s="9" t="s">
        <v>2480</v>
      </c>
      <c r="H87" s="9">
        <v>200</v>
      </c>
      <c r="I87" s="9">
        <v>200</v>
      </c>
      <c r="J87" s="102"/>
      <c r="K87" s="102"/>
      <c r="L87" s="105">
        <v>20201118</v>
      </c>
    </row>
    <row r="88" spans="1:12">
      <c r="A88" s="132" t="s">
        <v>575</v>
      </c>
      <c r="B88" s="102" t="s">
        <v>2469</v>
      </c>
      <c r="C88" s="9" t="s">
        <v>2641</v>
      </c>
      <c r="D88" s="9" t="s">
        <v>2642</v>
      </c>
      <c r="E88" s="102">
        <v>2020</v>
      </c>
      <c r="F88" s="102">
        <v>2020</v>
      </c>
      <c r="G88" s="9" t="s">
        <v>2480</v>
      </c>
      <c r="H88" s="9">
        <v>200</v>
      </c>
      <c r="I88" s="9">
        <v>200</v>
      </c>
      <c r="J88" s="102"/>
      <c r="K88" s="102"/>
      <c r="L88" s="105">
        <v>20201118</v>
      </c>
    </row>
    <row r="89" spans="1:12">
      <c r="A89" s="2" t="s">
        <v>578</v>
      </c>
      <c r="B89" s="102" t="s">
        <v>2469</v>
      </c>
      <c r="C89" s="9" t="s">
        <v>2643</v>
      </c>
      <c r="D89" s="9" t="s">
        <v>2644</v>
      </c>
      <c r="E89" s="102">
        <v>2020</v>
      </c>
      <c r="F89" s="102">
        <v>2020</v>
      </c>
      <c r="G89" s="9" t="s">
        <v>2480</v>
      </c>
      <c r="H89" s="9">
        <v>200</v>
      </c>
      <c r="I89" s="9">
        <v>200</v>
      </c>
      <c r="J89" s="102"/>
      <c r="K89" s="102"/>
      <c r="L89" s="105">
        <v>20201118</v>
      </c>
    </row>
    <row r="90" spans="1:12">
      <c r="A90" s="2" t="s">
        <v>581</v>
      </c>
      <c r="B90" s="102" t="s">
        <v>2469</v>
      </c>
      <c r="C90" s="9" t="s">
        <v>2645</v>
      </c>
      <c r="D90" s="9" t="s">
        <v>2646</v>
      </c>
      <c r="E90" s="102">
        <v>2020</v>
      </c>
      <c r="F90" s="102">
        <v>2020</v>
      </c>
      <c r="G90" s="9" t="s">
        <v>2480</v>
      </c>
      <c r="H90" s="9">
        <v>200</v>
      </c>
      <c r="I90" s="9">
        <v>200</v>
      </c>
      <c r="J90" s="102"/>
      <c r="K90" s="102"/>
      <c r="L90" s="105">
        <v>20201118</v>
      </c>
    </row>
    <row r="91" spans="1:12">
      <c r="A91" s="2" t="s">
        <v>584</v>
      </c>
      <c r="B91" s="102" t="s">
        <v>2469</v>
      </c>
      <c r="C91" s="9" t="s">
        <v>2647</v>
      </c>
      <c r="D91" s="9" t="s">
        <v>2648</v>
      </c>
      <c r="E91" s="102">
        <v>2020</v>
      </c>
      <c r="F91" s="102">
        <v>2020</v>
      </c>
      <c r="G91" s="9" t="s">
        <v>2480</v>
      </c>
      <c r="H91" s="9">
        <v>200</v>
      </c>
      <c r="I91" s="9">
        <v>200</v>
      </c>
      <c r="J91" s="102"/>
      <c r="K91" s="102"/>
      <c r="L91" s="105">
        <v>20201118</v>
      </c>
    </row>
    <row r="92" spans="1:12">
      <c r="A92" s="2" t="s">
        <v>587</v>
      </c>
      <c r="B92" s="102" t="s">
        <v>2469</v>
      </c>
      <c r="C92" s="9" t="s">
        <v>2649</v>
      </c>
      <c r="D92" s="9" t="s">
        <v>2650</v>
      </c>
      <c r="E92" s="102">
        <v>2020</v>
      </c>
      <c r="F92" s="102">
        <v>2020</v>
      </c>
      <c r="G92" s="9" t="s">
        <v>2480</v>
      </c>
      <c r="H92" s="9">
        <v>200</v>
      </c>
      <c r="I92" s="9">
        <v>200</v>
      </c>
      <c r="J92" s="102"/>
      <c r="K92" s="102"/>
      <c r="L92" s="105">
        <v>20201118</v>
      </c>
    </row>
    <row r="93" spans="1:12">
      <c r="A93" s="132" t="s">
        <v>590</v>
      </c>
      <c r="B93" s="102" t="s">
        <v>2469</v>
      </c>
      <c r="C93" s="9" t="s">
        <v>2651</v>
      </c>
      <c r="D93" s="9" t="s">
        <v>2652</v>
      </c>
      <c r="E93" s="102">
        <v>2020</v>
      </c>
      <c r="F93" s="102">
        <v>2020</v>
      </c>
      <c r="G93" s="9" t="s">
        <v>2480</v>
      </c>
      <c r="H93" s="9">
        <v>200</v>
      </c>
      <c r="I93" s="9">
        <v>200</v>
      </c>
      <c r="J93" s="102"/>
      <c r="K93" s="102"/>
      <c r="L93" s="105">
        <v>20201118</v>
      </c>
    </row>
    <row r="94" spans="1:12">
      <c r="A94" s="2" t="s">
        <v>593</v>
      </c>
      <c r="B94" s="102" t="s">
        <v>2469</v>
      </c>
      <c r="C94" s="9" t="s">
        <v>2653</v>
      </c>
      <c r="D94" s="9" t="s">
        <v>2654</v>
      </c>
      <c r="E94" s="102">
        <v>2020</v>
      </c>
      <c r="F94" s="102">
        <v>2020</v>
      </c>
      <c r="G94" s="9" t="s">
        <v>2480</v>
      </c>
      <c r="H94" s="9">
        <v>200</v>
      </c>
      <c r="I94" s="9">
        <v>200</v>
      </c>
      <c r="J94" s="102"/>
      <c r="K94" s="102"/>
      <c r="L94" s="105">
        <v>20201118</v>
      </c>
    </row>
    <row r="95" spans="1:12">
      <c r="A95" s="2" t="s">
        <v>596</v>
      </c>
      <c r="B95" s="102" t="s">
        <v>2469</v>
      </c>
      <c r="C95" s="9" t="s">
        <v>2655</v>
      </c>
      <c r="D95" s="9" t="s">
        <v>2656</v>
      </c>
      <c r="E95" s="102">
        <v>2020</v>
      </c>
      <c r="F95" s="102">
        <v>2020</v>
      </c>
      <c r="G95" s="9" t="s">
        <v>2480</v>
      </c>
      <c r="H95" s="9">
        <v>200</v>
      </c>
      <c r="I95" s="9">
        <v>200</v>
      </c>
      <c r="J95" s="102"/>
      <c r="K95" s="102"/>
      <c r="L95" s="105">
        <v>20201118</v>
      </c>
    </row>
    <row r="96" spans="1:12">
      <c r="A96" s="132" t="s">
        <v>599</v>
      </c>
      <c r="B96" s="102" t="s">
        <v>2469</v>
      </c>
      <c r="C96" s="9" t="s">
        <v>2657</v>
      </c>
      <c r="D96" s="9" t="s">
        <v>2658</v>
      </c>
      <c r="E96" s="102">
        <v>2020</v>
      </c>
      <c r="F96" s="102">
        <v>2020</v>
      </c>
      <c r="G96" s="9" t="s">
        <v>2480</v>
      </c>
      <c r="H96" s="9">
        <v>200</v>
      </c>
      <c r="I96" s="9">
        <v>200</v>
      </c>
      <c r="J96" s="102"/>
      <c r="K96" s="102"/>
      <c r="L96" s="105">
        <v>20201118</v>
      </c>
    </row>
    <row r="97" spans="1:12">
      <c r="A97" s="2" t="s">
        <v>602</v>
      </c>
      <c r="B97" s="5" t="s">
        <v>2469</v>
      </c>
      <c r="C97" s="9" t="s">
        <v>2659</v>
      </c>
      <c r="D97" s="9" t="s">
        <v>2660</v>
      </c>
      <c r="E97" s="5">
        <v>2020</v>
      </c>
      <c r="F97" s="5">
        <v>2020</v>
      </c>
      <c r="G97" s="9" t="s">
        <v>2480</v>
      </c>
      <c r="H97" s="9">
        <v>200</v>
      </c>
      <c r="I97" s="9">
        <v>200</v>
      </c>
      <c r="J97" s="5"/>
      <c r="K97" s="102"/>
      <c r="L97" s="105">
        <v>20201118</v>
      </c>
    </row>
    <row r="98" spans="1:12">
      <c r="A98" s="2" t="s">
        <v>605</v>
      </c>
      <c r="B98" s="102" t="s">
        <v>2469</v>
      </c>
      <c r="C98" s="9" t="s">
        <v>2661</v>
      </c>
      <c r="D98" s="9" t="s">
        <v>2662</v>
      </c>
      <c r="E98" s="102">
        <v>2020</v>
      </c>
      <c r="F98" s="102">
        <v>2020</v>
      </c>
      <c r="G98" s="9" t="s">
        <v>2480</v>
      </c>
      <c r="H98" s="9">
        <v>200</v>
      </c>
      <c r="I98" s="9">
        <v>200</v>
      </c>
      <c r="J98" s="102"/>
      <c r="K98" s="102"/>
      <c r="L98" s="105">
        <v>20201118</v>
      </c>
    </row>
    <row r="99" spans="1:12">
      <c r="A99" s="2" t="s">
        <v>608</v>
      </c>
      <c r="B99" s="102" t="s">
        <v>2469</v>
      </c>
      <c r="C99" s="9" t="s">
        <v>2663</v>
      </c>
      <c r="D99" s="9" t="s">
        <v>2664</v>
      </c>
      <c r="E99" s="102">
        <v>2020</v>
      </c>
      <c r="F99" s="102">
        <v>2020</v>
      </c>
      <c r="G99" s="9" t="s">
        <v>2480</v>
      </c>
      <c r="H99" s="9">
        <v>200</v>
      </c>
      <c r="I99" s="9">
        <v>200</v>
      </c>
      <c r="J99" s="102"/>
      <c r="K99" s="102"/>
      <c r="L99" s="105">
        <v>20201118</v>
      </c>
    </row>
    <row r="100" spans="1:12">
      <c r="A100" s="2" t="s">
        <v>611</v>
      </c>
      <c r="B100" s="102" t="s">
        <v>2469</v>
      </c>
      <c r="C100" s="9" t="s">
        <v>2665</v>
      </c>
      <c r="D100" s="9" t="s">
        <v>2666</v>
      </c>
      <c r="E100" s="102">
        <v>2020</v>
      </c>
      <c r="F100" s="102">
        <v>2020</v>
      </c>
      <c r="G100" s="9" t="s">
        <v>2480</v>
      </c>
      <c r="H100" s="9">
        <v>200</v>
      </c>
      <c r="I100" s="9">
        <v>200</v>
      </c>
      <c r="J100" s="102"/>
      <c r="K100" s="102"/>
      <c r="L100" s="105">
        <v>20201118</v>
      </c>
    </row>
    <row r="101" spans="1:12">
      <c r="A101" s="132" t="s">
        <v>614</v>
      </c>
      <c r="B101" s="102" t="s">
        <v>2469</v>
      </c>
      <c r="C101" s="9" t="s">
        <v>2667</v>
      </c>
      <c r="D101" s="9" t="s">
        <v>2668</v>
      </c>
      <c r="E101" s="102">
        <v>2020</v>
      </c>
      <c r="F101" s="102">
        <v>2020</v>
      </c>
      <c r="G101" s="9" t="s">
        <v>2480</v>
      </c>
      <c r="H101" s="9">
        <v>200</v>
      </c>
      <c r="I101" s="9">
        <v>200</v>
      </c>
      <c r="J101" s="102"/>
      <c r="K101" s="102"/>
      <c r="L101" s="105">
        <v>20201118</v>
      </c>
    </row>
    <row r="102" spans="1:12">
      <c r="A102" s="2" t="s">
        <v>617</v>
      </c>
      <c r="B102" s="102" t="s">
        <v>2469</v>
      </c>
      <c r="C102" s="9" t="s">
        <v>2669</v>
      </c>
      <c r="D102" s="9" t="s">
        <v>2670</v>
      </c>
      <c r="E102" s="102">
        <v>2020</v>
      </c>
      <c r="F102" s="102">
        <v>2020</v>
      </c>
      <c r="G102" s="9" t="s">
        <v>2480</v>
      </c>
      <c r="H102" s="9">
        <v>200</v>
      </c>
      <c r="I102" s="9">
        <v>200</v>
      </c>
      <c r="J102" s="102"/>
      <c r="K102" s="102"/>
      <c r="L102" s="105">
        <v>20201118</v>
      </c>
    </row>
    <row r="103" spans="1:12">
      <c r="A103" s="2" t="s">
        <v>620</v>
      </c>
      <c r="B103" s="102" t="s">
        <v>2469</v>
      </c>
      <c r="C103" s="9" t="s">
        <v>2671</v>
      </c>
      <c r="D103" s="9" t="s">
        <v>2672</v>
      </c>
      <c r="E103" s="102">
        <v>2020</v>
      </c>
      <c r="F103" s="102">
        <v>2020</v>
      </c>
      <c r="G103" s="9" t="s">
        <v>2480</v>
      </c>
      <c r="H103" s="9">
        <v>200</v>
      </c>
      <c r="I103" s="9">
        <v>200</v>
      </c>
      <c r="J103" s="102"/>
      <c r="K103" s="102"/>
      <c r="L103" s="105">
        <v>20201118</v>
      </c>
    </row>
    <row r="104" spans="1:12">
      <c r="A104" s="132" t="s">
        <v>623</v>
      </c>
      <c r="B104" s="102" t="s">
        <v>2469</v>
      </c>
      <c r="C104" s="9" t="s">
        <v>2673</v>
      </c>
      <c r="D104" s="9" t="s">
        <v>2674</v>
      </c>
      <c r="E104" s="102">
        <v>2020</v>
      </c>
      <c r="F104" s="102">
        <v>2020</v>
      </c>
      <c r="G104" s="9" t="s">
        <v>2480</v>
      </c>
      <c r="H104" s="9">
        <v>200</v>
      </c>
      <c r="I104" s="9">
        <v>200</v>
      </c>
      <c r="J104" s="102"/>
      <c r="K104" s="102"/>
      <c r="L104" s="105">
        <v>20201118</v>
      </c>
    </row>
    <row r="105" spans="1:12">
      <c r="A105" s="2" t="s">
        <v>626</v>
      </c>
      <c r="B105" s="102" t="s">
        <v>2469</v>
      </c>
      <c r="C105" s="9" t="s">
        <v>2675</v>
      </c>
      <c r="D105" s="9" t="s">
        <v>2676</v>
      </c>
      <c r="E105" s="102">
        <v>2020</v>
      </c>
      <c r="F105" s="102">
        <v>2020</v>
      </c>
      <c r="G105" s="9" t="s">
        <v>2480</v>
      </c>
      <c r="H105" s="9">
        <v>200</v>
      </c>
      <c r="I105" s="9">
        <v>200</v>
      </c>
      <c r="J105" s="102"/>
      <c r="K105" s="102"/>
      <c r="L105" s="105">
        <v>20201118</v>
      </c>
    </row>
    <row r="106" spans="1:12">
      <c r="A106" s="2" t="s">
        <v>629</v>
      </c>
      <c r="B106" s="102" t="s">
        <v>2469</v>
      </c>
      <c r="C106" s="9" t="s">
        <v>2677</v>
      </c>
      <c r="D106" s="9" t="s">
        <v>2678</v>
      </c>
      <c r="E106" s="102">
        <v>2020</v>
      </c>
      <c r="F106" s="102">
        <v>2020</v>
      </c>
      <c r="G106" s="9" t="s">
        <v>2480</v>
      </c>
      <c r="H106" s="9">
        <v>500</v>
      </c>
      <c r="I106" s="9">
        <v>500</v>
      </c>
      <c r="J106" s="102"/>
      <c r="K106" s="102"/>
      <c r="L106" s="105">
        <v>20201118</v>
      </c>
    </row>
    <row r="107" spans="1:12">
      <c r="A107" s="2" t="s">
        <v>632</v>
      </c>
      <c r="B107" s="102" t="s">
        <v>2469</v>
      </c>
      <c r="C107" s="9" t="s">
        <v>2679</v>
      </c>
      <c r="D107" s="9" t="s">
        <v>2680</v>
      </c>
      <c r="E107" s="102">
        <v>2020</v>
      </c>
      <c r="F107" s="102">
        <v>2020</v>
      </c>
      <c r="G107" s="9" t="s">
        <v>2480</v>
      </c>
      <c r="H107" s="9">
        <v>200</v>
      </c>
      <c r="I107" s="9">
        <v>200</v>
      </c>
      <c r="J107" s="102"/>
      <c r="K107" s="102"/>
      <c r="L107" s="105">
        <v>20201118</v>
      </c>
    </row>
    <row r="108" spans="1:12">
      <c r="A108" s="2" t="s">
        <v>635</v>
      </c>
      <c r="B108" s="102" t="s">
        <v>2469</v>
      </c>
      <c r="C108" s="9" t="s">
        <v>2577</v>
      </c>
      <c r="D108" s="9" t="s">
        <v>2681</v>
      </c>
      <c r="E108" s="102">
        <v>2020</v>
      </c>
      <c r="F108" s="102">
        <v>2020</v>
      </c>
      <c r="G108" s="9" t="s">
        <v>2480</v>
      </c>
      <c r="H108" s="9">
        <v>200</v>
      </c>
      <c r="I108" s="9">
        <v>200</v>
      </c>
      <c r="J108" s="102"/>
      <c r="K108" s="102"/>
      <c r="L108" s="105">
        <v>20201118</v>
      </c>
    </row>
    <row r="109" spans="1:12">
      <c r="A109" s="132" t="s">
        <v>638</v>
      </c>
      <c r="B109" s="102" t="s">
        <v>2469</v>
      </c>
      <c r="C109" s="9" t="s">
        <v>2682</v>
      </c>
      <c r="D109" s="9" t="s">
        <v>2683</v>
      </c>
      <c r="E109" s="102">
        <v>2020</v>
      </c>
      <c r="F109" s="102">
        <v>2020</v>
      </c>
      <c r="G109" s="9" t="s">
        <v>2480</v>
      </c>
      <c r="H109" s="9">
        <v>200</v>
      </c>
      <c r="I109" s="9">
        <v>200</v>
      </c>
      <c r="J109" s="102"/>
      <c r="K109" s="102"/>
      <c r="L109" s="105">
        <v>20201118</v>
      </c>
    </row>
    <row r="110" spans="1:12">
      <c r="A110" s="2" t="s">
        <v>641</v>
      </c>
      <c r="B110" s="102" t="s">
        <v>2469</v>
      </c>
      <c r="C110" s="9" t="s">
        <v>2684</v>
      </c>
      <c r="D110" s="9" t="s">
        <v>2685</v>
      </c>
      <c r="E110" s="102">
        <v>2020</v>
      </c>
      <c r="F110" s="102">
        <v>2020</v>
      </c>
      <c r="G110" s="9" t="s">
        <v>2480</v>
      </c>
      <c r="H110" s="9">
        <v>200</v>
      </c>
      <c r="I110" s="9">
        <v>200</v>
      </c>
      <c r="J110" s="102"/>
      <c r="K110" s="102"/>
      <c r="L110" s="105">
        <v>20201118</v>
      </c>
    </row>
    <row r="111" spans="1:12">
      <c r="A111" s="2" t="s">
        <v>644</v>
      </c>
      <c r="B111" s="102" t="s">
        <v>2469</v>
      </c>
      <c r="C111" s="9" t="s">
        <v>2686</v>
      </c>
      <c r="D111" s="9" t="s">
        <v>2687</v>
      </c>
      <c r="E111" s="102">
        <v>2020</v>
      </c>
      <c r="F111" s="102">
        <v>2020</v>
      </c>
      <c r="G111" s="9" t="s">
        <v>2480</v>
      </c>
      <c r="H111" s="9">
        <v>200</v>
      </c>
      <c r="I111" s="9">
        <v>200</v>
      </c>
      <c r="J111" s="102"/>
      <c r="K111" s="102"/>
      <c r="L111" s="105">
        <v>20201118</v>
      </c>
    </row>
    <row r="112" spans="1:12">
      <c r="A112" s="132" t="s">
        <v>647</v>
      </c>
      <c r="B112" s="102" t="s">
        <v>2469</v>
      </c>
      <c r="C112" s="9" t="s">
        <v>2688</v>
      </c>
      <c r="D112" s="9" t="s">
        <v>2689</v>
      </c>
      <c r="E112" s="102">
        <v>2020</v>
      </c>
      <c r="F112" s="102">
        <v>2020</v>
      </c>
      <c r="G112" s="9" t="s">
        <v>2480</v>
      </c>
      <c r="H112" s="9">
        <v>200</v>
      </c>
      <c r="I112" s="9">
        <v>200</v>
      </c>
      <c r="J112" s="102"/>
      <c r="K112" s="102"/>
      <c r="L112" s="105">
        <v>20201118</v>
      </c>
    </row>
    <row r="113" spans="1:12">
      <c r="A113" s="2" t="s">
        <v>650</v>
      </c>
      <c r="B113" s="102" t="s">
        <v>2469</v>
      </c>
      <c r="C113" s="9" t="s">
        <v>2690</v>
      </c>
      <c r="D113" s="9" t="s">
        <v>2691</v>
      </c>
      <c r="E113" s="102">
        <v>2020</v>
      </c>
      <c r="F113" s="102">
        <v>2020</v>
      </c>
      <c r="G113" s="9" t="s">
        <v>2480</v>
      </c>
      <c r="H113" s="9">
        <v>200</v>
      </c>
      <c r="I113" s="9">
        <v>200</v>
      </c>
      <c r="J113" s="102"/>
      <c r="K113" s="102"/>
      <c r="L113" s="105">
        <v>20201118</v>
      </c>
    </row>
    <row r="114" spans="1:12">
      <c r="A114" s="2" t="s">
        <v>653</v>
      </c>
      <c r="B114" s="102" t="s">
        <v>2469</v>
      </c>
      <c r="C114" s="9" t="s">
        <v>2692</v>
      </c>
      <c r="D114" s="9" t="s">
        <v>2693</v>
      </c>
      <c r="E114" s="102">
        <v>2020</v>
      </c>
      <c r="F114" s="102">
        <v>2020</v>
      </c>
      <c r="G114" s="9" t="s">
        <v>2480</v>
      </c>
      <c r="H114" s="9">
        <v>200</v>
      </c>
      <c r="I114" s="9">
        <v>200</v>
      </c>
      <c r="J114" s="102"/>
      <c r="K114" s="102"/>
      <c r="L114" s="105">
        <v>20201118</v>
      </c>
    </row>
    <row r="115" spans="1:12">
      <c r="A115" s="2" t="s">
        <v>656</v>
      </c>
      <c r="B115" s="102" t="s">
        <v>2469</v>
      </c>
      <c r="C115" s="9" t="s">
        <v>2694</v>
      </c>
      <c r="D115" s="9" t="s">
        <v>2695</v>
      </c>
      <c r="E115" s="102">
        <v>2020</v>
      </c>
      <c r="F115" s="102">
        <v>2020</v>
      </c>
      <c r="G115" s="9" t="s">
        <v>2480</v>
      </c>
      <c r="H115" s="9">
        <v>200</v>
      </c>
      <c r="I115" s="9">
        <v>200</v>
      </c>
      <c r="J115" s="102"/>
      <c r="K115" s="102"/>
      <c r="L115" s="105">
        <v>20201118</v>
      </c>
    </row>
    <row r="116" spans="1:12">
      <c r="A116" s="2" t="s">
        <v>659</v>
      </c>
      <c r="B116" s="102" t="s">
        <v>2469</v>
      </c>
      <c r="C116" s="9" t="s">
        <v>2696</v>
      </c>
      <c r="D116" s="9" t="s">
        <v>2697</v>
      </c>
      <c r="E116" s="102">
        <v>2020</v>
      </c>
      <c r="F116" s="102">
        <v>2020</v>
      </c>
      <c r="G116" s="9" t="s">
        <v>2480</v>
      </c>
      <c r="H116" s="9">
        <v>200</v>
      </c>
      <c r="I116" s="9">
        <v>200</v>
      </c>
      <c r="J116" s="102"/>
      <c r="K116" s="102"/>
      <c r="L116" s="105">
        <v>20201118</v>
      </c>
    </row>
    <row r="117" spans="1:12">
      <c r="A117" s="132" t="s">
        <v>662</v>
      </c>
      <c r="B117" s="102" t="s">
        <v>2469</v>
      </c>
      <c r="C117" s="9" t="s">
        <v>2698</v>
      </c>
      <c r="D117" s="9" t="s">
        <v>2699</v>
      </c>
      <c r="E117" s="102">
        <v>2020</v>
      </c>
      <c r="F117" s="102">
        <v>2020</v>
      </c>
      <c r="G117" s="9" t="s">
        <v>2480</v>
      </c>
      <c r="H117" s="9">
        <v>200</v>
      </c>
      <c r="I117" s="9">
        <v>200</v>
      </c>
      <c r="J117" s="102"/>
      <c r="K117" s="102"/>
      <c r="L117" s="105">
        <v>20201118</v>
      </c>
    </row>
    <row r="118" spans="1:12">
      <c r="A118" s="2" t="s">
        <v>665</v>
      </c>
      <c r="B118" s="102" t="s">
        <v>2469</v>
      </c>
      <c r="C118" s="9" t="s">
        <v>2700</v>
      </c>
      <c r="D118" s="9" t="s">
        <v>2701</v>
      </c>
      <c r="E118" s="102">
        <v>2020</v>
      </c>
      <c r="F118" s="102">
        <v>2020</v>
      </c>
      <c r="G118" s="9" t="s">
        <v>2480</v>
      </c>
      <c r="H118" s="9">
        <v>200</v>
      </c>
      <c r="I118" s="9">
        <v>200</v>
      </c>
      <c r="J118" s="102"/>
      <c r="K118" s="102"/>
      <c r="L118" s="105">
        <v>20201118</v>
      </c>
    </row>
    <row r="119" spans="1:12">
      <c r="A119" s="2" t="s">
        <v>668</v>
      </c>
      <c r="B119" s="102" t="s">
        <v>2469</v>
      </c>
      <c r="C119" s="9" t="s">
        <v>2702</v>
      </c>
      <c r="D119" s="9" t="s">
        <v>2703</v>
      </c>
      <c r="E119" s="102">
        <v>2020</v>
      </c>
      <c r="F119" s="102">
        <v>2020</v>
      </c>
      <c r="G119" s="9" t="s">
        <v>2480</v>
      </c>
      <c r="H119" s="9">
        <v>200</v>
      </c>
      <c r="I119" s="9">
        <v>200</v>
      </c>
      <c r="J119" s="102"/>
      <c r="K119" s="102"/>
      <c r="L119" s="105">
        <v>20201118</v>
      </c>
    </row>
    <row r="120" spans="1:12">
      <c r="A120" s="132" t="s">
        <v>671</v>
      </c>
      <c r="B120" s="102" t="s">
        <v>2469</v>
      </c>
      <c r="C120" s="9" t="s">
        <v>2704</v>
      </c>
      <c r="D120" s="9" t="s">
        <v>2705</v>
      </c>
      <c r="E120" s="102">
        <v>2020</v>
      </c>
      <c r="F120" s="102">
        <v>2020</v>
      </c>
      <c r="G120" s="9" t="s">
        <v>2480</v>
      </c>
      <c r="H120" s="9">
        <v>200</v>
      </c>
      <c r="I120" s="9">
        <v>200</v>
      </c>
      <c r="J120" s="102"/>
      <c r="K120" s="102"/>
      <c r="L120" s="105">
        <v>20201118</v>
      </c>
    </row>
    <row r="121" spans="1:12">
      <c r="A121" s="2" t="s">
        <v>674</v>
      </c>
      <c r="B121" s="102" t="s">
        <v>2469</v>
      </c>
      <c r="C121" s="9" t="s">
        <v>2706</v>
      </c>
      <c r="D121" s="9" t="s">
        <v>2707</v>
      </c>
      <c r="E121" s="102">
        <v>2020</v>
      </c>
      <c r="F121" s="102">
        <v>2020</v>
      </c>
      <c r="G121" s="9" t="s">
        <v>2480</v>
      </c>
      <c r="H121" s="9">
        <v>200</v>
      </c>
      <c r="I121" s="9">
        <v>200</v>
      </c>
      <c r="J121" s="102"/>
      <c r="K121" s="102"/>
      <c r="L121" s="105">
        <v>20201118</v>
      </c>
    </row>
    <row r="122" spans="1:12">
      <c r="A122" s="2" t="s">
        <v>677</v>
      </c>
      <c r="B122" s="102" t="s">
        <v>2469</v>
      </c>
      <c r="C122" s="9" t="s">
        <v>2708</v>
      </c>
      <c r="D122" s="9" t="s">
        <v>2709</v>
      </c>
      <c r="E122" s="102">
        <v>2020</v>
      </c>
      <c r="F122" s="102">
        <v>2020</v>
      </c>
      <c r="G122" s="9" t="s">
        <v>2480</v>
      </c>
      <c r="H122" s="9">
        <v>200</v>
      </c>
      <c r="I122" s="9">
        <v>200</v>
      </c>
      <c r="J122" s="102"/>
      <c r="K122" s="102"/>
      <c r="L122" s="105">
        <v>20201118</v>
      </c>
    </row>
    <row r="123" spans="1:12">
      <c r="A123" s="2" t="s">
        <v>680</v>
      </c>
      <c r="B123" s="102" t="s">
        <v>2469</v>
      </c>
      <c r="C123" s="9" t="s">
        <v>2710</v>
      </c>
      <c r="D123" s="9" t="s">
        <v>2711</v>
      </c>
      <c r="E123" s="102">
        <v>2020</v>
      </c>
      <c r="F123" s="102">
        <v>2020</v>
      </c>
      <c r="G123" s="9" t="s">
        <v>2480</v>
      </c>
      <c r="H123" s="9">
        <v>200</v>
      </c>
      <c r="I123" s="9">
        <v>200</v>
      </c>
      <c r="J123" s="102"/>
      <c r="K123" s="102"/>
      <c r="L123" s="105">
        <v>20201118</v>
      </c>
    </row>
    <row r="124" spans="1:12">
      <c r="A124" s="2" t="s">
        <v>683</v>
      </c>
      <c r="B124" s="102" t="s">
        <v>2469</v>
      </c>
      <c r="C124" s="9" t="s">
        <v>2712</v>
      </c>
      <c r="D124" s="9" t="s">
        <v>2713</v>
      </c>
      <c r="E124" s="102">
        <v>2020</v>
      </c>
      <c r="F124" s="102">
        <v>2020</v>
      </c>
      <c r="G124" s="9" t="s">
        <v>2480</v>
      </c>
      <c r="H124" s="9">
        <v>200</v>
      </c>
      <c r="I124" s="9">
        <v>200</v>
      </c>
      <c r="J124" s="102"/>
      <c r="K124" s="102"/>
      <c r="L124" s="105">
        <v>20201118</v>
      </c>
    </row>
    <row r="125" spans="1:12">
      <c r="A125" s="132" t="s">
        <v>686</v>
      </c>
      <c r="B125" s="102" t="s">
        <v>2469</v>
      </c>
      <c r="C125" s="9" t="s">
        <v>2714</v>
      </c>
      <c r="D125" s="9" t="s">
        <v>2715</v>
      </c>
      <c r="E125" s="102">
        <v>2020</v>
      </c>
      <c r="F125" s="102">
        <v>2020</v>
      </c>
      <c r="G125" s="9" t="s">
        <v>2480</v>
      </c>
      <c r="H125" s="9">
        <v>200</v>
      </c>
      <c r="I125" s="9">
        <v>200</v>
      </c>
      <c r="J125" s="102"/>
      <c r="K125" s="102"/>
      <c r="L125" s="105">
        <v>20201118</v>
      </c>
    </row>
    <row r="126" spans="1:12">
      <c r="A126" s="2" t="s">
        <v>689</v>
      </c>
      <c r="B126" s="102" t="s">
        <v>2469</v>
      </c>
      <c r="C126" s="9" t="s">
        <v>2716</v>
      </c>
      <c r="D126" s="9" t="s">
        <v>2717</v>
      </c>
      <c r="E126" s="102">
        <v>2020</v>
      </c>
      <c r="F126" s="102">
        <v>2020</v>
      </c>
      <c r="G126" s="9" t="s">
        <v>2480</v>
      </c>
      <c r="H126" s="9">
        <v>200</v>
      </c>
      <c r="I126" s="9">
        <v>200</v>
      </c>
      <c r="J126" s="102"/>
      <c r="K126" s="102"/>
      <c r="L126" s="105">
        <v>20201118</v>
      </c>
    </row>
    <row r="127" spans="1:12">
      <c r="A127" s="2" t="s">
        <v>692</v>
      </c>
      <c r="B127" s="102" t="s">
        <v>2469</v>
      </c>
      <c r="C127" s="9" t="s">
        <v>2718</v>
      </c>
      <c r="D127" s="9" t="s">
        <v>2719</v>
      </c>
      <c r="E127" s="102">
        <v>2020</v>
      </c>
      <c r="F127" s="102">
        <v>2020</v>
      </c>
      <c r="G127" s="9" t="s">
        <v>2480</v>
      </c>
      <c r="H127" s="9">
        <v>200</v>
      </c>
      <c r="I127" s="9">
        <v>200</v>
      </c>
      <c r="J127" s="102"/>
      <c r="K127" s="102"/>
      <c r="L127" s="105">
        <v>20201118</v>
      </c>
    </row>
    <row r="128" spans="1:12">
      <c r="A128" s="132" t="s">
        <v>695</v>
      </c>
      <c r="B128" s="102" t="s">
        <v>2469</v>
      </c>
      <c r="C128" s="9" t="s">
        <v>2720</v>
      </c>
      <c r="D128" s="9" t="s">
        <v>2721</v>
      </c>
      <c r="E128" s="102">
        <v>2020</v>
      </c>
      <c r="F128" s="102">
        <v>2020</v>
      </c>
      <c r="G128" s="9" t="s">
        <v>2480</v>
      </c>
      <c r="H128" s="9">
        <v>200</v>
      </c>
      <c r="I128" s="9">
        <v>200</v>
      </c>
      <c r="J128" s="102"/>
      <c r="K128" s="102"/>
      <c r="L128" s="105">
        <v>20201118</v>
      </c>
    </row>
    <row r="129" spans="1:12">
      <c r="A129" s="2" t="s">
        <v>698</v>
      </c>
      <c r="B129" s="102" t="s">
        <v>2469</v>
      </c>
      <c r="C129" s="9" t="s">
        <v>2722</v>
      </c>
      <c r="D129" s="9" t="s">
        <v>2723</v>
      </c>
      <c r="E129" s="102">
        <v>2020</v>
      </c>
      <c r="F129" s="102">
        <v>2020</v>
      </c>
      <c r="G129" s="9" t="s">
        <v>2480</v>
      </c>
      <c r="H129" s="9">
        <v>200</v>
      </c>
      <c r="I129" s="9">
        <v>200</v>
      </c>
      <c r="J129" s="102"/>
      <c r="K129" s="102"/>
      <c r="L129" s="105">
        <v>20201118</v>
      </c>
    </row>
    <row r="130" spans="1:12">
      <c r="A130" s="2" t="s">
        <v>701</v>
      </c>
      <c r="B130" s="102" t="s">
        <v>2469</v>
      </c>
      <c r="C130" s="9" t="s">
        <v>2724</v>
      </c>
      <c r="D130" s="9" t="s">
        <v>2725</v>
      </c>
      <c r="E130" s="102">
        <v>2020</v>
      </c>
      <c r="F130" s="102">
        <v>2020</v>
      </c>
      <c r="G130" s="9" t="s">
        <v>2480</v>
      </c>
      <c r="H130" s="9">
        <v>200</v>
      </c>
      <c r="I130" s="9">
        <v>200</v>
      </c>
      <c r="J130" s="102"/>
      <c r="K130" s="102"/>
      <c r="L130" s="105">
        <v>20201118</v>
      </c>
    </row>
    <row r="131" spans="1:12">
      <c r="A131" s="2" t="s">
        <v>704</v>
      </c>
      <c r="B131" s="102" t="s">
        <v>2469</v>
      </c>
      <c r="C131" s="9" t="s">
        <v>2726</v>
      </c>
      <c r="D131" s="9" t="s">
        <v>2727</v>
      </c>
      <c r="E131" s="102">
        <v>2020</v>
      </c>
      <c r="F131" s="102">
        <v>2020</v>
      </c>
      <c r="G131" s="9" t="s">
        <v>2480</v>
      </c>
      <c r="H131" s="9">
        <v>200</v>
      </c>
      <c r="I131" s="9">
        <v>200</v>
      </c>
      <c r="J131" s="102"/>
      <c r="K131" s="102"/>
      <c r="L131" s="105">
        <v>20201118</v>
      </c>
    </row>
    <row r="132" spans="1:12">
      <c r="A132" s="2" t="s">
        <v>707</v>
      </c>
      <c r="B132" s="102" t="s">
        <v>2469</v>
      </c>
      <c r="C132" s="9" t="s">
        <v>2728</v>
      </c>
      <c r="D132" s="9" t="s">
        <v>2729</v>
      </c>
      <c r="E132" s="102">
        <v>2020</v>
      </c>
      <c r="F132" s="102">
        <v>2020</v>
      </c>
      <c r="G132" s="9" t="s">
        <v>2480</v>
      </c>
      <c r="H132" s="9">
        <v>200</v>
      </c>
      <c r="I132" s="9">
        <v>200</v>
      </c>
      <c r="J132" s="102"/>
      <c r="K132" s="102"/>
      <c r="L132" s="105">
        <v>20201118</v>
      </c>
    </row>
    <row r="133" spans="1:12">
      <c r="A133" s="132" t="s">
        <v>710</v>
      </c>
      <c r="B133" s="102" t="s">
        <v>2469</v>
      </c>
      <c r="C133" s="9" t="s">
        <v>2730</v>
      </c>
      <c r="D133" s="9" t="s">
        <v>2731</v>
      </c>
      <c r="E133" s="102">
        <v>2020</v>
      </c>
      <c r="F133" s="102">
        <v>2020</v>
      </c>
      <c r="G133" s="9" t="s">
        <v>2480</v>
      </c>
      <c r="H133" s="9">
        <v>200</v>
      </c>
      <c r="I133" s="9">
        <v>200</v>
      </c>
      <c r="J133" s="102"/>
      <c r="K133" s="102"/>
      <c r="L133" s="105">
        <v>20201118</v>
      </c>
    </row>
    <row r="134" spans="1:12">
      <c r="A134" s="2" t="s">
        <v>713</v>
      </c>
      <c r="B134" s="102" t="s">
        <v>2469</v>
      </c>
      <c r="C134" s="9" t="s">
        <v>2732</v>
      </c>
      <c r="D134" s="9" t="s">
        <v>2733</v>
      </c>
      <c r="E134" s="102">
        <v>2020</v>
      </c>
      <c r="F134" s="102">
        <v>2020</v>
      </c>
      <c r="G134" s="9" t="s">
        <v>2480</v>
      </c>
      <c r="H134" s="9">
        <v>200</v>
      </c>
      <c r="I134" s="9">
        <v>200</v>
      </c>
      <c r="J134" s="102"/>
      <c r="K134" s="102"/>
      <c r="L134" s="105">
        <v>20201118</v>
      </c>
    </row>
    <row r="135" spans="1:12">
      <c r="A135" s="2" t="s">
        <v>716</v>
      </c>
      <c r="B135" s="102" t="s">
        <v>2469</v>
      </c>
      <c r="C135" s="9" t="s">
        <v>2734</v>
      </c>
      <c r="D135" s="9" t="s">
        <v>2735</v>
      </c>
      <c r="E135" s="102">
        <v>2020</v>
      </c>
      <c r="F135" s="102">
        <v>2020</v>
      </c>
      <c r="G135" s="9" t="s">
        <v>2480</v>
      </c>
      <c r="H135" s="9">
        <v>200</v>
      </c>
      <c r="I135" s="9">
        <v>200</v>
      </c>
      <c r="J135" s="102"/>
      <c r="K135" s="102"/>
      <c r="L135" s="105">
        <v>20201118</v>
      </c>
    </row>
    <row r="136" spans="1:12">
      <c r="A136" s="132" t="s">
        <v>719</v>
      </c>
      <c r="B136" s="102" t="s">
        <v>2469</v>
      </c>
      <c r="C136" s="9" t="s">
        <v>2736</v>
      </c>
      <c r="D136" s="9" t="s">
        <v>2737</v>
      </c>
      <c r="E136" s="102">
        <v>2020</v>
      </c>
      <c r="F136" s="102">
        <v>2020</v>
      </c>
      <c r="G136" s="9" t="s">
        <v>2480</v>
      </c>
      <c r="H136" s="9">
        <v>200</v>
      </c>
      <c r="I136" s="9">
        <v>200</v>
      </c>
      <c r="J136" s="102"/>
      <c r="K136" s="102"/>
      <c r="L136" s="105">
        <v>20201118</v>
      </c>
    </row>
    <row r="137" spans="1:12">
      <c r="A137" s="2" t="s">
        <v>722</v>
      </c>
      <c r="B137" s="102" t="s">
        <v>2469</v>
      </c>
      <c r="C137" s="9" t="s">
        <v>2738</v>
      </c>
      <c r="D137" s="9" t="s">
        <v>2739</v>
      </c>
      <c r="E137" s="102">
        <v>2020</v>
      </c>
      <c r="F137" s="102">
        <v>2020</v>
      </c>
      <c r="G137" s="9" t="s">
        <v>2480</v>
      </c>
      <c r="H137" s="9">
        <v>200</v>
      </c>
      <c r="I137" s="9">
        <v>200</v>
      </c>
      <c r="J137" s="102"/>
      <c r="K137" s="102"/>
      <c r="L137" s="105">
        <v>20201118</v>
      </c>
    </row>
    <row r="138" spans="1:12">
      <c r="A138" s="2" t="s">
        <v>725</v>
      </c>
      <c r="B138" s="102" t="s">
        <v>2469</v>
      </c>
      <c r="C138" s="9" t="s">
        <v>2740</v>
      </c>
      <c r="D138" s="9" t="s">
        <v>2741</v>
      </c>
      <c r="E138" s="102">
        <v>2020</v>
      </c>
      <c r="F138" s="102">
        <v>2020</v>
      </c>
      <c r="G138" s="9" t="s">
        <v>2480</v>
      </c>
      <c r="H138" s="9">
        <v>200</v>
      </c>
      <c r="I138" s="9">
        <v>200</v>
      </c>
      <c r="J138" s="102"/>
      <c r="K138" s="102"/>
      <c r="L138" s="105">
        <v>20201118</v>
      </c>
    </row>
    <row r="139" spans="1:12">
      <c r="A139" s="2" t="s">
        <v>728</v>
      </c>
      <c r="B139" s="102" t="s">
        <v>2469</v>
      </c>
      <c r="C139" s="9" t="s">
        <v>2742</v>
      </c>
      <c r="D139" s="9" t="s">
        <v>2743</v>
      </c>
      <c r="E139" s="102">
        <v>2020</v>
      </c>
      <c r="F139" s="102">
        <v>2020</v>
      </c>
      <c r="G139" s="9" t="s">
        <v>2480</v>
      </c>
      <c r="H139" s="9">
        <v>200</v>
      </c>
      <c r="I139" s="9">
        <v>200</v>
      </c>
      <c r="J139" s="102"/>
      <c r="K139" s="102"/>
      <c r="L139" s="105">
        <v>20201118</v>
      </c>
    </row>
    <row r="140" spans="1:12">
      <c r="A140" s="2" t="s">
        <v>731</v>
      </c>
      <c r="B140" s="102" t="s">
        <v>2469</v>
      </c>
      <c r="C140" s="9" t="s">
        <v>2744</v>
      </c>
      <c r="D140" s="9" t="s">
        <v>2745</v>
      </c>
      <c r="E140" s="102">
        <v>2020</v>
      </c>
      <c r="F140" s="102">
        <v>2020</v>
      </c>
      <c r="G140" s="9" t="s">
        <v>2480</v>
      </c>
      <c r="H140" s="9">
        <v>200</v>
      </c>
      <c r="I140" s="9">
        <v>200</v>
      </c>
      <c r="J140" s="102"/>
      <c r="K140" s="102"/>
      <c r="L140" s="105">
        <v>20201118</v>
      </c>
    </row>
    <row r="141" spans="1:12">
      <c r="A141" s="132" t="s">
        <v>734</v>
      </c>
      <c r="B141" s="102" t="s">
        <v>2469</v>
      </c>
      <c r="C141" s="9" t="s">
        <v>2746</v>
      </c>
      <c r="D141" s="9" t="s">
        <v>2747</v>
      </c>
      <c r="E141" s="102">
        <v>2020</v>
      </c>
      <c r="F141" s="102">
        <v>2020</v>
      </c>
      <c r="G141" s="9" t="s">
        <v>2480</v>
      </c>
      <c r="H141" s="9">
        <v>200</v>
      </c>
      <c r="I141" s="9">
        <v>200</v>
      </c>
      <c r="J141" s="102"/>
      <c r="K141" s="102"/>
      <c r="L141" s="105">
        <v>20201118</v>
      </c>
    </row>
    <row r="142" spans="1:12">
      <c r="A142" s="2" t="s">
        <v>737</v>
      </c>
      <c r="B142" s="102" t="s">
        <v>2469</v>
      </c>
      <c r="C142" s="9" t="s">
        <v>2748</v>
      </c>
      <c r="D142" s="9" t="s">
        <v>2749</v>
      </c>
      <c r="E142" s="102">
        <v>2020</v>
      </c>
      <c r="F142" s="102">
        <v>2020</v>
      </c>
      <c r="G142" s="9" t="s">
        <v>2480</v>
      </c>
      <c r="H142" s="9">
        <v>500</v>
      </c>
      <c r="I142" s="9">
        <v>500</v>
      </c>
      <c r="J142" s="102"/>
      <c r="K142" s="102"/>
      <c r="L142" s="105">
        <v>20201118</v>
      </c>
    </row>
    <row r="143" spans="1:12">
      <c r="A143" s="2" t="s">
        <v>740</v>
      </c>
      <c r="B143" s="102" t="s">
        <v>2469</v>
      </c>
      <c r="C143" s="9" t="s">
        <v>2750</v>
      </c>
      <c r="D143" s="9" t="s">
        <v>2751</v>
      </c>
      <c r="E143" s="102">
        <v>2020</v>
      </c>
      <c r="F143" s="102">
        <v>2020</v>
      </c>
      <c r="G143" s="9" t="s">
        <v>2480</v>
      </c>
      <c r="H143" s="9">
        <v>200</v>
      </c>
      <c r="I143" s="9">
        <v>200</v>
      </c>
      <c r="J143" s="102"/>
      <c r="K143" s="102"/>
      <c r="L143" s="105">
        <v>20201118</v>
      </c>
    </row>
    <row r="144" spans="1:12">
      <c r="A144" s="132" t="s">
        <v>743</v>
      </c>
      <c r="B144" s="102" t="s">
        <v>2469</v>
      </c>
      <c r="C144" s="9" t="s">
        <v>2752</v>
      </c>
      <c r="D144" s="9" t="s">
        <v>2753</v>
      </c>
      <c r="E144" s="102">
        <v>2020</v>
      </c>
      <c r="F144" s="102">
        <v>2020</v>
      </c>
      <c r="G144" s="9" t="s">
        <v>2480</v>
      </c>
      <c r="H144" s="9">
        <v>200</v>
      </c>
      <c r="I144" s="9">
        <v>200</v>
      </c>
      <c r="J144" s="102"/>
      <c r="K144" s="102"/>
      <c r="L144" s="105">
        <v>20201118</v>
      </c>
    </row>
    <row r="145" spans="1:12">
      <c r="A145" s="2" t="s">
        <v>746</v>
      </c>
      <c r="B145" s="102" t="s">
        <v>2469</v>
      </c>
      <c r="C145" s="9" t="s">
        <v>2754</v>
      </c>
      <c r="D145" s="9" t="s">
        <v>2755</v>
      </c>
      <c r="E145" s="102">
        <v>2020</v>
      </c>
      <c r="F145" s="102">
        <v>2020</v>
      </c>
      <c r="G145" s="9" t="s">
        <v>2480</v>
      </c>
      <c r="H145" s="9">
        <v>200</v>
      </c>
      <c r="I145" s="9">
        <v>200</v>
      </c>
      <c r="J145" s="102"/>
      <c r="K145" s="102"/>
      <c r="L145" s="105">
        <v>20201118</v>
      </c>
    </row>
    <row r="146" spans="1:12">
      <c r="A146" s="2" t="s">
        <v>750</v>
      </c>
      <c r="B146" s="102" t="s">
        <v>2469</v>
      </c>
      <c r="C146" s="9" t="s">
        <v>2756</v>
      </c>
      <c r="D146" s="9" t="s">
        <v>2757</v>
      </c>
      <c r="E146" s="102">
        <v>2020</v>
      </c>
      <c r="F146" s="102">
        <v>2020</v>
      </c>
      <c r="G146" s="9" t="s">
        <v>2480</v>
      </c>
      <c r="H146" s="9">
        <v>200</v>
      </c>
      <c r="I146" s="9">
        <v>200</v>
      </c>
      <c r="J146" s="102"/>
      <c r="K146" s="102"/>
      <c r="L146" s="105">
        <v>20201118</v>
      </c>
    </row>
    <row r="147" spans="1:12">
      <c r="A147" s="2" t="s">
        <v>753</v>
      </c>
      <c r="B147" s="102" t="s">
        <v>2469</v>
      </c>
      <c r="C147" s="9" t="s">
        <v>2758</v>
      </c>
      <c r="D147" s="9" t="s">
        <v>2759</v>
      </c>
      <c r="E147" s="102">
        <v>2020</v>
      </c>
      <c r="F147" s="102">
        <v>2020</v>
      </c>
      <c r="G147" s="9" t="s">
        <v>2480</v>
      </c>
      <c r="H147" s="9">
        <v>200</v>
      </c>
      <c r="I147" s="9">
        <v>200</v>
      </c>
      <c r="J147" s="102"/>
      <c r="K147" s="102"/>
      <c r="L147" s="105">
        <v>20201118</v>
      </c>
    </row>
    <row r="148" spans="1:12">
      <c r="A148" s="2" t="s">
        <v>756</v>
      </c>
      <c r="B148" s="102" t="s">
        <v>2469</v>
      </c>
      <c r="C148" s="9" t="s">
        <v>2174</v>
      </c>
      <c r="D148" s="9" t="s">
        <v>2760</v>
      </c>
      <c r="E148" s="102">
        <v>2020</v>
      </c>
      <c r="F148" s="102">
        <v>2020</v>
      </c>
      <c r="G148" s="9" t="s">
        <v>2480</v>
      </c>
      <c r="H148" s="9">
        <v>200</v>
      </c>
      <c r="I148" s="9">
        <v>200</v>
      </c>
      <c r="J148" s="102"/>
      <c r="K148" s="102"/>
      <c r="L148" s="105">
        <v>20201118</v>
      </c>
    </row>
    <row r="149" spans="1:12">
      <c r="A149" s="132" t="s">
        <v>759</v>
      </c>
      <c r="B149" s="102" t="s">
        <v>2469</v>
      </c>
      <c r="C149" s="9" t="s">
        <v>2761</v>
      </c>
      <c r="D149" s="9" t="s">
        <v>2762</v>
      </c>
      <c r="E149" s="102">
        <v>2020</v>
      </c>
      <c r="F149" s="102">
        <v>2020</v>
      </c>
      <c r="G149" s="9" t="s">
        <v>2480</v>
      </c>
      <c r="H149" s="9">
        <v>200</v>
      </c>
      <c r="I149" s="9">
        <v>200</v>
      </c>
      <c r="J149" s="102"/>
      <c r="K149" s="102"/>
      <c r="L149" s="105">
        <v>20201118</v>
      </c>
    </row>
    <row r="150" spans="1:12">
      <c r="A150" s="2" t="s">
        <v>762</v>
      </c>
      <c r="B150" s="102" t="s">
        <v>2469</v>
      </c>
      <c r="C150" s="9" t="s">
        <v>2763</v>
      </c>
      <c r="D150" s="9" t="s">
        <v>2764</v>
      </c>
      <c r="E150" s="102">
        <v>2020</v>
      </c>
      <c r="F150" s="102">
        <v>2020</v>
      </c>
      <c r="G150" s="9" t="s">
        <v>2480</v>
      </c>
      <c r="H150" s="9">
        <v>200</v>
      </c>
      <c r="I150" s="9">
        <v>200</v>
      </c>
      <c r="J150" s="102"/>
      <c r="K150" s="102"/>
      <c r="L150" s="105">
        <v>20201118</v>
      </c>
    </row>
    <row r="151" spans="1:12">
      <c r="A151" s="2" t="s">
        <v>765</v>
      </c>
      <c r="B151" s="102" t="s">
        <v>2469</v>
      </c>
      <c r="C151" s="9" t="s">
        <v>2765</v>
      </c>
      <c r="D151" s="9" t="s">
        <v>2766</v>
      </c>
      <c r="E151" s="102">
        <v>2020</v>
      </c>
      <c r="F151" s="102">
        <v>2020</v>
      </c>
      <c r="G151" s="9" t="s">
        <v>2480</v>
      </c>
      <c r="H151" s="9">
        <v>200</v>
      </c>
      <c r="I151" s="9">
        <v>200</v>
      </c>
      <c r="J151" s="102"/>
      <c r="K151" s="102"/>
      <c r="L151" s="105">
        <v>20201118</v>
      </c>
    </row>
    <row r="152" spans="1:12">
      <c r="A152" s="132" t="s">
        <v>769</v>
      </c>
      <c r="B152" s="102" t="s">
        <v>2469</v>
      </c>
      <c r="C152" s="9" t="s">
        <v>1002</v>
      </c>
      <c r="D152" s="9" t="s">
        <v>2767</v>
      </c>
      <c r="E152" s="102">
        <v>2020</v>
      </c>
      <c r="F152" s="102">
        <v>2020</v>
      </c>
      <c r="G152" s="9" t="s">
        <v>2480</v>
      </c>
      <c r="H152" s="9">
        <v>200</v>
      </c>
      <c r="I152" s="9">
        <v>200</v>
      </c>
      <c r="J152" s="102"/>
      <c r="K152" s="102"/>
      <c r="L152" s="105">
        <v>20201118</v>
      </c>
    </row>
    <row r="153" spans="1:12">
      <c r="A153" s="2" t="s">
        <v>772</v>
      </c>
      <c r="B153" s="102" t="s">
        <v>2469</v>
      </c>
      <c r="C153" s="9" t="s">
        <v>2768</v>
      </c>
      <c r="D153" s="9" t="s">
        <v>2769</v>
      </c>
      <c r="E153" s="102">
        <v>2020</v>
      </c>
      <c r="F153" s="102">
        <v>2020</v>
      </c>
      <c r="G153" s="9" t="s">
        <v>2480</v>
      </c>
      <c r="H153" s="9">
        <v>200</v>
      </c>
      <c r="I153" s="9">
        <v>200</v>
      </c>
      <c r="J153" s="102"/>
      <c r="K153" s="102"/>
      <c r="L153" s="105">
        <v>20201118</v>
      </c>
    </row>
    <row r="154" spans="1:12">
      <c r="A154" s="2" t="s">
        <v>775</v>
      </c>
      <c r="B154" s="102" t="s">
        <v>2469</v>
      </c>
      <c r="C154" s="9" t="s">
        <v>2770</v>
      </c>
      <c r="D154" s="9" t="s">
        <v>2771</v>
      </c>
      <c r="E154" s="102">
        <v>2020</v>
      </c>
      <c r="F154" s="102">
        <v>2020</v>
      </c>
      <c r="G154" s="9" t="s">
        <v>2480</v>
      </c>
      <c r="H154" s="9">
        <v>200</v>
      </c>
      <c r="I154" s="9">
        <v>200</v>
      </c>
      <c r="J154" s="102"/>
      <c r="K154" s="102"/>
      <c r="L154" s="105">
        <v>20201118</v>
      </c>
    </row>
    <row r="155" spans="1:12">
      <c r="A155" s="2" t="s">
        <v>778</v>
      </c>
      <c r="B155" s="102" t="s">
        <v>2469</v>
      </c>
      <c r="C155" s="9" t="s">
        <v>2772</v>
      </c>
      <c r="D155" s="9" t="s">
        <v>2773</v>
      </c>
      <c r="E155" s="102">
        <v>2020</v>
      </c>
      <c r="F155" s="102">
        <v>2020</v>
      </c>
      <c r="G155" s="9" t="s">
        <v>2480</v>
      </c>
      <c r="H155" s="9">
        <v>200</v>
      </c>
      <c r="I155" s="9">
        <v>200</v>
      </c>
      <c r="J155" s="102"/>
      <c r="K155" s="102"/>
      <c r="L155" s="105">
        <v>20201118</v>
      </c>
    </row>
    <row r="156" spans="1:12">
      <c r="A156" s="2" t="s">
        <v>781</v>
      </c>
      <c r="B156" s="102" t="s">
        <v>2469</v>
      </c>
      <c r="C156" s="9" t="s">
        <v>1543</v>
      </c>
      <c r="D156" s="9" t="s">
        <v>2774</v>
      </c>
      <c r="E156" s="102">
        <v>2020</v>
      </c>
      <c r="F156" s="102">
        <v>2020</v>
      </c>
      <c r="G156" s="9" t="s">
        <v>2480</v>
      </c>
      <c r="H156" s="9">
        <v>200</v>
      </c>
      <c r="I156" s="9">
        <v>200</v>
      </c>
      <c r="J156" s="102"/>
      <c r="K156" s="102"/>
      <c r="L156" s="105">
        <v>20201118</v>
      </c>
    </row>
    <row r="157" spans="1:12">
      <c r="A157" s="132" t="s">
        <v>784</v>
      </c>
      <c r="B157" s="102" t="s">
        <v>2469</v>
      </c>
      <c r="C157" s="9" t="s">
        <v>2775</v>
      </c>
      <c r="D157" s="9" t="s">
        <v>2776</v>
      </c>
      <c r="E157" s="102">
        <v>2020</v>
      </c>
      <c r="F157" s="102">
        <v>2020</v>
      </c>
      <c r="G157" s="9" t="s">
        <v>2480</v>
      </c>
      <c r="H157" s="9">
        <v>200</v>
      </c>
      <c r="I157" s="9">
        <v>200</v>
      </c>
      <c r="J157" s="102"/>
      <c r="K157" s="102"/>
      <c r="L157" s="105">
        <v>20201118</v>
      </c>
    </row>
    <row r="158" spans="1:12">
      <c r="A158" s="2" t="s">
        <v>787</v>
      </c>
      <c r="B158" s="102" t="s">
        <v>2469</v>
      </c>
      <c r="C158" s="9" t="s">
        <v>2777</v>
      </c>
      <c r="D158" s="9" t="s">
        <v>2778</v>
      </c>
      <c r="E158" s="102">
        <v>2020</v>
      </c>
      <c r="F158" s="102">
        <v>2020</v>
      </c>
      <c r="G158" s="9" t="s">
        <v>2480</v>
      </c>
      <c r="H158" s="9">
        <v>200</v>
      </c>
      <c r="I158" s="9">
        <v>200</v>
      </c>
      <c r="J158" s="102"/>
      <c r="K158" s="102"/>
      <c r="L158" s="105">
        <v>20201118</v>
      </c>
    </row>
    <row r="159" spans="1:12">
      <c r="A159" s="2" t="s">
        <v>790</v>
      </c>
      <c r="B159" s="102" t="s">
        <v>2469</v>
      </c>
      <c r="C159" s="9" t="s">
        <v>2779</v>
      </c>
      <c r="D159" s="9" t="s">
        <v>2780</v>
      </c>
      <c r="E159" s="102">
        <v>2020</v>
      </c>
      <c r="F159" s="102">
        <v>2020</v>
      </c>
      <c r="G159" s="9" t="s">
        <v>2480</v>
      </c>
      <c r="H159" s="9">
        <v>200</v>
      </c>
      <c r="I159" s="9">
        <v>200</v>
      </c>
      <c r="J159" s="102"/>
      <c r="K159" s="102"/>
      <c r="L159" s="105">
        <v>20201118</v>
      </c>
    </row>
    <row r="160" spans="1:12">
      <c r="A160" s="132" t="s">
        <v>793</v>
      </c>
      <c r="B160" s="102" t="s">
        <v>2469</v>
      </c>
      <c r="C160" s="9" t="s">
        <v>2781</v>
      </c>
      <c r="D160" s="9" t="s">
        <v>2782</v>
      </c>
      <c r="E160" s="102">
        <v>2020</v>
      </c>
      <c r="F160" s="102">
        <v>2020</v>
      </c>
      <c r="G160" s="9" t="s">
        <v>2480</v>
      </c>
      <c r="H160" s="9">
        <v>200</v>
      </c>
      <c r="I160" s="9">
        <v>200</v>
      </c>
      <c r="J160" s="102"/>
      <c r="K160" s="102"/>
      <c r="L160" s="105">
        <v>20201118</v>
      </c>
    </row>
    <row r="161" spans="1:12">
      <c r="A161" s="2" t="s">
        <v>796</v>
      </c>
      <c r="B161" s="102" t="s">
        <v>2469</v>
      </c>
      <c r="C161" s="9" t="s">
        <v>2783</v>
      </c>
      <c r="D161" s="9" t="s">
        <v>2784</v>
      </c>
      <c r="E161" s="102">
        <v>2020</v>
      </c>
      <c r="F161" s="102">
        <v>2020</v>
      </c>
      <c r="G161" s="9" t="s">
        <v>2480</v>
      </c>
      <c r="H161" s="9">
        <v>200</v>
      </c>
      <c r="I161" s="9">
        <v>200</v>
      </c>
      <c r="J161" s="102"/>
      <c r="K161" s="102"/>
      <c r="L161" s="105">
        <v>20201118</v>
      </c>
    </row>
    <row r="162" spans="1:12">
      <c r="A162" s="2" t="s">
        <v>799</v>
      </c>
      <c r="B162" s="102" t="s">
        <v>2469</v>
      </c>
      <c r="C162" s="9" t="s">
        <v>2785</v>
      </c>
      <c r="D162" s="9" t="s">
        <v>2786</v>
      </c>
      <c r="E162" s="102">
        <v>2020</v>
      </c>
      <c r="F162" s="102">
        <v>2020</v>
      </c>
      <c r="G162" s="9" t="s">
        <v>2480</v>
      </c>
      <c r="H162" s="9">
        <v>200</v>
      </c>
      <c r="I162" s="9">
        <v>200</v>
      </c>
      <c r="J162" s="102"/>
      <c r="K162" s="102"/>
      <c r="L162" s="105">
        <v>20201118</v>
      </c>
    </row>
    <row r="163" spans="1:12">
      <c r="A163" s="2" t="s">
        <v>802</v>
      </c>
      <c r="B163" s="102" t="s">
        <v>2469</v>
      </c>
      <c r="C163" s="9" t="s">
        <v>2787</v>
      </c>
      <c r="D163" s="9" t="s">
        <v>2788</v>
      </c>
      <c r="E163" s="102">
        <v>2020</v>
      </c>
      <c r="F163" s="102">
        <v>2020</v>
      </c>
      <c r="G163" s="9" t="s">
        <v>2480</v>
      </c>
      <c r="H163" s="9">
        <v>200</v>
      </c>
      <c r="I163" s="9">
        <v>200</v>
      </c>
      <c r="J163" s="102"/>
      <c r="K163" s="102"/>
      <c r="L163" s="105">
        <v>20201118</v>
      </c>
    </row>
    <row r="164" spans="1:12">
      <c r="A164" s="2" t="s">
        <v>805</v>
      </c>
      <c r="B164" s="102" t="s">
        <v>2469</v>
      </c>
      <c r="C164" s="9" t="s">
        <v>2789</v>
      </c>
      <c r="D164" s="9" t="s">
        <v>2790</v>
      </c>
      <c r="E164" s="102">
        <v>2020</v>
      </c>
      <c r="F164" s="102">
        <v>2020</v>
      </c>
      <c r="G164" s="9" t="s">
        <v>2480</v>
      </c>
      <c r="H164" s="9">
        <v>200</v>
      </c>
      <c r="I164" s="9">
        <v>200</v>
      </c>
      <c r="J164" s="102"/>
      <c r="K164" s="102"/>
      <c r="L164" s="105">
        <v>20201118</v>
      </c>
    </row>
    <row r="165" spans="1:12">
      <c r="A165" s="132" t="s">
        <v>808</v>
      </c>
      <c r="B165" s="102" t="s">
        <v>2469</v>
      </c>
      <c r="C165" s="9" t="s">
        <v>2791</v>
      </c>
      <c r="D165" s="9" t="s">
        <v>2792</v>
      </c>
      <c r="E165" s="102">
        <v>2020</v>
      </c>
      <c r="F165" s="102">
        <v>2020</v>
      </c>
      <c r="G165" s="9" t="s">
        <v>2480</v>
      </c>
      <c r="H165" s="9">
        <v>200</v>
      </c>
      <c r="I165" s="9">
        <v>200</v>
      </c>
      <c r="J165" s="102"/>
      <c r="K165" s="102"/>
      <c r="L165" s="105">
        <v>20201118</v>
      </c>
    </row>
    <row r="166" spans="1:12">
      <c r="A166" s="2" t="s">
        <v>811</v>
      </c>
      <c r="B166" s="102" t="s">
        <v>2469</v>
      </c>
      <c r="C166" s="9" t="s">
        <v>2793</v>
      </c>
      <c r="D166" s="9" t="s">
        <v>2794</v>
      </c>
      <c r="E166" s="102">
        <v>2020</v>
      </c>
      <c r="F166" s="102">
        <v>2020</v>
      </c>
      <c r="G166" s="9" t="s">
        <v>2480</v>
      </c>
      <c r="H166" s="9">
        <v>200</v>
      </c>
      <c r="I166" s="9">
        <v>200</v>
      </c>
      <c r="J166" s="102"/>
      <c r="K166" s="102"/>
      <c r="L166" s="105">
        <v>20201118</v>
      </c>
    </row>
    <row r="167" spans="1:12">
      <c r="A167" s="2" t="s">
        <v>814</v>
      </c>
      <c r="B167" s="102" t="s">
        <v>2469</v>
      </c>
      <c r="C167" s="9" t="s">
        <v>2795</v>
      </c>
      <c r="D167" s="9" t="s">
        <v>2796</v>
      </c>
      <c r="E167" s="102">
        <v>2020</v>
      </c>
      <c r="F167" s="102">
        <v>2020</v>
      </c>
      <c r="G167" s="9" t="s">
        <v>2480</v>
      </c>
      <c r="H167" s="9">
        <v>200</v>
      </c>
      <c r="I167" s="9">
        <v>200</v>
      </c>
      <c r="J167" s="102"/>
      <c r="K167" s="102"/>
      <c r="L167" s="105">
        <v>20201118</v>
      </c>
    </row>
    <row r="168" spans="1:12">
      <c r="A168" s="132" t="s">
        <v>817</v>
      </c>
      <c r="B168" s="102" t="s">
        <v>2469</v>
      </c>
      <c r="C168" s="9" t="s">
        <v>428</v>
      </c>
      <c r="D168" s="9" t="s">
        <v>2797</v>
      </c>
      <c r="E168" s="102">
        <v>2020</v>
      </c>
      <c r="F168" s="102">
        <v>2020</v>
      </c>
      <c r="G168" s="9" t="s">
        <v>2480</v>
      </c>
      <c r="H168" s="9">
        <v>200</v>
      </c>
      <c r="I168" s="9">
        <v>200</v>
      </c>
      <c r="J168" s="102"/>
      <c r="K168" s="102"/>
      <c r="L168" s="105">
        <v>20201118</v>
      </c>
    </row>
    <row r="169" spans="1:12">
      <c r="A169" s="2" t="s">
        <v>820</v>
      </c>
      <c r="B169" s="102" t="s">
        <v>2469</v>
      </c>
      <c r="C169" s="9" t="s">
        <v>2798</v>
      </c>
      <c r="D169" s="9" t="s">
        <v>2799</v>
      </c>
      <c r="E169" s="102">
        <v>2020</v>
      </c>
      <c r="F169" s="102">
        <v>2020</v>
      </c>
      <c r="G169" s="9" t="s">
        <v>2480</v>
      </c>
      <c r="H169" s="9">
        <v>200</v>
      </c>
      <c r="I169" s="9">
        <v>200</v>
      </c>
      <c r="J169" s="102"/>
      <c r="K169" s="102"/>
      <c r="L169" s="105">
        <v>20201118</v>
      </c>
    </row>
    <row r="170" spans="1:12">
      <c r="A170" s="2" t="s">
        <v>823</v>
      </c>
      <c r="B170" s="102" t="s">
        <v>2469</v>
      </c>
      <c r="C170" s="9" t="s">
        <v>2800</v>
      </c>
      <c r="D170" s="9" t="s">
        <v>2801</v>
      </c>
      <c r="E170" s="102">
        <v>2020</v>
      </c>
      <c r="F170" s="102">
        <v>2020</v>
      </c>
      <c r="G170" s="9" t="s">
        <v>2480</v>
      </c>
      <c r="H170" s="9">
        <v>200</v>
      </c>
      <c r="I170" s="9">
        <v>200</v>
      </c>
      <c r="J170" s="102"/>
      <c r="K170" s="102"/>
      <c r="L170" s="105">
        <v>20201118</v>
      </c>
    </row>
    <row r="171" spans="1:12">
      <c r="A171" s="2" t="s">
        <v>826</v>
      </c>
      <c r="B171" s="102" t="s">
        <v>2469</v>
      </c>
      <c r="C171" s="9" t="s">
        <v>2802</v>
      </c>
      <c r="D171" s="9" t="s">
        <v>2803</v>
      </c>
      <c r="E171" s="102">
        <v>2020</v>
      </c>
      <c r="F171" s="102">
        <v>2020</v>
      </c>
      <c r="G171" s="9" t="s">
        <v>2480</v>
      </c>
      <c r="H171" s="9">
        <v>200</v>
      </c>
      <c r="I171" s="9">
        <v>200</v>
      </c>
      <c r="J171" s="102"/>
      <c r="K171" s="102"/>
      <c r="L171" s="105">
        <v>20201118</v>
      </c>
    </row>
    <row r="172" spans="1:12">
      <c r="A172" s="2" t="s">
        <v>829</v>
      </c>
      <c r="B172" s="102" t="s">
        <v>2469</v>
      </c>
      <c r="C172" s="9" t="s">
        <v>2804</v>
      </c>
      <c r="D172" s="9" t="s">
        <v>2805</v>
      </c>
      <c r="E172" s="102">
        <v>2020</v>
      </c>
      <c r="F172" s="102">
        <v>2020</v>
      </c>
      <c r="G172" s="9" t="s">
        <v>2480</v>
      </c>
      <c r="H172" s="9">
        <v>200</v>
      </c>
      <c r="I172" s="9">
        <v>200</v>
      </c>
      <c r="J172" s="102"/>
      <c r="K172" s="102"/>
      <c r="L172" s="105">
        <v>20201118</v>
      </c>
    </row>
    <row r="173" spans="1:12">
      <c r="A173" s="132" t="s">
        <v>832</v>
      </c>
      <c r="B173" s="102" t="s">
        <v>2469</v>
      </c>
      <c r="C173" s="9" t="s">
        <v>2806</v>
      </c>
      <c r="D173" s="9" t="s">
        <v>2807</v>
      </c>
      <c r="E173" s="102">
        <v>2020</v>
      </c>
      <c r="F173" s="102">
        <v>2020</v>
      </c>
      <c r="G173" s="9" t="s">
        <v>2480</v>
      </c>
      <c r="H173" s="9">
        <v>200</v>
      </c>
      <c r="I173" s="9">
        <v>200</v>
      </c>
      <c r="J173" s="102"/>
      <c r="K173" s="102"/>
      <c r="L173" s="105">
        <v>20201118</v>
      </c>
    </row>
    <row r="174" spans="1:12">
      <c r="A174" s="2" t="s">
        <v>835</v>
      </c>
      <c r="B174" s="102" t="s">
        <v>2469</v>
      </c>
      <c r="C174" s="9" t="s">
        <v>2808</v>
      </c>
      <c r="D174" s="9" t="s">
        <v>2809</v>
      </c>
      <c r="E174" s="102">
        <v>2020</v>
      </c>
      <c r="F174" s="102">
        <v>2020</v>
      </c>
      <c r="G174" s="9" t="s">
        <v>2480</v>
      </c>
      <c r="H174" s="9">
        <v>200</v>
      </c>
      <c r="I174" s="9">
        <v>200</v>
      </c>
      <c r="J174" s="102"/>
      <c r="K174" s="102"/>
      <c r="L174" s="105">
        <v>20201118</v>
      </c>
    </row>
    <row r="175" spans="1:12">
      <c r="A175" s="2" t="s">
        <v>838</v>
      </c>
      <c r="B175" s="102" t="s">
        <v>2469</v>
      </c>
      <c r="C175" s="9" t="s">
        <v>2810</v>
      </c>
      <c r="D175" s="9" t="s">
        <v>2811</v>
      </c>
      <c r="E175" s="102">
        <v>2020</v>
      </c>
      <c r="F175" s="102">
        <v>2020</v>
      </c>
      <c r="G175" s="9" t="s">
        <v>2480</v>
      </c>
      <c r="H175" s="9">
        <v>200</v>
      </c>
      <c r="I175" s="9">
        <v>200</v>
      </c>
      <c r="J175" s="102"/>
      <c r="K175" s="102"/>
      <c r="L175" s="105">
        <v>20201118</v>
      </c>
    </row>
    <row r="176" spans="1:12">
      <c r="A176" s="132" t="s">
        <v>841</v>
      </c>
      <c r="B176" s="102" t="s">
        <v>2469</v>
      </c>
      <c r="C176" s="9" t="s">
        <v>2812</v>
      </c>
      <c r="D176" s="9" t="s">
        <v>2813</v>
      </c>
      <c r="E176" s="102">
        <v>2020</v>
      </c>
      <c r="F176" s="102">
        <v>2020</v>
      </c>
      <c r="G176" s="9" t="s">
        <v>2480</v>
      </c>
      <c r="H176" s="9">
        <v>200</v>
      </c>
      <c r="I176" s="9">
        <v>200</v>
      </c>
      <c r="J176" s="102"/>
      <c r="K176" s="102"/>
      <c r="L176" s="105">
        <v>20201118</v>
      </c>
    </row>
    <row r="177" spans="1:12">
      <c r="A177" s="2" t="s">
        <v>844</v>
      </c>
      <c r="B177" s="102" t="s">
        <v>2469</v>
      </c>
      <c r="C177" s="9" t="s">
        <v>2814</v>
      </c>
      <c r="D177" s="9" t="s">
        <v>2815</v>
      </c>
      <c r="E177" s="102">
        <v>2020</v>
      </c>
      <c r="F177" s="102">
        <v>2020</v>
      </c>
      <c r="G177" s="9" t="s">
        <v>2480</v>
      </c>
      <c r="H177" s="9">
        <v>200</v>
      </c>
      <c r="I177" s="9">
        <v>200</v>
      </c>
      <c r="J177" s="102"/>
      <c r="K177" s="102"/>
      <c r="L177" s="105">
        <v>20201118</v>
      </c>
    </row>
    <row r="178" spans="1:12">
      <c r="A178" s="2" t="s">
        <v>847</v>
      </c>
      <c r="B178" s="102" t="s">
        <v>2469</v>
      </c>
      <c r="C178" s="9" t="s">
        <v>2816</v>
      </c>
      <c r="D178" s="9" t="s">
        <v>2817</v>
      </c>
      <c r="E178" s="102">
        <v>2020</v>
      </c>
      <c r="F178" s="102">
        <v>2020</v>
      </c>
      <c r="G178" s="9" t="s">
        <v>2480</v>
      </c>
      <c r="H178" s="9">
        <v>200</v>
      </c>
      <c r="I178" s="9">
        <v>200</v>
      </c>
      <c r="J178" s="102"/>
      <c r="K178" s="102"/>
      <c r="L178" s="105">
        <v>20201118</v>
      </c>
    </row>
    <row r="179" spans="1:12">
      <c r="A179" s="2" t="s">
        <v>850</v>
      </c>
      <c r="B179" s="102" t="s">
        <v>2469</v>
      </c>
      <c r="C179" s="9" t="s">
        <v>2818</v>
      </c>
      <c r="D179" s="9" t="s">
        <v>2819</v>
      </c>
      <c r="E179" s="102">
        <v>2020</v>
      </c>
      <c r="F179" s="102">
        <v>2020</v>
      </c>
      <c r="G179" s="9" t="s">
        <v>2480</v>
      </c>
      <c r="H179" s="9">
        <v>500</v>
      </c>
      <c r="I179" s="9">
        <v>500</v>
      </c>
      <c r="J179" s="102"/>
      <c r="K179" s="102"/>
      <c r="L179" s="105">
        <v>20201118</v>
      </c>
    </row>
    <row r="180" spans="1:12">
      <c r="A180" s="2" t="s">
        <v>853</v>
      </c>
      <c r="B180" s="102" t="s">
        <v>2469</v>
      </c>
      <c r="C180" s="9" t="s">
        <v>2820</v>
      </c>
      <c r="D180" s="9" t="s">
        <v>2821</v>
      </c>
      <c r="E180" s="102">
        <v>2020</v>
      </c>
      <c r="F180" s="102">
        <v>2020</v>
      </c>
      <c r="G180" s="9" t="s">
        <v>2480</v>
      </c>
      <c r="H180" s="9">
        <v>200</v>
      </c>
      <c r="I180" s="9">
        <v>200</v>
      </c>
      <c r="J180" s="102"/>
      <c r="K180" s="102"/>
      <c r="L180" s="105">
        <v>20201118</v>
      </c>
    </row>
    <row r="181" spans="1:12">
      <c r="A181" s="132" t="s">
        <v>856</v>
      </c>
      <c r="B181" s="102" t="s">
        <v>2469</v>
      </c>
      <c r="C181" s="9" t="s">
        <v>2822</v>
      </c>
      <c r="D181" s="9" t="s">
        <v>2823</v>
      </c>
      <c r="E181" s="102">
        <v>2020</v>
      </c>
      <c r="F181" s="102">
        <v>2020</v>
      </c>
      <c r="G181" s="9" t="s">
        <v>2480</v>
      </c>
      <c r="H181" s="9">
        <v>200</v>
      </c>
      <c r="I181" s="9">
        <v>200</v>
      </c>
      <c r="J181" s="102"/>
      <c r="K181" s="102"/>
      <c r="L181" s="105">
        <v>20201118</v>
      </c>
    </row>
    <row r="182" spans="1:12">
      <c r="A182" s="2" t="s">
        <v>859</v>
      </c>
      <c r="B182" s="102" t="s">
        <v>2469</v>
      </c>
      <c r="C182" s="9" t="s">
        <v>2824</v>
      </c>
      <c r="D182" s="9" t="s">
        <v>2825</v>
      </c>
      <c r="E182" s="102">
        <v>2020</v>
      </c>
      <c r="F182" s="102">
        <v>2020</v>
      </c>
      <c r="G182" s="9" t="s">
        <v>2480</v>
      </c>
      <c r="H182" s="9">
        <v>200</v>
      </c>
      <c r="I182" s="9">
        <v>200</v>
      </c>
      <c r="J182" s="102"/>
      <c r="K182" s="102"/>
      <c r="L182" s="105">
        <v>20201118</v>
      </c>
    </row>
    <row r="183" spans="1:12">
      <c r="A183" s="2" t="s">
        <v>862</v>
      </c>
      <c r="B183" s="102" t="s">
        <v>2469</v>
      </c>
      <c r="C183" s="9" t="s">
        <v>2826</v>
      </c>
      <c r="D183" s="9" t="s">
        <v>2827</v>
      </c>
      <c r="E183" s="102">
        <v>2020</v>
      </c>
      <c r="F183" s="102">
        <v>2020</v>
      </c>
      <c r="G183" s="9" t="s">
        <v>2480</v>
      </c>
      <c r="H183" s="9">
        <v>200</v>
      </c>
      <c r="I183" s="9">
        <v>200</v>
      </c>
      <c r="J183" s="102"/>
      <c r="K183" s="102"/>
      <c r="L183" s="105">
        <v>20201118</v>
      </c>
    </row>
    <row r="184" spans="1:12">
      <c r="A184" s="132" t="s">
        <v>865</v>
      </c>
      <c r="B184" s="102" t="s">
        <v>2469</v>
      </c>
      <c r="C184" s="9" t="s">
        <v>2828</v>
      </c>
      <c r="D184" s="9" t="s">
        <v>2829</v>
      </c>
      <c r="E184" s="102">
        <v>2020</v>
      </c>
      <c r="F184" s="102">
        <v>2020</v>
      </c>
      <c r="G184" s="9" t="s">
        <v>2480</v>
      </c>
      <c r="H184" s="9">
        <v>200</v>
      </c>
      <c r="I184" s="9">
        <v>200</v>
      </c>
      <c r="J184" s="102"/>
      <c r="K184" s="102"/>
      <c r="L184" s="105">
        <v>20201118</v>
      </c>
    </row>
    <row r="185" spans="1:12">
      <c r="A185" s="2" t="s">
        <v>868</v>
      </c>
      <c r="B185" s="102" t="s">
        <v>2469</v>
      </c>
      <c r="C185" s="9" t="s">
        <v>2830</v>
      </c>
      <c r="D185" s="9" t="s">
        <v>2831</v>
      </c>
      <c r="E185" s="102">
        <v>2020</v>
      </c>
      <c r="F185" s="102">
        <v>2020</v>
      </c>
      <c r="G185" s="9" t="s">
        <v>2480</v>
      </c>
      <c r="H185" s="9">
        <v>200</v>
      </c>
      <c r="I185" s="9">
        <v>200</v>
      </c>
      <c r="J185" s="102"/>
      <c r="K185" s="102"/>
      <c r="L185" s="105">
        <v>20201118</v>
      </c>
    </row>
    <row r="186" spans="1:12">
      <c r="A186" s="2" t="s">
        <v>871</v>
      </c>
      <c r="B186" s="102" t="s">
        <v>2469</v>
      </c>
      <c r="C186" s="9" t="s">
        <v>2832</v>
      </c>
      <c r="D186" s="9" t="s">
        <v>2833</v>
      </c>
      <c r="E186" s="102">
        <v>2020</v>
      </c>
      <c r="F186" s="102">
        <v>2020</v>
      </c>
      <c r="G186" s="9" t="s">
        <v>2480</v>
      </c>
      <c r="H186" s="9">
        <v>200</v>
      </c>
      <c r="I186" s="9">
        <v>200</v>
      </c>
      <c r="J186" s="102"/>
      <c r="K186" s="102"/>
      <c r="L186" s="105">
        <v>20201118</v>
      </c>
    </row>
    <row r="187" spans="1:12">
      <c r="A187" s="2" t="s">
        <v>874</v>
      </c>
      <c r="B187" s="102" t="s">
        <v>2469</v>
      </c>
      <c r="C187" s="9" t="s">
        <v>2834</v>
      </c>
      <c r="D187" s="9" t="s">
        <v>2835</v>
      </c>
      <c r="E187" s="102">
        <v>2020</v>
      </c>
      <c r="F187" s="102">
        <v>2020</v>
      </c>
      <c r="G187" s="9" t="s">
        <v>2480</v>
      </c>
      <c r="H187" s="9">
        <v>200</v>
      </c>
      <c r="I187" s="9">
        <v>200</v>
      </c>
      <c r="J187" s="102"/>
      <c r="K187" s="102"/>
      <c r="L187" s="105">
        <v>20201118</v>
      </c>
    </row>
    <row r="188" spans="1:12">
      <c r="A188" s="2" t="s">
        <v>877</v>
      </c>
      <c r="B188" s="102" t="s">
        <v>2469</v>
      </c>
      <c r="C188" s="9" t="s">
        <v>2836</v>
      </c>
      <c r="D188" s="9" t="s">
        <v>2837</v>
      </c>
      <c r="E188" s="102">
        <v>2020</v>
      </c>
      <c r="F188" s="102">
        <v>2020</v>
      </c>
      <c r="G188" s="9" t="s">
        <v>2480</v>
      </c>
      <c r="H188" s="9">
        <v>200</v>
      </c>
      <c r="I188" s="9">
        <v>200</v>
      </c>
      <c r="J188" s="102"/>
      <c r="K188" s="102"/>
      <c r="L188" s="105">
        <v>20201118</v>
      </c>
    </row>
    <row r="189" spans="1:12">
      <c r="A189" s="132" t="s">
        <v>880</v>
      </c>
      <c r="B189" s="102" t="s">
        <v>2469</v>
      </c>
      <c r="C189" s="9" t="s">
        <v>2838</v>
      </c>
      <c r="D189" s="9" t="s">
        <v>2839</v>
      </c>
      <c r="E189" s="102">
        <v>2020</v>
      </c>
      <c r="F189" s="102">
        <v>2020</v>
      </c>
      <c r="G189" s="9" t="s">
        <v>2480</v>
      </c>
      <c r="H189" s="9">
        <v>200</v>
      </c>
      <c r="I189" s="9">
        <v>200</v>
      </c>
      <c r="J189" s="102"/>
      <c r="K189" s="102"/>
      <c r="L189" s="105">
        <v>20201118</v>
      </c>
    </row>
    <row r="190" spans="1:12">
      <c r="A190" s="2" t="s">
        <v>883</v>
      </c>
      <c r="B190" s="102" t="s">
        <v>2469</v>
      </c>
      <c r="C190" s="9" t="s">
        <v>2840</v>
      </c>
      <c r="D190" s="9" t="s">
        <v>2841</v>
      </c>
      <c r="E190" s="102">
        <v>2020</v>
      </c>
      <c r="F190" s="102">
        <v>2020</v>
      </c>
      <c r="G190" s="9" t="s">
        <v>2480</v>
      </c>
      <c r="H190" s="9">
        <v>200</v>
      </c>
      <c r="I190" s="9">
        <v>200</v>
      </c>
      <c r="J190" s="102"/>
      <c r="K190" s="102"/>
      <c r="L190" s="105">
        <v>20201118</v>
      </c>
    </row>
    <row r="191" spans="1:12">
      <c r="A191" s="2" t="s">
        <v>886</v>
      </c>
      <c r="B191" s="5" t="s">
        <v>2469</v>
      </c>
      <c r="C191" s="9" t="s">
        <v>2842</v>
      </c>
      <c r="D191" s="9" t="s">
        <v>2843</v>
      </c>
      <c r="E191" s="5">
        <v>2020</v>
      </c>
      <c r="F191" s="5">
        <v>2020</v>
      </c>
      <c r="G191" s="9" t="s">
        <v>2480</v>
      </c>
      <c r="H191" s="9">
        <v>200</v>
      </c>
      <c r="I191" s="9">
        <v>200</v>
      </c>
      <c r="J191" s="5"/>
      <c r="K191" s="102"/>
      <c r="L191" s="105">
        <v>20201118</v>
      </c>
    </row>
    <row r="192" spans="1:12">
      <c r="A192" s="132" t="s">
        <v>889</v>
      </c>
      <c r="B192" s="102" t="s">
        <v>2469</v>
      </c>
      <c r="C192" s="9" t="s">
        <v>2844</v>
      </c>
      <c r="D192" s="9" t="s">
        <v>2845</v>
      </c>
      <c r="E192" s="102">
        <v>2020</v>
      </c>
      <c r="F192" s="102">
        <v>2020</v>
      </c>
      <c r="G192" s="9" t="s">
        <v>2480</v>
      </c>
      <c r="H192" s="9">
        <v>200</v>
      </c>
      <c r="I192" s="9">
        <v>200</v>
      </c>
      <c r="J192" s="102"/>
      <c r="K192" s="102"/>
      <c r="L192" s="105">
        <v>20201118</v>
      </c>
    </row>
    <row r="193" spans="1:12">
      <c r="A193" s="2" t="s">
        <v>892</v>
      </c>
      <c r="B193" s="102" t="s">
        <v>2469</v>
      </c>
      <c r="C193" s="9" t="s">
        <v>2846</v>
      </c>
      <c r="D193" s="9" t="s">
        <v>2847</v>
      </c>
      <c r="E193" s="102">
        <v>2020</v>
      </c>
      <c r="F193" s="102">
        <v>2020</v>
      </c>
      <c r="G193" s="9" t="s">
        <v>2480</v>
      </c>
      <c r="H193" s="9">
        <v>200</v>
      </c>
      <c r="I193" s="9">
        <v>200</v>
      </c>
      <c r="J193" s="102"/>
      <c r="K193" s="102"/>
      <c r="L193" s="105">
        <v>20201118</v>
      </c>
    </row>
    <row r="194" spans="1:12">
      <c r="A194" s="2" t="s">
        <v>895</v>
      </c>
      <c r="B194" s="102" t="s">
        <v>2469</v>
      </c>
      <c r="C194" s="9" t="s">
        <v>2848</v>
      </c>
      <c r="D194" s="9" t="s">
        <v>2849</v>
      </c>
      <c r="E194" s="102">
        <v>2020</v>
      </c>
      <c r="F194" s="102">
        <v>2020</v>
      </c>
      <c r="G194" s="9" t="s">
        <v>2480</v>
      </c>
      <c r="H194" s="9">
        <v>200</v>
      </c>
      <c r="I194" s="9">
        <v>200</v>
      </c>
      <c r="J194" s="102"/>
      <c r="K194" s="102"/>
      <c r="L194" s="105">
        <v>20201118</v>
      </c>
    </row>
    <row r="195" spans="1:12">
      <c r="A195" s="2" t="s">
        <v>898</v>
      </c>
      <c r="B195" s="102" t="s">
        <v>2469</v>
      </c>
      <c r="C195" s="9" t="s">
        <v>2850</v>
      </c>
      <c r="D195" s="9" t="s">
        <v>2851</v>
      </c>
      <c r="E195" s="102">
        <v>2020</v>
      </c>
      <c r="F195" s="102">
        <v>2020</v>
      </c>
      <c r="G195" s="9" t="s">
        <v>2480</v>
      </c>
      <c r="H195" s="9">
        <v>200</v>
      </c>
      <c r="I195" s="9">
        <v>200</v>
      </c>
      <c r="J195" s="102"/>
      <c r="K195" s="102"/>
      <c r="L195" s="105">
        <v>20201118</v>
      </c>
    </row>
    <row r="196" spans="1:12">
      <c r="A196" s="2" t="s">
        <v>901</v>
      </c>
      <c r="B196" s="102" t="s">
        <v>2469</v>
      </c>
      <c r="C196" s="9" t="s">
        <v>2852</v>
      </c>
      <c r="D196" s="9" t="s">
        <v>2853</v>
      </c>
      <c r="E196" s="102">
        <v>2020</v>
      </c>
      <c r="F196" s="102">
        <v>2020</v>
      </c>
      <c r="G196" s="9" t="s">
        <v>2480</v>
      </c>
      <c r="H196" s="253">
        <v>3000</v>
      </c>
      <c r="I196" s="9">
        <v>3000</v>
      </c>
      <c r="J196" s="102"/>
      <c r="K196" s="102"/>
      <c r="L196" s="105">
        <v>20201118</v>
      </c>
    </row>
    <row r="197" spans="1:12">
      <c r="A197" s="132" t="s">
        <v>904</v>
      </c>
      <c r="B197" s="102" t="s">
        <v>2469</v>
      </c>
      <c r="C197" s="9" t="s">
        <v>2854</v>
      </c>
      <c r="D197" s="9" t="s">
        <v>2855</v>
      </c>
      <c r="E197" s="102">
        <v>2020</v>
      </c>
      <c r="F197" s="102">
        <v>2020</v>
      </c>
      <c r="G197" s="9" t="s">
        <v>2480</v>
      </c>
      <c r="H197" s="9">
        <v>200</v>
      </c>
      <c r="I197" s="9">
        <v>200</v>
      </c>
      <c r="J197" s="102"/>
      <c r="K197" s="102"/>
      <c r="L197" s="105">
        <v>20201118</v>
      </c>
    </row>
    <row r="198" spans="1:12">
      <c r="A198" s="2" t="s">
        <v>907</v>
      </c>
      <c r="B198" s="102" t="s">
        <v>2469</v>
      </c>
      <c r="C198" s="9" t="s">
        <v>2856</v>
      </c>
      <c r="D198" s="9" t="s">
        <v>2857</v>
      </c>
      <c r="E198" s="102">
        <v>2020</v>
      </c>
      <c r="F198" s="102">
        <v>2020</v>
      </c>
      <c r="G198" s="9" t="s">
        <v>2480</v>
      </c>
      <c r="H198" s="9">
        <v>200</v>
      </c>
      <c r="I198" s="9">
        <v>200</v>
      </c>
      <c r="J198" s="102"/>
      <c r="K198" s="102"/>
      <c r="L198" s="105">
        <v>20201118</v>
      </c>
    </row>
    <row r="199" spans="1:12">
      <c r="A199" s="2" t="s">
        <v>910</v>
      </c>
      <c r="B199" s="102" t="s">
        <v>2469</v>
      </c>
      <c r="C199" s="9" t="s">
        <v>2858</v>
      </c>
      <c r="D199" s="9" t="s">
        <v>2859</v>
      </c>
      <c r="E199" s="102">
        <v>2020</v>
      </c>
      <c r="F199" s="102">
        <v>2020</v>
      </c>
      <c r="G199" s="9" t="s">
        <v>2480</v>
      </c>
      <c r="H199" s="9">
        <v>200</v>
      </c>
      <c r="I199" s="9">
        <v>200</v>
      </c>
      <c r="J199" s="102"/>
      <c r="K199" s="102"/>
      <c r="L199" s="105">
        <v>20201118</v>
      </c>
    </row>
    <row r="200" spans="1:12">
      <c r="A200" s="132" t="s">
        <v>913</v>
      </c>
      <c r="B200" s="102" t="s">
        <v>2469</v>
      </c>
      <c r="C200" s="9" t="s">
        <v>2860</v>
      </c>
      <c r="D200" s="9" t="s">
        <v>2861</v>
      </c>
      <c r="E200" s="102">
        <v>2020</v>
      </c>
      <c r="F200" s="102">
        <v>2020</v>
      </c>
      <c r="G200" s="9" t="s">
        <v>2480</v>
      </c>
      <c r="H200" s="9">
        <v>200</v>
      </c>
      <c r="I200" s="9">
        <v>200</v>
      </c>
      <c r="J200" s="102"/>
      <c r="K200" s="102"/>
      <c r="L200" s="105">
        <v>20201118</v>
      </c>
    </row>
    <row r="201" spans="1:12">
      <c r="A201" s="2" t="s">
        <v>916</v>
      </c>
      <c r="B201" s="102" t="s">
        <v>2469</v>
      </c>
      <c r="C201" s="9" t="s">
        <v>2862</v>
      </c>
      <c r="D201" s="9" t="s">
        <v>2863</v>
      </c>
      <c r="E201" s="102">
        <v>2020</v>
      </c>
      <c r="F201" s="102">
        <v>2020</v>
      </c>
      <c r="G201" s="9" t="s">
        <v>2480</v>
      </c>
      <c r="H201" s="9">
        <v>200</v>
      </c>
      <c r="I201" s="9">
        <v>200</v>
      </c>
      <c r="J201" s="102"/>
      <c r="K201" s="102"/>
      <c r="L201" s="105">
        <v>20201118</v>
      </c>
    </row>
    <row r="202" spans="1:12">
      <c r="A202" s="2" t="s">
        <v>311</v>
      </c>
      <c r="B202" s="102" t="s">
        <v>2469</v>
      </c>
      <c r="C202" s="9" t="s">
        <v>1820</v>
      </c>
      <c r="D202" s="9" t="s">
        <v>2864</v>
      </c>
      <c r="E202" s="102">
        <v>2020</v>
      </c>
      <c r="F202" s="102">
        <v>2020</v>
      </c>
      <c r="G202" s="9" t="s">
        <v>2480</v>
      </c>
      <c r="H202" s="9">
        <v>200</v>
      </c>
      <c r="I202" s="9">
        <v>200</v>
      </c>
      <c r="J202" s="102"/>
      <c r="K202" s="102"/>
      <c r="L202" s="105">
        <v>20201118</v>
      </c>
    </row>
    <row r="203" spans="1:12">
      <c r="A203" s="2" t="s">
        <v>921</v>
      </c>
      <c r="B203" s="102" t="s">
        <v>2469</v>
      </c>
      <c r="C203" s="9" t="s">
        <v>2865</v>
      </c>
      <c r="D203" s="9" t="s">
        <v>2866</v>
      </c>
      <c r="E203" s="102">
        <v>2020</v>
      </c>
      <c r="F203" s="102">
        <v>2020</v>
      </c>
      <c r="G203" s="9" t="s">
        <v>2480</v>
      </c>
      <c r="H203" s="9">
        <v>200</v>
      </c>
      <c r="I203" s="9">
        <v>200</v>
      </c>
      <c r="J203" s="102"/>
      <c r="K203" s="102"/>
      <c r="L203" s="105">
        <v>20201118</v>
      </c>
    </row>
    <row r="204" spans="1:12">
      <c r="A204" s="2" t="s">
        <v>924</v>
      </c>
      <c r="B204" s="102" t="s">
        <v>2469</v>
      </c>
      <c r="C204" s="9" t="s">
        <v>2867</v>
      </c>
      <c r="D204" s="9" t="s">
        <v>2868</v>
      </c>
      <c r="E204" s="102">
        <v>2020</v>
      </c>
      <c r="F204" s="102">
        <v>2020</v>
      </c>
      <c r="G204" s="9" t="s">
        <v>2480</v>
      </c>
      <c r="H204" s="9">
        <v>200</v>
      </c>
      <c r="I204" s="9">
        <v>200</v>
      </c>
      <c r="J204" s="102"/>
      <c r="K204" s="102"/>
      <c r="L204" s="105">
        <v>20201118</v>
      </c>
    </row>
    <row r="205" spans="1:12">
      <c r="A205" s="132" t="s">
        <v>927</v>
      </c>
      <c r="B205" s="102" t="s">
        <v>2469</v>
      </c>
      <c r="C205" s="9" t="s">
        <v>2869</v>
      </c>
      <c r="D205" s="9" t="s">
        <v>2870</v>
      </c>
      <c r="E205" s="102">
        <v>2020</v>
      </c>
      <c r="F205" s="102">
        <v>2020</v>
      </c>
      <c r="G205" s="9" t="s">
        <v>2480</v>
      </c>
      <c r="H205" s="9">
        <v>200</v>
      </c>
      <c r="I205" s="9">
        <v>200</v>
      </c>
      <c r="J205" s="102"/>
      <c r="K205" s="102"/>
      <c r="L205" s="105">
        <v>20201118</v>
      </c>
    </row>
    <row r="206" spans="1:12">
      <c r="A206" s="2" t="s">
        <v>930</v>
      </c>
      <c r="B206" s="102" t="s">
        <v>2469</v>
      </c>
      <c r="C206" s="9" t="s">
        <v>2871</v>
      </c>
      <c r="D206" s="9" t="s">
        <v>2872</v>
      </c>
      <c r="E206" s="102">
        <v>2020</v>
      </c>
      <c r="F206" s="102">
        <v>2020</v>
      </c>
      <c r="G206" s="9" t="s">
        <v>2480</v>
      </c>
      <c r="H206" s="9">
        <v>200</v>
      </c>
      <c r="I206" s="9">
        <v>200</v>
      </c>
      <c r="J206" s="102"/>
      <c r="K206" s="102"/>
      <c r="L206" s="105">
        <v>20201118</v>
      </c>
    </row>
    <row r="207" spans="1:12">
      <c r="A207" s="2" t="s">
        <v>933</v>
      </c>
      <c r="B207" s="102" t="s">
        <v>2469</v>
      </c>
      <c r="C207" s="9" t="s">
        <v>2873</v>
      </c>
      <c r="D207" s="9" t="s">
        <v>2874</v>
      </c>
      <c r="E207" s="102">
        <v>2020</v>
      </c>
      <c r="F207" s="102">
        <v>2020</v>
      </c>
      <c r="G207" s="9" t="s">
        <v>2480</v>
      </c>
      <c r="H207" s="9">
        <v>200</v>
      </c>
      <c r="I207" s="9">
        <v>200</v>
      </c>
      <c r="J207" s="102"/>
      <c r="K207" s="102"/>
      <c r="L207" s="105">
        <v>20201118</v>
      </c>
    </row>
    <row r="208" spans="1:12">
      <c r="A208" s="132" t="s">
        <v>936</v>
      </c>
      <c r="B208" s="5" t="s">
        <v>2469</v>
      </c>
      <c r="C208" s="9" t="s">
        <v>2875</v>
      </c>
      <c r="D208" s="9" t="s">
        <v>2876</v>
      </c>
      <c r="E208" s="5">
        <v>2020</v>
      </c>
      <c r="F208" s="5">
        <v>2020</v>
      </c>
      <c r="G208" s="9" t="s">
        <v>2480</v>
      </c>
      <c r="H208" s="9">
        <v>200</v>
      </c>
      <c r="I208" s="9">
        <v>200</v>
      </c>
      <c r="J208" s="5"/>
      <c r="K208" s="102"/>
      <c r="L208" s="105">
        <v>20201118</v>
      </c>
    </row>
    <row r="209" spans="1:12">
      <c r="A209" s="2" t="s">
        <v>939</v>
      </c>
      <c r="B209" s="102" t="s">
        <v>2469</v>
      </c>
      <c r="C209" s="9" t="s">
        <v>2877</v>
      </c>
      <c r="D209" s="9" t="s">
        <v>2878</v>
      </c>
      <c r="E209" s="102">
        <v>2020</v>
      </c>
      <c r="F209" s="102">
        <v>2020</v>
      </c>
      <c r="G209" s="9" t="s">
        <v>2480</v>
      </c>
      <c r="H209" s="9">
        <v>200</v>
      </c>
      <c r="I209" s="9">
        <v>200</v>
      </c>
      <c r="J209" s="102"/>
      <c r="K209" s="102"/>
      <c r="L209" s="105">
        <v>20201118</v>
      </c>
    </row>
    <row r="210" spans="1:12">
      <c r="A210" s="2" t="s">
        <v>942</v>
      </c>
      <c r="B210" s="102" t="s">
        <v>2469</v>
      </c>
      <c r="C210" s="9" t="s">
        <v>2879</v>
      </c>
      <c r="D210" s="9" t="s">
        <v>2880</v>
      </c>
      <c r="E210" s="102">
        <v>2020</v>
      </c>
      <c r="F210" s="102">
        <v>2020</v>
      </c>
      <c r="G210" s="9" t="s">
        <v>2480</v>
      </c>
      <c r="H210" s="9">
        <v>200</v>
      </c>
      <c r="I210" s="9">
        <v>200</v>
      </c>
      <c r="J210" s="102"/>
      <c r="K210" s="102"/>
      <c r="L210" s="105">
        <v>20201118</v>
      </c>
    </row>
    <row r="211" spans="1:12">
      <c r="A211" s="2" t="s">
        <v>945</v>
      </c>
      <c r="B211" s="102" t="s">
        <v>2469</v>
      </c>
      <c r="C211" s="9" t="s">
        <v>2881</v>
      </c>
      <c r="D211" s="9" t="s">
        <v>2882</v>
      </c>
      <c r="E211" s="102">
        <v>2020</v>
      </c>
      <c r="F211" s="102">
        <v>2020</v>
      </c>
      <c r="G211" s="9" t="s">
        <v>2480</v>
      </c>
      <c r="H211" s="9">
        <v>200</v>
      </c>
      <c r="I211" s="9">
        <v>200</v>
      </c>
      <c r="J211" s="102"/>
      <c r="K211" s="102"/>
      <c r="L211" s="105">
        <v>20201118</v>
      </c>
    </row>
    <row r="212" spans="1:12">
      <c r="A212" s="2" t="s">
        <v>948</v>
      </c>
      <c r="B212" s="102" t="s">
        <v>2469</v>
      </c>
      <c r="C212" s="9" t="s">
        <v>2883</v>
      </c>
      <c r="D212" s="9" t="s">
        <v>2884</v>
      </c>
      <c r="E212" s="102">
        <v>2020</v>
      </c>
      <c r="F212" s="102">
        <v>2020</v>
      </c>
      <c r="G212" s="9" t="s">
        <v>2480</v>
      </c>
      <c r="H212" s="9">
        <v>200</v>
      </c>
      <c r="I212" s="9">
        <v>200</v>
      </c>
      <c r="J212" s="102"/>
      <c r="K212" s="102"/>
      <c r="L212" s="105">
        <v>20201118</v>
      </c>
    </row>
    <row r="213" spans="1:12">
      <c r="A213" s="132" t="s">
        <v>951</v>
      </c>
      <c r="B213" s="102" t="s">
        <v>2469</v>
      </c>
      <c r="C213" s="9" t="s">
        <v>2885</v>
      </c>
      <c r="D213" s="9" t="s">
        <v>2886</v>
      </c>
      <c r="E213" s="102">
        <v>2020</v>
      </c>
      <c r="F213" s="102">
        <v>2020</v>
      </c>
      <c r="G213" s="9" t="s">
        <v>2480</v>
      </c>
      <c r="H213" s="9">
        <v>200</v>
      </c>
      <c r="I213" s="9">
        <v>200</v>
      </c>
      <c r="J213" s="102"/>
      <c r="K213" s="102"/>
      <c r="L213" s="105">
        <v>20201118</v>
      </c>
    </row>
    <row r="214" spans="1:12">
      <c r="A214" s="2" t="s">
        <v>954</v>
      </c>
      <c r="B214" s="102" t="s">
        <v>2469</v>
      </c>
      <c r="C214" s="9" t="s">
        <v>2887</v>
      </c>
      <c r="D214" s="9" t="s">
        <v>2888</v>
      </c>
      <c r="E214" s="102">
        <v>2020</v>
      </c>
      <c r="F214" s="102">
        <v>2020</v>
      </c>
      <c r="G214" s="9" t="s">
        <v>2480</v>
      </c>
      <c r="H214" s="9">
        <v>200</v>
      </c>
      <c r="I214" s="9">
        <v>200</v>
      </c>
      <c r="J214" s="102"/>
      <c r="K214" s="102"/>
      <c r="L214" s="105">
        <v>20201118</v>
      </c>
    </row>
    <row r="215" spans="1:12">
      <c r="A215" s="2" t="s">
        <v>957</v>
      </c>
      <c r="B215" s="102" t="s">
        <v>2469</v>
      </c>
      <c r="C215" s="9" t="s">
        <v>1820</v>
      </c>
      <c r="D215" s="9" t="s">
        <v>2889</v>
      </c>
      <c r="E215" s="102">
        <v>2020</v>
      </c>
      <c r="F215" s="102">
        <v>2020</v>
      </c>
      <c r="G215" s="9" t="s">
        <v>2480</v>
      </c>
      <c r="H215" s="9">
        <v>200</v>
      </c>
      <c r="I215" s="9">
        <v>200</v>
      </c>
      <c r="J215" s="102"/>
      <c r="K215" s="102"/>
      <c r="L215" s="105">
        <v>20201118</v>
      </c>
    </row>
    <row r="216" spans="1:12">
      <c r="A216" s="132" t="s">
        <v>960</v>
      </c>
      <c r="B216" s="102" t="s">
        <v>2469</v>
      </c>
      <c r="C216" s="9" t="s">
        <v>2890</v>
      </c>
      <c r="D216" s="9" t="s">
        <v>2891</v>
      </c>
      <c r="E216" s="102">
        <v>2020</v>
      </c>
      <c r="F216" s="102">
        <v>2020</v>
      </c>
      <c r="G216" s="9" t="s">
        <v>2480</v>
      </c>
      <c r="H216" s="9">
        <v>200</v>
      </c>
      <c r="I216" s="9">
        <v>200</v>
      </c>
      <c r="J216" s="102"/>
      <c r="K216" s="102"/>
      <c r="L216" s="105">
        <v>20201118</v>
      </c>
    </row>
    <row r="217" spans="1:12">
      <c r="A217" s="2" t="s">
        <v>963</v>
      </c>
      <c r="B217" s="102" t="s">
        <v>2469</v>
      </c>
      <c r="C217" s="9" t="s">
        <v>2892</v>
      </c>
      <c r="D217" s="9" t="s">
        <v>2893</v>
      </c>
      <c r="E217" s="102">
        <v>2020</v>
      </c>
      <c r="F217" s="102">
        <v>2020</v>
      </c>
      <c r="G217" s="9" t="s">
        <v>2480</v>
      </c>
      <c r="H217" s="9">
        <v>200</v>
      </c>
      <c r="I217" s="9">
        <v>200</v>
      </c>
      <c r="J217" s="102"/>
      <c r="K217" s="102"/>
      <c r="L217" s="105">
        <v>20201118</v>
      </c>
    </row>
    <row r="218" spans="1:12">
      <c r="A218" s="2" t="s">
        <v>966</v>
      </c>
      <c r="B218" s="102" t="s">
        <v>2469</v>
      </c>
      <c r="C218" s="9" t="s">
        <v>2894</v>
      </c>
      <c r="D218" s="9" t="s">
        <v>2895</v>
      </c>
      <c r="E218" s="102">
        <v>2020</v>
      </c>
      <c r="F218" s="102">
        <v>2020</v>
      </c>
      <c r="G218" s="9" t="s">
        <v>2480</v>
      </c>
      <c r="H218" s="9">
        <v>200</v>
      </c>
      <c r="I218" s="9">
        <v>200</v>
      </c>
      <c r="J218" s="102"/>
      <c r="K218" s="102"/>
      <c r="L218" s="105">
        <v>20201118</v>
      </c>
    </row>
    <row r="219" spans="1:12">
      <c r="A219" s="2" t="s">
        <v>969</v>
      </c>
      <c r="B219" s="102" t="s">
        <v>2469</v>
      </c>
      <c r="C219" s="9" t="s">
        <v>2896</v>
      </c>
      <c r="D219" s="9" t="s">
        <v>2897</v>
      </c>
      <c r="E219" s="102">
        <v>2020</v>
      </c>
      <c r="F219" s="102">
        <v>2020</v>
      </c>
      <c r="G219" s="9" t="s">
        <v>2480</v>
      </c>
      <c r="H219" s="9">
        <v>1000</v>
      </c>
      <c r="I219" s="9">
        <v>1000</v>
      </c>
      <c r="J219" s="102"/>
      <c r="K219" s="102"/>
      <c r="L219" s="105">
        <v>20201118</v>
      </c>
    </row>
    <row r="220" spans="1:12">
      <c r="A220" s="2" t="s">
        <v>972</v>
      </c>
      <c r="B220" s="102" t="s">
        <v>2469</v>
      </c>
      <c r="C220" s="9" t="s">
        <v>2898</v>
      </c>
      <c r="D220" s="9" t="s">
        <v>2899</v>
      </c>
      <c r="E220" s="102">
        <v>2020</v>
      </c>
      <c r="F220" s="102">
        <v>2020</v>
      </c>
      <c r="G220" s="9" t="s">
        <v>2480</v>
      </c>
      <c r="H220" s="9">
        <v>200</v>
      </c>
      <c r="I220" s="9">
        <v>200</v>
      </c>
      <c r="J220" s="102"/>
      <c r="K220" s="102"/>
      <c r="L220" s="105">
        <v>20201118</v>
      </c>
    </row>
    <row r="221" spans="1:12">
      <c r="A221" s="132" t="s">
        <v>975</v>
      </c>
      <c r="B221" s="102" t="s">
        <v>2469</v>
      </c>
      <c r="C221" s="9" t="s">
        <v>2900</v>
      </c>
      <c r="D221" s="9" t="s">
        <v>2901</v>
      </c>
      <c r="E221" s="102">
        <v>2020</v>
      </c>
      <c r="F221" s="102">
        <v>2020</v>
      </c>
      <c r="G221" s="9" t="s">
        <v>2480</v>
      </c>
      <c r="H221" s="9">
        <v>200</v>
      </c>
      <c r="I221" s="9">
        <v>200</v>
      </c>
      <c r="J221" s="102"/>
      <c r="K221" s="102"/>
      <c r="L221" s="105">
        <v>20201118</v>
      </c>
    </row>
    <row r="222" spans="1:12">
      <c r="A222" s="2" t="s">
        <v>978</v>
      </c>
      <c r="B222" s="102" t="s">
        <v>2469</v>
      </c>
      <c r="C222" s="9" t="s">
        <v>2902</v>
      </c>
      <c r="D222" s="9" t="s">
        <v>2903</v>
      </c>
      <c r="E222" s="102">
        <v>2020</v>
      </c>
      <c r="F222" s="102">
        <v>2020</v>
      </c>
      <c r="G222" s="9" t="s">
        <v>2480</v>
      </c>
      <c r="H222" s="9">
        <v>200</v>
      </c>
      <c r="I222" s="9">
        <v>200</v>
      </c>
      <c r="J222" s="102"/>
      <c r="K222" s="102"/>
      <c r="L222" s="105">
        <v>20201118</v>
      </c>
    </row>
    <row r="223" spans="1:12">
      <c r="A223" s="2" t="s">
        <v>981</v>
      </c>
      <c r="B223" s="102" t="s">
        <v>2469</v>
      </c>
      <c r="C223" s="9" t="s">
        <v>2904</v>
      </c>
      <c r="D223" s="9" t="s">
        <v>2905</v>
      </c>
      <c r="E223" s="102">
        <v>2020</v>
      </c>
      <c r="F223" s="102">
        <v>2020</v>
      </c>
      <c r="G223" s="9" t="s">
        <v>2480</v>
      </c>
      <c r="H223" s="9">
        <v>200</v>
      </c>
      <c r="I223" s="9">
        <v>200</v>
      </c>
      <c r="J223" s="102"/>
      <c r="K223" s="102"/>
      <c r="L223" s="105">
        <v>20201118</v>
      </c>
    </row>
    <row r="224" spans="1:12">
      <c r="A224" s="132" t="s">
        <v>984</v>
      </c>
      <c r="B224" s="102" t="s">
        <v>2469</v>
      </c>
      <c r="C224" s="9" t="s">
        <v>2906</v>
      </c>
      <c r="D224" s="9" t="s">
        <v>2907</v>
      </c>
      <c r="E224" s="102">
        <v>2020</v>
      </c>
      <c r="F224" s="102">
        <v>2020</v>
      </c>
      <c r="G224" s="9" t="s">
        <v>2480</v>
      </c>
      <c r="H224" s="9">
        <v>200</v>
      </c>
      <c r="I224" s="9">
        <v>200</v>
      </c>
      <c r="J224" s="102"/>
      <c r="K224" s="102"/>
      <c r="L224" s="105">
        <v>20201118</v>
      </c>
    </row>
    <row r="225" spans="1:12">
      <c r="A225" s="2" t="s">
        <v>987</v>
      </c>
      <c r="B225" s="102" t="s">
        <v>2469</v>
      </c>
      <c r="C225" s="9" t="s">
        <v>2908</v>
      </c>
      <c r="D225" s="9" t="s">
        <v>2909</v>
      </c>
      <c r="E225" s="102">
        <v>2020</v>
      </c>
      <c r="F225" s="102">
        <v>2020</v>
      </c>
      <c r="G225" s="9" t="s">
        <v>2480</v>
      </c>
      <c r="H225" s="9">
        <v>200</v>
      </c>
      <c r="I225" s="9">
        <v>200</v>
      </c>
      <c r="J225" s="102"/>
      <c r="K225" s="102"/>
      <c r="L225" s="105">
        <v>20201118</v>
      </c>
    </row>
    <row r="226" spans="1:12">
      <c r="A226" s="2" t="s">
        <v>990</v>
      </c>
      <c r="B226" s="102" t="s">
        <v>2469</v>
      </c>
      <c r="C226" s="9" t="s">
        <v>2910</v>
      </c>
      <c r="D226" s="9" t="s">
        <v>2911</v>
      </c>
      <c r="E226" s="102">
        <v>2020</v>
      </c>
      <c r="F226" s="102">
        <v>2020</v>
      </c>
      <c r="G226" s="9" t="s">
        <v>2480</v>
      </c>
      <c r="H226" s="9">
        <v>200</v>
      </c>
      <c r="I226" s="9">
        <v>200</v>
      </c>
      <c r="J226" s="102"/>
      <c r="K226" s="102"/>
      <c r="L226" s="105">
        <v>20201118</v>
      </c>
    </row>
    <row r="227" spans="1:12">
      <c r="A227" s="2" t="s">
        <v>993</v>
      </c>
      <c r="B227" s="102" t="s">
        <v>2469</v>
      </c>
      <c r="C227" s="9" t="s">
        <v>2912</v>
      </c>
      <c r="D227" s="9" t="s">
        <v>2913</v>
      </c>
      <c r="E227" s="102">
        <v>2020</v>
      </c>
      <c r="F227" s="102">
        <v>2020</v>
      </c>
      <c r="G227" s="9" t="s">
        <v>2480</v>
      </c>
      <c r="H227" s="9">
        <v>200</v>
      </c>
      <c r="I227" s="9">
        <v>200</v>
      </c>
      <c r="J227" s="102"/>
      <c r="K227" s="102"/>
      <c r="L227" s="105">
        <v>20201118</v>
      </c>
    </row>
    <row r="228" spans="1:12">
      <c r="A228" s="2" t="s">
        <v>996</v>
      </c>
      <c r="B228" s="102" t="s">
        <v>2469</v>
      </c>
      <c r="C228" s="9" t="s">
        <v>2914</v>
      </c>
      <c r="D228" s="9" t="s">
        <v>2915</v>
      </c>
      <c r="E228" s="102">
        <v>2020</v>
      </c>
      <c r="F228" s="102">
        <v>2020</v>
      </c>
      <c r="G228" s="9" t="s">
        <v>2480</v>
      </c>
      <c r="H228" s="9">
        <v>200</v>
      </c>
      <c r="I228" s="9">
        <v>200</v>
      </c>
      <c r="J228" s="102"/>
      <c r="K228" s="102"/>
      <c r="L228" s="105">
        <v>20201118</v>
      </c>
    </row>
    <row r="229" spans="1:12">
      <c r="A229" s="132" t="s">
        <v>999</v>
      </c>
      <c r="B229" s="102" t="s">
        <v>2469</v>
      </c>
      <c r="C229" s="9" t="s">
        <v>2916</v>
      </c>
      <c r="D229" s="9" t="s">
        <v>2917</v>
      </c>
      <c r="E229" s="102">
        <v>2020</v>
      </c>
      <c r="F229" s="102">
        <v>2020</v>
      </c>
      <c r="G229" s="9" t="s">
        <v>2480</v>
      </c>
      <c r="H229" s="9">
        <v>200</v>
      </c>
      <c r="I229" s="9">
        <v>200</v>
      </c>
      <c r="J229" s="102"/>
      <c r="K229" s="102"/>
      <c r="L229" s="105">
        <v>20201118</v>
      </c>
    </row>
    <row r="230" spans="1:12">
      <c r="A230" s="2" t="s">
        <v>1001</v>
      </c>
      <c r="B230" s="102" t="s">
        <v>2469</v>
      </c>
      <c r="C230" s="9" t="s">
        <v>2918</v>
      </c>
      <c r="D230" s="9" t="s">
        <v>2919</v>
      </c>
      <c r="E230" s="102">
        <v>2020</v>
      </c>
      <c r="F230" s="102">
        <v>2020</v>
      </c>
      <c r="G230" s="9" t="s">
        <v>2480</v>
      </c>
      <c r="H230" s="9">
        <v>200</v>
      </c>
      <c r="I230" s="9">
        <v>200</v>
      </c>
      <c r="J230" s="102"/>
      <c r="K230" s="102"/>
      <c r="L230" s="105">
        <v>20201118</v>
      </c>
    </row>
    <row r="231" spans="1:12">
      <c r="A231" s="2" t="s">
        <v>1004</v>
      </c>
      <c r="B231" s="102" t="s">
        <v>2469</v>
      </c>
      <c r="C231" s="9" t="s">
        <v>2920</v>
      </c>
      <c r="D231" s="9" t="s">
        <v>2921</v>
      </c>
      <c r="E231" s="102">
        <v>2020</v>
      </c>
      <c r="F231" s="102">
        <v>2020</v>
      </c>
      <c r="G231" s="9" t="s">
        <v>2480</v>
      </c>
      <c r="H231" s="9">
        <v>200</v>
      </c>
      <c r="I231" s="9">
        <v>200</v>
      </c>
      <c r="J231" s="102"/>
      <c r="K231" s="102"/>
      <c r="L231" s="105">
        <v>20201118</v>
      </c>
    </row>
    <row r="232" spans="1:12">
      <c r="A232" s="132" t="s">
        <v>1008</v>
      </c>
      <c r="B232" s="102" t="s">
        <v>2469</v>
      </c>
      <c r="C232" s="9" t="s">
        <v>2922</v>
      </c>
      <c r="D232" s="9" t="s">
        <v>2923</v>
      </c>
      <c r="E232" s="102">
        <v>2020</v>
      </c>
      <c r="F232" s="102">
        <v>2020</v>
      </c>
      <c r="G232" s="9" t="s">
        <v>2480</v>
      </c>
      <c r="H232" s="9">
        <v>200</v>
      </c>
      <c r="I232" s="9">
        <v>200</v>
      </c>
      <c r="J232" s="102"/>
      <c r="K232" s="102"/>
      <c r="L232" s="105">
        <v>20201118</v>
      </c>
    </row>
    <row r="233" spans="1:12">
      <c r="A233" s="2" t="s">
        <v>1011</v>
      </c>
      <c r="B233" s="102" t="s">
        <v>2469</v>
      </c>
      <c r="C233" s="9" t="s">
        <v>2924</v>
      </c>
      <c r="D233" s="9" t="s">
        <v>2925</v>
      </c>
      <c r="E233" s="102">
        <v>2020</v>
      </c>
      <c r="F233" s="102">
        <v>2020</v>
      </c>
      <c r="G233" s="9" t="s">
        <v>2480</v>
      </c>
      <c r="H233" s="9">
        <v>200</v>
      </c>
      <c r="I233" s="9">
        <v>200</v>
      </c>
      <c r="J233" s="102"/>
      <c r="K233" s="102"/>
      <c r="L233" s="105">
        <v>20201118</v>
      </c>
    </row>
    <row r="234" spans="1:12">
      <c r="A234" s="2" t="s">
        <v>1014</v>
      </c>
      <c r="B234" s="102" t="s">
        <v>2469</v>
      </c>
      <c r="C234" s="9" t="s">
        <v>2926</v>
      </c>
      <c r="D234" s="9" t="s">
        <v>2927</v>
      </c>
      <c r="E234" s="102">
        <v>2020</v>
      </c>
      <c r="F234" s="102">
        <v>2020</v>
      </c>
      <c r="G234" s="9" t="s">
        <v>2480</v>
      </c>
      <c r="H234" s="9">
        <v>200</v>
      </c>
      <c r="I234" s="9">
        <v>200</v>
      </c>
      <c r="J234" s="102"/>
      <c r="K234" s="102"/>
      <c r="L234" s="105">
        <v>20201118</v>
      </c>
    </row>
    <row r="235" spans="1:12">
      <c r="A235" s="2" t="s">
        <v>1017</v>
      </c>
      <c r="B235" s="102" t="s">
        <v>2469</v>
      </c>
      <c r="C235" s="9" t="s">
        <v>2928</v>
      </c>
      <c r="D235" s="9" t="s">
        <v>2929</v>
      </c>
      <c r="E235" s="102">
        <v>2020</v>
      </c>
      <c r="F235" s="102">
        <v>2020</v>
      </c>
      <c r="G235" s="9" t="s">
        <v>2480</v>
      </c>
      <c r="H235" s="9">
        <v>200</v>
      </c>
      <c r="I235" s="9">
        <v>200</v>
      </c>
      <c r="J235" s="102"/>
      <c r="K235" s="102"/>
      <c r="L235" s="105">
        <v>20201118</v>
      </c>
    </row>
    <row r="236" spans="1:12">
      <c r="A236" s="2" t="s">
        <v>1020</v>
      </c>
      <c r="B236" s="102" t="s">
        <v>2469</v>
      </c>
      <c r="C236" s="9" t="s">
        <v>2930</v>
      </c>
      <c r="D236" s="9" t="s">
        <v>2931</v>
      </c>
      <c r="E236" s="102">
        <v>2020</v>
      </c>
      <c r="F236" s="102">
        <v>2020</v>
      </c>
      <c r="G236" s="9" t="s">
        <v>2480</v>
      </c>
      <c r="H236" s="9">
        <v>200</v>
      </c>
      <c r="I236" s="9">
        <v>200</v>
      </c>
      <c r="J236" s="102"/>
      <c r="K236" s="102"/>
      <c r="L236" s="105">
        <v>20201118</v>
      </c>
    </row>
    <row r="237" spans="1:12">
      <c r="A237" s="132" t="s">
        <v>1023</v>
      </c>
      <c r="B237" s="102" t="s">
        <v>2469</v>
      </c>
      <c r="C237" s="9" t="s">
        <v>2932</v>
      </c>
      <c r="D237" s="9" t="s">
        <v>2933</v>
      </c>
      <c r="E237" s="102">
        <v>2020</v>
      </c>
      <c r="F237" s="102">
        <v>2020</v>
      </c>
      <c r="G237" s="9" t="s">
        <v>2480</v>
      </c>
      <c r="H237" s="9">
        <v>200</v>
      </c>
      <c r="I237" s="9">
        <v>200</v>
      </c>
      <c r="J237" s="102"/>
      <c r="K237" s="102"/>
      <c r="L237" s="105">
        <v>20201118</v>
      </c>
    </row>
    <row r="238" spans="1:12">
      <c r="A238" s="2" t="s">
        <v>1026</v>
      </c>
      <c r="B238" s="102" t="s">
        <v>2469</v>
      </c>
      <c r="C238" s="9" t="s">
        <v>2934</v>
      </c>
      <c r="D238" s="9" t="s">
        <v>2935</v>
      </c>
      <c r="E238" s="102">
        <v>2020</v>
      </c>
      <c r="F238" s="102">
        <v>2020</v>
      </c>
      <c r="G238" s="9" t="s">
        <v>2480</v>
      </c>
      <c r="H238" s="9">
        <v>200</v>
      </c>
      <c r="I238" s="9">
        <v>200</v>
      </c>
      <c r="J238" s="102"/>
      <c r="K238" s="102"/>
      <c r="L238" s="105">
        <v>20201118</v>
      </c>
    </row>
    <row r="239" spans="1:12">
      <c r="A239" s="2" t="s">
        <v>1029</v>
      </c>
      <c r="B239" s="102" t="s">
        <v>2469</v>
      </c>
      <c r="C239" s="9" t="s">
        <v>2936</v>
      </c>
      <c r="D239" s="9" t="s">
        <v>2937</v>
      </c>
      <c r="E239" s="102">
        <v>2020</v>
      </c>
      <c r="F239" s="102">
        <v>2020</v>
      </c>
      <c r="G239" s="9" t="s">
        <v>2480</v>
      </c>
      <c r="H239" s="9">
        <v>200</v>
      </c>
      <c r="I239" s="9">
        <v>200</v>
      </c>
      <c r="J239" s="102"/>
      <c r="K239" s="102"/>
      <c r="L239" s="105">
        <v>20201118</v>
      </c>
    </row>
    <row r="240" spans="1:12">
      <c r="A240" s="132" t="s">
        <v>1032</v>
      </c>
      <c r="B240" s="102" t="s">
        <v>2469</v>
      </c>
      <c r="C240" s="9" t="s">
        <v>2938</v>
      </c>
      <c r="D240" s="9" t="s">
        <v>2939</v>
      </c>
      <c r="E240" s="102">
        <v>2020</v>
      </c>
      <c r="F240" s="102">
        <v>2020</v>
      </c>
      <c r="G240" s="9" t="s">
        <v>2480</v>
      </c>
      <c r="H240" s="9">
        <v>200</v>
      </c>
      <c r="I240" s="9">
        <v>200</v>
      </c>
      <c r="J240" s="102"/>
      <c r="K240" s="102"/>
      <c r="L240" s="105">
        <v>20201118</v>
      </c>
    </row>
    <row r="241" spans="1:12">
      <c r="A241" s="2" t="s">
        <v>1035</v>
      </c>
      <c r="B241" s="102" t="s">
        <v>2469</v>
      </c>
      <c r="C241" s="9" t="s">
        <v>2940</v>
      </c>
      <c r="D241" s="9" t="s">
        <v>2941</v>
      </c>
      <c r="E241" s="102">
        <v>2020</v>
      </c>
      <c r="F241" s="102">
        <v>2020</v>
      </c>
      <c r="G241" s="9" t="s">
        <v>2480</v>
      </c>
      <c r="H241" s="9">
        <v>200</v>
      </c>
      <c r="I241" s="9">
        <v>200</v>
      </c>
      <c r="J241" s="102"/>
      <c r="K241" s="102"/>
      <c r="L241" s="105">
        <v>20201118</v>
      </c>
    </row>
    <row r="242" spans="1:12">
      <c r="A242" s="2" t="s">
        <v>1522</v>
      </c>
      <c r="B242" s="102" t="s">
        <v>2469</v>
      </c>
      <c r="C242" s="9" t="s">
        <v>2942</v>
      </c>
      <c r="D242" s="9" t="s">
        <v>2943</v>
      </c>
      <c r="E242" s="102">
        <v>2020</v>
      </c>
      <c r="F242" s="102">
        <v>2020</v>
      </c>
      <c r="G242" s="9" t="s">
        <v>2480</v>
      </c>
      <c r="H242" s="9">
        <v>200</v>
      </c>
      <c r="I242" s="9">
        <v>200</v>
      </c>
      <c r="J242" s="102"/>
      <c r="K242" s="102"/>
      <c r="L242" s="105">
        <v>20201118</v>
      </c>
    </row>
    <row r="243" spans="1:12">
      <c r="A243" s="2" t="s">
        <v>1525</v>
      </c>
      <c r="B243" s="102" t="s">
        <v>2469</v>
      </c>
      <c r="C243" s="9" t="s">
        <v>2944</v>
      </c>
      <c r="D243" s="9" t="s">
        <v>2945</v>
      </c>
      <c r="E243" s="102">
        <v>2020</v>
      </c>
      <c r="F243" s="102">
        <v>2020</v>
      </c>
      <c r="G243" s="9" t="s">
        <v>2480</v>
      </c>
      <c r="H243" s="9">
        <v>200</v>
      </c>
      <c r="I243" s="9">
        <v>200</v>
      </c>
      <c r="J243" s="102"/>
      <c r="K243" s="102"/>
      <c r="L243" s="105">
        <v>20201118</v>
      </c>
    </row>
    <row r="244" spans="1:12">
      <c r="A244" s="2" t="s">
        <v>1528</v>
      </c>
      <c r="B244" s="102" t="s">
        <v>2469</v>
      </c>
      <c r="C244" s="9" t="s">
        <v>2946</v>
      </c>
      <c r="D244" s="9" t="s">
        <v>2947</v>
      </c>
      <c r="E244" s="102">
        <v>2020</v>
      </c>
      <c r="F244" s="102">
        <v>2020</v>
      </c>
      <c r="G244" s="9" t="s">
        <v>2480</v>
      </c>
      <c r="H244" s="9">
        <v>200</v>
      </c>
      <c r="I244" s="9">
        <v>200</v>
      </c>
      <c r="J244" s="102"/>
      <c r="K244" s="102"/>
      <c r="L244" s="105">
        <v>20201118</v>
      </c>
    </row>
    <row r="245" spans="1:12">
      <c r="A245" s="132" t="s">
        <v>1531</v>
      </c>
      <c r="B245" s="102" t="s">
        <v>2469</v>
      </c>
      <c r="C245" s="9" t="s">
        <v>2948</v>
      </c>
      <c r="D245" s="9" t="s">
        <v>2949</v>
      </c>
      <c r="E245" s="102">
        <v>2020</v>
      </c>
      <c r="F245" s="102">
        <v>2020</v>
      </c>
      <c r="G245" s="9" t="s">
        <v>2480</v>
      </c>
      <c r="H245" s="9">
        <v>200</v>
      </c>
      <c r="I245" s="9">
        <v>200</v>
      </c>
      <c r="J245" s="102"/>
      <c r="K245" s="102"/>
      <c r="L245" s="105">
        <v>20201118</v>
      </c>
    </row>
    <row r="246" spans="1:12">
      <c r="A246" s="2" t="s">
        <v>1534</v>
      </c>
      <c r="B246" s="102" t="s">
        <v>2469</v>
      </c>
      <c r="C246" s="9" t="s">
        <v>2950</v>
      </c>
      <c r="D246" s="9" t="s">
        <v>2951</v>
      </c>
      <c r="E246" s="102">
        <v>2020</v>
      </c>
      <c r="F246" s="102">
        <v>2020</v>
      </c>
      <c r="G246" s="9" t="s">
        <v>2480</v>
      </c>
      <c r="H246" s="9">
        <v>200</v>
      </c>
      <c r="I246" s="9">
        <v>200</v>
      </c>
      <c r="J246" s="102"/>
      <c r="K246" s="102"/>
      <c r="L246" s="105">
        <v>20201118</v>
      </c>
    </row>
    <row r="247" spans="1:12">
      <c r="A247" s="2" t="s">
        <v>1537</v>
      </c>
      <c r="B247" s="102" t="s">
        <v>2469</v>
      </c>
      <c r="C247" s="9" t="s">
        <v>2952</v>
      </c>
      <c r="D247" s="9" t="s">
        <v>2953</v>
      </c>
      <c r="E247" s="102">
        <v>2020</v>
      </c>
      <c r="F247" s="102">
        <v>2020</v>
      </c>
      <c r="G247" s="9" t="s">
        <v>2480</v>
      </c>
      <c r="H247" s="9">
        <v>200</v>
      </c>
      <c r="I247" s="9">
        <v>200</v>
      </c>
      <c r="J247" s="102"/>
      <c r="K247" s="102"/>
      <c r="L247" s="105">
        <v>20201118</v>
      </c>
    </row>
    <row r="248" spans="1:12">
      <c r="A248" s="132" t="s">
        <v>1539</v>
      </c>
      <c r="B248" s="102" t="s">
        <v>2469</v>
      </c>
      <c r="C248" s="9" t="s">
        <v>2954</v>
      </c>
      <c r="D248" s="9" t="s">
        <v>2955</v>
      </c>
      <c r="E248" s="102">
        <v>2020</v>
      </c>
      <c r="F248" s="102">
        <v>2020</v>
      </c>
      <c r="G248" s="9" t="s">
        <v>2480</v>
      </c>
      <c r="H248" s="9">
        <v>200</v>
      </c>
      <c r="I248" s="9">
        <v>200</v>
      </c>
      <c r="J248" s="102"/>
      <c r="K248" s="102"/>
      <c r="L248" s="105">
        <v>20201118</v>
      </c>
    </row>
    <row r="249" spans="1:12">
      <c r="A249" s="2" t="s">
        <v>1542</v>
      </c>
      <c r="B249" s="102" t="s">
        <v>2469</v>
      </c>
      <c r="C249" s="9" t="s">
        <v>2956</v>
      </c>
      <c r="D249" s="9" t="s">
        <v>2957</v>
      </c>
      <c r="E249" s="102">
        <v>2020</v>
      </c>
      <c r="F249" s="102">
        <v>2020</v>
      </c>
      <c r="G249" s="9" t="s">
        <v>2480</v>
      </c>
      <c r="H249" s="9">
        <v>200</v>
      </c>
      <c r="I249" s="9">
        <v>200</v>
      </c>
      <c r="J249" s="102"/>
      <c r="K249" s="102"/>
      <c r="L249" s="105">
        <v>20201118</v>
      </c>
    </row>
    <row r="250" spans="1:12">
      <c r="A250" s="2" t="s">
        <v>1545</v>
      </c>
      <c r="B250" s="102" t="s">
        <v>2469</v>
      </c>
      <c r="C250" s="9" t="s">
        <v>2958</v>
      </c>
      <c r="D250" s="9" t="s">
        <v>2959</v>
      </c>
      <c r="E250" s="102">
        <v>2020</v>
      </c>
      <c r="F250" s="102">
        <v>2020</v>
      </c>
      <c r="G250" s="9" t="s">
        <v>2480</v>
      </c>
      <c r="H250" s="9">
        <v>200</v>
      </c>
      <c r="I250" s="9">
        <v>200</v>
      </c>
      <c r="J250" s="102"/>
      <c r="K250" s="102"/>
      <c r="L250" s="105">
        <v>20201118</v>
      </c>
    </row>
    <row r="251" spans="1:12">
      <c r="A251" s="2" t="s">
        <v>1548</v>
      </c>
      <c r="B251" s="102" t="s">
        <v>2469</v>
      </c>
      <c r="C251" s="9" t="s">
        <v>2960</v>
      </c>
      <c r="D251" s="9" t="s">
        <v>2961</v>
      </c>
      <c r="E251" s="102">
        <v>2020</v>
      </c>
      <c r="F251" s="102">
        <v>2020</v>
      </c>
      <c r="G251" s="9" t="s">
        <v>2480</v>
      </c>
      <c r="H251" s="9">
        <v>200</v>
      </c>
      <c r="I251" s="9">
        <v>200</v>
      </c>
      <c r="J251" s="102"/>
      <c r="K251" s="102"/>
      <c r="L251" s="105">
        <v>20201118</v>
      </c>
    </row>
    <row r="252" spans="1:12">
      <c r="A252" s="2" t="s">
        <v>1551</v>
      </c>
      <c r="B252" s="102" t="s">
        <v>2469</v>
      </c>
      <c r="C252" s="9" t="s">
        <v>2962</v>
      </c>
      <c r="D252" s="9" t="s">
        <v>2963</v>
      </c>
      <c r="E252" s="102">
        <v>2020</v>
      </c>
      <c r="F252" s="102">
        <v>2020</v>
      </c>
      <c r="G252" s="9" t="s">
        <v>2480</v>
      </c>
      <c r="H252" s="9">
        <v>200</v>
      </c>
      <c r="I252" s="9">
        <v>200</v>
      </c>
      <c r="J252" s="102"/>
      <c r="K252" s="102"/>
      <c r="L252" s="105">
        <v>20201118</v>
      </c>
    </row>
    <row r="253" spans="1:12">
      <c r="A253" s="132" t="s">
        <v>1554</v>
      </c>
      <c r="B253" s="102" t="s">
        <v>2469</v>
      </c>
      <c r="C253" s="9" t="s">
        <v>2964</v>
      </c>
      <c r="D253" s="9" t="s">
        <v>2965</v>
      </c>
      <c r="E253" s="102">
        <v>2020</v>
      </c>
      <c r="F253" s="102">
        <v>2020</v>
      </c>
      <c r="G253" s="9" t="s">
        <v>2480</v>
      </c>
      <c r="H253" s="9">
        <v>200</v>
      </c>
      <c r="I253" s="9">
        <v>200</v>
      </c>
      <c r="J253" s="102"/>
      <c r="K253" s="102"/>
      <c r="L253" s="105">
        <v>20201118</v>
      </c>
    </row>
    <row r="254" spans="1:12">
      <c r="A254" s="2" t="s">
        <v>1557</v>
      </c>
      <c r="B254" s="102" t="s">
        <v>2469</v>
      </c>
      <c r="C254" s="9" t="s">
        <v>2966</v>
      </c>
      <c r="D254" s="9" t="s">
        <v>2967</v>
      </c>
      <c r="E254" s="102">
        <v>2020</v>
      </c>
      <c r="F254" s="102">
        <v>2020</v>
      </c>
      <c r="G254" s="9" t="s">
        <v>2480</v>
      </c>
      <c r="H254" s="9">
        <v>200</v>
      </c>
      <c r="I254" s="9">
        <v>200</v>
      </c>
      <c r="J254" s="102"/>
      <c r="K254" s="102"/>
      <c r="L254" s="105">
        <v>20201118</v>
      </c>
    </row>
    <row r="255" spans="1:12">
      <c r="A255" s="2" t="s">
        <v>1560</v>
      </c>
      <c r="B255" s="102" t="s">
        <v>2469</v>
      </c>
      <c r="C255" s="9" t="s">
        <v>2968</v>
      </c>
      <c r="D255" s="9" t="s">
        <v>2969</v>
      </c>
      <c r="E255" s="102">
        <v>2020</v>
      </c>
      <c r="F255" s="102">
        <v>2020</v>
      </c>
      <c r="G255" s="9" t="s">
        <v>2480</v>
      </c>
      <c r="H255" s="9">
        <v>200</v>
      </c>
      <c r="I255" s="9">
        <v>200</v>
      </c>
      <c r="J255" s="102"/>
      <c r="K255" s="102"/>
      <c r="L255" s="105">
        <v>20201118</v>
      </c>
    </row>
    <row r="256" spans="1:12">
      <c r="A256" s="132" t="s">
        <v>1563</v>
      </c>
      <c r="B256" s="102" t="s">
        <v>2469</v>
      </c>
      <c r="C256" s="9" t="s">
        <v>2970</v>
      </c>
      <c r="D256" s="9" t="s">
        <v>2971</v>
      </c>
      <c r="E256" s="102">
        <v>2020</v>
      </c>
      <c r="F256" s="102">
        <v>2020</v>
      </c>
      <c r="G256" s="9" t="s">
        <v>2480</v>
      </c>
      <c r="H256" s="9">
        <v>200</v>
      </c>
      <c r="I256" s="9">
        <v>200</v>
      </c>
      <c r="J256" s="102"/>
      <c r="K256" s="102"/>
      <c r="L256" s="105">
        <v>20201118</v>
      </c>
    </row>
    <row r="257" spans="1:12">
      <c r="A257" s="2" t="s">
        <v>1566</v>
      </c>
      <c r="B257" s="102" t="s">
        <v>2469</v>
      </c>
      <c r="C257" s="9" t="s">
        <v>2972</v>
      </c>
      <c r="D257" s="9" t="s">
        <v>2973</v>
      </c>
      <c r="E257" s="102">
        <v>2020</v>
      </c>
      <c r="F257" s="102">
        <v>2020</v>
      </c>
      <c r="G257" s="9" t="s">
        <v>2480</v>
      </c>
      <c r="H257" s="9">
        <v>200</v>
      </c>
      <c r="I257" s="9">
        <v>200</v>
      </c>
      <c r="J257" s="102"/>
      <c r="K257" s="102"/>
      <c r="L257" s="105">
        <v>20201118</v>
      </c>
    </row>
    <row r="258" spans="1:12">
      <c r="A258" s="2" t="s">
        <v>1569</v>
      </c>
      <c r="B258" s="102" t="s">
        <v>2469</v>
      </c>
      <c r="C258" s="9" t="s">
        <v>2974</v>
      </c>
      <c r="D258" s="9" t="s">
        <v>2975</v>
      </c>
      <c r="E258" s="102">
        <v>2020</v>
      </c>
      <c r="F258" s="102">
        <v>2020</v>
      </c>
      <c r="G258" s="9" t="s">
        <v>2480</v>
      </c>
      <c r="H258" s="9">
        <v>200</v>
      </c>
      <c r="I258" s="9">
        <v>200</v>
      </c>
      <c r="J258" s="102"/>
      <c r="K258" s="102"/>
      <c r="L258" s="105">
        <v>20201118</v>
      </c>
    </row>
    <row r="259" spans="1:12">
      <c r="A259" s="2" t="s">
        <v>1572</v>
      </c>
      <c r="B259" s="102" t="s">
        <v>2469</v>
      </c>
      <c r="C259" s="9" t="s">
        <v>2976</v>
      </c>
      <c r="D259" s="9" t="s">
        <v>2977</v>
      </c>
      <c r="E259" s="102">
        <v>2020</v>
      </c>
      <c r="F259" s="102">
        <v>2020</v>
      </c>
      <c r="G259" s="9" t="s">
        <v>2480</v>
      </c>
      <c r="H259" s="9">
        <v>200</v>
      </c>
      <c r="I259" s="9">
        <v>200</v>
      </c>
      <c r="J259" s="102"/>
      <c r="K259" s="102"/>
      <c r="L259" s="105">
        <v>20201118</v>
      </c>
    </row>
    <row r="260" spans="1:12">
      <c r="A260" s="2" t="s">
        <v>1575</v>
      </c>
      <c r="B260" s="102" t="s">
        <v>2469</v>
      </c>
      <c r="C260" s="9" t="s">
        <v>1639</v>
      </c>
      <c r="D260" s="9" t="s">
        <v>2978</v>
      </c>
      <c r="E260" s="102">
        <v>2020</v>
      </c>
      <c r="F260" s="102">
        <v>2020</v>
      </c>
      <c r="G260" s="9" t="s">
        <v>2480</v>
      </c>
      <c r="H260" s="9">
        <v>200</v>
      </c>
      <c r="I260" s="9">
        <v>200</v>
      </c>
      <c r="J260" s="102"/>
      <c r="K260" s="102"/>
      <c r="L260" s="105">
        <v>20201118</v>
      </c>
    </row>
    <row r="261" spans="1:12">
      <c r="A261" s="132" t="s">
        <v>1578</v>
      </c>
      <c r="B261" s="102" t="s">
        <v>2469</v>
      </c>
      <c r="C261" s="9" t="s">
        <v>2979</v>
      </c>
      <c r="D261" s="9" t="s">
        <v>2980</v>
      </c>
      <c r="E261" s="102">
        <v>2020</v>
      </c>
      <c r="F261" s="102">
        <v>2020</v>
      </c>
      <c r="G261" s="9" t="s">
        <v>2480</v>
      </c>
      <c r="H261" s="9">
        <v>200</v>
      </c>
      <c r="I261" s="9">
        <v>200</v>
      </c>
      <c r="J261" s="102"/>
      <c r="K261" s="102"/>
      <c r="L261" s="105">
        <v>20201118</v>
      </c>
    </row>
    <row r="262" spans="1:12">
      <c r="A262" s="2" t="s">
        <v>1581</v>
      </c>
      <c r="B262" s="102" t="s">
        <v>2469</v>
      </c>
      <c r="C262" s="9" t="s">
        <v>2981</v>
      </c>
      <c r="D262" s="9" t="s">
        <v>2982</v>
      </c>
      <c r="E262" s="102">
        <v>2020</v>
      </c>
      <c r="F262" s="102">
        <v>2020</v>
      </c>
      <c r="G262" s="9" t="s">
        <v>2480</v>
      </c>
      <c r="H262" s="9">
        <v>200</v>
      </c>
      <c r="I262" s="9">
        <v>200</v>
      </c>
      <c r="J262" s="102"/>
      <c r="K262" s="102"/>
      <c r="L262" s="105">
        <v>20201118</v>
      </c>
    </row>
    <row r="263" spans="1:12">
      <c r="A263" s="2" t="s">
        <v>1584</v>
      </c>
      <c r="B263" s="102" t="s">
        <v>2469</v>
      </c>
      <c r="C263" s="9" t="s">
        <v>2983</v>
      </c>
      <c r="D263" s="9" t="s">
        <v>2984</v>
      </c>
      <c r="E263" s="102">
        <v>2020</v>
      </c>
      <c r="F263" s="102">
        <v>2020</v>
      </c>
      <c r="G263" s="9" t="s">
        <v>2480</v>
      </c>
      <c r="H263" s="9">
        <v>200</v>
      </c>
      <c r="I263" s="9">
        <v>200</v>
      </c>
      <c r="J263" s="102"/>
      <c r="K263" s="102"/>
      <c r="L263" s="105">
        <v>20201118</v>
      </c>
    </row>
    <row r="264" spans="1:12">
      <c r="A264" s="132" t="s">
        <v>1587</v>
      </c>
      <c r="B264" s="102" t="s">
        <v>2469</v>
      </c>
      <c r="C264" s="9" t="s">
        <v>2985</v>
      </c>
      <c r="D264" s="9" t="s">
        <v>2986</v>
      </c>
      <c r="E264" s="102">
        <v>2020</v>
      </c>
      <c r="F264" s="102">
        <v>2020</v>
      </c>
      <c r="G264" s="9" t="s">
        <v>2480</v>
      </c>
      <c r="H264" s="9">
        <v>200</v>
      </c>
      <c r="I264" s="9">
        <v>200</v>
      </c>
      <c r="J264" s="102"/>
      <c r="K264" s="102"/>
      <c r="L264" s="105">
        <v>20201118</v>
      </c>
    </row>
    <row r="265" s="98" customFormat="1" spans="1:12">
      <c r="A265" s="2" t="s">
        <v>1590</v>
      </c>
      <c r="B265" s="5" t="s">
        <v>2469</v>
      </c>
      <c r="C265" s="9" t="s">
        <v>2987</v>
      </c>
      <c r="D265" s="9" t="s">
        <v>2988</v>
      </c>
      <c r="E265" s="5">
        <v>2020</v>
      </c>
      <c r="F265" s="5">
        <v>2020</v>
      </c>
      <c r="G265" s="9" t="s">
        <v>2480</v>
      </c>
      <c r="H265" s="9">
        <v>200</v>
      </c>
      <c r="I265" s="9">
        <v>200</v>
      </c>
      <c r="J265" s="5"/>
      <c r="K265" s="254"/>
      <c r="L265" s="105">
        <v>20201118</v>
      </c>
    </row>
    <row r="266" spans="1:12">
      <c r="A266" s="2" t="s">
        <v>1593</v>
      </c>
      <c r="B266" s="102" t="s">
        <v>2469</v>
      </c>
      <c r="C266" s="9" t="s">
        <v>2989</v>
      </c>
      <c r="D266" s="9" t="s">
        <v>2990</v>
      </c>
      <c r="E266" s="102">
        <v>2020</v>
      </c>
      <c r="F266" s="102">
        <v>2020</v>
      </c>
      <c r="G266" s="9" t="s">
        <v>2480</v>
      </c>
      <c r="H266" s="9">
        <v>200</v>
      </c>
      <c r="I266" s="9">
        <v>200</v>
      </c>
      <c r="J266" s="102"/>
      <c r="K266" s="102"/>
      <c r="L266" s="105">
        <v>20201118</v>
      </c>
    </row>
    <row r="267" spans="1:12">
      <c r="A267" s="2" t="s">
        <v>1596</v>
      </c>
      <c r="B267" s="102" t="s">
        <v>2469</v>
      </c>
      <c r="C267" s="9" t="s">
        <v>2991</v>
      </c>
      <c r="D267" s="9" t="s">
        <v>2992</v>
      </c>
      <c r="E267" s="102">
        <v>2020</v>
      </c>
      <c r="F267" s="102">
        <v>2020</v>
      </c>
      <c r="G267" s="9" t="s">
        <v>2480</v>
      </c>
      <c r="H267" s="9">
        <v>200</v>
      </c>
      <c r="I267" s="9">
        <v>200</v>
      </c>
      <c r="J267" s="102"/>
      <c r="K267" s="102"/>
      <c r="L267" s="105">
        <v>20201118</v>
      </c>
    </row>
    <row r="268" spans="1:12">
      <c r="A268" s="2" t="s">
        <v>1599</v>
      </c>
      <c r="B268" s="102" t="s">
        <v>2469</v>
      </c>
      <c r="C268" s="9" t="s">
        <v>2993</v>
      </c>
      <c r="D268" s="9" t="s">
        <v>2994</v>
      </c>
      <c r="E268" s="102">
        <v>2020</v>
      </c>
      <c r="F268" s="102">
        <v>2020</v>
      </c>
      <c r="G268" s="9" t="s">
        <v>2480</v>
      </c>
      <c r="H268" s="9">
        <v>200</v>
      </c>
      <c r="I268" s="9">
        <v>200</v>
      </c>
      <c r="J268" s="102"/>
      <c r="K268" s="102"/>
      <c r="L268" s="105">
        <v>20201118</v>
      </c>
    </row>
    <row r="269" spans="1:12">
      <c r="A269" s="132" t="s">
        <v>1602</v>
      </c>
      <c r="B269" s="102" t="s">
        <v>2469</v>
      </c>
      <c r="C269" s="16" t="s">
        <v>2995</v>
      </c>
      <c r="D269" s="16" t="s">
        <v>2996</v>
      </c>
      <c r="E269" s="102">
        <v>2020</v>
      </c>
      <c r="F269" s="102">
        <v>2020</v>
      </c>
      <c r="G269" s="16" t="s">
        <v>2480</v>
      </c>
      <c r="H269" s="9">
        <v>200</v>
      </c>
      <c r="I269" s="9">
        <v>200</v>
      </c>
      <c r="J269" s="102"/>
      <c r="K269" s="102"/>
      <c r="L269" s="105">
        <v>20201118</v>
      </c>
    </row>
    <row r="270" spans="1:12">
      <c r="A270" s="2" t="s">
        <v>1605</v>
      </c>
      <c r="B270" s="102" t="s">
        <v>2469</v>
      </c>
      <c r="C270" s="9" t="s">
        <v>1523</v>
      </c>
      <c r="D270" s="9" t="s">
        <v>2997</v>
      </c>
      <c r="E270" s="102">
        <v>2020</v>
      </c>
      <c r="F270" s="102">
        <v>2020</v>
      </c>
      <c r="G270" s="9" t="s">
        <v>2480</v>
      </c>
      <c r="H270" s="9">
        <v>200</v>
      </c>
      <c r="I270" s="9">
        <v>200</v>
      </c>
      <c r="J270" s="102"/>
      <c r="K270" s="102"/>
      <c r="L270" s="105">
        <v>20201118</v>
      </c>
    </row>
    <row r="271" spans="1:12">
      <c r="A271" s="2" t="s">
        <v>1608</v>
      </c>
      <c r="B271" s="102" t="s">
        <v>2469</v>
      </c>
      <c r="C271" s="9" t="s">
        <v>2998</v>
      </c>
      <c r="D271" s="9" t="s">
        <v>2999</v>
      </c>
      <c r="E271" s="102">
        <v>2020</v>
      </c>
      <c r="F271" s="102">
        <v>2020</v>
      </c>
      <c r="G271" s="9" t="s">
        <v>2480</v>
      </c>
      <c r="H271" s="9">
        <v>200</v>
      </c>
      <c r="I271" s="9">
        <v>200</v>
      </c>
      <c r="J271" s="102"/>
      <c r="K271" s="102"/>
      <c r="L271" s="105">
        <v>20201118</v>
      </c>
    </row>
    <row r="272" spans="1:12">
      <c r="A272" s="132" t="s">
        <v>1611</v>
      </c>
      <c r="B272" s="102" t="s">
        <v>2469</v>
      </c>
      <c r="C272" s="9" t="s">
        <v>3000</v>
      </c>
      <c r="D272" s="9" t="s">
        <v>3001</v>
      </c>
      <c r="E272" s="102">
        <v>2020</v>
      </c>
      <c r="F272" s="102">
        <v>2020</v>
      </c>
      <c r="G272" s="9" t="s">
        <v>2480</v>
      </c>
      <c r="H272" s="9">
        <v>200</v>
      </c>
      <c r="I272" s="9">
        <v>200</v>
      </c>
      <c r="J272" s="102"/>
      <c r="K272" s="102"/>
      <c r="L272" s="105">
        <v>20201118</v>
      </c>
    </row>
    <row r="273" spans="1:12">
      <c r="A273" s="2" t="s">
        <v>1614</v>
      </c>
      <c r="B273" s="102" t="s">
        <v>2469</v>
      </c>
      <c r="C273" s="9" t="s">
        <v>3002</v>
      </c>
      <c r="D273" s="9" t="s">
        <v>3003</v>
      </c>
      <c r="E273" s="102">
        <v>2020</v>
      </c>
      <c r="F273" s="102">
        <v>2020</v>
      </c>
      <c r="G273" s="9" t="s">
        <v>2480</v>
      </c>
      <c r="H273" s="9">
        <v>200</v>
      </c>
      <c r="I273" s="9">
        <v>200</v>
      </c>
      <c r="J273" s="102"/>
      <c r="K273" s="102"/>
      <c r="L273" s="105">
        <v>20201118</v>
      </c>
    </row>
    <row r="274" spans="1:12">
      <c r="A274" s="2" t="s">
        <v>1617</v>
      </c>
      <c r="B274" s="102" t="s">
        <v>2469</v>
      </c>
      <c r="C274" s="9" t="s">
        <v>3004</v>
      </c>
      <c r="D274" s="9" t="s">
        <v>3005</v>
      </c>
      <c r="E274" s="102">
        <v>2020</v>
      </c>
      <c r="F274" s="102">
        <v>2020</v>
      </c>
      <c r="G274" s="9" t="s">
        <v>2480</v>
      </c>
      <c r="H274" s="9">
        <v>200</v>
      </c>
      <c r="I274" s="9">
        <v>200</v>
      </c>
      <c r="J274" s="102"/>
      <c r="K274" s="102"/>
      <c r="L274" s="105">
        <v>20201118</v>
      </c>
    </row>
    <row r="275" spans="1:12">
      <c r="A275" s="2" t="s">
        <v>1620</v>
      </c>
      <c r="B275" s="102" t="s">
        <v>2469</v>
      </c>
      <c r="C275" s="9" t="s">
        <v>3006</v>
      </c>
      <c r="D275" s="9" t="s">
        <v>3007</v>
      </c>
      <c r="E275" s="102">
        <v>2020</v>
      </c>
      <c r="F275" s="102">
        <v>2020</v>
      </c>
      <c r="G275" s="9" t="s">
        <v>2480</v>
      </c>
      <c r="H275" s="9">
        <v>200</v>
      </c>
      <c r="I275" s="9">
        <v>200</v>
      </c>
      <c r="J275" s="102"/>
      <c r="K275" s="102"/>
      <c r="L275" s="105">
        <v>20201118</v>
      </c>
    </row>
    <row r="276" spans="1:12">
      <c r="A276" s="2" t="s">
        <v>1623</v>
      </c>
      <c r="B276" s="102" t="s">
        <v>2469</v>
      </c>
      <c r="C276" s="9" t="s">
        <v>3008</v>
      </c>
      <c r="D276" s="9" t="s">
        <v>3009</v>
      </c>
      <c r="E276" s="102">
        <v>2020</v>
      </c>
      <c r="F276" s="102">
        <v>2020</v>
      </c>
      <c r="G276" s="9" t="s">
        <v>2480</v>
      </c>
      <c r="H276" s="9">
        <v>200</v>
      </c>
      <c r="I276" s="9">
        <v>200</v>
      </c>
      <c r="J276" s="102"/>
      <c r="K276" s="102"/>
      <c r="L276" s="105">
        <v>20201118</v>
      </c>
    </row>
    <row r="277" spans="1:12">
      <c r="A277" s="132" t="s">
        <v>1626</v>
      </c>
      <c r="B277" s="102" t="s">
        <v>2469</v>
      </c>
      <c r="C277" s="9" t="s">
        <v>3010</v>
      </c>
      <c r="D277" s="9" t="s">
        <v>3011</v>
      </c>
      <c r="E277" s="102">
        <v>2020</v>
      </c>
      <c r="F277" s="102">
        <v>2020</v>
      </c>
      <c r="G277" s="9" t="s">
        <v>2480</v>
      </c>
      <c r="H277" s="9">
        <v>200</v>
      </c>
      <c r="I277" s="9">
        <v>200</v>
      </c>
      <c r="J277" s="102"/>
      <c r="K277" s="102"/>
      <c r="L277" s="105">
        <v>20201118</v>
      </c>
    </row>
    <row r="278" spans="1:12">
      <c r="A278" s="2" t="s">
        <v>1629</v>
      </c>
      <c r="B278" s="102" t="s">
        <v>2469</v>
      </c>
      <c r="C278" s="9" t="s">
        <v>3012</v>
      </c>
      <c r="D278" s="9" t="s">
        <v>3013</v>
      </c>
      <c r="E278" s="102">
        <v>2020</v>
      </c>
      <c r="F278" s="102">
        <v>2020</v>
      </c>
      <c r="G278" s="9" t="s">
        <v>2480</v>
      </c>
      <c r="H278" s="9">
        <v>200</v>
      </c>
      <c r="I278" s="9">
        <v>200</v>
      </c>
      <c r="J278" s="102"/>
      <c r="K278" s="102"/>
      <c r="L278" s="105">
        <v>20201118</v>
      </c>
    </row>
    <row r="279" spans="1:12">
      <c r="A279" s="2" t="s">
        <v>1632</v>
      </c>
      <c r="B279" s="102" t="s">
        <v>2469</v>
      </c>
      <c r="C279" s="9" t="s">
        <v>3014</v>
      </c>
      <c r="D279" s="9" t="s">
        <v>3015</v>
      </c>
      <c r="E279" s="102">
        <v>2020</v>
      </c>
      <c r="F279" s="102">
        <v>2020</v>
      </c>
      <c r="G279" s="9" t="s">
        <v>2480</v>
      </c>
      <c r="H279" s="9">
        <v>200</v>
      </c>
      <c r="I279" s="9">
        <v>200</v>
      </c>
      <c r="J279" s="102"/>
      <c r="K279" s="102"/>
      <c r="L279" s="105">
        <v>20201118</v>
      </c>
    </row>
    <row r="280" spans="1:12">
      <c r="A280" s="132" t="s">
        <v>1635</v>
      </c>
      <c r="B280" s="102" t="s">
        <v>2469</v>
      </c>
      <c r="C280" s="9" t="s">
        <v>3016</v>
      </c>
      <c r="D280" s="9" t="s">
        <v>3017</v>
      </c>
      <c r="E280" s="102">
        <v>2020</v>
      </c>
      <c r="F280" s="102">
        <v>2020</v>
      </c>
      <c r="G280" s="9" t="s">
        <v>2480</v>
      </c>
      <c r="H280" s="9">
        <v>200</v>
      </c>
      <c r="I280" s="9">
        <v>200</v>
      </c>
      <c r="J280" s="102"/>
      <c r="K280" s="102"/>
      <c r="L280" s="105">
        <v>20201118</v>
      </c>
    </row>
    <row r="281" spans="1:12">
      <c r="A281" s="2" t="s">
        <v>1638</v>
      </c>
      <c r="B281" s="102" t="s">
        <v>2469</v>
      </c>
      <c r="C281" s="9" t="s">
        <v>3018</v>
      </c>
      <c r="D281" s="9" t="s">
        <v>3019</v>
      </c>
      <c r="E281" s="102">
        <v>2020</v>
      </c>
      <c r="F281" s="102">
        <v>2020</v>
      </c>
      <c r="G281" s="9" t="s">
        <v>2480</v>
      </c>
      <c r="H281" s="9">
        <v>200</v>
      </c>
      <c r="I281" s="9">
        <v>200</v>
      </c>
      <c r="J281" s="102"/>
      <c r="K281" s="102"/>
      <c r="L281" s="105">
        <v>20201118</v>
      </c>
    </row>
    <row r="282" spans="1:12">
      <c r="A282" s="2" t="s">
        <v>1641</v>
      </c>
      <c r="B282" s="102" t="s">
        <v>2469</v>
      </c>
      <c r="C282" s="9" t="s">
        <v>3020</v>
      </c>
      <c r="D282" s="9" t="s">
        <v>3021</v>
      </c>
      <c r="E282" s="102">
        <v>2020</v>
      </c>
      <c r="F282" s="102">
        <v>2020</v>
      </c>
      <c r="G282" s="9" t="s">
        <v>2480</v>
      </c>
      <c r="H282" s="9">
        <v>200</v>
      </c>
      <c r="I282" s="9">
        <v>200</v>
      </c>
      <c r="J282" s="102"/>
      <c r="K282" s="102"/>
      <c r="L282" s="105">
        <v>20201118</v>
      </c>
    </row>
    <row r="283" spans="1:12">
      <c r="A283" s="2" t="s">
        <v>1643</v>
      </c>
      <c r="B283" s="102" t="s">
        <v>2469</v>
      </c>
      <c r="C283" s="9" t="s">
        <v>3022</v>
      </c>
      <c r="D283" s="9" t="s">
        <v>3023</v>
      </c>
      <c r="E283" s="102">
        <v>2020</v>
      </c>
      <c r="F283" s="102">
        <v>2020</v>
      </c>
      <c r="G283" s="9" t="s">
        <v>2480</v>
      </c>
      <c r="H283" s="9">
        <v>200</v>
      </c>
      <c r="I283" s="9">
        <v>200</v>
      </c>
      <c r="J283" s="102"/>
      <c r="K283" s="102"/>
      <c r="L283" s="105">
        <v>20201118</v>
      </c>
    </row>
    <row r="284" spans="1:12">
      <c r="A284" s="2" t="s">
        <v>1646</v>
      </c>
      <c r="B284" s="102" t="s">
        <v>2469</v>
      </c>
      <c r="C284" s="9" t="s">
        <v>3024</v>
      </c>
      <c r="D284" s="9" t="s">
        <v>3025</v>
      </c>
      <c r="E284" s="102">
        <v>2020</v>
      </c>
      <c r="F284" s="102">
        <v>2020</v>
      </c>
      <c r="G284" s="9" t="s">
        <v>2480</v>
      </c>
      <c r="H284" s="9">
        <v>200</v>
      </c>
      <c r="I284" s="9">
        <v>200</v>
      </c>
      <c r="J284" s="102"/>
      <c r="K284" s="102"/>
      <c r="L284" s="105">
        <v>20201118</v>
      </c>
    </row>
    <row r="285" spans="1:12">
      <c r="A285" s="132" t="s">
        <v>1649</v>
      </c>
      <c r="B285" s="102" t="s">
        <v>2469</v>
      </c>
      <c r="C285" s="9" t="s">
        <v>3026</v>
      </c>
      <c r="D285" s="9" t="s">
        <v>3027</v>
      </c>
      <c r="E285" s="102">
        <v>2020</v>
      </c>
      <c r="F285" s="102">
        <v>2020</v>
      </c>
      <c r="G285" s="9" t="s">
        <v>2480</v>
      </c>
      <c r="H285" s="9">
        <v>200</v>
      </c>
      <c r="I285" s="9">
        <v>200</v>
      </c>
      <c r="J285" s="102"/>
      <c r="K285" s="102"/>
      <c r="L285" s="105">
        <v>20201118</v>
      </c>
    </row>
    <row r="286" spans="1:12">
      <c r="A286" s="2" t="s">
        <v>1652</v>
      </c>
      <c r="B286" s="102" t="s">
        <v>2469</v>
      </c>
      <c r="C286" s="9" t="s">
        <v>3028</v>
      </c>
      <c r="D286" s="9" t="s">
        <v>3029</v>
      </c>
      <c r="E286" s="102">
        <v>2020</v>
      </c>
      <c r="F286" s="102">
        <v>2020</v>
      </c>
      <c r="G286" s="9" t="s">
        <v>2480</v>
      </c>
      <c r="H286" s="9">
        <v>200</v>
      </c>
      <c r="I286" s="9">
        <v>200</v>
      </c>
      <c r="J286" s="102"/>
      <c r="K286" s="102"/>
      <c r="L286" s="105">
        <v>20201118</v>
      </c>
    </row>
    <row r="287" spans="1:12">
      <c r="A287" s="2" t="s">
        <v>1655</v>
      </c>
      <c r="B287" s="102" t="s">
        <v>2469</v>
      </c>
      <c r="C287" s="9" t="s">
        <v>3030</v>
      </c>
      <c r="D287" s="9" t="s">
        <v>3031</v>
      </c>
      <c r="E287" s="102">
        <v>2020</v>
      </c>
      <c r="F287" s="102">
        <v>2020</v>
      </c>
      <c r="G287" s="9" t="s">
        <v>2480</v>
      </c>
      <c r="H287" s="9">
        <v>200</v>
      </c>
      <c r="I287" s="9">
        <v>200</v>
      </c>
      <c r="J287" s="102"/>
      <c r="K287" s="102"/>
      <c r="L287" s="105">
        <v>20201118</v>
      </c>
    </row>
    <row r="288" spans="1:12">
      <c r="A288" s="132" t="s">
        <v>1658</v>
      </c>
      <c r="B288" s="102" t="s">
        <v>2469</v>
      </c>
      <c r="C288" s="9" t="s">
        <v>3032</v>
      </c>
      <c r="D288" s="9" t="s">
        <v>3033</v>
      </c>
      <c r="E288" s="102">
        <v>2020</v>
      </c>
      <c r="F288" s="102">
        <v>2020</v>
      </c>
      <c r="G288" s="9" t="s">
        <v>2480</v>
      </c>
      <c r="H288" s="9">
        <v>200</v>
      </c>
      <c r="I288" s="9">
        <v>200</v>
      </c>
      <c r="J288" s="102"/>
      <c r="K288" s="102"/>
      <c r="L288" s="105">
        <v>20201118</v>
      </c>
    </row>
    <row r="289" spans="1:12">
      <c r="A289" s="2" t="s">
        <v>1661</v>
      </c>
      <c r="B289" s="102" t="s">
        <v>2469</v>
      </c>
      <c r="C289" s="9" t="s">
        <v>3034</v>
      </c>
      <c r="D289" s="9" t="s">
        <v>3035</v>
      </c>
      <c r="E289" s="102">
        <v>2020</v>
      </c>
      <c r="F289" s="102">
        <v>2020</v>
      </c>
      <c r="G289" s="9" t="s">
        <v>2480</v>
      </c>
      <c r="H289" s="9">
        <v>200</v>
      </c>
      <c r="I289" s="9">
        <v>200</v>
      </c>
      <c r="J289" s="102"/>
      <c r="K289" s="102"/>
      <c r="L289" s="105">
        <v>20201118</v>
      </c>
    </row>
    <row r="290" spans="1:12">
      <c r="A290" s="2" t="s">
        <v>1664</v>
      </c>
      <c r="B290" s="102" t="s">
        <v>2469</v>
      </c>
      <c r="C290" s="9" t="s">
        <v>3036</v>
      </c>
      <c r="D290" s="9" t="s">
        <v>3037</v>
      </c>
      <c r="E290" s="102">
        <v>2020</v>
      </c>
      <c r="F290" s="102">
        <v>2020</v>
      </c>
      <c r="G290" s="9" t="s">
        <v>2480</v>
      </c>
      <c r="H290" s="9">
        <v>200</v>
      </c>
      <c r="I290" s="9">
        <v>200</v>
      </c>
      <c r="J290" s="102"/>
      <c r="K290" s="102"/>
      <c r="L290" s="105">
        <v>20201118</v>
      </c>
    </row>
    <row r="291" spans="1:12">
      <c r="A291" s="2" t="s">
        <v>1667</v>
      </c>
      <c r="B291" s="102" t="s">
        <v>2469</v>
      </c>
      <c r="C291" s="9" t="s">
        <v>3038</v>
      </c>
      <c r="D291" s="9" t="s">
        <v>3039</v>
      </c>
      <c r="E291" s="102">
        <v>2020</v>
      </c>
      <c r="F291" s="102">
        <v>2020</v>
      </c>
      <c r="G291" s="9" t="s">
        <v>2480</v>
      </c>
      <c r="H291" s="9">
        <v>200</v>
      </c>
      <c r="I291" s="9">
        <v>200</v>
      </c>
      <c r="J291" s="102"/>
      <c r="K291" s="102"/>
      <c r="L291" s="105">
        <v>20201118</v>
      </c>
    </row>
    <row r="292" spans="1:12">
      <c r="A292" s="2" t="s">
        <v>1670</v>
      </c>
      <c r="B292" s="102" t="s">
        <v>2469</v>
      </c>
      <c r="C292" s="9" t="s">
        <v>3040</v>
      </c>
      <c r="D292" s="9" t="s">
        <v>3041</v>
      </c>
      <c r="E292" s="102">
        <v>2020</v>
      </c>
      <c r="F292" s="102">
        <v>2020</v>
      </c>
      <c r="G292" s="9" t="s">
        <v>2480</v>
      </c>
      <c r="H292" s="9">
        <v>200</v>
      </c>
      <c r="I292" s="9">
        <v>200</v>
      </c>
      <c r="J292" s="102"/>
      <c r="K292" s="102"/>
      <c r="L292" s="105">
        <v>20201118</v>
      </c>
    </row>
    <row r="293" spans="1:12">
      <c r="A293" s="132" t="s">
        <v>1673</v>
      </c>
      <c r="B293" s="102" t="s">
        <v>2469</v>
      </c>
      <c r="C293" s="9" t="s">
        <v>3042</v>
      </c>
      <c r="D293" s="9" t="s">
        <v>3043</v>
      </c>
      <c r="E293" s="102">
        <v>2020</v>
      </c>
      <c r="F293" s="102">
        <v>2020</v>
      </c>
      <c r="G293" s="9" t="s">
        <v>2480</v>
      </c>
      <c r="H293" s="9">
        <v>200</v>
      </c>
      <c r="I293" s="9">
        <v>200</v>
      </c>
      <c r="J293" s="102"/>
      <c r="K293" s="102"/>
      <c r="L293" s="105">
        <v>20201118</v>
      </c>
    </row>
    <row r="294" spans="1:12">
      <c r="A294" s="2" t="s">
        <v>1676</v>
      </c>
      <c r="B294" s="102" t="s">
        <v>2469</v>
      </c>
      <c r="C294" s="9" t="s">
        <v>3044</v>
      </c>
      <c r="D294" s="9" t="s">
        <v>3045</v>
      </c>
      <c r="E294" s="102">
        <v>2020</v>
      </c>
      <c r="F294" s="102">
        <v>2020</v>
      </c>
      <c r="G294" s="9" t="s">
        <v>2480</v>
      </c>
      <c r="H294" s="9">
        <v>200</v>
      </c>
      <c r="I294" s="9">
        <v>200</v>
      </c>
      <c r="J294" s="102"/>
      <c r="K294" s="102"/>
      <c r="L294" s="105">
        <v>20201118</v>
      </c>
    </row>
    <row r="295" spans="1:12">
      <c r="A295" s="2" t="s">
        <v>1679</v>
      </c>
      <c r="B295" s="102" t="s">
        <v>2469</v>
      </c>
      <c r="C295" s="9" t="s">
        <v>3046</v>
      </c>
      <c r="D295" s="9" t="s">
        <v>3047</v>
      </c>
      <c r="E295" s="102">
        <v>2020</v>
      </c>
      <c r="F295" s="102">
        <v>2020</v>
      </c>
      <c r="G295" s="9" t="s">
        <v>2480</v>
      </c>
      <c r="H295" s="9">
        <v>200</v>
      </c>
      <c r="I295" s="9">
        <v>200</v>
      </c>
      <c r="J295" s="102"/>
      <c r="K295" s="102"/>
      <c r="L295" s="105">
        <v>20201118</v>
      </c>
    </row>
    <row r="296" spans="1:12">
      <c r="A296" s="132" t="s">
        <v>1682</v>
      </c>
      <c r="B296" s="102" t="s">
        <v>2469</v>
      </c>
      <c r="C296" s="9" t="s">
        <v>3048</v>
      </c>
      <c r="D296" s="9" t="s">
        <v>3049</v>
      </c>
      <c r="E296" s="102">
        <v>2020</v>
      </c>
      <c r="F296" s="102">
        <v>2020</v>
      </c>
      <c r="G296" s="9" t="s">
        <v>2480</v>
      </c>
      <c r="H296" s="9">
        <v>200</v>
      </c>
      <c r="I296" s="9">
        <v>200</v>
      </c>
      <c r="J296" s="102"/>
      <c r="K296" s="102"/>
      <c r="L296" s="105">
        <v>20201118</v>
      </c>
    </row>
    <row r="297" spans="1:12">
      <c r="A297" s="2" t="s">
        <v>1685</v>
      </c>
      <c r="B297" s="102" t="s">
        <v>2469</v>
      </c>
      <c r="C297" s="9" t="s">
        <v>3050</v>
      </c>
      <c r="D297" s="9" t="s">
        <v>3051</v>
      </c>
      <c r="E297" s="102">
        <v>2020</v>
      </c>
      <c r="F297" s="102">
        <v>2020</v>
      </c>
      <c r="G297" s="9" t="s">
        <v>2480</v>
      </c>
      <c r="H297" s="9">
        <v>200</v>
      </c>
      <c r="I297" s="9">
        <v>200</v>
      </c>
      <c r="J297" s="102"/>
      <c r="K297" s="102"/>
      <c r="L297" s="105">
        <v>20201118</v>
      </c>
    </row>
    <row r="298" spans="1:12">
      <c r="A298" s="2" t="s">
        <v>1688</v>
      </c>
      <c r="B298" s="5" t="s">
        <v>2469</v>
      </c>
      <c r="C298" s="9" t="s">
        <v>3052</v>
      </c>
      <c r="D298" s="9" t="s">
        <v>3053</v>
      </c>
      <c r="E298" s="5">
        <v>2020</v>
      </c>
      <c r="F298" s="5">
        <v>2020</v>
      </c>
      <c r="G298" s="9" t="s">
        <v>2480</v>
      </c>
      <c r="H298" s="9">
        <v>200</v>
      </c>
      <c r="I298" s="9">
        <v>200</v>
      </c>
      <c r="J298" s="5"/>
      <c r="K298" s="102"/>
      <c r="L298" s="105">
        <v>20201118</v>
      </c>
    </row>
    <row r="299" spans="1:12">
      <c r="A299" s="2" t="s">
        <v>1691</v>
      </c>
      <c r="B299" s="102" t="s">
        <v>2469</v>
      </c>
      <c r="C299" s="9" t="s">
        <v>3054</v>
      </c>
      <c r="D299" s="9" t="s">
        <v>3055</v>
      </c>
      <c r="E299" s="102">
        <v>2020</v>
      </c>
      <c r="F299" s="102">
        <v>2020</v>
      </c>
      <c r="G299" s="9" t="s">
        <v>2480</v>
      </c>
      <c r="H299" s="9">
        <v>200</v>
      </c>
      <c r="I299" s="9">
        <v>200</v>
      </c>
      <c r="J299" s="102"/>
      <c r="K299" s="102"/>
      <c r="L299" s="105">
        <v>20201118</v>
      </c>
    </row>
    <row r="300" spans="1:12">
      <c r="A300" s="2" t="s">
        <v>1694</v>
      </c>
      <c r="B300" s="102" t="s">
        <v>2469</v>
      </c>
      <c r="C300" s="9" t="s">
        <v>3056</v>
      </c>
      <c r="D300" s="9" t="s">
        <v>3057</v>
      </c>
      <c r="E300" s="102">
        <v>2020</v>
      </c>
      <c r="F300" s="102">
        <v>2020</v>
      </c>
      <c r="G300" s="9" t="s">
        <v>2480</v>
      </c>
      <c r="H300" s="9">
        <v>200</v>
      </c>
      <c r="I300" s="9">
        <v>200</v>
      </c>
      <c r="J300" s="102"/>
      <c r="K300" s="102"/>
      <c r="L300" s="105">
        <v>20201118</v>
      </c>
    </row>
    <row r="301" spans="1:12">
      <c r="A301" s="132" t="s">
        <v>1697</v>
      </c>
      <c r="B301" s="102" t="s">
        <v>2469</v>
      </c>
      <c r="C301" s="9" t="s">
        <v>3058</v>
      </c>
      <c r="D301" s="9" t="s">
        <v>3059</v>
      </c>
      <c r="E301" s="102">
        <v>2020</v>
      </c>
      <c r="F301" s="102">
        <v>2020</v>
      </c>
      <c r="G301" s="9" t="s">
        <v>2480</v>
      </c>
      <c r="H301" s="9">
        <v>200</v>
      </c>
      <c r="I301" s="9">
        <v>200</v>
      </c>
      <c r="J301" s="102"/>
      <c r="K301" s="102"/>
      <c r="L301" s="105">
        <v>20201118</v>
      </c>
    </row>
    <row r="302" spans="1:12">
      <c r="A302" s="2" t="s">
        <v>1700</v>
      </c>
      <c r="B302" s="102" t="s">
        <v>2469</v>
      </c>
      <c r="C302" s="9" t="s">
        <v>3060</v>
      </c>
      <c r="D302" s="9" t="s">
        <v>3061</v>
      </c>
      <c r="E302" s="102">
        <v>2020</v>
      </c>
      <c r="F302" s="102">
        <v>2020</v>
      </c>
      <c r="G302" s="9" t="s">
        <v>2480</v>
      </c>
      <c r="H302" s="9">
        <v>200</v>
      </c>
      <c r="I302" s="9">
        <v>200</v>
      </c>
      <c r="J302" s="102"/>
      <c r="K302" s="102"/>
      <c r="L302" s="105">
        <v>20201118</v>
      </c>
    </row>
    <row r="303" spans="1:12">
      <c r="A303" s="2" t="s">
        <v>1703</v>
      </c>
      <c r="B303" s="102" t="s">
        <v>2469</v>
      </c>
      <c r="C303" s="9" t="s">
        <v>3062</v>
      </c>
      <c r="D303" s="9" t="s">
        <v>3063</v>
      </c>
      <c r="E303" s="102">
        <v>2020</v>
      </c>
      <c r="F303" s="102">
        <v>2020</v>
      </c>
      <c r="G303" s="9" t="s">
        <v>2480</v>
      </c>
      <c r="H303" s="9">
        <v>200</v>
      </c>
      <c r="I303" s="9">
        <v>200</v>
      </c>
      <c r="J303" s="102"/>
      <c r="K303" s="102"/>
      <c r="L303" s="105">
        <v>20201118</v>
      </c>
    </row>
    <row r="304" spans="1:12">
      <c r="A304" s="132" t="s">
        <v>1706</v>
      </c>
      <c r="B304" s="102" t="s">
        <v>2469</v>
      </c>
      <c r="C304" s="9" t="s">
        <v>3064</v>
      </c>
      <c r="D304" s="9" t="s">
        <v>3065</v>
      </c>
      <c r="E304" s="102">
        <v>2020</v>
      </c>
      <c r="F304" s="102">
        <v>2020</v>
      </c>
      <c r="G304" s="9" t="s">
        <v>2480</v>
      </c>
      <c r="H304" s="9">
        <v>200</v>
      </c>
      <c r="I304" s="9">
        <v>200</v>
      </c>
      <c r="J304" s="102"/>
      <c r="K304" s="102"/>
      <c r="L304" s="105">
        <v>20201118</v>
      </c>
    </row>
    <row r="305" spans="1:12">
      <c r="A305" s="2" t="s">
        <v>1709</v>
      </c>
      <c r="B305" s="102" t="s">
        <v>2469</v>
      </c>
      <c r="C305" s="9" t="s">
        <v>3066</v>
      </c>
      <c r="D305" s="9" t="s">
        <v>3067</v>
      </c>
      <c r="E305" s="102">
        <v>2020</v>
      </c>
      <c r="F305" s="102">
        <v>2020</v>
      </c>
      <c r="G305" s="9" t="s">
        <v>2480</v>
      </c>
      <c r="H305" s="9">
        <v>200</v>
      </c>
      <c r="I305" s="9">
        <v>200</v>
      </c>
      <c r="J305" s="102"/>
      <c r="K305" s="102"/>
      <c r="L305" s="105">
        <v>20201118</v>
      </c>
    </row>
    <row r="306" spans="1:12">
      <c r="A306" s="2" t="s">
        <v>1712</v>
      </c>
      <c r="B306" s="102" t="s">
        <v>2469</v>
      </c>
      <c r="C306" s="9" t="s">
        <v>3068</v>
      </c>
      <c r="D306" s="9" t="s">
        <v>3069</v>
      </c>
      <c r="E306" s="102">
        <v>2020</v>
      </c>
      <c r="F306" s="102">
        <v>2020</v>
      </c>
      <c r="G306" s="9" t="s">
        <v>2480</v>
      </c>
      <c r="H306" s="9">
        <v>200</v>
      </c>
      <c r="I306" s="9">
        <v>200</v>
      </c>
      <c r="J306" s="102"/>
      <c r="K306" s="102"/>
      <c r="L306" s="105">
        <v>20201118</v>
      </c>
    </row>
    <row r="307" spans="1:12">
      <c r="A307" s="2" t="s">
        <v>1715</v>
      </c>
      <c r="B307" s="102" t="s">
        <v>2469</v>
      </c>
      <c r="C307" s="9" t="s">
        <v>3070</v>
      </c>
      <c r="D307" s="9" t="s">
        <v>3071</v>
      </c>
      <c r="E307" s="102">
        <v>2020</v>
      </c>
      <c r="F307" s="102">
        <v>2020</v>
      </c>
      <c r="G307" s="9" t="s">
        <v>2480</v>
      </c>
      <c r="H307" s="9">
        <v>200</v>
      </c>
      <c r="I307" s="9">
        <v>200</v>
      </c>
      <c r="J307" s="102"/>
      <c r="K307" s="102"/>
      <c r="L307" s="105">
        <v>20201118</v>
      </c>
    </row>
    <row r="308" spans="1:12">
      <c r="A308" s="2" t="s">
        <v>1718</v>
      </c>
      <c r="B308" s="102" t="s">
        <v>2469</v>
      </c>
      <c r="C308" s="9" t="s">
        <v>3072</v>
      </c>
      <c r="D308" s="9" t="s">
        <v>3073</v>
      </c>
      <c r="E308" s="102">
        <v>2020</v>
      </c>
      <c r="F308" s="102">
        <v>2020</v>
      </c>
      <c r="G308" s="9" t="s">
        <v>2480</v>
      </c>
      <c r="H308" s="9">
        <v>200</v>
      </c>
      <c r="I308" s="9">
        <v>200</v>
      </c>
      <c r="J308" s="102"/>
      <c r="K308" s="102"/>
      <c r="L308" s="105">
        <v>20201118</v>
      </c>
    </row>
    <row r="309" spans="1:12">
      <c r="A309" s="132" t="s">
        <v>1721</v>
      </c>
      <c r="B309" s="102" t="s">
        <v>2469</v>
      </c>
      <c r="C309" s="9" t="s">
        <v>3074</v>
      </c>
      <c r="D309" s="9" t="s">
        <v>3075</v>
      </c>
      <c r="E309" s="102">
        <v>2020</v>
      </c>
      <c r="F309" s="102">
        <v>2020</v>
      </c>
      <c r="G309" s="9" t="s">
        <v>2480</v>
      </c>
      <c r="H309" s="9">
        <v>200</v>
      </c>
      <c r="I309" s="9">
        <v>200</v>
      </c>
      <c r="J309" s="102"/>
      <c r="K309" s="102"/>
      <c r="L309" s="105">
        <v>20201118</v>
      </c>
    </row>
    <row r="310" spans="1:12">
      <c r="A310" s="2" t="s">
        <v>1724</v>
      </c>
      <c r="B310" s="102" t="s">
        <v>2469</v>
      </c>
      <c r="C310" s="9" t="s">
        <v>3076</v>
      </c>
      <c r="D310" s="9" t="s">
        <v>3077</v>
      </c>
      <c r="E310" s="102">
        <v>2020</v>
      </c>
      <c r="F310" s="102">
        <v>2020</v>
      </c>
      <c r="G310" s="9" t="s">
        <v>2480</v>
      </c>
      <c r="H310" s="9">
        <v>200</v>
      </c>
      <c r="I310" s="9">
        <v>200</v>
      </c>
      <c r="J310" s="102"/>
      <c r="K310" s="102"/>
      <c r="L310" s="105">
        <v>20201118</v>
      </c>
    </row>
    <row r="311" spans="1:12">
      <c r="A311" s="2" t="s">
        <v>1727</v>
      </c>
      <c r="B311" s="102" t="s">
        <v>2469</v>
      </c>
      <c r="C311" s="9" t="s">
        <v>3078</v>
      </c>
      <c r="D311" s="9" t="s">
        <v>3079</v>
      </c>
      <c r="E311" s="102">
        <v>2020</v>
      </c>
      <c r="F311" s="102">
        <v>2020</v>
      </c>
      <c r="G311" s="9" t="s">
        <v>2480</v>
      </c>
      <c r="H311" s="9">
        <v>200</v>
      </c>
      <c r="I311" s="9">
        <v>200</v>
      </c>
      <c r="J311" s="102"/>
      <c r="K311" s="102"/>
      <c r="L311" s="105">
        <v>20201118</v>
      </c>
    </row>
    <row r="312" spans="1:12">
      <c r="A312" s="132" t="s">
        <v>1730</v>
      </c>
      <c r="B312" s="102" t="s">
        <v>2469</v>
      </c>
      <c r="C312" s="9" t="s">
        <v>3080</v>
      </c>
      <c r="D312" s="9" t="s">
        <v>3081</v>
      </c>
      <c r="E312" s="102">
        <v>2020</v>
      </c>
      <c r="F312" s="102">
        <v>2020</v>
      </c>
      <c r="G312" s="9" t="s">
        <v>2480</v>
      </c>
      <c r="H312" s="9">
        <v>200</v>
      </c>
      <c r="I312" s="9">
        <v>200</v>
      </c>
      <c r="J312" s="102"/>
      <c r="K312" s="102"/>
      <c r="L312" s="105">
        <v>20201118</v>
      </c>
    </row>
    <row r="313" spans="1:12">
      <c r="A313" s="2" t="s">
        <v>1733</v>
      </c>
      <c r="B313" s="102" t="s">
        <v>2469</v>
      </c>
      <c r="C313" s="9" t="s">
        <v>3082</v>
      </c>
      <c r="D313" s="9" t="s">
        <v>3083</v>
      </c>
      <c r="E313" s="102">
        <v>2020</v>
      </c>
      <c r="F313" s="102">
        <v>2020</v>
      </c>
      <c r="G313" s="9" t="s">
        <v>2480</v>
      </c>
      <c r="H313" s="9">
        <v>200</v>
      </c>
      <c r="I313" s="9">
        <v>200</v>
      </c>
      <c r="J313" s="102"/>
      <c r="K313" s="102"/>
      <c r="L313" s="105">
        <v>20201118</v>
      </c>
    </row>
    <row r="314" spans="1:12">
      <c r="A314" s="2" t="s">
        <v>1736</v>
      </c>
      <c r="B314" s="102" t="s">
        <v>2469</v>
      </c>
      <c r="C314" s="9" t="s">
        <v>3084</v>
      </c>
      <c r="D314" s="9" t="s">
        <v>3085</v>
      </c>
      <c r="E314" s="102">
        <v>2020</v>
      </c>
      <c r="F314" s="102">
        <v>2020</v>
      </c>
      <c r="G314" s="9" t="s">
        <v>2480</v>
      </c>
      <c r="H314" s="9">
        <v>200</v>
      </c>
      <c r="I314" s="9">
        <v>200</v>
      </c>
      <c r="J314" s="102"/>
      <c r="K314" s="102"/>
      <c r="L314" s="105">
        <v>20201118</v>
      </c>
    </row>
    <row r="315" spans="1:12">
      <c r="A315" s="2" t="s">
        <v>1739</v>
      </c>
      <c r="B315" s="102" t="s">
        <v>2469</v>
      </c>
      <c r="C315" s="9" t="s">
        <v>3086</v>
      </c>
      <c r="D315" s="9" t="s">
        <v>3087</v>
      </c>
      <c r="E315" s="102">
        <v>2020</v>
      </c>
      <c r="F315" s="102">
        <v>2020</v>
      </c>
      <c r="G315" s="9" t="s">
        <v>2480</v>
      </c>
      <c r="H315" s="9">
        <v>200</v>
      </c>
      <c r="I315" s="9">
        <v>200</v>
      </c>
      <c r="J315" s="102"/>
      <c r="K315" s="102"/>
      <c r="L315" s="105">
        <v>20201118</v>
      </c>
    </row>
    <row r="316" spans="1:12">
      <c r="A316" s="2" t="s">
        <v>1742</v>
      </c>
      <c r="B316" s="102" t="s">
        <v>2469</v>
      </c>
      <c r="C316" s="9" t="s">
        <v>3088</v>
      </c>
      <c r="D316" s="9" t="s">
        <v>3089</v>
      </c>
      <c r="E316" s="102">
        <v>2020</v>
      </c>
      <c r="F316" s="102">
        <v>2020</v>
      </c>
      <c r="G316" s="9" t="s">
        <v>2480</v>
      </c>
      <c r="H316" s="9">
        <v>200</v>
      </c>
      <c r="I316" s="9">
        <v>200</v>
      </c>
      <c r="J316" s="102"/>
      <c r="K316" s="102"/>
      <c r="L316" s="105">
        <v>20201118</v>
      </c>
    </row>
    <row r="317" spans="1:12">
      <c r="A317" s="132" t="s">
        <v>1745</v>
      </c>
      <c r="B317" s="102" t="s">
        <v>2469</v>
      </c>
      <c r="C317" s="9" t="s">
        <v>3090</v>
      </c>
      <c r="D317" s="9" t="s">
        <v>3091</v>
      </c>
      <c r="E317" s="102">
        <v>2020</v>
      </c>
      <c r="F317" s="102">
        <v>2020</v>
      </c>
      <c r="G317" s="9" t="s">
        <v>2480</v>
      </c>
      <c r="H317" s="9">
        <v>200</v>
      </c>
      <c r="I317" s="9">
        <v>200</v>
      </c>
      <c r="J317" s="102"/>
      <c r="K317" s="102"/>
      <c r="L317" s="105">
        <v>20201118</v>
      </c>
    </row>
    <row r="318" spans="1:12">
      <c r="A318" s="2" t="s">
        <v>1748</v>
      </c>
      <c r="B318" s="102" t="s">
        <v>2469</v>
      </c>
      <c r="C318" s="9" t="s">
        <v>3092</v>
      </c>
      <c r="D318" s="9" t="s">
        <v>3093</v>
      </c>
      <c r="E318" s="102">
        <v>2020</v>
      </c>
      <c r="F318" s="102">
        <v>2020</v>
      </c>
      <c r="G318" s="9" t="s">
        <v>2480</v>
      </c>
      <c r="H318" s="9">
        <v>200</v>
      </c>
      <c r="I318" s="9">
        <v>200</v>
      </c>
      <c r="J318" s="102"/>
      <c r="K318" s="102"/>
      <c r="L318" s="105">
        <v>20201118</v>
      </c>
    </row>
    <row r="319" spans="1:12">
      <c r="A319" s="2" t="s">
        <v>1751</v>
      </c>
      <c r="B319" s="102" t="s">
        <v>2469</v>
      </c>
      <c r="C319" s="9" t="s">
        <v>3094</v>
      </c>
      <c r="D319" s="9" t="s">
        <v>3095</v>
      </c>
      <c r="E319" s="102">
        <v>2020</v>
      </c>
      <c r="F319" s="102">
        <v>2020</v>
      </c>
      <c r="G319" s="9" t="s">
        <v>2480</v>
      </c>
      <c r="H319" s="9">
        <v>200</v>
      </c>
      <c r="I319" s="9">
        <v>200</v>
      </c>
      <c r="J319" s="102"/>
      <c r="K319" s="102"/>
      <c r="L319" s="105">
        <v>20201118</v>
      </c>
    </row>
    <row r="320" spans="1:12">
      <c r="A320" s="132" t="s">
        <v>1754</v>
      </c>
      <c r="B320" s="102" t="s">
        <v>2469</v>
      </c>
      <c r="C320" s="9" t="s">
        <v>3096</v>
      </c>
      <c r="D320" s="9" t="s">
        <v>3097</v>
      </c>
      <c r="E320" s="102">
        <v>2020</v>
      </c>
      <c r="F320" s="102">
        <v>2020</v>
      </c>
      <c r="G320" s="9" t="s">
        <v>2480</v>
      </c>
      <c r="H320" s="9">
        <v>200</v>
      </c>
      <c r="I320" s="9">
        <v>200</v>
      </c>
      <c r="J320" s="102"/>
      <c r="K320" s="102"/>
      <c r="L320" s="105">
        <v>20201118</v>
      </c>
    </row>
    <row r="321" spans="1:12">
      <c r="A321" s="2" t="s">
        <v>1757</v>
      </c>
      <c r="B321" s="102" t="s">
        <v>2469</v>
      </c>
      <c r="C321" s="9" t="s">
        <v>3098</v>
      </c>
      <c r="D321" s="9" t="s">
        <v>3099</v>
      </c>
      <c r="E321" s="102">
        <v>2020</v>
      </c>
      <c r="F321" s="102">
        <v>2020</v>
      </c>
      <c r="G321" s="9" t="s">
        <v>2480</v>
      </c>
      <c r="H321" s="9">
        <v>200</v>
      </c>
      <c r="I321" s="9">
        <v>200</v>
      </c>
      <c r="J321" s="102"/>
      <c r="K321" s="102"/>
      <c r="L321" s="105">
        <v>20201118</v>
      </c>
    </row>
    <row r="322" spans="1:12">
      <c r="A322" s="2" t="s">
        <v>1760</v>
      </c>
      <c r="B322" s="102" t="s">
        <v>2469</v>
      </c>
      <c r="C322" s="9" t="s">
        <v>3100</v>
      </c>
      <c r="D322" s="9" t="s">
        <v>3101</v>
      </c>
      <c r="E322" s="102">
        <v>2020</v>
      </c>
      <c r="F322" s="102">
        <v>2020</v>
      </c>
      <c r="G322" s="9" t="s">
        <v>2480</v>
      </c>
      <c r="H322" s="9">
        <v>200</v>
      </c>
      <c r="I322" s="9">
        <v>200</v>
      </c>
      <c r="J322" s="102"/>
      <c r="K322" s="102"/>
      <c r="L322" s="105">
        <v>20201118</v>
      </c>
    </row>
    <row r="323" spans="1:12">
      <c r="A323" s="2" t="s">
        <v>1762</v>
      </c>
      <c r="B323" s="102" t="s">
        <v>2469</v>
      </c>
      <c r="C323" s="9" t="s">
        <v>3102</v>
      </c>
      <c r="D323" s="9" t="s">
        <v>3103</v>
      </c>
      <c r="E323" s="102">
        <v>2020</v>
      </c>
      <c r="F323" s="102">
        <v>2020</v>
      </c>
      <c r="G323" s="9" t="s">
        <v>2480</v>
      </c>
      <c r="H323" s="9">
        <v>200</v>
      </c>
      <c r="I323" s="9">
        <v>200</v>
      </c>
      <c r="J323" s="102"/>
      <c r="K323" s="102"/>
      <c r="L323" s="105">
        <v>20201118</v>
      </c>
    </row>
    <row r="324" spans="1:12">
      <c r="A324" s="2" t="s">
        <v>1765</v>
      </c>
      <c r="B324" s="102" t="s">
        <v>2469</v>
      </c>
      <c r="C324" s="9" t="s">
        <v>3104</v>
      </c>
      <c r="D324" s="9" t="s">
        <v>3105</v>
      </c>
      <c r="E324" s="102">
        <v>2020</v>
      </c>
      <c r="F324" s="102">
        <v>2020</v>
      </c>
      <c r="G324" s="9" t="s">
        <v>2480</v>
      </c>
      <c r="H324" s="9">
        <v>200</v>
      </c>
      <c r="I324" s="9">
        <v>200</v>
      </c>
      <c r="J324" s="102"/>
      <c r="K324" s="102"/>
      <c r="L324" s="105">
        <v>20201118</v>
      </c>
    </row>
    <row r="325" spans="1:12">
      <c r="A325" s="132" t="s">
        <v>1768</v>
      </c>
      <c r="B325" s="102" t="s">
        <v>2469</v>
      </c>
      <c r="C325" s="9" t="s">
        <v>3106</v>
      </c>
      <c r="D325" s="9" t="s">
        <v>3107</v>
      </c>
      <c r="E325" s="102">
        <v>2020</v>
      </c>
      <c r="F325" s="102">
        <v>2020</v>
      </c>
      <c r="G325" s="9" t="s">
        <v>2480</v>
      </c>
      <c r="H325" s="9">
        <v>200</v>
      </c>
      <c r="I325" s="9">
        <v>200</v>
      </c>
      <c r="J325" s="102"/>
      <c r="K325" s="102"/>
      <c r="L325" s="105">
        <v>20201118</v>
      </c>
    </row>
    <row r="326" spans="1:12">
      <c r="A326" s="2" t="s">
        <v>1771</v>
      </c>
      <c r="B326" s="102" t="s">
        <v>2469</v>
      </c>
      <c r="C326" s="9" t="s">
        <v>3108</v>
      </c>
      <c r="D326" s="9" t="s">
        <v>3109</v>
      </c>
      <c r="E326" s="102">
        <v>2020</v>
      </c>
      <c r="F326" s="102">
        <v>2020</v>
      </c>
      <c r="G326" s="9" t="s">
        <v>2480</v>
      </c>
      <c r="H326" s="9">
        <v>200</v>
      </c>
      <c r="I326" s="9">
        <v>200</v>
      </c>
      <c r="J326" s="102"/>
      <c r="K326" s="102"/>
      <c r="L326" s="105">
        <v>20201118</v>
      </c>
    </row>
    <row r="327" spans="1:12">
      <c r="A327" s="2" t="s">
        <v>1774</v>
      </c>
      <c r="B327" s="102" t="s">
        <v>2469</v>
      </c>
      <c r="C327" s="9" t="s">
        <v>3110</v>
      </c>
      <c r="D327" s="9" t="s">
        <v>3111</v>
      </c>
      <c r="E327" s="102">
        <v>2020</v>
      </c>
      <c r="F327" s="102">
        <v>2020</v>
      </c>
      <c r="G327" s="9" t="s">
        <v>2480</v>
      </c>
      <c r="H327" s="9">
        <v>200</v>
      </c>
      <c r="I327" s="9">
        <v>200</v>
      </c>
      <c r="J327" s="102"/>
      <c r="K327" s="102"/>
      <c r="L327" s="105">
        <v>20201118</v>
      </c>
    </row>
    <row r="328" spans="1:12">
      <c r="A328" s="132" t="s">
        <v>1777</v>
      </c>
      <c r="B328" s="102" t="s">
        <v>2469</v>
      </c>
      <c r="C328" s="9" t="s">
        <v>3112</v>
      </c>
      <c r="D328" s="9" t="s">
        <v>3113</v>
      </c>
      <c r="E328" s="102">
        <v>2020</v>
      </c>
      <c r="F328" s="102">
        <v>2020</v>
      </c>
      <c r="G328" s="9" t="s">
        <v>2480</v>
      </c>
      <c r="H328" s="9">
        <v>200</v>
      </c>
      <c r="I328" s="9">
        <v>200</v>
      </c>
      <c r="J328" s="102"/>
      <c r="K328" s="102"/>
      <c r="L328" s="105">
        <v>20201118</v>
      </c>
    </row>
    <row r="329" spans="1:12">
      <c r="A329" s="2" t="s">
        <v>1780</v>
      </c>
      <c r="B329" s="102" t="s">
        <v>2469</v>
      </c>
      <c r="C329" s="9" t="s">
        <v>3114</v>
      </c>
      <c r="D329" s="9" t="s">
        <v>3115</v>
      </c>
      <c r="E329" s="102">
        <v>2020</v>
      </c>
      <c r="F329" s="102">
        <v>2020</v>
      </c>
      <c r="G329" s="9" t="s">
        <v>2480</v>
      </c>
      <c r="H329" s="9">
        <v>200</v>
      </c>
      <c r="I329" s="9">
        <v>200</v>
      </c>
      <c r="J329" s="102"/>
      <c r="K329" s="102"/>
      <c r="L329" s="105">
        <v>20201118</v>
      </c>
    </row>
    <row r="330" spans="1:12">
      <c r="A330" s="2" t="s">
        <v>1783</v>
      </c>
      <c r="B330" s="102" t="s">
        <v>2469</v>
      </c>
      <c r="C330" s="9" t="s">
        <v>3116</v>
      </c>
      <c r="D330" s="9" t="s">
        <v>3117</v>
      </c>
      <c r="E330" s="102">
        <v>2020</v>
      </c>
      <c r="F330" s="102">
        <v>2020</v>
      </c>
      <c r="G330" s="9" t="s">
        <v>2480</v>
      </c>
      <c r="H330" s="9">
        <v>200</v>
      </c>
      <c r="I330" s="9">
        <v>200</v>
      </c>
      <c r="J330" s="102"/>
      <c r="K330" s="102"/>
      <c r="L330" s="105">
        <v>20201118</v>
      </c>
    </row>
    <row r="331" spans="1:12">
      <c r="A331" s="2" t="s">
        <v>1786</v>
      </c>
      <c r="B331" s="102" t="s">
        <v>2469</v>
      </c>
      <c r="C331" s="9" t="s">
        <v>3118</v>
      </c>
      <c r="D331" s="9" t="s">
        <v>3119</v>
      </c>
      <c r="E331" s="102">
        <v>2020</v>
      </c>
      <c r="F331" s="102">
        <v>2020</v>
      </c>
      <c r="G331" s="9" t="s">
        <v>2480</v>
      </c>
      <c r="H331" s="9">
        <v>200</v>
      </c>
      <c r="I331" s="9">
        <v>200</v>
      </c>
      <c r="J331" s="102"/>
      <c r="K331" s="102"/>
      <c r="L331" s="105">
        <v>20201118</v>
      </c>
    </row>
    <row r="332" spans="1:12">
      <c r="A332" s="2" t="s">
        <v>1789</v>
      </c>
      <c r="B332" s="102" t="s">
        <v>2469</v>
      </c>
      <c r="C332" s="9" t="s">
        <v>3120</v>
      </c>
      <c r="D332" s="9" t="s">
        <v>3121</v>
      </c>
      <c r="E332" s="102">
        <v>2020</v>
      </c>
      <c r="F332" s="102">
        <v>2020</v>
      </c>
      <c r="G332" s="9" t="s">
        <v>2480</v>
      </c>
      <c r="H332" s="9">
        <v>200</v>
      </c>
      <c r="I332" s="9">
        <v>200</v>
      </c>
      <c r="J332" s="102"/>
      <c r="K332" s="102"/>
      <c r="L332" s="105">
        <v>20201118</v>
      </c>
    </row>
    <row r="333" spans="1:12">
      <c r="A333" s="132" t="s">
        <v>1792</v>
      </c>
      <c r="B333" s="102" t="s">
        <v>2469</v>
      </c>
      <c r="C333" s="9" t="s">
        <v>3122</v>
      </c>
      <c r="D333" s="9" t="s">
        <v>3123</v>
      </c>
      <c r="E333" s="102">
        <v>2020</v>
      </c>
      <c r="F333" s="102">
        <v>2020</v>
      </c>
      <c r="G333" s="9" t="s">
        <v>2480</v>
      </c>
      <c r="H333" s="9">
        <v>200</v>
      </c>
      <c r="I333" s="9">
        <v>200</v>
      </c>
      <c r="J333" s="102"/>
      <c r="K333" s="102"/>
      <c r="L333" s="105">
        <v>20201118</v>
      </c>
    </row>
    <row r="334" spans="1:12">
      <c r="A334" s="2" t="s">
        <v>1795</v>
      </c>
      <c r="B334" s="102" t="s">
        <v>2469</v>
      </c>
      <c r="C334" s="9" t="s">
        <v>3124</v>
      </c>
      <c r="D334" s="9" t="s">
        <v>3125</v>
      </c>
      <c r="E334" s="102">
        <v>2020</v>
      </c>
      <c r="F334" s="102">
        <v>2020</v>
      </c>
      <c r="G334" s="9" t="s">
        <v>2480</v>
      </c>
      <c r="H334" s="9">
        <v>200</v>
      </c>
      <c r="I334" s="9">
        <v>200</v>
      </c>
      <c r="J334" s="102"/>
      <c r="K334" s="102"/>
      <c r="L334" s="105">
        <v>20201118</v>
      </c>
    </row>
    <row r="335" spans="1:12">
      <c r="A335" s="2" t="s">
        <v>1798</v>
      </c>
      <c r="B335" s="102" t="s">
        <v>2469</v>
      </c>
      <c r="C335" s="9" t="s">
        <v>3126</v>
      </c>
      <c r="D335" s="9" t="s">
        <v>3127</v>
      </c>
      <c r="E335" s="102">
        <v>2020</v>
      </c>
      <c r="F335" s="102">
        <v>2020</v>
      </c>
      <c r="G335" s="9" t="s">
        <v>2480</v>
      </c>
      <c r="H335" s="9">
        <v>200</v>
      </c>
      <c r="I335" s="9">
        <v>200</v>
      </c>
      <c r="J335" s="102"/>
      <c r="K335" s="102"/>
      <c r="L335" s="105">
        <v>20201118</v>
      </c>
    </row>
    <row r="336" spans="1:12">
      <c r="A336" s="132" t="s">
        <v>1801</v>
      </c>
      <c r="B336" s="102" t="s">
        <v>2469</v>
      </c>
      <c r="C336" s="9" t="s">
        <v>3128</v>
      </c>
      <c r="D336" s="9" t="s">
        <v>3129</v>
      </c>
      <c r="E336" s="102">
        <v>2020</v>
      </c>
      <c r="F336" s="102">
        <v>2020</v>
      </c>
      <c r="G336" s="9" t="s">
        <v>2480</v>
      </c>
      <c r="H336" s="9">
        <v>200</v>
      </c>
      <c r="I336" s="9">
        <v>200</v>
      </c>
      <c r="J336" s="102"/>
      <c r="K336" s="102"/>
      <c r="L336" s="105">
        <v>20201118</v>
      </c>
    </row>
    <row r="337" spans="1:12">
      <c r="A337" s="2" t="s">
        <v>1804</v>
      </c>
      <c r="B337" s="102" t="s">
        <v>2469</v>
      </c>
      <c r="C337" s="9" t="s">
        <v>3130</v>
      </c>
      <c r="D337" s="9" t="s">
        <v>3131</v>
      </c>
      <c r="E337" s="102">
        <v>2020</v>
      </c>
      <c r="F337" s="102">
        <v>2020</v>
      </c>
      <c r="G337" s="9" t="s">
        <v>2480</v>
      </c>
      <c r="H337" s="9">
        <v>200</v>
      </c>
      <c r="I337" s="9">
        <v>200</v>
      </c>
      <c r="J337" s="102"/>
      <c r="K337" s="102"/>
      <c r="L337" s="105">
        <v>20201118</v>
      </c>
    </row>
    <row r="338" spans="1:12">
      <c r="A338" s="2" t="s">
        <v>1807</v>
      </c>
      <c r="B338" s="102" t="s">
        <v>2469</v>
      </c>
      <c r="C338" s="9" t="s">
        <v>3132</v>
      </c>
      <c r="D338" s="9" t="s">
        <v>3133</v>
      </c>
      <c r="E338" s="102">
        <v>2020</v>
      </c>
      <c r="F338" s="102">
        <v>2020</v>
      </c>
      <c r="G338" s="9" t="s">
        <v>2480</v>
      </c>
      <c r="H338" s="9">
        <v>200</v>
      </c>
      <c r="I338" s="9">
        <v>200</v>
      </c>
      <c r="J338" s="102"/>
      <c r="K338" s="102"/>
      <c r="L338" s="105">
        <v>20201118</v>
      </c>
    </row>
    <row r="339" spans="1:12">
      <c r="A339" s="2" t="s">
        <v>1810</v>
      </c>
      <c r="B339" s="102" t="s">
        <v>2469</v>
      </c>
      <c r="C339" s="9" t="s">
        <v>3134</v>
      </c>
      <c r="D339" s="9" t="s">
        <v>3135</v>
      </c>
      <c r="E339" s="102">
        <v>2020</v>
      </c>
      <c r="F339" s="102">
        <v>2020</v>
      </c>
      <c r="G339" s="9" t="s">
        <v>2480</v>
      </c>
      <c r="H339" s="9">
        <v>200</v>
      </c>
      <c r="I339" s="9">
        <v>200</v>
      </c>
      <c r="J339" s="102"/>
      <c r="K339" s="102"/>
      <c r="L339" s="105">
        <v>20201118</v>
      </c>
    </row>
    <row r="340" spans="1:12">
      <c r="A340" s="2" t="s">
        <v>1813</v>
      </c>
      <c r="B340" s="102" t="s">
        <v>2469</v>
      </c>
      <c r="C340" s="9" t="s">
        <v>3136</v>
      </c>
      <c r="D340" s="9" t="s">
        <v>3137</v>
      </c>
      <c r="E340" s="102">
        <v>2020</v>
      </c>
      <c r="F340" s="102">
        <v>2020</v>
      </c>
      <c r="G340" s="9" t="s">
        <v>2480</v>
      </c>
      <c r="H340" s="9">
        <v>200</v>
      </c>
      <c r="I340" s="9">
        <v>200</v>
      </c>
      <c r="J340" s="102"/>
      <c r="K340" s="102"/>
      <c r="L340" s="105">
        <v>20201118</v>
      </c>
    </row>
    <row r="341" spans="1:12">
      <c r="A341" s="132" t="s">
        <v>1816</v>
      </c>
      <c r="B341" s="102" t="s">
        <v>2469</v>
      </c>
      <c r="C341" s="9" t="s">
        <v>3138</v>
      </c>
      <c r="D341" s="9" t="s">
        <v>3139</v>
      </c>
      <c r="E341" s="102">
        <v>2020</v>
      </c>
      <c r="F341" s="102">
        <v>2020</v>
      </c>
      <c r="G341" s="9" t="s">
        <v>2480</v>
      </c>
      <c r="H341" s="9">
        <v>200</v>
      </c>
      <c r="I341" s="9">
        <v>200</v>
      </c>
      <c r="J341" s="102"/>
      <c r="K341" s="102"/>
      <c r="L341" s="105">
        <v>20201118</v>
      </c>
    </row>
    <row r="342" spans="1:12">
      <c r="A342" s="2" t="s">
        <v>1819</v>
      </c>
      <c r="B342" s="102" t="s">
        <v>2469</v>
      </c>
      <c r="C342" s="9" t="s">
        <v>3140</v>
      </c>
      <c r="D342" s="9" t="s">
        <v>3141</v>
      </c>
      <c r="E342" s="102">
        <v>2020</v>
      </c>
      <c r="F342" s="102">
        <v>2020</v>
      </c>
      <c r="G342" s="9" t="s">
        <v>2480</v>
      </c>
      <c r="H342" s="9">
        <v>200</v>
      </c>
      <c r="I342" s="9">
        <v>200</v>
      </c>
      <c r="J342" s="102"/>
      <c r="K342" s="102"/>
      <c r="L342" s="105">
        <v>20201118</v>
      </c>
    </row>
    <row r="343" spans="1:12">
      <c r="A343" s="2" t="s">
        <v>1822</v>
      </c>
      <c r="B343" s="102" t="s">
        <v>2469</v>
      </c>
      <c r="C343" s="9" t="s">
        <v>3142</v>
      </c>
      <c r="D343" s="9" t="s">
        <v>3143</v>
      </c>
      <c r="E343" s="102">
        <v>2020</v>
      </c>
      <c r="F343" s="102">
        <v>2020</v>
      </c>
      <c r="G343" s="9" t="s">
        <v>2480</v>
      </c>
      <c r="H343" s="9">
        <v>200</v>
      </c>
      <c r="I343" s="9">
        <v>200</v>
      </c>
      <c r="J343" s="102"/>
      <c r="K343" s="102"/>
      <c r="L343" s="105">
        <v>20201118</v>
      </c>
    </row>
    <row r="344" spans="1:12">
      <c r="A344" s="132" t="s">
        <v>1824</v>
      </c>
      <c r="B344" s="102" t="s">
        <v>2469</v>
      </c>
      <c r="C344" s="9" t="s">
        <v>3144</v>
      </c>
      <c r="D344" s="9" t="s">
        <v>3145</v>
      </c>
      <c r="E344" s="102">
        <v>2020</v>
      </c>
      <c r="F344" s="102">
        <v>2020</v>
      </c>
      <c r="G344" s="9" t="s">
        <v>2480</v>
      </c>
      <c r="H344" s="9">
        <v>200</v>
      </c>
      <c r="I344" s="9">
        <v>200</v>
      </c>
      <c r="J344" s="102"/>
      <c r="K344" s="102"/>
      <c r="L344" s="105">
        <v>20201118</v>
      </c>
    </row>
    <row r="345" spans="1:12">
      <c r="A345" s="2" t="s">
        <v>1827</v>
      </c>
      <c r="B345" s="102" t="s">
        <v>2469</v>
      </c>
      <c r="C345" s="9" t="s">
        <v>3146</v>
      </c>
      <c r="D345" s="9" t="s">
        <v>3147</v>
      </c>
      <c r="E345" s="102">
        <v>2020</v>
      </c>
      <c r="F345" s="102">
        <v>2020</v>
      </c>
      <c r="G345" s="9" t="s">
        <v>2480</v>
      </c>
      <c r="H345" s="9">
        <v>200</v>
      </c>
      <c r="I345" s="9">
        <v>200</v>
      </c>
      <c r="J345" s="102"/>
      <c r="K345" s="102"/>
      <c r="L345" s="105">
        <v>20201118</v>
      </c>
    </row>
    <row r="346" spans="1:12">
      <c r="A346" s="2" t="s">
        <v>1830</v>
      </c>
      <c r="B346" s="102" t="s">
        <v>2469</v>
      </c>
      <c r="C346" s="9" t="s">
        <v>3148</v>
      </c>
      <c r="D346" s="9" t="s">
        <v>3149</v>
      </c>
      <c r="E346" s="102">
        <v>2020</v>
      </c>
      <c r="F346" s="102">
        <v>2020</v>
      </c>
      <c r="G346" s="9" t="s">
        <v>2480</v>
      </c>
      <c r="H346" s="9">
        <v>200</v>
      </c>
      <c r="I346" s="9">
        <v>200</v>
      </c>
      <c r="J346" s="102"/>
      <c r="K346" s="102"/>
      <c r="L346" s="105">
        <v>20201118</v>
      </c>
    </row>
    <row r="347" spans="1:12">
      <c r="A347" s="2" t="s">
        <v>1833</v>
      </c>
      <c r="B347" s="102" t="s">
        <v>2469</v>
      </c>
      <c r="C347" s="9" t="s">
        <v>3150</v>
      </c>
      <c r="D347" s="9" t="s">
        <v>3151</v>
      </c>
      <c r="E347" s="102">
        <v>2020</v>
      </c>
      <c r="F347" s="102">
        <v>2020</v>
      </c>
      <c r="G347" s="9" t="s">
        <v>2480</v>
      </c>
      <c r="H347" s="9">
        <v>200</v>
      </c>
      <c r="I347" s="9">
        <v>200</v>
      </c>
      <c r="J347" s="102"/>
      <c r="K347" s="102"/>
      <c r="L347" s="105">
        <v>20201118</v>
      </c>
    </row>
    <row r="348" spans="1:12">
      <c r="A348" s="2" t="s">
        <v>1836</v>
      </c>
      <c r="B348" s="102" t="s">
        <v>2469</v>
      </c>
      <c r="C348" s="9" t="s">
        <v>3152</v>
      </c>
      <c r="D348" s="9" t="s">
        <v>3153</v>
      </c>
      <c r="E348" s="102">
        <v>2020</v>
      </c>
      <c r="F348" s="102">
        <v>2020</v>
      </c>
      <c r="G348" s="9" t="s">
        <v>2480</v>
      </c>
      <c r="H348" s="9">
        <v>200</v>
      </c>
      <c r="I348" s="9">
        <v>200</v>
      </c>
      <c r="J348" s="102"/>
      <c r="K348" s="102"/>
      <c r="L348" s="105">
        <v>20201118</v>
      </c>
    </row>
    <row r="349" spans="1:12">
      <c r="A349" s="132" t="s">
        <v>1839</v>
      </c>
      <c r="B349" s="102" t="s">
        <v>2469</v>
      </c>
      <c r="C349" s="9" t="s">
        <v>3154</v>
      </c>
      <c r="D349" s="9" t="s">
        <v>3155</v>
      </c>
      <c r="E349" s="102">
        <v>2020</v>
      </c>
      <c r="F349" s="102">
        <v>2020</v>
      </c>
      <c r="G349" s="9" t="s">
        <v>2480</v>
      </c>
      <c r="H349" s="9">
        <v>200</v>
      </c>
      <c r="I349" s="9">
        <v>200</v>
      </c>
      <c r="J349" s="102"/>
      <c r="K349" s="102"/>
      <c r="L349" s="105">
        <v>20201118</v>
      </c>
    </row>
    <row r="350" spans="1:12">
      <c r="A350" s="2" t="s">
        <v>1842</v>
      </c>
      <c r="B350" s="102" t="s">
        <v>2469</v>
      </c>
      <c r="C350" s="9" t="s">
        <v>3156</v>
      </c>
      <c r="D350" s="9" t="s">
        <v>3157</v>
      </c>
      <c r="E350" s="102">
        <v>2020</v>
      </c>
      <c r="F350" s="102">
        <v>2020</v>
      </c>
      <c r="G350" s="9" t="s">
        <v>2480</v>
      </c>
      <c r="H350" s="9">
        <v>200</v>
      </c>
      <c r="I350" s="9">
        <v>200</v>
      </c>
      <c r="J350" s="102"/>
      <c r="K350" s="102"/>
      <c r="L350" s="105">
        <v>20201118</v>
      </c>
    </row>
    <row r="351" spans="1:12">
      <c r="A351" s="2" t="s">
        <v>1845</v>
      </c>
      <c r="B351" s="102" t="s">
        <v>2469</v>
      </c>
      <c r="C351" s="9" t="s">
        <v>3158</v>
      </c>
      <c r="D351" s="9" t="s">
        <v>3159</v>
      </c>
      <c r="E351" s="102">
        <v>2020</v>
      </c>
      <c r="F351" s="102">
        <v>2020</v>
      </c>
      <c r="G351" s="9" t="s">
        <v>2480</v>
      </c>
      <c r="H351" s="9">
        <v>200</v>
      </c>
      <c r="I351" s="9">
        <v>200</v>
      </c>
      <c r="J351" s="102"/>
      <c r="K351" s="102"/>
      <c r="L351" s="105">
        <v>20201118</v>
      </c>
    </row>
    <row r="352" spans="1:12">
      <c r="A352" s="132" t="s">
        <v>1848</v>
      </c>
      <c r="B352" s="102" t="s">
        <v>2469</v>
      </c>
      <c r="C352" s="9" t="s">
        <v>1438</v>
      </c>
      <c r="D352" s="9" t="s">
        <v>3160</v>
      </c>
      <c r="E352" s="102">
        <v>2020</v>
      </c>
      <c r="F352" s="102">
        <v>2020</v>
      </c>
      <c r="G352" s="9" t="s">
        <v>2480</v>
      </c>
      <c r="H352" s="9">
        <v>200</v>
      </c>
      <c r="I352" s="9">
        <v>200</v>
      </c>
      <c r="J352" s="102"/>
      <c r="K352" s="102"/>
      <c r="L352" s="105">
        <v>20201118</v>
      </c>
    </row>
    <row r="353" spans="1:12">
      <c r="A353" s="2" t="s">
        <v>1851</v>
      </c>
      <c r="B353" s="102" t="s">
        <v>2469</v>
      </c>
      <c r="C353" s="9" t="s">
        <v>3161</v>
      </c>
      <c r="D353" s="9" t="s">
        <v>3162</v>
      </c>
      <c r="E353" s="102">
        <v>2020</v>
      </c>
      <c r="F353" s="102">
        <v>2020</v>
      </c>
      <c r="G353" s="9" t="s">
        <v>2480</v>
      </c>
      <c r="H353" s="9">
        <v>200</v>
      </c>
      <c r="I353" s="9">
        <v>200</v>
      </c>
      <c r="J353" s="102"/>
      <c r="K353" s="102"/>
      <c r="L353" s="105">
        <v>20201118</v>
      </c>
    </row>
    <row r="354" spans="1:12">
      <c r="A354" s="2" t="s">
        <v>1854</v>
      </c>
      <c r="B354" s="102" t="s">
        <v>2469</v>
      </c>
      <c r="C354" s="9" t="s">
        <v>3163</v>
      </c>
      <c r="D354" s="9" t="s">
        <v>3164</v>
      </c>
      <c r="E354" s="102">
        <v>2020</v>
      </c>
      <c r="F354" s="102">
        <v>2020</v>
      </c>
      <c r="G354" s="9" t="s">
        <v>2480</v>
      </c>
      <c r="H354" s="9">
        <v>200</v>
      </c>
      <c r="I354" s="9">
        <v>200</v>
      </c>
      <c r="J354" s="102"/>
      <c r="K354" s="102"/>
      <c r="L354" s="105">
        <v>20201118</v>
      </c>
    </row>
    <row r="355" spans="1:12">
      <c r="A355" s="2" t="s">
        <v>1857</v>
      </c>
      <c r="B355" s="102" t="s">
        <v>2469</v>
      </c>
      <c r="C355" s="9" t="s">
        <v>3165</v>
      </c>
      <c r="D355" s="9" t="s">
        <v>3166</v>
      </c>
      <c r="E355" s="102">
        <v>2020</v>
      </c>
      <c r="F355" s="102">
        <v>2020</v>
      </c>
      <c r="G355" s="9" t="s">
        <v>2480</v>
      </c>
      <c r="H355" s="9">
        <v>200</v>
      </c>
      <c r="I355" s="9">
        <v>200</v>
      </c>
      <c r="J355" s="102"/>
      <c r="K355" s="102"/>
      <c r="L355" s="105">
        <v>20201118</v>
      </c>
    </row>
    <row r="356" spans="1:12">
      <c r="A356" s="2" t="s">
        <v>1860</v>
      </c>
      <c r="B356" s="102" t="s">
        <v>2469</v>
      </c>
      <c r="C356" s="9" t="s">
        <v>3167</v>
      </c>
      <c r="D356" s="9" t="s">
        <v>3168</v>
      </c>
      <c r="E356" s="102">
        <v>2020</v>
      </c>
      <c r="F356" s="102">
        <v>2020</v>
      </c>
      <c r="G356" s="9" t="s">
        <v>2480</v>
      </c>
      <c r="H356" s="9">
        <v>200</v>
      </c>
      <c r="I356" s="9">
        <v>200</v>
      </c>
      <c r="J356" s="102"/>
      <c r="K356" s="102"/>
      <c r="L356" s="105">
        <v>20201118</v>
      </c>
    </row>
    <row r="357" spans="1:12">
      <c r="A357" s="132" t="s">
        <v>1863</v>
      </c>
      <c r="B357" s="102" t="s">
        <v>2469</v>
      </c>
      <c r="C357" s="9" t="s">
        <v>3169</v>
      </c>
      <c r="D357" s="9" t="s">
        <v>3170</v>
      </c>
      <c r="E357" s="102">
        <v>2020</v>
      </c>
      <c r="F357" s="102">
        <v>2020</v>
      </c>
      <c r="G357" s="9" t="s">
        <v>2480</v>
      </c>
      <c r="H357" s="9">
        <v>200</v>
      </c>
      <c r="I357" s="9">
        <v>200</v>
      </c>
      <c r="J357" s="102"/>
      <c r="K357" s="102"/>
      <c r="L357" s="105">
        <v>20201118</v>
      </c>
    </row>
    <row r="358" spans="1:12">
      <c r="A358" s="2" t="s">
        <v>1866</v>
      </c>
      <c r="B358" s="102" t="s">
        <v>2469</v>
      </c>
      <c r="C358" s="9" t="s">
        <v>3171</v>
      </c>
      <c r="D358" s="9" t="s">
        <v>3172</v>
      </c>
      <c r="E358" s="102">
        <v>2020</v>
      </c>
      <c r="F358" s="102">
        <v>2020</v>
      </c>
      <c r="G358" s="9" t="s">
        <v>2480</v>
      </c>
      <c r="H358" s="9">
        <v>200</v>
      </c>
      <c r="I358" s="9">
        <v>200</v>
      </c>
      <c r="J358" s="102"/>
      <c r="K358" s="102"/>
      <c r="L358" s="105">
        <v>20201118</v>
      </c>
    </row>
    <row r="359" spans="1:12">
      <c r="A359" s="2" t="s">
        <v>1869</v>
      </c>
      <c r="B359" s="102" t="s">
        <v>2469</v>
      </c>
      <c r="C359" s="9" t="s">
        <v>3173</v>
      </c>
      <c r="D359" s="9" t="s">
        <v>3174</v>
      </c>
      <c r="E359" s="102">
        <v>2020</v>
      </c>
      <c r="F359" s="102">
        <v>2020</v>
      </c>
      <c r="G359" s="9" t="s">
        <v>2480</v>
      </c>
      <c r="H359" s="9">
        <v>200</v>
      </c>
      <c r="I359" s="9">
        <v>200</v>
      </c>
      <c r="J359" s="102"/>
      <c r="K359" s="102"/>
      <c r="L359" s="105">
        <v>20201118</v>
      </c>
    </row>
    <row r="360" spans="1:12">
      <c r="A360" s="132" t="s">
        <v>1872</v>
      </c>
      <c r="B360" s="102" t="s">
        <v>2469</v>
      </c>
      <c r="C360" s="9" t="s">
        <v>3175</v>
      </c>
      <c r="D360" s="9" t="s">
        <v>3176</v>
      </c>
      <c r="E360" s="102">
        <v>2020</v>
      </c>
      <c r="F360" s="102">
        <v>2020</v>
      </c>
      <c r="G360" s="9" t="s">
        <v>2480</v>
      </c>
      <c r="H360" s="9">
        <v>200</v>
      </c>
      <c r="I360" s="9">
        <v>200</v>
      </c>
      <c r="J360" s="102"/>
      <c r="K360" s="102"/>
      <c r="L360" s="105">
        <v>20201118</v>
      </c>
    </row>
    <row r="361" spans="1:12">
      <c r="A361" s="2" t="s">
        <v>1875</v>
      </c>
      <c r="B361" s="102" t="s">
        <v>2469</v>
      </c>
      <c r="C361" s="9" t="s">
        <v>3177</v>
      </c>
      <c r="D361" s="9" t="s">
        <v>3178</v>
      </c>
      <c r="E361" s="102">
        <v>2020</v>
      </c>
      <c r="F361" s="102">
        <v>2020</v>
      </c>
      <c r="G361" s="9" t="s">
        <v>2480</v>
      </c>
      <c r="H361" s="9">
        <v>200</v>
      </c>
      <c r="I361" s="9">
        <v>200</v>
      </c>
      <c r="J361" s="102"/>
      <c r="K361" s="102"/>
      <c r="L361" s="105">
        <v>20201118</v>
      </c>
    </row>
    <row r="362" spans="1:12">
      <c r="A362" s="2" t="s">
        <v>1878</v>
      </c>
      <c r="B362" s="102" t="s">
        <v>2469</v>
      </c>
      <c r="C362" s="9" t="s">
        <v>3179</v>
      </c>
      <c r="D362" s="9" t="s">
        <v>3180</v>
      </c>
      <c r="E362" s="102">
        <v>2020</v>
      </c>
      <c r="F362" s="102">
        <v>2020</v>
      </c>
      <c r="G362" s="9" t="s">
        <v>2480</v>
      </c>
      <c r="H362" s="9">
        <v>200</v>
      </c>
      <c r="I362" s="9">
        <v>200</v>
      </c>
      <c r="J362" s="102"/>
      <c r="K362" s="102"/>
      <c r="L362" s="105">
        <v>20201118</v>
      </c>
    </row>
    <row r="363" spans="1:12">
      <c r="A363" s="2" t="s">
        <v>1881</v>
      </c>
      <c r="B363" s="102" t="s">
        <v>2469</v>
      </c>
      <c r="C363" s="9" t="s">
        <v>3181</v>
      </c>
      <c r="D363" s="9" t="s">
        <v>3182</v>
      </c>
      <c r="E363" s="102">
        <v>2020</v>
      </c>
      <c r="F363" s="102">
        <v>2020</v>
      </c>
      <c r="G363" s="9" t="s">
        <v>2480</v>
      </c>
      <c r="H363" s="9">
        <v>200</v>
      </c>
      <c r="I363" s="9">
        <v>200</v>
      </c>
      <c r="J363" s="102"/>
      <c r="K363" s="102"/>
      <c r="L363" s="105">
        <v>20201118</v>
      </c>
    </row>
    <row r="364" spans="1:12">
      <c r="A364" s="2" t="s">
        <v>1884</v>
      </c>
      <c r="B364" s="102" t="s">
        <v>2469</v>
      </c>
      <c r="C364" s="9" t="s">
        <v>3183</v>
      </c>
      <c r="D364" s="9" t="s">
        <v>3184</v>
      </c>
      <c r="E364" s="102">
        <v>2020</v>
      </c>
      <c r="F364" s="102">
        <v>2020</v>
      </c>
      <c r="G364" s="9" t="s">
        <v>2480</v>
      </c>
      <c r="H364" s="9">
        <v>200</v>
      </c>
      <c r="I364" s="9">
        <v>200</v>
      </c>
      <c r="J364" s="102"/>
      <c r="K364" s="102"/>
      <c r="L364" s="105">
        <v>20201118</v>
      </c>
    </row>
    <row r="365" spans="1:12">
      <c r="A365" s="132" t="s">
        <v>1887</v>
      </c>
      <c r="B365" s="102" t="s">
        <v>2469</v>
      </c>
      <c r="C365" s="9" t="s">
        <v>3185</v>
      </c>
      <c r="D365" s="9" t="s">
        <v>3186</v>
      </c>
      <c r="E365" s="102">
        <v>2020</v>
      </c>
      <c r="F365" s="102">
        <v>2020</v>
      </c>
      <c r="G365" s="9" t="s">
        <v>2480</v>
      </c>
      <c r="H365" s="9">
        <v>200</v>
      </c>
      <c r="I365" s="9">
        <v>200</v>
      </c>
      <c r="J365" s="102"/>
      <c r="K365" s="102"/>
      <c r="L365" s="105">
        <v>20201118</v>
      </c>
    </row>
    <row r="366" spans="1:12">
      <c r="A366" s="2" t="s">
        <v>1890</v>
      </c>
      <c r="B366" s="102" t="s">
        <v>2469</v>
      </c>
      <c r="C366" s="9" t="s">
        <v>2532</v>
      </c>
      <c r="D366" s="9" t="s">
        <v>3187</v>
      </c>
      <c r="E366" s="102">
        <v>2020</v>
      </c>
      <c r="F366" s="102">
        <v>2020</v>
      </c>
      <c r="G366" s="9" t="s">
        <v>2480</v>
      </c>
      <c r="H366" s="9">
        <v>200</v>
      </c>
      <c r="I366" s="9">
        <v>200</v>
      </c>
      <c r="J366" s="102"/>
      <c r="K366" s="102"/>
      <c r="L366" s="105">
        <v>20201118</v>
      </c>
    </row>
    <row r="367" spans="1:12">
      <c r="A367" s="2" t="s">
        <v>1893</v>
      </c>
      <c r="B367" s="102" t="s">
        <v>2469</v>
      </c>
      <c r="C367" s="9" t="s">
        <v>3188</v>
      </c>
      <c r="D367" s="9" t="s">
        <v>3189</v>
      </c>
      <c r="E367" s="102">
        <v>2020</v>
      </c>
      <c r="F367" s="102">
        <v>2020</v>
      </c>
      <c r="G367" s="9" t="s">
        <v>2480</v>
      </c>
      <c r="H367" s="9">
        <v>200</v>
      </c>
      <c r="I367" s="9">
        <v>200</v>
      </c>
      <c r="J367" s="102"/>
      <c r="K367" s="102"/>
      <c r="L367" s="105">
        <v>20201118</v>
      </c>
    </row>
    <row r="368" spans="1:12">
      <c r="A368" s="132" t="s">
        <v>1896</v>
      </c>
      <c r="B368" s="102" t="s">
        <v>2469</v>
      </c>
      <c r="C368" s="9" t="s">
        <v>3190</v>
      </c>
      <c r="D368" s="9" t="s">
        <v>3191</v>
      </c>
      <c r="E368" s="102">
        <v>2020</v>
      </c>
      <c r="F368" s="102">
        <v>2020</v>
      </c>
      <c r="G368" s="9" t="s">
        <v>2480</v>
      </c>
      <c r="H368" s="9">
        <v>200</v>
      </c>
      <c r="I368" s="9">
        <v>200</v>
      </c>
      <c r="J368" s="102"/>
      <c r="K368" s="102"/>
      <c r="L368" s="105">
        <v>20201118</v>
      </c>
    </row>
    <row r="369" spans="1:12">
      <c r="A369" s="2" t="s">
        <v>1899</v>
      </c>
      <c r="B369" s="102" t="s">
        <v>2469</v>
      </c>
      <c r="C369" s="9" t="s">
        <v>3192</v>
      </c>
      <c r="D369" s="9" t="s">
        <v>3193</v>
      </c>
      <c r="E369" s="102">
        <v>2020</v>
      </c>
      <c r="F369" s="102">
        <v>2020</v>
      </c>
      <c r="G369" s="9" t="s">
        <v>2480</v>
      </c>
      <c r="H369" s="9">
        <v>200</v>
      </c>
      <c r="I369" s="9">
        <v>200</v>
      </c>
      <c r="J369" s="102"/>
      <c r="K369" s="102"/>
      <c r="L369" s="105">
        <v>20201118</v>
      </c>
    </row>
    <row r="370" spans="1:12">
      <c r="A370" s="2" t="s">
        <v>1902</v>
      </c>
      <c r="B370" s="102" t="s">
        <v>2469</v>
      </c>
      <c r="C370" s="9" t="s">
        <v>3194</v>
      </c>
      <c r="D370" s="9" t="s">
        <v>3195</v>
      </c>
      <c r="E370" s="102">
        <v>2020</v>
      </c>
      <c r="F370" s="102">
        <v>2020</v>
      </c>
      <c r="G370" s="9" t="s">
        <v>2480</v>
      </c>
      <c r="H370" s="9">
        <v>200</v>
      </c>
      <c r="I370" s="9">
        <v>200</v>
      </c>
      <c r="J370" s="102"/>
      <c r="K370" s="102"/>
      <c r="L370" s="105">
        <v>20201118</v>
      </c>
    </row>
    <row r="371" spans="1:12">
      <c r="A371" s="2" t="s">
        <v>1905</v>
      </c>
      <c r="B371" s="102" t="s">
        <v>2469</v>
      </c>
      <c r="C371" s="9" t="s">
        <v>3196</v>
      </c>
      <c r="D371" s="9" t="s">
        <v>3197</v>
      </c>
      <c r="E371" s="102">
        <v>2020</v>
      </c>
      <c r="F371" s="102">
        <v>2020</v>
      </c>
      <c r="G371" s="9" t="s">
        <v>2480</v>
      </c>
      <c r="H371" s="9">
        <v>200</v>
      </c>
      <c r="I371" s="9">
        <v>200</v>
      </c>
      <c r="J371" s="102"/>
      <c r="K371" s="102"/>
      <c r="L371" s="105">
        <v>20201118</v>
      </c>
    </row>
    <row r="372" spans="1:12">
      <c r="A372" s="2" t="s">
        <v>1908</v>
      </c>
      <c r="B372" s="102" t="s">
        <v>2469</v>
      </c>
      <c r="C372" s="9" t="s">
        <v>3198</v>
      </c>
      <c r="D372" s="9" t="s">
        <v>3199</v>
      </c>
      <c r="E372" s="102">
        <v>2020</v>
      </c>
      <c r="F372" s="102">
        <v>2020</v>
      </c>
      <c r="G372" s="9" t="s">
        <v>2480</v>
      </c>
      <c r="H372" s="9">
        <v>200</v>
      </c>
      <c r="I372" s="9">
        <v>200</v>
      </c>
      <c r="J372" s="102"/>
      <c r="K372" s="102"/>
      <c r="L372" s="105">
        <v>20201118</v>
      </c>
    </row>
    <row r="373" spans="1:12">
      <c r="A373" s="132" t="s">
        <v>1911</v>
      </c>
      <c r="B373" s="102" t="s">
        <v>2469</v>
      </c>
      <c r="C373" s="9" t="s">
        <v>3200</v>
      </c>
      <c r="D373" s="9" t="s">
        <v>3201</v>
      </c>
      <c r="E373" s="102">
        <v>2020</v>
      </c>
      <c r="F373" s="102">
        <v>2020</v>
      </c>
      <c r="G373" s="9" t="s">
        <v>2480</v>
      </c>
      <c r="H373" s="9">
        <v>200</v>
      </c>
      <c r="I373" s="9">
        <v>200</v>
      </c>
      <c r="J373" s="102"/>
      <c r="K373" s="102"/>
      <c r="L373" s="105">
        <v>20201118</v>
      </c>
    </row>
    <row r="374" spans="1:12">
      <c r="A374" s="2" t="s">
        <v>1914</v>
      </c>
      <c r="B374" s="102" t="s">
        <v>2469</v>
      </c>
      <c r="C374" s="9" t="s">
        <v>3202</v>
      </c>
      <c r="D374" s="9" t="s">
        <v>3203</v>
      </c>
      <c r="E374" s="102">
        <v>2020</v>
      </c>
      <c r="F374" s="102">
        <v>2020</v>
      </c>
      <c r="G374" s="9" t="s">
        <v>2480</v>
      </c>
      <c r="H374" s="9">
        <v>200</v>
      </c>
      <c r="I374" s="9">
        <v>200</v>
      </c>
      <c r="J374" s="102"/>
      <c r="K374" s="102"/>
      <c r="L374" s="105">
        <v>20201118</v>
      </c>
    </row>
    <row r="375" spans="1:12">
      <c r="A375" s="2" t="s">
        <v>1917</v>
      </c>
      <c r="B375" s="102" t="s">
        <v>2469</v>
      </c>
      <c r="C375" s="9" t="s">
        <v>3204</v>
      </c>
      <c r="D375" s="9" t="s">
        <v>3205</v>
      </c>
      <c r="E375" s="102">
        <v>2020</v>
      </c>
      <c r="F375" s="102">
        <v>2020</v>
      </c>
      <c r="G375" s="9" t="s">
        <v>2480</v>
      </c>
      <c r="H375" s="9">
        <v>200</v>
      </c>
      <c r="I375" s="9">
        <v>200</v>
      </c>
      <c r="J375" s="102"/>
      <c r="K375" s="102"/>
      <c r="L375" s="105">
        <v>20201118</v>
      </c>
    </row>
    <row r="376" spans="1:12">
      <c r="A376" s="132" t="s">
        <v>1920</v>
      </c>
      <c r="B376" s="102" t="s">
        <v>2469</v>
      </c>
      <c r="C376" s="9" t="s">
        <v>3206</v>
      </c>
      <c r="D376" s="9" t="s">
        <v>3207</v>
      </c>
      <c r="E376" s="102">
        <v>2020</v>
      </c>
      <c r="F376" s="102">
        <v>2020</v>
      </c>
      <c r="G376" s="9" t="s">
        <v>2480</v>
      </c>
      <c r="H376" s="9">
        <v>200</v>
      </c>
      <c r="I376" s="9">
        <v>200</v>
      </c>
      <c r="J376" s="102"/>
      <c r="K376" s="102"/>
      <c r="L376" s="105">
        <v>20201118</v>
      </c>
    </row>
    <row r="377" spans="1:12">
      <c r="A377" s="2" t="s">
        <v>1923</v>
      </c>
      <c r="B377" s="102" t="s">
        <v>2469</v>
      </c>
      <c r="C377" s="9" t="s">
        <v>3208</v>
      </c>
      <c r="D377" s="9" t="s">
        <v>3209</v>
      </c>
      <c r="E377" s="102">
        <v>2020</v>
      </c>
      <c r="F377" s="102">
        <v>2020</v>
      </c>
      <c r="G377" s="9" t="s">
        <v>2480</v>
      </c>
      <c r="H377" s="9">
        <v>200</v>
      </c>
      <c r="I377" s="9">
        <v>200</v>
      </c>
      <c r="J377" s="102"/>
      <c r="K377" s="102"/>
      <c r="L377" s="105">
        <v>20201118</v>
      </c>
    </row>
    <row r="378" spans="1:12">
      <c r="A378" s="2" t="s">
        <v>1926</v>
      </c>
      <c r="B378" s="102" t="s">
        <v>2469</v>
      </c>
      <c r="C378" s="9" t="s">
        <v>3210</v>
      </c>
      <c r="D378" s="9" t="s">
        <v>3211</v>
      </c>
      <c r="E378" s="102">
        <v>2020</v>
      </c>
      <c r="F378" s="102">
        <v>2020</v>
      </c>
      <c r="G378" s="9" t="s">
        <v>2480</v>
      </c>
      <c r="H378" s="9">
        <v>200</v>
      </c>
      <c r="I378" s="9">
        <v>200</v>
      </c>
      <c r="J378" s="102"/>
      <c r="K378" s="102"/>
      <c r="L378" s="105">
        <v>20201118</v>
      </c>
    </row>
    <row r="379" spans="1:12">
      <c r="A379" s="2" t="s">
        <v>1929</v>
      </c>
      <c r="B379" s="102" t="s">
        <v>2469</v>
      </c>
      <c r="C379" s="9" t="s">
        <v>3212</v>
      </c>
      <c r="D379" s="9" t="s">
        <v>3213</v>
      </c>
      <c r="E379" s="102">
        <v>2020</v>
      </c>
      <c r="F379" s="102">
        <v>2020</v>
      </c>
      <c r="G379" s="9" t="s">
        <v>2480</v>
      </c>
      <c r="H379" s="9">
        <v>500</v>
      </c>
      <c r="I379" s="9">
        <v>500</v>
      </c>
      <c r="J379" s="102"/>
      <c r="K379" s="102"/>
      <c r="L379" s="105">
        <v>20201118</v>
      </c>
    </row>
    <row r="380" spans="1:12">
      <c r="A380" s="2" t="s">
        <v>1932</v>
      </c>
      <c r="B380" s="102" t="s">
        <v>2469</v>
      </c>
      <c r="C380" s="9" t="s">
        <v>3214</v>
      </c>
      <c r="D380" s="9" t="s">
        <v>3215</v>
      </c>
      <c r="E380" s="102">
        <v>2020</v>
      </c>
      <c r="F380" s="102">
        <v>2020</v>
      </c>
      <c r="G380" s="9" t="s">
        <v>2480</v>
      </c>
      <c r="H380" s="9">
        <v>200</v>
      </c>
      <c r="I380" s="9">
        <v>200</v>
      </c>
      <c r="J380" s="102"/>
      <c r="K380" s="102"/>
      <c r="L380" s="105">
        <v>20201118</v>
      </c>
    </row>
    <row r="381" spans="1:12">
      <c r="A381" s="132" t="s">
        <v>1935</v>
      </c>
      <c r="B381" s="102" t="s">
        <v>2469</v>
      </c>
      <c r="C381" s="9" t="s">
        <v>3216</v>
      </c>
      <c r="D381" s="9" t="s">
        <v>3217</v>
      </c>
      <c r="E381" s="102">
        <v>2020</v>
      </c>
      <c r="F381" s="102">
        <v>2020</v>
      </c>
      <c r="G381" s="9" t="s">
        <v>2480</v>
      </c>
      <c r="H381" s="9">
        <v>200</v>
      </c>
      <c r="I381" s="9">
        <v>200</v>
      </c>
      <c r="J381" s="102"/>
      <c r="K381" s="102"/>
      <c r="L381" s="105">
        <v>20201118</v>
      </c>
    </row>
    <row r="382" spans="1:12">
      <c r="A382" s="2" t="s">
        <v>1938</v>
      </c>
      <c r="B382" s="102" t="s">
        <v>2469</v>
      </c>
      <c r="C382" s="9" t="s">
        <v>3218</v>
      </c>
      <c r="D382" s="9" t="s">
        <v>3219</v>
      </c>
      <c r="E382" s="102">
        <v>2020</v>
      </c>
      <c r="F382" s="102">
        <v>2020</v>
      </c>
      <c r="G382" s="9" t="s">
        <v>2480</v>
      </c>
      <c r="H382" s="9">
        <v>200</v>
      </c>
      <c r="I382" s="9">
        <v>200</v>
      </c>
      <c r="J382" s="102"/>
      <c r="K382" s="102"/>
      <c r="L382" s="105">
        <v>20201118</v>
      </c>
    </row>
    <row r="383" spans="1:12">
      <c r="A383" s="2" t="s">
        <v>1941</v>
      </c>
      <c r="B383" s="102" t="s">
        <v>2469</v>
      </c>
      <c r="C383" s="9" t="s">
        <v>3220</v>
      </c>
      <c r="D383" s="9" t="s">
        <v>3221</v>
      </c>
      <c r="E383" s="102">
        <v>2020</v>
      </c>
      <c r="F383" s="102">
        <v>2020</v>
      </c>
      <c r="G383" s="9" t="s">
        <v>2480</v>
      </c>
      <c r="H383" s="9">
        <v>200</v>
      </c>
      <c r="I383" s="9">
        <v>200</v>
      </c>
      <c r="J383" s="102"/>
      <c r="K383" s="102"/>
      <c r="L383" s="105">
        <v>20201118</v>
      </c>
    </row>
    <row r="384" spans="1:12">
      <c r="A384" s="132" t="s">
        <v>1944</v>
      </c>
      <c r="B384" s="102" t="s">
        <v>2469</v>
      </c>
      <c r="C384" s="9" t="s">
        <v>3222</v>
      </c>
      <c r="D384" s="9" t="s">
        <v>3223</v>
      </c>
      <c r="E384" s="102">
        <v>2020</v>
      </c>
      <c r="F384" s="102">
        <v>2020</v>
      </c>
      <c r="G384" s="9" t="s">
        <v>2480</v>
      </c>
      <c r="H384" s="9">
        <v>200</v>
      </c>
      <c r="I384" s="9">
        <v>200</v>
      </c>
      <c r="J384" s="102"/>
      <c r="K384" s="102"/>
      <c r="L384" s="105">
        <v>20201118</v>
      </c>
    </row>
    <row r="385" spans="1:12">
      <c r="A385" s="2" t="s">
        <v>1947</v>
      </c>
      <c r="B385" s="102" t="s">
        <v>2469</v>
      </c>
      <c r="C385" s="9" t="s">
        <v>3224</v>
      </c>
      <c r="D385" s="9" t="s">
        <v>3225</v>
      </c>
      <c r="E385" s="102">
        <v>2020</v>
      </c>
      <c r="F385" s="102">
        <v>2020</v>
      </c>
      <c r="G385" s="9" t="s">
        <v>2480</v>
      </c>
      <c r="H385" s="9">
        <v>200</v>
      </c>
      <c r="I385" s="9">
        <v>200</v>
      </c>
      <c r="J385" s="102"/>
      <c r="K385" s="102"/>
      <c r="L385" s="105">
        <v>20201118</v>
      </c>
    </row>
    <row r="386" spans="1:12">
      <c r="A386" s="2" t="s">
        <v>1950</v>
      </c>
      <c r="B386" s="102" t="s">
        <v>2469</v>
      </c>
      <c r="C386" s="9" t="s">
        <v>3226</v>
      </c>
      <c r="D386" s="9" t="s">
        <v>3227</v>
      </c>
      <c r="E386" s="102">
        <v>2020</v>
      </c>
      <c r="F386" s="102">
        <v>2020</v>
      </c>
      <c r="G386" s="9" t="s">
        <v>2480</v>
      </c>
      <c r="H386" s="9">
        <v>200</v>
      </c>
      <c r="I386" s="9">
        <v>200</v>
      </c>
      <c r="J386" s="102"/>
      <c r="K386" s="102"/>
      <c r="L386" s="105">
        <v>20201118</v>
      </c>
    </row>
    <row r="387" spans="1:12">
      <c r="A387" s="2" t="s">
        <v>1953</v>
      </c>
      <c r="B387" s="102" t="s">
        <v>2469</v>
      </c>
      <c r="C387" s="9" t="s">
        <v>3228</v>
      </c>
      <c r="D387" s="9" t="s">
        <v>3229</v>
      </c>
      <c r="E387" s="102">
        <v>2020</v>
      </c>
      <c r="F387" s="102">
        <v>2020</v>
      </c>
      <c r="G387" s="9" t="s">
        <v>2480</v>
      </c>
      <c r="H387" s="9">
        <v>200</v>
      </c>
      <c r="I387" s="9">
        <v>200</v>
      </c>
      <c r="J387" s="102"/>
      <c r="K387" s="102"/>
      <c r="L387" s="105">
        <v>20201118</v>
      </c>
    </row>
    <row r="388" spans="1:12">
      <c r="A388" s="2" t="s">
        <v>1956</v>
      </c>
      <c r="B388" s="102" t="s">
        <v>2469</v>
      </c>
      <c r="C388" s="9" t="s">
        <v>3230</v>
      </c>
      <c r="D388" s="9" t="s">
        <v>3231</v>
      </c>
      <c r="E388" s="102">
        <v>2020</v>
      </c>
      <c r="F388" s="102">
        <v>2020</v>
      </c>
      <c r="G388" s="9" t="s">
        <v>2480</v>
      </c>
      <c r="H388" s="9">
        <v>200</v>
      </c>
      <c r="I388" s="9">
        <v>200</v>
      </c>
      <c r="J388" s="102"/>
      <c r="K388" s="102"/>
      <c r="L388" s="105">
        <v>20201118</v>
      </c>
    </row>
    <row r="389" spans="1:12">
      <c r="A389" s="132" t="s">
        <v>1959</v>
      </c>
      <c r="B389" s="102" t="s">
        <v>2469</v>
      </c>
      <c r="C389" s="9" t="s">
        <v>3232</v>
      </c>
      <c r="D389" s="9" t="s">
        <v>3233</v>
      </c>
      <c r="E389" s="102">
        <v>2020</v>
      </c>
      <c r="F389" s="102">
        <v>2020</v>
      </c>
      <c r="G389" s="9" t="s">
        <v>2480</v>
      </c>
      <c r="H389" s="9">
        <v>200</v>
      </c>
      <c r="I389" s="9">
        <v>200</v>
      </c>
      <c r="J389" s="102"/>
      <c r="K389" s="102"/>
      <c r="L389" s="105">
        <v>20201118</v>
      </c>
    </row>
    <row r="390" spans="1:12">
      <c r="A390" s="2" t="s">
        <v>1962</v>
      </c>
      <c r="B390" s="102" t="s">
        <v>2469</v>
      </c>
      <c r="C390" s="9" t="s">
        <v>3234</v>
      </c>
      <c r="D390" s="9" t="s">
        <v>3235</v>
      </c>
      <c r="E390" s="102">
        <v>2020</v>
      </c>
      <c r="F390" s="102">
        <v>2020</v>
      </c>
      <c r="G390" s="9" t="s">
        <v>2480</v>
      </c>
      <c r="H390" s="9">
        <v>200</v>
      </c>
      <c r="I390" s="9">
        <v>200</v>
      </c>
      <c r="J390" s="102"/>
      <c r="K390" s="102"/>
      <c r="L390" s="105">
        <v>20201118</v>
      </c>
    </row>
    <row r="391" spans="1:12">
      <c r="A391" s="2" t="s">
        <v>1965</v>
      </c>
      <c r="B391" s="102" t="s">
        <v>2469</v>
      </c>
      <c r="C391" s="9" t="s">
        <v>3236</v>
      </c>
      <c r="D391" s="9" t="s">
        <v>3237</v>
      </c>
      <c r="E391" s="102">
        <v>2020</v>
      </c>
      <c r="F391" s="102">
        <v>2020</v>
      </c>
      <c r="G391" s="9" t="s">
        <v>2480</v>
      </c>
      <c r="H391" s="9">
        <v>200</v>
      </c>
      <c r="I391" s="9">
        <v>200</v>
      </c>
      <c r="J391" s="102"/>
      <c r="K391" s="102"/>
      <c r="L391" s="105">
        <v>20201118</v>
      </c>
    </row>
    <row r="392" spans="1:12">
      <c r="A392" s="132" t="s">
        <v>1968</v>
      </c>
      <c r="B392" s="102" t="s">
        <v>2469</v>
      </c>
      <c r="C392" s="9" t="s">
        <v>3238</v>
      </c>
      <c r="D392" s="9" t="s">
        <v>3239</v>
      </c>
      <c r="E392" s="102">
        <v>2020</v>
      </c>
      <c r="F392" s="102">
        <v>2020</v>
      </c>
      <c r="G392" s="9" t="s">
        <v>2480</v>
      </c>
      <c r="H392" s="9">
        <v>200</v>
      </c>
      <c r="I392" s="9">
        <v>200</v>
      </c>
      <c r="J392" s="102"/>
      <c r="K392" s="102"/>
      <c r="L392" s="105">
        <v>20201118</v>
      </c>
    </row>
    <row r="393" spans="1:12">
      <c r="A393" s="2" t="s">
        <v>1971</v>
      </c>
      <c r="B393" s="102" t="s">
        <v>2469</v>
      </c>
      <c r="C393" s="9" t="s">
        <v>3240</v>
      </c>
      <c r="D393" s="9" t="s">
        <v>3241</v>
      </c>
      <c r="E393" s="102">
        <v>2020</v>
      </c>
      <c r="F393" s="102">
        <v>2020</v>
      </c>
      <c r="G393" s="9" t="s">
        <v>2480</v>
      </c>
      <c r="H393" s="9">
        <v>200</v>
      </c>
      <c r="I393" s="9">
        <v>200</v>
      </c>
      <c r="J393" s="102"/>
      <c r="K393" s="102"/>
      <c r="L393" s="105">
        <v>20201118</v>
      </c>
    </row>
    <row r="394" spans="1:12">
      <c r="A394" s="2" t="s">
        <v>1974</v>
      </c>
      <c r="B394" s="102" t="s">
        <v>2469</v>
      </c>
      <c r="C394" s="9" t="s">
        <v>3242</v>
      </c>
      <c r="D394" s="9" t="s">
        <v>3243</v>
      </c>
      <c r="E394" s="102">
        <v>2020</v>
      </c>
      <c r="F394" s="102">
        <v>2020</v>
      </c>
      <c r="G394" s="9" t="s">
        <v>2480</v>
      </c>
      <c r="H394" s="9">
        <v>200</v>
      </c>
      <c r="I394" s="9">
        <v>200</v>
      </c>
      <c r="J394" s="102"/>
      <c r="K394" s="102"/>
      <c r="L394" s="105">
        <v>20201118</v>
      </c>
    </row>
    <row r="395" spans="1:12">
      <c r="A395" s="2" t="s">
        <v>1977</v>
      </c>
      <c r="B395" s="102" t="s">
        <v>2469</v>
      </c>
      <c r="C395" s="9" t="s">
        <v>3244</v>
      </c>
      <c r="D395" s="9" t="s">
        <v>3245</v>
      </c>
      <c r="E395" s="102">
        <v>2020</v>
      </c>
      <c r="F395" s="102">
        <v>2020</v>
      </c>
      <c r="G395" s="9" t="s">
        <v>2480</v>
      </c>
      <c r="H395" s="9">
        <v>200</v>
      </c>
      <c r="I395" s="9">
        <v>200</v>
      </c>
      <c r="J395" s="102"/>
      <c r="K395" s="102"/>
      <c r="L395" s="105">
        <v>20201118</v>
      </c>
    </row>
    <row r="396" spans="1:12">
      <c r="A396" s="2" t="s">
        <v>1980</v>
      </c>
      <c r="B396" s="102" t="s">
        <v>2469</v>
      </c>
      <c r="C396" s="9" t="s">
        <v>3246</v>
      </c>
      <c r="D396" s="9" t="s">
        <v>3247</v>
      </c>
      <c r="E396" s="102">
        <v>2020</v>
      </c>
      <c r="F396" s="102">
        <v>2020</v>
      </c>
      <c r="G396" s="9" t="s">
        <v>2480</v>
      </c>
      <c r="H396" s="9">
        <v>200</v>
      </c>
      <c r="I396" s="9">
        <v>200</v>
      </c>
      <c r="J396" s="102"/>
      <c r="K396" s="102"/>
      <c r="L396" s="105">
        <v>20201118</v>
      </c>
    </row>
    <row r="397" spans="1:12">
      <c r="A397" s="132" t="s">
        <v>1983</v>
      </c>
      <c r="B397" s="102" t="s">
        <v>2469</v>
      </c>
      <c r="C397" s="9" t="s">
        <v>3248</v>
      </c>
      <c r="D397" s="9" t="s">
        <v>3249</v>
      </c>
      <c r="E397" s="102">
        <v>2020</v>
      </c>
      <c r="F397" s="102">
        <v>2020</v>
      </c>
      <c r="G397" s="9" t="s">
        <v>2480</v>
      </c>
      <c r="H397" s="9">
        <v>200</v>
      </c>
      <c r="I397" s="9">
        <v>200</v>
      </c>
      <c r="J397" s="102"/>
      <c r="K397" s="102"/>
      <c r="L397" s="105">
        <v>20201118</v>
      </c>
    </row>
    <row r="398" spans="1:12">
      <c r="A398" s="2" t="s">
        <v>1986</v>
      </c>
      <c r="B398" s="102" t="s">
        <v>2469</v>
      </c>
      <c r="C398" s="9" t="s">
        <v>3250</v>
      </c>
      <c r="D398" s="9" t="s">
        <v>3251</v>
      </c>
      <c r="E398" s="102">
        <v>2020</v>
      </c>
      <c r="F398" s="102">
        <v>2020</v>
      </c>
      <c r="G398" s="9" t="s">
        <v>2480</v>
      </c>
      <c r="H398" s="9">
        <v>200</v>
      </c>
      <c r="I398" s="9">
        <v>200</v>
      </c>
      <c r="J398" s="102"/>
      <c r="K398" s="102"/>
      <c r="L398" s="105">
        <v>20201118</v>
      </c>
    </row>
    <row r="399" spans="1:12">
      <c r="A399" s="2" t="s">
        <v>1989</v>
      </c>
      <c r="B399" s="102" t="s">
        <v>2469</v>
      </c>
      <c r="C399" s="9" t="s">
        <v>3252</v>
      </c>
      <c r="D399" s="9" t="s">
        <v>3253</v>
      </c>
      <c r="E399" s="102">
        <v>2020</v>
      </c>
      <c r="F399" s="102">
        <v>2020</v>
      </c>
      <c r="G399" s="9" t="s">
        <v>2480</v>
      </c>
      <c r="H399" s="9">
        <v>200</v>
      </c>
      <c r="I399" s="9">
        <v>200</v>
      </c>
      <c r="J399" s="102"/>
      <c r="K399" s="102"/>
      <c r="L399" s="105">
        <v>20201118</v>
      </c>
    </row>
    <row r="400" spans="1:12">
      <c r="A400" s="132" t="s">
        <v>1992</v>
      </c>
      <c r="B400" s="102" t="s">
        <v>2469</v>
      </c>
      <c r="C400" s="9" t="s">
        <v>3254</v>
      </c>
      <c r="D400" s="9" t="s">
        <v>3255</v>
      </c>
      <c r="E400" s="102">
        <v>2020</v>
      </c>
      <c r="F400" s="102">
        <v>2020</v>
      </c>
      <c r="G400" s="9" t="s">
        <v>2480</v>
      </c>
      <c r="H400" s="9">
        <v>200</v>
      </c>
      <c r="I400" s="9">
        <v>200</v>
      </c>
      <c r="J400" s="102"/>
      <c r="K400" s="102"/>
      <c r="L400" s="105">
        <v>20201118</v>
      </c>
    </row>
    <row r="401" spans="1:12">
      <c r="A401" s="2" t="s">
        <v>1995</v>
      </c>
      <c r="B401" s="102" t="s">
        <v>2469</v>
      </c>
      <c r="C401" s="9" t="s">
        <v>3256</v>
      </c>
      <c r="D401" s="9" t="s">
        <v>3257</v>
      </c>
      <c r="E401" s="102">
        <v>2020</v>
      </c>
      <c r="F401" s="102">
        <v>2020</v>
      </c>
      <c r="G401" s="9" t="s">
        <v>2480</v>
      </c>
      <c r="H401" s="9">
        <v>200</v>
      </c>
      <c r="I401" s="9">
        <v>200</v>
      </c>
      <c r="J401" s="102"/>
      <c r="K401" s="102"/>
      <c r="L401" s="105">
        <v>20201118</v>
      </c>
    </row>
    <row r="402" spans="1:12">
      <c r="A402" s="2" t="s">
        <v>1998</v>
      </c>
      <c r="B402" s="102" t="s">
        <v>2469</v>
      </c>
      <c r="C402" s="9" t="s">
        <v>3258</v>
      </c>
      <c r="D402" s="9" t="s">
        <v>3259</v>
      </c>
      <c r="E402" s="102">
        <v>2020</v>
      </c>
      <c r="F402" s="102">
        <v>2020</v>
      </c>
      <c r="G402" s="9" t="s">
        <v>2480</v>
      </c>
      <c r="H402" s="9">
        <v>500</v>
      </c>
      <c r="I402" s="9">
        <v>500</v>
      </c>
      <c r="J402" s="102"/>
      <c r="K402" s="102"/>
      <c r="L402" s="105">
        <v>20201118</v>
      </c>
    </row>
    <row r="403" spans="1:12">
      <c r="A403" s="2" t="s">
        <v>2001</v>
      </c>
      <c r="B403" s="102" t="s">
        <v>2469</v>
      </c>
      <c r="C403" s="9" t="s">
        <v>3212</v>
      </c>
      <c r="D403" s="9" t="s">
        <v>3260</v>
      </c>
      <c r="E403" s="102">
        <v>2020</v>
      </c>
      <c r="F403" s="102">
        <v>2020</v>
      </c>
      <c r="G403" s="9" t="s">
        <v>2480</v>
      </c>
      <c r="H403" s="9">
        <v>200</v>
      </c>
      <c r="I403" s="9">
        <v>200</v>
      </c>
      <c r="J403" s="102"/>
      <c r="K403" s="102"/>
      <c r="L403" s="105">
        <v>20201118</v>
      </c>
    </row>
    <row r="404" spans="1:12">
      <c r="A404" s="2" t="s">
        <v>2004</v>
      </c>
      <c r="B404" s="102" t="s">
        <v>2469</v>
      </c>
      <c r="C404" s="9" t="s">
        <v>1636</v>
      </c>
      <c r="D404" s="9" t="s">
        <v>3261</v>
      </c>
      <c r="E404" s="102">
        <v>2020</v>
      </c>
      <c r="F404" s="102">
        <v>2020</v>
      </c>
      <c r="G404" s="9" t="s">
        <v>2480</v>
      </c>
      <c r="H404" s="9">
        <v>200</v>
      </c>
      <c r="I404" s="9">
        <v>200</v>
      </c>
      <c r="J404" s="102"/>
      <c r="K404" s="102"/>
      <c r="L404" s="105">
        <v>20201118</v>
      </c>
    </row>
    <row r="405" spans="1:12">
      <c r="A405" s="132" t="s">
        <v>2007</v>
      </c>
      <c r="B405" s="102" t="s">
        <v>2469</v>
      </c>
      <c r="C405" s="9" t="s">
        <v>3262</v>
      </c>
      <c r="D405" s="9" t="s">
        <v>3263</v>
      </c>
      <c r="E405" s="102">
        <v>2020</v>
      </c>
      <c r="F405" s="102">
        <v>2020</v>
      </c>
      <c r="G405" s="9" t="s">
        <v>2480</v>
      </c>
      <c r="H405" s="9">
        <v>200</v>
      </c>
      <c r="I405" s="9">
        <v>200</v>
      </c>
      <c r="J405" s="102"/>
      <c r="K405" s="102"/>
      <c r="L405" s="105">
        <v>20201118</v>
      </c>
    </row>
    <row r="406" spans="1:12">
      <c r="A406" s="2" t="s">
        <v>2010</v>
      </c>
      <c r="B406" s="102" t="s">
        <v>2469</v>
      </c>
      <c r="C406" s="9" t="s">
        <v>3264</v>
      </c>
      <c r="D406" s="9" t="s">
        <v>3265</v>
      </c>
      <c r="E406" s="102">
        <v>2020</v>
      </c>
      <c r="F406" s="102">
        <v>2020</v>
      </c>
      <c r="G406" s="9" t="s">
        <v>2480</v>
      </c>
      <c r="H406" s="9">
        <v>200</v>
      </c>
      <c r="I406" s="9">
        <v>200</v>
      </c>
      <c r="J406" s="102"/>
      <c r="K406" s="102"/>
      <c r="L406" s="105">
        <v>20201118</v>
      </c>
    </row>
    <row r="407" spans="1:12">
      <c r="A407" s="2" t="s">
        <v>2013</v>
      </c>
      <c r="B407" s="102" t="s">
        <v>2469</v>
      </c>
      <c r="C407" s="9" t="s">
        <v>3266</v>
      </c>
      <c r="D407" s="9" t="s">
        <v>3267</v>
      </c>
      <c r="E407" s="102">
        <v>2020</v>
      </c>
      <c r="F407" s="102">
        <v>2020</v>
      </c>
      <c r="G407" s="9" t="s">
        <v>2480</v>
      </c>
      <c r="H407" s="9">
        <v>200</v>
      </c>
      <c r="I407" s="9">
        <v>200</v>
      </c>
      <c r="J407" s="102"/>
      <c r="K407" s="102"/>
      <c r="L407" s="105">
        <v>20201118</v>
      </c>
    </row>
    <row r="408" spans="1:12">
      <c r="A408" s="132" t="s">
        <v>2016</v>
      </c>
      <c r="B408" s="102" t="s">
        <v>2469</v>
      </c>
      <c r="C408" s="9" t="s">
        <v>3268</v>
      </c>
      <c r="D408" s="9" t="s">
        <v>3269</v>
      </c>
      <c r="E408" s="102">
        <v>2020</v>
      </c>
      <c r="F408" s="102">
        <v>2020</v>
      </c>
      <c r="G408" s="9" t="s">
        <v>2480</v>
      </c>
      <c r="H408" s="9">
        <v>200</v>
      </c>
      <c r="I408" s="9">
        <v>200</v>
      </c>
      <c r="J408" s="102"/>
      <c r="K408" s="102"/>
      <c r="L408" s="105">
        <v>20201118</v>
      </c>
    </row>
    <row r="409" spans="1:12">
      <c r="A409" s="2" t="s">
        <v>2019</v>
      </c>
      <c r="B409" s="102" t="s">
        <v>2469</v>
      </c>
      <c r="C409" s="9" t="s">
        <v>3270</v>
      </c>
      <c r="D409" s="9" t="s">
        <v>3271</v>
      </c>
      <c r="E409" s="102">
        <v>2020</v>
      </c>
      <c r="F409" s="102">
        <v>2020</v>
      </c>
      <c r="G409" s="9" t="s">
        <v>2480</v>
      </c>
      <c r="H409" s="9">
        <v>200</v>
      </c>
      <c r="I409" s="9">
        <v>200</v>
      </c>
      <c r="J409" s="102"/>
      <c r="K409" s="102"/>
      <c r="L409" s="105">
        <v>20201118</v>
      </c>
    </row>
    <row r="410" spans="1:12">
      <c r="A410" s="2" t="s">
        <v>2022</v>
      </c>
      <c r="B410" s="102" t="s">
        <v>2469</v>
      </c>
      <c r="C410" s="9" t="s">
        <v>3272</v>
      </c>
      <c r="D410" s="9" t="s">
        <v>3273</v>
      </c>
      <c r="E410" s="102">
        <v>2020</v>
      </c>
      <c r="F410" s="102">
        <v>2020</v>
      </c>
      <c r="G410" s="9" t="s">
        <v>2480</v>
      </c>
      <c r="H410" s="9">
        <v>200</v>
      </c>
      <c r="I410" s="9">
        <v>200</v>
      </c>
      <c r="J410" s="102"/>
      <c r="K410" s="102"/>
      <c r="L410" s="105">
        <v>20201118</v>
      </c>
    </row>
    <row r="411" spans="1:12">
      <c r="A411" s="2" t="s">
        <v>2025</v>
      </c>
      <c r="B411" s="102" t="s">
        <v>2469</v>
      </c>
      <c r="C411" s="9" t="s">
        <v>3274</v>
      </c>
      <c r="D411" s="9" t="s">
        <v>3275</v>
      </c>
      <c r="E411" s="102">
        <v>2020</v>
      </c>
      <c r="F411" s="102">
        <v>2020</v>
      </c>
      <c r="G411" s="9" t="s">
        <v>2480</v>
      </c>
      <c r="H411" s="9">
        <v>200</v>
      </c>
      <c r="I411" s="9">
        <v>200</v>
      </c>
      <c r="J411" s="102"/>
      <c r="K411" s="102"/>
      <c r="L411" s="105">
        <v>20201118</v>
      </c>
    </row>
    <row r="412" spans="1:12">
      <c r="A412" s="2" t="s">
        <v>2028</v>
      </c>
      <c r="B412" s="102" t="s">
        <v>2469</v>
      </c>
      <c r="C412" s="9" t="s">
        <v>3276</v>
      </c>
      <c r="D412" s="9" t="s">
        <v>3277</v>
      </c>
      <c r="E412" s="102">
        <v>2020</v>
      </c>
      <c r="F412" s="102">
        <v>2020</v>
      </c>
      <c r="G412" s="9" t="s">
        <v>2480</v>
      </c>
      <c r="H412" s="9">
        <v>200</v>
      </c>
      <c r="I412" s="9">
        <v>200</v>
      </c>
      <c r="J412" s="102"/>
      <c r="K412" s="102"/>
      <c r="L412" s="105">
        <v>20201118</v>
      </c>
    </row>
    <row r="413" spans="1:12">
      <c r="A413" s="132" t="s">
        <v>2031</v>
      </c>
      <c r="B413" s="102" t="s">
        <v>2469</v>
      </c>
      <c r="C413" s="9" t="s">
        <v>3278</v>
      </c>
      <c r="D413" s="9" t="s">
        <v>3279</v>
      </c>
      <c r="E413" s="102">
        <v>2020</v>
      </c>
      <c r="F413" s="102">
        <v>2020</v>
      </c>
      <c r="G413" s="9" t="s">
        <v>2480</v>
      </c>
      <c r="H413" s="9">
        <v>200</v>
      </c>
      <c r="I413" s="9">
        <v>200</v>
      </c>
      <c r="J413" s="102"/>
      <c r="K413" s="102"/>
      <c r="L413" s="105">
        <v>20201118</v>
      </c>
    </row>
    <row r="414" spans="1:12">
      <c r="A414" s="2" t="s">
        <v>2034</v>
      </c>
      <c r="B414" s="102" t="s">
        <v>2469</v>
      </c>
      <c r="C414" s="9" t="s">
        <v>3280</v>
      </c>
      <c r="D414" s="137" t="s">
        <v>3281</v>
      </c>
      <c r="E414" s="102">
        <v>2020</v>
      </c>
      <c r="F414" s="102">
        <v>2020</v>
      </c>
      <c r="G414" s="137" t="s">
        <v>2480</v>
      </c>
      <c r="H414" s="9">
        <v>200</v>
      </c>
      <c r="I414" s="9">
        <v>200</v>
      </c>
      <c r="J414" s="102"/>
      <c r="K414" s="102"/>
      <c r="L414" s="105">
        <v>20201118</v>
      </c>
    </row>
    <row r="415" spans="1:12">
      <c r="A415" s="2" t="s">
        <v>2037</v>
      </c>
      <c r="B415" s="102" t="s">
        <v>2469</v>
      </c>
      <c r="C415" s="9" t="s">
        <v>3282</v>
      </c>
      <c r="D415" s="9" t="s">
        <v>3283</v>
      </c>
      <c r="E415" s="102">
        <v>2020</v>
      </c>
      <c r="F415" s="102">
        <v>2020</v>
      </c>
      <c r="G415" s="9" t="s">
        <v>2480</v>
      </c>
      <c r="H415" s="9">
        <v>200</v>
      </c>
      <c r="I415" s="9">
        <v>200</v>
      </c>
      <c r="J415" s="102"/>
      <c r="K415" s="102"/>
      <c r="L415" s="105">
        <v>20201118</v>
      </c>
    </row>
    <row r="416" spans="1:12">
      <c r="A416" s="132" t="s">
        <v>2040</v>
      </c>
      <c r="B416" s="102" t="s">
        <v>2469</v>
      </c>
      <c r="C416" s="9" t="s">
        <v>3284</v>
      </c>
      <c r="D416" s="9" t="s">
        <v>3285</v>
      </c>
      <c r="E416" s="102">
        <v>2020</v>
      </c>
      <c r="F416" s="102">
        <v>2020</v>
      </c>
      <c r="G416" s="9" t="s">
        <v>2480</v>
      </c>
      <c r="H416" s="9">
        <v>200</v>
      </c>
      <c r="I416" s="9">
        <v>200</v>
      </c>
      <c r="J416" s="102"/>
      <c r="K416" s="102"/>
      <c r="L416" s="105">
        <v>20201118</v>
      </c>
    </row>
    <row r="417" spans="1:12">
      <c r="A417" s="2" t="s">
        <v>2043</v>
      </c>
      <c r="B417" s="102" t="s">
        <v>2469</v>
      </c>
      <c r="C417" s="9" t="s">
        <v>3286</v>
      </c>
      <c r="D417" s="9" t="s">
        <v>3287</v>
      </c>
      <c r="E417" s="102">
        <v>2020</v>
      </c>
      <c r="F417" s="102">
        <v>2020</v>
      </c>
      <c r="G417" s="9" t="s">
        <v>2480</v>
      </c>
      <c r="H417" s="9">
        <v>200</v>
      </c>
      <c r="I417" s="9">
        <v>200</v>
      </c>
      <c r="J417" s="102"/>
      <c r="K417" s="102"/>
      <c r="L417" s="105">
        <v>20201118</v>
      </c>
    </row>
    <row r="418" spans="1:12">
      <c r="A418" s="2" t="s">
        <v>2046</v>
      </c>
      <c r="B418" s="102" t="s">
        <v>2469</v>
      </c>
      <c r="C418" s="9" t="s">
        <v>3288</v>
      </c>
      <c r="D418" s="9" t="s">
        <v>3289</v>
      </c>
      <c r="E418" s="102">
        <v>2020</v>
      </c>
      <c r="F418" s="102">
        <v>2020</v>
      </c>
      <c r="G418" s="9" t="s">
        <v>2480</v>
      </c>
      <c r="H418" s="9">
        <v>200</v>
      </c>
      <c r="I418" s="9">
        <v>200</v>
      </c>
      <c r="J418" s="102"/>
      <c r="K418" s="102"/>
      <c r="L418" s="105">
        <v>20201118</v>
      </c>
    </row>
    <row r="419" spans="1:12">
      <c r="A419" s="2" t="s">
        <v>2049</v>
      </c>
      <c r="B419" s="102" t="s">
        <v>2469</v>
      </c>
      <c r="C419" s="9" t="s">
        <v>3290</v>
      </c>
      <c r="D419" s="9" t="s">
        <v>3291</v>
      </c>
      <c r="E419" s="102">
        <v>2020</v>
      </c>
      <c r="F419" s="102">
        <v>2020</v>
      </c>
      <c r="G419" s="9" t="s">
        <v>2480</v>
      </c>
      <c r="H419" s="9">
        <v>200</v>
      </c>
      <c r="I419" s="9">
        <v>200</v>
      </c>
      <c r="J419" s="102"/>
      <c r="K419" s="102"/>
      <c r="L419" s="105">
        <v>20201118</v>
      </c>
    </row>
    <row r="420" spans="1:12">
      <c r="A420" s="2" t="s">
        <v>2052</v>
      </c>
      <c r="B420" s="102" t="s">
        <v>2469</v>
      </c>
      <c r="C420" s="9" t="s">
        <v>3292</v>
      </c>
      <c r="D420" s="9" t="s">
        <v>3293</v>
      </c>
      <c r="E420" s="102">
        <v>2020</v>
      </c>
      <c r="F420" s="102">
        <v>2020</v>
      </c>
      <c r="G420" s="9" t="s">
        <v>2480</v>
      </c>
      <c r="H420" s="9">
        <v>200</v>
      </c>
      <c r="I420" s="9">
        <v>200</v>
      </c>
      <c r="J420" s="102"/>
      <c r="K420" s="102"/>
      <c r="L420" s="105">
        <v>20201118</v>
      </c>
    </row>
    <row r="421" spans="1:12">
      <c r="A421" s="132" t="s">
        <v>2055</v>
      </c>
      <c r="B421" s="102" t="s">
        <v>2469</v>
      </c>
      <c r="C421" s="9" t="s">
        <v>3294</v>
      </c>
      <c r="D421" s="9" t="s">
        <v>3295</v>
      </c>
      <c r="E421" s="102">
        <v>2020</v>
      </c>
      <c r="F421" s="102">
        <v>2020</v>
      </c>
      <c r="G421" s="9" t="s">
        <v>2480</v>
      </c>
      <c r="H421" s="9">
        <v>200</v>
      </c>
      <c r="I421" s="9">
        <v>200</v>
      </c>
      <c r="J421" s="102"/>
      <c r="K421" s="102"/>
      <c r="L421" s="105">
        <v>20201118</v>
      </c>
    </row>
    <row r="422" spans="1:12">
      <c r="A422" s="2" t="s">
        <v>2058</v>
      </c>
      <c r="B422" s="102" t="s">
        <v>2469</v>
      </c>
      <c r="C422" s="9" t="s">
        <v>3296</v>
      </c>
      <c r="D422" s="9" t="s">
        <v>3297</v>
      </c>
      <c r="E422" s="102">
        <v>2020</v>
      </c>
      <c r="F422" s="102">
        <v>2020</v>
      </c>
      <c r="G422" s="9" t="s">
        <v>2480</v>
      </c>
      <c r="H422" s="9">
        <v>200</v>
      </c>
      <c r="I422" s="9">
        <v>200</v>
      </c>
      <c r="J422" s="102"/>
      <c r="K422" s="102"/>
      <c r="L422" s="105">
        <v>20201118</v>
      </c>
    </row>
    <row r="423" spans="1:12">
      <c r="A423" s="2" t="s">
        <v>2061</v>
      </c>
      <c r="B423" s="102" t="s">
        <v>2469</v>
      </c>
      <c r="C423" s="9" t="s">
        <v>3298</v>
      </c>
      <c r="D423" s="9" t="s">
        <v>3299</v>
      </c>
      <c r="E423" s="102">
        <v>2020</v>
      </c>
      <c r="F423" s="102">
        <v>2020</v>
      </c>
      <c r="G423" s="9" t="s">
        <v>2480</v>
      </c>
      <c r="H423" s="9">
        <v>200</v>
      </c>
      <c r="I423" s="9">
        <v>200</v>
      </c>
      <c r="J423" s="102"/>
      <c r="K423" s="102"/>
      <c r="L423" s="105">
        <v>20201118</v>
      </c>
    </row>
    <row r="424" spans="1:12">
      <c r="A424" s="132" t="s">
        <v>2064</v>
      </c>
      <c r="B424" s="102" t="s">
        <v>2469</v>
      </c>
      <c r="C424" s="9" t="s">
        <v>3300</v>
      </c>
      <c r="D424" s="9" t="s">
        <v>3301</v>
      </c>
      <c r="E424" s="102">
        <v>2020</v>
      </c>
      <c r="F424" s="102">
        <v>2020</v>
      </c>
      <c r="G424" s="9" t="s">
        <v>2480</v>
      </c>
      <c r="H424" s="9">
        <v>200</v>
      </c>
      <c r="I424" s="9">
        <v>200</v>
      </c>
      <c r="J424" s="102"/>
      <c r="K424" s="102"/>
      <c r="L424" s="105">
        <v>20201118</v>
      </c>
    </row>
    <row r="425" spans="1:12">
      <c r="A425" s="2" t="s">
        <v>2067</v>
      </c>
      <c r="B425" s="102" t="s">
        <v>2469</v>
      </c>
      <c r="C425" s="9" t="s">
        <v>3302</v>
      </c>
      <c r="D425" s="9" t="s">
        <v>3303</v>
      </c>
      <c r="E425" s="102">
        <v>2020</v>
      </c>
      <c r="F425" s="102">
        <v>2020</v>
      </c>
      <c r="G425" s="9" t="s">
        <v>2480</v>
      </c>
      <c r="H425" s="9">
        <v>200</v>
      </c>
      <c r="I425" s="9">
        <v>200</v>
      </c>
      <c r="J425" s="102"/>
      <c r="K425" s="102"/>
      <c r="L425" s="105">
        <v>20201118</v>
      </c>
    </row>
    <row r="426" spans="1:12">
      <c r="A426" s="2" t="s">
        <v>2070</v>
      </c>
      <c r="B426" s="102" t="s">
        <v>2469</v>
      </c>
      <c r="C426" s="9" t="s">
        <v>3304</v>
      </c>
      <c r="D426" s="9" t="s">
        <v>3305</v>
      </c>
      <c r="E426" s="102">
        <v>2020</v>
      </c>
      <c r="F426" s="102">
        <v>2020</v>
      </c>
      <c r="G426" s="9" t="s">
        <v>2480</v>
      </c>
      <c r="H426" s="9">
        <v>200</v>
      </c>
      <c r="I426" s="9">
        <v>200</v>
      </c>
      <c r="J426" s="102"/>
      <c r="K426" s="102"/>
      <c r="L426" s="105">
        <v>20201118</v>
      </c>
    </row>
    <row r="427" spans="1:12">
      <c r="A427" s="2" t="s">
        <v>2073</v>
      </c>
      <c r="B427" s="102" t="s">
        <v>2469</v>
      </c>
      <c r="C427" s="9" t="s">
        <v>3306</v>
      </c>
      <c r="D427" s="9" t="s">
        <v>3307</v>
      </c>
      <c r="E427" s="102">
        <v>2020</v>
      </c>
      <c r="F427" s="102">
        <v>2020</v>
      </c>
      <c r="G427" s="9" t="s">
        <v>2480</v>
      </c>
      <c r="H427" s="9">
        <v>200</v>
      </c>
      <c r="I427" s="9">
        <v>200</v>
      </c>
      <c r="J427" s="102"/>
      <c r="K427" s="102"/>
      <c r="L427" s="105">
        <v>20201118</v>
      </c>
    </row>
    <row r="428" spans="1:12">
      <c r="A428" s="2" t="s">
        <v>2076</v>
      </c>
      <c r="B428" s="102" t="s">
        <v>2469</v>
      </c>
      <c r="C428" s="9" t="s">
        <v>3308</v>
      </c>
      <c r="D428" s="9" t="s">
        <v>3309</v>
      </c>
      <c r="E428" s="102">
        <v>2020</v>
      </c>
      <c r="F428" s="102">
        <v>2020</v>
      </c>
      <c r="G428" s="9" t="s">
        <v>2480</v>
      </c>
      <c r="H428" s="9">
        <v>200</v>
      </c>
      <c r="I428" s="9">
        <v>200</v>
      </c>
      <c r="J428" s="102"/>
      <c r="K428" s="102"/>
      <c r="L428" s="105">
        <v>20201118</v>
      </c>
    </row>
    <row r="429" spans="1:12">
      <c r="A429" s="132" t="s">
        <v>2079</v>
      </c>
      <c r="B429" s="102" t="s">
        <v>2469</v>
      </c>
      <c r="C429" s="9" t="s">
        <v>3310</v>
      </c>
      <c r="D429" s="9" t="s">
        <v>3311</v>
      </c>
      <c r="E429" s="102">
        <v>2020</v>
      </c>
      <c r="F429" s="102">
        <v>2020</v>
      </c>
      <c r="G429" s="9" t="s">
        <v>2480</v>
      </c>
      <c r="H429" s="9">
        <v>200</v>
      </c>
      <c r="I429" s="9">
        <v>200</v>
      </c>
      <c r="J429" s="102"/>
      <c r="K429" s="102"/>
      <c r="L429" s="105">
        <v>20201118</v>
      </c>
    </row>
    <row r="430" spans="1:12">
      <c r="A430" s="2" t="s">
        <v>2082</v>
      </c>
      <c r="B430" s="102" t="s">
        <v>2469</v>
      </c>
      <c r="C430" s="9" t="s">
        <v>1888</v>
      </c>
      <c r="D430" s="9" t="s">
        <v>3312</v>
      </c>
      <c r="E430" s="102">
        <v>2020</v>
      </c>
      <c r="F430" s="102">
        <v>2020</v>
      </c>
      <c r="G430" s="9" t="s">
        <v>2480</v>
      </c>
      <c r="H430" s="9">
        <v>200</v>
      </c>
      <c r="I430" s="9">
        <v>200</v>
      </c>
      <c r="J430" s="102"/>
      <c r="K430" s="102"/>
      <c r="L430" s="105">
        <v>20201118</v>
      </c>
    </row>
    <row r="431" spans="1:12">
      <c r="A431" s="2" t="s">
        <v>2085</v>
      </c>
      <c r="B431" s="102" t="s">
        <v>2469</v>
      </c>
      <c r="C431" s="9" t="s">
        <v>3313</v>
      </c>
      <c r="D431" s="9" t="s">
        <v>3314</v>
      </c>
      <c r="E431" s="102">
        <v>2020</v>
      </c>
      <c r="F431" s="102">
        <v>2020</v>
      </c>
      <c r="G431" s="9" t="s">
        <v>2480</v>
      </c>
      <c r="H431" s="9">
        <v>200</v>
      </c>
      <c r="I431" s="9">
        <v>200</v>
      </c>
      <c r="J431" s="102"/>
      <c r="K431" s="102"/>
      <c r="L431" s="105">
        <v>20201118</v>
      </c>
    </row>
    <row r="432" spans="1:12">
      <c r="A432" s="132" t="s">
        <v>2088</v>
      </c>
      <c r="B432" s="102" t="s">
        <v>2469</v>
      </c>
      <c r="C432" s="9" t="s">
        <v>3315</v>
      </c>
      <c r="D432" s="9" t="s">
        <v>3316</v>
      </c>
      <c r="E432" s="102">
        <v>2020</v>
      </c>
      <c r="F432" s="102">
        <v>2020</v>
      </c>
      <c r="G432" s="9" t="s">
        <v>2480</v>
      </c>
      <c r="H432" s="9">
        <v>200</v>
      </c>
      <c r="I432" s="9">
        <v>200</v>
      </c>
      <c r="J432" s="102"/>
      <c r="K432" s="102"/>
      <c r="L432" s="105">
        <v>20201118</v>
      </c>
    </row>
    <row r="433" spans="1:12">
      <c r="A433" s="2" t="s">
        <v>2091</v>
      </c>
      <c r="B433" s="102" t="s">
        <v>2469</v>
      </c>
      <c r="C433" s="9" t="s">
        <v>3317</v>
      </c>
      <c r="D433" s="9" t="s">
        <v>3318</v>
      </c>
      <c r="E433" s="102">
        <v>2020</v>
      </c>
      <c r="F433" s="102">
        <v>2020</v>
      </c>
      <c r="G433" s="9" t="s">
        <v>2480</v>
      </c>
      <c r="H433" s="9">
        <v>200</v>
      </c>
      <c r="I433" s="9">
        <v>200</v>
      </c>
      <c r="J433" s="102"/>
      <c r="K433" s="102"/>
      <c r="L433" s="105">
        <v>20201118</v>
      </c>
    </row>
    <row r="434" spans="1:12">
      <c r="A434" s="2" t="s">
        <v>2094</v>
      </c>
      <c r="B434" s="102" t="s">
        <v>2469</v>
      </c>
      <c r="C434" s="9" t="s">
        <v>3319</v>
      </c>
      <c r="D434" s="9" t="s">
        <v>3320</v>
      </c>
      <c r="E434" s="102">
        <v>2020</v>
      </c>
      <c r="F434" s="102">
        <v>2020</v>
      </c>
      <c r="G434" s="9" t="s">
        <v>2480</v>
      </c>
      <c r="H434" s="9">
        <v>200</v>
      </c>
      <c r="I434" s="9">
        <v>200</v>
      </c>
      <c r="J434" s="102"/>
      <c r="K434" s="102"/>
      <c r="L434" s="105">
        <v>20201118</v>
      </c>
    </row>
    <row r="435" spans="1:12">
      <c r="A435" s="2" t="s">
        <v>2097</v>
      </c>
      <c r="B435" s="102" t="s">
        <v>2469</v>
      </c>
      <c r="C435" s="9" t="s">
        <v>3321</v>
      </c>
      <c r="D435" s="9" t="s">
        <v>3322</v>
      </c>
      <c r="E435" s="102">
        <v>2020</v>
      </c>
      <c r="F435" s="102">
        <v>2020</v>
      </c>
      <c r="G435" s="9" t="s">
        <v>2480</v>
      </c>
      <c r="H435" s="9">
        <v>200</v>
      </c>
      <c r="I435" s="9">
        <v>200</v>
      </c>
      <c r="J435" s="102"/>
      <c r="K435" s="102"/>
      <c r="L435" s="105">
        <v>20201118</v>
      </c>
    </row>
    <row r="436" spans="1:12">
      <c r="A436" s="2" t="s">
        <v>2100</v>
      </c>
      <c r="B436" s="102" t="s">
        <v>2469</v>
      </c>
      <c r="C436" s="9" t="s">
        <v>3323</v>
      </c>
      <c r="D436" s="9" t="s">
        <v>3324</v>
      </c>
      <c r="E436" s="102">
        <v>2020</v>
      </c>
      <c r="F436" s="102">
        <v>2020</v>
      </c>
      <c r="G436" s="9" t="s">
        <v>2480</v>
      </c>
      <c r="H436" s="9">
        <v>200</v>
      </c>
      <c r="I436" s="9">
        <v>200</v>
      </c>
      <c r="J436" s="102"/>
      <c r="K436" s="102"/>
      <c r="L436" s="105">
        <v>20201118</v>
      </c>
    </row>
    <row r="437" spans="1:12">
      <c r="A437" s="132" t="s">
        <v>2103</v>
      </c>
      <c r="B437" s="102" t="s">
        <v>2469</v>
      </c>
      <c r="C437" s="9" t="s">
        <v>3325</v>
      </c>
      <c r="D437" s="9" t="s">
        <v>3326</v>
      </c>
      <c r="E437" s="102">
        <v>2020</v>
      </c>
      <c r="F437" s="102">
        <v>2020</v>
      </c>
      <c r="G437" s="9" t="s">
        <v>2480</v>
      </c>
      <c r="H437" s="9">
        <v>200</v>
      </c>
      <c r="I437" s="9">
        <v>200</v>
      </c>
      <c r="J437" s="102"/>
      <c r="K437" s="102"/>
      <c r="L437" s="105">
        <v>20201118</v>
      </c>
    </row>
    <row r="438" spans="1:12">
      <c r="A438" s="2" t="s">
        <v>2106</v>
      </c>
      <c r="B438" s="102" t="s">
        <v>2469</v>
      </c>
      <c r="C438" s="9" t="s">
        <v>3327</v>
      </c>
      <c r="D438" s="9" t="s">
        <v>3328</v>
      </c>
      <c r="E438" s="102">
        <v>2020</v>
      </c>
      <c r="F438" s="102">
        <v>2020</v>
      </c>
      <c r="G438" s="9" t="s">
        <v>2480</v>
      </c>
      <c r="H438" s="9">
        <v>200</v>
      </c>
      <c r="I438" s="9">
        <v>200</v>
      </c>
      <c r="J438" s="102"/>
      <c r="K438" s="102"/>
      <c r="L438" s="105">
        <v>20201118</v>
      </c>
    </row>
    <row r="439" spans="1:12">
      <c r="A439" s="2" t="s">
        <v>2109</v>
      </c>
      <c r="B439" s="102" t="s">
        <v>2469</v>
      </c>
      <c r="C439" s="9" t="s">
        <v>3329</v>
      </c>
      <c r="D439" s="9" t="s">
        <v>3330</v>
      </c>
      <c r="E439" s="102">
        <v>2020</v>
      </c>
      <c r="F439" s="102">
        <v>2020</v>
      </c>
      <c r="G439" s="9" t="s">
        <v>2480</v>
      </c>
      <c r="H439" s="9">
        <v>200</v>
      </c>
      <c r="I439" s="9">
        <v>200</v>
      </c>
      <c r="J439" s="102"/>
      <c r="K439" s="102"/>
      <c r="L439" s="105">
        <v>20201118</v>
      </c>
    </row>
    <row r="440" spans="1:12">
      <c r="A440" s="132" t="s">
        <v>2112</v>
      </c>
      <c r="B440" s="102" t="s">
        <v>2469</v>
      </c>
      <c r="C440" s="9" t="s">
        <v>3331</v>
      </c>
      <c r="D440" s="9" t="s">
        <v>3332</v>
      </c>
      <c r="E440" s="102">
        <v>2020</v>
      </c>
      <c r="F440" s="102">
        <v>2020</v>
      </c>
      <c r="G440" s="9" t="s">
        <v>2480</v>
      </c>
      <c r="H440" s="9">
        <v>200</v>
      </c>
      <c r="I440" s="9">
        <v>200</v>
      </c>
      <c r="J440" s="102"/>
      <c r="K440" s="102"/>
      <c r="L440" s="105">
        <v>20201118</v>
      </c>
    </row>
    <row r="441" spans="1:12">
      <c r="A441" s="2" t="s">
        <v>2115</v>
      </c>
      <c r="B441" s="102" t="s">
        <v>2469</v>
      </c>
      <c r="C441" s="9" t="s">
        <v>3333</v>
      </c>
      <c r="D441" s="9" t="s">
        <v>3334</v>
      </c>
      <c r="E441" s="102">
        <v>2020</v>
      </c>
      <c r="F441" s="102">
        <v>2020</v>
      </c>
      <c r="G441" s="9" t="s">
        <v>2480</v>
      </c>
      <c r="H441" s="9">
        <v>200</v>
      </c>
      <c r="I441" s="9">
        <v>200</v>
      </c>
      <c r="J441" s="102"/>
      <c r="K441" s="102"/>
      <c r="L441" s="105">
        <v>20201118</v>
      </c>
    </row>
    <row r="442" s="97" customFormat="1" spans="1:12">
      <c r="A442" s="2" t="s">
        <v>2117</v>
      </c>
      <c r="B442" s="102" t="s">
        <v>2469</v>
      </c>
      <c r="C442" s="6" t="s">
        <v>3335</v>
      </c>
      <c r="D442" s="6" t="str">
        <f>"152326200410136877"</f>
        <v>152326200410136877</v>
      </c>
      <c r="E442" s="102">
        <v>2020</v>
      </c>
      <c r="F442" s="102">
        <v>2020</v>
      </c>
      <c r="G442" s="9" t="s">
        <v>2480</v>
      </c>
      <c r="H442" s="9">
        <v>200</v>
      </c>
      <c r="I442" s="9">
        <v>200</v>
      </c>
      <c r="J442" s="102"/>
      <c r="K442" s="104"/>
      <c r="L442" s="105">
        <v>20201118</v>
      </c>
    </row>
    <row r="443" s="97" customFormat="1" spans="1:12">
      <c r="A443" s="2" t="s">
        <v>2120</v>
      </c>
      <c r="B443" s="102" t="s">
        <v>2469</v>
      </c>
      <c r="C443" s="6" t="s">
        <v>3336</v>
      </c>
      <c r="D443" s="6" t="str">
        <f>"152326199811296876"</f>
        <v>152326199811296876</v>
      </c>
      <c r="E443" s="102">
        <v>2020</v>
      </c>
      <c r="F443" s="102">
        <v>2020</v>
      </c>
      <c r="G443" s="9" t="s">
        <v>2480</v>
      </c>
      <c r="H443" s="9">
        <v>200</v>
      </c>
      <c r="I443" s="9">
        <v>200</v>
      </c>
      <c r="J443" s="102"/>
      <c r="K443" s="104"/>
      <c r="L443" s="105">
        <v>20201118</v>
      </c>
    </row>
    <row r="444" s="97" customFormat="1" spans="1:12">
      <c r="A444" s="2" t="s">
        <v>2123</v>
      </c>
      <c r="B444" s="102" t="s">
        <v>2469</v>
      </c>
      <c r="C444" s="6" t="s">
        <v>3337</v>
      </c>
      <c r="D444" s="6" t="str">
        <f>"152326199612306875"</f>
        <v>152326199612306875</v>
      </c>
      <c r="E444" s="102">
        <v>2020</v>
      </c>
      <c r="F444" s="102">
        <v>2020</v>
      </c>
      <c r="G444" s="9" t="s">
        <v>2480</v>
      </c>
      <c r="H444" s="9">
        <v>200</v>
      </c>
      <c r="I444" s="9">
        <v>200</v>
      </c>
      <c r="J444" s="102"/>
      <c r="K444" s="104"/>
      <c r="L444" s="105">
        <v>20201118</v>
      </c>
    </row>
    <row r="445" s="97" customFormat="1" spans="1:12">
      <c r="A445" s="132" t="s">
        <v>2126</v>
      </c>
      <c r="B445" s="102" t="s">
        <v>2469</v>
      </c>
      <c r="C445" s="6" t="s">
        <v>3338</v>
      </c>
      <c r="D445" s="6" t="str">
        <f>"152326199503036618"</f>
        <v>152326199503036618</v>
      </c>
      <c r="E445" s="102">
        <v>2020</v>
      </c>
      <c r="F445" s="102">
        <v>2020</v>
      </c>
      <c r="G445" s="9" t="s">
        <v>2480</v>
      </c>
      <c r="H445" s="9">
        <v>200</v>
      </c>
      <c r="I445" s="9">
        <v>200</v>
      </c>
      <c r="J445" s="102"/>
      <c r="K445" s="104"/>
      <c r="L445" s="105">
        <v>20201118</v>
      </c>
    </row>
    <row r="446" s="97" customFormat="1" spans="1:12">
      <c r="A446" s="2" t="s">
        <v>2129</v>
      </c>
      <c r="B446" s="102" t="s">
        <v>2469</v>
      </c>
      <c r="C446" s="6" t="s">
        <v>3339</v>
      </c>
      <c r="D446" s="6" t="str">
        <f>"152326197602086873"</f>
        <v>152326197602086873</v>
      </c>
      <c r="E446" s="102">
        <v>2020</v>
      </c>
      <c r="F446" s="102">
        <v>2020</v>
      </c>
      <c r="G446" s="9" t="s">
        <v>2480</v>
      </c>
      <c r="H446" s="9">
        <v>200</v>
      </c>
      <c r="I446" s="9">
        <v>200</v>
      </c>
      <c r="J446" s="102"/>
      <c r="K446" s="104"/>
      <c r="L446" s="105">
        <v>20201118</v>
      </c>
    </row>
    <row r="447" s="97" customFormat="1" spans="1:12">
      <c r="A447" s="2" t="s">
        <v>2132</v>
      </c>
      <c r="B447" s="102" t="s">
        <v>2469</v>
      </c>
      <c r="C447" s="6" t="s">
        <v>3340</v>
      </c>
      <c r="D447" s="6" t="str">
        <f>"152326197504276876"</f>
        <v>152326197504276876</v>
      </c>
      <c r="E447" s="102">
        <v>2020</v>
      </c>
      <c r="F447" s="102">
        <v>2020</v>
      </c>
      <c r="G447" s="9" t="s">
        <v>2480</v>
      </c>
      <c r="H447" s="9">
        <v>200</v>
      </c>
      <c r="I447" s="9">
        <v>200</v>
      </c>
      <c r="J447" s="102"/>
      <c r="K447" s="104"/>
      <c r="L447" s="105">
        <v>20201118</v>
      </c>
    </row>
    <row r="448" s="97" customFormat="1" spans="1:12">
      <c r="A448" s="132" t="s">
        <v>2135</v>
      </c>
      <c r="B448" s="102" t="s">
        <v>2469</v>
      </c>
      <c r="C448" s="6" t="s">
        <v>3341</v>
      </c>
      <c r="D448" s="6" t="str">
        <f>"152326197304096862"</f>
        <v>152326197304096862</v>
      </c>
      <c r="E448" s="102">
        <v>2020</v>
      </c>
      <c r="F448" s="102">
        <v>2020</v>
      </c>
      <c r="G448" s="9" t="s">
        <v>2480</v>
      </c>
      <c r="H448" s="9">
        <v>200</v>
      </c>
      <c r="I448" s="9">
        <v>200</v>
      </c>
      <c r="J448" s="102"/>
      <c r="K448" s="104"/>
      <c r="L448" s="105">
        <v>20201118</v>
      </c>
    </row>
    <row r="449" s="97" customFormat="1" spans="1:12">
      <c r="A449" s="2" t="s">
        <v>2138</v>
      </c>
      <c r="B449" s="102" t="s">
        <v>2469</v>
      </c>
      <c r="C449" s="6" t="s">
        <v>3342</v>
      </c>
      <c r="D449" s="6" t="str">
        <f>"150421197207065126"</f>
        <v>150421197207065126</v>
      </c>
      <c r="E449" s="102">
        <v>2020</v>
      </c>
      <c r="F449" s="102">
        <v>2020</v>
      </c>
      <c r="G449" s="9" t="s">
        <v>2480</v>
      </c>
      <c r="H449" s="9">
        <v>200</v>
      </c>
      <c r="I449" s="9">
        <v>200</v>
      </c>
      <c r="J449" s="102"/>
      <c r="K449" s="104"/>
      <c r="L449" s="105">
        <v>20201118</v>
      </c>
    </row>
    <row r="450" s="97" customFormat="1" spans="1:12">
      <c r="A450" s="2" t="s">
        <v>2141</v>
      </c>
      <c r="B450" s="102" t="s">
        <v>2469</v>
      </c>
      <c r="C450" s="6" t="s">
        <v>3343</v>
      </c>
      <c r="D450" s="6" t="str">
        <f>"152326197206206909"</f>
        <v>152326197206206909</v>
      </c>
      <c r="E450" s="102">
        <v>2020</v>
      </c>
      <c r="F450" s="102">
        <v>2020</v>
      </c>
      <c r="G450" s="9" t="s">
        <v>2480</v>
      </c>
      <c r="H450" s="9">
        <v>200</v>
      </c>
      <c r="I450" s="9">
        <v>200</v>
      </c>
      <c r="J450" s="102"/>
      <c r="K450" s="104"/>
      <c r="L450" s="105">
        <v>20201118</v>
      </c>
    </row>
    <row r="451" s="97" customFormat="1" spans="1:12">
      <c r="A451" s="2" t="s">
        <v>2144</v>
      </c>
      <c r="B451" s="102" t="s">
        <v>2469</v>
      </c>
      <c r="C451" s="6" t="s">
        <v>3344</v>
      </c>
      <c r="D451" s="6" t="str">
        <f>"152326197011066862"</f>
        <v>152326197011066862</v>
      </c>
      <c r="E451" s="102">
        <v>2020</v>
      </c>
      <c r="F451" s="102">
        <v>2020</v>
      </c>
      <c r="G451" s="9" t="s">
        <v>2480</v>
      </c>
      <c r="H451" s="9">
        <v>200</v>
      </c>
      <c r="I451" s="9">
        <v>200</v>
      </c>
      <c r="J451" s="102"/>
      <c r="K451" s="104"/>
      <c r="L451" s="105">
        <v>20201118</v>
      </c>
    </row>
    <row r="452" s="97" customFormat="1" spans="1:12">
      <c r="A452" s="2" t="s">
        <v>2147</v>
      </c>
      <c r="B452" s="102" t="s">
        <v>2469</v>
      </c>
      <c r="C452" s="6" t="s">
        <v>3345</v>
      </c>
      <c r="D452" s="6" t="str">
        <f>"152326197008212128"</f>
        <v>152326197008212128</v>
      </c>
      <c r="E452" s="102">
        <v>2020</v>
      </c>
      <c r="F452" s="102">
        <v>2020</v>
      </c>
      <c r="G452" s="9" t="s">
        <v>2480</v>
      </c>
      <c r="H452" s="9">
        <v>200</v>
      </c>
      <c r="I452" s="9">
        <v>200</v>
      </c>
      <c r="J452" s="102"/>
      <c r="K452" s="104"/>
      <c r="L452" s="105">
        <v>20201118</v>
      </c>
    </row>
    <row r="453" s="97" customFormat="1" spans="1:12">
      <c r="A453" s="132" t="s">
        <v>2150</v>
      </c>
      <c r="B453" s="102" t="s">
        <v>2469</v>
      </c>
      <c r="C453" s="6" t="s">
        <v>3346</v>
      </c>
      <c r="D453" s="6" t="str">
        <f>"152326197001026875"</f>
        <v>152326197001026875</v>
      </c>
      <c r="E453" s="102">
        <v>2020</v>
      </c>
      <c r="F453" s="102">
        <v>2020</v>
      </c>
      <c r="G453" s="9" t="s">
        <v>2480</v>
      </c>
      <c r="H453" s="9">
        <v>200</v>
      </c>
      <c r="I453" s="9">
        <v>200</v>
      </c>
      <c r="J453" s="102"/>
      <c r="K453" s="104"/>
      <c r="L453" s="105">
        <v>20201118</v>
      </c>
    </row>
    <row r="454" s="97" customFormat="1" spans="1:12">
      <c r="A454" s="2" t="s">
        <v>2153</v>
      </c>
      <c r="B454" s="102" t="s">
        <v>2469</v>
      </c>
      <c r="C454" s="6" t="s">
        <v>3347</v>
      </c>
      <c r="D454" s="6" t="str">
        <f>"152326196910176876"</f>
        <v>152326196910176876</v>
      </c>
      <c r="E454" s="102">
        <v>2020</v>
      </c>
      <c r="F454" s="102">
        <v>2020</v>
      </c>
      <c r="G454" s="9" t="s">
        <v>2480</v>
      </c>
      <c r="H454" s="9">
        <v>200</v>
      </c>
      <c r="I454" s="9">
        <v>200</v>
      </c>
      <c r="J454" s="102"/>
      <c r="K454" s="104"/>
      <c r="L454" s="105">
        <v>20201118</v>
      </c>
    </row>
    <row r="455" s="97" customFormat="1" spans="1:12">
      <c r="A455" s="2" t="s">
        <v>2156</v>
      </c>
      <c r="B455" s="102" t="s">
        <v>2469</v>
      </c>
      <c r="C455" s="6" t="s">
        <v>3348</v>
      </c>
      <c r="D455" s="6" t="str">
        <f>"152326196803136895"</f>
        <v>152326196803136895</v>
      </c>
      <c r="E455" s="102">
        <v>2020</v>
      </c>
      <c r="F455" s="102">
        <v>2020</v>
      </c>
      <c r="G455" s="9" t="s">
        <v>2480</v>
      </c>
      <c r="H455" s="9">
        <v>200</v>
      </c>
      <c r="I455" s="9">
        <v>200</v>
      </c>
      <c r="J455" s="102"/>
      <c r="K455" s="104"/>
      <c r="L455" s="105">
        <v>20201118</v>
      </c>
    </row>
    <row r="456" s="97" customFormat="1" spans="1:12">
      <c r="A456" s="132" t="s">
        <v>2159</v>
      </c>
      <c r="B456" s="102" t="s">
        <v>2469</v>
      </c>
      <c r="C456" s="6" t="s">
        <v>3349</v>
      </c>
      <c r="D456" s="6" t="str">
        <f>"152326196807076877"</f>
        <v>152326196807076877</v>
      </c>
      <c r="E456" s="102">
        <v>2020</v>
      </c>
      <c r="F456" s="102">
        <v>2020</v>
      </c>
      <c r="G456" s="9" t="s">
        <v>2480</v>
      </c>
      <c r="H456" s="9">
        <v>200</v>
      </c>
      <c r="I456" s="9">
        <v>200</v>
      </c>
      <c r="J456" s="102"/>
      <c r="K456" s="104"/>
      <c r="L456" s="105">
        <v>20201118</v>
      </c>
    </row>
    <row r="457" s="97" customFormat="1" spans="1:12">
      <c r="A457" s="2" t="s">
        <v>2162</v>
      </c>
      <c r="B457" s="102" t="s">
        <v>2469</v>
      </c>
      <c r="C457" s="6" t="s">
        <v>3350</v>
      </c>
      <c r="D457" s="6" t="str">
        <f>"152326196808266883"</f>
        <v>152326196808266883</v>
      </c>
      <c r="E457" s="102">
        <v>2020</v>
      </c>
      <c r="F457" s="102">
        <v>2020</v>
      </c>
      <c r="G457" s="9" t="s">
        <v>2480</v>
      </c>
      <c r="H457" s="9">
        <v>200</v>
      </c>
      <c r="I457" s="9">
        <v>200</v>
      </c>
      <c r="J457" s="102"/>
      <c r="K457" s="104"/>
      <c r="L457" s="105">
        <v>20201118</v>
      </c>
    </row>
    <row r="458" s="97" customFormat="1" spans="1:12">
      <c r="A458" s="2" t="s">
        <v>2165</v>
      </c>
      <c r="B458" s="102" t="s">
        <v>2469</v>
      </c>
      <c r="C458" s="6" t="s">
        <v>3351</v>
      </c>
      <c r="D458" s="6" t="s">
        <v>3352</v>
      </c>
      <c r="E458" s="102">
        <v>2020</v>
      </c>
      <c r="F458" s="102">
        <v>2020</v>
      </c>
      <c r="G458" s="9" t="s">
        <v>2480</v>
      </c>
      <c r="H458" s="9">
        <v>200</v>
      </c>
      <c r="I458" s="9">
        <v>200</v>
      </c>
      <c r="J458" s="102"/>
      <c r="K458" s="104"/>
      <c r="L458" s="105">
        <v>20201118</v>
      </c>
    </row>
    <row r="459" spans="1:12">
      <c r="A459" s="2" t="s">
        <v>2167</v>
      </c>
      <c r="B459" s="102" t="s">
        <v>2469</v>
      </c>
      <c r="C459" s="9" t="s">
        <v>3353</v>
      </c>
      <c r="D459" s="284" t="s">
        <v>3354</v>
      </c>
      <c r="E459" s="102">
        <v>2020</v>
      </c>
      <c r="F459" s="102">
        <v>2020</v>
      </c>
      <c r="G459" s="253" t="s">
        <v>295</v>
      </c>
      <c r="H459" s="9">
        <v>200</v>
      </c>
      <c r="I459" s="9">
        <v>200</v>
      </c>
      <c r="J459" s="102"/>
      <c r="K459" s="102"/>
      <c r="L459" s="105">
        <v>20201118</v>
      </c>
    </row>
    <row r="460" spans="1:12">
      <c r="A460" s="2" t="s">
        <v>2170</v>
      </c>
      <c r="B460" s="102" t="s">
        <v>2469</v>
      </c>
      <c r="C460" s="9" t="s">
        <v>3355</v>
      </c>
      <c r="D460" s="284" t="s">
        <v>3356</v>
      </c>
      <c r="E460" s="102">
        <v>2020</v>
      </c>
      <c r="F460" s="102">
        <v>2020</v>
      </c>
      <c r="G460" s="253" t="s">
        <v>295</v>
      </c>
      <c r="H460" s="9">
        <v>200</v>
      </c>
      <c r="I460" s="9">
        <v>200</v>
      </c>
      <c r="J460" s="102"/>
      <c r="K460" s="102"/>
      <c r="L460" s="105">
        <v>20201118</v>
      </c>
    </row>
    <row r="461" spans="1:12">
      <c r="A461" s="132" t="s">
        <v>2173</v>
      </c>
      <c r="B461" s="102" t="s">
        <v>2469</v>
      </c>
      <c r="C461" s="9" t="s">
        <v>3357</v>
      </c>
      <c r="D461" s="284" t="s">
        <v>3358</v>
      </c>
      <c r="E461" s="102">
        <v>2020</v>
      </c>
      <c r="F461" s="102">
        <v>2020</v>
      </c>
      <c r="G461" s="137" t="s">
        <v>3359</v>
      </c>
      <c r="H461" s="9">
        <v>200</v>
      </c>
      <c r="I461" s="9">
        <v>200</v>
      </c>
      <c r="J461" s="102"/>
      <c r="K461" s="102"/>
      <c r="L461" s="105">
        <v>20201118</v>
      </c>
    </row>
    <row r="462" spans="1:12">
      <c r="A462" s="2" t="s">
        <v>2176</v>
      </c>
      <c r="B462" s="102" t="s">
        <v>2469</v>
      </c>
      <c r="C462" s="9" t="s">
        <v>3360</v>
      </c>
      <c r="D462" s="284" t="s">
        <v>3361</v>
      </c>
      <c r="E462" s="102">
        <v>2020</v>
      </c>
      <c r="F462" s="102">
        <v>2020</v>
      </c>
      <c r="G462" s="137" t="s">
        <v>295</v>
      </c>
      <c r="H462" s="9">
        <v>200</v>
      </c>
      <c r="I462" s="9">
        <v>200</v>
      </c>
      <c r="J462" s="102"/>
      <c r="K462" s="102"/>
      <c r="L462" s="105">
        <v>20201118</v>
      </c>
    </row>
    <row r="463" spans="1:12">
      <c r="A463" s="2" t="s">
        <v>2179</v>
      </c>
      <c r="B463" s="93" t="s">
        <v>2469</v>
      </c>
      <c r="C463" s="9" t="s">
        <v>3362</v>
      </c>
      <c r="D463" s="255" t="s">
        <v>3363</v>
      </c>
      <c r="E463" s="93">
        <v>2018</v>
      </c>
      <c r="F463" s="93">
        <v>2020</v>
      </c>
      <c r="G463" s="255" t="s">
        <v>2477</v>
      </c>
      <c r="H463" s="255">
        <v>200</v>
      </c>
      <c r="I463" s="255">
        <v>600</v>
      </c>
      <c r="J463" s="93"/>
      <c r="K463" s="102"/>
      <c r="L463" s="105">
        <v>20201118</v>
      </c>
    </row>
    <row r="464" spans="1:12">
      <c r="A464" s="132" t="s">
        <v>2181</v>
      </c>
      <c r="B464" s="93" t="s">
        <v>2469</v>
      </c>
      <c r="C464" s="9" t="s">
        <v>3364</v>
      </c>
      <c r="D464" s="255" t="s">
        <v>3365</v>
      </c>
      <c r="E464" s="93">
        <v>2011</v>
      </c>
      <c r="F464" s="93">
        <v>2020</v>
      </c>
      <c r="G464" s="255" t="s">
        <v>295</v>
      </c>
      <c r="H464" s="255">
        <v>200</v>
      </c>
      <c r="I464" s="255">
        <v>2000</v>
      </c>
      <c r="J464" s="93"/>
      <c r="K464" s="102"/>
      <c r="L464" s="105">
        <v>20201118</v>
      </c>
    </row>
    <row r="465" spans="1:12">
      <c r="A465" s="2" t="s">
        <v>2184</v>
      </c>
      <c r="B465" s="93" t="s">
        <v>2469</v>
      </c>
      <c r="C465" s="9" t="s">
        <v>3366</v>
      </c>
      <c r="D465" s="285" t="s">
        <v>3367</v>
      </c>
      <c r="E465" s="93">
        <v>2018</v>
      </c>
      <c r="F465" s="93">
        <v>2020</v>
      </c>
      <c r="G465" s="255" t="s">
        <v>295</v>
      </c>
      <c r="H465" s="255">
        <v>200</v>
      </c>
      <c r="I465" s="255">
        <v>600</v>
      </c>
      <c r="J465" s="93"/>
      <c r="K465" s="102"/>
      <c r="L465" s="105">
        <v>20201118</v>
      </c>
    </row>
    <row r="466" spans="1:12">
      <c r="A466" s="2" t="s">
        <v>2187</v>
      </c>
      <c r="B466" s="102" t="s">
        <v>2469</v>
      </c>
      <c r="C466" s="9" t="s">
        <v>3368</v>
      </c>
      <c r="D466" s="284" t="s">
        <v>3369</v>
      </c>
      <c r="E466" s="102">
        <v>2020</v>
      </c>
      <c r="F466" s="102">
        <v>2020</v>
      </c>
      <c r="G466" s="137" t="s">
        <v>295</v>
      </c>
      <c r="H466" s="9">
        <v>200</v>
      </c>
      <c r="I466" s="9">
        <v>200</v>
      </c>
      <c r="J466" s="102"/>
      <c r="K466" s="102"/>
      <c r="L466" s="105">
        <v>20201118</v>
      </c>
    </row>
    <row r="467" spans="1:12">
      <c r="A467" s="2" t="s">
        <v>2190</v>
      </c>
      <c r="B467" s="102" t="s">
        <v>2469</v>
      </c>
      <c r="C467" s="9" t="s">
        <v>3370</v>
      </c>
      <c r="D467" s="284" t="s">
        <v>3371</v>
      </c>
      <c r="E467" s="102">
        <v>2020</v>
      </c>
      <c r="F467" s="102">
        <v>2020</v>
      </c>
      <c r="G467" s="137" t="s">
        <v>295</v>
      </c>
      <c r="H467" s="9">
        <v>200</v>
      </c>
      <c r="I467" s="9">
        <v>200</v>
      </c>
      <c r="J467" s="102"/>
      <c r="K467" s="102"/>
      <c r="L467" s="105">
        <v>20201118</v>
      </c>
    </row>
    <row r="468" spans="1:12">
      <c r="A468" s="2" t="s">
        <v>2193</v>
      </c>
      <c r="B468" s="102" t="s">
        <v>2469</v>
      </c>
      <c r="C468" s="9" t="s">
        <v>3372</v>
      </c>
      <c r="D468" s="102" t="s">
        <v>3373</v>
      </c>
      <c r="E468" s="102">
        <v>2020</v>
      </c>
      <c r="F468" s="102">
        <v>2020</v>
      </c>
      <c r="G468" s="9" t="s">
        <v>2480</v>
      </c>
      <c r="H468" s="9">
        <v>200</v>
      </c>
      <c r="I468" s="102">
        <v>200</v>
      </c>
      <c r="J468" s="102"/>
      <c r="K468" s="102"/>
      <c r="L468" s="105">
        <v>20201118</v>
      </c>
    </row>
    <row r="469" spans="1:12">
      <c r="A469" s="205"/>
      <c r="B469" s="205"/>
      <c r="C469" s="205"/>
      <c r="D469" s="205"/>
      <c r="E469" s="205"/>
      <c r="F469" s="205"/>
      <c r="G469" s="205"/>
      <c r="H469" s="205"/>
      <c r="I469" s="102" t="s">
        <v>3374</v>
      </c>
      <c r="J469" s="205"/>
      <c r="K469" s="205"/>
      <c r="L469" s="105"/>
    </row>
    <row r="471" spans="9:9">
      <c r="I471" s="256"/>
    </row>
    <row r="472" s="1" customFormat="1" spans="1:13">
      <c r="A472" s="2" t="s">
        <v>2196</v>
      </c>
      <c r="B472" s="107" t="s">
        <v>3375</v>
      </c>
      <c r="C472" s="107" t="s">
        <v>3376</v>
      </c>
      <c r="D472" s="107" t="s">
        <v>3377</v>
      </c>
      <c r="E472" s="131">
        <v>2020</v>
      </c>
      <c r="F472" s="102" t="s">
        <v>15</v>
      </c>
      <c r="G472" s="106" t="s">
        <v>16</v>
      </c>
      <c r="H472" s="107">
        <v>200</v>
      </c>
      <c r="I472" s="107">
        <v>200</v>
      </c>
      <c r="J472" s="107"/>
      <c r="K472" s="107" t="s">
        <v>3378</v>
      </c>
      <c r="L472"/>
      <c r="M472" s="1" t="s">
        <v>3379</v>
      </c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9"/>
  <sheetViews>
    <sheetView topLeftCell="A372" workbookViewId="0">
      <selection activeCell="A3" sqref="A3:L408"/>
    </sheetView>
  </sheetViews>
  <sheetFormatPr defaultColWidth="9" defaultRowHeight="13.5"/>
  <cols>
    <col min="1" max="1" width="5.5" style="203" customWidth="1"/>
    <col min="2" max="2" width="12.25" style="203" customWidth="1"/>
    <col min="3" max="3" width="9.875" style="247" customWidth="1"/>
    <col min="4" max="4" width="20.25" style="203" customWidth="1"/>
    <col min="5" max="5" width="10" style="203" customWidth="1"/>
    <col min="6" max="6" width="8.75" style="203" customWidth="1"/>
    <col min="7" max="7" width="11.75" style="203" customWidth="1"/>
    <col min="8" max="8" width="6.75" style="203" customWidth="1"/>
    <col min="9" max="9" width="9.25" style="203" customWidth="1"/>
    <col min="10" max="10" width="13.75" style="203" customWidth="1"/>
    <col min="11" max="11" width="9" style="203"/>
    <col min="12" max="12" width="11.75" customWidth="1"/>
    <col min="13" max="16352" width="9" style="246"/>
  </cols>
  <sheetData>
    <row r="1" customFormat="1" ht="29" customHeight="1" spans="1:12">
      <c r="A1" s="99" t="s">
        <v>3380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/>
      <c r="G2" s="2" t="s">
        <v>6</v>
      </c>
      <c r="H2" s="2" t="s">
        <v>7</v>
      </c>
      <c r="I2" s="2" t="s">
        <v>8</v>
      </c>
      <c r="J2" s="2" t="s">
        <v>9</v>
      </c>
      <c r="K2" s="104" t="s">
        <v>10</v>
      </c>
      <c r="L2" s="104" t="s">
        <v>11</v>
      </c>
    </row>
    <row r="3" s="246" customFormat="1" ht="16" customHeight="1" spans="1:12">
      <c r="A3" s="132">
        <v>1</v>
      </c>
      <c r="B3" s="102" t="s">
        <v>3381</v>
      </c>
      <c r="C3" s="9" t="s">
        <v>3382</v>
      </c>
      <c r="D3" s="137" t="s">
        <v>3383</v>
      </c>
      <c r="E3" s="102">
        <v>2020</v>
      </c>
      <c r="F3" s="102">
        <v>2020</v>
      </c>
      <c r="G3" s="132" t="s">
        <v>16</v>
      </c>
      <c r="H3" s="109">
        <v>200</v>
      </c>
      <c r="I3" s="109">
        <v>200</v>
      </c>
      <c r="J3" s="128"/>
      <c r="K3" s="111"/>
      <c r="L3" s="105">
        <v>20201118</v>
      </c>
    </row>
    <row r="4" s="246" customFormat="1" ht="16" customHeight="1" spans="1:12">
      <c r="A4" s="132">
        <v>2</v>
      </c>
      <c r="B4" s="102" t="s">
        <v>3381</v>
      </c>
      <c r="C4" s="9" t="s">
        <v>3384</v>
      </c>
      <c r="D4" s="137" t="s">
        <v>3385</v>
      </c>
      <c r="E4" s="102">
        <v>2020</v>
      </c>
      <c r="F4" s="102">
        <v>2020</v>
      </c>
      <c r="G4" s="132" t="s">
        <v>16</v>
      </c>
      <c r="H4" s="109">
        <v>200</v>
      </c>
      <c r="I4" s="109">
        <v>200</v>
      </c>
      <c r="J4" s="128"/>
      <c r="K4" s="111"/>
      <c r="L4" s="105">
        <v>20201118</v>
      </c>
    </row>
    <row r="5" s="246" customFormat="1" ht="16" customHeight="1" spans="1:12">
      <c r="A5" s="102">
        <v>3</v>
      </c>
      <c r="B5" s="102" t="s">
        <v>3381</v>
      </c>
      <c r="C5" s="9" t="s">
        <v>3386</v>
      </c>
      <c r="D5" s="137" t="s">
        <v>3387</v>
      </c>
      <c r="E5" s="102">
        <v>2020</v>
      </c>
      <c r="F5" s="102">
        <v>2020</v>
      </c>
      <c r="G5" s="132" t="s">
        <v>16</v>
      </c>
      <c r="H5" s="109">
        <v>200</v>
      </c>
      <c r="I5" s="109">
        <v>200</v>
      </c>
      <c r="J5" s="102"/>
      <c r="K5" s="111"/>
      <c r="L5" s="105">
        <v>20201118</v>
      </c>
    </row>
    <row r="6" s="246" customFormat="1" ht="16" customHeight="1" spans="1:12">
      <c r="A6" s="132">
        <v>4</v>
      </c>
      <c r="B6" s="102" t="s">
        <v>3381</v>
      </c>
      <c r="C6" s="9" t="s">
        <v>3388</v>
      </c>
      <c r="D6" s="137" t="s">
        <v>3389</v>
      </c>
      <c r="E6" s="102">
        <v>2020</v>
      </c>
      <c r="F6" s="102">
        <v>2020</v>
      </c>
      <c r="G6" s="132" t="s">
        <v>16</v>
      </c>
      <c r="H6" s="109">
        <v>200</v>
      </c>
      <c r="I6" s="109">
        <v>200</v>
      </c>
      <c r="J6" s="102"/>
      <c r="K6" s="111"/>
      <c r="L6" s="105">
        <v>20201118</v>
      </c>
    </row>
    <row r="7" s="246" customFormat="1" ht="16" customHeight="1" spans="1:12">
      <c r="A7" s="132">
        <v>5</v>
      </c>
      <c r="B7" s="102" t="s">
        <v>3381</v>
      </c>
      <c r="C7" s="9" t="s">
        <v>3390</v>
      </c>
      <c r="D7" s="137" t="s">
        <v>3391</v>
      </c>
      <c r="E7" s="102">
        <v>2020</v>
      </c>
      <c r="F7" s="102">
        <v>2020</v>
      </c>
      <c r="G7" s="132" t="s">
        <v>16</v>
      </c>
      <c r="H7" s="109">
        <v>200</v>
      </c>
      <c r="I7" s="109">
        <v>200</v>
      </c>
      <c r="J7" s="102"/>
      <c r="K7" s="111"/>
      <c r="L7" s="105">
        <v>20201118</v>
      </c>
    </row>
    <row r="8" s="246" customFormat="1" ht="16" customHeight="1" spans="1:12">
      <c r="A8" s="102">
        <v>6</v>
      </c>
      <c r="B8" s="102" t="s">
        <v>3381</v>
      </c>
      <c r="C8" s="9" t="s">
        <v>3392</v>
      </c>
      <c r="D8" s="137" t="s">
        <v>3393</v>
      </c>
      <c r="E8" s="102">
        <v>2020</v>
      </c>
      <c r="F8" s="102">
        <v>2020</v>
      </c>
      <c r="G8" s="132" t="s">
        <v>16</v>
      </c>
      <c r="H8" s="109">
        <v>200</v>
      </c>
      <c r="I8" s="109">
        <v>200</v>
      </c>
      <c r="J8" s="102"/>
      <c r="K8" s="111"/>
      <c r="L8" s="105">
        <v>20201118</v>
      </c>
    </row>
    <row r="9" s="246" customFormat="1" ht="16" customHeight="1" spans="1:12">
      <c r="A9" s="132">
        <v>7</v>
      </c>
      <c r="B9" s="102" t="s">
        <v>3381</v>
      </c>
      <c r="C9" s="9" t="s">
        <v>3394</v>
      </c>
      <c r="D9" s="137" t="s">
        <v>3395</v>
      </c>
      <c r="E9" s="102">
        <v>2020</v>
      </c>
      <c r="F9" s="102">
        <v>2020</v>
      </c>
      <c r="G9" s="132" t="s">
        <v>16</v>
      </c>
      <c r="H9" s="109">
        <v>200</v>
      </c>
      <c r="I9" s="109">
        <v>200</v>
      </c>
      <c r="J9" s="102"/>
      <c r="K9" s="111"/>
      <c r="L9" s="105">
        <v>20201118</v>
      </c>
    </row>
    <row r="10" s="246" customFormat="1" ht="16" customHeight="1" spans="1:12">
      <c r="A10" s="132">
        <v>8</v>
      </c>
      <c r="B10" s="102" t="s">
        <v>3381</v>
      </c>
      <c r="C10" s="9" t="s">
        <v>3396</v>
      </c>
      <c r="D10" s="137" t="s">
        <v>3397</v>
      </c>
      <c r="E10" s="102">
        <v>2020</v>
      </c>
      <c r="F10" s="102">
        <v>2020</v>
      </c>
      <c r="G10" s="132" t="s">
        <v>16</v>
      </c>
      <c r="H10" s="109">
        <v>200</v>
      </c>
      <c r="I10" s="109">
        <v>200</v>
      </c>
      <c r="J10" s="102"/>
      <c r="K10" s="111"/>
      <c r="L10" s="105">
        <v>20201118</v>
      </c>
    </row>
    <row r="11" s="246" customFormat="1" ht="16" customHeight="1" spans="1:12">
      <c r="A11" s="102">
        <v>9</v>
      </c>
      <c r="B11" s="102" t="s">
        <v>3381</v>
      </c>
      <c r="C11" s="9" t="s">
        <v>1166</v>
      </c>
      <c r="D11" s="137" t="s">
        <v>3398</v>
      </c>
      <c r="E11" s="102">
        <v>2020</v>
      </c>
      <c r="F11" s="102">
        <v>2020</v>
      </c>
      <c r="G11" s="132" t="s">
        <v>16</v>
      </c>
      <c r="H11" s="109">
        <v>200</v>
      </c>
      <c r="I11" s="109">
        <v>200</v>
      </c>
      <c r="J11" s="102"/>
      <c r="K11" s="111"/>
      <c r="L11" s="105">
        <v>20201118</v>
      </c>
    </row>
    <row r="12" s="246" customFormat="1" ht="16" customHeight="1" spans="1:12">
      <c r="A12" s="132">
        <v>10</v>
      </c>
      <c r="B12" s="102" t="s">
        <v>3381</v>
      </c>
      <c r="C12" s="9" t="s">
        <v>3399</v>
      </c>
      <c r="D12" s="137" t="s">
        <v>3400</v>
      </c>
      <c r="E12" s="102">
        <v>2020</v>
      </c>
      <c r="F12" s="102">
        <v>2020</v>
      </c>
      <c r="G12" s="132" t="s">
        <v>16</v>
      </c>
      <c r="H12" s="109">
        <v>200</v>
      </c>
      <c r="I12" s="109">
        <v>200</v>
      </c>
      <c r="J12" s="102"/>
      <c r="K12" s="111"/>
      <c r="L12" s="105">
        <v>20201118</v>
      </c>
    </row>
    <row r="13" s="246" customFormat="1" ht="16" customHeight="1" spans="1:12">
      <c r="A13" s="132">
        <v>11</v>
      </c>
      <c r="B13" s="102" t="s">
        <v>3381</v>
      </c>
      <c r="C13" s="9" t="s">
        <v>3401</v>
      </c>
      <c r="D13" s="137" t="s">
        <v>3402</v>
      </c>
      <c r="E13" s="102">
        <v>2020</v>
      </c>
      <c r="F13" s="102">
        <v>2020</v>
      </c>
      <c r="G13" s="132" t="s">
        <v>16</v>
      </c>
      <c r="H13" s="109">
        <v>200</v>
      </c>
      <c r="I13" s="109">
        <v>200</v>
      </c>
      <c r="J13" s="102"/>
      <c r="K13" s="111"/>
      <c r="L13" s="105">
        <v>20201118</v>
      </c>
    </row>
    <row r="14" s="246" customFormat="1" ht="16" customHeight="1" spans="1:12">
      <c r="A14" s="102">
        <v>12</v>
      </c>
      <c r="B14" s="102" t="s">
        <v>3381</v>
      </c>
      <c r="C14" s="9" t="s">
        <v>3403</v>
      </c>
      <c r="D14" s="137" t="s">
        <v>3404</v>
      </c>
      <c r="E14" s="102">
        <v>2020</v>
      </c>
      <c r="F14" s="102">
        <v>2020</v>
      </c>
      <c r="G14" s="132" t="s">
        <v>16</v>
      </c>
      <c r="H14" s="109">
        <v>200</v>
      </c>
      <c r="I14" s="109">
        <v>200</v>
      </c>
      <c r="J14" s="118" t="s">
        <v>3405</v>
      </c>
      <c r="K14" s="111"/>
      <c r="L14" s="105">
        <v>20201118</v>
      </c>
    </row>
    <row r="15" s="246" customFormat="1" ht="16" customHeight="1" spans="1:12">
      <c r="A15" s="132">
        <v>13</v>
      </c>
      <c r="B15" s="102" t="s">
        <v>3381</v>
      </c>
      <c r="C15" s="9" t="s">
        <v>3406</v>
      </c>
      <c r="D15" s="137" t="s">
        <v>3407</v>
      </c>
      <c r="E15" s="102">
        <v>2020</v>
      </c>
      <c r="F15" s="102">
        <v>2020</v>
      </c>
      <c r="G15" s="132" t="s">
        <v>16</v>
      </c>
      <c r="H15" s="109">
        <v>200</v>
      </c>
      <c r="I15" s="109">
        <v>200</v>
      </c>
      <c r="J15" s="102"/>
      <c r="K15" s="111"/>
      <c r="L15" s="105">
        <v>20201118</v>
      </c>
    </row>
    <row r="16" s="246" customFormat="1" ht="16" customHeight="1" spans="1:12">
      <c r="A16" s="132">
        <v>14</v>
      </c>
      <c r="B16" s="102" t="s">
        <v>3381</v>
      </c>
      <c r="C16" s="9" t="s">
        <v>3408</v>
      </c>
      <c r="D16" s="137" t="s">
        <v>3409</v>
      </c>
      <c r="E16" s="102">
        <v>2020</v>
      </c>
      <c r="F16" s="102">
        <v>2020</v>
      </c>
      <c r="G16" s="132" t="s">
        <v>16</v>
      </c>
      <c r="H16" s="109">
        <v>200</v>
      </c>
      <c r="I16" s="109">
        <v>200</v>
      </c>
      <c r="J16" s="102"/>
      <c r="K16" s="111"/>
      <c r="L16" s="105">
        <v>20201118</v>
      </c>
    </row>
    <row r="17" s="246" customFormat="1" ht="16" customHeight="1" spans="1:12">
      <c r="A17" s="102">
        <v>15</v>
      </c>
      <c r="B17" s="102" t="s">
        <v>3381</v>
      </c>
      <c r="C17" s="9" t="s">
        <v>3410</v>
      </c>
      <c r="D17" s="137" t="s">
        <v>3411</v>
      </c>
      <c r="E17" s="102">
        <v>2020</v>
      </c>
      <c r="F17" s="102">
        <v>2020</v>
      </c>
      <c r="G17" s="132" t="s">
        <v>16</v>
      </c>
      <c r="H17" s="109">
        <v>200</v>
      </c>
      <c r="I17" s="109">
        <v>200</v>
      </c>
      <c r="J17" s="102"/>
      <c r="K17" s="111"/>
      <c r="L17" s="105">
        <v>20201118</v>
      </c>
    </row>
    <row r="18" s="246" customFormat="1" ht="16" customHeight="1" spans="1:12">
      <c r="A18" s="132">
        <v>16</v>
      </c>
      <c r="B18" s="102" t="s">
        <v>3381</v>
      </c>
      <c r="C18" s="9" t="s">
        <v>3412</v>
      </c>
      <c r="D18" s="137" t="s">
        <v>3413</v>
      </c>
      <c r="E18" s="102">
        <v>2020</v>
      </c>
      <c r="F18" s="102">
        <v>2020</v>
      </c>
      <c r="G18" s="132" t="s">
        <v>16</v>
      </c>
      <c r="H18" s="109">
        <v>200</v>
      </c>
      <c r="I18" s="109">
        <v>200</v>
      </c>
      <c r="J18" s="118" t="s">
        <v>1242</v>
      </c>
      <c r="K18" s="111"/>
      <c r="L18" s="105">
        <v>20201118</v>
      </c>
    </row>
    <row r="19" s="246" customFormat="1" ht="16" customHeight="1" spans="1:12">
      <c r="A19" s="132">
        <v>17</v>
      </c>
      <c r="B19" s="102" t="s">
        <v>3381</v>
      </c>
      <c r="C19" s="9" t="s">
        <v>3414</v>
      </c>
      <c r="D19" s="137" t="s">
        <v>3415</v>
      </c>
      <c r="E19" s="102">
        <v>2020</v>
      </c>
      <c r="F19" s="102">
        <v>2020</v>
      </c>
      <c r="G19" s="132" t="s">
        <v>16</v>
      </c>
      <c r="H19" s="109">
        <v>200</v>
      </c>
      <c r="I19" s="109">
        <v>200</v>
      </c>
      <c r="J19" s="102"/>
      <c r="K19" s="111"/>
      <c r="L19" s="105">
        <v>20201118</v>
      </c>
    </row>
    <row r="20" s="246" customFormat="1" ht="16" customHeight="1" spans="1:12">
      <c r="A20" s="102">
        <v>18</v>
      </c>
      <c r="B20" s="102" t="s">
        <v>3381</v>
      </c>
      <c r="C20" s="9" t="s">
        <v>3416</v>
      </c>
      <c r="D20" s="137" t="s">
        <v>3417</v>
      </c>
      <c r="E20" s="102">
        <v>2020</v>
      </c>
      <c r="F20" s="102">
        <v>2020</v>
      </c>
      <c r="G20" s="132" t="s">
        <v>16</v>
      </c>
      <c r="H20" s="109">
        <v>200</v>
      </c>
      <c r="I20" s="109">
        <v>200</v>
      </c>
      <c r="J20" s="102"/>
      <c r="K20" s="111"/>
      <c r="L20" s="105">
        <v>20201118</v>
      </c>
    </row>
    <row r="21" s="246" customFormat="1" ht="16" customHeight="1" spans="1:12">
      <c r="A21" s="132">
        <v>19</v>
      </c>
      <c r="B21" s="102" t="s">
        <v>3381</v>
      </c>
      <c r="C21" s="9" t="s">
        <v>3418</v>
      </c>
      <c r="D21" s="137" t="s">
        <v>3419</v>
      </c>
      <c r="E21" s="102">
        <v>2020</v>
      </c>
      <c r="F21" s="102">
        <v>2020</v>
      </c>
      <c r="G21" s="132" t="s">
        <v>16</v>
      </c>
      <c r="H21" s="109">
        <v>200</v>
      </c>
      <c r="I21" s="109">
        <v>200</v>
      </c>
      <c r="J21" s="102"/>
      <c r="K21" s="111"/>
      <c r="L21" s="105">
        <v>20201118</v>
      </c>
    </row>
    <row r="22" s="246" customFormat="1" ht="16" customHeight="1" spans="1:12">
      <c r="A22" s="132">
        <v>20</v>
      </c>
      <c r="B22" s="102" t="s">
        <v>3381</v>
      </c>
      <c r="C22" s="9" t="s">
        <v>3420</v>
      </c>
      <c r="D22" s="137" t="s">
        <v>3421</v>
      </c>
      <c r="E22" s="102">
        <v>2020</v>
      </c>
      <c r="F22" s="102">
        <v>2020</v>
      </c>
      <c r="G22" s="132" t="s">
        <v>16</v>
      </c>
      <c r="H22" s="109">
        <v>200</v>
      </c>
      <c r="I22" s="109">
        <v>200</v>
      </c>
      <c r="J22" s="102"/>
      <c r="K22" s="111"/>
      <c r="L22" s="105">
        <v>20201118</v>
      </c>
    </row>
    <row r="23" s="246" customFormat="1" ht="16" customHeight="1" spans="1:12">
      <c r="A23" s="102">
        <v>21</v>
      </c>
      <c r="B23" s="102" t="s">
        <v>3381</v>
      </c>
      <c r="C23" s="9" t="s">
        <v>3422</v>
      </c>
      <c r="D23" s="137" t="s">
        <v>3423</v>
      </c>
      <c r="E23" s="102">
        <v>2020</v>
      </c>
      <c r="F23" s="102">
        <v>2020</v>
      </c>
      <c r="G23" s="132" t="s">
        <v>16</v>
      </c>
      <c r="H23" s="109">
        <v>200</v>
      </c>
      <c r="I23" s="109">
        <v>200</v>
      </c>
      <c r="J23" s="102"/>
      <c r="K23" s="111"/>
      <c r="L23" s="105">
        <v>20201118</v>
      </c>
    </row>
    <row r="24" s="246" customFormat="1" ht="16" customHeight="1" spans="1:12">
      <c r="A24" s="132">
        <v>22</v>
      </c>
      <c r="B24" s="102" t="s">
        <v>3381</v>
      </c>
      <c r="C24" s="9" t="s">
        <v>3424</v>
      </c>
      <c r="D24" s="137" t="s">
        <v>3425</v>
      </c>
      <c r="E24" s="102">
        <v>2020</v>
      </c>
      <c r="F24" s="102">
        <v>2020</v>
      </c>
      <c r="G24" s="132" t="s">
        <v>16</v>
      </c>
      <c r="H24" s="109">
        <v>200</v>
      </c>
      <c r="I24" s="109">
        <v>200</v>
      </c>
      <c r="J24" s="102"/>
      <c r="K24" s="111"/>
      <c r="L24" s="105">
        <v>20201118</v>
      </c>
    </row>
    <row r="25" s="246" customFormat="1" ht="16" customHeight="1" spans="1:12">
      <c r="A25" s="132">
        <v>23</v>
      </c>
      <c r="B25" s="102" t="s">
        <v>3381</v>
      </c>
      <c r="C25" s="9" t="s">
        <v>3426</v>
      </c>
      <c r="D25" s="137" t="s">
        <v>3427</v>
      </c>
      <c r="E25" s="102">
        <v>2020</v>
      </c>
      <c r="F25" s="102">
        <v>2020</v>
      </c>
      <c r="G25" s="132" t="s">
        <v>16</v>
      </c>
      <c r="H25" s="109">
        <v>200</v>
      </c>
      <c r="I25" s="109">
        <v>200</v>
      </c>
      <c r="J25" s="102"/>
      <c r="K25" s="111"/>
      <c r="L25" s="105">
        <v>20201118</v>
      </c>
    </row>
    <row r="26" s="246" customFormat="1" ht="16" customHeight="1" spans="1:12">
      <c r="A26" s="102">
        <v>24</v>
      </c>
      <c r="B26" s="102" t="s">
        <v>3381</v>
      </c>
      <c r="C26" s="9" t="s">
        <v>3428</v>
      </c>
      <c r="D26" s="137" t="s">
        <v>3429</v>
      </c>
      <c r="E26" s="102">
        <v>2020</v>
      </c>
      <c r="F26" s="102">
        <v>2020</v>
      </c>
      <c r="G26" s="132" t="s">
        <v>16</v>
      </c>
      <c r="H26" s="109">
        <v>200</v>
      </c>
      <c r="I26" s="109">
        <v>200</v>
      </c>
      <c r="J26" s="102"/>
      <c r="K26" s="111"/>
      <c r="L26" s="105">
        <v>20201118</v>
      </c>
    </row>
    <row r="27" s="246" customFormat="1" ht="16" customHeight="1" spans="1:12">
      <c r="A27" s="132">
        <v>25</v>
      </c>
      <c r="B27" s="102" t="s">
        <v>3381</v>
      </c>
      <c r="C27" s="9" t="s">
        <v>3430</v>
      </c>
      <c r="D27" s="137" t="s">
        <v>3431</v>
      </c>
      <c r="E27" s="102">
        <v>2020</v>
      </c>
      <c r="F27" s="102">
        <v>2020</v>
      </c>
      <c r="G27" s="132" t="s">
        <v>16</v>
      </c>
      <c r="H27" s="109">
        <v>200</v>
      </c>
      <c r="I27" s="109">
        <v>200</v>
      </c>
      <c r="J27" s="102"/>
      <c r="K27" s="111"/>
      <c r="L27" s="105">
        <v>20201118</v>
      </c>
    </row>
    <row r="28" s="246" customFormat="1" ht="16" customHeight="1" spans="1:12">
      <c r="A28" s="132">
        <v>26</v>
      </c>
      <c r="B28" s="102" t="s">
        <v>3381</v>
      </c>
      <c r="C28" s="9" t="s">
        <v>3432</v>
      </c>
      <c r="D28" s="137" t="s">
        <v>3433</v>
      </c>
      <c r="E28" s="102">
        <v>2020</v>
      </c>
      <c r="F28" s="102">
        <v>2020</v>
      </c>
      <c r="G28" s="132" t="s">
        <v>16</v>
      </c>
      <c r="H28" s="109">
        <v>200</v>
      </c>
      <c r="I28" s="109">
        <v>200</v>
      </c>
      <c r="J28" s="102"/>
      <c r="K28" s="111"/>
      <c r="L28" s="105">
        <v>20201118</v>
      </c>
    </row>
    <row r="29" s="246" customFormat="1" ht="16" customHeight="1" spans="1:12">
      <c r="A29" s="102">
        <v>27</v>
      </c>
      <c r="B29" s="102" t="s">
        <v>3381</v>
      </c>
      <c r="C29" s="9" t="s">
        <v>3434</v>
      </c>
      <c r="D29" s="137" t="s">
        <v>3435</v>
      </c>
      <c r="E29" s="102">
        <v>2020</v>
      </c>
      <c r="F29" s="102">
        <v>2020</v>
      </c>
      <c r="G29" s="132" t="s">
        <v>16</v>
      </c>
      <c r="H29" s="109">
        <v>200</v>
      </c>
      <c r="I29" s="109">
        <v>200</v>
      </c>
      <c r="J29" s="102"/>
      <c r="K29" s="111"/>
      <c r="L29" s="105">
        <v>20201118</v>
      </c>
    </row>
    <row r="30" s="246" customFormat="1" ht="16" customHeight="1" spans="1:12">
      <c r="A30" s="132">
        <v>28</v>
      </c>
      <c r="B30" s="102" t="s">
        <v>3381</v>
      </c>
      <c r="C30" s="9" t="s">
        <v>3436</v>
      </c>
      <c r="D30" s="137" t="s">
        <v>3437</v>
      </c>
      <c r="E30" s="102">
        <v>2020</v>
      </c>
      <c r="F30" s="102">
        <v>2020</v>
      </c>
      <c r="G30" s="132" t="s">
        <v>16</v>
      </c>
      <c r="H30" s="109">
        <v>200</v>
      </c>
      <c r="I30" s="109">
        <v>200</v>
      </c>
      <c r="J30" s="102"/>
      <c r="K30" s="111"/>
      <c r="L30" s="105">
        <v>20201118</v>
      </c>
    </row>
    <row r="31" s="246" customFormat="1" ht="16" customHeight="1" spans="1:12">
      <c r="A31" s="132">
        <v>29</v>
      </c>
      <c r="B31" s="102" t="s">
        <v>3381</v>
      </c>
      <c r="C31" s="9" t="s">
        <v>3438</v>
      </c>
      <c r="D31" s="137" t="s">
        <v>3439</v>
      </c>
      <c r="E31" s="102">
        <v>2020</v>
      </c>
      <c r="F31" s="102">
        <v>2020</v>
      </c>
      <c r="G31" s="132" t="s">
        <v>16</v>
      </c>
      <c r="H31" s="109">
        <v>200</v>
      </c>
      <c r="I31" s="109">
        <v>200</v>
      </c>
      <c r="J31" s="102"/>
      <c r="K31" s="111"/>
      <c r="L31" s="105">
        <v>20201118</v>
      </c>
    </row>
    <row r="32" s="246" customFormat="1" ht="16" customHeight="1" spans="1:12">
      <c r="A32" s="102">
        <v>30</v>
      </c>
      <c r="B32" s="102" t="s">
        <v>3381</v>
      </c>
      <c r="C32" s="9" t="s">
        <v>3440</v>
      </c>
      <c r="D32" s="137" t="s">
        <v>3441</v>
      </c>
      <c r="E32" s="102">
        <v>2020</v>
      </c>
      <c r="F32" s="102">
        <v>2020</v>
      </c>
      <c r="G32" s="132" t="s">
        <v>16</v>
      </c>
      <c r="H32" s="109">
        <v>200</v>
      </c>
      <c r="I32" s="109">
        <v>200</v>
      </c>
      <c r="J32" s="102"/>
      <c r="K32" s="111"/>
      <c r="L32" s="105">
        <v>20201118</v>
      </c>
    </row>
    <row r="33" s="246" customFormat="1" ht="16" customHeight="1" spans="1:12">
      <c r="A33" s="132">
        <v>31</v>
      </c>
      <c r="B33" s="102" t="s">
        <v>3381</v>
      </c>
      <c r="C33" s="9" t="s">
        <v>3442</v>
      </c>
      <c r="D33" s="137" t="s">
        <v>3443</v>
      </c>
      <c r="E33" s="102">
        <v>2020</v>
      </c>
      <c r="F33" s="102">
        <v>2020</v>
      </c>
      <c r="G33" s="132" t="s">
        <v>16</v>
      </c>
      <c r="H33" s="109">
        <v>200</v>
      </c>
      <c r="I33" s="109">
        <v>200</v>
      </c>
      <c r="J33" s="118" t="s">
        <v>3405</v>
      </c>
      <c r="K33" s="111"/>
      <c r="L33" s="105">
        <v>20201118</v>
      </c>
    </row>
    <row r="34" s="246" customFormat="1" ht="16" customHeight="1" spans="1:12">
      <c r="A34" s="132">
        <v>32</v>
      </c>
      <c r="B34" s="102" t="s">
        <v>3381</v>
      </c>
      <c r="C34" s="9" t="s">
        <v>3444</v>
      </c>
      <c r="D34" s="137" t="s">
        <v>3445</v>
      </c>
      <c r="E34" s="102">
        <v>2020</v>
      </c>
      <c r="F34" s="102">
        <v>2020</v>
      </c>
      <c r="G34" s="132" t="s">
        <v>16</v>
      </c>
      <c r="H34" s="109">
        <v>200</v>
      </c>
      <c r="I34" s="109">
        <v>200</v>
      </c>
      <c r="J34" s="102"/>
      <c r="K34" s="111"/>
      <c r="L34" s="105">
        <v>20201118</v>
      </c>
    </row>
    <row r="35" s="246" customFormat="1" ht="16" customHeight="1" spans="1:12">
      <c r="A35" s="102">
        <v>33</v>
      </c>
      <c r="B35" s="102" t="s">
        <v>3381</v>
      </c>
      <c r="C35" s="9" t="s">
        <v>3446</v>
      </c>
      <c r="D35" s="137" t="s">
        <v>3447</v>
      </c>
      <c r="E35" s="102">
        <v>2020</v>
      </c>
      <c r="F35" s="102">
        <v>2020</v>
      </c>
      <c r="G35" s="132" t="s">
        <v>16</v>
      </c>
      <c r="H35" s="109">
        <v>200</v>
      </c>
      <c r="I35" s="109">
        <v>200</v>
      </c>
      <c r="J35" s="102"/>
      <c r="K35" s="111"/>
      <c r="L35" s="105">
        <v>20201118</v>
      </c>
    </row>
    <row r="36" s="246" customFormat="1" ht="16" customHeight="1" spans="1:12">
      <c r="A36" s="132">
        <v>34</v>
      </c>
      <c r="B36" s="102" t="s">
        <v>3381</v>
      </c>
      <c r="C36" s="9" t="s">
        <v>3448</v>
      </c>
      <c r="D36" s="137" t="s">
        <v>3449</v>
      </c>
      <c r="E36" s="102">
        <v>2020</v>
      </c>
      <c r="F36" s="102">
        <v>2020</v>
      </c>
      <c r="G36" s="132" t="s">
        <v>16</v>
      </c>
      <c r="H36" s="109">
        <v>200</v>
      </c>
      <c r="I36" s="109">
        <v>200</v>
      </c>
      <c r="J36" s="118" t="s">
        <v>1242</v>
      </c>
      <c r="K36" s="111"/>
      <c r="L36" s="105">
        <v>20201118</v>
      </c>
    </row>
    <row r="37" s="246" customFormat="1" ht="16" customHeight="1" spans="1:12">
      <c r="A37" s="132">
        <v>35</v>
      </c>
      <c r="B37" s="102" t="s">
        <v>3381</v>
      </c>
      <c r="C37" s="9" t="s">
        <v>3450</v>
      </c>
      <c r="D37" s="137" t="s">
        <v>3451</v>
      </c>
      <c r="E37" s="102">
        <v>2020</v>
      </c>
      <c r="F37" s="102">
        <v>2020</v>
      </c>
      <c r="G37" s="132" t="s">
        <v>16</v>
      </c>
      <c r="H37" s="109">
        <v>200</v>
      </c>
      <c r="I37" s="109">
        <v>200</v>
      </c>
      <c r="J37" s="102"/>
      <c r="K37" s="111"/>
      <c r="L37" s="105">
        <v>20201118</v>
      </c>
    </row>
    <row r="38" s="246" customFormat="1" ht="16" customHeight="1" spans="1:12">
      <c r="A38" s="102">
        <v>36</v>
      </c>
      <c r="B38" s="102" t="s">
        <v>3381</v>
      </c>
      <c r="C38" s="9" t="s">
        <v>678</v>
      </c>
      <c r="D38" s="137" t="s">
        <v>3452</v>
      </c>
      <c r="E38" s="102">
        <v>2020</v>
      </c>
      <c r="F38" s="102">
        <v>2020</v>
      </c>
      <c r="G38" s="132" t="s">
        <v>16</v>
      </c>
      <c r="H38" s="109">
        <v>200</v>
      </c>
      <c r="I38" s="109">
        <v>200</v>
      </c>
      <c r="J38" s="102"/>
      <c r="K38" s="111"/>
      <c r="L38" s="105">
        <v>20201118</v>
      </c>
    </row>
    <row r="39" s="246" customFormat="1" ht="16" customHeight="1" spans="1:12">
      <c r="A39" s="132">
        <v>37</v>
      </c>
      <c r="B39" s="102" t="s">
        <v>3381</v>
      </c>
      <c r="C39" s="9" t="s">
        <v>3453</v>
      </c>
      <c r="D39" s="137" t="s">
        <v>3454</v>
      </c>
      <c r="E39" s="102">
        <v>2020</v>
      </c>
      <c r="F39" s="102">
        <v>2020</v>
      </c>
      <c r="G39" s="132" t="s">
        <v>16</v>
      </c>
      <c r="H39" s="109">
        <v>200</v>
      </c>
      <c r="I39" s="109">
        <v>200</v>
      </c>
      <c r="J39" s="102"/>
      <c r="K39" s="111"/>
      <c r="L39" s="105">
        <v>20201118</v>
      </c>
    </row>
    <row r="40" s="246" customFormat="1" ht="16" customHeight="1" spans="1:12">
      <c r="A40" s="132">
        <v>38</v>
      </c>
      <c r="B40" s="102" t="s">
        <v>3381</v>
      </c>
      <c r="C40" s="9" t="s">
        <v>3455</v>
      </c>
      <c r="D40" s="137" t="s">
        <v>3456</v>
      </c>
      <c r="E40" s="102">
        <v>2020</v>
      </c>
      <c r="F40" s="102">
        <v>2020</v>
      </c>
      <c r="G40" s="132" t="s">
        <v>16</v>
      </c>
      <c r="H40" s="109">
        <v>200</v>
      </c>
      <c r="I40" s="109">
        <v>200</v>
      </c>
      <c r="J40" s="102"/>
      <c r="K40" s="111"/>
      <c r="L40" s="105">
        <v>20201118</v>
      </c>
    </row>
    <row r="41" s="246" customFormat="1" ht="16" customHeight="1" spans="1:12">
      <c r="A41" s="102">
        <v>39</v>
      </c>
      <c r="B41" s="102" t="s">
        <v>3381</v>
      </c>
      <c r="C41" s="9" t="s">
        <v>3457</v>
      </c>
      <c r="D41" s="137" t="s">
        <v>3458</v>
      </c>
      <c r="E41" s="102">
        <v>2020</v>
      </c>
      <c r="F41" s="102">
        <v>2020</v>
      </c>
      <c r="G41" s="132" t="s">
        <v>16</v>
      </c>
      <c r="H41" s="109">
        <v>200</v>
      </c>
      <c r="I41" s="109">
        <v>200</v>
      </c>
      <c r="J41" s="102"/>
      <c r="K41" s="111"/>
      <c r="L41" s="105">
        <v>20201118</v>
      </c>
    </row>
    <row r="42" s="246" customFormat="1" ht="16" customHeight="1" spans="1:12">
      <c r="A42" s="132">
        <v>40</v>
      </c>
      <c r="B42" s="102" t="s">
        <v>3381</v>
      </c>
      <c r="C42" s="9" t="s">
        <v>3459</v>
      </c>
      <c r="D42" s="137" t="s">
        <v>3460</v>
      </c>
      <c r="E42" s="102">
        <v>2020</v>
      </c>
      <c r="F42" s="102">
        <v>2020</v>
      </c>
      <c r="G42" s="132" t="s">
        <v>16</v>
      </c>
      <c r="H42" s="109">
        <v>200</v>
      </c>
      <c r="I42" s="109">
        <v>200</v>
      </c>
      <c r="J42" s="102"/>
      <c r="K42" s="111"/>
      <c r="L42" s="105">
        <v>20201118</v>
      </c>
    </row>
    <row r="43" s="246" customFormat="1" ht="16" customHeight="1" spans="1:12">
      <c r="A43" s="132">
        <v>41</v>
      </c>
      <c r="B43" s="102" t="s">
        <v>3381</v>
      </c>
      <c r="C43" s="9" t="s">
        <v>3461</v>
      </c>
      <c r="D43" s="137" t="s">
        <v>3462</v>
      </c>
      <c r="E43" s="102">
        <v>2020</v>
      </c>
      <c r="F43" s="102">
        <v>2020</v>
      </c>
      <c r="G43" s="132" t="s">
        <v>16</v>
      </c>
      <c r="H43" s="109">
        <v>200</v>
      </c>
      <c r="I43" s="109">
        <v>200</v>
      </c>
      <c r="J43" s="102"/>
      <c r="K43" s="111"/>
      <c r="L43" s="105">
        <v>20201118</v>
      </c>
    </row>
    <row r="44" s="246" customFormat="1" ht="16" customHeight="1" spans="1:12">
      <c r="A44" s="102">
        <v>42</v>
      </c>
      <c r="B44" s="102" t="s">
        <v>3381</v>
      </c>
      <c r="C44" s="9" t="s">
        <v>3463</v>
      </c>
      <c r="D44" s="137" t="s">
        <v>3464</v>
      </c>
      <c r="E44" s="102">
        <v>2020</v>
      </c>
      <c r="F44" s="102">
        <v>2020</v>
      </c>
      <c r="G44" s="132" t="s">
        <v>16</v>
      </c>
      <c r="H44" s="109">
        <v>200</v>
      </c>
      <c r="I44" s="109">
        <v>200</v>
      </c>
      <c r="J44" s="102"/>
      <c r="K44" s="111"/>
      <c r="L44" s="105">
        <v>20201118</v>
      </c>
    </row>
    <row r="45" s="246" customFormat="1" ht="16" customHeight="1" spans="1:12">
      <c r="A45" s="132">
        <v>43</v>
      </c>
      <c r="B45" s="102" t="s">
        <v>3381</v>
      </c>
      <c r="C45" s="9" t="s">
        <v>3465</v>
      </c>
      <c r="D45" s="137" t="s">
        <v>3466</v>
      </c>
      <c r="E45" s="102">
        <v>2020</v>
      </c>
      <c r="F45" s="102">
        <v>2020</v>
      </c>
      <c r="G45" s="132" t="s">
        <v>16</v>
      </c>
      <c r="H45" s="109">
        <v>200</v>
      </c>
      <c r="I45" s="109">
        <v>200</v>
      </c>
      <c r="J45" s="102"/>
      <c r="K45" s="111"/>
      <c r="L45" s="105">
        <v>20201118</v>
      </c>
    </row>
    <row r="46" s="246" customFormat="1" ht="16" customHeight="1" spans="1:12">
      <c r="A46" s="132">
        <v>44</v>
      </c>
      <c r="B46" s="102" t="s">
        <v>3381</v>
      </c>
      <c r="C46" s="9" t="s">
        <v>3467</v>
      </c>
      <c r="D46" s="137" t="s">
        <v>3468</v>
      </c>
      <c r="E46" s="102">
        <v>2020</v>
      </c>
      <c r="F46" s="102">
        <v>2020</v>
      </c>
      <c r="G46" s="132" t="s">
        <v>16</v>
      </c>
      <c r="H46" s="109">
        <v>200</v>
      </c>
      <c r="I46" s="109">
        <v>200</v>
      </c>
      <c r="J46" s="118" t="s">
        <v>1242</v>
      </c>
      <c r="K46" s="111"/>
      <c r="L46" s="105">
        <v>20201118</v>
      </c>
    </row>
    <row r="47" s="246" customFormat="1" ht="16" customHeight="1" spans="1:12">
      <c r="A47" s="102">
        <v>45</v>
      </c>
      <c r="B47" s="102" t="s">
        <v>3381</v>
      </c>
      <c r="C47" s="9" t="s">
        <v>3469</v>
      </c>
      <c r="D47" s="137" t="s">
        <v>3470</v>
      </c>
      <c r="E47" s="102">
        <v>2020</v>
      </c>
      <c r="F47" s="102">
        <v>2020</v>
      </c>
      <c r="G47" s="132" t="s">
        <v>16</v>
      </c>
      <c r="H47" s="109">
        <v>200</v>
      </c>
      <c r="I47" s="109">
        <v>200</v>
      </c>
      <c r="J47" s="102"/>
      <c r="K47" s="111"/>
      <c r="L47" s="105">
        <v>20201118</v>
      </c>
    </row>
    <row r="48" s="246" customFormat="1" ht="16" customHeight="1" spans="1:12">
      <c r="A48" s="132">
        <v>46</v>
      </c>
      <c r="B48" s="102" t="s">
        <v>3381</v>
      </c>
      <c r="C48" s="9" t="s">
        <v>3471</v>
      </c>
      <c r="D48" s="137" t="s">
        <v>3472</v>
      </c>
      <c r="E48" s="102">
        <v>2020</v>
      </c>
      <c r="F48" s="102">
        <v>2020</v>
      </c>
      <c r="G48" s="132" t="s">
        <v>16</v>
      </c>
      <c r="H48" s="109">
        <v>200</v>
      </c>
      <c r="I48" s="109">
        <v>200</v>
      </c>
      <c r="J48" s="102"/>
      <c r="K48" s="111"/>
      <c r="L48" s="105">
        <v>20201118</v>
      </c>
    </row>
    <row r="49" s="246" customFormat="1" ht="16" customHeight="1" spans="1:12">
      <c r="A49" s="132">
        <v>47</v>
      </c>
      <c r="B49" s="102" t="s">
        <v>3381</v>
      </c>
      <c r="C49" s="9" t="s">
        <v>3473</v>
      </c>
      <c r="D49" s="137" t="s">
        <v>3474</v>
      </c>
      <c r="E49" s="102">
        <v>2020</v>
      </c>
      <c r="F49" s="102">
        <v>2020</v>
      </c>
      <c r="G49" s="132" t="s">
        <v>16</v>
      </c>
      <c r="H49" s="109">
        <v>200</v>
      </c>
      <c r="I49" s="109">
        <v>200</v>
      </c>
      <c r="J49" s="102"/>
      <c r="K49" s="111"/>
      <c r="L49" s="105">
        <v>20201118</v>
      </c>
    </row>
    <row r="50" s="246" customFormat="1" ht="16" customHeight="1" spans="1:12">
      <c r="A50" s="102">
        <v>48</v>
      </c>
      <c r="B50" s="102" t="s">
        <v>3381</v>
      </c>
      <c r="C50" s="9" t="s">
        <v>3475</v>
      </c>
      <c r="D50" s="137" t="s">
        <v>3476</v>
      </c>
      <c r="E50" s="102">
        <v>2020</v>
      </c>
      <c r="F50" s="102">
        <v>2020</v>
      </c>
      <c r="G50" s="132" t="s">
        <v>16</v>
      </c>
      <c r="H50" s="109">
        <v>200</v>
      </c>
      <c r="I50" s="109">
        <v>200</v>
      </c>
      <c r="J50" s="102"/>
      <c r="K50" s="111"/>
      <c r="L50" s="105">
        <v>20201118</v>
      </c>
    </row>
    <row r="51" s="246" customFormat="1" ht="16" customHeight="1" spans="1:12">
      <c r="A51" s="132">
        <v>49</v>
      </c>
      <c r="B51" s="102" t="s">
        <v>3381</v>
      </c>
      <c r="C51" s="9" t="s">
        <v>3477</v>
      </c>
      <c r="D51" s="137" t="s">
        <v>3478</v>
      </c>
      <c r="E51" s="102">
        <v>2020</v>
      </c>
      <c r="F51" s="102">
        <v>2020</v>
      </c>
      <c r="G51" s="132" t="s">
        <v>16</v>
      </c>
      <c r="H51" s="109">
        <v>500</v>
      </c>
      <c r="I51" s="109">
        <v>500</v>
      </c>
      <c r="J51" s="102"/>
      <c r="K51" s="111"/>
      <c r="L51" s="105">
        <v>20201118</v>
      </c>
    </row>
    <row r="52" s="246" customFormat="1" ht="16" customHeight="1" spans="1:12">
      <c r="A52" s="132">
        <v>50</v>
      </c>
      <c r="B52" s="102" t="s">
        <v>3381</v>
      </c>
      <c r="C52" s="9" t="s">
        <v>3479</v>
      </c>
      <c r="D52" s="137" t="s">
        <v>3480</v>
      </c>
      <c r="E52" s="102">
        <v>2020</v>
      </c>
      <c r="F52" s="102">
        <v>2020</v>
      </c>
      <c r="G52" s="132" t="s">
        <v>16</v>
      </c>
      <c r="H52" s="109">
        <v>200</v>
      </c>
      <c r="I52" s="109">
        <v>200</v>
      </c>
      <c r="J52" s="102"/>
      <c r="K52" s="111"/>
      <c r="L52" s="105">
        <v>20201118</v>
      </c>
    </row>
    <row r="53" s="246" customFormat="1" ht="16" customHeight="1" spans="1:12">
      <c r="A53" s="102">
        <v>51</v>
      </c>
      <c r="B53" s="102" t="s">
        <v>3381</v>
      </c>
      <c r="C53" s="9" t="s">
        <v>3481</v>
      </c>
      <c r="D53" s="137" t="s">
        <v>3482</v>
      </c>
      <c r="E53" s="102">
        <v>2020</v>
      </c>
      <c r="F53" s="102">
        <v>2020</v>
      </c>
      <c r="G53" s="132" t="s">
        <v>16</v>
      </c>
      <c r="H53" s="109">
        <v>200</v>
      </c>
      <c r="I53" s="109">
        <v>200</v>
      </c>
      <c r="J53" s="102"/>
      <c r="K53" s="111"/>
      <c r="L53" s="105">
        <v>20201118</v>
      </c>
    </row>
    <row r="54" s="246" customFormat="1" ht="16" customHeight="1" spans="1:12">
      <c r="A54" s="132">
        <v>52</v>
      </c>
      <c r="B54" s="102" t="s">
        <v>3381</v>
      </c>
      <c r="C54" s="9" t="s">
        <v>512</v>
      </c>
      <c r="D54" s="137" t="s">
        <v>3483</v>
      </c>
      <c r="E54" s="102">
        <v>2020</v>
      </c>
      <c r="F54" s="102">
        <v>2020</v>
      </c>
      <c r="G54" s="132" t="s">
        <v>16</v>
      </c>
      <c r="H54" s="109">
        <v>200</v>
      </c>
      <c r="I54" s="109">
        <v>200</v>
      </c>
      <c r="J54" s="102"/>
      <c r="K54" s="111"/>
      <c r="L54" s="105">
        <v>20201118</v>
      </c>
    </row>
    <row r="55" s="246" customFormat="1" ht="16" customHeight="1" spans="1:12">
      <c r="A55" s="132">
        <v>53</v>
      </c>
      <c r="B55" s="102" t="s">
        <v>3381</v>
      </c>
      <c r="C55" s="9" t="s">
        <v>3484</v>
      </c>
      <c r="D55" s="137" t="s">
        <v>3485</v>
      </c>
      <c r="E55" s="102">
        <v>2020</v>
      </c>
      <c r="F55" s="102">
        <v>2020</v>
      </c>
      <c r="G55" s="132" t="s">
        <v>16</v>
      </c>
      <c r="H55" s="109">
        <v>200</v>
      </c>
      <c r="I55" s="109">
        <v>200</v>
      </c>
      <c r="J55" s="102"/>
      <c r="K55" s="111"/>
      <c r="L55" s="105">
        <v>20201118</v>
      </c>
    </row>
    <row r="56" s="246" customFormat="1" ht="16" customHeight="1" spans="1:12">
      <c r="A56" s="102">
        <v>54</v>
      </c>
      <c r="B56" s="102" t="s">
        <v>3381</v>
      </c>
      <c r="C56" s="9" t="s">
        <v>3486</v>
      </c>
      <c r="D56" s="137" t="s">
        <v>3487</v>
      </c>
      <c r="E56" s="102">
        <v>2020</v>
      </c>
      <c r="F56" s="102">
        <v>2020</v>
      </c>
      <c r="G56" s="132" t="s">
        <v>16</v>
      </c>
      <c r="H56" s="109">
        <v>200</v>
      </c>
      <c r="I56" s="109">
        <v>200</v>
      </c>
      <c r="J56" s="102"/>
      <c r="K56" s="111"/>
      <c r="L56" s="105">
        <v>20201118</v>
      </c>
    </row>
    <row r="57" s="246" customFormat="1" ht="16" customHeight="1" spans="1:12">
      <c r="A57" s="132">
        <v>55</v>
      </c>
      <c r="B57" s="102" t="s">
        <v>3381</v>
      </c>
      <c r="C57" s="9" t="s">
        <v>3488</v>
      </c>
      <c r="D57" s="137" t="s">
        <v>3489</v>
      </c>
      <c r="E57" s="102">
        <v>2020</v>
      </c>
      <c r="F57" s="102">
        <v>2020</v>
      </c>
      <c r="G57" s="132" t="s">
        <v>16</v>
      </c>
      <c r="H57" s="109">
        <v>200</v>
      </c>
      <c r="I57" s="109">
        <v>200</v>
      </c>
      <c r="J57" s="102"/>
      <c r="K57" s="111"/>
      <c r="L57" s="105">
        <v>20201118</v>
      </c>
    </row>
    <row r="58" s="246" customFormat="1" ht="16" customHeight="1" spans="1:12">
      <c r="A58" s="132">
        <v>56</v>
      </c>
      <c r="B58" s="102" t="s">
        <v>3381</v>
      </c>
      <c r="C58" s="9" t="s">
        <v>3490</v>
      </c>
      <c r="D58" s="137" t="s">
        <v>3491</v>
      </c>
      <c r="E58" s="102">
        <v>2020</v>
      </c>
      <c r="F58" s="102">
        <v>2020</v>
      </c>
      <c r="G58" s="132" t="s">
        <v>16</v>
      </c>
      <c r="H58" s="109">
        <v>200</v>
      </c>
      <c r="I58" s="109">
        <v>200</v>
      </c>
      <c r="J58" s="102"/>
      <c r="K58" s="111"/>
      <c r="L58" s="105">
        <v>20201118</v>
      </c>
    </row>
    <row r="59" s="246" customFormat="1" ht="16" customHeight="1" spans="1:12">
      <c r="A59" s="102">
        <v>57</v>
      </c>
      <c r="B59" s="102" t="s">
        <v>3381</v>
      </c>
      <c r="C59" s="9" t="s">
        <v>3492</v>
      </c>
      <c r="D59" s="137" t="s">
        <v>3493</v>
      </c>
      <c r="E59" s="102">
        <v>2020</v>
      </c>
      <c r="F59" s="102">
        <v>2020</v>
      </c>
      <c r="G59" s="132" t="s">
        <v>16</v>
      </c>
      <c r="H59" s="109">
        <v>200</v>
      </c>
      <c r="I59" s="109">
        <v>200</v>
      </c>
      <c r="J59" s="102"/>
      <c r="K59" s="111"/>
      <c r="L59" s="105">
        <v>20201118</v>
      </c>
    </row>
    <row r="60" s="246" customFormat="1" ht="16" customHeight="1" spans="1:12">
      <c r="A60" s="132">
        <v>58</v>
      </c>
      <c r="B60" s="102" t="s">
        <v>3381</v>
      </c>
      <c r="C60" s="9" t="s">
        <v>3494</v>
      </c>
      <c r="D60" s="137" t="s">
        <v>3495</v>
      </c>
      <c r="E60" s="102">
        <v>2020</v>
      </c>
      <c r="F60" s="102">
        <v>2020</v>
      </c>
      <c r="G60" s="132" t="s">
        <v>16</v>
      </c>
      <c r="H60" s="109">
        <v>200</v>
      </c>
      <c r="I60" s="109">
        <v>200</v>
      </c>
      <c r="J60" s="102"/>
      <c r="K60" s="111"/>
      <c r="L60" s="105">
        <v>20201118</v>
      </c>
    </row>
    <row r="61" s="246" customFormat="1" ht="16" customHeight="1" spans="1:12">
      <c r="A61" s="132">
        <v>59</v>
      </c>
      <c r="B61" s="102" t="s">
        <v>3381</v>
      </c>
      <c r="C61" s="9" t="s">
        <v>3496</v>
      </c>
      <c r="D61" s="137" t="s">
        <v>3497</v>
      </c>
      <c r="E61" s="102">
        <v>2020</v>
      </c>
      <c r="F61" s="102">
        <v>2020</v>
      </c>
      <c r="G61" s="132" t="s">
        <v>16</v>
      </c>
      <c r="H61" s="109">
        <v>200</v>
      </c>
      <c r="I61" s="109">
        <v>200</v>
      </c>
      <c r="J61" s="102"/>
      <c r="K61" s="111"/>
      <c r="L61" s="105">
        <v>20201118</v>
      </c>
    </row>
    <row r="62" s="246" customFormat="1" ht="16" customHeight="1" spans="1:12">
      <c r="A62" s="102">
        <v>60</v>
      </c>
      <c r="B62" s="102" t="s">
        <v>3381</v>
      </c>
      <c r="C62" s="9" t="s">
        <v>3498</v>
      </c>
      <c r="D62" s="137" t="s">
        <v>3499</v>
      </c>
      <c r="E62" s="102">
        <v>2020</v>
      </c>
      <c r="F62" s="102">
        <v>2020</v>
      </c>
      <c r="G62" s="132" t="s">
        <v>16</v>
      </c>
      <c r="H62" s="109">
        <v>200</v>
      </c>
      <c r="I62" s="109">
        <v>200</v>
      </c>
      <c r="J62" s="102"/>
      <c r="K62" s="111"/>
      <c r="L62" s="105">
        <v>20201118</v>
      </c>
    </row>
    <row r="63" s="246" customFormat="1" ht="16" customHeight="1" spans="1:12">
      <c r="A63" s="132">
        <v>61</v>
      </c>
      <c r="B63" s="102" t="s">
        <v>3381</v>
      </c>
      <c r="C63" s="9" t="s">
        <v>3500</v>
      </c>
      <c r="D63" s="137" t="s">
        <v>3501</v>
      </c>
      <c r="E63" s="102">
        <v>2020</v>
      </c>
      <c r="F63" s="102">
        <v>2020</v>
      </c>
      <c r="G63" s="132" t="s">
        <v>16</v>
      </c>
      <c r="H63" s="109">
        <v>200</v>
      </c>
      <c r="I63" s="109">
        <v>200</v>
      </c>
      <c r="J63" s="102"/>
      <c r="K63" s="111"/>
      <c r="L63" s="105">
        <v>20201118</v>
      </c>
    </row>
    <row r="64" s="246" customFormat="1" ht="16" customHeight="1" spans="1:12">
      <c r="A64" s="132">
        <v>62</v>
      </c>
      <c r="B64" s="102" t="s">
        <v>3381</v>
      </c>
      <c r="C64" s="9" t="s">
        <v>3502</v>
      </c>
      <c r="D64" s="137" t="s">
        <v>3503</v>
      </c>
      <c r="E64" s="102">
        <v>2020</v>
      </c>
      <c r="F64" s="102">
        <v>2020</v>
      </c>
      <c r="G64" s="132" t="s">
        <v>16</v>
      </c>
      <c r="H64" s="109">
        <v>200</v>
      </c>
      <c r="I64" s="109">
        <v>200</v>
      </c>
      <c r="J64" s="102"/>
      <c r="K64" s="111"/>
      <c r="L64" s="105">
        <v>20201118</v>
      </c>
    </row>
    <row r="65" s="246" customFormat="1" ht="16" customHeight="1" spans="1:12">
      <c r="A65" s="102">
        <v>63</v>
      </c>
      <c r="B65" s="102" t="s">
        <v>3381</v>
      </c>
      <c r="C65" s="9" t="s">
        <v>3504</v>
      </c>
      <c r="D65" s="137" t="s">
        <v>3505</v>
      </c>
      <c r="E65" s="102">
        <v>2020</v>
      </c>
      <c r="F65" s="102">
        <v>2020</v>
      </c>
      <c r="G65" s="132" t="s">
        <v>16</v>
      </c>
      <c r="H65" s="109">
        <v>200</v>
      </c>
      <c r="I65" s="109">
        <v>200</v>
      </c>
      <c r="J65" s="102"/>
      <c r="K65" s="111"/>
      <c r="L65" s="105">
        <v>20201118</v>
      </c>
    </row>
    <row r="66" s="246" customFormat="1" ht="16" customHeight="1" spans="1:12">
      <c r="A66" s="132">
        <v>64</v>
      </c>
      <c r="B66" s="102" t="s">
        <v>3381</v>
      </c>
      <c r="C66" s="9" t="s">
        <v>3506</v>
      </c>
      <c r="D66" s="137" t="s">
        <v>3507</v>
      </c>
      <c r="E66" s="102">
        <v>2020</v>
      </c>
      <c r="F66" s="102">
        <v>2020</v>
      </c>
      <c r="G66" s="132" t="s">
        <v>16</v>
      </c>
      <c r="H66" s="109">
        <v>200</v>
      </c>
      <c r="I66" s="109">
        <v>200</v>
      </c>
      <c r="J66" s="102"/>
      <c r="K66" s="111"/>
      <c r="L66" s="105">
        <v>20201118</v>
      </c>
    </row>
    <row r="67" s="246" customFormat="1" ht="16" customHeight="1" spans="1:12">
      <c r="A67" s="132">
        <v>65</v>
      </c>
      <c r="B67" s="102" t="s">
        <v>3381</v>
      </c>
      <c r="C67" s="9" t="s">
        <v>3508</v>
      </c>
      <c r="D67" s="137" t="s">
        <v>3509</v>
      </c>
      <c r="E67" s="102">
        <v>2020</v>
      </c>
      <c r="F67" s="102">
        <v>2020</v>
      </c>
      <c r="G67" s="132" t="s">
        <v>16</v>
      </c>
      <c r="H67" s="109">
        <v>200</v>
      </c>
      <c r="I67" s="109">
        <v>200</v>
      </c>
      <c r="J67" s="102"/>
      <c r="K67" s="111"/>
      <c r="L67" s="105">
        <v>20201118</v>
      </c>
    </row>
    <row r="68" s="246" customFormat="1" ht="16" customHeight="1" spans="1:12">
      <c r="A68" s="102">
        <v>66</v>
      </c>
      <c r="B68" s="102" t="s">
        <v>3381</v>
      </c>
      <c r="C68" s="9" t="s">
        <v>3510</v>
      </c>
      <c r="D68" s="137" t="s">
        <v>3511</v>
      </c>
      <c r="E68" s="102">
        <v>2020</v>
      </c>
      <c r="F68" s="102">
        <v>2020</v>
      </c>
      <c r="G68" s="132" t="s">
        <v>16</v>
      </c>
      <c r="H68" s="109">
        <v>200</v>
      </c>
      <c r="I68" s="109">
        <v>200</v>
      </c>
      <c r="J68" s="102"/>
      <c r="K68" s="111"/>
      <c r="L68" s="105">
        <v>20201118</v>
      </c>
    </row>
    <row r="69" s="246" customFormat="1" ht="16" customHeight="1" spans="1:12">
      <c r="A69" s="132">
        <v>67</v>
      </c>
      <c r="B69" s="102" t="s">
        <v>3381</v>
      </c>
      <c r="C69" s="9" t="s">
        <v>3512</v>
      </c>
      <c r="D69" s="137" t="s">
        <v>3513</v>
      </c>
      <c r="E69" s="102">
        <v>2020</v>
      </c>
      <c r="F69" s="102">
        <v>2020</v>
      </c>
      <c r="G69" s="132" t="s">
        <v>16</v>
      </c>
      <c r="H69" s="109">
        <v>200</v>
      </c>
      <c r="I69" s="109">
        <v>200</v>
      </c>
      <c r="J69" s="102"/>
      <c r="K69" s="111"/>
      <c r="L69" s="105">
        <v>20201118</v>
      </c>
    </row>
    <row r="70" s="246" customFormat="1" ht="16" customHeight="1" spans="1:12">
      <c r="A70" s="132">
        <v>68</v>
      </c>
      <c r="B70" s="102" t="s">
        <v>3381</v>
      </c>
      <c r="C70" s="9" t="s">
        <v>3514</v>
      </c>
      <c r="D70" s="137" t="s">
        <v>3515</v>
      </c>
      <c r="E70" s="102">
        <v>2020</v>
      </c>
      <c r="F70" s="102">
        <v>2020</v>
      </c>
      <c r="G70" s="132" t="s">
        <v>16</v>
      </c>
      <c r="H70" s="109">
        <v>200</v>
      </c>
      <c r="I70" s="109">
        <v>200</v>
      </c>
      <c r="J70" s="102"/>
      <c r="K70" s="111"/>
      <c r="L70" s="105">
        <v>20201118</v>
      </c>
    </row>
    <row r="71" s="246" customFormat="1" ht="16" customHeight="1" spans="1:12">
      <c r="A71" s="102">
        <v>69</v>
      </c>
      <c r="B71" s="102" t="s">
        <v>3381</v>
      </c>
      <c r="C71" s="9" t="s">
        <v>3516</v>
      </c>
      <c r="D71" s="137" t="s">
        <v>3517</v>
      </c>
      <c r="E71" s="102">
        <v>2020</v>
      </c>
      <c r="F71" s="102">
        <v>2020</v>
      </c>
      <c r="G71" s="132" t="s">
        <v>16</v>
      </c>
      <c r="H71" s="109">
        <v>200</v>
      </c>
      <c r="I71" s="109">
        <v>200</v>
      </c>
      <c r="J71" s="102"/>
      <c r="K71" s="111"/>
      <c r="L71" s="105">
        <v>20201118</v>
      </c>
    </row>
    <row r="72" s="246" customFormat="1" ht="16" customHeight="1" spans="1:12">
      <c r="A72" s="132">
        <v>70</v>
      </c>
      <c r="B72" s="102" t="s">
        <v>3381</v>
      </c>
      <c r="C72" s="9" t="s">
        <v>3518</v>
      </c>
      <c r="D72" s="137" t="s">
        <v>3519</v>
      </c>
      <c r="E72" s="102">
        <v>2020</v>
      </c>
      <c r="F72" s="102">
        <v>2020</v>
      </c>
      <c r="G72" s="132" t="s">
        <v>16</v>
      </c>
      <c r="H72" s="109">
        <v>200</v>
      </c>
      <c r="I72" s="109">
        <v>200</v>
      </c>
      <c r="J72" s="102"/>
      <c r="K72" s="111"/>
      <c r="L72" s="105">
        <v>20201118</v>
      </c>
    </row>
    <row r="73" s="246" customFormat="1" ht="16" customHeight="1" spans="1:12">
      <c r="A73" s="132">
        <v>71</v>
      </c>
      <c r="B73" s="102" t="s">
        <v>3381</v>
      </c>
      <c r="C73" s="9" t="s">
        <v>3520</v>
      </c>
      <c r="D73" s="137" t="s">
        <v>3521</v>
      </c>
      <c r="E73" s="102">
        <v>2020</v>
      </c>
      <c r="F73" s="102">
        <v>2020</v>
      </c>
      <c r="G73" s="132" t="s">
        <v>16</v>
      </c>
      <c r="H73" s="109">
        <v>200</v>
      </c>
      <c r="I73" s="109">
        <v>200</v>
      </c>
      <c r="J73" s="118" t="s">
        <v>1242</v>
      </c>
      <c r="K73" s="111"/>
      <c r="L73" s="105">
        <v>20201118</v>
      </c>
    </row>
    <row r="74" s="246" customFormat="1" ht="16" customHeight="1" spans="1:12">
      <c r="A74" s="102">
        <v>72</v>
      </c>
      <c r="B74" s="102" t="s">
        <v>3381</v>
      </c>
      <c r="C74" s="9" t="s">
        <v>3522</v>
      </c>
      <c r="D74" s="137" t="s">
        <v>3523</v>
      </c>
      <c r="E74" s="102">
        <v>2020</v>
      </c>
      <c r="F74" s="102">
        <v>2020</v>
      </c>
      <c r="G74" s="132" t="s">
        <v>16</v>
      </c>
      <c r="H74" s="109">
        <v>200</v>
      </c>
      <c r="I74" s="109">
        <v>200</v>
      </c>
      <c r="J74" s="102"/>
      <c r="K74" s="111"/>
      <c r="L74" s="105">
        <v>20201118</v>
      </c>
    </row>
    <row r="75" s="246" customFormat="1" ht="16" customHeight="1" spans="1:12">
      <c r="A75" s="132">
        <v>73</v>
      </c>
      <c r="B75" s="102" t="s">
        <v>3381</v>
      </c>
      <c r="C75" s="9" t="s">
        <v>3524</v>
      </c>
      <c r="D75" s="137" t="s">
        <v>3525</v>
      </c>
      <c r="E75" s="102">
        <v>2020</v>
      </c>
      <c r="F75" s="102">
        <v>2020</v>
      </c>
      <c r="G75" s="132" t="s">
        <v>16</v>
      </c>
      <c r="H75" s="109">
        <v>200</v>
      </c>
      <c r="I75" s="109">
        <v>200</v>
      </c>
      <c r="J75" s="102"/>
      <c r="K75" s="111"/>
      <c r="L75" s="105">
        <v>20201118</v>
      </c>
    </row>
    <row r="76" s="246" customFormat="1" ht="16" customHeight="1" spans="1:12">
      <c r="A76" s="132">
        <v>74</v>
      </c>
      <c r="B76" s="102" t="s">
        <v>3381</v>
      </c>
      <c r="C76" s="9" t="s">
        <v>3526</v>
      </c>
      <c r="D76" s="137" t="s">
        <v>3527</v>
      </c>
      <c r="E76" s="102">
        <v>2020</v>
      </c>
      <c r="F76" s="102">
        <v>2020</v>
      </c>
      <c r="G76" s="132" t="s">
        <v>16</v>
      </c>
      <c r="H76" s="109">
        <v>200</v>
      </c>
      <c r="I76" s="109">
        <v>200</v>
      </c>
      <c r="J76" s="102"/>
      <c r="K76" s="111"/>
      <c r="L76" s="105">
        <v>20201118</v>
      </c>
    </row>
    <row r="77" s="246" customFormat="1" ht="16" customHeight="1" spans="1:12">
      <c r="A77" s="102">
        <v>75</v>
      </c>
      <c r="B77" s="102" t="s">
        <v>3381</v>
      </c>
      <c r="C77" s="9" t="s">
        <v>3528</v>
      </c>
      <c r="D77" s="137" t="s">
        <v>3529</v>
      </c>
      <c r="E77" s="102">
        <v>2020</v>
      </c>
      <c r="F77" s="102">
        <v>2020</v>
      </c>
      <c r="G77" s="132" t="s">
        <v>16</v>
      </c>
      <c r="H77" s="109">
        <v>200</v>
      </c>
      <c r="I77" s="109">
        <v>200</v>
      </c>
      <c r="J77" s="102"/>
      <c r="K77" s="111"/>
      <c r="L77" s="105">
        <v>20201118</v>
      </c>
    </row>
    <row r="78" s="246" customFormat="1" ht="16" customHeight="1" spans="1:12">
      <c r="A78" s="132">
        <v>76</v>
      </c>
      <c r="B78" s="102" t="s">
        <v>3381</v>
      </c>
      <c r="C78" s="9" t="s">
        <v>3530</v>
      </c>
      <c r="D78" s="137" t="s">
        <v>3531</v>
      </c>
      <c r="E78" s="102">
        <v>2020</v>
      </c>
      <c r="F78" s="102">
        <v>2020</v>
      </c>
      <c r="G78" s="132" t="s">
        <v>16</v>
      </c>
      <c r="H78" s="109">
        <v>200</v>
      </c>
      <c r="I78" s="109">
        <v>200</v>
      </c>
      <c r="J78" s="102"/>
      <c r="K78" s="111"/>
      <c r="L78" s="105">
        <v>20201118</v>
      </c>
    </row>
    <row r="79" s="246" customFormat="1" ht="16" customHeight="1" spans="1:12">
      <c r="A79" s="132">
        <v>77</v>
      </c>
      <c r="B79" s="102" t="s">
        <v>3381</v>
      </c>
      <c r="C79" s="9" t="s">
        <v>3532</v>
      </c>
      <c r="D79" s="137" t="s">
        <v>3533</v>
      </c>
      <c r="E79" s="102">
        <v>2020</v>
      </c>
      <c r="F79" s="102">
        <v>2020</v>
      </c>
      <c r="G79" s="132" t="s">
        <v>16</v>
      </c>
      <c r="H79" s="109">
        <v>200</v>
      </c>
      <c r="I79" s="109">
        <v>200</v>
      </c>
      <c r="J79" s="102"/>
      <c r="K79" s="111"/>
      <c r="L79" s="105">
        <v>20201118</v>
      </c>
    </row>
    <row r="80" s="246" customFormat="1" ht="16" customHeight="1" spans="1:12">
      <c r="A80" s="102">
        <v>78</v>
      </c>
      <c r="B80" s="102" t="s">
        <v>3381</v>
      </c>
      <c r="C80" s="9" t="s">
        <v>3534</v>
      </c>
      <c r="D80" s="137" t="s">
        <v>3535</v>
      </c>
      <c r="E80" s="102">
        <v>2020</v>
      </c>
      <c r="F80" s="102">
        <v>2020</v>
      </c>
      <c r="G80" s="132" t="s">
        <v>16</v>
      </c>
      <c r="H80" s="109">
        <v>200</v>
      </c>
      <c r="I80" s="109">
        <v>200</v>
      </c>
      <c r="J80" s="118" t="s">
        <v>1242</v>
      </c>
      <c r="K80" s="111"/>
      <c r="L80" s="105">
        <v>20201118</v>
      </c>
    </row>
    <row r="81" s="246" customFormat="1" ht="16" customHeight="1" spans="1:12">
      <c r="A81" s="132">
        <v>79</v>
      </c>
      <c r="B81" s="102" t="s">
        <v>3381</v>
      </c>
      <c r="C81" s="9" t="s">
        <v>3536</v>
      </c>
      <c r="D81" s="137" t="s">
        <v>3537</v>
      </c>
      <c r="E81" s="102">
        <v>2020</v>
      </c>
      <c r="F81" s="102">
        <v>2020</v>
      </c>
      <c r="G81" s="132" t="s">
        <v>16</v>
      </c>
      <c r="H81" s="109">
        <v>200</v>
      </c>
      <c r="I81" s="109">
        <v>200</v>
      </c>
      <c r="J81" s="102"/>
      <c r="K81" s="111"/>
      <c r="L81" s="105">
        <v>20201118</v>
      </c>
    </row>
    <row r="82" s="246" customFormat="1" ht="16" customHeight="1" spans="1:12">
      <c r="A82" s="132">
        <v>80</v>
      </c>
      <c r="B82" s="102" t="s">
        <v>3381</v>
      </c>
      <c r="C82" s="9" t="s">
        <v>3538</v>
      </c>
      <c r="D82" s="137" t="s">
        <v>3539</v>
      </c>
      <c r="E82" s="102">
        <v>2020</v>
      </c>
      <c r="F82" s="102">
        <v>2020</v>
      </c>
      <c r="G82" s="132" t="s">
        <v>16</v>
      </c>
      <c r="H82" s="109">
        <v>200</v>
      </c>
      <c r="I82" s="109">
        <v>200</v>
      </c>
      <c r="J82" s="102"/>
      <c r="K82" s="111"/>
      <c r="L82" s="105">
        <v>20201118</v>
      </c>
    </row>
    <row r="83" s="246" customFormat="1" ht="16" customHeight="1" spans="1:12">
      <c r="A83" s="102">
        <v>81</v>
      </c>
      <c r="B83" s="102" t="s">
        <v>3381</v>
      </c>
      <c r="C83" s="9" t="s">
        <v>3540</v>
      </c>
      <c r="D83" s="137" t="s">
        <v>3541</v>
      </c>
      <c r="E83" s="102">
        <v>2020</v>
      </c>
      <c r="F83" s="102">
        <v>2020</v>
      </c>
      <c r="G83" s="132" t="s">
        <v>16</v>
      </c>
      <c r="H83" s="109">
        <v>200</v>
      </c>
      <c r="I83" s="109">
        <v>200</v>
      </c>
      <c r="J83" s="102"/>
      <c r="K83" s="111"/>
      <c r="L83" s="105">
        <v>20201118</v>
      </c>
    </row>
    <row r="84" s="246" customFormat="1" ht="16" customHeight="1" spans="1:12">
      <c r="A84" s="132">
        <v>82</v>
      </c>
      <c r="B84" s="102" t="s">
        <v>3381</v>
      </c>
      <c r="C84" s="9" t="s">
        <v>3542</v>
      </c>
      <c r="D84" s="137" t="s">
        <v>3543</v>
      </c>
      <c r="E84" s="102">
        <v>2020</v>
      </c>
      <c r="F84" s="102">
        <v>2020</v>
      </c>
      <c r="G84" s="132" t="s">
        <v>16</v>
      </c>
      <c r="H84" s="109">
        <v>200</v>
      </c>
      <c r="I84" s="109">
        <v>200</v>
      </c>
      <c r="J84" s="102"/>
      <c r="K84" s="111"/>
      <c r="L84" s="105">
        <v>20201118</v>
      </c>
    </row>
    <row r="85" s="246" customFormat="1" ht="16" customHeight="1" spans="1:12">
      <c r="A85" s="132">
        <v>83</v>
      </c>
      <c r="B85" s="102" t="s">
        <v>3381</v>
      </c>
      <c r="C85" s="9" t="s">
        <v>3544</v>
      </c>
      <c r="D85" s="137" t="s">
        <v>3545</v>
      </c>
      <c r="E85" s="102">
        <v>2020</v>
      </c>
      <c r="F85" s="102">
        <v>2020</v>
      </c>
      <c r="G85" s="132" t="s">
        <v>16</v>
      </c>
      <c r="H85" s="109">
        <v>200</v>
      </c>
      <c r="I85" s="109">
        <v>200</v>
      </c>
      <c r="J85" s="102"/>
      <c r="K85" s="111"/>
      <c r="L85" s="105">
        <v>20201118</v>
      </c>
    </row>
    <row r="86" s="246" customFormat="1" ht="16" customHeight="1" spans="1:12">
      <c r="A86" s="102">
        <v>84</v>
      </c>
      <c r="B86" s="102" t="s">
        <v>3381</v>
      </c>
      <c r="C86" s="9" t="s">
        <v>3546</v>
      </c>
      <c r="D86" s="137" t="s">
        <v>3547</v>
      </c>
      <c r="E86" s="102">
        <v>2020</v>
      </c>
      <c r="F86" s="102">
        <v>2020</v>
      </c>
      <c r="G86" s="132" t="s">
        <v>16</v>
      </c>
      <c r="H86" s="109">
        <v>200</v>
      </c>
      <c r="I86" s="109">
        <v>200</v>
      </c>
      <c r="J86" s="102"/>
      <c r="K86" s="111"/>
      <c r="L86" s="105">
        <v>20201118</v>
      </c>
    </row>
    <row r="87" s="246" customFormat="1" ht="16" customHeight="1" spans="1:12">
      <c r="A87" s="132">
        <v>85</v>
      </c>
      <c r="B87" s="102" t="s">
        <v>3381</v>
      </c>
      <c r="C87" s="9" t="s">
        <v>3548</v>
      </c>
      <c r="D87" s="137" t="s">
        <v>3549</v>
      </c>
      <c r="E87" s="102">
        <v>2020</v>
      </c>
      <c r="F87" s="102">
        <v>2020</v>
      </c>
      <c r="G87" s="132" t="s">
        <v>16</v>
      </c>
      <c r="H87" s="109">
        <v>200</v>
      </c>
      <c r="I87" s="109">
        <v>200</v>
      </c>
      <c r="J87" s="102"/>
      <c r="K87" s="111"/>
      <c r="L87" s="105">
        <v>20201118</v>
      </c>
    </row>
    <row r="88" s="246" customFormat="1" ht="16" customHeight="1" spans="1:12">
      <c r="A88" s="132">
        <v>86</v>
      </c>
      <c r="B88" s="102" t="s">
        <v>3381</v>
      </c>
      <c r="C88" s="9" t="s">
        <v>3550</v>
      </c>
      <c r="D88" s="137" t="s">
        <v>3551</v>
      </c>
      <c r="E88" s="102">
        <v>2020</v>
      </c>
      <c r="F88" s="102">
        <v>2020</v>
      </c>
      <c r="G88" s="132" t="s">
        <v>16</v>
      </c>
      <c r="H88" s="109">
        <v>200</v>
      </c>
      <c r="I88" s="109">
        <v>200</v>
      </c>
      <c r="J88" s="118" t="s">
        <v>3552</v>
      </c>
      <c r="K88" s="111"/>
      <c r="L88" s="105">
        <v>20201118</v>
      </c>
    </row>
    <row r="89" s="246" customFormat="1" ht="16" customHeight="1" spans="1:12">
      <c r="A89" s="102">
        <v>87</v>
      </c>
      <c r="B89" s="102" t="s">
        <v>3381</v>
      </c>
      <c r="C89" s="9" t="s">
        <v>3553</v>
      </c>
      <c r="D89" s="137" t="s">
        <v>3554</v>
      </c>
      <c r="E89" s="102">
        <v>2020</v>
      </c>
      <c r="F89" s="102">
        <v>2020</v>
      </c>
      <c r="G89" s="132" t="s">
        <v>16</v>
      </c>
      <c r="H89" s="109">
        <v>200</v>
      </c>
      <c r="I89" s="109">
        <v>200</v>
      </c>
      <c r="J89" s="102"/>
      <c r="K89" s="111"/>
      <c r="L89" s="105">
        <v>20201118</v>
      </c>
    </row>
    <row r="90" s="246" customFormat="1" ht="16" customHeight="1" spans="1:12">
      <c r="A90" s="132">
        <v>88</v>
      </c>
      <c r="B90" s="102" t="s">
        <v>3381</v>
      </c>
      <c r="C90" s="9" t="s">
        <v>3555</v>
      </c>
      <c r="D90" s="137" t="s">
        <v>3556</v>
      </c>
      <c r="E90" s="102">
        <v>2020</v>
      </c>
      <c r="F90" s="102">
        <v>2020</v>
      </c>
      <c r="G90" s="132" t="s">
        <v>16</v>
      </c>
      <c r="H90" s="109">
        <v>200</v>
      </c>
      <c r="I90" s="109">
        <v>200</v>
      </c>
      <c r="J90" s="102"/>
      <c r="K90" s="111"/>
      <c r="L90" s="105">
        <v>20201118</v>
      </c>
    </row>
    <row r="91" s="246" customFormat="1" ht="16" customHeight="1" spans="1:12">
      <c r="A91" s="132">
        <v>89</v>
      </c>
      <c r="B91" s="102" t="s">
        <v>3381</v>
      </c>
      <c r="C91" s="9" t="s">
        <v>3557</v>
      </c>
      <c r="D91" s="137" t="s">
        <v>3558</v>
      </c>
      <c r="E91" s="102">
        <v>2020</v>
      </c>
      <c r="F91" s="102">
        <v>2020</v>
      </c>
      <c r="G91" s="132" t="s">
        <v>16</v>
      </c>
      <c r="H91" s="109">
        <v>200</v>
      </c>
      <c r="I91" s="109">
        <v>200</v>
      </c>
      <c r="J91" s="102"/>
      <c r="K91" s="111"/>
      <c r="L91" s="105">
        <v>20201118</v>
      </c>
    </row>
    <row r="92" s="246" customFormat="1" ht="16" customHeight="1" spans="1:12">
      <c r="A92" s="102">
        <v>90</v>
      </c>
      <c r="B92" s="102" t="s">
        <v>3381</v>
      </c>
      <c r="C92" s="9" t="s">
        <v>3559</v>
      </c>
      <c r="D92" s="137" t="s">
        <v>3560</v>
      </c>
      <c r="E92" s="102">
        <v>2020</v>
      </c>
      <c r="F92" s="102">
        <v>2020</v>
      </c>
      <c r="G92" s="132" t="s">
        <v>16</v>
      </c>
      <c r="H92" s="109">
        <v>200</v>
      </c>
      <c r="I92" s="109">
        <v>200</v>
      </c>
      <c r="J92" s="102"/>
      <c r="K92" s="111"/>
      <c r="L92" s="105">
        <v>20201118</v>
      </c>
    </row>
    <row r="93" s="246" customFormat="1" ht="16" customHeight="1" spans="1:12">
      <c r="A93" s="132">
        <v>91</v>
      </c>
      <c r="B93" s="102" t="s">
        <v>3381</v>
      </c>
      <c r="C93" s="9" t="s">
        <v>3561</v>
      </c>
      <c r="D93" s="137" t="s">
        <v>3562</v>
      </c>
      <c r="E93" s="102">
        <v>2020</v>
      </c>
      <c r="F93" s="102">
        <v>2020</v>
      </c>
      <c r="G93" s="132" t="s">
        <v>16</v>
      </c>
      <c r="H93" s="109">
        <v>200</v>
      </c>
      <c r="I93" s="109">
        <v>200</v>
      </c>
      <c r="J93" s="102"/>
      <c r="K93" s="111"/>
      <c r="L93" s="105">
        <v>20201118</v>
      </c>
    </row>
    <row r="94" s="246" customFormat="1" ht="16" customHeight="1" spans="1:12">
      <c r="A94" s="132">
        <v>92</v>
      </c>
      <c r="B94" s="102" t="s">
        <v>3381</v>
      </c>
      <c r="C94" s="9" t="s">
        <v>3563</v>
      </c>
      <c r="D94" s="137" t="s">
        <v>3564</v>
      </c>
      <c r="E94" s="102">
        <v>2020</v>
      </c>
      <c r="F94" s="102">
        <v>2020</v>
      </c>
      <c r="G94" s="132" t="s">
        <v>16</v>
      </c>
      <c r="H94" s="109">
        <v>200</v>
      </c>
      <c r="I94" s="109">
        <v>200</v>
      </c>
      <c r="J94" s="102"/>
      <c r="K94" s="111"/>
      <c r="L94" s="105">
        <v>20201118</v>
      </c>
    </row>
    <row r="95" s="246" customFormat="1" ht="16" customHeight="1" spans="1:12">
      <c r="A95" s="102">
        <v>93</v>
      </c>
      <c r="B95" s="102" t="s">
        <v>3381</v>
      </c>
      <c r="C95" s="9" t="s">
        <v>3565</v>
      </c>
      <c r="D95" s="137" t="s">
        <v>3566</v>
      </c>
      <c r="E95" s="102">
        <v>2020</v>
      </c>
      <c r="F95" s="102">
        <v>2020</v>
      </c>
      <c r="G95" s="132" t="s">
        <v>16</v>
      </c>
      <c r="H95" s="109">
        <v>200</v>
      </c>
      <c r="I95" s="109">
        <v>200</v>
      </c>
      <c r="J95" s="102"/>
      <c r="K95" s="111"/>
      <c r="L95" s="105">
        <v>20201118</v>
      </c>
    </row>
    <row r="96" s="246" customFormat="1" ht="16" customHeight="1" spans="1:12">
      <c r="A96" s="132">
        <v>94</v>
      </c>
      <c r="B96" s="102" t="s">
        <v>3381</v>
      </c>
      <c r="C96" s="9" t="s">
        <v>3567</v>
      </c>
      <c r="D96" s="137" t="s">
        <v>3568</v>
      </c>
      <c r="E96" s="102">
        <v>2020</v>
      </c>
      <c r="F96" s="102">
        <v>2020</v>
      </c>
      <c r="G96" s="132" t="s">
        <v>16</v>
      </c>
      <c r="H96" s="109">
        <v>200</v>
      </c>
      <c r="I96" s="109">
        <v>200</v>
      </c>
      <c r="J96" s="102"/>
      <c r="K96" s="111"/>
      <c r="L96" s="105">
        <v>20201118</v>
      </c>
    </row>
    <row r="97" s="246" customFormat="1" ht="16" customHeight="1" spans="1:12">
      <c r="A97" s="132">
        <v>95</v>
      </c>
      <c r="B97" s="102" t="s">
        <v>3381</v>
      </c>
      <c r="C97" s="9" t="s">
        <v>3569</v>
      </c>
      <c r="D97" s="137" t="s">
        <v>3570</v>
      </c>
      <c r="E97" s="102">
        <v>2020</v>
      </c>
      <c r="F97" s="102">
        <v>2020</v>
      </c>
      <c r="G97" s="132" t="s">
        <v>16</v>
      </c>
      <c r="H97" s="109">
        <v>200</v>
      </c>
      <c r="I97" s="109">
        <v>200</v>
      </c>
      <c r="J97" s="102"/>
      <c r="K97" s="111"/>
      <c r="L97" s="105">
        <v>20201118</v>
      </c>
    </row>
    <row r="98" s="246" customFormat="1" ht="16" customHeight="1" spans="1:12">
      <c r="A98" s="102">
        <v>96</v>
      </c>
      <c r="B98" s="102" t="s">
        <v>3381</v>
      </c>
      <c r="C98" s="9" t="s">
        <v>3571</v>
      </c>
      <c r="D98" s="137" t="s">
        <v>3572</v>
      </c>
      <c r="E98" s="102">
        <v>2020</v>
      </c>
      <c r="F98" s="102">
        <v>2020</v>
      </c>
      <c r="G98" s="132" t="s">
        <v>16</v>
      </c>
      <c r="H98" s="109">
        <v>200</v>
      </c>
      <c r="I98" s="109">
        <v>200</v>
      </c>
      <c r="J98" s="102"/>
      <c r="K98" s="111"/>
      <c r="L98" s="105">
        <v>20201118</v>
      </c>
    </row>
    <row r="99" s="246" customFormat="1" ht="16" customHeight="1" spans="1:12">
      <c r="A99" s="132">
        <v>97</v>
      </c>
      <c r="B99" s="102" t="s">
        <v>3381</v>
      </c>
      <c r="C99" s="9" t="s">
        <v>3573</v>
      </c>
      <c r="D99" s="137" t="s">
        <v>3574</v>
      </c>
      <c r="E99" s="102">
        <v>2020</v>
      </c>
      <c r="F99" s="102">
        <v>2020</v>
      </c>
      <c r="G99" s="132" t="s">
        <v>16</v>
      </c>
      <c r="H99" s="109">
        <v>200</v>
      </c>
      <c r="I99" s="109">
        <v>200</v>
      </c>
      <c r="J99" s="102"/>
      <c r="K99" s="111"/>
      <c r="L99" s="105">
        <v>20201118</v>
      </c>
    </row>
    <row r="100" s="246" customFormat="1" ht="16" customHeight="1" spans="1:12">
      <c r="A100" s="132">
        <v>98</v>
      </c>
      <c r="B100" s="102" t="s">
        <v>3381</v>
      </c>
      <c r="C100" s="9" t="s">
        <v>3575</v>
      </c>
      <c r="D100" s="137" t="s">
        <v>3576</v>
      </c>
      <c r="E100" s="102">
        <v>2020</v>
      </c>
      <c r="F100" s="102">
        <v>2020</v>
      </c>
      <c r="G100" s="132" t="s">
        <v>16</v>
      </c>
      <c r="H100" s="109">
        <v>200</v>
      </c>
      <c r="I100" s="109">
        <v>200</v>
      </c>
      <c r="J100" s="102"/>
      <c r="K100" s="111"/>
      <c r="L100" s="105">
        <v>20201118</v>
      </c>
    </row>
    <row r="101" s="246" customFormat="1" ht="16" customHeight="1" spans="1:12">
      <c r="A101" s="102">
        <v>99</v>
      </c>
      <c r="B101" s="102" t="s">
        <v>3381</v>
      </c>
      <c r="C101" s="9" t="s">
        <v>3577</v>
      </c>
      <c r="D101" s="137" t="s">
        <v>3578</v>
      </c>
      <c r="E101" s="102">
        <v>2020</v>
      </c>
      <c r="F101" s="102">
        <v>2020</v>
      </c>
      <c r="G101" s="132" t="s">
        <v>16</v>
      </c>
      <c r="H101" s="109">
        <v>200</v>
      </c>
      <c r="I101" s="109">
        <v>200</v>
      </c>
      <c r="J101" s="102"/>
      <c r="K101" s="111"/>
      <c r="L101" s="105">
        <v>20201118</v>
      </c>
    </row>
    <row r="102" s="246" customFormat="1" ht="16" customHeight="1" spans="1:12">
      <c r="A102" s="132">
        <v>100</v>
      </c>
      <c r="B102" s="102" t="s">
        <v>3381</v>
      </c>
      <c r="C102" s="9" t="s">
        <v>3579</v>
      </c>
      <c r="D102" s="137" t="s">
        <v>3580</v>
      </c>
      <c r="E102" s="102">
        <v>2020</v>
      </c>
      <c r="F102" s="102">
        <v>2020</v>
      </c>
      <c r="G102" s="132" t="s">
        <v>16</v>
      </c>
      <c r="H102" s="109">
        <v>200</v>
      </c>
      <c r="I102" s="109">
        <v>200</v>
      </c>
      <c r="J102" s="102"/>
      <c r="K102" s="111"/>
      <c r="L102" s="105">
        <v>20201118</v>
      </c>
    </row>
    <row r="103" s="246" customFormat="1" ht="16" customHeight="1" spans="1:12">
      <c r="A103" s="132">
        <v>101</v>
      </c>
      <c r="B103" s="102" t="s">
        <v>3381</v>
      </c>
      <c r="C103" s="9" t="s">
        <v>3581</v>
      </c>
      <c r="D103" s="137" t="s">
        <v>3582</v>
      </c>
      <c r="E103" s="102">
        <v>2020</v>
      </c>
      <c r="F103" s="102">
        <v>2020</v>
      </c>
      <c r="G103" s="132" t="s">
        <v>16</v>
      </c>
      <c r="H103" s="109">
        <v>200</v>
      </c>
      <c r="I103" s="109">
        <v>200</v>
      </c>
      <c r="J103" s="102"/>
      <c r="K103" s="111"/>
      <c r="L103" s="105">
        <v>20201118</v>
      </c>
    </row>
    <row r="104" s="246" customFormat="1" ht="16" customHeight="1" spans="1:12">
      <c r="A104" s="102">
        <v>102</v>
      </c>
      <c r="B104" s="102" t="s">
        <v>3381</v>
      </c>
      <c r="C104" s="9" t="s">
        <v>2871</v>
      </c>
      <c r="D104" s="137" t="s">
        <v>3583</v>
      </c>
      <c r="E104" s="102">
        <v>2020</v>
      </c>
      <c r="F104" s="102">
        <v>2020</v>
      </c>
      <c r="G104" s="132" t="s">
        <v>16</v>
      </c>
      <c r="H104" s="109">
        <v>200</v>
      </c>
      <c r="I104" s="109">
        <v>200</v>
      </c>
      <c r="J104" s="102"/>
      <c r="K104" s="111"/>
      <c r="L104" s="105">
        <v>20201118</v>
      </c>
    </row>
    <row r="105" s="246" customFormat="1" ht="16" customHeight="1" spans="1:12">
      <c r="A105" s="132">
        <v>103</v>
      </c>
      <c r="B105" s="102" t="s">
        <v>3381</v>
      </c>
      <c r="C105" s="9" t="s">
        <v>3584</v>
      </c>
      <c r="D105" s="137" t="s">
        <v>3585</v>
      </c>
      <c r="E105" s="102">
        <v>2020</v>
      </c>
      <c r="F105" s="102">
        <v>2020</v>
      </c>
      <c r="G105" s="132" t="s">
        <v>16</v>
      </c>
      <c r="H105" s="109">
        <v>200</v>
      </c>
      <c r="I105" s="109">
        <v>200</v>
      </c>
      <c r="J105" s="102"/>
      <c r="K105" s="111"/>
      <c r="L105" s="105">
        <v>20201118</v>
      </c>
    </row>
    <row r="106" s="246" customFormat="1" ht="16" customHeight="1" spans="1:12">
      <c r="A106" s="132">
        <v>104</v>
      </c>
      <c r="B106" s="102" t="s">
        <v>3381</v>
      </c>
      <c r="C106" s="9" t="s">
        <v>3586</v>
      </c>
      <c r="D106" s="137" t="s">
        <v>3587</v>
      </c>
      <c r="E106" s="102">
        <v>2020</v>
      </c>
      <c r="F106" s="102">
        <v>2020</v>
      </c>
      <c r="G106" s="132" t="s">
        <v>16</v>
      </c>
      <c r="H106" s="109">
        <v>200</v>
      </c>
      <c r="I106" s="109">
        <v>200</v>
      </c>
      <c r="J106" s="102"/>
      <c r="K106" s="111"/>
      <c r="L106" s="105">
        <v>20201118</v>
      </c>
    </row>
    <row r="107" s="246" customFormat="1" ht="16" customHeight="1" spans="1:12">
      <c r="A107" s="102">
        <v>105</v>
      </c>
      <c r="B107" s="102" t="s">
        <v>3381</v>
      </c>
      <c r="C107" s="9" t="s">
        <v>3588</v>
      </c>
      <c r="D107" s="137" t="s">
        <v>3589</v>
      </c>
      <c r="E107" s="102">
        <v>2020</v>
      </c>
      <c r="F107" s="102">
        <v>2020</v>
      </c>
      <c r="G107" s="132" t="s">
        <v>16</v>
      </c>
      <c r="H107" s="109">
        <v>200</v>
      </c>
      <c r="I107" s="109">
        <v>200</v>
      </c>
      <c r="J107" s="102"/>
      <c r="K107" s="111"/>
      <c r="L107" s="105">
        <v>20201118</v>
      </c>
    </row>
    <row r="108" s="246" customFormat="1" ht="16" customHeight="1" spans="1:12">
      <c r="A108" s="132">
        <v>106</v>
      </c>
      <c r="B108" s="102" t="s">
        <v>3381</v>
      </c>
      <c r="C108" s="9" t="s">
        <v>3590</v>
      </c>
      <c r="D108" s="137" t="s">
        <v>3591</v>
      </c>
      <c r="E108" s="102">
        <v>2020</v>
      </c>
      <c r="F108" s="102">
        <v>2020</v>
      </c>
      <c r="G108" s="132" t="s">
        <v>16</v>
      </c>
      <c r="H108" s="109">
        <v>200</v>
      </c>
      <c r="I108" s="109">
        <v>200</v>
      </c>
      <c r="J108" s="118" t="s">
        <v>1242</v>
      </c>
      <c r="K108" s="111"/>
      <c r="L108" s="105">
        <v>20201118</v>
      </c>
    </row>
    <row r="109" s="246" customFormat="1" ht="16" customHeight="1" spans="1:12">
      <c r="A109" s="132">
        <v>107</v>
      </c>
      <c r="B109" s="102" t="s">
        <v>3381</v>
      </c>
      <c r="C109" s="9" t="s">
        <v>3592</v>
      </c>
      <c r="D109" s="137" t="s">
        <v>3593</v>
      </c>
      <c r="E109" s="102">
        <v>2020</v>
      </c>
      <c r="F109" s="102">
        <v>2020</v>
      </c>
      <c r="G109" s="132" t="s">
        <v>16</v>
      </c>
      <c r="H109" s="109">
        <v>200</v>
      </c>
      <c r="I109" s="109">
        <v>200</v>
      </c>
      <c r="J109" s="102"/>
      <c r="K109" s="111"/>
      <c r="L109" s="105">
        <v>20201118</v>
      </c>
    </row>
    <row r="110" s="246" customFormat="1" ht="16" customHeight="1" spans="1:12">
      <c r="A110" s="102">
        <v>108</v>
      </c>
      <c r="B110" s="102" t="s">
        <v>3381</v>
      </c>
      <c r="C110" s="9" t="s">
        <v>2209</v>
      </c>
      <c r="D110" s="137" t="s">
        <v>3594</v>
      </c>
      <c r="E110" s="102">
        <v>2020</v>
      </c>
      <c r="F110" s="102">
        <v>2020</v>
      </c>
      <c r="G110" s="132" t="s">
        <v>16</v>
      </c>
      <c r="H110" s="109">
        <v>200</v>
      </c>
      <c r="I110" s="109">
        <v>200</v>
      </c>
      <c r="J110" s="102"/>
      <c r="K110" s="111"/>
      <c r="L110" s="105">
        <v>20201118</v>
      </c>
    </row>
    <row r="111" s="246" customFormat="1" ht="16" customHeight="1" spans="1:12">
      <c r="A111" s="132">
        <v>109</v>
      </c>
      <c r="B111" s="102" t="s">
        <v>3381</v>
      </c>
      <c r="C111" s="9" t="s">
        <v>3595</v>
      </c>
      <c r="D111" s="137" t="s">
        <v>3596</v>
      </c>
      <c r="E111" s="102">
        <v>2020</v>
      </c>
      <c r="F111" s="102">
        <v>2020</v>
      </c>
      <c r="G111" s="132" t="s">
        <v>16</v>
      </c>
      <c r="H111" s="109">
        <v>200</v>
      </c>
      <c r="I111" s="109">
        <v>200</v>
      </c>
      <c r="J111" s="102"/>
      <c r="K111" s="111"/>
      <c r="L111" s="105">
        <v>20201118</v>
      </c>
    </row>
    <row r="112" s="246" customFormat="1" ht="16" customHeight="1" spans="1:12">
      <c r="A112" s="132">
        <v>110</v>
      </c>
      <c r="B112" s="102" t="s">
        <v>3381</v>
      </c>
      <c r="C112" s="9" t="s">
        <v>3597</v>
      </c>
      <c r="D112" s="137" t="s">
        <v>3598</v>
      </c>
      <c r="E112" s="102">
        <v>2020</v>
      </c>
      <c r="F112" s="102">
        <v>2020</v>
      </c>
      <c r="G112" s="132" t="s">
        <v>16</v>
      </c>
      <c r="H112" s="109">
        <v>200</v>
      </c>
      <c r="I112" s="109">
        <v>200</v>
      </c>
      <c r="J112" s="102"/>
      <c r="K112" s="111"/>
      <c r="L112" s="105">
        <v>20201118</v>
      </c>
    </row>
    <row r="113" s="246" customFormat="1" ht="16" customHeight="1" spans="1:12">
      <c r="A113" s="102">
        <v>111</v>
      </c>
      <c r="B113" s="102" t="s">
        <v>3381</v>
      </c>
      <c r="C113" s="9" t="s">
        <v>3599</v>
      </c>
      <c r="D113" s="137" t="s">
        <v>3600</v>
      </c>
      <c r="E113" s="102">
        <v>2020</v>
      </c>
      <c r="F113" s="102">
        <v>2020</v>
      </c>
      <c r="G113" s="132" t="s">
        <v>16</v>
      </c>
      <c r="H113" s="109">
        <v>200</v>
      </c>
      <c r="I113" s="109">
        <v>200</v>
      </c>
      <c r="J113" s="102"/>
      <c r="K113" s="111"/>
      <c r="L113" s="105">
        <v>20201118</v>
      </c>
    </row>
    <row r="114" s="246" customFormat="1" ht="16" customHeight="1" spans="1:12">
      <c r="A114" s="132">
        <v>112</v>
      </c>
      <c r="B114" s="102" t="s">
        <v>3381</v>
      </c>
      <c r="C114" s="9" t="s">
        <v>3601</v>
      </c>
      <c r="D114" s="137" t="s">
        <v>3602</v>
      </c>
      <c r="E114" s="102">
        <v>2020</v>
      </c>
      <c r="F114" s="102">
        <v>2020</v>
      </c>
      <c r="G114" s="132" t="s">
        <v>16</v>
      </c>
      <c r="H114" s="109">
        <v>200</v>
      </c>
      <c r="I114" s="109">
        <v>200</v>
      </c>
      <c r="J114" s="102"/>
      <c r="K114" s="111"/>
      <c r="L114" s="105">
        <v>20201118</v>
      </c>
    </row>
    <row r="115" s="246" customFormat="1" ht="16" customHeight="1" spans="1:12">
      <c r="A115" s="132">
        <v>113</v>
      </c>
      <c r="B115" s="102" t="s">
        <v>3381</v>
      </c>
      <c r="C115" s="9" t="s">
        <v>3603</v>
      </c>
      <c r="D115" s="137" t="s">
        <v>3604</v>
      </c>
      <c r="E115" s="102">
        <v>2020</v>
      </c>
      <c r="F115" s="102">
        <v>2020</v>
      </c>
      <c r="G115" s="132" t="s">
        <v>16</v>
      </c>
      <c r="H115" s="109">
        <v>200</v>
      </c>
      <c r="I115" s="109">
        <v>200</v>
      </c>
      <c r="J115" s="102"/>
      <c r="K115" s="111"/>
      <c r="L115" s="105">
        <v>20201118</v>
      </c>
    </row>
    <row r="116" s="246" customFormat="1" ht="16" customHeight="1" spans="1:12">
      <c r="A116" s="102">
        <v>114</v>
      </c>
      <c r="B116" s="102" t="s">
        <v>3381</v>
      </c>
      <c r="C116" s="9" t="s">
        <v>3605</v>
      </c>
      <c r="D116" s="137" t="s">
        <v>3606</v>
      </c>
      <c r="E116" s="102">
        <v>2020</v>
      </c>
      <c r="F116" s="102">
        <v>2020</v>
      </c>
      <c r="G116" s="132" t="s">
        <v>16</v>
      </c>
      <c r="H116" s="109">
        <v>200</v>
      </c>
      <c r="I116" s="109">
        <v>200</v>
      </c>
      <c r="J116" s="102"/>
      <c r="K116" s="111"/>
      <c r="L116" s="105">
        <v>20201118</v>
      </c>
    </row>
    <row r="117" s="246" customFormat="1" ht="16" customHeight="1" spans="1:12">
      <c r="A117" s="132">
        <v>115</v>
      </c>
      <c r="B117" s="102" t="s">
        <v>3381</v>
      </c>
      <c r="C117" s="9" t="s">
        <v>3607</v>
      </c>
      <c r="D117" s="137" t="s">
        <v>3608</v>
      </c>
      <c r="E117" s="102">
        <v>2020</v>
      </c>
      <c r="F117" s="102">
        <v>2020</v>
      </c>
      <c r="G117" s="132" t="s">
        <v>16</v>
      </c>
      <c r="H117" s="109">
        <v>200</v>
      </c>
      <c r="I117" s="109">
        <v>200</v>
      </c>
      <c r="J117" s="102"/>
      <c r="K117" s="111"/>
      <c r="L117" s="105">
        <v>20201118</v>
      </c>
    </row>
    <row r="118" s="246" customFormat="1" ht="16" customHeight="1" spans="1:12">
      <c r="A118" s="132">
        <v>116</v>
      </c>
      <c r="B118" s="102" t="s">
        <v>3381</v>
      </c>
      <c r="C118" s="9" t="s">
        <v>3609</v>
      </c>
      <c r="D118" s="137" t="s">
        <v>3610</v>
      </c>
      <c r="E118" s="102">
        <v>2020</v>
      </c>
      <c r="F118" s="102">
        <v>2020</v>
      </c>
      <c r="G118" s="132" t="s">
        <v>16</v>
      </c>
      <c r="H118" s="109">
        <v>200</v>
      </c>
      <c r="I118" s="109">
        <v>200</v>
      </c>
      <c r="J118" s="102"/>
      <c r="K118" s="111"/>
      <c r="L118" s="105">
        <v>20201118</v>
      </c>
    </row>
    <row r="119" s="246" customFormat="1" ht="16" customHeight="1" spans="1:12">
      <c r="A119" s="102">
        <v>117</v>
      </c>
      <c r="B119" s="102" t="s">
        <v>3381</v>
      </c>
      <c r="C119" s="9" t="s">
        <v>3611</v>
      </c>
      <c r="D119" s="137" t="s">
        <v>3612</v>
      </c>
      <c r="E119" s="102">
        <v>2020</v>
      </c>
      <c r="F119" s="102">
        <v>2020</v>
      </c>
      <c r="G119" s="132" t="s">
        <v>16</v>
      </c>
      <c r="H119" s="109">
        <v>200</v>
      </c>
      <c r="I119" s="109">
        <v>200</v>
      </c>
      <c r="J119" s="102"/>
      <c r="K119" s="111"/>
      <c r="L119" s="105">
        <v>20201118</v>
      </c>
    </row>
    <row r="120" s="246" customFormat="1" ht="16" customHeight="1" spans="1:12">
      <c r="A120" s="132">
        <v>118</v>
      </c>
      <c r="B120" s="102" t="s">
        <v>3381</v>
      </c>
      <c r="C120" s="9" t="s">
        <v>3613</v>
      </c>
      <c r="D120" s="137" t="s">
        <v>3614</v>
      </c>
      <c r="E120" s="102">
        <v>2020</v>
      </c>
      <c r="F120" s="102">
        <v>2020</v>
      </c>
      <c r="G120" s="132" t="s">
        <v>16</v>
      </c>
      <c r="H120" s="109">
        <v>200</v>
      </c>
      <c r="I120" s="109">
        <v>200</v>
      </c>
      <c r="J120" s="102"/>
      <c r="K120" s="111"/>
      <c r="L120" s="105">
        <v>20201118</v>
      </c>
    </row>
    <row r="121" s="246" customFormat="1" ht="16" customHeight="1" spans="1:12">
      <c r="A121" s="132">
        <v>119</v>
      </c>
      <c r="B121" s="102" t="s">
        <v>3381</v>
      </c>
      <c r="C121" s="9" t="s">
        <v>3615</v>
      </c>
      <c r="D121" s="137" t="s">
        <v>3616</v>
      </c>
      <c r="E121" s="102">
        <v>2020</v>
      </c>
      <c r="F121" s="102">
        <v>2020</v>
      </c>
      <c r="G121" s="132" t="s">
        <v>16</v>
      </c>
      <c r="H121" s="109">
        <v>200</v>
      </c>
      <c r="I121" s="109">
        <v>200</v>
      </c>
      <c r="J121" s="102"/>
      <c r="K121" s="111"/>
      <c r="L121" s="105">
        <v>20201118</v>
      </c>
    </row>
    <row r="122" s="246" customFormat="1" ht="16" customHeight="1" spans="1:12">
      <c r="A122" s="102">
        <v>120</v>
      </c>
      <c r="B122" s="102" t="s">
        <v>3381</v>
      </c>
      <c r="C122" s="9" t="s">
        <v>3617</v>
      </c>
      <c r="D122" s="137" t="s">
        <v>3618</v>
      </c>
      <c r="E122" s="102">
        <v>2020</v>
      </c>
      <c r="F122" s="102">
        <v>2020</v>
      </c>
      <c r="G122" s="132" t="s">
        <v>16</v>
      </c>
      <c r="H122" s="109">
        <v>200</v>
      </c>
      <c r="I122" s="109">
        <v>200</v>
      </c>
      <c r="J122" s="102"/>
      <c r="K122" s="111"/>
      <c r="L122" s="105">
        <v>20201118</v>
      </c>
    </row>
    <row r="123" s="246" customFormat="1" ht="16" customHeight="1" spans="1:12">
      <c r="A123" s="132">
        <v>121</v>
      </c>
      <c r="B123" s="102" t="s">
        <v>3381</v>
      </c>
      <c r="C123" s="9" t="s">
        <v>3619</v>
      </c>
      <c r="D123" s="137" t="s">
        <v>3620</v>
      </c>
      <c r="E123" s="102">
        <v>2020</v>
      </c>
      <c r="F123" s="102">
        <v>2020</v>
      </c>
      <c r="G123" s="132" t="s">
        <v>16</v>
      </c>
      <c r="H123" s="109">
        <v>200</v>
      </c>
      <c r="I123" s="109">
        <v>200</v>
      </c>
      <c r="J123" s="102"/>
      <c r="K123" s="111"/>
      <c r="L123" s="105">
        <v>20201118</v>
      </c>
    </row>
    <row r="124" s="246" customFormat="1" ht="16" customHeight="1" spans="1:12">
      <c r="A124" s="132">
        <v>122</v>
      </c>
      <c r="B124" s="102" t="s">
        <v>3381</v>
      </c>
      <c r="C124" s="9" t="s">
        <v>3621</v>
      </c>
      <c r="D124" s="137" t="s">
        <v>3622</v>
      </c>
      <c r="E124" s="102">
        <v>2020</v>
      </c>
      <c r="F124" s="102">
        <v>2020</v>
      </c>
      <c r="G124" s="132" t="s">
        <v>16</v>
      </c>
      <c r="H124" s="109">
        <v>500</v>
      </c>
      <c r="I124" s="109">
        <v>500</v>
      </c>
      <c r="J124" s="102"/>
      <c r="K124" s="111"/>
      <c r="L124" s="105">
        <v>20201118</v>
      </c>
    </row>
    <row r="125" s="246" customFormat="1" ht="16" customHeight="1" spans="1:12">
      <c r="A125" s="102">
        <v>123</v>
      </c>
      <c r="B125" s="102" t="s">
        <v>3381</v>
      </c>
      <c r="C125" s="9" t="s">
        <v>3623</v>
      </c>
      <c r="D125" s="137" t="s">
        <v>3624</v>
      </c>
      <c r="E125" s="102">
        <v>2020</v>
      </c>
      <c r="F125" s="102">
        <v>2020</v>
      </c>
      <c r="G125" s="132" t="s">
        <v>16</v>
      </c>
      <c r="H125" s="109">
        <v>200</v>
      </c>
      <c r="I125" s="109">
        <v>200</v>
      </c>
      <c r="J125" s="102"/>
      <c r="K125" s="111"/>
      <c r="L125" s="105">
        <v>20201118</v>
      </c>
    </row>
    <row r="126" s="246" customFormat="1" ht="16" customHeight="1" spans="1:12">
      <c r="A126" s="132">
        <v>124</v>
      </c>
      <c r="B126" s="102" t="s">
        <v>3381</v>
      </c>
      <c r="C126" s="9" t="s">
        <v>3625</v>
      </c>
      <c r="D126" s="137" t="s">
        <v>3626</v>
      </c>
      <c r="E126" s="102">
        <v>2020</v>
      </c>
      <c r="F126" s="102">
        <v>2020</v>
      </c>
      <c r="G126" s="132" t="s">
        <v>16</v>
      </c>
      <c r="H126" s="109">
        <v>200</v>
      </c>
      <c r="I126" s="109">
        <v>200</v>
      </c>
      <c r="J126" s="118" t="s">
        <v>1242</v>
      </c>
      <c r="K126" s="111"/>
      <c r="L126" s="105">
        <v>20201118</v>
      </c>
    </row>
    <row r="127" s="246" customFormat="1" ht="16" customHeight="1" spans="1:12">
      <c r="A127" s="132">
        <v>125</v>
      </c>
      <c r="B127" s="102" t="s">
        <v>3381</v>
      </c>
      <c r="C127" s="9" t="s">
        <v>3627</v>
      </c>
      <c r="D127" s="137" t="s">
        <v>3628</v>
      </c>
      <c r="E127" s="102">
        <v>2020</v>
      </c>
      <c r="F127" s="102">
        <v>2020</v>
      </c>
      <c r="G127" s="132" t="s">
        <v>16</v>
      </c>
      <c r="H127" s="109">
        <v>200</v>
      </c>
      <c r="I127" s="109">
        <v>200</v>
      </c>
      <c r="J127" s="102"/>
      <c r="K127" s="111"/>
      <c r="L127" s="105">
        <v>20201118</v>
      </c>
    </row>
    <row r="128" s="246" customFormat="1" ht="16" customHeight="1" spans="1:12">
      <c r="A128" s="102">
        <v>126</v>
      </c>
      <c r="B128" s="102" t="s">
        <v>3381</v>
      </c>
      <c r="C128" s="9" t="s">
        <v>3629</v>
      </c>
      <c r="D128" s="137" t="s">
        <v>3630</v>
      </c>
      <c r="E128" s="102">
        <v>2020</v>
      </c>
      <c r="F128" s="102">
        <v>2020</v>
      </c>
      <c r="G128" s="132" t="s">
        <v>16</v>
      </c>
      <c r="H128" s="109">
        <v>200</v>
      </c>
      <c r="I128" s="109">
        <v>200</v>
      </c>
      <c r="J128" s="102"/>
      <c r="K128" s="111"/>
      <c r="L128" s="105">
        <v>20201118</v>
      </c>
    </row>
    <row r="129" s="246" customFormat="1" ht="16" customHeight="1" spans="1:12">
      <c r="A129" s="132">
        <v>127</v>
      </c>
      <c r="B129" s="102" t="s">
        <v>3381</v>
      </c>
      <c r="C129" s="9" t="s">
        <v>3631</v>
      </c>
      <c r="D129" s="137" t="s">
        <v>3632</v>
      </c>
      <c r="E129" s="102">
        <v>2020</v>
      </c>
      <c r="F129" s="102">
        <v>2020</v>
      </c>
      <c r="G129" s="132" t="s">
        <v>16</v>
      </c>
      <c r="H129" s="109">
        <v>200</v>
      </c>
      <c r="I129" s="109">
        <v>200</v>
      </c>
      <c r="J129" s="102"/>
      <c r="K129" s="111"/>
      <c r="L129" s="105">
        <v>20201118</v>
      </c>
    </row>
    <row r="130" s="246" customFormat="1" ht="16" customHeight="1" spans="1:12">
      <c r="A130" s="132">
        <v>128</v>
      </c>
      <c r="B130" s="102" t="s">
        <v>3381</v>
      </c>
      <c r="C130" s="9" t="s">
        <v>1526</v>
      </c>
      <c r="D130" s="137" t="s">
        <v>3633</v>
      </c>
      <c r="E130" s="102">
        <v>2020</v>
      </c>
      <c r="F130" s="102">
        <v>2020</v>
      </c>
      <c r="G130" s="132" t="s">
        <v>16</v>
      </c>
      <c r="H130" s="109">
        <v>200</v>
      </c>
      <c r="I130" s="109">
        <v>200</v>
      </c>
      <c r="J130" s="102"/>
      <c r="K130" s="111"/>
      <c r="L130" s="105">
        <v>20201118</v>
      </c>
    </row>
    <row r="131" s="246" customFormat="1" ht="16" customHeight="1" spans="1:12">
      <c r="A131" s="102">
        <v>129</v>
      </c>
      <c r="B131" s="102" t="s">
        <v>3381</v>
      </c>
      <c r="C131" s="9" t="s">
        <v>3550</v>
      </c>
      <c r="D131" s="137" t="s">
        <v>3634</v>
      </c>
      <c r="E131" s="102">
        <v>2020</v>
      </c>
      <c r="F131" s="102">
        <v>2020</v>
      </c>
      <c r="G131" s="132" t="s">
        <v>16</v>
      </c>
      <c r="H131" s="109">
        <v>200</v>
      </c>
      <c r="I131" s="109">
        <v>200</v>
      </c>
      <c r="J131" s="102"/>
      <c r="K131" s="111"/>
      <c r="L131" s="105">
        <v>20201118</v>
      </c>
    </row>
    <row r="132" s="246" customFormat="1" ht="16" customHeight="1" spans="1:12">
      <c r="A132" s="132">
        <v>130</v>
      </c>
      <c r="B132" s="102" t="s">
        <v>3381</v>
      </c>
      <c r="C132" s="9" t="s">
        <v>3635</v>
      </c>
      <c r="D132" s="137" t="s">
        <v>3636</v>
      </c>
      <c r="E132" s="102">
        <v>2020</v>
      </c>
      <c r="F132" s="102">
        <v>2020</v>
      </c>
      <c r="G132" s="132" t="s">
        <v>16</v>
      </c>
      <c r="H132" s="109">
        <v>200</v>
      </c>
      <c r="I132" s="109">
        <v>200</v>
      </c>
      <c r="J132" s="102"/>
      <c r="K132" s="111"/>
      <c r="L132" s="105">
        <v>20201118</v>
      </c>
    </row>
    <row r="133" s="246" customFormat="1" ht="16" customHeight="1" spans="1:12">
      <c r="A133" s="132">
        <v>131</v>
      </c>
      <c r="B133" s="102" t="s">
        <v>3381</v>
      </c>
      <c r="C133" s="9" t="s">
        <v>3637</v>
      </c>
      <c r="D133" s="137" t="s">
        <v>3638</v>
      </c>
      <c r="E133" s="102">
        <v>2020</v>
      </c>
      <c r="F133" s="102">
        <v>2020</v>
      </c>
      <c r="G133" s="132" t="s">
        <v>16</v>
      </c>
      <c r="H133" s="109">
        <v>200</v>
      </c>
      <c r="I133" s="109">
        <v>200</v>
      </c>
      <c r="J133" s="102"/>
      <c r="K133" s="111"/>
      <c r="L133" s="105">
        <v>20201118</v>
      </c>
    </row>
    <row r="134" s="246" customFormat="1" ht="16" customHeight="1" spans="1:12">
      <c r="A134" s="102">
        <v>132</v>
      </c>
      <c r="B134" s="102" t="s">
        <v>3381</v>
      </c>
      <c r="C134" s="9" t="s">
        <v>3639</v>
      </c>
      <c r="D134" s="137" t="s">
        <v>3640</v>
      </c>
      <c r="E134" s="102">
        <v>2020</v>
      </c>
      <c r="F134" s="102">
        <v>2020</v>
      </c>
      <c r="G134" s="132" t="s">
        <v>16</v>
      </c>
      <c r="H134" s="109">
        <v>200</v>
      </c>
      <c r="I134" s="109">
        <v>200</v>
      </c>
      <c r="J134" s="102"/>
      <c r="K134" s="111"/>
      <c r="L134" s="105">
        <v>20201118</v>
      </c>
    </row>
    <row r="135" s="246" customFormat="1" ht="16" customHeight="1" spans="1:12">
      <c r="A135" s="132">
        <v>133</v>
      </c>
      <c r="B135" s="102" t="s">
        <v>3381</v>
      </c>
      <c r="C135" s="9" t="s">
        <v>3641</v>
      </c>
      <c r="D135" s="137" t="s">
        <v>3642</v>
      </c>
      <c r="E135" s="102">
        <v>2020</v>
      </c>
      <c r="F135" s="102">
        <v>2020</v>
      </c>
      <c r="G135" s="132" t="s">
        <v>16</v>
      </c>
      <c r="H135" s="109">
        <v>200</v>
      </c>
      <c r="I135" s="109">
        <v>200</v>
      </c>
      <c r="J135" s="102"/>
      <c r="K135" s="111"/>
      <c r="L135" s="105">
        <v>20201118</v>
      </c>
    </row>
    <row r="136" s="246" customFormat="1" ht="16" customHeight="1" spans="1:12">
      <c r="A136" s="132">
        <v>134</v>
      </c>
      <c r="B136" s="102" t="s">
        <v>3381</v>
      </c>
      <c r="C136" s="9" t="s">
        <v>3643</v>
      </c>
      <c r="D136" s="137" t="s">
        <v>3644</v>
      </c>
      <c r="E136" s="102">
        <v>2020</v>
      </c>
      <c r="F136" s="102">
        <v>2020</v>
      </c>
      <c r="G136" s="132" t="s">
        <v>16</v>
      </c>
      <c r="H136" s="109">
        <v>200</v>
      </c>
      <c r="I136" s="109">
        <v>200</v>
      </c>
      <c r="J136" s="102"/>
      <c r="K136" s="111"/>
      <c r="L136" s="105">
        <v>20201118</v>
      </c>
    </row>
    <row r="137" s="246" customFormat="1" ht="16" customHeight="1" spans="1:12">
      <c r="A137" s="102">
        <v>135</v>
      </c>
      <c r="B137" s="102" t="s">
        <v>3381</v>
      </c>
      <c r="C137" s="9" t="s">
        <v>3645</v>
      </c>
      <c r="D137" s="137" t="s">
        <v>3646</v>
      </c>
      <c r="E137" s="102">
        <v>2020</v>
      </c>
      <c r="F137" s="102">
        <v>2020</v>
      </c>
      <c r="G137" s="132" t="s">
        <v>16</v>
      </c>
      <c r="H137" s="109">
        <v>200</v>
      </c>
      <c r="I137" s="109">
        <v>200</v>
      </c>
      <c r="J137" s="118" t="s">
        <v>3647</v>
      </c>
      <c r="K137" s="111"/>
      <c r="L137" s="105">
        <v>20201118</v>
      </c>
    </row>
    <row r="138" s="246" customFormat="1" ht="16" customHeight="1" spans="1:12">
      <c r="A138" s="132">
        <v>136</v>
      </c>
      <c r="B138" s="102" t="s">
        <v>3381</v>
      </c>
      <c r="C138" s="9" t="s">
        <v>3648</v>
      </c>
      <c r="D138" s="137" t="s">
        <v>3649</v>
      </c>
      <c r="E138" s="102">
        <v>2020</v>
      </c>
      <c r="F138" s="102">
        <v>2020</v>
      </c>
      <c r="G138" s="132" t="s">
        <v>16</v>
      </c>
      <c r="H138" s="109">
        <v>200</v>
      </c>
      <c r="I138" s="109">
        <v>200</v>
      </c>
      <c r="J138" s="102"/>
      <c r="K138" s="111"/>
      <c r="L138" s="105">
        <v>20201118</v>
      </c>
    </row>
    <row r="139" s="246" customFormat="1" ht="16" customHeight="1" spans="1:12">
      <c r="A139" s="132">
        <v>137</v>
      </c>
      <c r="B139" s="102" t="s">
        <v>3381</v>
      </c>
      <c r="C139" s="9" t="s">
        <v>3650</v>
      </c>
      <c r="D139" s="137" t="s">
        <v>3651</v>
      </c>
      <c r="E139" s="102">
        <v>2020</v>
      </c>
      <c r="F139" s="102">
        <v>2020</v>
      </c>
      <c r="G139" s="132" t="s">
        <v>16</v>
      </c>
      <c r="H139" s="109">
        <v>200</v>
      </c>
      <c r="I139" s="109">
        <v>200</v>
      </c>
      <c r="J139" s="118" t="s">
        <v>3405</v>
      </c>
      <c r="K139" s="111"/>
      <c r="L139" s="105">
        <v>20201118</v>
      </c>
    </row>
    <row r="140" s="246" customFormat="1" ht="16" customHeight="1" spans="1:12">
      <c r="A140" s="102">
        <v>138</v>
      </c>
      <c r="B140" s="102" t="s">
        <v>3381</v>
      </c>
      <c r="C140" s="9" t="s">
        <v>3004</v>
      </c>
      <c r="D140" s="137" t="s">
        <v>3652</v>
      </c>
      <c r="E140" s="102">
        <v>2020</v>
      </c>
      <c r="F140" s="102">
        <v>2020</v>
      </c>
      <c r="G140" s="132" t="s">
        <v>16</v>
      </c>
      <c r="H140" s="109">
        <v>200</v>
      </c>
      <c r="I140" s="109">
        <v>200</v>
      </c>
      <c r="J140" s="102"/>
      <c r="K140" s="111"/>
      <c r="L140" s="105">
        <v>20201118</v>
      </c>
    </row>
    <row r="141" s="246" customFormat="1" ht="16" customHeight="1" spans="1:12">
      <c r="A141" s="132">
        <v>139</v>
      </c>
      <c r="B141" s="102" t="s">
        <v>3381</v>
      </c>
      <c r="C141" s="9" t="s">
        <v>3653</v>
      </c>
      <c r="D141" s="137" t="s">
        <v>3654</v>
      </c>
      <c r="E141" s="102">
        <v>2020</v>
      </c>
      <c r="F141" s="102">
        <v>2020</v>
      </c>
      <c r="G141" s="132" t="s">
        <v>16</v>
      </c>
      <c r="H141" s="109">
        <v>200</v>
      </c>
      <c r="I141" s="109">
        <v>200</v>
      </c>
      <c r="J141" s="118" t="s">
        <v>1242</v>
      </c>
      <c r="K141" s="111"/>
      <c r="L141" s="105">
        <v>20201118</v>
      </c>
    </row>
    <row r="142" s="246" customFormat="1" ht="16" customHeight="1" spans="1:12">
      <c r="A142" s="132">
        <v>140</v>
      </c>
      <c r="B142" s="102" t="s">
        <v>3381</v>
      </c>
      <c r="C142" s="9" t="s">
        <v>3655</v>
      </c>
      <c r="D142" s="137" t="s">
        <v>3656</v>
      </c>
      <c r="E142" s="102">
        <v>2020</v>
      </c>
      <c r="F142" s="102">
        <v>2020</v>
      </c>
      <c r="G142" s="132" t="s">
        <v>16</v>
      </c>
      <c r="H142" s="109">
        <v>200</v>
      </c>
      <c r="I142" s="109">
        <v>200</v>
      </c>
      <c r="J142" s="102"/>
      <c r="K142" s="111"/>
      <c r="L142" s="105">
        <v>20201118</v>
      </c>
    </row>
    <row r="143" s="246" customFormat="1" ht="16" customHeight="1" spans="1:12">
      <c r="A143" s="102">
        <v>141</v>
      </c>
      <c r="B143" s="102" t="s">
        <v>3381</v>
      </c>
      <c r="C143" s="9" t="s">
        <v>3657</v>
      </c>
      <c r="D143" s="137" t="s">
        <v>3658</v>
      </c>
      <c r="E143" s="102">
        <v>2020</v>
      </c>
      <c r="F143" s="102">
        <v>2020</v>
      </c>
      <c r="G143" s="132" t="s">
        <v>16</v>
      </c>
      <c r="H143" s="109">
        <v>200</v>
      </c>
      <c r="I143" s="109">
        <v>200</v>
      </c>
      <c r="J143" s="102"/>
      <c r="K143" s="111"/>
      <c r="L143" s="105">
        <v>20201118</v>
      </c>
    </row>
    <row r="144" s="246" customFormat="1" ht="16" customHeight="1" spans="1:12">
      <c r="A144" s="132">
        <v>142</v>
      </c>
      <c r="B144" s="102" t="s">
        <v>3381</v>
      </c>
      <c r="C144" s="9" t="s">
        <v>3659</v>
      </c>
      <c r="D144" s="137" t="s">
        <v>3660</v>
      </c>
      <c r="E144" s="102">
        <v>2020</v>
      </c>
      <c r="F144" s="102">
        <v>2020</v>
      </c>
      <c r="G144" s="132" t="s">
        <v>16</v>
      </c>
      <c r="H144" s="109">
        <v>200</v>
      </c>
      <c r="I144" s="109">
        <v>200</v>
      </c>
      <c r="J144" s="102"/>
      <c r="K144" s="111"/>
      <c r="L144" s="105">
        <v>20201118</v>
      </c>
    </row>
    <row r="145" s="246" customFormat="1" ht="16" customHeight="1" spans="1:12">
      <c r="A145" s="132">
        <v>143</v>
      </c>
      <c r="B145" s="102" t="s">
        <v>3381</v>
      </c>
      <c r="C145" s="9" t="s">
        <v>3661</v>
      </c>
      <c r="D145" s="137" t="s">
        <v>3662</v>
      </c>
      <c r="E145" s="102">
        <v>2020</v>
      </c>
      <c r="F145" s="102">
        <v>2020</v>
      </c>
      <c r="G145" s="132" t="s">
        <v>16</v>
      </c>
      <c r="H145" s="109">
        <v>200</v>
      </c>
      <c r="I145" s="109">
        <v>200</v>
      </c>
      <c r="J145" s="102"/>
      <c r="K145" s="111"/>
      <c r="L145" s="105">
        <v>20201118</v>
      </c>
    </row>
    <row r="146" s="246" customFormat="1" ht="16" customHeight="1" spans="1:12">
      <c r="A146" s="102">
        <v>144</v>
      </c>
      <c r="B146" s="102" t="s">
        <v>3381</v>
      </c>
      <c r="C146" s="9" t="s">
        <v>3663</v>
      </c>
      <c r="D146" s="137" t="s">
        <v>3664</v>
      </c>
      <c r="E146" s="102">
        <v>2020</v>
      </c>
      <c r="F146" s="102">
        <v>2020</v>
      </c>
      <c r="G146" s="132" t="s">
        <v>16</v>
      </c>
      <c r="H146" s="109">
        <v>200</v>
      </c>
      <c r="I146" s="109">
        <v>200</v>
      </c>
      <c r="J146" s="102"/>
      <c r="K146" s="111"/>
      <c r="L146" s="105">
        <v>20201118</v>
      </c>
    </row>
    <row r="147" s="246" customFormat="1" ht="16" customHeight="1" spans="1:12">
      <c r="A147" s="132">
        <v>145</v>
      </c>
      <c r="B147" s="102" t="s">
        <v>3381</v>
      </c>
      <c r="C147" s="9" t="s">
        <v>3665</v>
      </c>
      <c r="D147" s="137" t="s">
        <v>3666</v>
      </c>
      <c r="E147" s="102">
        <v>2020</v>
      </c>
      <c r="F147" s="102">
        <v>2020</v>
      </c>
      <c r="G147" s="132" t="s">
        <v>16</v>
      </c>
      <c r="H147" s="109">
        <v>200</v>
      </c>
      <c r="I147" s="109">
        <v>200</v>
      </c>
      <c r="J147" s="102"/>
      <c r="K147" s="111"/>
      <c r="L147" s="105">
        <v>20201118</v>
      </c>
    </row>
    <row r="148" s="246" customFormat="1" ht="16" customHeight="1" spans="1:12">
      <c r="A148" s="132">
        <v>146</v>
      </c>
      <c r="B148" s="102" t="s">
        <v>3381</v>
      </c>
      <c r="C148" s="9" t="s">
        <v>3667</v>
      </c>
      <c r="D148" s="137" t="s">
        <v>3668</v>
      </c>
      <c r="E148" s="102">
        <v>2020</v>
      </c>
      <c r="F148" s="102">
        <v>2020</v>
      </c>
      <c r="G148" s="132" t="s">
        <v>16</v>
      </c>
      <c r="H148" s="109">
        <v>200</v>
      </c>
      <c r="I148" s="109">
        <v>200</v>
      </c>
      <c r="J148" s="102"/>
      <c r="K148" s="111"/>
      <c r="L148" s="105">
        <v>20201118</v>
      </c>
    </row>
    <row r="149" s="246" customFormat="1" ht="16" customHeight="1" spans="1:12">
      <c r="A149" s="102">
        <v>147</v>
      </c>
      <c r="B149" s="102" t="s">
        <v>3381</v>
      </c>
      <c r="C149" s="9" t="s">
        <v>3669</v>
      </c>
      <c r="D149" s="137" t="s">
        <v>3670</v>
      </c>
      <c r="E149" s="102">
        <v>2020</v>
      </c>
      <c r="F149" s="102">
        <v>2020</v>
      </c>
      <c r="G149" s="132" t="s">
        <v>16</v>
      </c>
      <c r="H149" s="109">
        <v>200</v>
      </c>
      <c r="I149" s="109">
        <v>200</v>
      </c>
      <c r="J149" s="102"/>
      <c r="K149" s="111"/>
      <c r="L149" s="105">
        <v>20201118</v>
      </c>
    </row>
    <row r="150" s="246" customFormat="1" ht="16" customHeight="1" spans="1:12">
      <c r="A150" s="132">
        <v>148</v>
      </c>
      <c r="B150" s="102" t="s">
        <v>3381</v>
      </c>
      <c r="C150" s="9" t="s">
        <v>3671</v>
      </c>
      <c r="D150" s="137" t="s">
        <v>3672</v>
      </c>
      <c r="E150" s="102">
        <v>2020</v>
      </c>
      <c r="F150" s="102">
        <v>2020</v>
      </c>
      <c r="G150" s="132" t="s">
        <v>16</v>
      </c>
      <c r="H150" s="109">
        <v>200</v>
      </c>
      <c r="I150" s="109">
        <v>200</v>
      </c>
      <c r="J150" s="102"/>
      <c r="K150" s="111"/>
      <c r="L150" s="105">
        <v>20201118</v>
      </c>
    </row>
    <row r="151" s="246" customFormat="1" ht="16" customHeight="1" spans="1:12">
      <c r="A151" s="132">
        <v>149</v>
      </c>
      <c r="B151" s="102" t="s">
        <v>3381</v>
      </c>
      <c r="C151" s="9" t="s">
        <v>3673</v>
      </c>
      <c r="D151" s="137" t="s">
        <v>3674</v>
      </c>
      <c r="E151" s="102">
        <v>2020</v>
      </c>
      <c r="F151" s="102">
        <v>2020</v>
      </c>
      <c r="G151" s="132" t="s">
        <v>16</v>
      </c>
      <c r="H151" s="109">
        <v>200</v>
      </c>
      <c r="I151" s="109">
        <v>200</v>
      </c>
      <c r="J151" s="102"/>
      <c r="K151" s="111"/>
      <c r="L151" s="105">
        <v>20201118</v>
      </c>
    </row>
    <row r="152" s="246" customFormat="1" ht="16" customHeight="1" spans="1:12">
      <c r="A152" s="102">
        <v>150</v>
      </c>
      <c r="B152" s="102" t="s">
        <v>3381</v>
      </c>
      <c r="C152" s="9" t="s">
        <v>3675</v>
      </c>
      <c r="D152" s="137" t="s">
        <v>3676</v>
      </c>
      <c r="E152" s="102">
        <v>2020</v>
      </c>
      <c r="F152" s="102">
        <v>2020</v>
      </c>
      <c r="G152" s="132" t="s">
        <v>16</v>
      </c>
      <c r="H152" s="109">
        <v>200</v>
      </c>
      <c r="I152" s="109">
        <v>200</v>
      </c>
      <c r="J152" s="102"/>
      <c r="K152" s="111"/>
      <c r="L152" s="105">
        <v>20201118</v>
      </c>
    </row>
    <row r="153" s="246" customFormat="1" ht="16" customHeight="1" spans="1:12">
      <c r="A153" s="132">
        <v>151</v>
      </c>
      <c r="B153" s="102" t="s">
        <v>3381</v>
      </c>
      <c r="C153" s="9" t="s">
        <v>3677</v>
      </c>
      <c r="D153" s="137" t="s">
        <v>3678</v>
      </c>
      <c r="E153" s="102">
        <v>2020</v>
      </c>
      <c r="F153" s="102">
        <v>2020</v>
      </c>
      <c r="G153" s="132" t="s">
        <v>16</v>
      </c>
      <c r="H153" s="109">
        <v>200</v>
      </c>
      <c r="I153" s="109">
        <v>200</v>
      </c>
      <c r="J153" s="102"/>
      <c r="K153" s="111"/>
      <c r="L153" s="105">
        <v>20201118</v>
      </c>
    </row>
    <row r="154" s="246" customFormat="1" ht="16" customHeight="1" spans="1:12">
      <c r="A154" s="132">
        <v>152</v>
      </c>
      <c r="B154" s="102" t="s">
        <v>3381</v>
      </c>
      <c r="C154" s="9" t="s">
        <v>3679</v>
      </c>
      <c r="D154" s="137" t="s">
        <v>3680</v>
      </c>
      <c r="E154" s="102">
        <v>2020</v>
      </c>
      <c r="F154" s="102">
        <v>2020</v>
      </c>
      <c r="G154" s="132" t="s">
        <v>16</v>
      </c>
      <c r="H154" s="109">
        <v>200</v>
      </c>
      <c r="I154" s="109">
        <v>200</v>
      </c>
      <c r="J154" s="102"/>
      <c r="K154" s="111"/>
      <c r="L154" s="105">
        <v>20201118</v>
      </c>
    </row>
    <row r="155" s="246" customFormat="1" ht="16" customHeight="1" spans="1:12">
      <c r="A155" s="102">
        <v>153</v>
      </c>
      <c r="B155" s="102" t="s">
        <v>3381</v>
      </c>
      <c r="C155" s="9" t="s">
        <v>3681</v>
      </c>
      <c r="D155" s="137" t="s">
        <v>3682</v>
      </c>
      <c r="E155" s="102">
        <v>2020</v>
      </c>
      <c r="F155" s="102">
        <v>2020</v>
      </c>
      <c r="G155" s="132" t="s">
        <v>16</v>
      </c>
      <c r="H155" s="109">
        <v>200</v>
      </c>
      <c r="I155" s="109">
        <v>200</v>
      </c>
      <c r="J155" s="102"/>
      <c r="K155" s="111"/>
      <c r="L155" s="105">
        <v>20201118</v>
      </c>
    </row>
    <row r="156" s="246" customFormat="1" ht="16" customHeight="1" spans="1:12">
      <c r="A156" s="132">
        <v>154</v>
      </c>
      <c r="B156" s="102" t="s">
        <v>3381</v>
      </c>
      <c r="C156" s="9" t="s">
        <v>3683</v>
      </c>
      <c r="D156" s="137" t="s">
        <v>3684</v>
      </c>
      <c r="E156" s="102">
        <v>2020</v>
      </c>
      <c r="F156" s="102">
        <v>2020</v>
      </c>
      <c r="G156" s="132" t="s">
        <v>16</v>
      </c>
      <c r="H156" s="109">
        <v>200</v>
      </c>
      <c r="I156" s="109">
        <v>200</v>
      </c>
      <c r="J156" s="102"/>
      <c r="K156" s="111"/>
      <c r="L156" s="105">
        <v>20201118</v>
      </c>
    </row>
    <row r="157" s="246" customFormat="1" ht="16" customHeight="1" spans="1:12">
      <c r="A157" s="132">
        <v>155</v>
      </c>
      <c r="B157" s="102" t="s">
        <v>3381</v>
      </c>
      <c r="C157" s="9" t="s">
        <v>3685</v>
      </c>
      <c r="D157" s="137" t="s">
        <v>3686</v>
      </c>
      <c r="E157" s="102">
        <v>2020</v>
      </c>
      <c r="F157" s="102">
        <v>2020</v>
      </c>
      <c r="G157" s="132" t="s">
        <v>16</v>
      </c>
      <c r="H157" s="109">
        <v>200</v>
      </c>
      <c r="I157" s="109">
        <v>200</v>
      </c>
      <c r="J157" s="102"/>
      <c r="K157" s="111"/>
      <c r="L157" s="105">
        <v>20201118</v>
      </c>
    </row>
    <row r="158" s="246" customFormat="1" ht="16" customHeight="1" spans="1:12">
      <c r="A158" s="102">
        <v>156</v>
      </c>
      <c r="B158" s="102" t="s">
        <v>3381</v>
      </c>
      <c r="C158" s="9" t="s">
        <v>3687</v>
      </c>
      <c r="D158" s="137" t="s">
        <v>3688</v>
      </c>
      <c r="E158" s="102">
        <v>2020</v>
      </c>
      <c r="F158" s="102">
        <v>2020</v>
      </c>
      <c r="G158" s="132" t="s">
        <v>16</v>
      </c>
      <c r="H158" s="109">
        <v>200</v>
      </c>
      <c r="I158" s="109">
        <v>200</v>
      </c>
      <c r="J158" s="102"/>
      <c r="K158" s="111"/>
      <c r="L158" s="105">
        <v>20201118</v>
      </c>
    </row>
    <row r="159" s="246" customFormat="1" ht="16" customHeight="1" spans="1:12">
      <c r="A159" s="132">
        <v>157</v>
      </c>
      <c r="B159" s="102" t="s">
        <v>3381</v>
      </c>
      <c r="C159" s="9" t="s">
        <v>3689</v>
      </c>
      <c r="D159" s="137" t="s">
        <v>3690</v>
      </c>
      <c r="E159" s="102">
        <v>2020</v>
      </c>
      <c r="F159" s="102">
        <v>2020</v>
      </c>
      <c r="G159" s="132" t="s">
        <v>16</v>
      </c>
      <c r="H159" s="109">
        <v>200</v>
      </c>
      <c r="I159" s="109">
        <v>200</v>
      </c>
      <c r="J159" s="102"/>
      <c r="K159" s="111"/>
      <c r="L159" s="105">
        <v>20201118</v>
      </c>
    </row>
    <row r="160" s="246" customFormat="1" ht="16" customHeight="1" spans="1:12">
      <c r="A160" s="132">
        <v>158</v>
      </c>
      <c r="B160" s="102" t="s">
        <v>3381</v>
      </c>
      <c r="C160" s="9" t="s">
        <v>3691</v>
      </c>
      <c r="D160" s="137" t="s">
        <v>3692</v>
      </c>
      <c r="E160" s="102">
        <v>2020</v>
      </c>
      <c r="F160" s="102">
        <v>2020</v>
      </c>
      <c r="G160" s="132" t="s">
        <v>16</v>
      </c>
      <c r="H160" s="109">
        <v>200</v>
      </c>
      <c r="I160" s="109">
        <v>200</v>
      </c>
      <c r="J160" s="102"/>
      <c r="K160" s="111"/>
      <c r="L160" s="105">
        <v>20201118</v>
      </c>
    </row>
    <row r="161" s="246" customFormat="1" ht="16" customHeight="1" spans="1:12">
      <c r="A161" s="102">
        <v>159</v>
      </c>
      <c r="B161" s="102" t="s">
        <v>3381</v>
      </c>
      <c r="C161" s="9" t="s">
        <v>3693</v>
      </c>
      <c r="D161" s="137" t="s">
        <v>3694</v>
      </c>
      <c r="E161" s="102">
        <v>2020</v>
      </c>
      <c r="F161" s="102">
        <v>2020</v>
      </c>
      <c r="G161" s="132" t="s">
        <v>16</v>
      </c>
      <c r="H161" s="109">
        <v>200</v>
      </c>
      <c r="I161" s="109">
        <v>200</v>
      </c>
      <c r="J161" s="102"/>
      <c r="K161" s="111"/>
      <c r="L161" s="105">
        <v>20201118</v>
      </c>
    </row>
    <row r="162" s="246" customFormat="1" ht="16" customHeight="1" spans="1:12">
      <c r="A162" s="132">
        <v>160</v>
      </c>
      <c r="B162" s="102" t="s">
        <v>3381</v>
      </c>
      <c r="C162" s="9" t="s">
        <v>3695</v>
      </c>
      <c r="D162" s="137" t="s">
        <v>3696</v>
      </c>
      <c r="E162" s="102">
        <v>2020</v>
      </c>
      <c r="F162" s="102">
        <v>2020</v>
      </c>
      <c r="G162" s="132" t="s">
        <v>16</v>
      </c>
      <c r="H162" s="109">
        <v>200</v>
      </c>
      <c r="I162" s="109">
        <v>200</v>
      </c>
      <c r="J162" s="102"/>
      <c r="K162" s="111"/>
      <c r="L162" s="105">
        <v>20201118</v>
      </c>
    </row>
    <row r="163" s="246" customFormat="1" ht="16" customHeight="1" spans="1:12">
      <c r="A163" s="132">
        <v>161</v>
      </c>
      <c r="B163" s="102" t="s">
        <v>3381</v>
      </c>
      <c r="C163" s="9" t="s">
        <v>3697</v>
      </c>
      <c r="D163" s="137" t="s">
        <v>3698</v>
      </c>
      <c r="E163" s="102">
        <v>2020</v>
      </c>
      <c r="F163" s="102">
        <v>2020</v>
      </c>
      <c r="G163" s="132" t="s">
        <v>16</v>
      </c>
      <c r="H163" s="109">
        <v>200</v>
      </c>
      <c r="I163" s="109">
        <v>200</v>
      </c>
      <c r="J163" s="102"/>
      <c r="K163" s="111"/>
      <c r="L163" s="105">
        <v>20201118</v>
      </c>
    </row>
    <row r="164" s="246" customFormat="1" ht="16" customHeight="1" spans="1:12">
      <c r="A164" s="102">
        <v>162</v>
      </c>
      <c r="B164" s="102" t="s">
        <v>3381</v>
      </c>
      <c r="C164" s="9" t="s">
        <v>3699</v>
      </c>
      <c r="D164" s="137" t="s">
        <v>3700</v>
      </c>
      <c r="E164" s="102">
        <v>2020</v>
      </c>
      <c r="F164" s="102">
        <v>2020</v>
      </c>
      <c r="G164" s="132" t="s">
        <v>16</v>
      </c>
      <c r="H164" s="109">
        <v>200</v>
      </c>
      <c r="I164" s="109">
        <v>200</v>
      </c>
      <c r="J164" s="102"/>
      <c r="K164" s="111"/>
      <c r="L164" s="105">
        <v>20201118</v>
      </c>
    </row>
    <row r="165" s="246" customFormat="1" ht="16" customHeight="1" spans="1:12">
      <c r="A165" s="132">
        <v>163</v>
      </c>
      <c r="B165" s="102" t="s">
        <v>3381</v>
      </c>
      <c r="C165" s="9" t="s">
        <v>3701</v>
      </c>
      <c r="D165" s="137" t="s">
        <v>3702</v>
      </c>
      <c r="E165" s="102">
        <v>2020</v>
      </c>
      <c r="F165" s="102">
        <v>2020</v>
      </c>
      <c r="G165" s="132" t="s">
        <v>16</v>
      </c>
      <c r="H165" s="109">
        <v>500</v>
      </c>
      <c r="I165" s="109">
        <v>500</v>
      </c>
      <c r="J165" s="102"/>
      <c r="K165" s="111"/>
      <c r="L165" s="105">
        <v>20201118</v>
      </c>
    </row>
    <row r="166" s="246" customFormat="1" ht="16" customHeight="1" spans="1:12">
      <c r="A166" s="132">
        <v>164</v>
      </c>
      <c r="B166" s="102" t="s">
        <v>3381</v>
      </c>
      <c r="C166" s="9" t="s">
        <v>3703</v>
      </c>
      <c r="D166" s="137" t="s">
        <v>3704</v>
      </c>
      <c r="E166" s="102">
        <v>2020</v>
      </c>
      <c r="F166" s="102">
        <v>2020</v>
      </c>
      <c r="G166" s="132" t="s">
        <v>16</v>
      </c>
      <c r="H166" s="109">
        <v>200</v>
      </c>
      <c r="I166" s="109">
        <v>200</v>
      </c>
      <c r="J166" s="102"/>
      <c r="K166" s="111"/>
      <c r="L166" s="105">
        <v>20201118</v>
      </c>
    </row>
    <row r="167" s="246" customFormat="1" ht="16" customHeight="1" spans="1:12">
      <c r="A167" s="102">
        <v>165</v>
      </c>
      <c r="B167" s="102" t="s">
        <v>3381</v>
      </c>
      <c r="C167" s="9" t="s">
        <v>3705</v>
      </c>
      <c r="D167" s="137" t="s">
        <v>3706</v>
      </c>
      <c r="E167" s="102">
        <v>2020</v>
      </c>
      <c r="F167" s="102">
        <v>2020</v>
      </c>
      <c r="G167" s="132" t="s">
        <v>16</v>
      </c>
      <c r="H167" s="109">
        <v>200</v>
      </c>
      <c r="I167" s="109">
        <v>200</v>
      </c>
      <c r="J167" s="102"/>
      <c r="K167" s="111"/>
      <c r="L167" s="105">
        <v>20201118</v>
      </c>
    </row>
    <row r="168" s="246" customFormat="1" ht="16" customHeight="1" spans="1:12">
      <c r="A168" s="132">
        <v>166</v>
      </c>
      <c r="B168" s="102" t="s">
        <v>3381</v>
      </c>
      <c r="C168" s="9" t="s">
        <v>3707</v>
      </c>
      <c r="D168" s="137" t="s">
        <v>3708</v>
      </c>
      <c r="E168" s="102">
        <v>2020</v>
      </c>
      <c r="F168" s="102">
        <v>2020</v>
      </c>
      <c r="G168" s="132" t="s">
        <v>16</v>
      </c>
      <c r="H168" s="109">
        <v>200</v>
      </c>
      <c r="I168" s="109">
        <v>200</v>
      </c>
      <c r="J168" s="102"/>
      <c r="K168" s="111"/>
      <c r="L168" s="105">
        <v>20201118</v>
      </c>
    </row>
    <row r="169" s="246" customFormat="1" ht="16" customHeight="1" spans="1:12">
      <c r="A169" s="132">
        <v>167</v>
      </c>
      <c r="B169" s="102" t="s">
        <v>3381</v>
      </c>
      <c r="C169" s="9" t="s">
        <v>3709</v>
      </c>
      <c r="D169" s="137" t="s">
        <v>3710</v>
      </c>
      <c r="E169" s="102">
        <v>2020</v>
      </c>
      <c r="F169" s="102">
        <v>2020</v>
      </c>
      <c r="G169" s="132" t="s">
        <v>16</v>
      </c>
      <c r="H169" s="109">
        <v>500</v>
      </c>
      <c r="I169" s="109">
        <v>500</v>
      </c>
      <c r="J169" s="102"/>
      <c r="K169" s="111"/>
      <c r="L169" s="105">
        <v>20201118</v>
      </c>
    </row>
    <row r="170" s="246" customFormat="1" ht="16" customHeight="1" spans="1:12">
      <c r="A170" s="102">
        <v>168</v>
      </c>
      <c r="B170" s="102" t="s">
        <v>3381</v>
      </c>
      <c r="C170" s="9" t="s">
        <v>2538</v>
      </c>
      <c r="D170" s="137" t="s">
        <v>3711</v>
      </c>
      <c r="E170" s="102">
        <v>2020</v>
      </c>
      <c r="F170" s="102">
        <v>2020</v>
      </c>
      <c r="G170" s="132" t="s">
        <v>16</v>
      </c>
      <c r="H170" s="109">
        <v>200</v>
      </c>
      <c r="I170" s="109">
        <v>200</v>
      </c>
      <c r="J170" s="102"/>
      <c r="K170" s="111"/>
      <c r="L170" s="105">
        <v>20201118</v>
      </c>
    </row>
    <row r="171" s="246" customFormat="1" ht="16" customHeight="1" spans="1:12">
      <c r="A171" s="132">
        <v>169</v>
      </c>
      <c r="B171" s="102" t="s">
        <v>3381</v>
      </c>
      <c r="C171" s="9" t="s">
        <v>3712</v>
      </c>
      <c r="D171" s="137" t="s">
        <v>3713</v>
      </c>
      <c r="E171" s="102">
        <v>2020</v>
      </c>
      <c r="F171" s="102">
        <v>2020</v>
      </c>
      <c r="G171" s="132" t="s">
        <v>16</v>
      </c>
      <c r="H171" s="109">
        <v>500</v>
      </c>
      <c r="I171" s="109">
        <v>500</v>
      </c>
      <c r="J171" s="102"/>
      <c r="K171" s="111"/>
      <c r="L171" s="105">
        <v>20201118</v>
      </c>
    </row>
    <row r="172" s="246" customFormat="1" ht="16" customHeight="1" spans="1:12">
      <c r="A172" s="132">
        <v>170</v>
      </c>
      <c r="B172" s="102" t="s">
        <v>3381</v>
      </c>
      <c r="C172" s="9" t="s">
        <v>3714</v>
      </c>
      <c r="D172" s="137" t="s">
        <v>3715</v>
      </c>
      <c r="E172" s="102">
        <v>2020</v>
      </c>
      <c r="F172" s="102">
        <v>2020</v>
      </c>
      <c r="G172" s="132" t="s">
        <v>16</v>
      </c>
      <c r="H172" s="109">
        <v>200</v>
      </c>
      <c r="I172" s="109">
        <v>200</v>
      </c>
      <c r="J172" s="102"/>
      <c r="K172" s="111"/>
      <c r="L172" s="105">
        <v>20201118</v>
      </c>
    </row>
    <row r="173" s="246" customFormat="1" ht="16" customHeight="1" spans="1:12">
      <c r="A173" s="102">
        <v>171</v>
      </c>
      <c r="B173" s="102" t="s">
        <v>3381</v>
      </c>
      <c r="C173" s="9" t="s">
        <v>3716</v>
      </c>
      <c r="D173" s="137" t="s">
        <v>3717</v>
      </c>
      <c r="E173" s="102">
        <v>2020</v>
      </c>
      <c r="F173" s="102">
        <v>2020</v>
      </c>
      <c r="G173" s="132" t="s">
        <v>16</v>
      </c>
      <c r="H173" s="109">
        <v>200</v>
      </c>
      <c r="I173" s="109">
        <v>200</v>
      </c>
      <c r="J173" s="102"/>
      <c r="K173" s="111"/>
      <c r="L173" s="105">
        <v>20201118</v>
      </c>
    </row>
    <row r="174" s="246" customFormat="1" ht="16" customHeight="1" spans="1:12">
      <c r="A174" s="132">
        <v>172</v>
      </c>
      <c r="B174" s="102" t="s">
        <v>3381</v>
      </c>
      <c r="C174" s="9" t="s">
        <v>3718</v>
      </c>
      <c r="D174" s="137" t="s">
        <v>3719</v>
      </c>
      <c r="E174" s="102">
        <v>2020</v>
      </c>
      <c r="F174" s="102">
        <v>2020</v>
      </c>
      <c r="G174" s="132" t="s">
        <v>16</v>
      </c>
      <c r="H174" s="109">
        <v>200</v>
      </c>
      <c r="I174" s="109">
        <v>200</v>
      </c>
      <c r="J174" s="102"/>
      <c r="K174" s="111"/>
      <c r="L174" s="105">
        <v>20201118</v>
      </c>
    </row>
    <row r="175" s="246" customFormat="1" ht="16" customHeight="1" spans="1:12">
      <c r="A175" s="132">
        <v>173</v>
      </c>
      <c r="B175" s="102" t="s">
        <v>3381</v>
      </c>
      <c r="C175" s="9" t="s">
        <v>3720</v>
      </c>
      <c r="D175" s="137" t="s">
        <v>3721</v>
      </c>
      <c r="E175" s="102">
        <v>2020</v>
      </c>
      <c r="F175" s="102">
        <v>2020</v>
      </c>
      <c r="G175" s="132" t="s">
        <v>16</v>
      </c>
      <c r="H175" s="109">
        <v>200</v>
      </c>
      <c r="I175" s="109">
        <v>200</v>
      </c>
      <c r="J175" s="102"/>
      <c r="K175" s="111"/>
      <c r="L175" s="105">
        <v>20201118</v>
      </c>
    </row>
    <row r="176" s="246" customFormat="1" ht="16" customHeight="1" spans="1:12">
      <c r="A176" s="102">
        <v>174</v>
      </c>
      <c r="B176" s="102" t="s">
        <v>3381</v>
      </c>
      <c r="C176" s="9" t="s">
        <v>3722</v>
      </c>
      <c r="D176" s="137" t="s">
        <v>3723</v>
      </c>
      <c r="E176" s="102">
        <v>2020</v>
      </c>
      <c r="F176" s="102">
        <v>2020</v>
      </c>
      <c r="G176" s="132" t="s">
        <v>16</v>
      </c>
      <c r="H176" s="109">
        <v>200</v>
      </c>
      <c r="I176" s="109">
        <v>200</v>
      </c>
      <c r="J176" s="102"/>
      <c r="K176" s="111"/>
      <c r="L176" s="105">
        <v>20201118</v>
      </c>
    </row>
    <row r="177" s="246" customFormat="1" ht="16" customHeight="1" spans="1:12">
      <c r="A177" s="132">
        <v>175</v>
      </c>
      <c r="B177" s="102" t="s">
        <v>3381</v>
      </c>
      <c r="C177" s="9" t="s">
        <v>3724</v>
      </c>
      <c r="D177" s="137" t="s">
        <v>3725</v>
      </c>
      <c r="E177" s="102">
        <v>2020</v>
      </c>
      <c r="F177" s="102">
        <v>2020</v>
      </c>
      <c r="G177" s="132" t="s">
        <v>16</v>
      </c>
      <c r="H177" s="109">
        <v>200</v>
      </c>
      <c r="I177" s="109">
        <v>200</v>
      </c>
      <c r="J177" s="102"/>
      <c r="K177" s="111"/>
      <c r="L177" s="105">
        <v>20201118</v>
      </c>
    </row>
    <row r="178" s="246" customFormat="1" ht="16" customHeight="1" spans="1:12">
      <c r="A178" s="132">
        <v>176</v>
      </c>
      <c r="B178" s="102" t="s">
        <v>3381</v>
      </c>
      <c r="C178" s="9" t="s">
        <v>3726</v>
      </c>
      <c r="D178" s="137" t="s">
        <v>3727</v>
      </c>
      <c r="E178" s="102">
        <v>2020</v>
      </c>
      <c r="F178" s="102">
        <v>2020</v>
      </c>
      <c r="G178" s="132" t="s">
        <v>16</v>
      </c>
      <c r="H178" s="109">
        <v>200</v>
      </c>
      <c r="I178" s="109">
        <v>200</v>
      </c>
      <c r="J178" s="102"/>
      <c r="K178" s="111"/>
      <c r="L178" s="105">
        <v>20201118</v>
      </c>
    </row>
    <row r="179" s="246" customFormat="1" ht="16" customHeight="1" spans="1:12">
      <c r="A179" s="102">
        <v>177</v>
      </c>
      <c r="B179" s="102" t="s">
        <v>3381</v>
      </c>
      <c r="C179" s="9" t="s">
        <v>3728</v>
      </c>
      <c r="D179" s="137" t="s">
        <v>3729</v>
      </c>
      <c r="E179" s="102">
        <v>2020</v>
      </c>
      <c r="F179" s="102">
        <v>2020</v>
      </c>
      <c r="G179" s="132" t="s">
        <v>16</v>
      </c>
      <c r="H179" s="109">
        <v>200</v>
      </c>
      <c r="I179" s="109">
        <v>200</v>
      </c>
      <c r="J179" s="102"/>
      <c r="K179" s="111"/>
      <c r="L179" s="105">
        <v>20201118</v>
      </c>
    </row>
    <row r="180" s="246" customFormat="1" ht="16" customHeight="1" spans="1:12">
      <c r="A180" s="132">
        <v>178</v>
      </c>
      <c r="B180" s="102" t="s">
        <v>3381</v>
      </c>
      <c r="C180" s="9" t="s">
        <v>3730</v>
      </c>
      <c r="D180" s="137" t="s">
        <v>3731</v>
      </c>
      <c r="E180" s="102">
        <v>2020</v>
      </c>
      <c r="F180" s="102">
        <v>2020</v>
      </c>
      <c r="G180" s="132" t="s">
        <v>16</v>
      </c>
      <c r="H180" s="109">
        <v>200</v>
      </c>
      <c r="I180" s="109">
        <v>200</v>
      </c>
      <c r="J180" s="102"/>
      <c r="K180" s="111"/>
      <c r="L180" s="105">
        <v>20201118</v>
      </c>
    </row>
    <row r="181" s="246" customFormat="1" ht="16" customHeight="1" spans="1:12">
      <c r="A181" s="132">
        <v>179</v>
      </c>
      <c r="B181" s="102" t="s">
        <v>3381</v>
      </c>
      <c r="C181" s="9" t="s">
        <v>3732</v>
      </c>
      <c r="D181" s="137" t="s">
        <v>3733</v>
      </c>
      <c r="E181" s="102">
        <v>2020</v>
      </c>
      <c r="F181" s="102">
        <v>2020</v>
      </c>
      <c r="G181" s="132" t="s">
        <v>16</v>
      </c>
      <c r="H181" s="109">
        <v>200</v>
      </c>
      <c r="I181" s="109">
        <v>200</v>
      </c>
      <c r="J181" s="102"/>
      <c r="K181" s="111"/>
      <c r="L181" s="105">
        <v>20201118</v>
      </c>
    </row>
    <row r="182" s="246" customFormat="1" ht="16" customHeight="1" spans="1:12">
      <c r="A182" s="102">
        <v>180</v>
      </c>
      <c r="B182" s="102" t="s">
        <v>3381</v>
      </c>
      <c r="C182" s="9" t="s">
        <v>3734</v>
      </c>
      <c r="D182" s="137" t="s">
        <v>3735</v>
      </c>
      <c r="E182" s="102">
        <v>2020</v>
      </c>
      <c r="F182" s="102">
        <v>2020</v>
      </c>
      <c r="G182" s="132" t="s">
        <v>16</v>
      </c>
      <c r="H182" s="109">
        <v>200</v>
      </c>
      <c r="I182" s="109">
        <v>200</v>
      </c>
      <c r="J182" s="102"/>
      <c r="K182" s="111"/>
      <c r="L182" s="105">
        <v>20201118</v>
      </c>
    </row>
    <row r="183" s="246" customFormat="1" ht="16" customHeight="1" spans="1:12">
      <c r="A183" s="132">
        <v>181</v>
      </c>
      <c r="B183" s="102" t="s">
        <v>3381</v>
      </c>
      <c r="C183" s="9" t="s">
        <v>3736</v>
      </c>
      <c r="D183" s="137" t="s">
        <v>3737</v>
      </c>
      <c r="E183" s="102">
        <v>2020</v>
      </c>
      <c r="F183" s="102">
        <v>2020</v>
      </c>
      <c r="G183" s="132" t="s">
        <v>16</v>
      </c>
      <c r="H183" s="109">
        <v>200</v>
      </c>
      <c r="I183" s="109">
        <v>200</v>
      </c>
      <c r="J183" s="102"/>
      <c r="K183" s="111"/>
      <c r="L183" s="105">
        <v>20201118</v>
      </c>
    </row>
    <row r="184" s="246" customFormat="1" ht="16" customHeight="1" spans="1:12">
      <c r="A184" s="132">
        <v>182</v>
      </c>
      <c r="B184" s="102" t="s">
        <v>3381</v>
      </c>
      <c r="C184" s="9" t="s">
        <v>3738</v>
      </c>
      <c r="D184" s="137" t="s">
        <v>3739</v>
      </c>
      <c r="E184" s="102">
        <v>2020</v>
      </c>
      <c r="F184" s="102">
        <v>2020</v>
      </c>
      <c r="G184" s="132" t="s">
        <v>16</v>
      </c>
      <c r="H184" s="109">
        <v>200</v>
      </c>
      <c r="I184" s="109">
        <v>200</v>
      </c>
      <c r="J184" s="102"/>
      <c r="K184" s="111"/>
      <c r="L184" s="105">
        <v>20201118</v>
      </c>
    </row>
    <row r="185" s="246" customFormat="1" ht="16" customHeight="1" spans="1:12">
      <c r="A185" s="102">
        <v>183</v>
      </c>
      <c r="B185" s="102" t="s">
        <v>3381</v>
      </c>
      <c r="C185" s="9" t="s">
        <v>3740</v>
      </c>
      <c r="D185" s="137" t="s">
        <v>3741</v>
      </c>
      <c r="E185" s="102">
        <v>2020</v>
      </c>
      <c r="F185" s="102">
        <v>2020</v>
      </c>
      <c r="G185" s="132" t="s">
        <v>16</v>
      </c>
      <c r="H185" s="109">
        <v>200</v>
      </c>
      <c r="I185" s="109">
        <v>200</v>
      </c>
      <c r="J185" s="102"/>
      <c r="K185" s="111"/>
      <c r="L185" s="105">
        <v>20201118</v>
      </c>
    </row>
    <row r="186" s="246" customFormat="1" ht="16" customHeight="1" spans="1:12">
      <c r="A186" s="132">
        <v>184</v>
      </c>
      <c r="B186" s="102" t="s">
        <v>3381</v>
      </c>
      <c r="C186" s="9" t="s">
        <v>3742</v>
      </c>
      <c r="D186" s="137" t="s">
        <v>3743</v>
      </c>
      <c r="E186" s="102">
        <v>2020</v>
      </c>
      <c r="F186" s="102">
        <v>2020</v>
      </c>
      <c r="G186" s="132" t="s">
        <v>16</v>
      </c>
      <c r="H186" s="109">
        <v>200</v>
      </c>
      <c r="I186" s="109">
        <v>200</v>
      </c>
      <c r="J186" s="102"/>
      <c r="K186" s="111"/>
      <c r="L186" s="105">
        <v>20201118</v>
      </c>
    </row>
    <row r="187" s="246" customFormat="1" ht="16" customHeight="1" spans="1:12">
      <c r="A187" s="132">
        <v>185</v>
      </c>
      <c r="B187" s="102" t="s">
        <v>3381</v>
      </c>
      <c r="C187" s="9" t="s">
        <v>3744</v>
      </c>
      <c r="D187" s="137" t="s">
        <v>3745</v>
      </c>
      <c r="E187" s="102">
        <v>2020</v>
      </c>
      <c r="F187" s="102">
        <v>2020</v>
      </c>
      <c r="G187" s="132" t="s">
        <v>16</v>
      </c>
      <c r="H187" s="109">
        <v>200</v>
      </c>
      <c r="I187" s="109">
        <v>200</v>
      </c>
      <c r="J187" s="118" t="s">
        <v>1242</v>
      </c>
      <c r="K187" s="111"/>
      <c r="L187" s="105">
        <v>20201118</v>
      </c>
    </row>
    <row r="188" s="246" customFormat="1" ht="16" customHeight="1" spans="1:12">
      <c r="A188" s="102">
        <v>186</v>
      </c>
      <c r="B188" s="102" t="s">
        <v>3381</v>
      </c>
      <c r="C188" s="9" t="s">
        <v>3746</v>
      </c>
      <c r="D188" s="137" t="s">
        <v>3747</v>
      </c>
      <c r="E188" s="102">
        <v>2020</v>
      </c>
      <c r="F188" s="102">
        <v>2020</v>
      </c>
      <c r="G188" s="132" t="s">
        <v>16</v>
      </c>
      <c r="H188" s="109">
        <v>200</v>
      </c>
      <c r="I188" s="109">
        <v>200</v>
      </c>
      <c r="J188" s="102"/>
      <c r="K188" s="111"/>
      <c r="L188" s="105">
        <v>20201118</v>
      </c>
    </row>
    <row r="189" s="246" customFormat="1" ht="16" customHeight="1" spans="1:12">
      <c r="A189" s="132">
        <v>187</v>
      </c>
      <c r="B189" s="102" t="s">
        <v>3381</v>
      </c>
      <c r="C189" s="9" t="s">
        <v>3748</v>
      </c>
      <c r="D189" s="137" t="s">
        <v>3749</v>
      </c>
      <c r="E189" s="102">
        <v>2020</v>
      </c>
      <c r="F189" s="102">
        <v>2020</v>
      </c>
      <c r="G189" s="132" t="s">
        <v>16</v>
      </c>
      <c r="H189" s="109">
        <v>200</v>
      </c>
      <c r="I189" s="109">
        <v>200</v>
      </c>
      <c r="J189" s="102"/>
      <c r="K189" s="111"/>
      <c r="L189" s="105">
        <v>20201118</v>
      </c>
    </row>
    <row r="190" s="246" customFormat="1" ht="16" customHeight="1" spans="1:12">
      <c r="A190" s="132">
        <v>188</v>
      </c>
      <c r="B190" s="102" t="s">
        <v>3381</v>
      </c>
      <c r="C190" s="9" t="s">
        <v>3750</v>
      </c>
      <c r="D190" s="137" t="s">
        <v>3751</v>
      </c>
      <c r="E190" s="102">
        <v>2020</v>
      </c>
      <c r="F190" s="102">
        <v>2020</v>
      </c>
      <c r="G190" s="132" t="s">
        <v>16</v>
      </c>
      <c r="H190" s="109">
        <v>200</v>
      </c>
      <c r="I190" s="109">
        <v>200</v>
      </c>
      <c r="J190" s="102"/>
      <c r="K190" s="111"/>
      <c r="L190" s="105">
        <v>20201118</v>
      </c>
    </row>
    <row r="191" s="246" customFormat="1" ht="16" customHeight="1" spans="1:12">
      <c r="A191" s="102">
        <v>189</v>
      </c>
      <c r="B191" s="102" t="s">
        <v>3381</v>
      </c>
      <c r="C191" s="9" t="s">
        <v>3752</v>
      </c>
      <c r="D191" s="137" t="s">
        <v>3753</v>
      </c>
      <c r="E191" s="102">
        <v>2020</v>
      </c>
      <c r="F191" s="102">
        <v>2020</v>
      </c>
      <c r="G191" s="132" t="s">
        <v>16</v>
      </c>
      <c r="H191" s="109">
        <v>200</v>
      </c>
      <c r="I191" s="109">
        <v>200</v>
      </c>
      <c r="J191" s="102"/>
      <c r="K191" s="111"/>
      <c r="L191" s="105">
        <v>20201118</v>
      </c>
    </row>
    <row r="192" s="246" customFormat="1" ht="16" customHeight="1" spans="1:12">
      <c r="A192" s="132">
        <v>190</v>
      </c>
      <c r="B192" s="102" t="s">
        <v>3381</v>
      </c>
      <c r="C192" s="9" t="s">
        <v>3754</v>
      </c>
      <c r="D192" s="137" t="s">
        <v>3755</v>
      </c>
      <c r="E192" s="102">
        <v>2020</v>
      </c>
      <c r="F192" s="102">
        <v>2020</v>
      </c>
      <c r="G192" s="132" t="s">
        <v>16</v>
      </c>
      <c r="H192" s="109">
        <v>200</v>
      </c>
      <c r="I192" s="109">
        <v>200</v>
      </c>
      <c r="J192" s="102"/>
      <c r="K192" s="111"/>
      <c r="L192" s="105">
        <v>20201118</v>
      </c>
    </row>
    <row r="193" s="246" customFormat="1" ht="16" customHeight="1" spans="1:12">
      <c r="A193" s="132">
        <v>191</v>
      </c>
      <c r="B193" s="102" t="s">
        <v>3381</v>
      </c>
      <c r="C193" s="9" t="s">
        <v>3756</v>
      </c>
      <c r="D193" s="137" t="s">
        <v>3757</v>
      </c>
      <c r="E193" s="102">
        <v>2020</v>
      </c>
      <c r="F193" s="102">
        <v>2020</v>
      </c>
      <c r="G193" s="132" t="s">
        <v>16</v>
      </c>
      <c r="H193" s="109">
        <v>200</v>
      </c>
      <c r="I193" s="109">
        <v>200</v>
      </c>
      <c r="J193" s="102"/>
      <c r="K193" s="111"/>
      <c r="L193" s="105">
        <v>20201118</v>
      </c>
    </row>
    <row r="194" s="246" customFormat="1" ht="16" customHeight="1" spans="1:12">
      <c r="A194" s="102">
        <v>192</v>
      </c>
      <c r="B194" s="102" t="s">
        <v>3381</v>
      </c>
      <c r="C194" s="9" t="s">
        <v>3758</v>
      </c>
      <c r="D194" s="137" t="s">
        <v>3759</v>
      </c>
      <c r="E194" s="102">
        <v>2020</v>
      </c>
      <c r="F194" s="102">
        <v>2020</v>
      </c>
      <c r="G194" s="132" t="s">
        <v>16</v>
      </c>
      <c r="H194" s="109">
        <v>200</v>
      </c>
      <c r="I194" s="109">
        <v>200</v>
      </c>
      <c r="J194" s="102"/>
      <c r="K194" s="111"/>
      <c r="L194" s="105">
        <v>20201118</v>
      </c>
    </row>
    <row r="195" s="246" customFormat="1" ht="16" customHeight="1" spans="1:12">
      <c r="A195" s="132">
        <v>193</v>
      </c>
      <c r="B195" s="102" t="s">
        <v>3381</v>
      </c>
      <c r="C195" s="9" t="s">
        <v>3760</v>
      </c>
      <c r="D195" s="137" t="s">
        <v>3761</v>
      </c>
      <c r="E195" s="102">
        <v>2020</v>
      </c>
      <c r="F195" s="102">
        <v>2020</v>
      </c>
      <c r="G195" s="132" t="s">
        <v>16</v>
      </c>
      <c r="H195" s="109">
        <v>200</v>
      </c>
      <c r="I195" s="109">
        <v>200</v>
      </c>
      <c r="J195" s="102"/>
      <c r="K195" s="111"/>
      <c r="L195" s="105">
        <v>20201118</v>
      </c>
    </row>
    <row r="196" s="246" customFormat="1" ht="16" customHeight="1" spans="1:12">
      <c r="A196" s="132">
        <v>194</v>
      </c>
      <c r="B196" s="102" t="s">
        <v>3381</v>
      </c>
      <c r="C196" s="9" t="s">
        <v>3762</v>
      </c>
      <c r="D196" s="137" t="s">
        <v>3763</v>
      </c>
      <c r="E196" s="102">
        <v>2020</v>
      </c>
      <c r="F196" s="102">
        <v>2020</v>
      </c>
      <c r="G196" s="132" t="s">
        <v>16</v>
      </c>
      <c r="H196" s="109">
        <v>200</v>
      </c>
      <c r="I196" s="109">
        <v>200</v>
      </c>
      <c r="J196" s="102"/>
      <c r="K196" s="111"/>
      <c r="L196" s="105">
        <v>20201118</v>
      </c>
    </row>
    <row r="197" s="246" customFormat="1" ht="16" customHeight="1" spans="1:12">
      <c r="A197" s="102">
        <v>195</v>
      </c>
      <c r="B197" s="102" t="s">
        <v>3381</v>
      </c>
      <c r="C197" s="9" t="s">
        <v>3764</v>
      </c>
      <c r="D197" s="137" t="s">
        <v>3765</v>
      </c>
      <c r="E197" s="102">
        <v>2020</v>
      </c>
      <c r="F197" s="102">
        <v>2020</v>
      </c>
      <c r="G197" s="132" t="s">
        <v>16</v>
      </c>
      <c r="H197" s="109">
        <v>200</v>
      </c>
      <c r="I197" s="109">
        <v>200</v>
      </c>
      <c r="J197" s="102"/>
      <c r="K197" s="111"/>
      <c r="L197" s="105">
        <v>20201118</v>
      </c>
    </row>
    <row r="198" s="246" customFormat="1" ht="16" customHeight="1" spans="1:12">
      <c r="A198" s="132">
        <v>196</v>
      </c>
      <c r="B198" s="102" t="s">
        <v>3381</v>
      </c>
      <c r="C198" s="9" t="s">
        <v>3766</v>
      </c>
      <c r="D198" s="137" t="s">
        <v>3767</v>
      </c>
      <c r="E198" s="102">
        <v>2020</v>
      </c>
      <c r="F198" s="102">
        <v>2020</v>
      </c>
      <c r="G198" s="132" t="s">
        <v>16</v>
      </c>
      <c r="H198" s="109">
        <v>200</v>
      </c>
      <c r="I198" s="109">
        <v>200</v>
      </c>
      <c r="J198" s="102"/>
      <c r="K198" s="111"/>
      <c r="L198" s="105">
        <v>20201118</v>
      </c>
    </row>
    <row r="199" s="246" customFormat="1" ht="16" customHeight="1" spans="1:12">
      <c r="A199" s="132">
        <v>197</v>
      </c>
      <c r="B199" s="102" t="s">
        <v>3381</v>
      </c>
      <c r="C199" s="9" t="s">
        <v>3768</v>
      </c>
      <c r="D199" s="137" t="s">
        <v>3769</v>
      </c>
      <c r="E199" s="102">
        <v>2020</v>
      </c>
      <c r="F199" s="102">
        <v>2020</v>
      </c>
      <c r="G199" s="132" t="s">
        <v>16</v>
      </c>
      <c r="H199" s="109">
        <v>200</v>
      </c>
      <c r="I199" s="109">
        <v>200</v>
      </c>
      <c r="J199" s="102"/>
      <c r="K199" s="111"/>
      <c r="L199" s="105">
        <v>20201118</v>
      </c>
    </row>
    <row r="200" s="246" customFormat="1" ht="16" customHeight="1" spans="1:12">
      <c r="A200" s="102">
        <v>198</v>
      </c>
      <c r="B200" s="102" t="s">
        <v>3381</v>
      </c>
      <c r="C200" s="9" t="s">
        <v>3770</v>
      </c>
      <c r="D200" s="137" t="s">
        <v>3771</v>
      </c>
      <c r="E200" s="102">
        <v>2020</v>
      </c>
      <c r="F200" s="102">
        <v>2020</v>
      </c>
      <c r="G200" s="132" t="s">
        <v>16</v>
      </c>
      <c r="H200" s="109">
        <v>200</v>
      </c>
      <c r="I200" s="109">
        <v>200</v>
      </c>
      <c r="J200" s="102"/>
      <c r="K200" s="111"/>
      <c r="L200" s="105">
        <v>20201118</v>
      </c>
    </row>
    <row r="201" s="246" customFormat="1" ht="16" customHeight="1" spans="1:12">
      <c r="A201" s="132">
        <v>199</v>
      </c>
      <c r="B201" s="102" t="s">
        <v>3381</v>
      </c>
      <c r="C201" s="9" t="s">
        <v>3772</v>
      </c>
      <c r="D201" s="137" t="s">
        <v>3773</v>
      </c>
      <c r="E201" s="102">
        <v>2020</v>
      </c>
      <c r="F201" s="102">
        <v>2020</v>
      </c>
      <c r="G201" s="132" t="s">
        <v>16</v>
      </c>
      <c r="H201" s="109">
        <v>200</v>
      </c>
      <c r="I201" s="109">
        <v>200</v>
      </c>
      <c r="J201" s="102"/>
      <c r="K201" s="111"/>
      <c r="L201" s="105">
        <v>20201118</v>
      </c>
    </row>
    <row r="202" s="246" customFormat="1" ht="16" customHeight="1" spans="1:12">
      <c r="A202" s="132">
        <v>200</v>
      </c>
      <c r="B202" s="102" t="s">
        <v>3381</v>
      </c>
      <c r="C202" s="9" t="s">
        <v>3774</v>
      </c>
      <c r="D202" s="137" t="s">
        <v>3775</v>
      </c>
      <c r="E202" s="102">
        <v>2020</v>
      </c>
      <c r="F202" s="102">
        <v>2020</v>
      </c>
      <c r="G202" s="132" t="s">
        <v>16</v>
      </c>
      <c r="H202" s="109">
        <v>200</v>
      </c>
      <c r="I202" s="109">
        <v>200</v>
      </c>
      <c r="J202" s="102"/>
      <c r="K202" s="111"/>
      <c r="L202" s="105">
        <v>20201118</v>
      </c>
    </row>
    <row r="203" s="246" customFormat="1" ht="16" customHeight="1" spans="1:12">
      <c r="A203" s="102">
        <v>201</v>
      </c>
      <c r="B203" s="102" t="s">
        <v>3381</v>
      </c>
      <c r="C203" s="9" t="s">
        <v>3776</v>
      </c>
      <c r="D203" s="137" t="s">
        <v>3777</v>
      </c>
      <c r="E203" s="102">
        <v>2020</v>
      </c>
      <c r="F203" s="102">
        <v>2020</v>
      </c>
      <c r="G203" s="132" t="s">
        <v>16</v>
      </c>
      <c r="H203" s="109">
        <v>200</v>
      </c>
      <c r="I203" s="109">
        <v>200</v>
      </c>
      <c r="J203" s="102"/>
      <c r="K203" s="111"/>
      <c r="L203" s="105">
        <v>20201118</v>
      </c>
    </row>
    <row r="204" s="246" customFormat="1" ht="16" customHeight="1" spans="1:12">
      <c r="A204" s="132">
        <v>202</v>
      </c>
      <c r="B204" s="102" t="s">
        <v>3381</v>
      </c>
      <c r="C204" s="9" t="s">
        <v>3778</v>
      </c>
      <c r="D204" s="137" t="s">
        <v>3779</v>
      </c>
      <c r="E204" s="102">
        <v>2020</v>
      </c>
      <c r="F204" s="102">
        <v>2020</v>
      </c>
      <c r="G204" s="132" t="s">
        <v>16</v>
      </c>
      <c r="H204" s="109">
        <v>200</v>
      </c>
      <c r="I204" s="109">
        <v>200</v>
      </c>
      <c r="J204" s="102"/>
      <c r="K204" s="111"/>
      <c r="L204" s="105">
        <v>20201118</v>
      </c>
    </row>
    <row r="205" s="246" customFormat="1" ht="16" customHeight="1" spans="1:12">
      <c r="A205" s="132">
        <v>203</v>
      </c>
      <c r="B205" s="102" t="s">
        <v>3381</v>
      </c>
      <c r="C205" s="9" t="s">
        <v>3780</v>
      </c>
      <c r="D205" s="137" t="s">
        <v>3781</v>
      </c>
      <c r="E205" s="102">
        <v>2020</v>
      </c>
      <c r="F205" s="102">
        <v>2020</v>
      </c>
      <c r="G205" s="132" t="s">
        <v>16</v>
      </c>
      <c r="H205" s="109">
        <v>200</v>
      </c>
      <c r="I205" s="109">
        <v>200</v>
      </c>
      <c r="J205" s="102"/>
      <c r="K205" s="111"/>
      <c r="L205" s="105">
        <v>20201118</v>
      </c>
    </row>
    <row r="206" s="246" customFormat="1" ht="16" customHeight="1" spans="1:12">
      <c r="A206" s="102">
        <v>204</v>
      </c>
      <c r="B206" s="102" t="s">
        <v>3381</v>
      </c>
      <c r="C206" s="9" t="s">
        <v>3782</v>
      </c>
      <c r="D206" s="137" t="s">
        <v>3783</v>
      </c>
      <c r="E206" s="102">
        <v>2020</v>
      </c>
      <c r="F206" s="102">
        <v>2020</v>
      </c>
      <c r="G206" s="132" t="s">
        <v>16</v>
      </c>
      <c r="H206" s="109">
        <v>200</v>
      </c>
      <c r="I206" s="109">
        <v>200</v>
      </c>
      <c r="J206" s="102"/>
      <c r="K206" s="111"/>
      <c r="L206" s="105">
        <v>20201118</v>
      </c>
    </row>
    <row r="207" s="246" customFormat="1" ht="16" customHeight="1" spans="1:12">
      <c r="A207" s="132">
        <v>205</v>
      </c>
      <c r="B207" s="102" t="s">
        <v>3381</v>
      </c>
      <c r="C207" s="9" t="s">
        <v>3784</v>
      </c>
      <c r="D207" s="137" t="s">
        <v>3785</v>
      </c>
      <c r="E207" s="102">
        <v>2020</v>
      </c>
      <c r="F207" s="102">
        <v>2020</v>
      </c>
      <c r="G207" s="132" t="s">
        <v>16</v>
      </c>
      <c r="H207" s="109">
        <v>200</v>
      </c>
      <c r="I207" s="109">
        <v>200</v>
      </c>
      <c r="J207" s="102"/>
      <c r="K207" s="111"/>
      <c r="L207" s="105">
        <v>20201118</v>
      </c>
    </row>
    <row r="208" s="246" customFormat="1" ht="16" customHeight="1" spans="1:12">
      <c r="A208" s="132">
        <v>206</v>
      </c>
      <c r="B208" s="102" t="s">
        <v>3381</v>
      </c>
      <c r="C208" s="9" t="s">
        <v>3786</v>
      </c>
      <c r="D208" s="137" t="s">
        <v>3787</v>
      </c>
      <c r="E208" s="102">
        <v>2020</v>
      </c>
      <c r="F208" s="102">
        <v>2020</v>
      </c>
      <c r="G208" s="132" t="s">
        <v>16</v>
      </c>
      <c r="H208" s="109">
        <v>200</v>
      </c>
      <c r="I208" s="109">
        <v>200</v>
      </c>
      <c r="J208" s="102"/>
      <c r="K208" s="111"/>
      <c r="L208" s="105">
        <v>20201118</v>
      </c>
    </row>
    <row r="209" s="246" customFormat="1" ht="16" customHeight="1" spans="1:12">
      <c r="A209" s="102">
        <v>207</v>
      </c>
      <c r="B209" s="102" t="s">
        <v>3381</v>
      </c>
      <c r="C209" s="9" t="s">
        <v>3788</v>
      </c>
      <c r="D209" s="137" t="s">
        <v>3789</v>
      </c>
      <c r="E209" s="102">
        <v>2020</v>
      </c>
      <c r="F209" s="102">
        <v>2020</v>
      </c>
      <c r="G209" s="132" t="s">
        <v>16</v>
      </c>
      <c r="H209" s="109">
        <v>200</v>
      </c>
      <c r="I209" s="109">
        <v>200</v>
      </c>
      <c r="J209" s="102"/>
      <c r="K209" s="111"/>
      <c r="L209" s="105">
        <v>20201118</v>
      </c>
    </row>
    <row r="210" s="246" customFormat="1" ht="16" customHeight="1" spans="1:12">
      <c r="A210" s="132">
        <v>208</v>
      </c>
      <c r="B210" s="102" t="s">
        <v>3381</v>
      </c>
      <c r="C210" s="9" t="s">
        <v>3790</v>
      </c>
      <c r="D210" s="137" t="s">
        <v>3791</v>
      </c>
      <c r="E210" s="102">
        <v>2020</v>
      </c>
      <c r="F210" s="102">
        <v>2020</v>
      </c>
      <c r="G210" s="132" t="s">
        <v>16</v>
      </c>
      <c r="H210" s="109">
        <v>200</v>
      </c>
      <c r="I210" s="109">
        <v>200</v>
      </c>
      <c r="J210" s="102"/>
      <c r="K210" s="111"/>
      <c r="L210" s="105">
        <v>20201118</v>
      </c>
    </row>
    <row r="211" s="246" customFormat="1" ht="16" customHeight="1" spans="1:12">
      <c r="A211" s="132">
        <v>209</v>
      </c>
      <c r="B211" s="102" t="s">
        <v>3381</v>
      </c>
      <c r="C211" s="9" t="s">
        <v>3792</v>
      </c>
      <c r="D211" s="137" t="s">
        <v>3793</v>
      </c>
      <c r="E211" s="102">
        <v>2020</v>
      </c>
      <c r="F211" s="102">
        <v>2020</v>
      </c>
      <c r="G211" s="132" t="s">
        <v>16</v>
      </c>
      <c r="H211" s="109">
        <v>200</v>
      </c>
      <c r="I211" s="109">
        <v>200</v>
      </c>
      <c r="J211" s="102"/>
      <c r="K211" s="111"/>
      <c r="L211" s="105">
        <v>20201118</v>
      </c>
    </row>
    <row r="212" s="246" customFormat="1" ht="16" customHeight="1" spans="1:12">
      <c r="A212" s="102">
        <v>210</v>
      </c>
      <c r="B212" s="102" t="s">
        <v>3381</v>
      </c>
      <c r="C212" s="9" t="s">
        <v>3794</v>
      </c>
      <c r="D212" s="137" t="s">
        <v>3795</v>
      </c>
      <c r="E212" s="102">
        <v>2020</v>
      </c>
      <c r="F212" s="102">
        <v>2020</v>
      </c>
      <c r="G212" s="132" t="s">
        <v>16</v>
      </c>
      <c r="H212" s="109">
        <v>200</v>
      </c>
      <c r="I212" s="109">
        <v>200</v>
      </c>
      <c r="J212" s="102"/>
      <c r="K212" s="111"/>
      <c r="L212" s="105">
        <v>20201118</v>
      </c>
    </row>
    <row r="213" s="246" customFormat="1" ht="16" customHeight="1" spans="1:12">
      <c r="A213" s="132">
        <v>211</v>
      </c>
      <c r="B213" s="102" t="s">
        <v>3381</v>
      </c>
      <c r="C213" s="9" t="s">
        <v>3796</v>
      </c>
      <c r="D213" s="137" t="s">
        <v>3797</v>
      </c>
      <c r="E213" s="102">
        <v>2020</v>
      </c>
      <c r="F213" s="102">
        <v>2020</v>
      </c>
      <c r="G213" s="132" t="s">
        <v>16</v>
      </c>
      <c r="H213" s="109">
        <v>200</v>
      </c>
      <c r="I213" s="109">
        <v>200</v>
      </c>
      <c r="J213" s="102"/>
      <c r="K213" s="111"/>
      <c r="L213" s="105">
        <v>20201118</v>
      </c>
    </row>
    <row r="214" s="246" customFormat="1" ht="16" customHeight="1" spans="1:12">
      <c r="A214" s="132">
        <v>212</v>
      </c>
      <c r="B214" s="102" t="s">
        <v>3381</v>
      </c>
      <c r="C214" s="9" t="s">
        <v>3798</v>
      </c>
      <c r="D214" s="137" t="s">
        <v>3799</v>
      </c>
      <c r="E214" s="102">
        <v>2020</v>
      </c>
      <c r="F214" s="102">
        <v>2020</v>
      </c>
      <c r="G214" s="132" t="s">
        <v>16</v>
      </c>
      <c r="H214" s="109">
        <v>200</v>
      </c>
      <c r="I214" s="109">
        <v>200</v>
      </c>
      <c r="J214" s="102"/>
      <c r="K214" s="111"/>
      <c r="L214" s="105">
        <v>20201118</v>
      </c>
    </row>
    <row r="215" s="246" customFormat="1" ht="16" customHeight="1" spans="1:12">
      <c r="A215" s="102">
        <v>213</v>
      </c>
      <c r="B215" s="102" t="s">
        <v>3381</v>
      </c>
      <c r="C215" s="9" t="s">
        <v>3800</v>
      </c>
      <c r="D215" s="137" t="s">
        <v>3801</v>
      </c>
      <c r="E215" s="102">
        <v>2020</v>
      </c>
      <c r="F215" s="102">
        <v>2020</v>
      </c>
      <c r="G215" s="132" t="s">
        <v>16</v>
      </c>
      <c r="H215" s="109">
        <v>200</v>
      </c>
      <c r="I215" s="109">
        <v>200</v>
      </c>
      <c r="J215" s="102"/>
      <c r="K215" s="111"/>
      <c r="L215" s="105">
        <v>20201118</v>
      </c>
    </row>
    <row r="216" s="246" customFormat="1" ht="16" customHeight="1" spans="1:12">
      <c r="A216" s="132">
        <v>214</v>
      </c>
      <c r="B216" s="102" t="s">
        <v>3381</v>
      </c>
      <c r="C216" s="9" t="s">
        <v>3802</v>
      </c>
      <c r="D216" s="137" t="s">
        <v>3803</v>
      </c>
      <c r="E216" s="102">
        <v>2020</v>
      </c>
      <c r="F216" s="102">
        <v>2020</v>
      </c>
      <c r="G216" s="132" t="s">
        <v>16</v>
      </c>
      <c r="H216" s="109">
        <v>200</v>
      </c>
      <c r="I216" s="109">
        <v>200</v>
      </c>
      <c r="J216" s="102"/>
      <c r="K216" s="111"/>
      <c r="L216" s="105">
        <v>20201118</v>
      </c>
    </row>
    <row r="217" s="167" customFormat="1" ht="16" customHeight="1" spans="1:12">
      <c r="A217" s="14">
        <v>215</v>
      </c>
      <c r="B217" s="5" t="s">
        <v>3381</v>
      </c>
      <c r="C217" s="9" t="s">
        <v>3804</v>
      </c>
      <c r="D217" s="9" t="s">
        <v>3805</v>
      </c>
      <c r="E217" s="5">
        <v>2020</v>
      </c>
      <c r="F217" s="5">
        <v>2020</v>
      </c>
      <c r="G217" s="14" t="s">
        <v>16</v>
      </c>
      <c r="H217" s="6">
        <v>500</v>
      </c>
      <c r="I217" s="6">
        <v>500</v>
      </c>
      <c r="J217" s="5"/>
      <c r="K217" s="13"/>
      <c r="L217" s="105">
        <v>20201118</v>
      </c>
    </row>
    <row r="218" s="246" customFormat="1" ht="16" customHeight="1" spans="1:12">
      <c r="A218" s="102">
        <v>216</v>
      </c>
      <c r="B218" s="102" t="s">
        <v>3381</v>
      </c>
      <c r="C218" s="9" t="s">
        <v>3806</v>
      </c>
      <c r="D218" s="137" t="s">
        <v>3807</v>
      </c>
      <c r="E218" s="102">
        <v>2020</v>
      </c>
      <c r="F218" s="102">
        <v>2020</v>
      </c>
      <c r="G218" s="132" t="s">
        <v>16</v>
      </c>
      <c r="H218" s="109">
        <v>200</v>
      </c>
      <c r="I218" s="109">
        <v>200</v>
      </c>
      <c r="J218" s="102"/>
      <c r="K218" s="111"/>
      <c r="L218" s="105">
        <v>20201118</v>
      </c>
    </row>
    <row r="219" s="246" customFormat="1" ht="16" customHeight="1" spans="1:12">
      <c r="A219" s="132">
        <v>217</v>
      </c>
      <c r="B219" s="102" t="s">
        <v>3381</v>
      </c>
      <c r="C219" s="9" t="s">
        <v>3808</v>
      </c>
      <c r="D219" s="137" t="s">
        <v>3809</v>
      </c>
      <c r="E219" s="102">
        <v>2020</v>
      </c>
      <c r="F219" s="102">
        <v>2020</v>
      </c>
      <c r="G219" s="132" t="s">
        <v>16</v>
      </c>
      <c r="H219" s="109">
        <v>200</v>
      </c>
      <c r="I219" s="109">
        <v>200</v>
      </c>
      <c r="J219" s="102"/>
      <c r="K219" s="111"/>
      <c r="L219" s="105">
        <v>20201118</v>
      </c>
    </row>
    <row r="220" s="246" customFormat="1" ht="16" customHeight="1" spans="1:12">
      <c r="A220" s="132">
        <v>218</v>
      </c>
      <c r="B220" s="102" t="s">
        <v>3381</v>
      </c>
      <c r="C220" s="9" t="s">
        <v>149</v>
      </c>
      <c r="D220" s="137" t="s">
        <v>3810</v>
      </c>
      <c r="E220" s="102">
        <v>2020</v>
      </c>
      <c r="F220" s="102">
        <v>2020</v>
      </c>
      <c r="G220" s="132" t="s">
        <v>16</v>
      </c>
      <c r="H220" s="109">
        <v>200</v>
      </c>
      <c r="I220" s="109">
        <v>200</v>
      </c>
      <c r="J220" s="102"/>
      <c r="K220" s="111"/>
      <c r="L220" s="105">
        <v>20201118</v>
      </c>
    </row>
    <row r="221" s="246" customFormat="1" ht="16" customHeight="1" spans="1:12">
      <c r="A221" s="102">
        <v>219</v>
      </c>
      <c r="B221" s="102" t="s">
        <v>3381</v>
      </c>
      <c r="C221" s="9" t="s">
        <v>3811</v>
      </c>
      <c r="D221" s="137" t="s">
        <v>3812</v>
      </c>
      <c r="E221" s="102">
        <v>2020</v>
      </c>
      <c r="F221" s="102">
        <v>2020</v>
      </c>
      <c r="G221" s="132" t="s">
        <v>16</v>
      </c>
      <c r="H221" s="109">
        <v>200</v>
      </c>
      <c r="I221" s="109">
        <v>200</v>
      </c>
      <c r="J221" s="102"/>
      <c r="K221" s="111"/>
      <c r="L221" s="105">
        <v>20201118</v>
      </c>
    </row>
    <row r="222" s="246" customFormat="1" ht="16" customHeight="1" spans="1:12">
      <c r="A222" s="132">
        <v>220</v>
      </c>
      <c r="B222" s="102" t="s">
        <v>3381</v>
      </c>
      <c r="C222" s="9" t="s">
        <v>3813</v>
      </c>
      <c r="D222" s="137" t="s">
        <v>3814</v>
      </c>
      <c r="E222" s="102">
        <v>2020</v>
      </c>
      <c r="F222" s="102">
        <v>2020</v>
      </c>
      <c r="G222" s="132" t="s">
        <v>16</v>
      </c>
      <c r="H222" s="109">
        <v>200</v>
      </c>
      <c r="I222" s="109">
        <v>200</v>
      </c>
      <c r="J222" s="102"/>
      <c r="K222" s="111"/>
      <c r="L222" s="105">
        <v>20201118</v>
      </c>
    </row>
    <row r="223" s="246" customFormat="1" ht="16" customHeight="1" spans="1:12">
      <c r="A223" s="132">
        <v>221</v>
      </c>
      <c r="B223" s="102" t="s">
        <v>3381</v>
      </c>
      <c r="C223" s="9" t="s">
        <v>3815</v>
      </c>
      <c r="D223" s="137" t="s">
        <v>3816</v>
      </c>
      <c r="E223" s="102">
        <v>2020</v>
      </c>
      <c r="F223" s="102">
        <v>2020</v>
      </c>
      <c r="G223" s="132" t="s">
        <v>16</v>
      </c>
      <c r="H223" s="109">
        <v>200</v>
      </c>
      <c r="I223" s="109">
        <v>200</v>
      </c>
      <c r="J223" s="102"/>
      <c r="K223" s="111"/>
      <c r="L223" s="105">
        <v>20201118</v>
      </c>
    </row>
    <row r="224" s="246" customFormat="1" ht="16" customHeight="1" spans="1:12">
      <c r="A224" s="102">
        <v>222</v>
      </c>
      <c r="B224" s="102" t="s">
        <v>3381</v>
      </c>
      <c r="C224" s="9" t="s">
        <v>3817</v>
      </c>
      <c r="D224" s="137" t="s">
        <v>3818</v>
      </c>
      <c r="E224" s="102">
        <v>2020</v>
      </c>
      <c r="F224" s="102">
        <v>2020</v>
      </c>
      <c r="G224" s="132" t="s">
        <v>16</v>
      </c>
      <c r="H224" s="109">
        <v>200</v>
      </c>
      <c r="I224" s="109">
        <v>200</v>
      </c>
      <c r="J224" s="102"/>
      <c r="K224" s="111"/>
      <c r="L224" s="105">
        <v>20201118</v>
      </c>
    </row>
    <row r="225" s="246" customFormat="1" ht="16" customHeight="1" spans="1:12">
      <c r="A225" s="132">
        <v>223</v>
      </c>
      <c r="B225" s="102" t="s">
        <v>3381</v>
      </c>
      <c r="C225" s="9" t="s">
        <v>3819</v>
      </c>
      <c r="D225" s="137" t="s">
        <v>3820</v>
      </c>
      <c r="E225" s="102">
        <v>2020</v>
      </c>
      <c r="F225" s="102">
        <v>2020</v>
      </c>
      <c r="G225" s="132" t="s">
        <v>16</v>
      </c>
      <c r="H225" s="109">
        <v>200</v>
      </c>
      <c r="I225" s="109">
        <v>200</v>
      </c>
      <c r="J225" s="102"/>
      <c r="K225" s="111"/>
      <c r="L225" s="105">
        <v>20201118</v>
      </c>
    </row>
    <row r="226" s="246" customFormat="1" ht="16" customHeight="1" spans="1:12">
      <c r="A226" s="132">
        <v>224</v>
      </c>
      <c r="B226" s="102" t="s">
        <v>3381</v>
      </c>
      <c r="C226" s="9" t="s">
        <v>3821</v>
      </c>
      <c r="D226" s="137" t="s">
        <v>3822</v>
      </c>
      <c r="E226" s="102">
        <v>2020</v>
      </c>
      <c r="F226" s="102">
        <v>2020</v>
      </c>
      <c r="G226" s="132" t="s">
        <v>16</v>
      </c>
      <c r="H226" s="109">
        <v>200</v>
      </c>
      <c r="I226" s="109">
        <v>200</v>
      </c>
      <c r="J226" s="102"/>
      <c r="K226" s="111"/>
      <c r="L226" s="105">
        <v>20201118</v>
      </c>
    </row>
    <row r="227" s="167" customFormat="1" ht="16" customHeight="1" spans="1:12">
      <c r="A227" s="5">
        <v>225</v>
      </c>
      <c r="B227" s="5" t="s">
        <v>3381</v>
      </c>
      <c r="C227" s="9" t="s">
        <v>1984</v>
      </c>
      <c r="D227" s="9" t="s">
        <v>3823</v>
      </c>
      <c r="E227" s="5">
        <v>2020</v>
      </c>
      <c r="F227" s="5">
        <v>2020</v>
      </c>
      <c r="G227" s="14" t="s">
        <v>16</v>
      </c>
      <c r="H227" s="6">
        <v>500</v>
      </c>
      <c r="I227" s="6">
        <v>500</v>
      </c>
      <c r="J227" s="5"/>
      <c r="K227" s="13"/>
      <c r="L227" s="105">
        <v>20201118</v>
      </c>
    </row>
    <row r="228" s="246" customFormat="1" ht="16" customHeight="1" spans="1:12">
      <c r="A228" s="132">
        <v>226</v>
      </c>
      <c r="B228" s="102" t="s">
        <v>3381</v>
      </c>
      <c r="C228" s="9" t="s">
        <v>3824</v>
      </c>
      <c r="D228" s="137" t="s">
        <v>3825</v>
      </c>
      <c r="E228" s="102">
        <v>2020</v>
      </c>
      <c r="F228" s="102">
        <v>2020</v>
      </c>
      <c r="G228" s="132" t="s">
        <v>16</v>
      </c>
      <c r="H228" s="109">
        <v>200</v>
      </c>
      <c r="I228" s="109">
        <v>200</v>
      </c>
      <c r="J228" s="102"/>
      <c r="K228" s="111"/>
      <c r="L228" s="105">
        <v>20201118</v>
      </c>
    </row>
    <row r="229" s="246" customFormat="1" ht="16" customHeight="1" spans="1:12">
      <c r="A229" s="132">
        <v>227</v>
      </c>
      <c r="B229" s="102" t="s">
        <v>3381</v>
      </c>
      <c r="C229" s="9" t="s">
        <v>3826</v>
      </c>
      <c r="D229" s="137" t="s">
        <v>3827</v>
      </c>
      <c r="E229" s="102">
        <v>2020</v>
      </c>
      <c r="F229" s="102">
        <v>2020</v>
      </c>
      <c r="G229" s="132" t="s">
        <v>16</v>
      </c>
      <c r="H229" s="109">
        <v>200</v>
      </c>
      <c r="I229" s="109">
        <v>200</v>
      </c>
      <c r="J229" s="102"/>
      <c r="K229" s="111"/>
      <c r="L229" s="105">
        <v>20201118</v>
      </c>
    </row>
    <row r="230" s="246" customFormat="1" ht="16" customHeight="1" spans="1:12">
      <c r="A230" s="102">
        <v>228</v>
      </c>
      <c r="B230" s="102" t="s">
        <v>3381</v>
      </c>
      <c r="C230" s="9" t="s">
        <v>3828</v>
      </c>
      <c r="D230" s="137" t="s">
        <v>3829</v>
      </c>
      <c r="E230" s="102">
        <v>2020</v>
      </c>
      <c r="F230" s="102">
        <v>2020</v>
      </c>
      <c r="G230" s="132" t="s">
        <v>16</v>
      </c>
      <c r="H230" s="109">
        <v>200</v>
      </c>
      <c r="I230" s="109">
        <v>200</v>
      </c>
      <c r="J230" s="102"/>
      <c r="K230" s="111"/>
      <c r="L230" s="105">
        <v>20201118</v>
      </c>
    </row>
    <row r="231" s="246" customFormat="1" ht="16" customHeight="1" spans="1:12">
      <c r="A231" s="132">
        <v>229</v>
      </c>
      <c r="B231" s="102" t="s">
        <v>3381</v>
      </c>
      <c r="C231" s="9" t="s">
        <v>3830</v>
      </c>
      <c r="D231" s="137" t="s">
        <v>3831</v>
      </c>
      <c r="E231" s="102">
        <v>2020</v>
      </c>
      <c r="F231" s="102">
        <v>2020</v>
      </c>
      <c r="G231" s="132" t="s">
        <v>16</v>
      </c>
      <c r="H231" s="109">
        <v>200</v>
      </c>
      <c r="I231" s="109">
        <v>200</v>
      </c>
      <c r="J231" s="102"/>
      <c r="K231" s="111"/>
      <c r="L231" s="105">
        <v>20201118</v>
      </c>
    </row>
    <row r="232" s="246" customFormat="1" ht="16" customHeight="1" spans="1:12">
      <c r="A232" s="132">
        <v>230</v>
      </c>
      <c r="B232" s="102" t="s">
        <v>3381</v>
      </c>
      <c r="C232" s="9" t="s">
        <v>3832</v>
      </c>
      <c r="D232" s="137" t="s">
        <v>3833</v>
      </c>
      <c r="E232" s="102">
        <v>2020</v>
      </c>
      <c r="F232" s="102">
        <v>2020</v>
      </c>
      <c r="G232" s="132" t="s">
        <v>16</v>
      </c>
      <c r="H232" s="109">
        <v>200</v>
      </c>
      <c r="I232" s="109">
        <v>200</v>
      </c>
      <c r="J232" s="102"/>
      <c r="K232" s="111"/>
      <c r="L232" s="105">
        <v>20201118</v>
      </c>
    </row>
    <row r="233" s="246" customFormat="1" ht="16" customHeight="1" spans="1:12">
      <c r="A233" s="102">
        <v>231</v>
      </c>
      <c r="B233" s="102" t="s">
        <v>3381</v>
      </c>
      <c r="C233" s="9" t="s">
        <v>3834</v>
      </c>
      <c r="D233" s="137" t="s">
        <v>3835</v>
      </c>
      <c r="E233" s="102">
        <v>2020</v>
      </c>
      <c r="F233" s="102">
        <v>2020</v>
      </c>
      <c r="G233" s="132" t="s">
        <v>16</v>
      </c>
      <c r="H233" s="109">
        <v>200</v>
      </c>
      <c r="I233" s="109">
        <v>200</v>
      </c>
      <c r="J233" s="102"/>
      <c r="K233" s="111"/>
      <c r="L233" s="105">
        <v>20201118</v>
      </c>
    </row>
    <row r="234" s="246" customFormat="1" ht="16" customHeight="1" spans="1:12">
      <c r="A234" s="132">
        <v>232</v>
      </c>
      <c r="B234" s="102" t="s">
        <v>3381</v>
      </c>
      <c r="C234" s="9" t="s">
        <v>3836</v>
      </c>
      <c r="D234" s="137" t="s">
        <v>3837</v>
      </c>
      <c r="E234" s="102">
        <v>2020</v>
      </c>
      <c r="F234" s="102">
        <v>2020</v>
      </c>
      <c r="G234" s="132" t="s">
        <v>16</v>
      </c>
      <c r="H234" s="109">
        <v>400</v>
      </c>
      <c r="I234" s="109">
        <v>400</v>
      </c>
      <c r="J234" s="118" t="s">
        <v>1242</v>
      </c>
      <c r="K234" s="111"/>
      <c r="L234" s="105">
        <v>20201118</v>
      </c>
    </row>
    <row r="235" s="246" customFormat="1" ht="16" customHeight="1" spans="1:12">
      <c r="A235" s="132">
        <v>233</v>
      </c>
      <c r="B235" s="102" t="s">
        <v>3381</v>
      </c>
      <c r="C235" s="9" t="s">
        <v>3838</v>
      </c>
      <c r="D235" s="137" t="s">
        <v>3839</v>
      </c>
      <c r="E235" s="102">
        <v>2020</v>
      </c>
      <c r="F235" s="102">
        <v>2020</v>
      </c>
      <c r="G235" s="132" t="s">
        <v>16</v>
      </c>
      <c r="H235" s="109">
        <v>200</v>
      </c>
      <c r="I235" s="109">
        <v>200</v>
      </c>
      <c r="J235" s="102"/>
      <c r="K235" s="111"/>
      <c r="L235" s="105">
        <v>20201118</v>
      </c>
    </row>
    <row r="236" s="246" customFormat="1" ht="16" customHeight="1" spans="1:12">
      <c r="A236" s="102">
        <v>234</v>
      </c>
      <c r="B236" s="102" t="s">
        <v>3381</v>
      </c>
      <c r="C236" s="9" t="s">
        <v>3840</v>
      </c>
      <c r="D236" s="137" t="s">
        <v>3841</v>
      </c>
      <c r="E236" s="102">
        <v>2020</v>
      </c>
      <c r="F236" s="102">
        <v>2020</v>
      </c>
      <c r="G236" s="132" t="s">
        <v>16</v>
      </c>
      <c r="H236" s="109">
        <v>200</v>
      </c>
      <c r="I236" s="109">
        <v>200</v>
      </c>
      <c r="J236" s="102"/>
      <c r="K236" s="111"/>
      <c r="L236" s="105">
        <v>20201118</v>
      </c>
    </row>
    <row r="237" s="246" customFormat="1" ht="16" customHeight="1" spans="1:12">
      <c r="A237" s="132">
        <v>235</v>
      </c>
      <c r="B237" s="102" t="s">
        <v>3381</v>
      </c>
      <c r="C237" s="9" t="s">
        <v>3842</v>
      </c>
      <c r="D237" s="137" t="s">
        <v>3843</v>
      </c>
      <c r="E237" s="102">
        <v>2020</v>
      </c>
      <c r="F237" s="102">
        <v>2020</v>
      </c>
      <c r="G237" s="132" t="s">
        <v>16</v>
      </c>
      <c r="H237" s="109">
        <v>200</v>
      </c>
      <c r="I237" s="109">
        <v>200</v>
      </c>
      <c r="J237" s="102"/>
      <c r="K237" s="111"/>
      <c r="L237" s="105">
        <v>20201118</v>
      </c>
    </row>
    <row r="238" s="246" customFormat="1" ht="16" customHeight="1" spans="1:12">
      <c r="A238" s="132">
        <v>236</v>
      </c>
      <c r="B238" s="102" t="s">
        <v>3381</v>
      </c>
      <c r="C238" s="9" t="s">
        <v>3844</v>
      </c>
      <c r="D238" s="137" t="s">
        <v>3845</v>
      </c>
      <c r="E238" s="102">
        <v>2020</v>
      </c>
      <c r="F238" s="102">
        <v>2020</v>
      </c>
      <c r="G238" s="132" t="s">
        <v>16</v>
      </c>
      <c r="H238" s="109">
        <v>200</v>
      </c>
      <c r="I238" s="109">
        <v>200</v>
      </c>
      <c r="J238" s="102"/>
      <c r="K238" s="111"/>
      <c r="L238" s="105">
        <v>20201118</v>
      </c>
    </row>
    <row r="239" s="246" customFormat="1" ht="16" customHeight="1" spans="1:12">
      <c r="A239" s="102">
        <v>237</v>
      </c>
      <c r="B239" s="102" t="s">
        <v>3381</v>
      </c>
      <c r="C239" s="9" t="s">
        <v>3846</v>
      </c>
      <c r="D239" s="137" t="s">
        <v>3847</v>
      </c>
      <c r="E239" s="102">
        <v>2020</v>
      </c>
      <c r="F239" s="102">
        <v>2020</v>
      </c>
      <c r="G239" s="132" t="s">
        <v>16</v>
      </c>
      <c r="H239" s="109">
        <v>200</v>
      </c>
      <c r="I239" s="109">
        <v>200</v>
      </c>
      <c r="J239" s="102"/>
      <c r="K239" s="111"/>
      <c r="L239" s="105">
        <v>20201118</v>
      </c>
    </row>
    <row r="240" s="246" customFormat="1" ht="16" customHeight="1" spans="1:12">
      <c r="A240" s="132">
        <v>238</v>
      </c>
      <c r="B240" s="102" t="s">
        <v>3381</v>
      </c>
      <c r="C240" s="9" t="s">
        <v>3848</v>
      </c>
      <c r="D240" s="137" t="s">
        <v>3849</v>
      </c>
      <c r="E240" s="102">
        <v>2020</v>
      </c>
      <c r="F240" s="102">
        <v>2020</v>
      </c>
      <c r="G240" s="132" t="s">
        <v>16</v>
      </c>
      <c r="H240" s="109">
        <v>200</v>
      </c>
      <c r="I240" s="109">
        <v>200</v>
      </c>
      <c r="J240" s="102"/>
      <c r="K240" s="111"/>
      <c r="L240" s="105">
        <v>20201118</v>
      </c>
    </row>
    <row r="241" s="246" customFormat="1" ht="16" customHeight="1" spans="1:12">
      <c r="A241" s="132">
        <v>239</v>
      </c>
      <c r="B241" s="102" t="s">
        <v>3381</v>
      </c>
      <c r="C241" s="9" t="s">
        <v>3850</v>
      </c>
      <c r="D241" s="137" t="s">
        <v>3851</v>
      </c>
      <c r="E241" s="102">
        <v>2020</v>
      </c>
      <c r="F241" s="102">
        <v>2020</v>
      </c>
      <c r="G241" s="132" t="s">
        <v>16</v>
      </c>
      <c r="H241" s="109">
        <v>200</v>
      </c>
      <c r="I241" s="109">
        <v>200</v>
      </c>
      <c r="J241" s="102"/>
      <c r="K241" s="111"/>
      <c r="L241" s="105">
        <v>20201118</v>
      </c>
    </row>
    <row r="242" s="246" customFormat="1" ht="16" customHeight="1" spans="1:12">
      <c r="A242" s="102">
        <v>240</v>
      </c>
      <c r="B242" s="102" t="s">
        <v>3381</v>
      </c>
      <c r="C242" s="9" t="s">
        <v>3852</v>
      </c>
      <c r="D242" s="137" t="s">
        <v>3853</v>
      </c>
      <c r="E242" s="102">
        <v>2020</v>
      </c>
      <c r="F242" s="102">
        <v>2020</v>
      </c>
      <c r="G242" s="132" t="s">
        <v>16</v>
      </c>
      <c r="H242" s="109">
        <v>200</v>
      </c>
      <c r="I242" s="109">
        <v>200</v>
      </c>
      <c r="J242" s="102"/>
      <c r="K242" s="111"/>
      <c r="L242" s="105">
        <v>20201118</v>
      </c>
    </row>
    <row r="243" s="246" customFormat="1" ht="16" customHeight="1" spans="1:12">
      <c r="A243" s="132">
        <v>241</v>
      </c>
      <c r="B243" s="102" t="s">
        <v>3381</v>
      </c>
      <c r="C243" s="9" t="s">
        <v>3854</v>
      </c>
      <c r="D243" s="137" t="s">
        <v>3855</v>
      </c>
      <c r="E243" s="102">
        <v>2020</v>
      </c>
      <c r="F243" s="102">
        <v>2020</v>
      </c>
      <c r="G243" s="132" t="s">
        <v>16</v>
      </c>
      <c r="H243" s="109">
        <v>200</v>
      </c>
      <c r="I243" s="109">
        <v>200</v>
      </c>
      <c r="J243" s="102"/>
      <c r="K243" s="111"/>
      <c r="L243" s="105">
        <v>20201118</v>
      </c>
    </row>
    <row r="244" s="246" customFormat="1" ht="16" customHeight="1" spans="1:12">
      <c r="A244" s="132">
        <v>242</v>
      </c>
      <c r="B244" s="102" t="s">
        <v>3381</v>
      </c>
      <c r="C244" s="9" t="s">
        <v>3856</v>
      </c>
      <c r="D244" s="137" t="s">
        <v>3857</v>
      </c>
      <c r="E244" s="102">
        <v>2020</v>
      </c>
      <c r="F244" s="102">
        <v>2020</v>
      </c>
      <c r="G244" s="132" t="s">
        <v>16</v>
      </c>
      <c r="H244" s="109">
        <v>200</v>
      </c>
      <c r="I244" s="109">
        <v>200</v>
      </c>
      <c r="J244" s="102"/>
      <c r="K244" s="111"/>
      <c r="L244" s="105">
        <v>20201118</v>
      </c>
    </row>
    <row r="245" s="246" customFormat="1" ht="16" customHeight="1" spans="1:12">
      <c r="A245" s="102">
        <v>243</v>
      </c>
      <c r="B245" s="102" t="s">
        <v>3381</v>
      </c>
      <c r="C245" s="9" t="s">
        <v>3858</v>
      </c>
      <c r="D245" s="137" t="s">
        <v>3859</v>
      </c>
      <c r="E245" s="102">
        <v>2020</v>
      </c>
      <c r="F245" s="102">
        <v>2020</v>
      </c>
      <c r="G245" s="132" t="s">
        <v>16</v>
      </c>
      <c r="H245" s="109">
        <v>200</v>
      </c>
      <c r="I245" s="109">
        <v>200</v>
      </c>
      <c r="J245" s="102"/>
      <c r="K245" s="111"/>
      <c r="L245" s="105">
        <v>20201118</v>
      </c>
    </row>
    <row r="246" s="246" customFormat="1" ht="16" customHeight="1" spans="1:12">
      <c r="A246" s="132">
        <v>244</v>
      </c>
      <c r="B246" s="102" t="s">
        <v>3381</v>
      </c>
      <c r="C246" s="9" t="s">
        <v>3860</v>
      </c>
      <c r="D246" s="137" t="s">
        <v>3861</v>
      </c>
      <c r="E246" s="102">
        <v>2020</v>
      </c>
      <c r="F246" s="102">
        <v>2020</v>
      </c>
      <c r="G246" s="132" t="s">
        <v>16</v>
      </c>
      <c r="H246" s="109">
        <v>200</v>
      </c>
      <c r="I246" s="109">
        <v>200</v>
      </c>
      <c r="J246" s="102"/>
      <c r="K246" s="111"/>
      <c r="L246" s="105">
        <v>20201118</v>
      </c>
    </row>
    <row r="247" s="246" customFormat="1" ht="16" customHeight="1" spans="1:12">
      <c r="A247" s="132">
        <v>245</v>
      </c>
      <c r="B247" s="102" t="s">
        <v>3381</v>
      </c>
      <c r="C247" s="9" t="s">
        <v>3862</v>
      </c>
      <c r="D247" s="137" t="s">
        <v>3863</v>
      </c>
      <c r="E247" s="102">
        <v>2020</v>
      </c>
      <c r="F247" s="102">
        <v>2020</v>
      </c>
      <c r="G247" s="132" t="s">
        <v>16</v>
      </c>
      <c r="H247" s="109">
        <v>200</v>
      </c>
      <c r="I247" s="109">
        <v>200</v>
      </c>
      <c r="J247" s="102"/>
      <c r="K247" s="111"/>
      <c r="L247" s="105">
        <v>20201118</v>
      </c>
    </row>
    <row r="248" s="246" customFormat="1" ht="16" customHeight="1" spans="1:12">
      <c r="A248" s="102">
        <v>246</v>
      </c>
      <c r="B248" s="102" t="s">
        <v>3381</v>
      </c>
      <c r="C248" s="9" t="s">
        <v>3864</v>
      </c>
      <c r="D248" s="137" t="s">
        <v>3865</v>
      </c>
      <c r="E248" s="102">
        <v>2020</v>
      </c>
      <c r="F248" s="102">
        <v>2020</v>
      </c>
      <c r="G248" s="132" t="s">
        <v>16</v>
      </c>
      <c r="H248" s="109">
        <v>200</v>
      </c>
      <c r="I248" s="109">
        <v>200</v>
      </c>
      <c r="J248" s="102"/>
      <c r="K248" s="111"/>
      <c r="L248" s="105">
        <v>20201118</v>
      </c>
    </row>
    <row r="249" s="246" customFormat="1" ht="16" customHeight="1" spans="1:12">
      <c r="A249" s="132">
        <v>247</v>
      </c>
      <c r="B249" s="102" t="s">
        <v>3381</v>
      </c>
      <c r="C249" s="9" t="s">
        <v>3866</v>
      </c>
      <c r="D249" s="137" t="s">
        <v>3867</v>
      </c>
      <c r="E249" s="102">
        <v>2020</v>
      </c>
      <c r="F249" s="102">
        <v>2020</v>
      </c>
      <c r="G249" s="132" t="s">
        <v>16</v>
      </c>
      <c r="H249" s="109">
        <v>200</v>
      </c>
      <c r="I249" s="109">
        <v>200</v>
      </c>
      <c r="J249" s="102"/>
      <c r="K249" s="111"/>
      <c r="L249" s="105">
        <v>20201118</v>
      </c>
    </row>
    <row r="250" s="246" customFormat="1" ht="16" customHeight="1" spans="1:12">
      <c r="A250" s="132">
        <v>248</v>
      </c>
      <c r="B250" s="102" t="s">
        <v>3381</v>
      </c>
      <c r="C250" s="9" t="s">
        <v>3868</v>
      </c>
      <c r="D250" s="137" t="s">
        <v>3869</v>
      </c>
      <c r="E250" s="102">
        <v>2020</v>
      </c>
      <c r="F250" s="102">
        <v>2020</v>
      </c>
      <c r="G250" s="132" t="s">
        <v>16</v>
      </c>
      <c r="H250" s="109">
        <v>400</v>
      </c>
      <c r="I250" s="109">
        <v>400</v>
      </c>
      <c r="J250" s="118" t="s">
        <v>1242</v>
      </c>
      <c r="K250" s="111"/>
      <c r="L250" s="105">
        <v>20201118</v>
      </c>
    </row>
    <row r="251" s="246" customFormat="1" ht="16" customHeight="1" spans="1:12">
      <c r="A251" s="102">
        <v>249</v>
      </c>
      <c r="B251" s="102" t="s">
        <v>3381</v>
      </c>
      <c r="C251" s="9" t="s">
        <v>3870</v>
      </c>
      <c r="D251" s="137" t="s">
        <v>3871</v>
      </c>
      <c r="E251" s="102">
        <v>2020</v>
      </c>
      <c r="F251" s="102">
        <v>2020</v>
      </c>
      <c r="G251" s="132" t="s">
        <v>16</v>
      </c>
      <c r="H251" s="109">
        <v>200</v>
      </c>
      <c r="I251" s="109">
        <v>200</v>
      </c>
      <c r="J251" s="102"/>
      <c r="K251" s="111"/>
      <c r="L251" s="105">
        <v>20201118</v>
      </c>
    </row>
    <row r="252" s="246" customFormat="1" ht="16" customHeight="1" spans="1:12">
      <c r="A252" s="132">
        <v>250</v>
      </c>
      <c r="B252" s="102" t="s">
        <v>3381</v>
      </c>
      <c r="C252" s="9" t="s">
        <v>3872</v>
      </c>
      <c r="D252" s="137" t="s">
        <v>3873</v>
      </c>
      <c r="E252" s="102">
        <v>2020</v>
      </c>
      <c r="F252" s="102">
        <v>2020</v>
      </c>
      <c r="G252" s="132" t="s">
        <v>16</v>
      </c>
      <c r="H252" s="109">
        <v>200</v>
      </c>
      <c r="I252" s="109">
        <v>200</v>
      </c>
      <c r="J252" s="102"/>
      <c r="K252" s="111"/>
      <c r="L252" s="105">
        <v>20201118</v>
      </c>
    </row>
    <row r="253" s="246" customFormat="1" ht="16" customHeight="1" spans="1:12">
      <c r="A253" s="132">
        <v>251</v>
      </c>
      <c r="B253" s="102" t="s">
        <v>3381</v>
      </c>
      <c r="C253" s="9" t="s">
        <v>3874</v>
      </c>
      <c r="D253" s="137" t="s">
        <v>3875</v>
      </c>
      <c r="E253" s="102">
        <v>2020</v>
      </c>
      <c r="F253" s="102">
        <v>2020</v>
      </c>
      <c r="G253" s="132" t="s">
        <v>16</v>
      </c>
      <c r="H253" s="109">
        <v>200</v>
      </c>
      <c r="I253" s="109">
        <v>200</v>
      </c>
      <c r="J253" s="118" t="s">
        <v>1242</v>
      </c>
      <c r="K253" s="111"/>
      <c r="L253" s="105">
        <v>20201118</v>
      </c>
    </row>
    <row r="254" s="246" customFormat="1" ht="16" customHeight="1" spans="1:12">
      <c r="A254" s="102">
        <v>252</v>
      </c>
      <c r="B254" s="102" t="s">
        <v>3381</v>
      </c>
      <c r="C254" s="9" t="s">
        <v>3876</v>
      </c>
      <c r="D254" s="137" t="s">
        <v>3877</v>
      </c>
      <c r="E254" s="102">
        <v>2020</v>
      </c>
      <c r="F254" s="102">
        <v>2020</v>
      </c>
      <c r="G254" s="132" t="s">
        <v>16</v>
      </c>
      <c r="H254" s="109">
        <v>200</v>
      </c>
      <c r="I254" s="109">
        <v>200</v>
      </c>
      <c r="J254" s="102"/>
      <c r="K254" s="111"/>
      <c r="L254" s="105">
        <v>20201118</v>
      </c>
    </row>
    <row r="255" s="246" customFormat="1" ht="16" customHeight="1" spans="1:12">
      <c r="A255" s="132">
        <v>253</v>
      </c>
      <c r="B255" s="102" t="s">
        <v>3381</v>
      </c>
      <c r="C255" s="9" t="s">
        <v>3878</v>
      </c>
      <c r="D255" s="137" t="s">
        <v>3879</v>
      </c>
      <c r="E255" s="102">
        <v>2020</v>
      </c>
      <c r="F255" s="102">
        <v>2020</v>
      </c>
      <c r="G255" s="132" t="s">
        <v>16</v>
      </c>
      <c r="H255" s="109">
        <v>200</v>
      </c>
      <c r="I255" s="109">
        <v>200</v>
      </c>
      <c r="J255" s="102"/>
      <c r="K255" s="111"/>
      <c r="L255" s="105">
        <v>20201118</v>
      </c>
    </row>
    <row r="256" s="246" customFormat="1" ht="16" customHeight="1" spans="1:12">
      <c r="A256" s="132">
        <v>254</v>
      </c>
      <c r="B256" s="102" t="s">
        <v>3381</v>
      </c>
      <c r="C256" s="9" t="s">
        <v>3880</v>
      </c>
      <c r="D256" s="137" t="s">
        <v>3881</v>
      </c>
      <c r="E256" s="102">
        <v>2020</v>
      </c>
      <c r="F256" s="102">
        <v>2020</v>
      </c>
      <c r="G256" s="132" t="s">
        <v>16</v>
      </c>
      <c r="H256" s="109">
        <v>200</v>
      </c>
      <c r="I256" s="109">
        <v>200</v>
      </c>
      <c r="J256" s="102"/>
      <c r="K256" s="111"/>
      <c r="L256" s="105">
        <v>20201118</v>
      </c>
    </row>
    <row r="257" s="246" customFormat="1" ht="16" customHeight="1" spans="1:12">
      <c r="A257" s="102">
        <v>255</v>
      </c>
      <c r="B257" s="102" t="s">
        <v>3381</v>
      </c>
      <c r="C257" s="9" t="s">
        <v>3882</v>
      </c>
      <c r="D257" s="137" t="s">
        <v>3883</v>
      </c>
      <c r="E257" s="102">
        <v>2020</v>
      </c>
      <c r="F257" s="102">
        <v>2020</v>
      </c>
      <c r="G257" s="132" t="s">
        <v>16</v>
      </c>
      <c r="H257" s="109">
        <v>200</v>
      </c>
      <c r="I257" s="109">
        <v>200</v>
      </c>
      <c r="J257" s="102"/>
      <c r="K257" s="111"/>
      <c r="L257" s="105">
        <v>20201118</v>
      </c>
    </row>
    <row r="258" s="246" customFormat="1" ht="16" customHeight="1" spans="1:12">
      <c r="A258" s="132">
        <v>256</v>
      </c>
      <c r="B258" s="102" t="s">
        <v>3381</v>
      </c>
      <c r="C258" s="9" t="s">
        <v>3884</v>
      </c>
      <c r="D258" s="137" t="s">
        <v>3885</v>
      </c>
      <c r="E258" s="102">
        <v>2020</v>
      </c>
      <c r="F258" s="102">
        <v>2020</v>
      </c>
      <c r="G258" s="132" t="s">
        <v>16</v>
      </c>
      <c r="H258" s="109">
        <v>200</v>
      </c>
      <c r="I258" s="109">
        <v>200</v>
      </c>
      <c r="J258" s="102"/>
      <c r="K258" s="111"/>
      <c r="L258" s="105">
        <v>20201118</v>
      </c>
    </row>
    <row r="259" s="246" customFormat="1" ht="16" customHeight="1" spans="1:12">
      <c r="A259" s="132">
        <v>257</v>
      </c>
      <c r="B259" s="102" t="s">
        <v>3381</v>
      </c>
      <c r="C259" s="9" t="s">
        <v>3886</v>
      </c>
      <c r="D259" s="137" t="s">
        <v>3887</v>
      </c>
      <c r="E259" s="102">
        <v>2020</v>
      </c>
      <c r="F259" s="102">
        <v>2020</v>
      </c>
      <c r="G259" s="132" t="s">
        <v>16</v>
      </c>
      <c r="H259" s="109">
        <v>200</v>
      </c>
      <c r="I259" s="109">
        <v>200</v>
      </c>
      <c r="J259" s="102"/>
      <c r="K259" s="111"/>
      <c r="L259" s="105">
        <v>20201118</v>
      </c>
    </row>
    <row r="260" s="246" customFormat="1" ht="16" customHeight="1" spans="1:12">
      <c r="A260" s="102">
        <v>258</v>
      </c>
      <c r="B260" s="102" t="s">
        <v>3381</v>
      </c>
      <c r="C260" s="9" t="s">
        <v>3888</v>
      </c>
      <c r="D260" s="137" t="s">
        <v>3889</v>
      </c>
      <c r="E260" s="102">
        <v>2020</v>
      </c>
      <c r="F260" s="102">
        <v>2020</v>
      </c>
      <c r="G260" s="132" t="s">
        <v>16</v>
      </c>
      <c r="H260" s="109">
        <v>200</v>
      </c>
      <c r="I260" s="109">
        <v>200</v>
      </c>
      <c r="J260" s="102"/>
      <c r="K260" s="111"/>
      <c r="L260" s="105">
        <v>20201118</v>
      </c>
    </row>
    <row r="261" s="246" customFormat="1" ht="16" customHeight="1" spans="1:12">
      <c r="A261" s="132">
        <v>259</v>
      </c>
      <c r="B261" s="102" t="s">
        <v>3381</v>
      </c>
      <c r="C261" s="9" t="s">
        <v>3890</v>
      </c>
      <c r="D261" s="137" t="s">
        <v>3891</v>
      </c>
      <c r="E261" s="102">
        <v>2020</v>
      </c>
      <c r="F261" s="102">
        <v>2020</v>
      </c>
      <c r="G261" s="132" t="s">
        <v>16</v>
      </c>
      <c r="H261" s="109">
        <v>200</v>
      </c>
      <c r="I261" s="109">
        <v>200</v>
      </c>
      <c r="J261" s="102"/>
      <c r="K261" s="111"/>
      <c r="L261" s="105">
        <v>20201118</v>
      </c>
    </row>
    <row r="262" s="246" customFormat="1" ht="16" customHeight="1" spans="1:12">
      <c r="A262" s="132">
        <v>260</v>
      </c>
      <c r="B262" s="102" t="s">
        <v>3381</v>
      </c>
      <c r="C262" s="9" t="s">
        <v>3892</v>
      </c>
      <c r="D262" s="137" t="s">
        <v>3893</v>
      </c>
      <c r="E262" s="102">
        <v>2020</v>
      </c>
      <c r="F262" s="102">
        <v>2020</v>
      </c>
      <c r="G262" s="132" t="s">
        <v>16</v>
      </c>
      <c r="H262" s="109">
        <v>200</v>
      </c>
      <c r="I262" s="109">
        <v>200</v>
      </c>
      <c r="J262" s="102"/>
      <c r="K262" s="111"/>
      <c r="L262" s="105">
        <v>20201118</v>
      </c>
    </row>
    <row r="263" s="246" customFormat="1" ht="16" customHeight="1" spans="1:12">
      <c r="A263" s="102">
        <v>261</v>
      </c>
      <c r="B263" s="102" t="s">
        <v>3381</v>
      </c>
      <c r="C263" s="9" t="s">
        <v>3894</v>
      </c>
      <c r="D263" s="137" t="s">
        <v>3895</v>
      </c>
      <c r="E263" s="102">
        <v>2020</v>
      </c>
      <c r="F263" s="102">
        <v>2020</v>
      </c>
      <c r="G263" s="132" t="s">
        <v>16</v>
      </c>
      <c r="H263" s="109">
        <v>200</v>
      </c>
      <c r="I263" s="109">
        <v>200</v>
      </c>
      <c r="J263" s="102"/>
      <c r="K263" s="111"/>
      <c r="L263" s="105">
        <v>20201118</v>
      </c>
    </row>
    <row r="264" s="246" customFormat="1" ht="16" customHeight="1" spans="1:12">
      <c r="A264" s="132">
        <v>262</v>
      </c>
      <c r="B264" s="102" t="s">
        <v>3381</v>
      </c>
      <c r="C264" s="9" t="s">
        <v>3896</v>
      </c>
      <c r="D264" s="137" t="s">
        <v>3897</v>
      </c>
      <c r="E264" s="102">
        <v>2020</v>
      </c>
      <c r="F264" s="102">
        <v>2020</v>
      </c>
      <c r="G264" s="132" t="s">
        <v>16</v>
      </c>
      <c r="H264" s="109">
        <v>200</v>
      </c>
      <c r="I264" s="109">
        <v>200</v>
      </c>
      <c r="J264" s="102"/>
      <c r="K264" s="111"/>
      <c r="L264" s="105">
        <v>20201118</v>
      </c>
    </row>
    <row r="265" s="246" customFormat="1" ht="16" customHeight="1" spans="1:12">
      <c r="A265" s="132">
        <v>263</v>
      </c>
      <c r="B265" s="102" t="s">
        <v>3381</v>
      </c>
      <c r="C265" s="9" t="s">
        <v>3898</v>
      </c>
      <c r="D265" s="137" t="s">
        <v>3899</v>
      </c>
      <c r="E265" s="102">
        <v>2020</v>
      </c>
      <c r="F265" s="102">
        <v>2020</v>
      </c>
      <c r="G265" s="132" t="s">
        <v>16</v>
      </c>
      <c r="H265" s="109">
        <v>200</v>
      </c>
      <c r="I265" s="109">
        <v>200</v>
      </c>
      <c r="J265" s="102"/>
      <c r="K265" s="111"/>
      <c r="L265" s="105">
        <v>20201118</v>
      </c>
    </row>
    <row r="266" s="246" customFormat="1" ht="16" customHeight="1" spans="1:12">
      <c r="A266" s="102">
        <v>264</v>
      </c>
      <c r="B266" s="102" t="s">
        <v>3381</v>
      </c>
      <c r="C266" s="9" t="s">
        <v>3900</v>
      </c>
      <c r="D266" s="137" t="s">
        <v>3901</v>
      </c>
      <c r="E266" s="102">
        <v>2020</v>
      </c>
      <c r="F266" s="102">
        <v>2020</v>
      </c>
      <c r="G266" s="132" t="s">
        <v>16</v>
      </c>
      <c r="H266" s="109">
        <v>200</v>
      </c>
      <c r="I266" s="109">
        <v>200</v>
      </c>
      <c r="J266" s="102"/>
      <c r="K266" s="111"/>
      <c r="L266" s="105">
        <v>20201118</v>
      </c>
    </row>
    <row r="267" s="246" customFormat="1" ht="16" customHeight="1" spans="1:12">
      <c r="A267" s="132">
        <v>265</v>
      </c>
      <c r="B267" s="102" t="s">
        <v>3381</v>
      </c>
      <c r="C267" s="9" t="s">
        <v>3902</v>
      </c>
      <c r="D267" s="137" t="s">
        <v>3903</v>
      </c>
      <c r="E267" s="102">
        <v>2020</v>
      </c>
      <c r="F267" s="102">
        <v>2020</v>
      </c>
      <c r="G267" s="132" t="s">
        <v>16</v>
      </c>
      <c r="H267" s="109">
        <v>200</v>
      </c>
      <c r="I267" s="109">
        <v>200</v>
      </c>
      <c r="J267" s="102"/>
      <c r="K267" s="111"/>
      <c r="L267" s="105">
        <v>20201118</v>
      </c>
    </row>
    <row r="268" s="246" customFormat="1" ht="16" customHeight="1" spans="1:12">
      <c r="A268" s="132">
        <v>266</v>
      </c>
      <c r="B268" s="102" t="s">
        <v>3381</v>
      </c>
      <c r="C268" s="9" t="s">
        <v>3904</v>
      </c>
      <c r="D268" s="137" t="s">
        <v>3905</v>
      </c>
      <c r="E268" s="102">
        <v>2020</v>
      </c>
      <c r="F268" s="102">
        <v>2020</v>
      </c>
      <c r="G268" s="132" t="s">
        <v>16</v>
      </c>
      <c r="H268" s="109">
        <v>200</v>
      </c>
      <c r="I268" s="109">
        <v>200</v>
      </c>
      <c r="J268" s="102"/>
      <c r="K268" s="111"/>
      <c r="L268" s="105">
        <v>20201118</v>
      </c>
    </row>
    <row r="269" s="246" customFormat="1" ht="16" customHeight="1" spans="1:12">
      <c r="A269" s="102">
        <v>267</v>
      </c>
      <c r="B269" s="102" t="s">
        <v>3381</v>
      </c>
      <c r="C269" s="9" t="s">
        <v>3906</v>
      </c>
      <c r="D269" s="137" t="s">
        <v>3907</v>
      </c>
      <c r="E269" s="102">
        <v>2020</v>
      </c>
      <c r="F269" s="102">
        <v>2020</v>
      </c>
      <c r="G269" s="132" t="s">
        <v>16</v>
      </c>
      <c r="H269" s="109">
        <v>200</v>
      </c>
      <c r="I269" s="109">
        <v>200</v>
      </c>
      <c r="J269" s="102"/>
      <c r="K269" s="111"/>
      <c r="L269" s="105">
        <v>20201118</v>
      </c>
    </row>
    <row r="270" s="246" customFormat="1" ht="16" customHeight="1" spans="1:12">
      <c r="A270" s="132">
        <v>268</v>
      </c>
      <c r="B270" s="102" t="s">
        <v>3381</v>
      </c>
      <c r="C270" s="9" t="s">
        <v>3908</v>
      </c>
      <c r="D270" s="137" t="s">
        <v>3909</v>
      </c>
      <c r="E270" s="102">
        <v>2020</v>
      </c>
      <c r="F270" s="102">
        <v>2020</v>
      </c>
      <c r="G270" s="132" t="s">
        <v>16</v>
      </c>
      <c r="H270" s="109">
        <v>200</v>
      </c>
      <c r="I270" s="109">
        <v>200</v>
      </c>
      <c r="J270" s="102"/>
      <c r="K270" s="111"/>
      <c r="L270" s="105">
        <v>20201118</v>
      </c>
    </row>
    <row r="271" s="246" customFormat="1" ht="16" customHeight="1" spans="1:12">
      <c r="A271" s="132">
        <v>269</v>
      </c>
      <c r="B271" s="102" t="s">
        <v>3381</v>
      </c>
      <c r="C271" s="9" t="s">
        <v>3910</v>
      </c>
      <c r="D271" s="137" t="s">
        <v>3911</v>
      </c>
      <c r="E271" s="102">
        <v>2020</v>
      </c>
      <c r="F271" s="102">
        <v>2020</v>
      </c>
      <c r="G271" s="132" t="s">
        <v>16</v>
      </c>
      <c r="H271" s="109">
        <v>200</v>
      </c>
      <c r="I271" s="109">
        <v>200</v>
      </c>
      <c r="J271" s="102"/>
      <c r="K271" s="111"/>
      <c r="L271" s="105">
        <v>20201118</v>
      </c>
    </row>
    <row r="272" s="246" customFormat="1" ht="16" customHeight="1" spans="1:12">
      <c r="A272" s="102">
        <v>270</v>
      </c>
      <c r="B272" s="102" t="s">
        <v>3381</v>
      </c>
      <c r="C272" s="9" t="s">
        <v>3912</v>
      </c>
      <c r="D272" s="137" t="s">
        <v>3913</v>
      </c>
      <c r="E272" s="102">
        <v>2020</v>
      </c>
      <c r="F272" s="102">
        <v>2020</v>
      </c>
      <c r="G272" s="132" t="s">
        <v>16</v>
      </c>
      <c r="H272" s="109">
        <v>200</v>
      </c>
      <c r="I272" s="109">
        <v>200</v>
      </c>
      <c r="J272" s="102"/>
      <c r="K272" s="111"/>
      <c r="L272" s="105">
        <v>20201118</v>
      </c>
    </row>
    <row r="273" s="246" customFormat="1" ht="16" customHeight="1" spans="1:12">
      <c r="A273" s="132">
        <v>271</v>
      </c>
      <c r="B273" s="102" t="s">
        <v>3381</v>
      </c>
      <c r="C273" s="9" t="s">
        <v>3914</v>
      </c>
      <c r="D273" s="137" t="s">
        <v>3915</v>
      </c>
      <c r="E273" s="102">
        <v>2020</v>
      </c>
      <c r="F273" s="102">
        <v>2020</v>
      </c>
      <c r="G273" s="132" t="s">
        <v>16</v>
      </c>
      <c r="H273" s="109">
        <v>200</v>
      </c>
      <c r="I273" s="109">
        <v>200</v>
      </c>
      <c r="J273" s="102"/>
      <c r="K273" s="111"/>
      <c r="L273" s="105">
        <v>20201118</v>
      </c>
    </row>
    <row r="274" s="246" customFormat="1" ht="16" customHeight="1" spans="1:12">
      <c r="A274" s="132">
        <v>272</v>
      </c>
      <c r="B274" s="102" t="s">
        <v>3381</v>
      </c>
      <c r="C274" s="9" t="s">
        <v>3916</v>
      </c>
      <c r="D274" s="137" t="s">
        <v>3917</v>
      </c>
      <c r="E274" s="102">
        <v>2020</v>
      </c>
      <c r="F274" s="102">
        <v>2020</v>
      </c>
      <c r="G274" s="132" t="s">
        <v>16</v>
      </c>
      <c r="H274" s="109">
        <v>200</v>
      </c>
      <c r="I274" s="109">
        <v>200</v>
      </c>
      <c r="J274" s="102"/>
      <c r="K274" s="111"/>
      <c r="L274" s="105">
        <v>20201118</v>
      </c>
    </row>
    <row r="275" s="246" customFormat="1" ht="16" customHeight="1" spans="1:12">
      <c r="A275" s="102">
        <v>273</v>
      </c>
      <c r="B275" s="102" t="s">
        <v>3381</v>
      </c>
      <c r="C275" s="9" t="s">
        <v>3918</v>
      </c>
      <c r="D275" s="137" t="s">
        <v>3919</v>
      </c>
      <c r="E275" s="102">
        <v>2020</v>
      </c>
      <c r="F275" s="102">
        <v>2020</v>
      </c>
      <c r="G275" s="132" t="s">
        <v>16</v>
      </c>
      <c r="H275" s="109">
        <v>200</v>
      </c>
      <c r="I275" s="109">
        <v>200</v>
      </c>
      <c r="J275" s="102"/>
      <c r="K275" s="111"/>
      <c r="L275" s="105">
        <v>20201118</v>
      </c>
    </row>
    <row r="276" s="246" customFormat="1" ht="16" customHeight="1" spans="1:12">
      <c r="A276" s="132">
        <v>274</v>
      </c>
      <c r="B276" s="102" t="s">
        <v>3381</v>
      </c>
      <c r="C276" s="9" t="s">
        <v>3920</v>
      </c>
      <c r="D276" s="137" t="s">
        <v>3921</v>
      </c>
      <c r="E276" s="102">
        <v>2020</v>
      </c>
      <c r="F276" s="102">
        <v>2020</v>
      </c>
      <c r="G276" s="132" t="s">
        <v>16</v>
      </c>
      <c r="H276" s="109">
        <v>200</v>
      </c>
      <c r="I276" s="109">
        <v>200</v>
      </c>
      <c r="J276" s="102"/>
      <c r="K276" s="111"/>
      <c r="L276" s="105">
        <v>20201118</v>
      </c>
    </row>
    <row r="277" s="246" customFormat="1" ht="16" customHeight="1" spans="1:12">
      <c r="A277" s="132">
        <v>275</v>
      </c>
      <c r="B277" s="102" t="s">
        <v>3381</v>
      </c>
      <c r="C277" s="9" t="s">
        <v>3922</v>
      </c>
      <c r="D277" s="137" t="s">
        <v>3923</v>
      </c>
      <c r="E277" s="102">
        <v>2020</v>
      </c>
      <c r="F277" s="102">
        <v>2020</v>
      </c>
      <c r="G277" s="132" t="s">
        <v>16</v>
      </c>
      <c r="H277" s="109">
        <v>200</v>
      </c>
      <c r="I277" s="109">
        <v>200</v>
      </c>
      <c r="J277" s="102"/>
      <c r="K277" s="111"/>
      <c r="L277" s="105">
        <v>20201118</v>
      </c>
    </row>
    <row r="278" s="246" customFormat="1" ht="16" customHeight="1" spans="1:12">
      <c r="A278" s="102">
        <v>276</v>
      </c>
      <c r="B278" s="102" t="s">
        <v>3381</v>
      </c>
      <c r="C278" s="9" t="s">
        <v>3924</v>
      </c>
      <c r="D278" s="137" t="s">
        <v>3925</v>
      </c>
      <c r="E278" s="102">
        <v>2020</v>
      </c>
      <c r="F278" s="102">
        <v>2020</v>
      </c>
      <c r="G278" s="132" t="s">
        <v>16</v>
      </c>
      <c r="H278" s="109">
        <v>200</v>
      </c>
      <c r="I278" s="109">
        <v>200</v>
      </c>
      <c r="J278" s="118" t="s">
        <v>3552</v>
      </c>
      <c r="K278" s="111"/>
      <c r="L278" s="105">
        <v>20201118</v>
      </c>
    </row>
    <row r="279" s="246" customFormat="1" ht="16" customHeight="1" spans="1:12">
      <c r="A279" s="132">
        <v>277</v>
      </c>
      <c r="B279" s="102" t="s">
        <v>3381</v>
      </c>
      <c r="C279" s="9" t="s">
        <v>3926</v>
      </c>
      <c r="D279" s="137" t="s">
        <v>3927</v>
      </c>
      <c r="E279" s="102">
        <v>2020</v>
      </c>
      <c r="F279" s="102">
        <v>2020</v>
      </c>
      <c r="G279" s="132" t="s">
        <v>16</v>
      </c>
      <c r="H279" s="109">
        <v>200</v>
      </c>
      <c r="I279" s="109">
        <v>200</v>
      </c>
      <c r="J279" s="102"/>
      <c r="K279" s="111"/>
      <c r="L279" s="105">
        <v>20201118</v>
      </c>
    </row>
    <row r="280" s="246" customFormat="1" ht="16" customHeight="1" spans="1:12">
      <c r="A280" s="132">
        <v>278</v>
      </c>
      <c r="B280" s="102" t="s">
        <v>3381</v>
      </c>
      <c r="C280" s="9" t="s">
        <v>3928</v>
      </c>
      <c r="D280" s="137" t="s">
        <v>3929</v>
      </c>
      <c r="E280" s="102">
        <v>2020</v>
      </c>
      <c r="F280" s="102">
        <v>2020</v>
      </c>
      <c r="G280" s="132" t="s">
        <v>16</v>
      </c>
      <c r="H280" s="109">
        <v>200</v>
      </c>
      <c r="I280" s="109">
        <v>200</v>
      </c>
      <c r="J280" s="102"/>
      <c r="K280" s="111"/>
      <c r="L280" s="105">
        <v>20201118</v>
      </c>
    </row>
    <row r="281" s="246" customFormat="1" ht="16" customHeight="1" spans="1:12">
      <c r="A281" s="102">
        <v>279</v>
      </c>
      <c r="B281" s="102" t="s">
        <v>3381</v>
      </c>
      <c r="C281" s="9" t="s">
        <v>3930</v>
      </c>
      <c r="D281" s="137" t="s">
        <v>3931</v>
      </c>
      <c r="E281" s="102">
        <v>2020</v>
      </c>
      <c r="F281" s="102">
        <v>2020</v>
      </c>
      <c r="G281" s="132" t="s">
        <v>16</v>
      </c>
      <c r="H281" s="109">
        <v>200</v>
      </c>
      <c r="I281" s="109">
        <v>200</v>
      </c>
      <c r="J281" s="102"/>
      <c r="K281" s="111"/>
      <c r="L281" s="105">
        <v>20201118</v>
      </c>
    </row>
    <row r="282" s="246" customFormat="1" ht="16" customHeight="1" spans="1:12">
      <c r="A282" s="132">
        <v>280</v>
      </c>
      <c r="B282" s="102" t="s">
        <v>3381</v>
      </c>
      <c r="C282" s="9" t="s">
        <v>3932</v>
      </c>
      <c r="D282" s="137" t="s">
        <v>3933</v>
      </c>
      <c r="E282" s="102">
        <v>2020</v>
      </c>
      <c r="F282" s="102">
        <v>2020</v>
      </c>
      <c r="G282" s="132" t="s">
        <v>16</v>
      </c>
      <c r="H282" s="109">
        <v>200</v>
      </c>
      <c r="I282" s="109">
        <v>200</v>
      </c>
      <c r="J282" s="102"/>
      <c r="K282" s="111"/>
      <c r="L282" s="105">
        <v>20201118</v>
      </c>
    </row>
    <row r="283" s="246" customFormat="1" ht="16" customHeight="1" spans="1:12">
      <c r="A283" s="132">
        <v>281</v>
      </c>
      <c r="B283" s="102" t="s">
        <v>3381</v>
      </c>
      <c r="C283" s="9" t="s">
        <v>3934</v>
      </c>
      <c r="D283" s="137" t="s">
        <v>3935</v>
      </c>
      <c r="E283" s="102">
        <v>2020</v>
      </c>
      <c r="F283" s="102">
        <v>2020</v>
      </c>
      <c r="G283" s="132" t="s">
        <v>16</v>
      </c>
      <c r="H283" s="109">
        <v>200</v>
      </c>
      <c r="I283" s="109">
        <v>200</v>
      </c>
      <c r="J283" s="118" t="s">
        <v>1242</v>
      </c>
      <c r="K283" s="111"/>
      <c r="L283" s="105">
        <v>20201118</v>
      </c>
    </row>
    <row r="284" s="246" customFormat="1" ht="16" customHeight="1" spans="1:12">
      <c r="A284" s="102">
        <v>282</v>
      </c>
      <c r="B284" s="102" t="s">
        <v>3381</v>
      </c>
      <c r="C284" s="9" t="s">
        <v>3936</v>
      </c>
      <c r="D284" s="137" t="s">
        <v>3937</v>
      </c>
      <c r="E284" s="102">
        <v>2020</v>
      </c>
      <c r="F284" s="102">
        <v>2020</v>
      </c>
      <c r="G284" s="132" t="s">
        <v>16</v>
      </c>
      <c r="H284" s="109">
        <v>200</v>
      </c>
      <c r="I284" s="109">
        <v>200</v>
      </c>
      <c r="J284" s="102"/>
      <c r="K284" s="111"/>
      <c r="L284" s="105">
        <v>20201118</v>
      </c>
    </row>
    <row r="285" s="246" customFormat="1" ht="16" customHeight="1" spans="1:12">
      <c r="A285" s="132">
        <v>283</v>
      </c>
      <c r="B285" s="102" t="s">
        <v>3381</v>
      </c>
      <c r="C285" s="9" t="s">
        <v>3938</v>
      </c>
      <c r="D285" s="137" t="s">
        <v>3939</v>
      </c>
      <c r="E285" s="102">
        <v>2020</v>
      </c>
      <c r="F285" s="102">
        <v>2020</v>
      </c>
      <c r="G285" s="132" t="s">
        <v>16</v>
      </c>
      <c r="H285" s="109">
        <v>200</v>
      </c>
      <c r="I285" s="109">
        <v>200</v>
      </c>
      <c r="J285" s="118"/>
      <c r="K285" s="111"/>
      <c r="L285" s="105">
        <v>20201118</v>
      </c>
    </row>
    <row r="286" s="246" customFormat="1" ht="16" customHeight="1" spans="1:12">
      <c r="A286" s="132">
        <v>284</v>
      </c>
      <c r="B286" s="102" t="s">
        <v>3381</v>
      </c>
      <c r="C286" s="9" t="s">
        <v>3940</v>
      </c>
      <c r="D286" s="137" t="s">
        <v>3941</v>
      </c>
      <c r="E286" s="102">
        <v>2020</v>
      </c>
      <c r="F286" s="102">
        <v>2020</v>
      </c>
      <c r="G286" s="132" t="s">
        <v>16</v>
      </c>
      <c r="H286" s="109">
        <v>200</v>
      </c>
      <c r="I286" s="109">
        <v>200</v>
      </c>
      <c r="J286" s="102"/>
      <c r="K286" s="111"/>
      <c r="L286" s="105">
        <v>20201118</v>
      </c>
    </row>
    <row r="287" s="246" customFormat="1" ht="16" customHeight="1" spans="1:12">
      <c r="A287" s="102">
        <v>285</v>
      </c>
      <c r="B287" s="102" t="s">
        <v>3381</v>
      </c>
      <c r="C287" s="9" t="s">
        <v>3942</v>
      </c>
      <c r="D287" s="137" t="s">
        <v>3943</v>
      </c>
      <c r="E287" s="102">
        <v>2020</v>
      </c>
      <c r="F287" s="102">
        <v>2020</v>
      </c>
      <c r="G287" s="132" t="s">
        <v>16</v>
      </c>
      <c r="H287" s="109">
        <v>200</v>
      </c>
      <c r="I287" s="109">
        <v>200</v>
      </c>
      <c r="J287" s="102"/>
      <c r="K287" s="111"/>
      <c r="L287" s="105">
        <v>20201118</v>
      </c>
    </row>
    <row r="288" s="246" customFormat="1" ht="16" customHeight="1" spans="1:12">
      <c r="A288" s="132">
        <v>286</v>
      </c>
      <c r="B288" s="102" t="s">
        <v>3381</v>
      </c>
      <c r="C288" s="9" t="s">
        <v>3944</v>
      </c>
      <c r="D288" s="137" t="s">
        <v>3945</v>
      </c>
      <c r="E288" s="102">
        <v>2020</v>
      </c>
      <c r="F288" s="102">
        <v>2020</v>
      </c>
      <c r="G288" s="132" t="s">
        <v>16</v>
      </c>
      <c r="H288" s="109">
        <v>200</v>
      </c>
      <c r="I288" s="109">
        <v>200</v>
      </c>
      <c r="J288" s="102"/>
      <c r="K288" s="111"/>
      <c r="L288" s="105">
        <v>20201118</v>
      </c>
    </row>
    <row r="289" s="246" customFormat="1" ht="16" customHeight="1" spans="1:12">
      <c r="A289" s="132">
        <v>287</v>
      </c>
      <c r="B289" s="102" t="s">
        <v>3381</v>
      </c>
      <c r="C289" s="9" t="s">
        <v>3946</v>
      </c>
      <c r="D289" s="137" t="s">
        <v>3947</v>
      </c>
      <c r="E289" s="102">
        <v>2020</v>
      </c>
      <c r="F289" s="102">
        <v>2020</v>
      </c>
      <c r="G289" s="132" t="s">
        <v>16</v>
      </c>
      <c r="H289" s="109">
        <v>200</v>
      </c>
      <c r="I289" s="109">
        <v>200</v>
      </c>
      <c r="J289" s="102"/>
      <c r="K289" s="111"/>
      <c r="L289" s="105">
        <v>20201118</v>
      </c>
    </row>
    <row r="290" s="246" customFormat="1" ht="16" customHeight="1" spans="1:12">
      <c r="A290" s="102">
        <v>288</v>
      </c>
      <c r="B290" s="102" t="s">
        <v>3381</v>
      </c>
      <c r="C290" s="9" t="s">
        <v>3948</v>
      </c>
      <c r="D290" s="137" t="s">
        <v>3949</v>
      </c>
      <c r="E290" s="102">
        <v>2020</v>
      </c>
      <c r="F290" s="102">
        <v>2020</v>
      </c>
      <c r="G290" s="132" t="s">
        <v>16</v>
      </c>
      <c r="H290" s="109">
        <v>200</v>
      </c>
      <c r="I290" s="109">
        <v>200</v>
      </c>
      <c r="J290" s="102"/>
      <c r="K290" s="111"/>
      <c r="L290" s="105">
        <v>20201118</v>
      </c>
    </row>
    <row r="291" s="246" customFormat="1" ht="16" customHeight="1" spans="1:12">
      <c r="A291" s="132">
        <v>289</v>
      </c>
      <c r="B291" s="102" t="s">
        <v>3381</v>
      </c>
      <c r="C291" s="9" t="s">
        <v>3950</v>
      </c>
      <c r="D291" s="137" t="s">
        <v>3951</v>
      </c>
      <c r="E291" s="102">
        <v>2020</v>
      </c>
      <c r="F291" s="102">
        <v>2020</v>
      </c>
      <c r="G291" s="132" t="s">
        <v>16</v>
      </c>
      <c r="H291" s="109">
        <v>200</v>
      </c>
      <c r="I291" s="109">
        <v>200</v>
      </c>
      <c r="J291" s="102"/>
      <c r="K291" s="111"/>
      <c r="L291" s="105">
        <v>20201118</v>
      </c>
    </row>
    <row r="292" s="246" customFormat="1" ht="16" customHeight="1" spans="1:12">
      <c r="A292" s="132">
        <v>290</v>
      </c>
      <c r="B292" s="102" t="s">
        <v>3381</v>
      </c>
      <c r="C292" s="9" t="s">
        <v>3952</v>
      </c>
      <c r="D292" s="137" t="s">
        <v>3953</v>
      </c>
      <c r="E292" s="102">
        <v>2020</v>
      </c>
      <c r="F292" s="102">
        <v>2020</v>
      </c>
      <c r="G292" s="132" t="s">
        <v>16</v>
      </c>
      <c r="H292" s="109">
        <v>200</v>
      </c>
      <c r="I292" s="109">
        <v>200</v>
      </c>
      <c r="J292" s="102"/>
      <c r="K292" s="111"/>
      <c r="L292" s="105">
        <v>20201118</v>
      </c>
    </row>
    <row r="293" s="246" customFormat="1" ht="16" customHeight="1" spans="1:12">
      <c r="A293" s="102">
        <v>291</v>
      </c>
      <c r="B293" s="102" t="s">
        <v>3381</v>
      </c>
      <c r="C293" s="9" t="s">
        <v>3954</v>
      </c>
      <c r="D293" s="137" t="s">
        <v>3955</v>
      </c>
      <c r="E293" s="102">
        <v>2020</v>
      </c>
      <c r="F293" s="102">
        <v>2020</v>
      </c>
      <c r="G293" s="132" t="s">
        <v>16</v>
      </c>
      <c r="H293" s="109">
        <v>200</v>
      </c>
      <c r="I293" s="109">
        <v>200</v>
      </c>
      <c r="J293" s="118"/>
      <c r="K293" s="111"/>
      <c r="L293" s="105">
        <v>20201118</v>
      </c>
    </row>
    <row r="294" s="246" customFormat="1" ht="16" customHeight="1" spans="1:12">
      <c r="A294" s="132">
        <v>292</v>
      </c>
      <c r="B294" s="102" t="s">
        <v>3381</v>
      </c>
      <c r="C294" s="9" t="s">
        <v>3956</v>
      </c>
      <c r="D294" s="137" t="s">
        <v>3957</v>
      </c>
      <c r="E294" s="102">
        <v>2020</v>
      </c>
      <c r="F294" s="102">
        <v>2020</v>
      </c>
      <c r="G294" s="132" t="s">
        <v>16</v>
      </c>
      <c r="H294" s="109">
        <v>200</v>
      </c>
      <c r="I294" s="109">
        <v>200</v>
      </c>
      <c r="J294" s="102"/>
      <c r="K294" s="111"/>
      <c r="L294" s="105">
        <v>20201118</v>
      </c>
    </row>
    <row r="295" s="167" customFormat="1" ht="16" customHeight="1" spans="1:12">
      <c r="A295" s="14">
        <v>293</v>
      </c>
      <c r="B295" s="5" t="s">
        <v>3381</v>
      </c>
      <c r="C295" s="9" t="s">
        <v>1692</v>
      </c>
      <c r="D295" s="9" t="s">
        <v>3958</v>
      </c>
      <c r="E295" s="5">
        <v>2020</v>
      </c>
      <c r="F295" s="5">
        <v>2020</v>
      </c>
      <c r="G295" s="14" t="s">
        <v>16</v>
      </c>
      <c r="H295" s="6">
        <v>500</v>
      </c>
      <c r="I295" s="6">
        <v>500</v>
      </c>
      <c r="J295" s="5"/>
      <c r="K295" s="13"/>
      <c r="L295" s="105">
        <v>20201118</v>
      </c>
    </row>
    <row r="296" s="246" customFormat="1" ht="16" customHeight="1" spans="1:12">
      <c r="A296" s="102">
        <v>294</v>
      </c>
      <c r="B296" s="102" t="s">
        <v>3381</v>
      </c>
      <c r="C296" s="9" t="s">
        <v>3959</v>
      </c>
      <c r="D296" s="137" t="s">
        <v>3960</v>
      </c>
      <c r="E296" s="102">
        <v>2020</v>
      </c>
      <c r="F296" s="102">
        <v>2020</v>
      </c>
      <c r="G296" s="132" t="s">
        <v>16</v>
      </c>
      <c r="H296" s="109">
        <v>200</v>
      </c>
      <c r="I296" s="109">
        <v>200</v>
      </c>
      <c r="J296" s="102"/>
      <c r="K296" s="111"/>
      <c r="L296" s="105">
        <v>20201118</v>
      </c>
    </row>
    <row r="297" s="246" customFormat="1" ht="16" customHeight="1" spans="1:12">
      <c r="A297" s="132">
        <v>295</v>
      </c>
      <c r="B297" s="102" t="s">
        <v>3381</v>
      </c>
      <c r="C297" s="9" t="s">
        <v>3961</v>
      </c>
      <c r="D297" s="137" t="s">
        <v>3962</v>
      </c>
      <c r="E297" s="102">
        <v>2020</v>
      </c>
      <c r="F297" s="102">
        <v>2020</v>
      </c>
      <c r="G297" s="132" t="s">
        <v>16</v>
      </c>
      <c r="H297" s="109">
        <v>200</v>
      </c>
      <c r="I297" s="109">
        <v>200</v>
      </c>
      <c r="J297" s="102"/>
      <c r="K297" s="111"/>
      <c r="L297" s="105">
        <v>20201118</v>
      </c>
    </row>
    <row r="298" s="246" customFormat="1" ht="16" customHeight="1" spans="1:12">
      <c r="A298" s="132">
        <v>296</v>
      </c>
      <c r="B298" s="102" t="s">
        <v>3381</v>
      </c>
      <c r="C298" s="9" t="s">
        <v>3963</v>
      </c>
      <c r="D298" s="137" t="s">
        <v>3964</v>
      </c>
      <c r="E298" s="102">
        <v>2020</v>
      </c>
      <c r="F298" s="102">
        <v>2020</v>
      </c>
      <c r="G298" s="132" t="s">
        <v>16</v>
      </c>
      <c r="H298" s="109">
        <v>3000</v>
      </c>
      <c r="I298" s="109">
        <v>3000</v>
      </c>
      <c r="J298" s="102"/>
      <c r="K298" s="111"/>
      <c r="L298" s="105">
        <v>20201118</v>
      </c>
    </row>
    <row r="299" s="246" customFormat="1" ht="16" customHeight="1" spans="1:12">
      <c r="A299" s="102">
        <v>297</v>
      </c>
      <c r="B299" s="102" t="s">
        <v>3381</v>
      </c>
      <c r="C299" s="9" t="s">
        <v>3965</v>
      </c>
      <c r="D299" s="137" t="s">
        <v>3966</v>
      </c>
      <c r="E299" s="102">
        <v>2020</v>
      </c>
      <c r="F299" s="102">
        <v>2020</v>
      </c>
      <c r="G299" s="132" t="s">
        <v>16</v>
      </c>
      <c r="H299" s="109">
        <v>200</v>
      </c>
      <c r="I299" s="109">
        <v>200</v>
      </c>
      <c r="J299" s="102"/>
      <c r="K299" s="111"/>
      <c r="L299" s="105">
        <v>20201118</v>
      </c>
    </row>
    <row r="300" s="246" customFormat="1" ht="16" customHeight="1" spans="1:12">
      <c r="A300" s="132">
        <v>298</v>
      </c>
      <c r="B300" s="102" t="s">
        <v>3381</v>
      </c>
      <c r="C300" s="9" t="s">
        <v>3967</v>
      </c>
      <c r="D300" s="137" t="s">
        <v>3968</v>
      </c>
      <c r="E300" s="102">
        <v>2020</v>
      </c>
      <c r="F300" s="102">
        <v>2020</v>
      </c>
      <c r="G300" s="132" t="s">
        <v>16</v>
      </c>
      <c r="H300" s="109">
        <v>200</v>
      </c>
      <c r="I300" s="109">
        <v>200</v>
      </c>
      <c r="J300" s="102"/>
      <c r="K300" s="111"/>
      <c r="L300" s="105">
        <v>20201118</v>
      </c>
    </row>
    <row r="301" s="246" customFormat="1" ht="16" customHeight="1" spans="1:12">
      <c r="A301" s="132">
        <v>299</v>
      </c>
      <c r="B301" s="102" t="s">
        <v>3381</v>
      </c>
      <c r="C301" s="9" t="s">
        <v>3969</v>
      </c>
      <c r="D301" s="137" t="s">
        <v>3970</v>
      </c>
      <c r="E301" s="102">
        <v>2020</v>
      </c>
      <c r="F301" s="102">
        <v>2020</v>
      </c>
      <c r="G301" s="132" t="s">
        <v>16</v>
      </c>
      <c r="H301" s="109">
        <v>200</v>
      </c>
      <c r="I301" s="109">
        <v>200</v>
      </c>
      <c r="J301" s="102"/>
      <c r="K301" s="111"/>
      <c r="L301" s="105">
        <v>20201118</v>
      </c>
    </row>
    <row r="302" s="246" customFormat="1" ht="16" customHeight="1" spans="1:12">
      <c r="A302" s="102">
        <v>300</v>
      </c>
      <c r="B302" s="102" t="s">
        <v>3381</v>
      </c>
      <c r="C302" s="9" t="s">
        <v>3971</v>
      </c>
      <c r="D302" s="137" t="s">
        <v>3972</v>
      </c>
      <c r="E302" s="102">
        <v>2020</v>
      </c>
      <c r="F302" s="102">
        <v>2020</v>
      </c>
      <c r="G302" s="132" t="s">
        <v>16</v>
      </c>
      <c r="H302" s="109">
        <v>200</v>
      </c>
      <c r="I302" s="109">
        <v>200</v>
      </c>
      <c r="J302" s="102"/>
      <c r="K302" s="111"/>
      <c r="L302" s="105">
        <v>20201118</v>
      </c>
    </row>
    <row r="303" s="246" customFormat="1" ht="16" customHeight="1" spans="1:12">
      <c r="A303" s="132">
        <v>301</v>
      </c>
      <c r="B303" s="102" t="s">
        <v>3381</v>
      </c>
      <c r="C303" s="9" t="s">
        <v>3973</v>
      </c>
      <c r="D303" s="137" t="s">
        <v>3974</v>
      </c>
      <c r="E303" s="102">
        <v>2020</v>
      </c>
      <c r="F303" s="102">
        <v>2020</v>
      </c>
      <c r="G303" s="132" t="s">
        <v>16</v>
      </c>
      <c r="H303" s="109">
        <v>200</v>
      </c>
      <c r="I303" s="109">
        <v>200</v>
      </c>
      <c r="J303" s="102"/>
      <c r="K303" s="111"/>
      <c r="L303" s="105">
        <v>20201118</v>
      </c>
    </row>
    <row r="304" s="246" customFormat="1" ht="16" customHeight="1" spans="1:12">
      <c r="A304" s="132">
        <v>302</v>
      </c>
      <c r="B304" s="102" t="s">
        <v>3381</v>
      </c>
      <c r="C304" s="9" t="s">
        <v>3975</v>
      </c>
      <c r="D304" s="137" t="s">
        <v>3976</v>
      </c>
      <c r="E304" s="102">
        <v>2020</v>
      </c>
      <c r="F304" s="102">
        <v>2020</v>
      </c>
      <c r="G304" s="132" t="s">
        <v>16</v>
      </c>
      <c r="H304" s="109">
        <v>3000</v>
      </c>
      <c r="I304" s="109">
        <v>3000</v>
      </c>
      <c r="J304" s="102"/>
      <c r="K304" s="111"/>
      <c r="L304" s="105">
        <v>20201118</v>
      </c>
    </row>
    <row r="305" s="246" customFormat="1" ht="16" customHeight="1" spans="1:12">
      <c r="A305" s="102">
        <v>303</v>
      </c>
      <c r="B305" s="102" t="s">
        <v>3381</v>
      </c>
      <c r="C305" s="9" t="s">
        <v>3977</v>
      </c>
      <c r="D305" s="137" t="s">
        <v>3978</v>
      </c>
      <c r="E305" s="102">
        <v>2020</v>
      </c>
      <c r="F305" s="102">
        <v>2020</v>
      </c>
      <c r="G305" s="132" t="s">
        <v>16</v>
      </c>
      <c r="H305" s="109">
        <v>500</v>
      </c>
      <c r="I305" s="109">
        <v>500</v>
      </c>
      <c r="J305" s="102"/>
      <c r="K305" s="111"/>
      <c r="L305" s="105">
        <v>20201118</v>
      </c>
    </row>
    <row r="306" s="246" customFormat="1" ht="16" customHeight="1" spans="1:12">
      <c r="A306" s="132">
        <v>304</v>
      </c>
      <c r="B306" s="102" t="s">
        <v>3381</v>
      </c>
      <c r="C306" s="9" t="s">
        <v>3979</v>
      </c>
      <c r="D306" s="137" t="s">
        <v>3980</v>
      </c>
      <c r="E306" s="102">
        <v>2020</v>
      </c>
      <c r="F306" s="102">
        <v>2020</v>
      </c>
      <c r="G306" s="132" t="s">
        <v>16</v>
      </c>
      <c r="H306" s="109">
        <v>200</v>
      </c>
      <c r="I306" s="109">
        <v>200</v>
      </c>
      <c r="J306" s="102"/>
      <c r="K306" s="111"/>
      <c r="L306" s="105">
        <v>20201118</v>
      </c>
    </row>
    <row r="307" s="246" customFormat="1" ht="16" customHeight="1" spans="1:12">
      <c r="A307" s="132">
        <v>305</v>
      </c>
      <c r="B307" s="102" t="s">
        <v>3381</v>
      </c>
      <c r="C307" s="9" t="s">
        <v>3981</v>
      </c>
      <c r="D307" s="137" t="s">
        <v>3982</v>
      </c>
      <c r="E307" s="102">
        <v>2020</v>
      </c>
      <c r="F307" s="102">
        <v>2020</v>
      </c>
      <c r="G307" s="132" t="s">
        <v>16</v>
      </c>
      <c r="H307" s="109">
        <v>200</v>
      </c>
      <c r="I307" s="109">
        <v>200</v>
      </c>
      <c r="J307" s="102"/>
      <c r="K307" s="111"/>
      <c r="L307" s="105">
        <v>20201118</v>
      </c>
    </row>
    <row r="308" s="246" customFormat="1" ht="16" customHeight="1" spans="1:12">
      <c r="A308" s="102">
        <v>306</v>
      </c>
      <c r="B308" s="102" t="s">
        <v>3381</v>
      </c>
      <c r="C308" s="9" t="s">
        <v>3983</v>
      </c>
      <c r="D308" s="137" t="s">
        <v>3984</v>
      </c>
      <c r="E308" s="102">
        <v>2020</v>
      </c>
      <c r="F308" s="102">
        <v>2020</v>
      </c>
      <c r="G308" s="132" t="s">
        <v>16</v>
      </c>
      <c r="H308" s="109">
        <v>200</v>
      </c>
      <c r="I308" s="109">
        <v>200</v>
      </c>
      <c r="J308" s="102"/>
      <c r="K308" s="111"/>
      <c r="L308" s="105">
        <v>20201118</v>
      </c>
    </row>
    <row r="309" s="246" customFormat="1" ht="16" customHeight="1" spans="1:12">
      <c r="A309" s="132">
        <v>307</v>
      </c>
      <c r="B309" s="102" t="s">
        <v>3381</v>
      </c>
      <c r="C309" s="9" t="s">
        <v>3985</v>
      </c>
      <c r="D309" s="137" t="s">
        <v>3986</v>
      </c>
      <c r="E309" s="102">
        <v>2020</v>
      </c>
      <c r="F309" s="102">
        <v>2020</v>
      </c>
      <c r="G309" s="132" t="s">
        <v>16</v>
      </c>
      <c r="H309" s="109">
        <v>200</v>
      </c>
      <c r="I309" s="109">
        <v>200</v>
      </c>
      <c r="J309" s="102"/>
      <c r="K309" s="111"/>
      <c r="L309" s="105">
        <v>20201118</v>
      </c>
    </row>
    <row r="310" s="246" customFormat="1" ht="16" customHeight="1" spans="1:12">
      <c r="A310" s="132">
        <v>308</v>
      </c>
      <c r="B310" s="102" t="s">
        <v>3381</v>
      </c>
      <c r="C310" s="9" t="s">
        <v>3987</v>
      </c>
      <c r="D310" s="137" t="s">
        <v>3988</v>
      </c>
      <c r="E310" s="102">
        <v>2020</v>
      </c>
      <c r="F310" s="102">
        <v>2020</v>
      </c>
      <c r="G310" s="132" t="s">
        <v>16</v>
      </c>
      <c r="H310" s="109">
        <v>200</v>
      </c>
      <c r="I310" s="109">
        <v>200</v>
      </c>
      <c r="J310" s="102"/>
      <c r="K310" s="111"/>
      <c r="L310" s="105">
        <v>20201118</v>
      </c>
    </row>
    <row r="311" s="246" customFormat="1" ht="16" customHeight="1" spans="1:12">
      <c r="A311" s="102">
        <v>309</v>
      </c>
      <c r="B311" s="102" t="s">
        <v>3381</v>
      </c>
      <c r="C311" s="9" t="s">
        <v>3989</v>
      </c>
      <c r="D311" s="137" t="s">
        <v>3990</v>
      </c>
      <c r="E311" s="102">
        <v>2020</v>
      </c>
      <c r="F311" s="102">
        <v>2020</v>
      </c>
      <c r="G311" s="132" t="s">
        <v>16</v>
      </c>
      <c r="H311" s="109">
        <v>200</v>
      </c>
      <c r="I311" s="109">
        <v>200</v>
      </c>
      <c r="J311" s="118" t="s">
        <v>1242</v>
      </c>
      <c r="K311" s="111"/>
      <c r="L311" s="105">
        <v>20201118</v>
      </c>
    </row>
    <row r="312" s="246" customFormat="1" ht="16" customHeight="1" spans="1:12">
      <c r="A312" s="132">
        <v>310</v>
      </c>
      <c r="B312" s="102" t="s">
        <v>3381</v>
      </c>
      <c r="C312" s="9" t="s">
        <v>3991</v>
      </c>
      <c r="D312" s="137" t="s">
        <v>3992</v>
      </c>
      <c r="E312" s="102">
        <v>2020</v>
      </c>
      <c r="F312" s="102">
        <v>2020</v>
      </c>
      <c r="G312" s="132" t="s">
        <v>16</v>
      </c>
      <c r="H312" s="109">
        <v>200</v>
      </c>
      <c r="I312" s="109">
        <v>200</v>
      </c>
      <c r="J312" s="102"/>
      <c r="K312" s="111"/>
      <c r="L312" s="105">
        <v>20201118</v>
      </c>
    </row>
    <row r="313" s="246" customFormat="1" ht="16" customHeight="1" spans="1:12">
      <c r="A313" s="132">
        <v>311</v>
      </c>
      <c r="B313" s="102" t="s">
        <v>3381</v>
      </c>
      <c r="C313" s="9" t="s">
        <v>2154</v>
      </c>
      <c r="D313" s="137" t="s">
        <v>3993</v>
      </c>
      <c r="E313" s="102">
        <v>2020</v>
      </c>
      <c r="F313" s="102">
        <v>2020</v>
      </c>
      <c r="G313" s="132" t="s">
        <v>16</v>
      </c>
      <c r="H313" s="109">
        <v>200</v>
      </c>
      <c r="I313" s="109">
        <v>200</v>
      </c>
      <c r="J313" s="102"/>
      <c r="K313" s="111"/>
      <c r="L313" s="105">
        <v>20201118</v>
      </c>
    </row>
    <row r="314" s="246" customFormat="1" ht="16" customHeight="1" spans="1:12">
      <c r="A314" s="102">
        <v>312</v>
      </c>
      <c r="B314" s="102" t="s">
        <v>3381</v>
      </c>
      <c r="C314" s="9" t="s">
        <v>3994</v>
      </c>
      <c r="D314" s="137" t="s">
        <v>3995</v>
      </c>
      <c r="E314" s="102">
        <v>2020</v>
      </c>
      <c r="F314" s="102">
        <v>2020</v>
      </c>
      <c r="G314" s="132" t="s">
        <v>16</v>
      </c>
      <c r="H314" s="109">
        <v>200</v>
      </c>
      <c r="I314" s="109">
        <v>200</v>
      </c>
      <c r="J314" s="102"/>
      <c r="K314" s="111"/>
      <c r="L314" s="105">
        <v>20201118</v>
      </c>
    </row>
    <row r="315" s="246" customFormat="1" ht="16" customHeight="1" spans="1:12">
      <c r="A315" s="132">
        <v>313</v>
      </c>
      <c r="B315" s="102" t="s">
        <v>3381</v>
      </c>
      <c r="C315" s="9" t="s">
        <v>3996</v>
      </c>
      <c r="D315" s="137" t="s">
        <v>3997</v>
      </c>
      <c r="E315" s="102">
        <v>2020</v>
      </c>
      <c r="F315" s="102">
        <v>2020</v>
      </c>
      <c r="G315" s="132" t="s">
        <v>16</v>
      </c>
      <c r="H315" s="109">
        <v>200</v>
      </c>
      <c r="I315" s="109">
        <v>200</v>
      </c>
      <c r="J315" s="102"/>
      <c r="K315" s="111"/>
      <c r="L315" s="105">
        <v>20201118</v>
      </c>
    </row>
    <row r="316" s="246" customFormat="1" ht="16" customHeight="1" spans="1:12">
      <c r="A316" s="132">
        <v>314</v>
      </c>
      <c r="B316" s="102" t="s">
        <v>3381</v>
      </c>
      <c r="C316" s="9" t="s">
        <v>3998</v>
      </c>
      <c r="D316" s="137" t="s">
        <v>3999</v>
      </c>
      <c r="E316" s="102">
        <v>2020</v>
      </c>
      <c r="F316" s="102">
        <v>2020</v>
      </c>
      <c r="G316" s="132" t="s">
        <v>16</v>
      </c>
      <c r="H316" s="109">
        <v>200</v>
      </c>
      <c r="I316" s="109">
        <v>200</v>
      </c>
      <c r="J316" s="102"/>
      <c r="K316" s="111"/>
      <c r="L316" s="105">
        <v>20201118</v>
      </c>
    </row>
    <row r="317" s="246" customFormat="1" ht="16" customHeight="1" spans="1:12">
      <c r="A317" s="102">
        <v>315</v>
      </c>
      <c r="B317" s="102" t="s">
        <v>3381</v>
      </c>
      <c r="C317" s="9" t="s">
        <v>4000</v>
      </c>
      <c r="D317" s="137" t="s">
        <v>4001</v>
      </c>
      <c r="E317" s="102">
        <v>2020</v>
      </c>
      <c r="F317" s="102">
        <v>2020</v>
      </c>
      <c r="G317" s="132" t="s">
        <v>16</v>
      </c>
      <c r="H317" s="109">
        <v>3000</v>
      </c>
      <c r="I317" s="109">
        <v>3000</v>
      </c>
      <c r="J317" s="102"/>
      <c r="K317" s="111"/>
      <c r="L317" s="105">
        <v>20201118</v>
      </c>
    </row>
    <row r="318" s="246" customFormat="1" ht="16" customHeight="1" spans="1:12">
      <c r="A318" s="132">
        <v>316</v>
      </c>
      <c r="B318" s="102" t="s">
        <v>3381</v>
      </c>
      <c r="C318" s="9" t="s">
        <v>4002</v>
      </c>
      <c r="D318" s="137" t="s">
        <v>4003</v>
      </c>
      <c r="E318" s="102">
        <v>2020</v>
      </c>
      <c r="F318" s="102">
        <v>2020</v>
      </c>
      <c r="G318" s="132" t="s">
        <v>16</v>
      </c>
      <c r="H318" s="109">
        <v>500</v>
      </c>
      <c r="I318" s="109">
        <v>500</v>
      </c>
      <c r="J318" s="102"/>
      <c r="K318" s="111"/>
      <c r="L318" s="105">
        <v>20201118</v>
      </c>
    </row>
    <row r="319" s="246" customFormat="1" ht="16" customHeight="1" spans="1:12">
      <c r="A319" s="132">
        <v>317</v>
      </c>
      <c r="B319" s="102" t="s">
        <v>3381</v>
      </c>
      <c r="C319" s="9" t="s">
        <v>4004</v>
      </c>
      <c r="D319" s="137" t="s">
        <v>4005</v>
      </c>
      <c r="E319" s="102">
        <v>2020</v>
      </c>
      <c r="F319" s="102">
        <v>2020</v>
      </c>
      <c r="G319" s="132" t="s">
        <v>16</v>
      </c>
      <c r="H319" s="109">
        <v>200</v>
      </c>
      <c r="I319" s="109">
        <v>200</v>
      </c>
      <c r="J319" s="102"/>
      <c r="K319" s="111"/>
      <c r="L319" s="105">
        <v>20201118</v>
      </c>
    </row>
    <row r="320" s="246" customFormat="1" ht="16" customHeight="1" spans="1:12">
      <c r="A320" s="102">
        <v>318</v>
      </c>
      <c r="B320" s="102" t="s">
        <v>3381</v>
      </c>
      <c r="C320" s="9" t="s">
        <v>4006</v>
      </c>
      <c r="D320" s="137" t="s">
        <v>4007</v>
      </c>
      <c r="E320" s="102">
        <v>2020</v>
      </c>
      <c r="F320" s="102">
        <v>2020</v>
      </c>
      <c r="G320" s="132" t="s">
        <v>16</v>
      </c>
      <c r="H320" s="109">
        <v>200</v>
      </c>
      <c r="I320" s="109">
        <v>200</v>
      </c>
      <c r="J320" s="102"/>
      <c r="K320" s="111"/>
      <c r="L320" s="105">
        <v>20201118</v>
      </c>
    </row>
    <row r="321" s="246" customFormat="1" ht="16" customHeight="1" spans="1:12">
      <c r="A321" s="132">
        <v>319</v>
      </c>
      <c r="B321" s="102" t="s">
        <v>3381</v>
      </c>
      <c r="C321" s="9" t="s">
        <v>4008</v>
      </c>
      <c r="D321" s="137" t="s">
        <v>4009</v>
      </c>
      <c r="E321" s="102">
        <v>2020</v>
      </c>
      <c r="F321" s="102">
        <v>2020</v>
      </c>
      <c r="G321" s="132" t="s">
        <v>16</v>
      </c>
      <c r="H321" s="109">
        <v>200</v>
      </c>
      <c r="I321" s="109">
        <v>200</v>
      </c>
      <c r="J321" s="102"/>
      <c r="K321" s="111"/>
      <c r="L321" s="105">
        <v>20201118</v>
      </c>
    </row>
    <row r="322" s="246" customFormat="1" ht="16" customHeight="1" spans="1:12">
      <c r="A322" s="132">
        <v>320</v>
      </c>
      <c r="B322" s="102" t="s">
        <v>3381</v>
      </c>
      <c r="C322" s="9" t="s">
        <v>4010</v>
      </c>
      <c r="D322" s="137" t="s">
        <v>4011</v>
      </c>
      <c r="E322" s="102">
        <v>2020</v>
      </c>
      <c r="F322" s="102">
        <v>2020</v>
      </c>
      <c r="G322" s="132" t="s">
        <v>16</v>
      </c>
      <c r="H322" s="109">
        <v>200</v>
      </c>
      <c r="I322" s="109">
        <v>200</v>
      </c>
      <c r="J322" s="102"/>
      <c r="K322" s="111"/>
      <c r="L322" s="105">
        <v>20201118</v>
      </c>
    </row>
    <row r="323" s="246" customFormat="1" ht="16" customHeight="1" spans="1:12">
      <c r="A323" s="102">
        <v>321</v>
      </c>
      <c r="B323" s="102" t="s">
        <v>3381</v>
      </c>
      <c r="C323" s="9" t="s">
        <v>4012</v>
      </c>
      <c r="D323" s="137" t="s">
        <v>4013</v>
      </c>
      <c r="E323" s="102">
        <v>2020</v>
      </c>
      <c r="F323" s="102">
        <v>2020</v>
      </c>
      <c r="G323" s="132" t="s">
        <v>16</v>
      </c>
      <c r="H323" s="109">
        <v>1000</v>
      </c>
      <c r="I323" s="109">
        <v>1000</v>
      </c>
      <c r="J323" s="102"/>
      <c r="K323" s="111"/>
      <c r="L323" s="105">
        <v>20201118</v>
      </c>
    </row>
    <row r="324" s="246" customFormat="1" ht="16" customHeight="1" spans="1:12">
      <c r="A324" s="132">
        <v>322</v>
      </c>
      <c r="B324" s="102" t="s">
        <v>3381</v>
      </c>
      <c r="C324" s="9" t="s">
        <v>4014</v>
      </c>
      <c r="D324" s="137" t="s">
        <v>4015</v>
      </c>
      <c r="E324" s="102">
        <v>2020</v>
      </c>
      <c r="F324" s="102">
        <v>2020</v>
      </c>
      <c r="G324" s="132" t="s">
        <v>16</v>
      </c>
      <c r="H324" s="109">
        <v>1000</v>
      </c>
      <c r="I324" s="109">
        <v>1000</v>
      </c>
      <c r="J324" s="102"/>
      <c r="K324" s="111"/>
      <c r="L324" s="105">
        <v>20201118</v>
      </c>
    </row>
    <row r="325" s="246" customFormat="1" ht="16" customHeight="1" spans="1:12">
      <c r="A325" s="132">
        <v>323</v>
      </c>
      <c r="B325" s="102" t="s">
        <v>3381</v>
      </c>
      <c r="C325" s="9" t="s">
        <v>4016</v>
      </c>
      <c r="D325" s="137" t="s">
        <v>4017</v>
      </c>
      <c r="E325" s="102">
        <v>2020</v>
      </c>
      <c r="F325" s="102">
        <v>2020</v>
      </c>
      <c r="G325" s="132" t="s">
        <v>16</v>
      </c>
      <c r="H325" s="109">
        <v>200</v>
      </c>
      <c r="I325" s="109">
        <v>200</v>
      </c>
      <c r="J325" s="102"/>
      <c r="K325" s="111"/>
      <c r="L325" s="105">
        <v>20201118</v>
      </c>
    </row>
    <row r="326" s="246" customFormat="1" ht="16" customHeight="1" spans="1:12">
      <c r="A326" s="102">
        <v>324</v>
      </c>
      <c r="B326" s="102" t="s">
        <v>3381</v>
      </c>
      <c r="C326" s="9" t="s">
        <v>4018</v>
      </c>
      <c r="D326" s="137" t="s">
        <v>4019</v>
      </c>
      <c r="E326" s="102">
        <v>2020</v>
      </c>
      <c r="F326" s="102">
        <v>2020</v>
      </c>
      <c r="G326" s="132" t="s">
        <v>16</v>
      </c>
      <c r="H326" s="109">
        <v>200</v>
      </c>
      <c r="I326" s="109">
        <v>200</v>
      </c>
      <c r="J326" s="102"/>
      <c r="K326" s="111"/>
      <c r="L326" s="105">
        <v>20201118</v>
      </c>
    </row>
    <row r="327" s="246" customFormat="1" ht="16" customHeight="1" spans="1:12">
      <c r="A327" s="132">
        <v>325</v>
      </c>
      <c r="B327" s="102" t="s">
        <v>3381</v>
      </c>
      <c r="C327" s="9" t="s">
        <v>4020</v>
      </c>
      <c r="D327" s="137" t="s">
        <v>4021</v>
      </c>
      <c r="E327" s="102">
        <v>2020</v>
      </c>
      <c r="F327" s="102">
        <v>2020</v>
      </c>
      <c r="G327" s="132" t="s">
        <v>16</v>
      </c>
      <c r="H327" s="109">
        <v>500</v>
      </c>
      <c r="I327" s="109">
        <v>500</v>
      </c>
      <c r="J327" s="102"/>
      <c r="K327" s="111"/>
      <c r="L327" s="105">
        <v>20201118</v>
      </c>
    </row>
    <row r="328" s="246" customFormat="1" ht="16" customHeight="1" spans="1:12">
      <c r="A328" s="132">
        <v>326</v>
      </c>
      <c r="B328" s="102" t="s">
        <v>3381</v>
      </c>
      <c r="C328" s="9" t="s">
        <v>4022</v>
      </c>
      <c r="D328" s="137" t="s">
        <v>4023</v>
      </c>
      <c r="E328" s="102">
        <v>2020</v>
      </c>
      <c r="F328" s="102">
        <v>2020</v>
      </c>
      <c r="G328" s="132" t="s">
        <v>16</v>
      </c>
      <c r="H328" s="109">
        <v>200</v>
      </c>
      <c r="I328" s="109">
        <v>200</v>
      </c>
      <c r="J328" s="102"/>
      <c r="K328" s="111"/>
      <c r="L328" s="105">
        <v>20201118</v>
      </c>
    </row>
    <row r="329" s="246" customFormat="1" ht="16" customHeight="1" spans="1:12">
      <c r="A329" s="102">
        <v>327</v>
      </c>
      <c r="B329" s="102" t="s">
        <v>3381</v>
      </c>
      <c r="C329" s="9" t="s">
        <v>4024</v>
      </c>
      <c r="D329" s="137" t="s">
        <v>4025</v>
      </c>
      <c r="E329" s="102">
        <v>2020</v>
      </c>
      <c r="F329" s="102">
        <v>2020</v>
      </c>
      <c r="G329" s="132" t="s">
        <v>16</v>
      </c>
      <c r="H329" s="109">
        <v>200</v>
      </c>
      <c r="I329" s="109">
        <v>200</v>
      </c>
      <c r="J329" s="102"/>
      <c r="K329" s="111"/>
      <c r="L329" s="105">
        <v>20201118</v>
      </c>
    </row>
    <row r="330" s="246" customFormat="1" ht="16" customHeight="1" spans="1:12">
      <c r="A330" s="132">
        <v>328</v>
      </c>
      <c r="B330" s="102" t="s">
        <v>3381</v>
      </c>
      <c r="C330" s="9" t="s">
        <v>4026</v>
      </c>
      <c r="D330" s="137" t="s">
        <v>4027</v>
      </c>
      <c r="E330" s="102">
        <v>2020</v>
      </c>
      <c r="F330" s="102">
        <v>2020</v>
      </c>
      <c r="G330" s="132" t="s">
        <v>16</v>
      </c>
      <c r="H330" s="109">
        <v>200</v>
      </c>
      <c r="I330" s="109">
        <v>200</v>
      </c>
      <c r="J330" s="102"/>
      <c r="K330" s="111"/>
      <c r="L330" s="105">
        <v>20201118</v>
      </c>
    </row>
    <row r="331" s="246" customFormat="1" ht="16" customHeight="1" spans="1:12">
      <c r="A331" s="132">
        <v>329</v>
      </c>
      <c r="B331" s="102" t="s">
        <v>3381</v>
      </c>
      <c r="C331" s="9" t="s">
        <v>4028</v>
      </c>
      <c r="D331" s="137" t="s">
        <v>4029</v>
      </c>
      <c r="E331" s="102">
        <v>2020</v>
      </c>
      <c r="F331" s="102">
        <v>2020</v>
      </c>
      <c r="G331" s="132" t="s">
        <v>16</v>
      </c>
      <c r="H331" s="109">
        <v>200</v>
      </c>
      <c r="I331" s="109">
        <v>200</v>
      </c>
      <c r="J331" s="102"/>
      <c r="K331" s="111"/>
      <c r="L331" s="105">
        <v>20201118</v>
      </c>
    </row>
    <row r="332" s="246" customFormat="1" ht="16" customHeight="1" spans="1:12">
      <c r="A332" s="102">
        <v>330</v>
      </c>
      <c r="B332" s="102" t="s">
        <v>3381</v>
      </c>
      <c r="C332" s="9" t="s">
        <v>4030</v>
      </c>
      <c r="D332" s="137" t="s">
        <v>4031</v>
      </c>
      <c r="E332" s="102">
        <v>2020</v>
      </c>
      <c r="F332" s="102">
        <v>2020</v>
      </c>
      <c r="G332" s="132" t="s">
        <v>16</v>
      </c>
      <c r="H332" s="109">
        <v>500</v>
      </c>
      <c r="I332" s="109">
        <v>500</v>
      </c>
      <c r="J332" s="102"/>
      <c r="K332" s="111"/>
      <c r="L332" s="105">
        <v>20201118</v>
      </c>
    </row>
    <row r="333" s="246" customFormat="1" ht="16" customHeight="1" spans="1:12">
      <c r="A333" s="132">
        <v>331</v>
      </c>
      <c r="B333" s="102" t="s">
        <v>3381</v>
      </c>
      <c r="C333" s="9" t="s">
        <v>4032</v>
      </c>
      <c r="D333" s="137" t="s">
        <v>4033</v>
      </c>
      <c r="E333" s="102">
        <v>2020</v>
      </c>
      <c r="F333" s="102">
        <v>2020</v>
      </c>
      <c r="G333" s="132" t="s">
        <v>16</v>
      </c>
      <c r="H333" s="109">
        <v>200</v>
      </c>
      <c r="I333" s="109">
        <v>200</v>
      </c>
      <c r="J333" s="102"/>
      <c r="K333" s="111"/>
      <c r="L333" s="105">
        <v>20201118</v>
      </c>
    </row>
    <row r="334" s="246" customFormat="1" ht="16" customHeight="1" spans="1:12">
      <c r="A334" s="132">
        <v>332</v>
      </c>
      <c r="B334" s="102" t="s">
        <v>3381</v>
      </c>
      <c r="C334" s="9" t="s">
        <v>4034</v>
      </c>
      <c r="D334" s="137" t="s">
        <v>4035</v>
      </c>
      <c r="E334" s="102">
        <v>2020</v>
      </c>
      <c r="F334" s="102">
        <v>2020</v>
      </c>
      <c r="G334" s="132" t="s">
        <v>16</v>
      </c>
      <c r="H334" s="109">
        <v>200</v>
      </c>
      <c r="I334" s="109">
        <v>200</v>
      </c>
      <c r="J334" s="102"/>
      <c r="K334" s="111"/>
      <c r="L334" s="105">
        <v>20201118</v>
      </c>
    </row>
    <row r="335" s="246" customFormat="1" ht="16" customHeight="1" spans="1:12">
      <c r="A335" s="102">
        <v>333</v>
      </c>
      <c r="B335" s="102" t="s">
        <v>3381</v>
      </c>
      <c r="C335" s="9" t="s">
        <v>4036</v>
      </c>
      <c r="D335" s="137" t="s">
        <v>4037</v>
      </c>
      <c r="E335" s="102">
        <v>2020</v>
      </c>
      <c r="F335" s="102">
        <v>2020</v>
      </c>
      <c r="G335" s="132" t="s">
        <v>16</v>
      </c>
      <c r="H335" s="109">
        <v>200</v>
      </c>
      <c r="I335" s="109">
        <v>200</v>
      </c>
      <c r="J335" s="102"/>
      <c r="K335" s="111"/>
      <c r="L335" s="105">
        <v>20201118</v>
      </c>
    </row>
    <row r="336" s="246" customFormat="1" ht="16" customHeight="1" spans="1:12">
      <c r="A336" s="132">
        <v>334</v>
      </c>
      <c r="B336" s="102" t="s">
        <v>3381</v>
      </c>
      <c r="C336" s="9" t="s">
        <v>4038</v>
      </c>
      <c r="D336" s="137" t="s">
        <v>4039</v>
      </c>
      <c r="E336" s="102">
        <v>2020</v>
      </c>
      <c r="F336" s="102">
        <v>2020</v>
      </c>
      <c r="G336" s="132" t="s">
        <v>16</v>
      </c>
      <c r="H336" s="109">
        <v>200</v>
      </c>
      <c r="I336" s="109">
        <v>200</v>
      </c>
      <c r="J336" s="102"/>
      <c r="K336" s="111"/>
      <c r="L336" s="105">
        <v>20201118</v>
      </c>
    </row>
    <row r="337" s="246" customFormat="1" ht="16" customHeight="1" spans="1:12">
      <c r="A337" s="132">
        <v>335</v>
      </c>
      <c r="B337" s="102" t="s">
        <v>3381</v>
      </c>
      <c r="C337" s="9" t="s">
        <v>4040</v>
      </c>
      <c r="D337" s="137" t="s">
        <v>4041</v>
      </c>
      <c r="E337" s="102">
        <v>2020</v>
      </c>
      <c r="F337" s="102">
        <v>2020</v>
      </c>
      <c r="G337" s="132" t="s">
        <v>16</v>
      </c>
      <c r="H337" s="109">
        <v>200</v>
      </c>
      <c r="I337" s="109">
        <v>200</v>
      </c>
      <c r="J337" s="102"/>
      <c r="K337" s="111"/>
      <c r="L337" s="105">
        <v>20201118</v>
      </c>
    </row>
    <row r="338" s="246" customFormat="1" ht="16" customHeight="1" spans="1:12">
      <c r="A338" s="102">
        <v>336</v>
      </c>
      <c r="B338" s="102" t="s">
        <v>3381</v>
      </c>
      <c r="C338" s="9" t="s">
        <v>4042</v>
      </c>
      <c r="D338" s="137" t="s">
        <v>4043</v>
      </c>
      <c r="E338" s="102">
        <v>2020</v>
      </c>
      <c r="F338" s="102">
        <v>2020</v>
      </c>
      <c r="G338" s="132" t="s">
        <v>16</v>
      </c>
      <c r="H338" s="109">
        <v>200</v>
      </c>
      <c r="I338" s="109">
        <v>200</v>
      </c>
      <c r="J338" s="102"/>
      <c r="K338" s="111"/>
      <c r="L338" s="105">
        <v>20201118</v>
      </c>
    </row>
    <row r="339" s="246" customFormat="1" ht="16" customHeight="1" spans="1:12">
      <c r="A339" s="132">
        <v>337</v>
      </c>
      <c r="B339" s="102" t="s">
        <v>3381</v>
      </c>
      <c r="C339" s="9" t="s">
        <v>4044</v>
      </c>
      <c r="D339" s="137" t="s">
        <v>4045</v>
      </c>
      <c r="E339" s="102">
        <v>2020</v>
      </c>
      <c r="F339" s="102">
        <v>2020</v>
      </c>
      <c r="G339" s="132" t="s">
        <v>16</v>
      </c>
      <c r="H339" s="109">
        <v>200</v>
      </c>
      <c r="I339" s="109">
        <v>200</v>
      </c>
      <c r="J339" s="102"/>
      <c r="K339" s="111"/>
      <c r="L339" s="105">
        <v>20201118</v>
      </c>
    </row>
    <row r="340" s="246" customFormat="1" ht="16" customHeight="1" spans="1:12">
      <c r="A340" s="132">
        <v>338</v>
      </c>
      <c r="B340" s="102" t="s">
        <v>3381</v>
      </c>
      <c r="C340" s="9" t="s">
        <v>4046</v>
      </c>
      <c r="D340" s="137" t="s">
        <v>4047</v>
      </c>
      <c r="E340" s="102">
        <v>2020</v>
      </c>
      <c r="F340" s="102">
        <v>2020</v>
      </c>
      <c r="G340" s="132" t="s">
        <v>16</v>
      </c>
      <c r="H340" s="109">
        <v>200</v>
      </c>
      <c r="I340" s="109">
        <v>200</v>
      </c>
      <c r="J340" s="102"/>
      <c r="K340" s="111"/>
      <c r="L340" s="105">
        <v>20201118</v>
      </c>
    </row>
    <row r="341" s="246" customFormat="1" ht="16" customHeight="1" spans="1:12">
      <c r="A341" s="102">
        <v>339</v>
      </c>
      <c r="B341" s="102" t="s">
        <v>3381</v>
      </c>
      <c r="C341" s="9" t="s">
        <v>4048</v>
      </c>
      <c r="D341" s="137" t="s">
        <v>4049</v>
      </c>
      <c r="E341" s="102">
        <v>2020</v>
      </c>
      <c r="F341" s="102">
        <v>2020</v>
      </c>
      <c r="G341" s="132" t="s">
        <v>16</v>
      </c>
      <c r="H341" s="109">
        <v>200</v>
      </c>
      <c r="I341" s="109">
        <v>200</v>
      </c>
      <c r="J341" s="102"/>
      <c r="K341" s="111"/>
      <c r="L341" s="105">
        <v>20201118</v>
      </c>
    </row>
    <row r="342" s="246" customFormat="1" ht="16" customHeight="1" spans="1:12">
      <c r="A342" s="132">
        <v>340</v>
      </c>
      <c r="B342" s="102" t="s">
        <v>3381</v>
      </c>
      <c r="C342" s="9" t="s">
        <v>4050</v>
      </c>
      <c r="D342" s="137" t="s">
        <v>4051</v>
      </c>
      <c r="E342" s="102">
        <v>2020</v>
      </c>
      <c r="F342" s="102">
        <v>2020</v>
      </c>
      <c r="G342" s="132" t="s">
        <v>16</v>
      </c>
      <c r="H342" s="109">
        <v>200</v>
      </c>
      <c r="I342" s="109">
        <v>200</v>
      </c>
      <c r="J342" s="102"/>
      <c r="K342" s="111"/>
      <c r="L342" s="105">
        <v>20201118</v>
      </c>
    </row>
    <row r="343" s="246" customFormat="1" ht="16" customHeight="1" spans="1:12">
      <c r="A343" s="132">
        <v>341</v>
      </c>
      <c r="B343" s="102" t="s">
        <v>3381</v>
      </c>
      <c r="C343" s="9" t="s">
        <v>4052</v>
      </c>
      <c r="D343" s="137" t="s">
        <v>4053</v>
      </c>
      <c r="E343" s="102">
        <v>2020</v>
      </c>
      <c r="F343" s="102">
        <v>2020</v>
      </c>
      <c r="G343" s="132" t="s">
        <v>16</v>
      </c>
      <c r="H343" s="109">
        <v>200</v>
      </c>
      <c r="I343" s="109">
        <v>200</v>
      </c>
      <c r="J343" s="102"/>
      <c r="K343" s="111"/>
      <c r="L343" s="105">
        <v>20201118</v>
      </c>
    </row>
    <row r="344" s="246" customFormat="1" ht="16" customHeight="1" spans="1:12">
      <c r="A344" s="102">
        <v>342</v>
      </c>
      <c r="B344" s="102" t="s">
        <v>3381</v>
      </c>
      <c r="C344" s="9" t="s">
        <v>4054</v>
      </c>
      <c r="D344" s="137" t="s">
        <v>4055</v>
      </c>
      <c r="E344" s="102">
        <v>2020</v>
      </c>
      <c r="F344" s="102">
        <v>2020</v>
      </c>
      <c r="G344" s="132" t="s">
        <v>16</v>
      </c>
      <c r="H344" s="109">
        <v>200</v>
      </c>
      <c r="I344" s="109">
        <v>200</v>
      </c>
      <c r="J344" s="102"/>
      <c r="K344" s="111"/>
      <c r="L344" s="105">
        <v>20201118</v>
      </c>
    </row>
    <row r="345" s="246" customFormat="1" ht="16" customHeight="1" spans="1:12">
      <c r="A345" s="132">
        <v>343</v>
      </c>
      <c r="B345" s="102" t="s">
        <v>3381</v>
      </c>
      <c r="C345" s="9" t="s">
        <v>4056</v>
      </c>
      <c r="D345" s="137" t="s">
        <v>4057</v>
      </c>
      <c r="E345" s="102">
        <v>2020</v>
      </c>
      <c r="F345" s="102">
        <v>2020</v>
      </c>
      <c r="G345" s="132" t="s">
        <v>16</v>
      </c>
      <c r="H345" s="109">
        <v>200</v>
      </c>
      <c r="I345" s="109">
        <v>200</v>
      </c>
      <c r="J345" s="102"/>
      <c r="K345" s="111"/>
      <c r="L345" s="105">
        <v>20201118</v>
      </c>
    </row>
    <row r="346" s="246" customFormat="1" ht="16" customHeight="1" spans="1:12">
      <c r="A346" s="132">
        <v>344</v>
      </c>
      <c r="B346" s="102" t="s">
        <v>3381</v>
      </c>
      <c r="C346" s="9" t="s">
        <v>4058</v>
      </c>
      <c r="D346" s="137" t="s">
        <v>4059</v>
      </c>
      <c r="E346" s="102">
        <v>2020</v>
      </c>
      <c r="F346" s="102">
        <v>2020</v>
      </c>
      <c r="G346" s="132" t="s">
        <v>16</v>
      </c>
      <c r="H346" s="109">
        <v>200</v>
      </c>
      <c r="I346" s="109">
        <v>200</v>
      </c>
      <c r="J346" s="102"/>
      <c r="K346" s="111"/>
      <c r="L346" s="105">
        <v>20201118</v>
      </c>
    </row>
    <row r="347" s="246" customFormat="1" ht="16" customHeight="1" spans="1:12">
      <c r="A347" s="102">
        <v>345</v>
      </c>
      <c r="B347" s="102" t="s">
        <v>3381</v>
      </c>
      <c r="C347" s="9" t="s">
        <v>4060</v>
      </c>
      <c r="D347" s="137" t="s">
        <v>4061</v>
      </c>
      <c r="E347" s="102">
        <v>2020</v>
      </c>
      <c r="F347" s="102">
        <v>2020</v>
      </c>
      <c r="G347" s="132" t="s">
        <v>16</v>
      </c>
      <c r="H347" s="109">
        <v>300</v>
      </c>
      <c r="I347" s="109">
        <v>300</v>
      </c>
      <c r="J347" s="102"/>
      <c r="K347" s="111"/>
      <c r="L347" s="105">
        <v>20201118</v>
      </c>
    </row>
    <row r="348" s="246" customFormat="1" ht="16" customHeight="1" spans="1:12">
      <c r="A348" s="132">
        <v>346</v>
      </c>
      <c r="B348" s="102" t="s">
        <v>3381</v>
      </c>
      <c r="C348" s="77" t="s">
        <v>4062</v>
      </c>
      <c r="D348" s="248" t="s">
        <v>4063</v>
      </c>
      <c r="E348" s="102">
        <v>2020</v>
      </c>
      <c r="F348" s="102">
        <v>2020</v>
      </c>
      <c r="G348" s="132" t="s">
        <v>16</v>
      </c>
      <c r="H348" s="129">
        <v>200</v>
      </c>
      <c r="I348" s="129">
        <v>200</v>
      </c>
      <c r="J348" s="249" t="s">
        <v>4064</v>
      </c>
      <c r="K348" s="111"/>
      <c r="L348" s="105">
        <v>20201118</v>
      </c>
    </row>
    <row r="349" s="246" customFormat="1" ht="16" customHeight="1" spans="1:12">
      <c r="A349" s="132">
        <v>347</v>
      </c>
      <c r="B349" s="102" t="s">
        <v>3381</v>
      </c>
      <c r="C349" s="77" t="s">
        <v>4065</v>
      </c>
      <c r="D349" s="286" t="s">
        <v>4066</v>
      </c>
      <c r="E349" s="102">
        <v>2020</v>
      </c>
      <c r="F349" s="102">
        <v>2020</v>
      </c>
      <c r="G349" s="132" t="s">
        <v>16</v>
      </c>
      <c r="H349" s="129">
        <v>200</v>
      </c>
      <c r="I349" s="129">
        <v>200</v>
      </c>
      <c r="J349" s="249" t="s">
        <v>4064</v>
      </c>
      <c r="K349" s="111"/>
      <c r="L349" s="105">
        <v>20201118</v>
      </c>
    </row>
    <row r="350" s="246" customFormat="1" ht="16" customHeight="1" spans="1:12">
      <c r="A350" s="102">
        <v>348</v>
      </c>
      <c r="B350" s="102" t="s">
        <v>3381</v>
      </c>
      <c r="C350" s="77" t="s">
        <v>4067</v>
      </c>
      <c r="D350" s="286" t="s">
        <v>4068</v>
      </c>
      <c r="E350" s="102">
        <v>2020</v>
      </c>
      <c r="F350" s="102">
        <v>2020</v>
      </c>
      <c r="G350" s="132" t="s">
        <v>16</v>
      </c>
      <c r="H350" s="129">
        <v>200</v>
      </c>
      <c r="I350" s="129">
        <v>200</v>
      </c>
      <c r="J350" s="249" t="s">
        <v>4064</v>
      </c>
      <c r="K350" s="111"/>
      <c r="L350" s="105">
        <v>20201118</v>
      </c>
    </row>
    <row r="351" s="246" customFormat="1" ht="16" customHeight="1" spans="1:12">
      <c r="A351" s="132">
        <v>349</v>
      </c>
      <c r="B351" s="102" t="s">
        <v>3381</v>
      </c>
      <c r="C351" s="77" t="s">
        <v>4069</v>
      </c>
      <c r="D351" s="286" t="s">
        <v>4070</v>
      </c>
      <c r="E351" s="102">
        <v>2020</v>
      </c>
      <c r="F351" s="102">
        <v>2020</v>
      </c>
      <c r="G351" s="132" t="s">
        <v>16</v>
      </c>
      <c r="H351" s="129">
        <v>200</v>
      </c>
      <c r="I351" s="129">
        <v>200</v>
      </c>
      <c r="J351" s="249" t="s">
        <v>4064</v>
      </c>
      <c r="K351" s="111"/>
      <c r="L351" s="105">
        <v>20201118</v>
      </c>
    </row>
    <row r="352" s="246" customFormat="1" ht="16" customHeight="1" spans="1:12">
      <c r="A352" s="132">
        <v>350</v>
      </c>
      <c r="B352" s="102" t="s">
        <v>3381</v>
      </c>
      <c r="C352" s="77" t="s">
        <v>4071</v>
      </c>
      <c r="D352" s="286" t="s">
        <v>4072</v>
      </c>
      <c r="E352" s="102">
        <v>2020</v>
      </c>
      <c r="F352" s="102">
        <v>2020</v>
      </c>
      <c r="G352" s="132" t="s">
        <v>16</v>
      </c>
      <c r="H352" s="129">
        <v>200</v>
      </c>
      <c r="I352" s="129">
        <v>200</v>
      </c>
      <c r="J352" s="249" t="s">
        <v>4064</v>
      </c>
      <c r="K352" s="111"/>
      <c r="L352" s="105">
        <v>20201118</v>
      </c>
    </row>
    <row r="353" s="246" customFormat="1" ht="16" customHeight="1" spans="1:12">
      <c r="A353" s="102">
        <v>351</v>
      </c>
      <c r="B353" s="102" t="s">
        <v>3381</v>
      </c>
      <c r="C353" s="77" t="s">
        <v>4073</v>
      </c>
      <c r="D353" s="286" t="s">
        <v>4074</v>
      </c>
      <c r="E353" s="102">
        <v>2020</v>
      </c>
      <c r="F353" s="102">
        <v>2020</v>
      </c>
      <c r="G353" s="132" t="s">
        <v>16</v>
      </c>
      <c r="H353" s="129">
        <v>200</v>
      </c>
      <c r="I353" s="129">
        <v>200</v>
      </c>
      <c r="J353" s="249" t="s">
        <v>4064</v>
      </c>
      <c r="K353" s="111"/>
      <c r="L353" s="105">
        <v>20201118</v>
      </c>
    </row>
    <row r="354" s="246" customFormat="1" ht="16" customHeight="1" spans="1:12">
      <c r="A354" s="132">
        <v>352</v>
      </c>
      <c r="B354" s="102" t="s">
        <v>3381</v>
      </c>
      <c r="C354" s="77" t="s">
        <v>4075</v>
      </c>
      <c r="D354" s="286" t="s">
        <v>4076</v>
      </c>
      <c r="E354" s="102">
        <v>2020</v>
      </c>
      <c r="F354" s="102">
        <v>2020</v>
      </c>
      <c r="G354" s="132" t="s">
        <v>16</v>
      </c>
      <c r="H354" s="129">
        <v>200</v>
      </c>
      <c r="I354" s="129">
        <v>200</v>
      </c>
      <c r="J354" s="249" t="s">
        <v>4064</v>
      </c>
      <c r="K354" s="111"/>
      <c r="L354" s="105">
        <v>20201118</v>
      </c>
    </row>
    <row r="355" s="246" customFormat="1" ht="16" customHeight="1" spans="1:12">
      <c r="A355" s="132">
        <v>353</v>
      </c>
      <c r="B355" s="102" t="s">
        <v>3381</v>
      </c>
      <c r="C355" s="77" t="s">
        <v>4077</v>
      </c>
      <c r="D355" s="286" t="s">
        <v>4078</v>
      </c>
      <c r="E355" s="102">
        <v>2020</v>
      </c>
      <c r="F355" s="102">
        <v>2020</v>
      </c>
      <c r="G355" s="132" t="s">
        <v>16</v>
      </c>
      <c r="H355" s="129">
        <v>200</v>
      </c>
      <c r="I355" s="129">
        <v>200</v>
      </c>
      <c r="J355" s="249" t="s">
        <v>4064</v>
      </c>
      <c r="K355" s="111"/>
      <c r="L355" s="105">
        <v>20201118</v>
      </c>
    </row>
    <row r="356" s="246" customFormat="1" ht="16" customHeight="1" spans="1:12">
      <c r="A356" s="102">
        <v>354</v>
      </c>
      <c r="B356" s="102" t="s">
        <v>3381</v>
      </c>
      <c r="C356" s="77" t="s">
        <v>4079</v>
      </c>
      <c r="D356" s="286" t="s">
        <v>4080</v>
      </c>
      <c r="E356" s="102">
        <v>2020</v>
      </c>
      <c r="F356" s="102">
        <v>2020</v>
      </c>
      <c r="G356" s="132" t="s">
        <v>16</v>
      </c>
      <c r="H356" s="129">
        <v>200</v>
      </c>
      <c r="I356" s="129">
        <v>200</v>
      </c>
      <c r="J356" s="249" t="s">
        <v>4064</v>
      </c>
      <c r="K356" s="111"/>
      <c r="L356" s="105">
        <v>20201118</v>
      </c>
    </row>
    <row r="357" s="246" customFormat="1" ht="16" customHeight="1" spans="1:12">
      <c r="A357" s="132">
        <v>355</v>
      </c>
      <c r="B357" s="102" t="s">
        <v>3381</v>
      </c>
      <c r="C357" s="77" t="s">
        <v>4081</v>
      </c>
      <c r="D357" s="286" t="s">
        <v>4082</v>
      </c>
      <c r="E357" s="102">
        <v>2020</v>
      </c>
      <c r="F357" s="102">
        <v>2020</v>
      </c>
      <c r="G357" s="132" t="s">
        <v>16</v>
      </c>
      <c r="H357" s="129">
        <v>200</v>
      </c>
      <c r="I357" s="129">
        <v>200</v>
      </c>
      <c r="J357" s="249" t="s">
        <v>4064</v>
      </c>
      <c r="K357" s="111"/>
      <c r="L357" s="105">
        <v>20201118</v>
      </c>
    </row>
    <row r="358" s="246" customFormat="1" ht="16" customHeight="1" spans="1:12">
      <c r="A358" s="132">
        <v>356</v>
      </c>
      <c r="B358" s="102" t="s">
        <v>3381</v>
      </c>
      <c r="C358" s="77" t="s">
        <v>4083</v>
      </c>
      <c r="D358" s="286" t="s">
        <v>4084</v>
      </c>
      <c r="E358" s="102">
        <v>2020</v>
      </c>
      <c r="F358" s="102">
        <v>2020</v>
      </c>
      <c r="G358" s="132" t="s">
        <v>16</v>
      </c>
      <c r="H358" s="129">
        <v>200</v>
      </c>
      <c r="I358" s="129">
        <v>200</v>
      </c>
      <c r="J358" s="249" t="s">
        <v>4064</v>
      </c>
      <c r="K358" s="111"/>
      <c r="L358" s="105">
        <v>20201118</v>
      </c>
    </row>
    <row r="359" s="246" customFormat="1" ht="16" customHeight="1" spans="1:12">
      <c r="A359" s="102">
        <v>357</v>
      </c>
      <c r="B359" s="102" t="s">
        <v>3381</v>
      </c>
      <c r="C359" s="77" t="s">
        <v>4085</v>
      </c>
      <c r="D359" s="286" t="s">
        <v>4086</v>
      </c>
      <c r="E359" s="102">
        <v>2020</v>
      </c>
      <c r="F359" s="102">
        <v>2020</v>
      </c>
      <c r="G359" s="132" t="s">
        <v>16</v>
      </c>
      <c r="H359" s="129">
        <v>200</v>
      </c>
      <c r="I359" s="129">
        <v>200</v>
      </c>
      <c r="J359" s="249" t="s">
        <v>4064</v>
      </c>
      <c r="K359" s="111"/>
      <c r="L359" s="105">
        <v>20201118</v>
      </c>
    </row>
    <row r="360" s="246" customFormat="1" ht="16" customHeight="1" spans="1:12">
      <c r="A360" s="132">
        <v>358</v>
      </c>
      <c r="B360" s="102" t="s">
        <v>3381</v>
      </c>
      <c r="C360" s="77" t="s">
        <v>4087</v>
      </c>
      <c r="D360" s="286" t="s">
        <v>4088</v>
      </c>
      <c r="E360" s="102">
        <v>2020</v>
      </c>
      <c r="F360" s="102">
        <v>2020</v>
      </c>
      <c r="G360" s="132" t="s">
        <v>16</v>
      </c>
      <c r="H360" s="129">
        <v>200</v>
      </c>
      <c r="I360" s="129">
        <v>200</v>
      </c>
      <c r="J360" s="249" t="s">
        <v>4064</v>
      </c>
      <c r="K360" s="111"/>
      <c r="L360" s="105">
        <v>20201118</v>
      </c>
    </row>
    <row r="361" s="246" customFormat="1" ht="16" customHeight="1" spans="1:12">
      <c r="A361" s="132">
        <v>359</v>
      </c>
      <c r="B361" s="102" t="s">
        <v>3381</v>
      </c>
      <c r="C361" s="9" t="s">
        <v>4089</v>
      </c>
      <c r="D361" s="9" t="s">
        <v>4090</v>
      </c>
      <c r="E361" s="102">
        <v>2014</v>
      </c>
      <c r="F361" s="102">
        <v>2020</v>
      </c>
      <c r="G361" s="106" t="s">
        <v>289</v>
      </c>
      <c r="H361" s="129">
        <v>200</v>
      </c>
      <c r="I361" s="6">
        <v>1400</v>
      </c>
      <c r="J361" s="102"/>
      <c r="K361" s="111"/>
      <c r="L361" s="105">
        <v>20201118</v>
      </c>
    </row>
    <row r="362" s="246" customFormat="1" ht="16" customHeight="1" spans="1:12">
      <c r="A362" s="102">
        <v>360</v>
      </c>
      <c r="B362" s="102" t="s">
        <v>3381</v>
      </c>
      <c r="C362" s="9" t="s">
        <v>4091</v>
      </c>
      <c r="D362" s="287" t="s">
        <v>4092</v>
      </c>
      <c r="E362" s="102">
        <v>2015</v>
      </c>
      <c r="F362" s="102">
        <v>2020</v>
      </c>
      <c r="G362" s="106" t="s">
        <v>289</v>
      </c>
      <c r="H362" s="129">
        <v>200</v>
      </c>
      <c r="I362" s="6">
        <v>1200</v>
      </c>
      <c r="J362" s="102"/>
      <c r="K362" s="111"/>
      <c r="L362" s="105">
        <v>20201118</v>
      </c>
    </row>
    <row r="363" s="246" customFormat="1" ht="16" customHeight="1" spans="1:12">
      <c r="A363" s="132">
        <v>361</v>
      </c>
      <c r="B363" s="102" t="s">
        <v>3381</v>
      </c>
      <c r="C363" s="9" t="s">
        <v>4093</v>
      </c>
      <c r="D363" s="287" t="s">
        <v>4094</v>
      </c>
      <c r="E363" s="102">
        <v>2011</v>
      </c>
      <c r="F363" s="102">
        <v>2020</v>
      </c>
      <c r="G363" s="106" t="s">
        <v>289</v>
      </c>
      <c r="H363" s="129">
        <v>200</v>
      </c>
      <c r="I363" s="6">
        <v>2000</v>
      </c>
      <c r="J363" s="102"/>
      <c r="K363" s="111"/>
      <c r="L363" s="105">
        <v>20201118</v>
      </c>
    </row>
    <row r="364" s="246" customFormat="1" ht="16" customHeight="1" spans="1:12">
      <c r="A364" s="132">
        <v>362</v>
      </c>
      <c r="B364" s="102" t="s">
        <v>3381</v>
      </c>
      <c r="C364" s="9" t="s">
        <v>4095</v>
      </c>
      <c r="D364" s="287" t="s">
        <v>4096</v>
      </c>
      <c r="E364" s="102">
        <v>2011</v>
      </c>
      <c r="F364" s="102">
        <v>2020</v>
      </c>
      <c r="G364" s="106" t="s">
        <v>289</v>
      </c>
      <c r="H364" s="129">
        <v>200</v>
      </c>
      <c r="I364" s="6">
        <v>2000</v>
      </c>
      <c r="J364" s="102"/>
      <c r="K364" s="111"/>
      <c r="L364" s="105">
        <v>20201118</v>
      </c>
    </row>
    <row r="365" s="246" customFormat="1" ht="16" customHeight="1" spans="1:12">
      <c r="A365" s="102">
        <v>363</v>
      </c>
      <c r="B365" s="102" t="s">
        <v>3381</v>
      </c>
      <c r="C365" s="9" t="s">
        <v>4097</v>
      </c>
      <c r="D365" s="287" t="s">
        <v>4098</v>
      </c>
      <c r="E365" s="102">
        <v>2012</v>
      </c>
      <c r="F365" s="102">
        <v>2020</v>
      </c>
      <c r="G365" s="106" t="s">
        <v>289</v>
      </c>
      <c r="H365" s="129">
        <v>200</v>
      </c>
      <c r="I365" s="6">
        <v>1800</v>
      </c>
      <c r="J365" s="102"/>
      <c r="K365" s="111"/>
      <c r="L365" s="105">
        <v>20201118</v>
      </c>
    </row>
    <row r="366" s="246" customFormat="1" ht="16" customHeight="1" spans="1:12">
      <c r="A366" s="132">
        <v>364</v>
      </c>
      <c r="B366" s="102" t="s">
        <v>3381</v>
      </c>
      <c r="C366" s="9" t="s">
        <v>4099</v>
      </c>
      <c r="D366" s="9" t="s">
        <v>4100</v>
      </c>
      <c r="E366" s="102">
        <v>2012</v>
      </c>
      <c r="F366" s="102">
        <v>2020</v>
      </c>
      <c r="G366" s="106" t="s">
        <v>289</v>
      </c>
      <c r="H366" s="129">
        <v>200</v>
      </c>
      <c r="I366" s="6">
        <v>1800</v>
      </c>
      <c r="J366" s="102" t="s">
        <v>108</v>
      </c>
      <c r="K366" s="111"/>
      <c r="L366" s="105">
        <v>20201118</v>
      </c>
    </row>
    <row r="367" s="246" customFormat="1" ht="16" customHeight="1" spans="1:12">
      <c r="A367" s="132">
        <v>365</v>
      </c>
      <c r="B367" s="102" t="s">
        <v>3381</v>
      </c>
      <c r="C367" s="9" t="s">
        <v>4101</v>
      </c>
      <c r="D367" s="287" t="s">
        <v>4102</v>
      </c>
      <c r="E367" s="102">
        <v>2011</v>
      </c>
      <c r="F367" s="102">
        <v>2020</v>
      </c>
      <c r="G367" s="106" t="s">
        <v>289</v>
      </c>
      <c r="H367" s="129">
        <v>200</v>
      </c>
      <c r="I367" s="6">
        <v>2000</v>
      </c>
      <c r="J367" s="102"/>
      <c r="K367" s="111"/>
      <c r="L367" s="105">
        <v>20201118</v>
      </c>
    </row>
    <row r="368" s="246" customFormat="1" ht="16" customHeight="1" spans="1:12">
      <c r="A368" s="102">
        <v>366</v>
      </c>
      <c r="B368" s="102" t="s">
        <v>3381</v>
      </c>
      <c r="C368" s="9" t="s">
        <v>4103</v>
      </c>
      <c r="D368" s="9" t="s">
        <v>4104</v>
      </c>
      <c r="E368" s="102">
        <v>2011</v>
      </c>
      <c r="F368" s="102">
        <v>2020</v>
      </c>
      <c r="G368" s="106" t="s">
        <v>289</v>
      </c>
      <c r="H368" s="129">
        <v>200</v>
      </c>
      <c r="I368" s="6">
        <v>2000</v>
      </c>
      <c r="J368" s="102"/>
      <c r="K368" s="111"/>
      <c r="L368" s="105">
        <v>20201118</v>
      </c>
    </row>
    <row r="369" s="246" customFormat="1" ht="16" customHeight="1" spans="1:12">
      <c r="A369" s="132">
        <v>367</v>
      </c>
      <c r="B369" s="102" t="s">
        <v>3381</v>
      </c>
      <c r="C369" s="9" t="s">
        <v>4105</v>
      </c>
      <c r="D369" s="9" t="s">
        <v>4106</v>
      </c>
      <c r="E369" s="102">
        <v>2011</v>
      </c>
      <c r="F369" s="102">
        <v>2020</v>
      </c>
      <c r="G369" s="106" t="s">
        <v>289</v>
      </c>
      <c r="H369" s="129">
        <v>200</v>
      </c>
      <c r="I369" s="6">
        <v>2000</v>
      </c>
      <c r="J369" s="102"/>
      <c r="K369" s="111"/>
      <c r="L369" s="105">
        <v>20201118</v>
      </c>
    </row>
    <row r="370" s="246" customFormat="1" ht="16" customHeight="1" spans="1:12">
      <c r="A370" s="132">
        <v>368</v>
      </c>
      <c r="B370" s="102" t="s">
        <v>3381</v>
      </c>
      <c r="C370" s="9" t="s">
        <v>4107</v>
      </c>
      <c r="D370" s="9" t="s">
        <v>4108</v>
      </c>
      <c r="E370" s="102">
        <v>2011</v>
      </c>
      <c r="F370" s="102">
        <v>2020</v>
      </c>
      <c r="G370" s="106" t="s">
        <v>289</v>
      </c>
      <c r="H370" s="129">
        <v>200</v>
      </c>
      <c r="I370" s="6">
        <v>2000</v>
      </c>
      <c r="J370" s="102"/>
      <c r="K370" s="111"/>
      <c r="L370" s="105">
        <v>20201118</v>
      </c>
    </row>
    <row r="371" s="246" customFormat="1" ht="16" customHeight="1" spans="1:12">
      <c r="A371" s="102">
        <v>369</v>
      </c>
      <c r="B371" s="102" t="s">
        <v>3381</v>
      </c>
      <c r="C371" s="9" t="s">
        <v>4109</v>
      </c>
      <c r="D371" s="9" t="s">
        <v>4110</v>
      </c>
      <c r="E371" s="102">
        <v>2014</v>
      </c>
      <c r="F371" s="102">
        <v>2020</v>
      </c>
      <c r="G371" s="106" t="s">
        <v>289</v>
      </c>
      <c r="H371" s="129">
        <v>200</v>
      </c>
      <c r="I371" s="6">
        <v>1400</v>
      </c>
      <c r="J371" s="102"/>
      <c r="K371" s="111"/>
      <c r="L371" s="105">
        <v>20201118</v>
      </c>
    </row>
    <row r="372" s="246" customFormat="1" ht="16" customHeight="1" spans="1:12">
      <c r="A372" s="132">
        <v>370</v>
      </c>
      <c r="B372" s="102" t="s">
        <v>3381</v>
      </c>
      <c r="C372" s="9" t="s">
        <v>4111</v>
      </c>
      <c r="D372" s="9" t="s">
        <v>4112</v>
      </c>
      <c r="E372" s="102">
        <v>2018</v>
      </c>
      <c r="F372" s="102">
        <v>2020</v>
      </c>
      <c r="G372" s="106" t="s">
        <v>289</v>
      </c>
      <c r="H372" s="129">
        <v>1000</v>
      </c>
      <c r="I372" s="6">
        <v>3000</v>
      </c>
      <c r="J372" s="102"/>
      <c r="K372" s="111"/>
      <c r="L372" s="105">
        <v>20201118</v>
      </c>
    </row>
    <row r="373" s="246" customFormat="1" ht="16" customHeight="1" spans="1:12">
      <c r="A373" s="132">
        <v>371</v>
      </c>
      <c r="B373" s="102" t="s">
        <v>3381</v>
      </c>
      <c r="C373" s="9" t="s">
        <v>4113</v>
      </c>
      <c r="D373" s="9" t="s">
        <v>4114</v>
      </c>
      <c r="E373" s="102">
        <v>2015</v>
      </c>
      <c r="F373" s="102">
        <v>2020</v>
      </c>
      <c r="G373" s="106" t="s">
        <v>289</v>
      </c>
      <c r="H373" s="129">
        <v>200</v>
      </c>
      <c r="I373" s="6">
        <v>1200</v>
      </c>
      <c r="J373" s="102"/>
      <c r="K373" s="111"/>
      <c r="L373" s="105">
        <v>20201118</v>
      </c>
    </row>
    <row r="374" s="246" customFormat="1" ht="16" customHeight="1" spans="1:12">
      <c r="A374" s="102">
        <v>372</v>
      </c>
      <c r="B374" s="102" t="s">
        <v>3381</v>
      </c>
      <c r="C374" s="9" t="s">
        <v>4115</v>
      </c>
      <c r="D374" s="9" t="s">
        <v>4116</v>
      </c>
      <c r="E374" s="102">
        <v>2011</v>
      </c>
      <c r="F374" s="102">
        <v>2020</v>
      </c>
      <c r="G374" s="106" t="s">
        <v>289</v>
      </c>
      <c r="H374" s="129">
        <v>200</v>
      </c>
      <c r="I374" s="6">
        <v>2000</v>
      </c>
      <c r="J374" s="102" t="s">
        <v>3647</v>
      </c>
      <c r="K374" s="111"/>
      <c r="L374" s="105">
        <v>20201118</v>
      </c>
    </row>
    <row r="375" s="246" customFormat="1" ht="16" customHeight="1" spans="1:12">
      <c r="A375" s="132">
        <v>373</v>
      </c>
      <c r="B375" s="102" t="s">
        <v>3381</v>
      </c>
      <c r="C375" s="9" t="s">
        <v>4117</v>
      </c>
      <c r="D375" s="9" t="s">
        <v>4118</v>
      </c>
      <c r="E375" s="102">
        <v>2017</v>
      </c>
      <c r="F375" s="102">
        <v>2020</v>
      </c>
      <c r="G375" s="106" t="s">
        <v>289</v>
      </c>
      <c r="H375" s="129">
        <v>200</v>
      </c>
      <c r="I375" s="6">
        <v>800</v>
      </c>
      <c r="J375" s="102"/>
      <c r="K375" s="111"/>
      <c r="L375" s="105">
        <v>20201118</v>
      </c>
    </row>
    <row r="376" s="246" customFormat="1" ht="16" customHeight="1" spans="1:12">
      <c r="A376" s="132">
        <v>374</v>
      </c>
      <c r="B376" s="102" t="s">
        <v>3381</v>
      </c>
      <c r="C376" s="9" t="s">
        <v>4119</v>
      </c>
      <c r="D376" s="9" t="s">
        <v>4120</v>
      </c>
      <c r="E376" s="102">
        <v>2017</v>
      </c>
      <c r="F376" s="102">
        <v>2020</v>
      </c>
      <c r="G376" s="106" t="s">
        <v>289</v>
      </c>
      <c r="H376" s="129">
        <v>200</v>
      </c>
      <c r="I376" s="6">
        <v>800</v>
      </c>
      <c r="J376" s="102" t="s">
        <v>4121</v>
      </c>
      <c r="K376" s="111"/>
      <c r="L376" s="105">
        <v>20201118</v>
      </c>
    </row>
    <row r="377" s="246" customFormat="1" ht="16" customHeight="1" spans="1:12">
      <c r="A377" s="102">
        <v>375</v>
      </c>
      <c r="B377" s="102" t="s">
        <v>3381</v>
      </c>
      <c r="C377" s="9" t="s">
        <v>4122</v>
      </c>
      <c r="D377" s="9" t="s">
        <v>4123</v>
      </c>
      <c r="E377" s="102">
        <v>2016</v>
      </c>
      <c r="F377" s="102">
        <v>2020</v>
      </c>
      <c r="G377" s="106" t="s">
        <v>289</v>
      </c>
      <c r="H377" s="129">
        <v>200</v>
      </c>
      <c r="I377" s="6">
        <v>1000</v>
      </c>
      <c r="J377" s="102"/>
      <c r="K377" s="111"/>
      <c r="L377" s="105">
        <v>20201118</v>
      </c>
    </row>
    <row r="378" s="246" customFormat="1" ht="16" customHeight="1" spans="1:12">
      <c r="A378" s="132">
        <v>376</v>
      </c>
      <c r="B378" s="102" t="s">
        <v>3381</v>
      </c>
      <c r="C378" s="9" t="s">
        <v>4124</v>
      </c>
      <c r="D378" s="9" t="s">
        <v>4125</v>
      </c>
      <c r="E378" s="102">
        <v>2015</v>
      </c>
      <c r="F378" s="102">
        <v>2020</v>
      </c>
      <c r="G378" s="106" t="s">
        <v>289</v>
      </c>
      <c r="H378" s="129">
        <v>200</v>
      </c>
      <c r="I378" s="6">
        <v>1200</v>
      </c>
      <c r="J378" s="102"/>
      <c r="K378" s="111"/>
      <c r="L378" s="105">
        <v>20201118</v>
      </c>
    </row>
    <row r="379" s="246" customFormat="1" ht="16" customHeight="1" spans="1:12">
      <c r="A379" s="132">
        <v>377</v>
      </c>
      <c r="B379" s="102" t="s">
        <v>3381</v>
      </c>
      <c r="C379" s="9" t="s">
        <v>4126</v>
      </c>
      <c r="D379" s="9" t="s">
        <v>4127</v>
      </c>
      <c r="E379" s="102">
        <v>2011</v>
      </c>
      <c r="F379" s="102">
        <v>2020</v>
      </c>
      <c r="G379" s="106" t="s">
        <v>289</v>
      </c>
      <c r="H379" s="129">
        <v>200</v>
      </c>
      <c r="I379" s="6">
        <v>2000</v>
      </c>
      <c r="J379" s="102"/>
      <c r="K379" s="111"/>
      <c r="L379" s="105">
        <v>20201118</v>
      </c>
    </row>
    <row r="380" s="246" customFormat="1" ht="16" customHeight="1" spans="1:12">
      <c r="A380" s="102">
        <v>378</v>
      </c>
      <c r="B380" s="102" t="s">
        <v>3381</v>
      </c>
      <c r="C380" s="9" t="s">
        <v>4128</v>
      </c>
      <c r="D380" s="9" t="s">
        <v>4129</v>
      </c>
      <c r="E380" s="102">
        <v>2011</v>
      </c>
      <c r="F380" s="102">
        <v>2020</v>
      </c>
      <c r="G380" s="106" t="s">
        <v>289</v>
      </c>
      <c r="H380" s="129">
        <v>200</v>
      </c>
      <c r="I380" s="6">
        <v>2000</v>
      </c>
      <c r="J380" s="102" t="s">
        <v>108</v>
      </c>
      <c r="K380" s="111"/>
      <c r="L380" s="105">
        <v>20201118</v>
      </c>
    </row>
    <row r="381" s="246" customFormat="1" ht="16" customHeight="1" spans="1:12">
      <c r="A381" s="132">
        <v>379</v>
      </c>
      <c r="B381" s="102" t="s">
        <v>3381</v>
      </c>
      <c r="C381" s="9" t="s">
        <v>4130</v>
      </c>
      <c r="D381" s="9" t="s">
        <v>4131</v>
      </c>
      <c r="E381" s="102">
        <v>2011</v>
      </c>
      <c r="F381" s="102">
        <v>2020</v>
      </c>
      <c r="G381" s="106" t="s">
        <v>289</v>
      </c>
      <c r="H381" s="129">
        <v>200</v>
      </c>
      <c r="I381" s="6">
        <v>2000</v>
      </c>
      <c r="J381" s="102"/>
      <c r="K381" s="111"/>
      <c r="L381" s="105">
        <v>20201118</v>
      </c>
    </row>
    <row r="382" s="246" customFormat="1" ht="16" customHeight="1" spans="1:12">
      <c r="A382" s="132">
        <v>380</v>
      </c>
      <c r="B382" s="102" t="s">
        <v>3381</v>
      </c>
      <c r="C382" s="9" t="s">
        <v>4132</v>
      </c>
      <c r="D382" s="9" t="s">
        <v>4133</v>
      </c>
      <c r="E382" s="102">
        <v>2011</v>
      </c>
      <c r="F382" s="102">
        <v>2020</v>
      </c>
      <c r="G382" s="106" t="s">
        <v>289</v>
      </c>
      <c r="H382" s="129">
        <v>200</v>
      </c>
      <c r="I382" s="6">
        <v>2000</v>
      </c>
      <c r="J382" s="102"/>
      <c r="K382" s="111"/>
      <c r="L382" s="105">
        <v>20201118</v>
      </c>
    </row>
    <row r="383" s="246" customFormat="1" ht="16" customHeight="1" spans="1:12">
      <c r="A383" s="102">
        <v>381</v>
      </c>
      <c r="B383" s="102" t="s">
        <v>3381</v>
      </c>
      <c r="C383" s="9" t="s">
        <v>4134</v>
      </c>
      <c r="D383" s="9" t="s">
        <v>4135</v>
      </c>
      <c r="E383" s="102">
        <v>2011</v>
      </c>
      <c r="F383" s="102">
        <v>2020</v>
      </c>
      <c r="G383" s="106" t="s">
        <v>289</v>
      </c>
      <c r="H383" s="129">
        <v>200</v>
      </c>
      <c r="I383" s="6">
        <v>2000</v>
      </c>
      <c r="J383" s="102"/>
      <c r="K383" s="111"/>
      <c r="L383" s="105">
        <v>20201118</v>
      </c>
    </row>
    <row r="384" s="246" customFormat="1" ht="16" customHeight="1" spans="1:12">
      <c r="A384" s="132">
        <v>382</v>
      </c>
      <c r="B384" s="102" t="s">
        <v>3381</v>
      </c>
      <c r="C384" s="9" t="s">
        <v>4136</v>
      </c>
      <c r="D384" s="9" t="s">
        <v>4137</v>
      </c>
      <c r="E384" s="102">
        <v>2011</v>
      </c>
      <c r="F384" s="102">
        <v>2020</v>
      </c>
      <c r="G384" s="106" t="s">
        <v>289</v>
      </c>
      <c r="H384" s="129">
        <v>200</v>
      </c>
      <c r="I384" s="6">
        <v>200</v>
      </c>
      <c r="J384" s="102"/>
      <c r="K384" s="111"/>
      <c r="L384" s="105">
        <v>20201118</v>
      </c>
    </row>
    <row r="385" s="246" customFormat="1" ht="16" customHeight="1" spans="1:12">
      <c r="A385" s="132">
        <v>383</v>
      </c>
      <c r="B385" s="102" t="s">
        <v>3381</v>
      </c>
      <c r="C385" s="9" t="s">
        <v>4138</v>
      </c>
      <c r="D385" s="9" t="s">
        <v>4139</v>
      </c>
      <c r="E385" s="102">
        <v>2020</v>
      </c>
      <c r="F385" s="102">
        <v>2020</v>
      </c>
      <c r="G385" s="141" t="s">
        <v>189</v>
      </c>
      <c r="H385" s="109">
        <v>200</v>
      </c>
      <c r="I385" s="109">
        <v>200</v>
      </c>
      <c r="J385" s="102"/>
      <c r="K385" s="111"/>
      <c r="L385" s="105">
        <v>20201118</v>
      </c>
    </row>
    <row r="386" s="246" customFormat="1" ht="16" customHeight="1" spans="1:12">
      <c r="A386" s="102">
        <v>384</v>
      </c>
      <c r="B386" s="102" t="s">
        <v>3381</v>
      </c>
      <c r="C386" s="9" t="s">
        <v>4140</v>
      </c>
      <c r="D386" s="137" t="s">
        <v>4141</v>
      </c>
      <c r="E386" s="102">
        <v>2020</v>
      </c>
      <c r="F386" s="102">
        <v>2020</v>
      </c>
      <c r="G386" s="141" t="s">
        <v>189</v>
      </c>
      <c r="H386" s="109">
        <v>200</v>
      </c>
      <c r="I386" s="109">
        <v>200</v>
      </c>
      <c r="J386" s="102"/>
      <c r="K386" s="111"/>
      <c r="L386" s="105">
        <v>20201118</v>
      </c>
    </row>
    <row r="387" s="246" customFormat="1" ht="16" customHeight="1" spans="1:12">
      <c r="A387" s="132">
        <v>385</v>
      </c>
      <c r="B387" s="102" t="s">
        <v>3381</v>
      </c>
      <c r="C387" s="9" t="s">
        <v>4142</v>
      </c>
      <c r="D387" s="137" t="s">
        <v>4143</v>
      </c>
      <c r="E387" s="102">
        <v>2020</v>
      </c>
      <c r="F387" s="102">
        <v>2020</v>
      </c>
      <c r="G387" s="141" t="s">
        <v>189</v>
      </c>
      <c r="H387" s="109">
        <v>200</v>
      </c>
      <c r="I387" s="109">
        <v>200</v>
      </c>
      <c r="J387" s="102"/>
      <c r="K387" s="111"/>
      <c r="L387" s="105">
        <v>20201118</v>
      </c>
    </row>
    <row r="388" s="246" customFormat="1" ht="16" customHeight="1" spans="1:12">
      <c r="A388" s="132">
        <v>386</v>
      </c>
      <c r="B388" s="102" t="s">
        <v>3381</v>
      </c>
      <c r="C388" s="9" t="s">
        <v>4144</v>
      </c>
      <c r="D388" s="137" t="s">
        <v>4145</v>
      </c>
      <c r="E388" s="102">
        <v>2020</v>
      </c>
      <c r="F388" s="102">
        <v>2020</v>
      </c>
      <c r="G388" s="141" t="s">
        <v>189</v>
      </c>
      <c r="H388" s="109">
        <v>200</v>
      </c>
      <c r="I388" s="109">
        <v>200</v>
      </c>
      <c r="J388" s="102"/>
      <c r="K388" s="111"/>
      <c r="L388" s="105">
        <v>20201118</v>
      </c>
    </row>
    <row r="389" s="246" customFormat="1" ht="16" customHeight="1" spans="1:12">
      <c r="A389" s="102">
        <v>387</v>
      </c>
      <c r="B389" s="102" t="s">
        <v>3381</v>
      </c>
      <c r="C389" s="9" t="s">
        <v>4146</v>
      </c>
      <c r="D389" s="137" t="s">
        <v>4147</v>
      </c>
      <c r="E389" s="102">
        <v>2020</v>
      </c>
      <c r="F389" s="102">
        <v>2020</v>
      </c>
      <c r="G389" s="141" t="s">
        <v>189</v>
      </c>
      <c r="H389" s="109">
        <v>1000</v>
      </c>
      <c r="I389" s="109">
        <v>1000</v>
      </c>
      <c r="J389" s="102"/>
      <c r="K389" s="111"/>
      <c r="L389" s="105">
        <v>20201118</v>
      </c>
    </row>
    <row r="390" s="246" customFormat="1" ht="16" customHeight="1" spans="1:12">
      <c r="A390" s="132">
        <v>388</v>
      </c>
      <c r="B390" s="102" t="s">
        <v>3381</v>
      </c>
      <c r="C390" s="9" t="s">
        <v>4148</v>
      </c>
      <c r="D390" s="137" t="s">
        <v>4149</v>
      </c>
      <c r="E390" s="102">
        <v>2020</v>
      </c>
      <c r="F390" s="102">
        <v>2020</v>
      </c>
      <c r="G390" s="141" t="s">
        <v>189</v>
      </c>
      <c r="H390" s="109">
        <v>200</v>
      </c>
      <c r="I390" s="109">
        <v>200</v>
      </c>
      <c r="J390" s="102"/>
      <c r="K390" s="111"/>
      <c r="L390" s="105">
        <v>20201118</v>
      </c>
    </row>
    <row r="391" s="246" customFormat="1" ht="16" customHeight="1" spans="1:12">
      <c r="A391" s="132">
        <v>389</v>
      </c>
      <c r="B391" s="102" t="s">
        <v>3381</v>
      </c>
      <c r="C391" s="9" t="s">
        <v>4150</v>
      </c>
      <c r="D391" s="137" t="s">
        <v>4151</v>
      </c>
      <c r="E391" s="102">
        <v>2020</v>
      </c>
      <c r="F391" s="102">
        <v>2020</v>
      </c>
      <c r="G391" s="141" t="s">
        <v>189</v>
      </c>
      <c r="H391" s="109">
        <v>200</v>
      </c>
      <c r="I391" s="109">
        <v>200</v>
      </c>
      <c r="J391" s="102"/>
      <c r="K391" s="111"/>
      <c r="L391" s="105">
        <v>20201118</v>
      </c>
    </row>
    <row r="392" s="246" customFormat="1" ht="16" customHeight="1" spans="1:12">
      <c r="A392" s="102">
        <v>390</v>
      </c>
      <c r="B392" s="102" t="s">
        <v>3381</v>
      </c>
      <c r="C392" s="9" t="s">
        <v>4152</v>
      </c>
      <c r="D392" s="137" t="s">
        <v>4153</v>
      </c>
      <c r="E392" s="102">
        <v>2020</v>
      </c>
      <c r="F392" s="102">
        <v>2020</v>
      </c>
      <c r="G392" s="141" t="s">
        <v>189</v>
      </c>
      <c r="H392" s="109">
        <v>200</v>
      </c>
      <c r="I392" s="109">
        <v>200</v>
      </c>
      <c r="J392" s="102"/>
      <c r="K392" s="111"/>
      <c r="L392" s="105">
        <v>20201118</v>
      </c>
    </row>
    <row r="393" s="246" customFormat="1" ht="16" customHeight="1" spans="1:12">
      <c r="A393" s="132">
        <v>391</v>
      </c>
      <c r="B393" s="102" t="s">
        <v>3381</v>
      </c>
      <c r="C393" s="9" t="s">
        <v>4154</v>
      </c>
      <c r="D393" s="137" t="s">
        <v>4155</v>
      </c>
      <c r="E393" s="102">
        <v>2020</v>
      </c>
      <c r="F393" s="102">
        <v>2020</v>
      </c>
      <c r="G393" s="141" t="s">
        <v>189</v>
      </c>
      <c r="H393" s="109">
        <v>1000</v>
      </c>
      <c r="I393" s="109">
        <v>1000</v>
      </c>
      <c r="J393" s="102"/>
      <c r="K393" s="111"/>
      <c r="L393" s="105">
        <v>20201118</v>
      </c>
    </row>
    <row r="394" s="246" customFormat="1" ht="16" customHeight="1" spans="1:12">
      <c r="A394" s="132">
        <v>392</v>
      </c>
      <c r="B394" s="102" t="s">
        <v>3381</v>
      </c>
      <c r="C394" s="9" t="s">
        <v>4156</v>
      </c>
      <c r="D394" s="137" t="s">
        <v>4157</v>
      </c>
      <c r="E394" s="102">
        <v>2020</v>
      </c>
      <c r="F394" s="102">
        <v>2020</v>
      </c>
      <c r="G394" s="141" t="s">
        <v>189</v>
      </c>
      <c r="H394" s="109">
        <v>200</v>
      </c>
      <c r="I394" s="109">
        <v>200</v>
      </c>
      <c r="J394" s="102"/>
      <c r="K394" s="111"/>
      <c r="L394" s="105">
        <v>20201118</v>
      </c>
    </row>
    <row r="395" s="246" customFormat="1" ht="16" customHeight="1" spans="1:12">
      <c r="A395" s="102">
        <v>393</v>
      </c>
      <c r="B395" s="102" t="s">
        <v>3381</v>
      </c>
      <c r="C395" s="9" t="s">
        <v>4158</v>
      </c>
      <c r="D395" s="137" t="s">
        <v>4159</v>
      </c>
      <c r="E395" s="102">
        <v>2020</v>
      </c>
      <c r="F395" s="102">
        <v>2020</v>
      </c>
      <c r="G395" s="141" t="s">
        <v>189</v>
      </c>
      <c r="H395" s="109">
        <v>200</v>
      </c>
      <c r="I395" s="109">
        <v>200</v>
      </c>
      <c r="J395" s="102"/>
      <c r="K395" s="111"/>
      <c r="L395" s="105">
        <v>20201118</v>
      </c>
    </row>
    <row r="396" s="246" customFormat="1" ht="16" customHeight="1" spans="1:12">
      <c r="A396" s="132">
        <v>394</v>
      </c>
      <c r="B396" s="102" t="s">
        <v>3381</v>
      </c>
      <c r="C396" s="9" t="s">
        <v>4160</v>
      </c>
      <c r="D396" s="137" t="s">
        <v>4161</v>
      </c>
      <c r="E396" s="102">
        <v>2020</v>
      </c>
      <c r="F396" s="102">
        <v>2020</v>
      </c>
      <c r="G396" s="141" t="s">
        <v>189</v>
      </c>
      <c r="H396" s="109">
        <v>200</v>
      </c>
      <c r="I396" s="109">
        <v>200</v>
      </c>
      <c r="J396" s="118" t="s">
        <v>4162</v>
      </c>
      <c r="K396" s="111"/>
      <c r="L396" s="105">
        <v>20201118</v>
      </c>
    </row>
    <row r="397" s="246" customFormat="1" ht="16" customHeight="1" spans="1:12">
      <c r="A397" s="132">
        <v>395</v>
      </c>
      <c r="B397" s="102" t="s">
        <v>3381</v>
      </c>
      <c r="C397" s="77" t="s">
        <v>4163</v>
      </c>
      <c r="D397" s="249" t="s">
        <v>4164</v>
      </c>
      <c r="E397" s="102">
        <v>2020</v>
      </c>
      <c r="F397" s="102">
        <v>2020</v>
      </c>
      <c r="G397" s="141" t="s">
        <v>189</v>
      </c>
      <c r="H397" s="129">
        <v>200</v>
      </c>
      <c r="I397" s="129">
        <v>200</v>
      </c>
      <c r="J397" s="249" t="s">
        <v>4064</v>
      </c>
      <c r="K397" s="111"/>
      <c r="L397" s="105">
        <v>20201118</v>
      </c>
    </row>
    <row r="398" s="246" customFormat="1" ht="16" customHeight="1" spans="1:12">
      <c r="A398" s="102">
        <v>396</v>
      </c>
      <c r="B398" s="102" t="s">
        <v>3381</v>
      </c>
      <c r="C398" s="77" t="s">
        <v>4165</v>
      </c>
      <c r="D398" s="135" t="s">
        <v>4166</v>
      </c>
      <c r="E398" s="102">
        <v>2020</v>
      </c>
      <c r="F398" s="102">
        <v>2020</v>
      </c>
      <c r="G398" s="141" t="s">
        <v>189</v>
      </c>
      <c r="H398" s="129">
        <v>200</v>
      </c>
      <c r="I398" s="129">
        <v>200</v>
      </c>
      <c r="J398" s="249" t="s">
        <v>1242</v>
      </c>
      <c r="K398" s="111"/>
      <c r="L398" s="105">
        <v>20201118</v>
      </c>
    </row>
    <row r="399" s="246" customFormat="1" ht="16" customHeight="1" spans="1:12">
      <c r="A399" s="132">
        <v>397</v>
      </c>
      <c r="B399" s="102" t="s">
        <v>3381</v>
      </c>
      <c r="C399" s="77" t="s">
        <v>4167</v>
      </c>
      <c r="D399" s="135" t="s">
        <v>4168</v>
      </c>
      <c r="E399" s="102">
        <v>2020</v>
      </c>
      <c r="F399" s="102">
        <v>2020</v>
      </c>
      <c r="G399" s="141" t="s">
        <v>189</v>
      </c>
      <c r="H399" s="129">
        <v>200</v>
      </c>
      <c r="I399" s="129">
        <v>200</v>
      </c>
      <c r="J399" s="249" t="s">
        <v>1242</v>
      </c>
      <c r="K399" s="111"/>
      <c r="L399" s="105">
        <v>20201118</v>
      </c>
    </row>
    <row r="400" s="246" customFormat="1" ht="16" customHeight="1" spans="1:12">
      <c r="A400" s="132">
        <v>398</v>
      </c>
      <c r="B400" s="102" t="s">
        <v>3381</v>
      </c>
      <c r="C400" s="77" t="s">
        <v>4169</v>
      </c>
      <c r="D400" s="249" t="s">
        <v>4170</v>
      </c>
      <c r="E400" s="102">
        <v>2020</v>
      </c>
      <c r="F400" s="102">
        <v>2020</v>
      </c>
      <c r="G400" s="141" t="s">
        <v>189</v>
      </c>
      <c r="H400" s="129">
        <v>200</v>
      </c>
      <c r="I400" s="129">
        <v>200</v>
      </c>
      <c r="J400" s="249" t="s">
        <v>4064</v>
      </c>
      <c r="K400" s="111"/>
      <c r="L400" s="105">
        <v>20201118</v>
      </c>
    </row>
    <row r="401" s="246" customFormat="1" ht="16" customHeight="1" spans="1:12">
      <c r="A401" s="102">
        <v>399</v>
      </c>
      <c r="B401" s="102" t="s">
        <v>3381</v>
      </c>
      <c r="C401" s="77" t="s">
        <v>4171</v>
      </c>
      <c r="D401" s="286" t="s">
        <v>4172</v>
      </c>
      <c r="E401" s="102">
        <v>2020</v>
      </c>
      <c r="F401" s="102">
        <v>2020</v>
      </c>
      <c r="G401" s="141" t="s">
        <v>189</v>
      </c>
      <c r="H401" s="129">
        <v>200</v>
      </c>
      <c r="I401" s="129">
        <v>200</v>
      </c>
      <c r="J401" s="249" t="s">
        <v>4064</v>
      </c>
      <c r="K401" s="111"/>
      <c r="L401" s="105">
        <v>20201118</v>
      </c>
    </row>
    <row r="402" s="246" customFormat="1" ht="16" customHeight="1" spans="1:12">
      <c r="A402" s="132">
        <v>400</v>
      </c>
      <c r="B402" s="102" t="s">
        <v>3381</v>
      </c>
      <c r="C402" s="9" t="s">
        <v>4173</v>
      </c>
      <c r="D402" s="137" t="s">
        <v>4174</v>
      </c>
      <c r="E402" s="102">
        <v>2020</v>
      </c>
      <c r="F402" s="102">
        <v>2020</v>
      </c>
      <c r="G402" s="141" t="s">
        <v>189</v>
      </c>
      <c r="H402" s="109">
        <v>200</v>
      </c>
      <c r="I402" s="109">
        <v>200</v>
      </c>
      <c r="J402" s="102"/>
      <c r="K402" s="111"/>
      <c r="L402" s="105">
        <v>20201118</v>
      </c>
    </row>
    <row r="403" s="246" customFormat="1" ht="16" customHeight="1" spans="1:12">
      <c r="A403" s="132">
        <v>401</v>
      </c>
      <c r="B403" s="102" t="s">
        <v>3381</v>
      </c>
      <c r="C403" s="9" t="s">
        <v>3060</v>
      </c>
      <c r="D403" s="137" t="s">
        <v>4175</v>
      </c>
      <c r="E403" s="102">
        <v>2020</v>
      </c>
      <c r="F403" s="102">
        <v>2020</v>
      </c>
      <c r="G403" s="141" t="s">
        <v>189</v>
      </c>
      <c r="H403" s="109">
        <v>200</v>
      </c>
      <c r="I403" s="109">
        <v>200</v>
      </c>
      <c r="J403" s="102"/>
      <c r="K403" s="111"/>
      <c r="L403" s="105">
        <v>20201118</v>
      </c>
    </row>
    <row r="404" s="246" customFormat="1" ht="16" customHeight="1" spans="1:12">
      <c r="A404" s="132">
        <v>402</v>
      </c>
      <c r="B404" s="102" t="s">
        <v>3381</v>
      </c>
      <c r="C404" s="111" t="s">
        <v>4176</v>
      </c>
      <c r="D404" s="102" t="s">
        <v>4177</v>
      </c>
      <c r="E404" s="102" t="s">
        <v>1047</v>
      </c>
      <c r="F404" s="102" t="s">
        <v>15</v>
      </c>
      <c r="G404" s="107" t="s">
        <v>289</v>
      </c>
      <c r="H404" s="102" t="s">
        <v>4178</v>
      </c>
      <c r="I404" s="251">
        <v>6000</v>
      </c>
      <c r="J404" s="205"/>
      <c r="K404" s="205"/>
      <c r="L404" s="105">
        <v>20201224</v>
      </c>
    </row>
    <row r="405" s="246" customFormat="1" ht="16" customHeight="1" spans="1:12">
      <c r="A405" s="102">
        <v>403</v>
      </c>
      <c r="B405" s="102" t="s">
        <v>3381</v>
      </c>
      <c r="C405" s="111" t="s">
        <v>4136</v>
      </c>
      <c r="D405" s="102" t="s">
        <v>4137</v>
      </c>
      <c r="E405" s="102" t="s">
        <v>4179</v>
      </c>
      <c r="F405" s="102" t="s">
        <v>4179</v>
      </c>
      <c r="G405" s="107" t="s">
        <v>289</v>
      </c>
      <c r="H405" s="102" t="s">
        <v>311</v>
      </c>
      <c r="I405" s="251">
        <v>200</v>
      </c>
      <c r="J405" s="205"/>
      <c r="K405" s="205"/>
      <c r="L405" s="105">
        <v>20201224</v>
      </c>
    </row>
    <row r="406" s="246" customFormat="1" ht="16" customHeight="1" spans="1:12">
      <c r="A406" s="132">
        <v>404</v>
      </c>
      <c r="B406" s="102" t="s">
        <v>3381</v>
      </c>
      <c r="C406" s="111" t="s">
        <v>4180</v>
      </c>
      <c r="D406" s="102" t="s">
        <v>4181</v>
      </c>
      <c r="E406" s="102" t="s">
        <v>310</v>
      </c>
      <c r="F406" s="102" t="s">
        <v>15</v>
      </c>
      <c r="G406" s="107" t="s">
        <v>289</v>
      </c>
      <c r="H406" s="102" t="s">
        <v>311</v>
      </c>
      <c r="I406" s="251">
        <v>2000</v>
      </c>
      <c r="J406" s="205"/>
      <c r="K406" s="205"/>
      <c r="L406" s="105">
        <v>20201224</v>
      </c>
    </row>
    <row r="407" ht="16" customHeight="1" spans="1:12">
      <c r="A407" s="102">
        <v>405</v>
      </c>
      <c r="B407" s="109" t="s">
        <v>3381</v>
      </c>
      <c r="C407" s="109" t="s">
        <v>4182</v>
      </c>
      <c r="D407" s="109" t="s">
        <v>4183</v>
      </c>
      <c r="E407" s="102" t="s">
        <v>310</v>
      </c>
      <c r="F407" s="102" t="s">
        <v>4184</v>
      </c>
      <c r="G407" s="107" t="s">
        <v>289</v>
      </c>
      <c r="H407" s="130" t="s">
        <v>311</v>
      </c>
      <c r="I407" s="252">
        <v>1600</v>
      </c>
      <c r="J407" s="205"/>
      <c r="K407" s="205"/>
      <c r="L407" s="105">
        <v>20200814</v>
      </c>
    </row>
    <row r="408" ht="16" customHeight="1" spans="1:12">
      <c r="A408" s="132">
        <v>406</v>
      </c>
      <c r="B408" s="109" t="s">
        <v>3381</v>
      </c>
      <c r="C408" s="6" t="s">
        <v>4185</v>
      </c>
      <c r="D408" s="288" t="s">
        <v>4186</v>
      </c>
      <c r="E408" s="102" t="s">
        <v>310</v>
      </c>
      <c r="F408" s="102" t="s">
        <v>292</v>
      </c>
      <c r="G408" s="107" t="s">
        <v>289</v>
      </c>
      <c r="H408" s="109" t="s">
        <v>311</v>
      </c>
      <c r="I408" s="252">
        <v>1200</v>
      </c>
      <c r="J408" s="205"/>
      <c r="K408" s="205"/>
      <c r="L408" s="105">
        <v>20200814</v>
      </c>
    </row>
    <row r="409" spans="1:12">
      <c r="A409" s="205"/>
      <c r="B409" s="205"/>
      <c r="C409" s="250"/>
      <c r="D409" s="205"/>
      <c r="E409" s="205"/>
      <c r="F409" s="205"/>
      <c r="G409" s="205"/>
      <c r="H409" s="205"/>
      <c r="I409" s="205" t="s">
        <v>4187</v>
      </c>
      <c r="J409" s="205"/>
      <c r="K409" s="205"/>
      <c r="L409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35"/>
  <sheetViews>
    <sheetView topLeftCell="A316" workbookViewId="0">
      <selection activeCell="A3" sqref="A3:L334"/>
    </sheetView>
  </sheetViews>
  <sheetFormatPr defaultColWidth="9" defaultRowHeight="13.5"/>
  <cols>
    <col min="2" max="2" width="13.125" customWidth="1"/>
    <col min="3" max="3" width="14.625" customWidth="1"/>
    <col min="4" max="4" width="21.625" customWidth="1"/>
    <col min="10" max="10" width="12.625"/>
    <col min="12" max="12" width="11.75" customWidth="1"/>
  </cols>
  <sheetData>
    <row r="1" s="228" customFormat="1" ht="27" customHeight="1" spans="1:12">
      <c r="A1" s="241" t="s">
        <v>4188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ht="16" customHeight="1" spans="1:12">
      <c r="A3" s="102">
        <v>1</v>
      </c>
      <c r="B3" s="102" t="s">
        <v>4189</v>
      </c>
      <c r="C3" s="16" t="s">
        <v>4190</v>
      </c>
      <c r="D3" s="143" t="s">
        <v>4191</v>
      </c>
      <c r="E3" s="102" t="s">
        <v>15</v>
      </c>
      <c r="F3" s="102" t="s">
        <v>15</v>
      </c>
      <c r="G3" s="102" t="s">
        <v>3359</v>
      </c>
      <c r="H3" s="143">
        <v>200</v>
      </c>
      <c r="I3" s="143">
        <v>200</v>
      </c>
      <c r="J3" s="102"/>
      <c r="K3" s="104"/>
      <c r="L3" s="105">
        <v>20201118</v>
      </c>
    </row>
    <row r="4" ht="16" customHeight="1" spans="1:12">
      <c r="A4" s="102">
        <v>2</v>
      </c>
      <c r="B4" s="102" t="s">
        <v>4189</v>
      </c>
      <c r="C4" s="16" t="s">
        <v>2838</v>
      </c>
      <c r="D4" s="143" t="s">
        <v>4192</v>
      </c>
      <c r="E4" s="102" t="s">
        <v>15</v>
      </c>
      <c r="F4" s="102" t="s">
        <v>15</v>
      </c>
      <c r="G4" s="102" t="s">
        <v>3359</v>
      </c>
      <c r="H4" s="143">
        <v>200</v>
      </c>
      <c r="I4" s="143">
        <v>200</v>
      </c>
      <c r="J4" s="102"/>
      <c r="K4" s="104"/>
      <c r="L4" s="105">
        <v>20201118</v>
      </c>
    </row>
    <row r="5" ht="16" customHeight="1" spans="1:12">
      <c r="A5" s="102">
        <v>3</v>
      </c>
      <c r="B5" s="102" t="s">
        <v>4189</v>
      </c>
      <c r="C5" s="16" t="s">
        <v>4193</v>
      </c>
      <c r="D5" s="143" t="s">
        <v>4194</v>
      </c>
      <c r="E5" s="102" t="s">
        <v>15</v>
      </c>
      <c r="F5" s="102" t="s">
        <v>15</v>
      </c>
      <c r="G5" s="102" t="s">
        <v>3359</v>
      </c>
      <c r="H5" s="143">
        <v>200</v>
      </c>
      <c r="I5" s="143">
        <v>200</v>
      </c>
      <c r="J5" s="102"/>
      <c r="K5" s="104"/>
      <c r="L5" s="105">
        <v>20201118</v>
      </c>
    </row>
    <row r="6" ht="16" customHeight="1" spans="1:12">
      <c r="A6" s="102">
        <v>4</v>
      </c>
      <c r="B6" s="102" t="s">
        <v>4189</v>
      </c>
      <c r="C6" s="16" t="s">
        <v>4195</v>
      </c>
      <c r="D6" s="143" t="s">
        <v>4196</v>
      </c>
      <c r="E6" s="102" t="s">
        <v>15</v>
      </c>
      <c r="F6" s="102" t="s">
        <v>15</v>
      </c>
      <c r="G6" s="102" t="s">
        <v>3359</v>
      </c>
      <c r="H6" s="143">
        <v>200</v>
      </c>
      <c r="I6" s="143">
        <v>200</v>
      </c>
      <c r="J6" s="102"/>
      <c r="K6" s="104"/>
      <c r="L6" s="105">
        <v>20201118</v>
      </c>
    </row>
    <row r="7" ht="16" customHeight="1" spans="1:12">
      <c r="A7" s="102">
        <v>5</v>
      </c>
      <c r="B7" s="102" t="s">
        <v>4189</v>
      </c>
      <c r="C7" s="16" t="s">
        <v>4197</v>
      </c>
      <c r="D7" s="143" t="s">
        <v>4198</v>
      </c>
      <c r="E7" s="102" t="s">
        <v>15</v>
      </c>
      <c r="F7" s="102" t="s">
        <v>15</v>
      </c>
      <c r="G7" s="102" t="s">
        <v>3359</v>
      </c>
      <c r="H7" s="143">
        <v>200</v>
      </c>
      <c r="I7" s="143">
        <v>200</v>
      </c>
      <c r="J7" s="102"/>
      <c r="K7" s="104"/>
      <c r="L7" s="105">
        <v>20201118</v>
      </c>
    </row>
    <row r="8" ht="16" customHeight="1" spans="1:12">
      <c r="A8" s="102">
        <v>6</v>
      </c>
      <c r="B8" s="102" t="s">
        <v>4189</v>
      </c>
      <c r="C8" s="16" t="s">
        <v>4199</v>
      </c>
      <c r="D8" s="143" t="s">
        <v>4200</v>
      </c>
      <c r="E8" s="102" t="s">
        <v>15</v>
      </c>
      <c r="F8" s="102" t="s">
        <v>15</v>
      </c>
      <c r="G8" s="102" t="s">
        <v>3359</v>
      </c>
      <c r="H8" s="143">
        <v>200</v>
      </c>
      <c r="I8" s="143">
        <v>200</v>
      </c>
      <c r="J8" s="102"/>
      <c r="K8" s="104"/>
      <c r="L8" s="105">
        <v>20201118</v>
      </c>
    </row>
    <row r="9" ht="16" customHeight="1" spans="1:12">
      <c r="A9" s="102">
        <v>7</v>
      </c>
      <c r="B9" s="102" t="s">
        <v>4189</v>
      </c>
      <c r="C9" s="16" t="s">
        <v>4201</v>
      </c>
      <c r="D9" s="143" t="s">
        <v>4202</v>
      </c>
      <c r="E9" s="102" t="s">
        <v>15</v>
      </c>
      <c r="F9" s="102" t="s">
        <v>15</v>
      </c>
      <c r="G9" s="102" t="s">
        <v>3359</v>
      </c>
      <c r="H9" s="143">
        <v>200</v>
      </c>
      <c r="I9" s="143">
        <v>200</v>
      </c>
      <c r="J9" s="102"/>
      <c r="K9" s="104"/>
      <c r="L9" s="105">
        <v>20201118</v>
      </c>
    </row>
    <row r="10" ht="16" customHeight="1" spans="1:12">
      <c r="A10" s="102">
        <v>8</v>
      </c>
      <c r="B10" s="102" t="s">
        <v>4189</v>
      </c>
      <c r="C10" s="16" t="s">
        <v>4203</v>
      </c>
      <c r="D10" s="143" t="s">
        <v>4204</v>
      </c>
      <c r="E10" s="102" t="s">
        <v>15</v>
      </c>
      <c r="F10" s="102" t="s">
        <v>15</v>
      </c>
      <c r="G10" s="102" t="s">
        <v>3359</v>
      </c>
      <c r="H10" s="143">
        <v>200</v>
      </c>
      <c r="I10" s="143">
        <v>200</v>
      </c>
      <c r="J10" s="102"/>
      <c r="K10" s="104"/>
      <c r="L10" s="105">
        <v>20201118</v>
      </c>
    </row>
    <row r="11" ht="16" customHeight="1" spans="1:12">
      <c r="A11" s="102">
        <v>9</v>
      </c>
      <c r="B11" s="102" t="s">
        <v>4189</v>
      </c>
      <c r="C11" s="16" t="s">
        <v>4205</v>
      </c>
      <c r="D11" s="143" t="s">
        <v>4206</v>
      </c>
      <c r="E11" s="102" t="s">
        <v>15</v>
      </c>
      <c r="F11" s="102" t="s">
        <v>15</v>
      </c>
      <c r="G11" s="102" t="s">
        <v>3359</v>
      </c>
      <c r="H11" s="143">
        <v>200</v>
      </c>
      <c r="I11" s="143">
        <v>200</v>
      </c>
      <c r="J11" s="102"/>
      <c r="K11" s="104"/>
      <c r="L11" s="105">
        <v>20201118</v>
      </c>
    </row>
    <row r="12" ht="16" customHeight="1" spans="1:12">
      <c r="A12" s="102">
        <v>10</v>
      </c>
      <c r="B12" s="102" t="s">
        <v>4189</v>
      </c>
      <c r="C12" s="16" t="s">
        <v>4207</v>
      </c>
      <c r="D12" s="143" t="s">
        <v>4208</v>
      </c>
      <c r="E12" s="102" t="s">
        <v>15</v>
      </c>
      <c r="F12" s="102" t="s">
        <v>15</v>
      </c>
      <c r="G12" s="102" t="s">
        <v>3359</v>
      </c>
      <c r="H12" s="143">
        <v>3000</v>
      </c>
      <c r="I12" s="143">
        <v>3000</v>
      </c>
      <c r="J12" s="102"/>
      <c r="K12" s="104"/>
      <c r="L12" s="105">
        <v>20201118</v>
      </c>
    </row>
    <row r="13" ht="16" customHeight="1" spans="1:12">
      <c r="A13" s="102">
        <v>11</v>
      </c>
      <c r="B13" s="102" t="s">
        <v>4189</v>
      </c>
      <c r="C13" s="16" t="s">
        <v>4209</v>
      </c>
      <c r="D13" s="143" t="s">
        <v>4210</v>
      </c>
      <c r="E13" s="102" t="s">
        <v>15</v>
      </c>
      <c r="F13" s="102" t="s">
        <v>15</v>
      </c>
      <c r="G13" s="102" t="s">
        <v>3359</v>
      </c>
      <c r="H13" s="143">
        <v>200</v>
      </c>
      <c r="I13" s="143">
        <v>200</v>
      </c>
      <c r="J13" s="102"/>
      <c r="K13" s="104"/>
      <c r="L13" s="105">
        <v>20201118</v>
      </c>
    </row>
    <row r="14" ht="16" customHeight="1" spans="1:12">
      <c r="A14" s="102">
        <v>12</v>
      </c>
      <c r="B14" s="102" t="s">
        <v>4189</v>
      </c>
      <c r="C14" s="16" t="s">
        <v>4211</v>
      </c>
      <c r="D14" s="143" t="s">
        <v>4212</v>
      </c>
      <c r="E14" s="102" t="s">
        <v>15</v>
      </c>
      <c r="F14" s="102" t="s">
        <v>15</v>
      </c>
      <c r="G14" s="102" t="s">
        <v>3359</v>
      </c>
      <c r="H14" s="143">
        <v>200</v>
      </c>
      <c r="I14" s="143">
        <v>200</v>
      </c>
      <c r="J14" s="102"/>
      <c r="K14" s="104"/>
      <c r="L14" s="105">
        <v>20201118</v>
      </c>
    </row>
    <row r="15" ht="16" customHeight="1" spans="1:12">
      <c r="A15" s="102">
        <v>13</v>
      </c>
      <c r="B15" s="102" t="s">
        <v>4189</v>
      </c>
      <c r="C15" s="16" t="s">
        <v>4213</v>
      </c>
      <c r="D15" s="143" t="s">
        <v>4214</v>
      </c>
      <c r="E15" s="102" t="s">
        <v>15</v>
      </c>
      <c r="F15" s="102" t="s">
        <v>15</v>
      </c>
      <c r="G15" s="102" t="s">
        <v>3359</v>
      </c>
      <c r="H15" s="143">
        <v>200</v>
      </c>
      <c r="I15" s="143">
        <v>200</v>
      </c>
      <c r="J15" s="102"/>
      <c r="K15" s="104"/>
      <c r="L15" s="105">
        <v>20201118</v>
      </c>
    </row>
    <row r="16" ht="16" customHeight="1" spans="1:12">
      <c r="A16" s="102">
        <v>14</v>
      </c>
      <c r="B16" s="102" t="s">
        <v>4189</v>
      </c>
      <c r="C16" s="16" t="s">
        <v>4215</v>
      </c>
      <c r="D16" s="143" t="s">
        <v>4216</v>
      </c>
      <c r="E16" s="102" t="s">
        <v>15</v>
      </c>
      <c r="F16" s="102" t="s">
        <v>15</v>
      </c>
      <c r="G16" s="102" t="s">
        <v>3359</v>
      </c>
      <c r="H16" s="143">
        <v>200</v>
      </c>
      <c r="I16" s="143">
        <v>200</v>
      </c>
      <c r="J16" s="102"/>
      <c r="K16" s="104"/>
      <c r="L16" s="105">
        <v>20201118</v>
      </c>
    </row>
    <row r="17" ht="16" customHeight="1" spans="1:12">
      <c r="A17" s="102">
        <v>15</v>
      </c>
      <c r="B17" s="102" t="s">
        <v>4189</v>
      </c>
      <c r="C17" s="16" t="s">
        <v>4217</v>
      </c>
      <c r="D17" s="143" t="s">
        <v>4218</v>
      </c>
      <c r="E17" s="102" t="s">
        <v>15</v>
      </c>
      <c r="F17" s="102" t="s">
        <v>15</v>
      </c>
      <c r="G17" s="102" t="s">
        <v>3359</v>
      </c>
      <c r="H17" s="143">
        <v>200</v>
      </c>
      <c r="I17" s="143">
        <v>200</v>
      </c>
      <c r="J17" s="102"/>
      <c r="K17" s="104"/>
      <c r="L17" s="105">
        <v>20201118</v>
      </c>
    </row>
    <row r="18" ht="16" customHeight="1" spans="1:12">
      <c r="A18" s="102">
        <v>16</v>
      </c>
      <c r="B18" s="102" t="s">
        <v>4189</v>
      </c>
      <c r="C18" s="16" t="s">
        <v>4219</v>
      </c>
      <c r="D18" s="289" t="s">
        <v>4220</v>
      </c>
      <c r="E18" s="102" t="s">
        <v>15</v>
      </c>
      <c r="F18" s="102" t="s">
        <v>15</v>
      </c>
      <c r="G18" s="102" t="s">
        <v>3359</v>
      </c>
      <c r="H18" s="143">
        <v>200</v>
      </c>
      <c r="I18" s="143">
        <v>200</v>
      </c>
      <c r="J18" s="102"/>
      <c r="K18" s="104"/>
      <c r="L18" s="105">
        <v>20201118</v>
      </c>
    </row>
    <row r="19" ht="16" customHeight="1" spans="1:12">
      <c r="A19" s="102">
        <v>17</v>
      </c>
      <c r="B19" s="102" t="s">
        <v>4189</v>
      </c>
      <c r="C19" s="16" t="s">
        <v>4221</v>
      </c>
      <c r="D19" s="143" t="s">
        <v>4222</v>
      </c>
      <c r="E19" s="102" t="s">
        <v>15</v>
      </c>
      <c r="F19" s="102" t="s">
        <v>15</v>
      </c>
      <c r="G19" s="102" t="s">
        <v>3359</v>
      </c>
      <c r="H19" s="143">
        <v>200</v>
      </c>
      <c r="I19" s="143">
        <v>200</v>
      </c>
      <c r="J19" s="102"/>
      <c r="K19" s="104"/>
      <c r="L19" s="105">
        <v>20201118</v>
      </c>
    </row>
    <row r="20" ht="16" customHeight="1" spans="1:12">
      <c r="A20" s="102">
        <v>18</v>
      </c>
      <c r="B20" s="102" t="s">
        <v>4189</v>
      </c>
      <c r="C20" s="16" t="s">
        <v>4223</v>
      </c>
      <c r="D20" s="143" t="s">
        <v>4224</v>
      </c>
      <c r="E20" s="102" t="s">
        <v>15</v>
      </c>
      <c r="F20" s="102" t="s">
        <v>15</v>
      </c>
      <c r="G20" s="102" t="s">
        <v>3359</v>
      </c>
      <c r="H20" s="143">
        <v>200</v>
      </c>
      <c r="I20" s="143">
        <v>200</v>
      </c>
      <c r="J20" s="102"/>
      <c r="K20" s="104"/>
      <c r="L20" s="105">
        <v>20201118</v>
      </c>
    </row>
    <row r="21" ht="16" customHeight="1" spans="1:12">
      <c r="A21" s="102">
        <v>19</v>
      </c>
      <c r="B21" s="102" t="s">
        <v>4189</v>
      </c>
      <c r="C21" s="16" t="s">
        <v>4225</v>
      </c>
      <c r="D21" s="143" t="s">
        <v>4226</v>
      </c>
      <c r="E21" s="102" t="s">
        <v>15</v>
      </c>
      <c r="F21" s="102" t="s">
        <v>15</v>
      </c>
      <c r="G21" s="102" t="s">
        <v>3359</v>
      </c>
      <c r="H21" s="143">
        <v>200</v>
      </c>
      <c r="I21" s="143">
        <v>200</v>
      </c>
      <c r="J21" s="102"/>
      <c r="K21" s="104"/>
      <c r="L21" s="105">
        <v>20201118</v>
      </c>
    </row>
    <row r="22" ht="16" customHeight="1" spans="1:12">
      <c r="A22" s="102">
        <v>20</v>
      </c>
      <c r="B22" s="102" t="s">
        <v>4189</v>
      </c>
      <c r="C22" s="16" t="s">
        <v>4227</v>
      </c>
      <c r="D22" s="143" t="s">
        <v>4228</v>
      </c>
      <c r="E22" s="102" t="s">
        <v>15</v>
      </c>
      <c r="F22" s="102" t="s">
        <v>15</v>
      </c>
      <c r="G22" s="102" t="s">
        <v>3359</v>
      </c>
      <c r="H22" s="143">
        <v>200</v>
      </c>
      <c r="I22" s="143">
        <v>200</v>
      </c>
      <c r="J22" s="102"/>
      <c r="K22" s="104"/>
      <c r="L22" s="105">
        <v>20201118</v>
      </c>
    </row>
    <row r="23" ht="16" customHeight="1" spans="1:12">
      <c r="A23" s="102">
        <v>21</v>
      </c>
      <c r="B23" s="102" t="s">
        <v>4189</v>
      </c>
      <c r="C23" s="16" t="s">
        <v>4229</v>
      </c>
      <c r="D23" s="143" t="s">
        <v>4230</v>
      </c>
      <c r="E23" s="102" t="s">
        <v>15</v>
      </c>
      <c r="F23" s="102" t="s">
        <v>15</v>
      </c>
      <c r="G23" s="102" t="s">
        <v>3359</v>
      </c>
      <c r="H23" s="143">
        <v>200</v>
      </c>
      <c r="I23" s="143">
        <v>200</v>
      </c>
      <c r="J23" s="102"/>
      <c r="K23" s="104"/>
      <c r="L23" s="105">
        <v>20201118</v>
      </c>
    </row>
    <row r="24" ht="16" customHeight="1" spans="1:12">
      <c r="A24" s="102">
        <v>22</v>
      </c>
      <c r="B24" s="102" t="s">
        <v>4189</v>
      </c>
      <c r="C24" s="16" t="s">
        <v>4231</v>
      </c>
      <c r="D24" s="143" t="s">
        <v>4232</v>
      </c>
      <c r="E24" s="102" t="s">
        <v>15</v>
      </c>
      <c r="F24" s="102" t="s">
        <v>15</v>
      </c>
      <c r="G24" s="102" t="s">
        <v>3359</v>
      </c>
      <c r="H24" s="143">
        <v>200</v>
      </c>
      <c r="I24" s="143">
        <v>200</v>
      </c>
      <c r="J24" s="102"/>
      <c r="K24" s="104"/>
      <c r="L24" s="105">
        <v>20201118</v>
      </c>
    </row>
    <row r="25" ht="16" customHeight="1" spans="1:12">
      <c r="A25" s="102">
        <v>23</v>
      </c>
      <c r="B25" s="102" t="s">
        <v>4189</v>
      </c>
      <c r="C25" s="16" t="s">
        <v>4233</v>
      </c>
      <c r="D25" s="143" t="s">
        <v>4234</v>
      </c>
      <c r="E25" s="102" t="s">
        <v>15</v>
      </c>
      <c r="F25" s="102" t="s">
        <v>15</v>
      </c>
      <c r="G25" s="102" t="s">
        <v>3359</v>
      </c>
      <c r="H25" s="143">
        <v>200</v>
      </c>
      <c r="I25" s="143">
        <v>200</v>
      </c>
      <c r="J25" s="102"/>
      <c r="K25" s="104"/>
      <c r="L25" s="105">
        <v>20201118</v>
      </c>
    </row>
    <row r="26" ht="16" customHeight="1" spans="1:12">
      <c r="A26" s="102">
        <v>24</v>
      </c>
      <c r="B26" s="102" t="s">
        <v>4189</v>
      </c>
      <c r="C26" s="16" t="s">
        <v>4235</v>
      </c>
      <c r="D26" s="143" t="s">
        <v>4236</v>
      </c>
      <c r="E26" s="102" t="s">
        <v>15</v>
      </c>
      <c r="F26" s="102" t="s">
        <v>15</v>
      </c>
      <c r="G26" s="102" t="s">
        <v>3359</v>
      </c>
      <c r="H26" s="143">
        <v>200</v>
      </c>
      <c r="I26" s="143">
        <v>200</v>
      </c>
      <c r="J26" s="102"/>
      <c r="K26" s="104"/>
      <c r="L26" s="105">
        <v>20201118</v>
      </c>
    </row>
    <row r="27" ht="16" customHeight="1" spans="1:12">
      <c r="A27" s="102">
        <v>25</v>
      </c>
      <c r="B27" s="102" t="s">
        <v>4189</v>
      </c>
      <c r="C27" s="16" t="s">
        <v>4237</v>
      </c>
      <c r="D27" s="143" t="s">
        <v>4238</v>
      </c>
      <c r="E27" s="102" t="s">
        <v>15</v>
      </c>
      <c r="F27" s="102" t="s">
        <v>15</v>
      </c>
      <c r="G27" s="102" t="s">
        <v>3359</v>
      </c>
      <c r="H27" s="143">
        <v>200</v>
      </c>
      <c r="I27" s="143">
        <v>200</v>
      </c>
      <c r="J27" s="102"/>
      <c r="K27" s="104"/>
      <c r="L27" s="105">
        <v>20201118</v>
      </c>
    </row>
    <row r="28" ht="16" customHeight="1" spans="1:12">
      <c r="A28" s="102">
        <v>26</v>
      </c>
      <c r="B28" s="102" t="s">
        <v>4189</v>
      </c>
      <c r="C28" s="16" t="s">
        <v>4239</v>
      </c>
      <c r="D28" s="143" t="s">
        <v>4240</v>
      </c>
      <c r="E28" s="102" t="s">
        <v>15</v>
      </c>
      <c r="F28" s="102" t="s">
        <v>15</v>
      </c>
      <c r="G28" s="102" t="s">
        <v>3359</v>
      </c>
      <c r="H28" s="143">
        <v>200</v>
      </c>
      <c r="I28" s="143">
        <v>200</v>
      </c>
      <c r="J28" s="102"/>
      <c r="K28" s="104"/>
      <c r="L28" s="105">
        <v>20201118</v>
      </c>
    </row>
    <row r="29" ht="16" customHeight="1" spans="1:12">
      <c r="A29" s="102">
        <v>27</v>
      </c>
      <c r="B29" s="102" t="s">
        <v>4189</v>
      </c>
      <c r="C29" s="16" t="s">
        <v>4241</v>
      </c>
      <c r="D29" s="143" t="s">
        <v>4242</v>
      </c>
      <c r="E29" s="102" t="s">
        <v>15</v>
      </c>
      <c r="F29" s="102" t="s">
        <v>15</v>
      </c>
      <c r="G29" s="102" t="s">
        <v>3359</v>
      </c>
      <c r="H29" s="143">
        <v>200</v>
      </c>
      <c r="I29" s="143">
        <v>200</v>
      </c>
      <c r="J29" s="102"/>
      <c r="K29" s="104"/>
      <c r="L29" s="105">
        <v>20201118</v>
      </c>
    </row>
    <row r="30" ht="16" customHeight="1" spans="1:12">
      <c r="A30" s="102">
        <v>28</v>
      </c>
      <c r="B30" s="102" t="s">
        <v>4189</v>
      </c>
      <c r="C30" s="16" t="s">
        <v>4243</v>
      </c>
      <c r="D30" s="143" t="s">
        <v>4244</v>
      </c>
      <c r="E30" s="102" t="s">
        <v>15</v>
      </c>
      <c r="F30" s="102" t="s">
        <v>15</v>
      </c>
      <c r="G30" s="102" t="s">
        <v>3359</v>
      </c>
      <c r="H30" s="143">
        <v>200</v>
      </c>
      <c r="I30" s="143">
        <v>200</v>
      </c>
      <c r="J30" s="102"/>
      <c r="K30" s="104"/>
      <c r="L30" s="105">
        <v>20201118</v>
      </c>
    </row>
    <row r="31" ht="16" customHeight="1" spans="1:12">
      <c r="A31" s="102">
        <v>29</v>
      </c>
      <c r="B31" s="102" t="s">
        <v>4189</v>
      </c>
      <c r="C31" s="16" t="s">
        <v>4245</v>
      </c>
      <c r="D31" s="143" t="s">
        <v>4246</v>
      </c>
      <c r="E31" s="102" t="s">
        <v>15</v>
      </c>
      <c r="F31" s="102" t="s">
        <v>15</v>
      </c>
      <c r="G31" s="102" t="s">
        <v>3359</v>
      </c>
      <c r="H31" s="143">
        <v>200</v>
      </c>
      <c r="I31" s="143">
        <v>200</v>
      </c>
      <c r="J31" s="102"/>
      <c r="K31" s="104"/>
      <c r="L31" s="105">
        <v>20201118</v>
      </c>
    </row>
    <row r="32" ht="16" customHeight="1" spans="1:12">
      <c r="A32" s="102">
        <v>30</v>
      </c>
      <c r="B32" s="102" t="s">
        <v>4189</v>
      </c>
      <c r="C32" s="16" t="s">
        <v>4247</v>
      </c>
      <c r="D32" s="143" t="s">
        <v>4248</v>
      </c>
      <c r="E32" s="102" t="s">
        <v>15</v>
      </c>
      <c r="F32" s="102" t="s">
        <v>15</v>
      </c>
      <c r="G32" s="102" t="s">
        <v>3359</v>
      </c>
      <c r="H32" s="143">
        <v>200</v>
      </c>
      <c r="I32" s="143">
        <v>200</v>
      </c>
      <c r="J32" s="102"/>
      <c r="K32" s="104"/>
      <c r="L32" s="105">
        <v>20201118</v>
      </c>
    </row>
    <row r="33" ht="16" customHeight="1" spans="1:12">
      <c r="A33" s="102">
        <v>31</v>
      </c>
      <c r="B33" s="102" t="s">
        <v>4189</v>
      </c>
      <c r="C33" s="16" t="s">
        <v>4249</v>
      </c>
      <c r="D33" s="143" t="s">
        <v>4250</v>
      </c>
      <c r="E33" s="102" t="s">
        <v>15</v>
      </c>
      <c r="F33" s="102" t="s">
        <v>15</v>
      </c>
      <c r="G33" s="102" t="s">
        <v>3359</v>
      </c>
      <c r="H33" s="143">
        <v>200</v>
      </c>
      <c r="I33" s="143">
        <v>200</v>
      </c>
      <c r="J33" s="102"/>
      <c r="K33" s="104"/>
      <c r="L33" s="105">
        <v>20201118</v>
      </c>
    </row>
    <row r="34" ht="16" customHeight="1" spans="1:12">
      <c r="A34" s="102">
        <v>32</v>
      </c>
      <c r="B34" s="102" t="s">
        <v>4189</v>
      </c>
      <c r="C34" s="16" t="s">
        <v>2483</v>
      </c>
      <c r="D34" s="143" t="s">
        <v>4251</v>
      </c>
      <c r="E34" s="102" t="s">
        <v>15</v>
      </c>
      <c r="F34" s="102" t="s">
        <v>15</v>
      </c>
      <c r="G34" s="102" t="s">
        <v>3359</v>
      </c>
      <c r="H34" s="143">
        <v>200</v>
      </c>
      <c r="I34" s="143">
        <v>200</v>
      </c>
      <c r="J34" s="102"/>
      <c r="K34" s="104"/>
      <c r="L34" s="105">
        <v>20201118</v>
      </c>
    </row>
    <row r="35" ht="16" customHeight="1" spans="1:12">
      <c r="A35" s="102">
        <v>33</v>
      </c>
      <c r="B35" s="102" t="s">
        <v>4189</v>
      </c>
      <c r="C35" s="16" t="s">
        <v>4252</v>
      </c>
      <c r="D35" s="143" t="s">
        <v>4253</v>
      </c>
      <c r="E35" s="102" t="s">
        <v>15</v>
      </c>
      <c r="F35" s="102" t="s">
        <v>15</v>
      </c>
      <c r="G35" s="102" t="s">
        <v>3359</v>
      </c>
      <c r="H35" s="143">
        <v>200</v>
      </c>
      <c r="I35" s="143">
        <v>200</v>
      </c>
      <c r="J35" s="102"/>
      <c r="K35" s="104"/>
      <c r="L35" s="105">
        <v>20201118</v>
      </c>
    </row>
    <row r="36" ht="16" customHeight="1" spans="1:12">
      <c r="A36" s="102">
        <v>34</v>
      </c>
      <c r="B36" s="102" t="s">
        <v>4189</v>
      </c>
      <c r="C36" s="16" t="s">
        <v>4254</v>
      </c>
      <c r="D36" s="143" t="s">
        <v>4255</v>
      </c>
      <c r="E36" s="102" t="s">
        <v>15</v>
      </c>
      <c r="F36" s="102" t="s">
        <v>15</v>
      </c>
      <c r="G36" s="102" t="s">
        <v>3359</v>
      </c>
      <c r="H36" s="143">
        <v>200</v>
      </c>
      <c r="I36" s="143">
        <v>200</v>
      </c>
      <c r="J36" s="102"/>
      <c r="K36" s="104"/>
      <c r="L36" s="105">
        <v>20201118</v>
      </c>
    </row>
    <row r="37" ht="16" customHeight="1" spans="1:12">
      <c r="A37" s="102">
        <v>35</v>
      </c>
      <c r="B37" s="102" t="s">
        <v>4189</v>
      </c>
      <c r="C37" s="16" t="s">
        <v>4256</v>
      </c>
      <c r="D37" s="143" t="s">
        <v>4257</v>
      </c>
      <c r="E37" s="102" t="s">
        <v>15</v>
      </c>
      <c r="F37" s="102" t="s">
        <v>15</v>
      </c>
      <c r="G37" s="102" t="s">
        <v>3359</v>
      </c>
      <c r="H37" s="143">
        <v>200</v>
      </c>
      <c r="I37" s="143">
        <v>200</v>
      </c>
      <c r="J37" s="102"/>
      <c r="K37" s="104"/>
      <c r="L37" s="105">
        <v>20201118</v>
      </c>
    </row>
    <row r="38" ht="16" customHeight="1" spans="1:12">
      <c r="A38" s="102">
        <v>36</v>
      </c>
      <c r="B38" s="102" t="s">
        <v>4189</v>
      </c>
      <c r="C38" s="16" t="s">
        <v>4258</v>
      </c>
      <c r="D38" s="143" t="s">
        <v>4259</v>
      </c>
      <c r="E38" s="102" t="s">
        <v>15</v>
      </c>
      <c r="F38" s="102" t="s">
        <v>15</v>
      </c>
      <c r="G38" s="102" t="s">
        <v>3359</v>
      </c>
      <c r="H38" s="143">
        <v>200</v>
      </c>
      <c r="I38" s="143">
        <v>200</v>
      </c>
      <c r="J38" s="102"/>
      <c r="K38" s="104"/>
      <c r="L38" s="105">
        <v>20201118</v>
      </c>
    </row>
    <row r="39" ht="16" customHeight="1" spans="1:12">
      <c r="A39" s="102">
        <v>37</v>
      </c>
      <c r="B39" s="102" t="s">
        <v>4189</v>
      </c>
      <c r="C39" s="16" t="s">
        <v>4260</v>
      </c>
      <c r="D39" s="143" t="s">
        <v>4261</v>
      </c>
      <c r="E39" s="102" t="s">
        <v>15</v>
      </c>
      <c r="F39" s="102" t="s">
        <v>15</v>
      </c>
      <c r="G39" s="102" t="s">
        <v>3359</v>
      </c>
      <c r="H39" s="143">
        <v>200</v>
      </c>
      <c r="I39" s="143">
        <v>200</v>
      </c>
      <c r="J39" s="102"/>
      <c r="K39" s="104"/>
      <c r="L39" s="105">
        <v>20201118</v>
      </c>
    </row>
    <row r="40" ht="16" customHeight="1" spans="1:12">
      <c r="A40" s="102">
        <v>38</v>
      </c>
      <c r="B40" s="102" t="s">
        <v>4189</v>
      </c>
      <c r="C40" s="16" t="s">
        <v>4262</v>
      </c>
      <c r="D40" s="143" t="s">
        <v>4263</v>
      </c>
      <c r="E40" s="102" t="s">
        <v>15</v>
      </c>
      <c r="F40" s="102" t="s">
        <v>15</v>
      </c>
      <c r="G40" s="102" t="s">
        <v>3359</v>
      </c>
      <c r="H40" s="143">
        <v>200</v>
      </c>
      <c r="I40" s="143">
        <v>200</v>
      </c>
      <c r="J40" s="102"/>
      <c r="K40" s="104"/>
      <c r="L40" s="105">
        <v>20201118</v>
      </c>
    </row>
    <row r="41" ht="16" customHeight="1" spans="1:12">
      <c r="A41" s="102">
        <v>39</v>
      </c>
      <c r="B41" s="102" t="s">
        <v>4189</v>
      </c>
      <c r="C41" s="16" t="s">
        <v>4264</v>
      </c>
      <c r="D41" s="143" t="s">
        <v>4265</v>
      </c>
      <c r="E41" s="102" t="s">
        <v>15</v>
      </c>
      <c r="F41" s="102" t="s">
        <v>15</v>
      </c>
      <c r="G41" s="102" t="s">
        <v>3359</v>
      </c>
      <c r="H41" s="143">
        <v>200</v>
      </c>
      <c r="I41" s="143">
        <v>200</v>
      </c>
      <c r="J41" s="102"/>
      <c r="K41" s="104"/>
      <c r="L41" s="105">
        <v>20201118</v>
      </c>
    </row>
    <row r="42" ht="16" customHeight="1" spans="1:12">
      <c r="A42" s="102">
        <v>40</v>
      </c>
      <c r="B42" s="102" t="s">
        <v>4189</v>
      </c>
      <c r="C42" s="16" t="s">
        <v>4266</v>
      </c>
      <c r="D42" s="143" t="s">
        <v>4267</v>
      </c>
      <c r="E42" s="102" t="s">
        <v>15</v>
      </c>
      <c r="F42" s="102" t="s">
        <v>15</v>
      </c>
      <c r="G42" s="102" t="s">
        <v>3359</v>
      </c>
      <c r="H42" s="143">
        <v>200</v>
      </c>
      <c r="I42" s="143">
        <v>200</v>
      </c>
      <c r="J42" s="102"/>
      <c r="K42" s="104"/>
      <c r="L42" s="105">
        <v>20201118</v>
      </c>
    </row>
    <row r="43" ht="16" customHeight="1" spans="1:12">
      <c r="A43" s="102">
        <v>41</v>
      </c>
      <c r="B43" s="102" t="s">
        <v>4189</v>
      </c>
      <c r="C43" s="16" t="s">
        <v>4268</v>
      </c>
      <c r="D43" s="143" t="s">
        <v>4269</v>
      </c>
      <c r="E43" s="102" t="s">
        <v>15</v>
      </c>
      <c r="F43" s="102" t="s">
        <v>15</v>
      </c>
      <c r="G43" s="102" t="s">
        <v>3359</v>
      </c>
      <c r="H43" s="143">
        <v>200</v>
      </c>
      <c r="I43" s="143">
        <v>200</v>
      </c>
      <c r="J43" s="102"/>
      <c r="K43" s="104"/>
      <c r="L43" s="105">
        <v>20201118</v>
      </c>
    </row>
    <row r="44" ht="16" customHeight="1" spans="1:12">
      <c r="A44" s="102">
        <v>42</v>
      </c>
      <c r="B44" s="102" t="s">
        <v>4189</v>
      </c>
      <c r="C44" s="16" t="s">
        <v>4270</v>
      </c>
      <c r="D44" s="143" t="s">
        <v>4271</v>
      </c>
      <c r="E44" s="102" t="s">
        <v>15</v>
      </c>
      <c r="F44" s="102" t="s">
        <v>15</v>
      </c>
      <c r="G44" s="102" t="s">
        <v>3359</v>
      </c>
      <c r="H44" s="143">
        <v>200</v>
      </c>
      <c r="I44" s="143">
        <v>200</v>
      </c>
      <c r="J44" s="102"/>
      <c r="K44" s="104"/>
      <c r="L44" s="105">
        <v>20201118</v>
      </c>
    </row>
    <row r="45" ht="16" customHeight="1" spans="1:12">
      <c r="A45" s="102">
        <v>43</v>
      </c>
      <c r="B45" s="102" t="s">
        <v>4189</v>
      </c>
      <c r="C45" s="16" t="s">
        <v>4272</v>
      </c>
      <c r="D45" s="143" t="s">
        <v>4273</v>
      </c>
      <c r="E45" s="102" t="s">
        <v>15</v>
      </c>
      <c r="F45" s="102" t="s">
        <v>15</v>
      </c>
      <c r="G45" s="102" t="s">
        <v>3359</v>
      </c>
      <c r="H45" s="143">
        <v>200</v>
      </c>
      <c r="I45" s="143">
        <v>200</v>
      </c>
      <c r="J45" s="102"/>
      <c r="K45" s="104"/>
      <c r="L45" s="105">
        <v>20201118</v>
      </c>
    </row>
    <row r="46" ht="16" customHeight="1" spans="1:12">
      <c r="A46" s="102">
        <v>44</v>
      </c>
      <c r="B46" s="102" t="s">
        <v>4189</v>
      </c>
      <c r="C46" s="16" t="s">
        <v>4274</v>
      </c>
      <c r="D46" s="143" t="s">
        <v>4275</v>
      </c>
      <c r="E46" s="102" t="s">
        <v>15</v>
      </c>
      <c r="F46" s="102" t="s">
        <v>15</v>
      </c>
      <c r="G46" s="102" t="s">
        <v>3359</v>
      </c>
      <c r="H46" s="143">
        <v>200</v>
      </c>
      <c r="I46" s="143">
        <v>200</v>
      </c>
      <c r="J46" s="102"/>
      <c r="K46" s="104"/>
      <c r="L46" s="105">
        <v>20201118</v>
      </c>
    </row>
    <row r="47" ht="16" customHeight="1" spans="1:12">
      <c r="A47" s="102">
        <v>45</v>
      </c>
      <c r="B47" s="102" t="s">
        <v>4189</v>
      </c>
      <c r="C47" s="16" t="s">
        <v>4276</v>
      </c>
      <c r="D47" s="143" t="s">
        <v>4277</v>
      </c>
      <c r="E47" s="102" t="s">
        <v>15</v>
      </c>
      <c r="F47" s="102" t="s">
        <v>15</v>
      </c>
      <c r="G47" s="102" t="s">
        <v>3359</v>
      </c>
      <c r="H47" s="143">
        <v>200</v>
      </c>
      <c r="I47" s="143">
        <v>200</v>
      </c>
      <c r="J47" s="102"/>
      <c r="K47" s="104"/>
      <c r="L47" s="105">
        <v>20201118</v>
      </c>
    </row>
    <row r="48" ht="16" customHeight="1" spans="1:12">
      <c r="A48" s="102">
        <v>46</v>
      </c>
      <c r="B48" s="102" t="s">
        <v>4189</v>
      </c>
      <c r="C48" s="16" t="s">
        <v>4278</v>
      </c>
      <c r="D48" s="143" t="s">
        <v>4279</v>
      </c>
      <c r="E48" s="102" t="s">
        <v>15</v>
      </c>
      <c r="F48" s="102" t="s">
        <v>15</v>
      </c>
      <c r="G48" s="102" t="s">
        <v>3359</v>
      </c>
      <c r="H48" s="143">
        <v>200</v>
      </c>
      <c r="I48" s="143">
        <v>200</v>
      </c>
      <c r="J48" s="102"/>
      <c r="K48" s="104"/>
      <c r="L48" s="105">
        <v>20201118</v>
      </c>
    </row>
    <row r="49" ht="16" customHeight="1" spans="1:12">
      <c r="A49" s="102">
        <v>47</v>
      </c>
      <c r="B49" s="102" t="s">
        <v>4189</v>
      </c>
      <c r="C49" s="16" t="s">
        <v>4280</v>
      </c>
      <c r="D49" s="143" t="s">
        <v>4281</v>
      </c>
      <c r="E49" s="102" t="s">
        <v>15</v>
      </c>
      <c r="F49" s="102" t="s">
        <v>15</v>
      </c>
      <c r="G49" s="102" t="s">
        <v>3359</v>
      </c>
      <c r="H49" s="143">
        <v>200</v>
      </c>
      <c r="I49" s="143">
        <v>200</v>
      </c>
      <c r="J49" s="102"/>
      <c r="K49" s="104"/>
      <c r="L49" s="105">
        <v>20201118</v>
      </c>
    </row>
    <row r="50" ht="16" customHeight="1" spans="1:12">
      <c r="A50" s="102">
        <v>48</v>
      </c>
      <c r="B50" s="102" t="s">
        <v>4189</v>
      </c>
      <c r="C50" s="16" t="s">
        <v>4282</v>
      </c>
      <c r="D50" s="143" t="s">
        <v>4283</v>
      </c>
      <c r="E50" s="102" t="s">
        <v>15</v>
      </c>
      <c r="F50" s="102" t="s">
        <v>15</v>
      </c>
      <c r="G50" s="102" t="s">
        <v>3359</v>
      </c>
      <c r="H50" s="143">
        <v>200</v>
      </c>
      <c r="I50" s="143">
        <v>200</v>
      </c>
      <c r="J50" s="102"/>
      <c r="K50" s="104"/>
      <c r="L50" s="105">
        <v>20201118</v>
      </c>
    </row>
    <row r="51" ht="16" customHeight="1" spans="1:12">
      <c r="A51" s="102">
        <v>49</v>
      </c>
      <c r="B51" s="102" t="s">
        <v>4189</v>
      </c>
      <c r="C51" s="16" t="s">
        <v>4284</v>
      </c>
      <c r="D51" s="16" t="s">
        <v>4285</v>
      </c>
      <c r="E51" s="102" t="s">
        <v>15</v>
      </c>
      <c r="F51" s="102" t="s">
        <v>15</v>
      </c>
      <c r="G51" s="102" t="s">
        <v>3359</v>
      </c>
      <c r="H51" s="143">
        <v>200</v>
      </c>
      <c r="I51" s="143">
        <v>200</v>
      </c>
      <c r="J51" s="102"/>
      <c r="K51" s="104"/>
      <c r="L51" s="105">
        <v>20201118</v>
      </c>
    </row>
    <row r="52" ht="16" customHeight="1" spans="1:12">
      <c r="A52" s="102">
        <v>50</v>
      </c>
      <c r="B52" s="102" t="s">
        <v>4189</v>
      </c>
      <c r="C52" s="16" t="s">
        <v>4286</v>
      </c>
      <c r="D52" s="143" t="s">
        <v>4287</v>
      </c>
      <c r="E52" s="102" t="s">
        <v>15</v>
      </c>
      <c r="F52" s="102" t="s">
        <v>15</v>
      </c>
      <c r="G52" s="102" t="s">
        <v>3359</v>
      </c>
      <c r="H52" s="143">
        <v>200</v>
      </c>
      <c r="I52" s="143">
        <v>200</v>
      </c>
      <c r="J52" s="102"/>
      <c r="K52" s="104"/>
      <c r="L52" s="105">
        <v>20201118</v>
      </c>
    </row>
    <row r="53" ht="16" customHeight="1" spans="1:12">
      <c r="A53" s="102">
        <v>51</v>
      </c>
      <c r="B53" s="102" t="s">
        <v>4189</v>
      </c>
      <c r="C53" s="16" t="s">
        <v>4288</v>
      </c>
      <c r="D53" s="143" t="s">
        <v>4289</v>
      </c>
      <c r="E53" s="102" t="s">
        <v>15</v>
      </c>
      <c r="F53" s="102" t="s">
        <v>15</v>
      </c>
      <c r="G53" s="102" t="s">
        <v>3359</v>
      </c>
      <c r="H53" s="143">
        <v>200</v>
      </c>
      <c r="I53" s="143">
        <v>200</v>
      </c>
      <c r="J53" s="102"/>
      <c r="K53" s="104"/>
      <c r="L53" s="105">
        <v>20201118</v>
      </c>
    </row>
    <row r="54" ht="16" customHeight="1" spans="1:12">
      <c r="A54" s="102">
        <v>52</v>
      </c>
      <c r="B54" s="102" t="s">
        <v>4189</v>
      </c>
      <c r="C54" s="16" t="s">
        <v>4290</v>
      </c>
      <c r="D54" s="143" t="s">
        <v>4291</v>
      </c>
      <c r="E54" s="102" t="s">
        <v>15</v>
      </c>
      <c r="F54" s="102" t="s">
        <v>15</v>
      </c>
      <c r="G54" s="102" t="s">
        <v>3359</v>
      </c>
      <c r="H54" s="143">
        <v>200</v>
      </c>
      <c r="I54" s="143">
        <v>200</v>
      </c>
      <c r="J54" s="102"/>
      <c r="K54" s="104"/>
      <c r="L54" s="105">
        <v>20201118</v>
      </c>
    </row>
    <row r="55" ht="16" customHeight="1" spans="1:12">
      <c r="A55" s="102">
        <v>53</v>
      </c>
      <c r="B55" s="102" t="s">
        <v>4189</v>
      </c>
      <c r="C55" s="16" t="s">
        <v>4292</v>
      </c>
      <c r="D55" s="143" t="s">
        <v>4293</v>
      </c>
      <c r="E55" s="102" t="s">
        <v>15</v>
      </c>
      <c r="F55" s="102" t="s">
        <v>15</v>
      </c>
      <c r="G55" s="102" t="s">
        <v>3359</v>
      </c>
      <c r="H55" s="143">
        <v>300</v>
      </c>
      <c r="I55" s="143">
        <v>300</v>
      </c>
      <c r="J55" s="102"/>
      <c r="K55" s="104"/>
      <c r="L55" s="105">
        <v>20201118</v>
      </c>
    </row>
    <row r="56" ht="16" customHeight="1" spans="1:12">
      <c r="A56" s="102">
        <v>54</v>
      </c>
      <c r="B56" s="102" t="s">
        <v>4189</v>
      </c>
      <c r="C56" s="16" t="s">
        <v>4294</v>
      </c>
      <c r="D56" s="143" t="s">
        <v>4295</v>
      </c>
      <c r="E56" s="102" t="s">
        <v>15</v>
      </c>
      <c r="F56" s="102" t="s">
        <v>15</v>
      </c>
      <c r="G56" s="102" t="s">
        <v>3359</v>
      </c>
      <c r="H56" s="143">
        <v>300</v>
      </c>
      <c r="I56" s="143">
        <v>300</v>
      </c>
      <c r="J56" s="102"/>
      <c r="K56" s="104"/>
      <c r="L56" s="105">
        <v>20201118</v>
      </c>
    </row>
    <row r="57" ht="16" customHeight="1" spans="1:12">
      <c r="A57" s="102">
        <v>55</v>
      </c>
      <c r="B57" s="102" t="s">
        <v>4189</v>
      </c>
      <c r="C57" s="16" t="s">
        <v>4296</v>
      </c>
      <c r="D57" s="143" t="s">
        <v>4297</v>
      </c>
      <c r="E57" s="102" t="s">
        <v>15</v>
      </c>
      <c r="F57" s="102" t="s">
        <v>15</v>
      </c>
      <c r="G57" s="102" t="s">
        <v>3359</v>
      </c>
      <c r="H57" s="143">
        <v>200</v>
      </c>
      <c r="I57" s="143">
        <v>200</v>
      </c>
      <c r="J57" s="102"/>
      <c r="K57" s="104"/>
      <c r="L57" s="105">
        <v>20201118</v>
      </c>
    </row>
    <row r="58" ht="16" customHeight="1" spans="1:12">
      <c r="A58" s="102">
        <v>56</v>
      </c>
      <c r="B58" s="102" t="s">
        <v>4189</v>
      </c>
      <c r="C58" s="16" t="s">
        <v>4298</v>
      </c>
      <c r="D58" s="143" t="s">
        <v>4299</v>
      </c>
      <c r="E58" s="102" t="s">
        <v>15</v>
      </c>
      <c r="F58" s="102" t="s">
        <v>15</v>
      </c>
      <c r="G58" s="102" t="s">
        <v>3359</v>
      </c>
      <c r="H58" s="143">
        <v>200</v>
      </c>
      <c r="I58" s="143">
        <v>200</v>
      </c>
      <c r="J58" s="102"/>
      <c r="K58" s="104"/>
      <c r="L58" s="105">
        <v>20201118</v>
      </c>
    </row>
    <row r="59" ht="16" customHeight="1" spans="1:12">
      <c r="A59" s="102">
        <v>57</v>
      </c>
      <c r="B59" s="102" t="s">
        <v>4189</v>
      </c>
      <c r="C59" s="16" t="s">
        <v>4300</v>
      </c>
      <c r="D59" s="143" t="s">
        <v>4301</v>
      </c>
      <c r="E59" s="102" t="s">
        <v>15</v>
      </c>
      <c r="F59" s="102" t="s">
        <v>15</v>
      </c>
      <c r="G59" s="102" t="s">
        <v>3359</v>
      </c>
      <c r="H59" s="143">
        <v>200</v>
      </c>
      <c r="I59" s="143">
        <v>200</v>
      </c>
      <c r="J59" s="102"/>
      <c r="K59" s="104"/>
      <c r="L59" s="105">
        <v>20201118</v>
      </c>
    </row>
    <row r="60" ht="16" customHeight="1" spans="1:12">
      <c r="A60" s="102">
        <v>58</v>
      </c>
      <c r="B60" s="102" t="s">
        <v>4189</v>
      </c>
      <c r="C60" s="16" t="s">
        <v>4302</v>
      </c>
      <c r="D60" s="143" t="s">
        <v>4303</v>
      </c>
      <c r="E60" s="102" t="s">
        <v>15</v>
      </c>
      <c r="F60" s="102" t="s">
        <v>15</v>
      </c>
      <c r="G60" s="102" t="s">
        <v>3359</v>
      </c>
      <c r="H60" s="143">
        <v>200</v>
      </c>
      <c r="I60" s="143">
        <v>200</v>
      </c>
      <c r="J60" s="102"/>
      <c r="K60" s="104"/>
      <c r="L60" s="105">
        <v>20201118</v>
      </c>
    </row>
    <row r="61" ht="16" customHeight="1" spans="1:12">
      <c r="A61" s="102">
        <v>59</v>
      </c>
      <c r="B61" s="102" t="s">
        <v>4189</v>
      </c>
      <c r="C61" s="16" t="s">
        <v>4304</v>
      </c>
      <c r="D61" s="143" t="s">
        <v>4305</v>
      </c>
      <c r="E61" s="102" t="s">
        <v>15</v>
      </c>
      <c r="F61" s="102" t="s">
        <v>15</v>
      </c>
      <c r="G61" s="102" t="s">
        <v>3359</v>
      </c>
      <c r="H61" s="143">
        <v>200</v>
      </c>
      <c r="I61" s="143">
        <v>200</v>
      </c>
      <c r="J61" s="102"/>
      <c r="K61" s="104"/>
      <c r="L61" s="105">
        <v>20201118</v>
      </c>
    </row>
    <row r="62" ht="16" customHeight="1" spans="1:12">
      <c r="A62" s="102">
        <v>60</v>
      </c>
      <c r="B62" s="102" t="s">
        <v>4189</v>
      </c>
      <c r="C62" s="16" t="s">
        <v>4306</v>
      </c>
      <c r="D62" s="143" t="s">
        <v>4307</v>
      </c>
      <c r="E62" s="102" t="s">
        <v>15</v>
      </c>
      <c r="F62" s="102" t="s">
        <v>15</v>
      </c>
      <c r="G62" s="102" t="s">
        <v>3359</v>
      </c>
      <c r="H62" s="143">
        <v>200</v>
      </c>
      <c r="I62" s="143">
        <v>200</v>
      </c>
      <c r="J62" s="102"/>
      <c r="K62" s="104"/>
      <c r="L62" s="105">
        <v>20201118</v>
      </c>
    </row>
    <row r="63" ht="16" customHeight="1" spans="1:12">
      <c r="A63" s="102">
        <v>61</v>
      </c>
      <c r="B63" s="102" t="s">
        <v>4189</v>
      </c>
      <c r="C63" s="16" t="s">
        <v>2154</v>
      </c>
      <c r="D63" s="143" t="s">
        <v>4308</v>
      </c>
      <c r="E63" s="102" t="s">
        <v>15</v>
      </c>
      <c r="F63" s="102" t="s">
        <v>15</v>
      </c>
      <c r="G63" s="102" t="s">
        <v>3359</v>
      </c>
      <c r="H63" s="143">
        <v>200</v>
      </c>
      <c r="I63" s="143">
        <v>200</v>
      </c>
      <c r="J63" s="102"/>
      <c r="K63" s="104"/>
      <c r="L63" s="105">
        <v>20201118</v>
      </c>
    </row>
    <row r="64" ht="16" customHeight="1" spans="1:12">
      <c r="A64" s="102">
        <v>62</v>
      </c>
      <c r="B64" s="102" t="s">
        <v>4189</v>
      </c>
      <c r="C64" s="16" t="s">
        <v>4309</v>
      </c>
      <c r="D64" s="143" t="s">
        <v>4310</v>
      </c>
      <c r="E64" s="102" t="s">
        <v>15</v>
      </c>
      <c r="F64" s="102" t="s">
        <v>15</v>
      </c>
      <c r="G64" s="102" t="s">
        <v>3359</v>
      </c>
      <c r="H64" s="143">
        <v>200</v>
      </c>
      <c r="I64" s="143">
        <v>200</v>
      </c>
      <c r="J64" s="102"/>
      <c r="K64" s="104"/>
      <c r="L64" s="105">
        <v>20201118</v>
      </c>
    </row>
    <row r="65" ht="16" customHeight="1" spans="1:12">
      <c r="A65" s="102">
        <v>63</v>
      </c>
      <c r="B65" s="102" t="s">
        <v>4189</v>
      </c>
      <c r="C65" s="16" t="s">
        <v>4311</v>
      </c>
      <c r="D65" s="289" t="s">
        <v>4312</v>
      </c>
      <c r="E65" s="102" t="s">
        <v>15</v>
      </c>
      <c r="F65" s="102" t="s">
        <v>15</v>
      </c>
      <c r="G65" s="102" t="s">
        <v>3359</v>
      </c>
      <c r="H65" s="143">
        <v>200</v>
      </c>
      <c r="I65" s="143">
        <v>200</v>
      </c>
      <c r="J65" s="102"/>
      <c r="K65" s="104"/>
      <c r="L65" s="105">
        <v>20201118</v>
      </c>
    </row>
    <row r="66" ht="16" customHeight="1" spans="1:12">
      <c r="A66" s="102">
        <v>64</v>
      </c>
      <c r="B66" s="102" t="s">
        <v>4189</v>
      </c>
      <c r="C66" s="16" t="s">
        <v>4313</v>
      </c>
      <c r="D66" s="143" t="s">
        <v>4314</v>
      </c>
      <c r="E66" s="102" t="s">
        <v>15</v>
      </c>
      <c r="F66" s="102" t="s">
        <v>15</v>
      </c>
      <c r="G66" s="102" t="s">
        <v>3359</v>
      </c>
      <c r="H66" s="143">
        <v>200</v>
      </c>
      <c r="I66" s="143">
        <v>200</v>
      </c>
      <c r="J66" s="102"/>
      <c r="K66" s="104"/>
      <c r="L66" s="105">
        <v>20201118</v>
      </c>
    </row>
    <row r="67" ht="16" customHeight="1" spans="1:12">
      <c r="A67" s="102">
        <v>65</v>
      </c>
      <c r="B67" s="102" t="s">
        <v>4189</v>
      </c>
      <c r="C67" s="16" t="s">
        <v>4315</v>
      </c>
      <c r="D67" s="143" t="s">
        <v>4316</v>
      </c>
      <c r="E67" s="102" t="s">
        <v>15</v>
      </c>
      <c r="F67" s="102" t="s">
        <v>15</v>
      </c>
      <c r="G67" s="102" t="s">
        <v>3359</v>
      </c>
      <c r="H67" s="143">
        <v>200</v>
      </c>
      <c r="I67" s="143">
        <v>200</v>
      </c>
      <c r="J67" s="102"/>
      <c r="K67" s="104"/>
      <c r="L67" s="105">
        <v>20201118</v>
      </c>
    </row>
    <row r="68" ht="16" customHeight="1" spans="1:12">
      <c r="A68" s="102">
        <v>66</v>
      </c>
      <c r="B68" s="102" t="s">
        <v>4189</v>
      </c>
      <c r="C68" s="16" t="s">
        <v>4317</v>
      </c>
      <c r="D68" s="143" t="s">
        <v>4318</v>
      </c>
      <c r="E68" s="102" t="s">
        <v>15</v>
      </c>
      <c r="F68" s="102" t="s">
        <v>15</v>
      </c>
      <c r="G68" s="102" t="s">
        <v>3359</v>
      </c>
      <c r="H68" s="143">
        <v>200</v>
      </c>
      <c r="I68" s="143">
        <v>200</v>
      </c>
      <c r="J68" s="102"/>
      <c r="K68" s="104"/>
      <c r="L68" s="105">
        <v>20201118</v>
      </c>
    </row>
    <row r="69" ht="16" customHeight="1" spans="1:12">
      <c r="A69" s="102">
        <v>67</v>
      </c>
      <c r="B69" s="102" t="s">
        <v>4189</v>
      </c>
      <c r="C69" s="16" t="s">
        <v>4319</v>
      </c>
      <c r="D69" s="143" t="s">
        <v>4320</v>
      </c>
      <c r="E69" s="102" t="s">
        <v>15</v>
      </c>
      <c r="F69" s="102" t="s">
        <v>15</v>
      </c>
      <c r="G69" s="102" t="s">
        <v>3359</v>
      </c>
      <c r="H69" s="143">
        <v>200</v>
      </c>
      <c r="I69" s="143">
        <v>200</v>
      </c>
      <c r="J69" s="102"/>
      <c r="K69" s="104"/>
      <c r="L69" s="105">
        <v>20201118</v>
      </c>
    </row>
    <row r="70" ht="16" customHeight="1" spans="1:12">
      <c r="A70" s="102">
        <v>68</v>
      </c>
      <c r="B70" s="102" t="s">
        <v>4189</v>
      </c>
      <c r="C70" s="16" t="s">
        <v>4321</v>
      </c>
      <c r="D70" s="143" t="s">
        <v>4322</v>
      </c>
      <c r="E70" s="102" t="s">
        <v>15</v>
      </c>
      <c r="F70" s="102" t="s">
        <v>15</v>
      </c>
      <c r="G70" s="102" t="s">
        <v>3359</v>
      </c>
      <c r="H70" s="143">
        <v>200</v>
      </c>
      <c r="I70" s="143">
        <v>200</v>
      </c>
      <c r="J70" s="102"/>
      <c r="K70" s="104"/>
      <c r="L70" s="105">
        <v>20201118</v>
      </c>
    </row>
    <row r="71" ht="16" customHeight="1" spans="1:12">
      <c r="A71" s="102">
        <v>69</v>
      </c>
      <c r="B71" s="102" t="s">
        <v>4189</v>
      </c>
      <c r="C71" s="16" t="s">
        <v>4323</v>
      </c>
      <c r="D71" s="143" t="s">
        <v>4324</v>
      </c>
      <c r="E71" s="102" t="s">
        <v>15</v>
      </c>
      <c r="F71" s="102" t="s">
        <v>15</v>
      </c>
      <c r="G71" s="102" t="s">
        <v>3359</v>
      </c>
      <c r="H71" s="143">
        <v>200</v>
      </c>
      <c r="I71" s="143">
        <v>200</v>
      </c>
      <c r="J71" s="102"/>
      <c r="K71" s="104"/>
      <c r="L71" s="105">
        <v>20201118</v>
      </c>
    </row>
    <row r="72" ht="16" customHeight="1" spans="1:12">
      <c r="A72" s="102">
        <v>70</v>
      </c>
      <c r="B72" s="102" t="s">
        <v>4189</v>
      </c>
      <c r="C72" s="16" t="s">
        <v>4325</v>
      </c>
      <c r="D72" s="143" t="s">
        <v>4326</v>
      </c>
      <c r="E72" s="102" t="s">
        <v>15</v>
      </c>
      <c r="F72" s="102" t="s">
        <v>15</v>
      </c>
      <c r="G72" s="102" t="s">
        <v>3359</v>
      </c>
      <c r="H72" s="143">
        <v>200</v>
      </c>
      <c r="I72" s="143">
        <v>200</v>
      </c>
      <c r="J72" s="102"/>
      <c r="K72" s="104"/>
      <c r="L72" s="105">
        <v>20201118</v>
      </c>
    </row>
    <row r="73" ht="16" customHeight="1" spans="1:12">
      <c r="A73" s="102">
        <v>71</v>
      </c>
      <c r="B73" s="102" t="s">
        <v>4189</v>
      </c>
      <c r="C73" s="16" t="s">
        <v>4327</v>
      </c>
      <c r="D73" s="143" t="s">
        <v>4328</v>
      </c>
      <c r="E73" s="102" t="s">
        <v>15</v>
      </c>
      <c r="F73" s="102" t="s">
        <v>15</v>
      </c>
      <c r="G73" s="102" t="s">
        <v>3359</v>
      </c>
      <c r="H73" s="143">
        <v>200</v>
      </c>
      <c r="I73" s="143">
        <v>200</v>
      </c>
      <c r="J73" s="102"/>
      <c r="K73" s="104"/>
      <c r="L73" s="105">
        <v>20201118</v>
      </c>
    </row>
    <row r="74" ht="16" customHeight="1" spans="1:12">
      <c r="A74" s="102">
        <v>72</v>
      </c>
      <c r="B74" s="102" t="s">
        <v>4189</v>
      </c>
      <c r="C74" s="16" t="s">
        <v>4329</v>
      </c>
      <c r="D74" s="143" t="s">
        <v>4330</v>
      </c>
      <c r="E74" s="102" t="s">
        <v>15</v>
      </c>
      <c r="F74" s="102" t="s">
        <v>15</v>
      </c>
      <c r="G74" s="102" t="s">
        <v>3359</v>
      </c>
      <c r="H74" s="143">
        <v>200</v>
      </c>
      <c r="I74" s="143">
        <v>200</v>
      </c>
      <c r="J74" s="102"/>
      <c r="K74" s="104"/>
      <c r="L74" s="105">
        <v>20201118</v>
      </c>
    </row>
    <row r="75" ht="16" customHeight="1" spans="1:12">
      <c r="A75" s="102">
        <v>73</v>
      </c>
      <c r="B75" s="102" t="s">
        <v>4189</v>
      </c>
      <c r="C75" s="16" t="s">
        <v>4331</v>
      </c>
      <c r="D75" s="143" t="s">
        <v>4332</v>
      </c>
      <c r="E75" s="102" t="s">
        <v>15</v>
      </c>
      <c r="F75" s="102" t="s">
        <v>15</v>
      </c>
      <c r="G75" s="102" t="s">
        <v>3359</v>
      </c>
      <c r="H75" s="143">
        <v>200</v>
      </c>
      <c r="I75" s="143">
        <v>200</v>
      </c>
      <c r="J75" s="102"/>
      <c r="K75" s="104"/>
      <c r="L75" s="105">
        <v>20201118</v>
      </c>
    </row>
    <row r="76" ht="16" customHeight="1" spans="1:12">
      <c r="A76" s="102">
        <v>74</v>
      </c>
      <c r="B76" s="102" t="s">
        <v>4189</v>
      </c>
      <c r="C76" s="16" t="s">
        <v>4333</v>
      </c>
      <c r="D76" s="143" t="s">
        <v>4334</v>
      </c>
      <c r="E76" s="102" t="s">
        <v>15</v>
      </c>
      <c r="F76" s="102" t="s">
        <v>15</v>
      </c>
      <c r="G76" s="102" t="s">
        <v>3359</v>
      </c>
      <c r="H76" s="143">
        <v>200</v>
      </c>
      <c r="I76" s="143">
        <v>200</v>
      </c>
      <c r="J76" s="102"/>
      <c r="K76" s="104"/>
      <c r="L76" s="105">
        <v>20201118</v>
      </c>
    </row>
    <row r="77" ht="16" customHeight="1" spans="1:12">
      <c r="A77" s="102">
        <v>75</v>
      </c>
      <c r="B77" s="102" t="s">
        <v>4189</v>
      </c>
      <c r="C77" s="16" t="s">
        <v>4335</v>
      </c>
      <c r="D77" s="143" t="s">
        <v>4336</v>
      </c>
      <c r="E77" s="102" t="s">
        <v>15</v>
      </c>
      <c r="F77" s="102" t="s">
        <v>15</v>
      </c>
      <c r="G77" s="102" t="s">
        <v>3359</v>
      </c>
      <c r="H77" s="143">
        <v>200</v>
      </c>
      <c r="I77" s="143">
        <v>200</v>
      </c>
      <c r="J77" s="102"/>
      <c r="K77" s="104"/>
      <c r="L77" s="105">
        <v>20201118</v>
      </c>
    </row>
    <row r="78" ht="16" customHeight="1" spans="1:12">
      <c r="A78" s="102">
        <v>76</v>
      </c>
      <c r="B78" s="102" t="s">
        <v>4189</v>
      </c>
      <c r="C78" s="16" t="s">
        <v>4337</v>
      </c>
      <c r="D78" s="143" t="s">
        <v>4338</v>
      </c>
      <c r="E78" s="102" t="s">
        <v>15</v>
      </c>
      <c r="F78" s="102" t="s">
        <v>15</v>
      </c>
      <c r="G78" s="102" t="s">
        <v>3359</v>
      </c>
      <c r="H78" s="143">
        <v>200</v>
      </c>
      <c r="I78" s="143">
        <v>200</v>
      </c>
      <c r="J78" s="102"/>
      <c r="K78" s="104"/>
      <c r="L78" s="105">
        <v>20201118</v>
      </c>
    </row>
    <row r="79" ht="16" customHeight="1" spans="1:12">
      <c r="A79" s="102">
        <v>77</v>
      </c>
      <c r="B79" s="102" t="s">
        <v>4189</v>
      </c>
      <c r="C79" s="16" t="s">
        <v>4339</v>
      </c>
      <c r="D79" s="143" t="s">
        <v>4340</v>
      </c>
      <c r="E79" s="102" t="s">
        <v>15</v>
      </c>
      <c r="F79" s="102" t="s">
        <v>15</v>
      </c>
      <c r="G79" s="102" t="s">
        <v>3359</v>
      </c>
      <c r="H79" s="143">
        <v>200</v>
      </c>
      <c r="I79" s="143">
        <v>200</v>
      </c>
      <c r="J79" s="102"/>
      <c r="K79" s="104"/>
      <c r="L79" s="105">
        <v>20201118</v>
      </c>
    </row>
    <row r="80" ht="16" customHeight="1" spans="1:12">
      <c r="A80" s="102">
        <v>78</v>
      </c>
      <c r="B80" s="102" t="s">
        <v>4189</v>
      </c>
      <c r="C80" s="16" t="s">
        <v>4341</v>
      </c>
      <c r="D80" s="143" t="s">
        <v>4342</v>
      </c>
      <c r="E80" s="102" t="s">
        <v>15</v>
      </c>
      <c r="F80" s="102" t="s">
        <v>15</v>
      </c>
      <c r="G80" s="102" t="s">
        <v>3359</v>
      </c>
      <c r="H80" s="143">
        <v>200</v>
      </c>
      <c r="I80" s="143">
        <v>200</v>
      </c>
      <c r="J80" s="102"/>
      <c r="K80" s="104"/>
      <c r="L80" s="105">
        <v>20201118</v>
      </c>
    </row>
    <row r="81" ht="16" customHeight="1" spans="1:12">
      <c r="A81" s="102">
        <v>79</v>
      </c>
      <c r="B81" s="102" t="s">
        <v>4189</v>
      </c>
      <c r="C81" s="16" t="s">
        <v>4343</v>
      </c>
      <c r="D81" s="143" t="s">
        <v>4344</v>
      </c>
      <c r="E81" s="102" t="s">
        <v>15</v>
      </c>
      <c r="F81" s="102" t="s">
        <v>15</v>
      </c>
      <c r="G81" s="102" t="s">
        <v>3359</v>
      </c>
      <c r="H81" s="143">
        <v>200</v>
      </c>
      <c r="I81" s="143">
        <v>200</v>
      </c>
      <c r="J81" s="102"/>
      <c r="K81" s="104"/>
      <c r="L81" s="105">
        <v>20201118</v>
      </c>
    </row>
    <row r="82" ht="16" customHeight="1" spans="1:12">
      <c r="A82" s="102">
        <v>80</v>
      </c>
      <c r="B82" s="102" t="s">
        <v>4189</v>
      </c>
      <c r="C82" s="16" t="s">
        <v>1106</v>
      </c>
      <c r="D82" s="143" t="s">
        <v>4345</v>
      </c>
      <c r="E82" s="102" t="s">
        <v>15</v>
      </c>
      <c r="F82" s="102" t="s">
        <v>15</v>
      </c>
      <c r="G82" s="102" t="s">
        <v>3359</v>
      </c>
      <c r="H82" s="143">
        <v>200</v>
      </c>
      <c r="I82" s="143">
        <v>200</v>
      </c>
      <c r="J82" s="102"/>
      <c r="K82" s="104"/>
      <c r="L82" s="105">
        <v>20201118</v>
      </c>
    </row>
    <row r="83" ht="16" customHeight="1" spans="1:12">
      <c r="A83" s="102">
        <v>81</v>
      </c>
      <c r="B83" s="102" t="s">
        <v>4189</v>
      </c>
      <c r="C83" s="16" t="s">
        <v>4346</v>
      </c>
      <c r="D83" s="143" t="s">
        <v>4347</v>
      </c>
      <c r="E83" s="102" t="s">
        <v>15</v>
      </c>
      <c r="F83" s="102" t="s">
        <v>15</v>
      </c>
      <c r="G83" s="102" t="s">
        <v>3359</v>
      </c>
      <c r="H83" s="143">
        <v>200</v>
      </c>
      <c r="I83" s="143">
        <v>200</v>
      </c>
      <c r="J83" s="102"/>
      <c r="K83" s="104"/>
      <c r="L83" s="105">
        <v>20201118</v>
      </c>
    </row>
    <row r="84" ht="16" customHeight="1" spans="1:12">
      <c r="A84" s="102">
        <v>82</v>
      </c>
      <c r="B84" s="102" t="s">
        <v>4189</v>
      </c>
      <c r="C84" s="16" t="s">
        <v>4348</v>
      </c>
      <c r="D84" s="143" t="s">
        <v>4349</v>
      </c>
      <c r="E84" s="102" t="s">
        <v>15</v>
      </c>
      <c r="F84" s="102" t="s">
        <v>15</v>
      </c>
      <c r="G84" s="102" t="s">
        <v>3359</v>
      </c>
      <c r="H84" s="143">
        <v>200</v>
      </c>
      <c r="I84" s="143">
        <v>200</v>
      </c>
      <c r="J84" s="102"/>
      <c r="K84" s="104"/>
      <c r="L84" s="105">
        <v>20201118</v>
      </c>
    </row>
    <row r="85" ht="16" customHeight="1" spans="1:12">
      <c r="A85" s="102">
        <v>83</v>
      </c>
      <c r="B85" s="102" t="s">
        <v>4189</v>
      </c>
      <c r="C85" s="16" t="s">
        <v>4213</v>
      </c>
      <c r="D85" s="143" t="s">
        <v>4350</v>
      </c>
      <c r="E85" s="102" t="s">
        <v>15</v>
      </c>
      <c r="F85" s="102" t="s">
        <v>15</v>
      </c>
      <c r="G85" s="102" t="s">
        <v>3359</v>
      </c>
      <c r="H85" s="143">
        <v>200</v>
      </c>
      <c r="I85" s="143">
        <v>200</v>
      </c>
      <c r="J85" s="102"/>
      <c r="K85" s="104"/>
      <c r="L85" s="105">
        <v>20201118</v>
      </c>
    </row>
    <row r="86" ht="16" customHeight="1" spans="1:12">
      <c r="A86" s="102">
        <v>84</v>
      </c>
      <c r="B86" s="102" t="s">
        <v>4189</v>
      </c>
      <c r="C86" s="16" t="s">
        <v>4351</v>
      </c>
      <c r="D86" s="143" t="s">
        <v>4352</v>
      </c>
      <c r="E86" s="102" t="s">
        <v>15</v>
      </c>
      <c r="F86" s="102" t="s">
        <v>15</v>
      </c>
      <c r="G86" s="102" t="s">
        <v>3359</v>
      </c>
      <c r="H86" s="143">
        <v>200</v>
      </c>
      <c r="I86" s="143">
        <v>200</v>
      </c>
      <c r="J86" s="102"/>
      <c r="K86" s="104"/>
      <c r="L86" s="105">
        <v>20201118</v>
      </c>
    </row>
    <row r="87" ht="16" customHeight="1" spans="1:12">
      <c r="A87" s="102">
        <v>85</v>
      </c>
      <c r="B87" s="102" t="s">
        <v>4189</v>
      </c>
      <c r="C87" s="16" t="s">
        <v>4353</v>
      </c>
      <c r="D87" s="143" t="s">
        <v>4354</v>
      </c>
      <c r="E87" s="102" t="s">
        <v>15</v>
      </c>
      <c r="F87" s="102" t="s">
        <v>15</v>
      </c>
      <c r="G87" s="102" t="s">
        <v>3359</v>
      </c>
      <c r="H87" s="143">
        <v>200</v>
      </c>
      <c r="I87" s="143">
        <v>200</v>
      </c>
      <c r="J87" s="102"/>
      <c r="K87" s="104"/>
      <c r="L87" s="105">
        <v>20201118</v>
      </c>
    </row>
    <row r="88" ht="16" customHeight="1" spans="1:12">
      <c r="A88" s="102">
        <v>86</v>
      </c>
      <c r="B88" s="102" t="s">
        <v>4189</v>
      </c>
      <c r="C88" s="16" t="s">
        <v>4355</v>
      </c>
      <c r="D88" s="143" t="s">
        <v>4356</v>
      </c>
      <c r="E88" s="102" t="s">
        <v>15</v>
      </c>
      <c r="F88" s="102" t="s">
        <v>15</v>
      </c>
      <c r="G88" s="102" t="s">
        <v>3359</v>
      </c>
      <c r="H88" s="143">
        <v>200</v>
      </c>
      <c r="I88" s="143">
        <v>200</v>
      </c>
      <c r="J88" s="102"/>
      <c r="K88" s="104"/>
      <c r="L88" s="105">
        <v>20201118</v>
      </c>
    </row>
    <row r="89" ht="16" customHeight="1" spans="1:12">
      <c r="A89" s="102">
        <v>87</v>
      </c>
      <c r="B89" s="102" t="s">
        <v>4189</v>
      </c>
      <c r="C89" s="16" t="s">
        <v>4357</v>
      </c>
      <c r="D89" s="143" t="s">
        <v>4358</v>
      </c>
      <c r="E89" s="102" t="s">
        <v>15</v>
      </c>
      <c r="F89" s="102" t="s">
        <v>15</v>
      </c>
      <c r="G89" s="102" t="s">
        <v>3359</v>
      </c>
      <c r="H89" s="143">
        <v>200</v>
      </c>
      <c r="I89" s="143">
        <v>200</v>
      </c>
      <c r="J89" s="102"/>
      <c r="K89" s="104"/>
      <c r="L89" s="105">
        <v>20201118</v>
      </c>
    </row>
    <row r="90" ht="16" customHeight="1" spans="1:12">
      <c r="A90" s="102">
        <v>88</v>
      </c>
      <c r="B90" s="102" t="s">
        <v>4189</v>
      </c>
      <c r="C90" s="16" t="s">
        <v>4359</v>
      </c>
      <c r="D90" s="143" t="s">
        <v>4360</v>
      </c>
      <c r="E90" s="102" t="s">
        <v>15</v>
      </c>
      <c r="F90" s="102" t="s">
        <v>15</v>
      </c>
      <c r="G90" s="102" t="s">
        <v>3359</v>
      </c>
      <c r="H90" s="143">
        <v>200</v>
      </c>
      <c r="I90" s="143">
        <v>200</v>
      </c>
      <c r="J90" s="102"/>
      <c r="K90" s="104"/>
      <c r="L90" s="105">
        <v>20201118</v>
      </c>
    </row>
    <row r="91" ht="16" customHeight="1" spans="1:12">
      <c r="A91" s="102">
        <v>89</v>
      </c>
      <c r="B91" s="102" t="s">
        <v>4189</v>
      </c>
      <c r="C91" s="16" t="s">
        <v>4361</v>
      </c>
      <c r="D91" s="143" t="s">
        <v>4362</v>
      </c>
      <c r="E91" s="102" t="s">
        <v>15</v>
      </c>
      <c r="F91" s="102" t="s">
        <v>15</v>
      </c>
      <c r="G91" s="102" t="s">
        <v>3359</v>
      </c>
      <c r="H91" s="143">
        <v>200</v>
      </c>
      <c r="I91" s="143">
        <v>200</v>
      </c>
      <c r="J91" s="102"/>
      <c r="K91" s="104"/>
      <c r="L91" s="105">
        <v>20201118</v>
      </c>
    </row>
    <row r="92" ht="16" customHeight="1" spans="1:12">
      <c r="A92" s="102">
        <v>90</v>
      </c>
      <c r="B92" s="102" t="s">
        <v>4189</v>
      </c>
      <c r="C92" s="16" t="s">
        <v>4363</v>
      </c>
      <c r="D92" s="143" t="s">
        <v>4364</v>
      </c>
      <c r="E92" s="102" t="s">
        <v>15</v>
      </c>
      <c r="F92" s="102" t="s">
        <v>15</v>
      </c>
      <c r="G92" s="102" t="s">
        <v>3359</v>
      </c>
      <c r="H92" s="143">
        <v>200</v>
      </c>
      <c r="I92" s="143">
        <v>200</v>
      </c>
      <c r="J92" s="102"/>
      <c r="K92" s="104"/>
      <c r="L92" s="105">
        <v>20201118</v>
      </c>
    </row>
    <row r="93" ht="16" customHeight="1" spans="1:12">
      <c r="A93" s="102">
        <v>91</v>
      </c>
      <c r="B93" s="102" t="s">
        <v>4189</v>
      </c>
      <c r="C93" s="16" t="s">
        <v>4365</v>
      </c>
      <c r="D93" s="143" t="s">
        <v>4366</v>
      </c>
      <c r="E93" s="102" t="s">
        <v>15</v>
      </c>
      <c r="F93" s="102" t="s">
        <v>15</v>
      </c>
      <c r="G93" s="102" t="s">
        <v>3359</v>
      </c>
      <c r="H93" s="143">
        <v>200</v>
      </c>
      <c r="I93" s="143">
        <v>200</v>
      </c>
      <c r="J93" s="102"/>
      <c r="K93" s="104"/>
      <c r="L93" s="105">
        <v>20201118</v>
      </c>
    </row>
    <row r="94" ht="16" customHeight="1" spans="1:12">
      <c r="A94" s="102">
        <v>92</v>
      </c>
      <c r="B94" s="102" t="s">
        <v>4189</v>
      </c>
      <c r="C94" s="16" t="s">
        <v>4367</v>
      </c>
      <c r="D94" s="143" t="s">
        <v>4368</v>
      </c>
      <c r="E94" s="102" t="s">
        <v>15</v>
      </c>
      <c r="F94" s="102" t="s">
        <v>15</v>
      </c>
      <c r="G94" s="102" t="s">
        <v>3359</v>
      </c>
      <c r="H94" s="143">
        <v>200</v>
      </c>
      <c r="I94" s="143">
        <v>200</v>
      </c>
      <c r="J94" s="102"/>
      <c r="K94" s="104"/>
      <c r="L94" s="105">
        <v>20201118</v>
      </c>
    </row>
    <row r="95" ht="16" customHeight="1" spans="1:12">
      <c r="A95" s="102">
        <v>93</v>
      </c>
      <c r="B95" s="102" t="s">
        <v>4189</v>
      </c>
      <c r="C95" s="16" t="s">
        <v>4369</v>
      </c>
      <c r="D95" s="143" t="s">
        <v>4370</v>
      </c>
      <c r="E95" s="102" t="s">
        <v>15</v>
      </c>
      <c r="F95" s="102" t="s">
        <v>15</v>
      </c>
      <c r="G95" s="102" t="s">
        <v>3359</v>
      </c>
      <c r="H95" s="143">
        <v>200</v>
      </c>
      <c r="I95" s="143">
        <v>200</v>
      </c>
      <c r="J95" s="102"/>
      <c r="K95" s="104"/>
      <c r="L95" s="105">
        <v>20201118</v>
      </c>
    </row>
    <row r="96" ht="16" customHeight="1" spans="1:12">
      <c r="A96" s="102">
        <v>94</v>
      </c>
      <c r="B96" s="102" t="s">
        <v>4189</v>
      </c>
      <c r="C96" s="16" t="s">
        <v>4371</v>
      </c>
      <c r="D96" s="143" t="s">
        <v>4372</v>
      </c>
      <c r="E96" s="102" t="s">
        <v>15</v>
      </c>
      <c r="F96" s="102" t="s">
        <v>15</v>
      </c>
      <c r="G96" s="102" t="s">
        <v>3359</v>
      </c>
      <c r="H96" s="143">
        <v>200</v>
      </c>
      <c r="I96" s="143">
        <v>200</v>
      </c>
      <c r="J96" s="102"/>
      <c r="K96" s="104"/>
      <c r="L96" s="105">
        <v>20201118</v>
      </c>
    </row>
    <row r="97" ht="16" customHeight="1" spans="1:12">
      <c r="A97" s="102">
        <v>95</v>
      </c>
      <c r="B97" s="102" t="s">
        <v>4189</v>
      </c>
      <c r="C97" s="16" t="s">
        <v>4373</v>
      </c>
      <c r="D97" s="143" t="s">
        <v>4374</v>
      </c>
      <c r="E97" s="102" t="s">
        <v>15</v>
      </c>
      <c r="F97" s="102" t="s">
        <v>15</v>
      </c>
      <c r="G97" s="102" t="s">
        <v>3359</v>
      </c>
      <c r="H97" s="143">
        <v>200</v>
      </c>
      <c r="I97" s="143">
        <v>200</v>
      </c>
      <c r="J97" s="102"/>
      <c r="K97" s="104"/>
      <c r="L97" s="105">
        <v>20201118</v>
      </c>
    </row>
    <row r="98" ht="16" customHeight="1" spans="1:12">
      <c r="A98" s="102">
        <v>96</v>
      </c>
      <c r="B98" s="102" t="s">
        <v>4189</v>
      </c>
      <c r="C98" s="16" t="s">
        <v>4375</v>
      </c>
      <c r="D98" s="143" t="s">
        <v>4376</v>
      </c>
      <c r="E98" s="102" t="s">
        <v>15</v>
      </c>
      <c r="F98" s="102" t="s">
        <v>15</v>
      </c>
      <c r="G98" s="102" t="s">
        <v>3359</v>
      </c>
      <c r="H98" s="143">
        <v>200</v>
      </c>
      <c r="I98" s="143">
        <v>200</v>
      </c>
      <c r="J98" s="102"/>
      <c r="K98" s="104"/>
      <c r="L98" s="105">
        <v>20201118</v>
      </c>
    </row>
    <row r="99" ht="16" customHeight="1" spans="1:12">
      <c r="A99" s="102">
        <v>97</v>
      </c>
      <c r="B99" s="102" t="s">
        <v>4189</v>
      </c>
      <c r="C99" s="16" t="s">
        <v>4377</v>
      </c>
      <c r="D99" s="143" t="s">
        <v>4378</v>
      </c>
      <c r="E99" s="102" t="s">
        <v>15</v>
      </c>
      <c r="F99" s="102" t="s">
        <v>15</v>
      </c>
      <c r="G99" s="102" t="s">
        <v>3359</v>
      </c>
      <c r="H99" s="143">
        <v>200</v>
      </c>
      <c r="I99" s="143">
        <v>200</v>
      </c>
      <c r="J99" s="102"/>
      <c r="K99" s="104"/>
      <c r="L99" s="105">
        <v>20201118</v>
      </c>
    </row>
    <row r="100" ht="16" customHeight="1" spans="1:12">
      <c r="A100" s="102">
        <v>98</v>
      </c>
      <c r="B100" s="102" t="s">
        <v>4189</v>
      </c>
      <c r="C100" s="16" t="s">
        <v>1106</v>
      </c>
      <c r="D100" s="143" t="s">
        <v>4379</v>
      </c>
      <c r="E100" s="102" t="s">
        <v>15</v>
      </c>
      <c r="F100" s="102" t="s">
        <v>15</v>
      </c>
      <c r="G100" s="102" t="s">
        <v>3359</v>
      </c>
      <c r="H100" s="143">
        <v>200</v>
      </c>
      <c r="I100" s="143">
        <v>200</v>
      </c>
      <c r="J100" s="102"/>
      <c r="K100" s="104"/>
      <c r="L100" s="105">
        <v>20201118</v>
      </c>
    </row>
    <row r="101" ht="16" customHeight="1" spans="1:12">
      <c r="A101" s="102">
        <v>99</v>
      </c>
      <c r="B101" s="102" t="s">
        <v>4189</v>
      </c>
      <c r="C101" s="16" t="s">
        <v>4380</v>
      </c>
      <c r="D101" s="143" t="s">
        <v>4381</v>
      </c>
      <c r="E101" s="102" t="s">
        <v>15</v>
      </c>
      <c r="F101" s="102" t="s">
        <v>15</v>
      </c>
      <c r="G101" s="102" t="s">
        <v>3359</v>
      </c>
      <c r="H101" s="143">
        <v>200</v>
      </c>
      <c r="I101" s="143">
        <v>200</v>
      </c>
      <c r="J101" s="102"/>
      <c r="K101" s="104"/>
      <c r="L101" s="105">
        <v>20201118</v>
      </c>
    </row>
    <row r="102" ht="16" customHeight="1" spans="1:12">
      <c r="A102" s="102">
        <v>100</v>
      </c>
      <c r="B102" s="102" t="s">
        <v>4189</v>
      </c>
      <c r="C102" s="16" t="s">
        <v>4382</v>
      </c>
      <c r="D102" s="143" t="s">
        <v>4383</v>
      </c>
      <c r="E102" s="102" t="s">
        <v>15</v>
      </c>
      <c r="F102" s="102" t="s">
        <v>15</v>
      </c>
      <c r="G102" s="102" t="s">
        <v>3359</v>
      </c>
      <c r="H102" s="143">
        <v>200</v>
      </c>
      <c r="I102" s="143">
        <v>200</v>
      </c>
      <c r="J102" s="102"/>
      <c r="K102" s="104"/>
      <c r="L102" s="105">
        <v>20201118</v>
      </c>
    </row>
    <row r="103" ht="16" customHeight="1" spans="1:12">
      <c r="A103" s="102">
        <v>101</v>
      </c>
      <c r="B103" s="102" t="s">
        <v>4189</v>
      </c>
      <c r="C103" s="16" t="s">
        <v>4384</v>
      </c>
      <c r="D103" s="143" t="s">
        <v>4385</v>
      </c>
      <c r="E103" s="102" t="s">
        <v>15</v>
      </c>
      <c r="F103" s="102" t="s">
        <v>15</v>
      </c>
      <c r="G103" s="102" t="s">
        <v>3359</v>
      </c>
      <c r="H103" s="143">
        <v>200</v>
      </c>
      <c r="I103" s="143">
        <v>200</v>
      </c>
      <c r="J103" s="102"/>
      <c r="K103" s="104"/>
      <c r="L103" s="105">
        <v>20201118</v>
      </c>
    </row>
    <row r="104" ht="16" customHeight="1" spans="1:12">
      <c r="A104" s="102">
        <v>102</v>
      </c>
      <c r="B104" s="102" t="s">
        <v>4189</v>
      </c>
      <c r="C104" s="16" t="s">
        <v>4386</v>
      </c>
      <c r="D104" s="143" t="s">
        <v>4387</v>
      </c>
      <c r="E104" s="102" t="s">
        <v>15</v>
      </c>
      <c r="F104" s="102" t="s">
        <v>15</v>
      </c>
      <c r="G104" s="102" t="s">
        <v>3359</v>
      </c>
      <c r="H104" s="143">
        <v>200</v>
      </c>
      <c r="I104" s="143">
        <v>200</v>
      </c>
      <c r="J104" s="102"/>
      <c r="K104" s="104"/>
      <c r="L104" s="105">
        <v>20201118</v>
      </c>
    </row>
    <row r="105" ht="16" customHeight="1" spans="1:12">
      <c r="A105" s="102">
        <v>103</v>
      </c>
      <c r="B105" s="102" t="s">
        <v>4189</v>
      </c>
      <c r="C105" s="16" t="s">
        <v>4388</v>
      </c>
      <c r="D105" s="143" t="s">
        <v>4389</v>
      </c>
      <c r="E105" s="102" t="s">
        <v>15</v>
      </c>
      <c r="F105" s="102" t="s">
        <v>15</v>
      </c>
      <c r="G105" s="102" t="s">
        <v>3359</v>
      </c>
      <c r="H105" s="143">
        <v>200</v>
      </c>
      <c r="I105" s="143">
        <v>200</v>
      </c>
      <c r="J105" s="102"/>
      <c r="K105" s="104"/>
      <c r="L105" s="105">
        <v>20201118</v>
      </c>
    </row>
    <row r="106" ht="16" customHeight="1" spans="1:12">
      <c r="A106" s="102">
        <v>104</v>
      </c>
      <c r="B106" s="102" t="s">
        <v>4189</v>
      </c>
      <c r="C106" s="16" t="s">
        <v>4390</v>
      </c>
      <c r="D106" s="143" t="s">
        <v>4391</v>
      </c>
      <c r="E106" s="102" t="s">
        <v>15</v>
      </c>
      <c r="F106" s="102" t="s">
        <v>15</v>
      </c>
      <c r="G106" s="102" t="s">
        <v>3359</v>
      </c>
      <c r="H106" s="143">
        <v>200</v>
      </c>
      <c r="I106" s="143">
        <v>200</v>
      </c>
      <c r="J106" s="102"/>
      <c r="K106" s="104"/>
      <c r="L106" s="105">
        <v>20201118</v>
      </c>
    </row>
    <row r="107" ht="16" customHeight="1" spans="1:12">
      <c r="A107" s="102">
        <v>105</v>
      </c>
      <c r="B107" s="102" t="s">
        <v>4189</v>
      </c>
      <c r="C107" s="16" t="s">
        <v>4392</v>
      </c>
      <c r="D107" s="143" t="s">
        <v>4393</v>
      </c>
      <c r="E107" s="102" t="s">
        <v>15</v>
      </c>
      <c r="F107" s="102" t="s">
        <v>15</v>
      </c>
      <c r="G107" s="102" t="s">
        <v>3359</v>
      </c>
      <c r="H107" s="143">
        <v>200</v>
      </c>
      <c r="I107" s="143">
        <v>200</v>
      </c>
      <c r="J107" s="102"/>
      <c r="K107" s="104"/>
      <c r="L107" s="105">
        <v>20201118</v>
      </c>
    </row>
    <row r="108" ht="16" customHeight="1" spans="1:12">
      <c r="A108" s="102">
        <v>106</v>
      </c>
      <c r="B108" s="102" t="s">
        <v>4189</v>
      </c>
      <c r="C108" s="16" t="s">
        <v>4394</v>
      </c>
      <c r="D108" s="143" t="s">
        <v>4395</v>
      </c>
      <c r="E108" s="102" t="s">
        <v>15</v>
      </c>
      <c r="F108" s="102" t="s">
        <v>15</v>
      </c>
      <c r="G108" s="102" t="s">
        <v>3359</v>
      </c>
      <c r="H108" s="143">
        <v>200</v>
      </c>
      <c r="I108" s="143">
        <v>200</v>
      </c>
      <c r="J108" s="102"/>
      <c r="K108" s="104"/>
      <c r="L108" s="105">
        <v>20201118</v>
      </c>
    </row>
    <row r="109" ht="16" customHeight="1" spans="1:12">
      <c r="A109" s="102">
        <v>107</v>
      </c>
      <c r="B109" s="102" t="s">
        <v>4189</v>
      </c>
      <c r="C109" s="16" t="s">
        <v>4396</v>
      </c>
      <c r="D109" s="143" t="s">
        <v>4397</v>
      </c>
      <c r="E109" s="102" t="s">
        <v>15</v>
      </c>
      <c r="F109" s="102" t="s">
        <v>15</v>
      </c>
      <c r="G109" s="102" t="s">
        <v>3359</v>
      </c>
      <c r="H109" s="143">
        <v>200</v>
      </c>
      <c r="I109" s="143">
        <v>200</v>
      </c>
      <c r="J109" s="102"/>
      <c r="K109" s="104"/>
      <c r="L109" s="105">
        <v>20201118</v>
      </c>
    </row>
    <row r="110" ht="16" customHeight="1" spans="1:12">
      <c r="A110" s="102">
        <v>108</v>
      </c>
      <c r="B110" s="102" t="s">
        <v>4189</v>
      </c>
      <c r="C110" s="16" t="s">
        <v>4398</v>
      </c>
      <c r="D110" s="143" t="s">
        <v>4399</v>
      </c>
      <c r="E110" s="102" t="s">
        <v>15</v>
      </c>
      <c r="F110" s="102" t="s">
        <v>15</v>
      </c>
      <c r="G110" s="102" t="s">
        <v>3359</v>
      </c>
      <c r="H110" s="143">
        <v>500</v>
      </c>
      <c r="I110" s="143">
        <v>500</v>
      </c>
      <c r="J110" s="102"/>
      <c r="K110" s="104"/>
      <c r="L110" s="105">
        <v>20201118</v>
      </c>
    </row>
    <row r="111" ht="16" customHeight="1" spans="1:12">
      <c r="A111" s="102">
        <v>109</v>
      </c>
      <c r="B111" s="102" t="s">
        <v>4189</v>
      </c>
      <c r="C111" s="16" t="s">
        <v>4400</v>
      </c>
      <c r="D111" s="143" t="s">
        <v>4401</v>
      </c>
      <c r="E111" s="102" t="s">
        <v>15</v>
      </c>
      <c r="F111" s="102" t="s">
        <v>15</v>
      </c>
      <c r="G111" s="102" t="s">
        <v>3359</v>
      </c>
      <c r="H111" s="143">
        <v>500</v>
      </c>
      <c r="I111" s="143">
        <v>500</v>
      </c>
      <c r="J111" s="102"/>
      <c r="K111" s="104"/>
      <c r="L111" s="105">
        <v>20201118</v>
      </c>
    </row>
    <row r="112" ht="16" customHeight="1" spans="1:12">
      <c r="A112" s="102">
        <v>110</v>
      </c>
      <c r="B112" s="102" t="s">
        <v>4189</v>
      </c>
      <c r="C112" s="16" t="s">
        <v>4402</v>
      </c>
      <c r="D112" s="143" t="s">
        <v>4403</v>
      </c>
      <c r="E112" s="102" t="s">
        <v>15</v>
      </c>
      <c r="F112" s="102" t="s">
        <v>15</v>
      </c>
      <c r="G112" s="102" t="s">
        <v>3359</v>
      </c>
      <c r="H112" s="143">
        <v>200</v>
      </c>
      <c r="I112" s="143">
        <v>200</v>
      </c>
      <c r="J112" s="102"/>
      <c r="K112" s="104"/>
      <c r="L112" s="105">
        <v>20201118</v>
      </c>
    </row>
    <row r="113" ht="16" customHeight="1" spans="1:12">
      <c r="A113" s="102">
        <v>111</v>
      </c>
      <c r="B113" s="102" t="s">
        <v>4189</v>
      </c>
      <c r="C113" s="16" t="s">
        <v>4404</v>
      </c>
      <c r="D113" s="143" t="s">
        <v>4405</v>
      </c>
      <c r="E113" s="102" t="s">
        <v>15</v>
      </c>
      <c r="F113" s="102" t="s">
        <v>15</v>
      </c>
      <c r="G113" s="102" t="s">
        <v>3359</v>
      </c>
      <c r="H113" s="143">
        <v>200</v>
      </c>
      <c r="I113" s="143">
        <v>200</v>
      </c>
      <c r="J113" s="102"/>
      <c r="K113" s="104"/>
      <c r="L113" s="105">
        <v>20201118</v>
      </c>
    </row>
    <row r="114" ht="16" customHeight="1" spans="1:12">
      <c r="A114" s="102">
        <v>112</v>
      </c>
      <c r="B114" s="102" t="s">
        <v>4189</v>
      </c>
      <c r="C114" s="16" t="s">
        <v>4406</v>
      </c>
      <c r="D114" s="143" t="s">
        <v>4407</v>
      </c>
      <c r="E114" s="102" t="s">
        <v>15</v>
      </c>
      <c r="F114" s="102" t="s">
        <v>15</v>
      </c>
      <c r="G114" s="102" t="s">
        <v>3359</v>
      </c>
      <c r="H114" s="143">
        <v>500</v>
      </c>
      <c r="I114" s="143">
        <v>500</v>
      </c>
      <c r="J114" s="102"/>
      <c r="K114" s="104"/>
      <c r="L114" s="105">
        <v>20201118</v>
      </c>
    </row>
    <row r="115" ht="16" customHeight="1" spans="1:12">
      <c r="A115" s="102">
        <v>113</v>
      </c>
      <c r="B115" s="102" t="s">
        <v>4189</v>
      </c>
      <c r="C115" s="16" t="s">
        <v>4408</v>
      </c>
      <c r="D115" s="143" t="s">
        <v>4409</v>
      </c>
      <c r="E115" s="102" t="s">
        <v>15</v>
      </c>
      <c r="F115" s="102" t="s">
        <v>15</v>
      </c>
      <c r="G115" s="102" t="s">
        <v>3359</v>
      </c>
      <c r="H115" s="143">
        <v>500</v>
      </c>
      <c r="I115" s="143">
        <v>500</v>
      </c>
      <c r="J115" s="102"/>
      <c r="K115" s="104"/>
      <c r="L115" s="105">
        <v>20201118</v>
      </c>
    </row>
    <row r="116" ht="16" customHeight="1" spans="1:12">
      <c r="A116" s="102">
        <v>114</v>
      </c>
      <c r="B116" s="102" t="s">
        <v>4189</v>
      </c>
      <c r="C116" s="16" t="s">
        <v>4410</v>
      </c>
      <c r="D116" s="143" t="s">
        <v>4411</v>
      </c>
      <c r="E116" s="102" t="s">
        <v>15</v>
      </c>
      <c r="F116" s="102" t="s">
        <v>15</v>
      </c>
      <c r="G116" s="102" t="s">
        <v>3359</v>
      </c>
      <c r="H116" s="143">
        <v>200</v>
      </c>
      <c r="I116" s="143">
        <v>200</v>
      </c>
      <c r="J116" s="102"/>
      <c r="K116" s="104"/>
      <c r="L116" s="105">
        <v>20201118</v>
      </c>
    </row>
    <row r="117" ht="16" customHeight="1" spans="1:12">
      <c r="A117" s="102">
        <v>115</v>
      </c>
      <c r="B117" s="102" t="s">
        <v>4189</v>
      </c>
      <c r="C117" s="16" t="s">
        <v>4412</v>
      </c>
      <c r="D117" s="143" t="s">
        <v>4413</v>
      </c>
      <c r="E117" s="102" t="s">
        <v>15</v>
      </c>
      <c r="F117" s="102" t="s">
        <v>15</v>
      </c>
      <c r="G117" s="102" t="s">
        <v>3359</v>
      </c>
      <c r="H117" s="143">
        <v>500</v>
      </c>
      <c r="I117" s="143">
        <v>500</v>
      </c>
      <c r="J117" s="102"/>
      <c r="K117" s="104"/>
      <c r="L117" s="105">
        <v>20201118</v>
      </c>
    </row>
    <row r="118" ht="16" customHeight="1" spans="1:12">
      <c r="A118" s="102">
        <v>116</v>
      </c>
      <c r="B118" s="102" t="s">
        <v>4189</v>
      </c>
      <c r="C118" s="16" t="s">
        <v>4414</v>
      </c>
      <c r="D118" s="143" t="s">
        <v>4415</v>
      </c>
      <c r="E118" s="102" t="s">
        <v>15</v>
      </c>
      <c r="F118" s="102" t="s">
        <v>15</v>
      </c>
      <c r="G118" s="102" t="s">
        <v>3359</v>
      </c>
      <c r="H118" s="143">
        <v>200</v>
      </c>
      <c r="I118" s="143">
        <v>200</v>
      </c>
      <c r="J118" s="102"/>
      <c r="K118" s="104"/>
      <c r="L118" s="105">
        <v>20201118</v>
      </c>
    </row>
    <row r="119" ht="16" customHeight="1" spans="1:12">
      <c r="A119" s="102">
        <v>117</v>
      </c>
      <c r="B119" s="102" t="s">
        <v>4189</v>
      </c>
      <c r="C119" s="16" t="s">
        <v>4416</v>
      </c>
      <c r="D119" s="143" t="s">
        <v>4417</v>
      </c>
      <c r="E119" s="102" t="s">
        <v>15</v>
      </c>
      <c r="F119" s="102" t="s">
        <v>15</v>
      </c>
      <c r="G119" s="102" t="s">
        <v>3359</v>
      </c>
      <c r="H119" s="143">
        <v>200</v>
      </c>
      <c r="I119" s="143">
        <v>200</v>
      </c>
      <c r="J119" s="102"/>
      <c r="K119" s="104"/>
      <c r="L119" s="105">
        <v>20201118</v>
      </c>
    </row>
    <row r="120" ht="16" customHeight="1" spans="1:12">
      <c r="A120" s="102">
        <v>118</v>
      </c>
      <c r="B120" s="102" t="s">
        <v>4189</v>
      </c>
      <c r="C120" s="16" t="s">
        <v>4418</v>
      </c>
      <c r="D120" s="143" t="s">
        <v>4419</v>
      </c>
      <c r="E120" s="102" t="s">
        <v>15</v>
      </c>
      <c r="F120" s="102" t="s">
        <v>15</v>
      </c>
      <c r="G120" s="102" t="s">
        <v>3359</v>
      </c>
      <c r="H120" s="143">
        <v>200</v>
      </c>
      <c r="I120" s="143">
        <v>200</v>
      </c>
      <c r="J120" s="102"/>
      <c r="K120" s="104"/>
      <c r="L120" s="105">
        <v>20201118</v>
      </c>
    </row>
    <row r="121" ht="16" customHeight="1" spans="1:12">
      <c r="A121" s="102">
        <v>119</v>
      </c>
      <c r="B121" s="102" t="s">
        <v>4189</v>
      </c>
      <c r="C121" s="16" t="s">
        <v>4420</v>
      </c>
      <c r="D121" s="143" t="s">
        <v>4421</v>
      </c>
      <c r="E121" s="102" t="s">
        <v>15</v>
      </c>
      <c r="F121" s="102" t="s">
        <v>15</v>
      </c>
      <c r="G121" s="102" t="s">
        <v>3359</v>
      </c>
      <c r="H121" s="143">
        <v>200</v>
      </c>
      <c r="I121" s="143">
        <v>200</v>
      </c>
      <c r="J121" s="102"/>
      <c r="K121" s="104"/>
      <c r="L121" s="105">
        <v>20201118</v>
      </c>
    </row>
    <row r="122" ht="16" customHeight="1" spans="1:12">
      <c r="A122" s="102">
        <v>120</v>
      </c>
      <c r="B122" s="102" t="s">
        <v>4189</v>
      </c>
      <c r="C122" s="16" t="s">
        <v>4422</v>
      </c>
      <c r="D122" s="143" t="s">
        <v>4423</v>
      </c>
      <c r="E122" s="102" t="s">
        <v>15</v>
      </c>
      <c r="F122" s="102" t="s">
        <v>15</v>
      </c>
      <c r="G122" s="102" t="s">
        <v>3359</v>
      </c>
      <c r="H122" s="143">
        <v>200</v>
      </c>
      <c r="I122" s="143">
        <v>200</v>
      </c>
      <c r="J122" s="102"/>
      <c r="K122" s="104"/>
      <c r="L122" s="105">
        <v>20201118</v>
      </c>
    </row>
    <row r="123" ht="16" customHeight="1" spans="1:12">
      <c r="A123" s="102">
        <v>121</v>
      </c>
      <c r="B123" s="102" t="s">
        <v>4189</v>
      </c>
      <c r="C123" s="16" t="s">
        <v>4424</v>
      </c>
      <c r="D123" s="143" t="s">
        <v>4425</v>
      </c>
      <c r="E123" s="102" t="s">
        <v>15</v>
      </c>
      <c r="F123" s="102" t="s">
        <v>15</v>
      </c>
      <c r="G123" s="102" t="s">
        <v>3359</v>
      </c>
      <c r="H123" s="143">
        <v>200</v>
      </c>
      <c r="I123" s="143">
        <v>200</v>
      </c>
      <c r="J123" s="102"/>
      <c r="K123" s="104"/>
      <c r="L123" s="105">
        <v>20201118</v>
      </c>
    </row>
    <row r="124" ht="16" customHeight="1" spans="1:12">
      <c r="A124" s="102">
        <v>122</v>
      </c>
      <c r="B124" s="102" t="s">
        <v>4189</v>
      </c>
      <c r="C124" s="16" t="s">
        <v>4426</v>
      </c>
      <c r="D124" s="143" t="s">
        <v>4427</v>
      </c>
      <c r="E124" s="102" t="s">
        <v>15</v>
      </c>
      <c r="F124" s="102" t="s">
        <v>15</v>
      </c>
      <c r="G124" s="102" t="s">
        <v>3359</v>
      </c>
      <c r="H124" s="143">
        <v>200</v>
      </c>
      <c r="I124" s="143">
        <v>200</v>
      </c>
      <c r="J124" s="102"/>
      <c r="K124" s="104"/>
      <c r="L124" s="105">
        <v>20201118</v>
      </c>
    </row>
    <row r="125" ht="16" customHeight="1" spans="1:12">
      <c r="A125" s="102">
        <v>123</v>
      </c>
      <c r="B125" s="102" t="s">
        <v>4189</v>
      </c>
      <c r="C125" s="16" t="s">
        <v>4428</v>
      </c>
      <c r="D125" s="143" t="s">
        <v>4429</v>
      </c>
      <c r="E125" s="102" t="s">
        <v>15</v>
      </c>
      <c r="F125" s="102" t="s">
        <v>15</v>
      </c>
      <c r="G125" s="102" t="s">
        <v>3359</v>
      </c>
      <c r="H125" s="143">
        <v>200</v>
      </c>
      <c r="I125" s="143">
        <v>200</v>
      </c>
      <c r="J125" s="102"/>
      <c r="K125" s="104"/>
      <c r="L125" s="105">
        <v>20201118</v>
      </c>
    </row>
    <row r="126" ht="16" customHeight="1" spans="1:12">
      <c r="A126" s="102">
        <v>124</v>
      </c>
      <c r="B126" s="102" t="s">
        <v>4189</v>
      </c>
      <c r="C126" s="16" t="s">
        <v>4430</v>
      </c>
      <c r="D126" s="143" t="s">
        <v>4431</v>
      </c>
      <c r="E126" s="102" t="s">
        <v>15</v>
      </c>
      <c r="F126" s="102" t="s">
        <v>15</v>
      </c>
      <c r="G126" s="102" t="s">
        <v>3359</v>
      </c>
      <c r="H126" s="143">
        <v>200</v>
      </c>
      <c r="I126" s="143">
        <v>200</v>
      </c>
      <c r="J126" s="102"/>
      <c r="K126" s="104"/>
      <c r="L126" s="105">
        <v>20201118</v>
      </c>
    </row>
    <row r="127" ht="16" customHeight="1" spans="1:12">
      <c r="A127" s="102">
        <v>125</v>
      </c>
      <c r="B127" s="102" t="s">
        <v>4189</v>
      </c>
      <c r="C127" s="16" t="s">
        <v>2489</v>
      </c>
      <c r="D127" s="143" t="s">
        <v>4432</v>
      </c>
      <c r="E127" s="102" t="s">
        <v>15</v>
      </c>
      <c r="F127" s="102" t="s">
        <v>15</v>
      </c>
      <c r="G127" s="102" t="s">
        <v>3359</v>
      </c>
      <c r="H127" s="143">
        <v>200</v>
      </c>
      <c r="I127" s="143">
        <v>200</v>
      </c>
      <c r="J127" s="102"/>
      <c r="K127" s="104"/>
      <c r="L127" s="105">
        <v>20201118</v>
      </c>
    </row>
    <row r="128" ht="16" customHeight="1" spans="1:12">
      <c r="A128" s="102">
        <v>126</v>
      </c>
      <c r="B128" s="102" t="s">
        <v>4189</v>
      </c>
      <c r="C128" s="16" t="s">
        <v>4433</v>
      </c>
      <c r="D128" s="143" t="s">
        <v>4434</v>
      </c>
      <c r="E128" s="102" t="s">
        <v>15</v>
      </c>
      <c r="F128" s="102" t="s">
        <v>15</v>
      </c>
      <c r="G128" s="102" t="s">
        <v>3359</v>
      </c>
      <c r="H128" s="143">
        <v>200</v>
      </c>
      <c r="I128" s="143">
        <v>200</v>
      </c>
      <c r="J128" s="102"/>
      <c r="K128" s="104"/>
      <c r="L128" s="105">
        <v>20201118</v>
      </c>
    </row>
    <row r="129" ht="16" customHeight="1" spans="1:12">
      <c r="A129" s="102">
        <v>127</v>
      </c>
      <c r="B129" s="102" t="s">
        <v>4189</v>
      </c>
      <c r="C129" s="16" t="s">
        <v>4435</v>
      </c>
      <c r="D129" s="143" t="s">
        <v>4436</v>
      </c>
      <c r="E129" s="102" t="s">
        <v>15</v>
      </c>
      <c r="F129" s="102" t="s">
        <v>15</v>
      </c>
      <c r="G129" s="102" t="s">
        <v>3359</v>
      </c>
      <c r="H129" s="143">
        <v>200</v>
      </c>
      <c r="I129" s="143">
        <v>200</v>
      </c>
      <c r="J129" s="102"/>
      <c r="K129" s="104"/>
      <c r="L129" s="105">
        <v>20201118</v>
      </c>
    </row>
    <row r="130" ht="16" customHeight="1" spans="1:12">
      <c r="A130" s="102">
        <v>128</v>
      </c>
      <c r="B130" s="102" t="s">
        <v>4189</v>
      </c>
      <c r="C130" s="16" t="s">
        <v>4437</v>
      </c>
      <c r="D130" s="143" t="s">
        <v>4438</v>
      </c>
      <c r="E130" s="102" t="s">
        <v>15</v>
      </c>
      <c r="F130" s="102" t="s">
        <v>15</v>
      </c>
      <c r="G130" s="102" t="s">
        <v>3359</v>
      </c>
      <c r="H130" s="143">
        <v>200</v>
      </c>
      <c r="I130" s="143">
        <v>200</v>
      </c>
      <c r="J130" s="102"/>
      <c r="K130" s="104"/>
      <c r="L130" s="105">
        <v>20201118</v>
      </c>
    </row>
    <row r="131" ht="16" customHeight="1" spans="1:12">
      <c r="A131" s="102">
        <v>129</v>
      </c>
      <c r="B131" s="102" t="s">
        <v>4189</v>
      </c>
      <c r="C131" s="16" t="s">
        <v>4439</v>
      </c>
      <c r="D131" s="143" t="s">
        <v>4440</v>
      </c>
      <c r="E131" s="102" t="s">
        <v>15</v>
      </c>
      <c r="F131" s="102" t="s">
        <v>15</v>
      </c>
      <c r="G131" s="102" t="s">
        <v>3359</v>
      </c>
      <c r="H131" s="143">
        <v>200</v>
      </c>
      <c r="I131" s="143">
        <v>200</v>
      </c>
      <c r="J131" s="102"/>
      <c r="K131" s="104"/>
      <c r="L131" s="105">
        <v>20201118</v>
      </c>
    </row>
    <row r="132" ht="16" customHeight="1" spans="1:12">
      <c r="A132" s="102">
        <v>130</v>
      </c>
      <c r="B132" s="102" t="s">
        <v>4189</v>
      </c>
      <c r="C132" s="16" t="s">
        <v>4441</v>
      </c>
      <c r="D132" s="143" t="s">
        <v>4442</v>
      </c>
      <c r="E132" s="102" t="s">
        <v>15</v>
      </c>
      <c r="F132" s="102" t="s">
        <v>15</v>
      </c>
      <c r="G132" s="102" t="s">
        <v>3359</v>
      </c>
      <c r="H132" s="143">
        <v>500</v>
      </c>
      <c r="I132" s="143">
        <v>500</v>
      </c>
      <c r="J132" s="102"/>
      <c r="K132" s="104"/>
      <c r="L132" s="105">
        <v>20201118</v>
      </c>
    </row>
    <row r="133" ht="16" customHeight="1" spans="1:12">
      <c r="A133" s="102">
        <v>131</v>
      </c>
      <c r="B133" s="102" t="s">
        <v>4189</v>
      </c>
      <c r="C133" s="16" t="s">
        <v>4443</v>
      </c>
      <c r="D133" s="143" t="s">
        <v>4444</v>
      </c>
      <c r="E133" s="102" t="s">
        <v>15</v>
      </c>
      <c r="F133" s="102" t="s">
        <v>15</v>
      </c>
      <c r="G133" s="102" t="s">
        <v>3359</v>
      </c>
      <c r="H133" s="143">
        <v>500</v>
      </c>
      <c r="I133" s="143">
        <v>500</v>
      </c>
      <c r="J133" s="102"/>
      <c r="K133" s="104"/>
      <c r="L133" s="105">
        <v>20201118</v>
      </c>
    </row>
    <row r="134" ht="16" customHeight="1" spans="1:12">
      <c r="A134" s="102">
        <v>132</v>
      </c>
      <c r="B134" s="102" t="s">
        <v>4189</v>
      </c>
      <c r="C134" s="16" t="s">
        <v>4445</v>
      </c>
      <c r="D134" s="143" t="s">
        <v>4446</v>
      </c>
      <c r="E134" s="102" t="s">
        <v>15</v>
      </c>
      <c r="F134" s="102" t="s">
        <v>15</v>
      </c>
      <c r="G134" s="102" t="s">
        <v>3359</v>
      </c>
      <c r="H134" s="143">
        <v>3000</v>
      </c>
      <c r="I134" s="143">
        <v>3000</v>
      </c>
      <c r="J134" s="102"/>
      <c r="K134" s="104"/>
      <c r="L134" s="105">
        <v>20201118</v>
      </c>
    </row>
    <row r="135" ht="16" customHeight="1" spans="1:12">
      <c r="A135" s="102">
        <v>133</v>
      </c>
      <c r="B135" s="102" t="s">
        <v>4189</v>
      </c>
      <c r="C135" s="16" t="s">
        <v>4447</v>
      </c>
      <c r="D135" s="143" t="s">
        <v>4448</v>
      </c>
      <c r="E135" s="102" t="s">
        <v>15</v>
      </c>
      <c r="F135" s="102" t="s">
        <v>15</v>
      </c>
      <c r="G135" s="102" t="s">
        <v>3359</v>
      </c>
      <c r="H135" s="143">
        <v>3000</v>
      </c>
      <c r="I135" s="143">
        <v>3000</v>
      </c>
      <c r="J135" s="102"/>
      <c r="K135" s="104"/>
      <c r="L135" s="105">
        <v>20201118</v>
      </c>
    </row>
    <row r="136" ht="16" customHeight="1" spans="1:12">
      <c r="A136" s="102">
        <v>134</v>
      </c>
      <c r="B136" s="102" t="s">
        <v>4189</v>
      </c>
      <c r="C136" s="16" t="s">
        <v>4449</v>
      </c>
      <c r="D136" s="143" t="s">
        <v>4450</v>
      </c>
      <c r="E136" s="102" t="s">
        <v>15</v>
      </c>
      <c r="F136" s="102" t="s">
        <v>15</v>
      </c>
      <c r="G136" s="102" t="s">
        <v>3359</v>
      </c>
      <c r="H136" s="143">
        <v>200</v>
      </c>
      <c r="I136" s="143">
        <v>200</v>
      </c>
      <c r="J136" s="102"/>
      <c r="K136" s="104"/>
      <c r="L136" s="105">
        <v>20201118</v>
      </c>
    </row>
    <row r="137" ht="16" customHeight="1" spans="1:12">
      <c r="A137" s="102">
        <v>135</v>
      </c>
      <c r="B137" s="102" t="s">
        <v>4189</v>
      </c>
      <c r="C137" s="16" t="s">
        <v>4451</v>
      </c>
      <c r="D137" s="143" t="s">
        <v>4452</v>
      </c>
      <c r="E137" s="102" t="s">
        <v>15</v>
      </c>
      <c r="F137" s="102" t="s">
        <v>15</v>
      </c>
      <c r="G137" s="102" t="s">
        <v>3359</v>
      </c>
      <c r="H137" s="143">
        <v>200</v>
      </c>
      <c r="I137" s="143">
        <v>200</v>
      </c>
      <c r="J137" s="102"/>
      <c r="K137" s="104"/>
      <c r="L137" s="105">
        <v>20201118</v>
      </c>
    </row>
    <row r="138" ht="16" customHeight="1" spans="1:12">
      <c r="A138" s="102">
        <v>136</v>
      </c>
      <c r="B138" s="102" t="s">
        <v>4189</v>
      </c>
      <c r="C138" s="16" t="s">
        <v>4453</v>
      </c>
      <c r="D138" s="143" t="s">
        <v>4454</v>
      </c>
      <c r="E138" s="102" t="s">
        <v>15</v>
      </c>
      <c r="F138" s="102" t="s">
        <v>15</v>
      </c>
      <c r="G138" s="102" t="s">
        <v>3359</v>
      </c>
      <c r="H138" s="143">
        <v>200</v>
      </c>
      <c r="I138" s="143">
        <v>200</v>
      </c>
      <c r="J138" s="102"/>
      <c r="K138" s="104"/>
      <c r="L138" s="105">
        <v>20201118</v>
      </c>
    </row>
    <row r="139" ht="16" customHeight="1" spans="1:12">
      <c r="A139" s="102">
        <v>137</v>
      </c>
      <c r="B139" s="5" t="s">
        <v>4189</v>
      </c>
      <c r="C139" s="16" t="s">
        <v>4455</v>
      </c>
      <c r="D139" s="16" t="s">
        <v>4456</v>
      </c>
      <c r="E139" s="102" t="s">
        <v>15</v>
      </c>
      <c r="F139" s="102" t="s">
        <v>15</v>
      </c>
      <c r="G139" s="102" t="s">
        <v>3359</v>
      </c>
      <c r="H139" s="16">
        <v>200</v>
      </c>
      <c r="I139" s="16">
        <v>200</v>
      </c>
      <c r="J139" s="5"/>
      <c r="K139" s="104"/>
      <c r="L139" s="105">
        <v>20201118</v>
      </c>
    </row>
    <row r="140" ht="16" customHeight="1" spans="1:12">
      <c r="A140" s="102">
        <v>138</v>
      </c>
      <c r="B140" s="102" t="s">
        <v>4189</v>
      </c>
      <c r="C140" s="16" t="s">
        <v>4457</v>
      </c>
      <c r="D140" s="143" t="s">
        <v>4458</v>
      </c>
      <c r="E140" s="102" t="s">
        <v>15</v>
      </c>
      <c r="F140" s="102" t="s">
        <v>15</v>
      </c>
      <c r="G140" s="102" t="s">
        <v>3359</v>
      </c>
      <c r="H140" s="143">
        <v>200</v>
      </c>
      <c r="I140" s="143">
        <v>200</v>
      </c>
      <c r="J140" s="102"/>
      <c r="K140" s="104"/>
      <c r="L140" s="105">
        <v>20201118</v>
      </c>
    </row>
    <row r="141" ht="16" customHeight="1" spans="1:12">
      <c r="A141" s="102">
        <v>139</v>
      </c>
      <c r="B141" s="102" t="s">
        <v>4189</v>
      </c>
      <c r="C141" s="16" t="s">
        <v>4459</v>
      </c>
      <c r="D141" s="143" t="s">
        <v>4460</v>
      </c>
      <c r="E141" s="102" t="s">
        <v>15</v>
      </c>
      <c r="F141" s="102" t="s">
        <v>15</v>
      </c>
      <c r="G141" s="102" t="s">
        <v>3359</v>
      </c>
      <c r="H141" s="143">
        <v>200</v>
      </c>
      <c r="I141" s="143">
        <v>200</v>
      </c>
      <c r="J141" s="102"/>
      <c r="K141" s="104"/>
      <c r="L141" s="105">
        <v>20201118</v>
      </c>
    </row>
    <row r="142" ht="16" customHeight="1" spans="1:12">
      <c r="A142" s="102">
        <v>140</v>
      </c>
      <c r="B142" s="102" t="s">
        <v>4189</v>
      </c>
      <c r="C142" s="16" t="s">
        <v>4461</v>
      </c>
      <c r="D142" s="143" t="s">
        <v>4462</v>
      </c>
      <c r="E142" s="102" t="s">
        <v>15</v>
      </c>
      <c r="F142" s="102" t="s">
        <v>15</v>
      </c>
      <c r="G142" s="102" t="s">
        <v>3359</v>
      </c>
      <c r="H142" s="143">
        <v>200</v>
      </c>
      <c r="I142" s="143">
        <v>200</v>
      </c>
      <c r="J142" s="102"/>
      <c r="K142" s="104"/>
      <c r="L142" s="105">
        <v>20201118</v>
      </c>
    </row>
    <row r="143" ht="16" customHeight="1" spans="1:12">
      <c r="A143" s="102">
        <v>141</v>
      </c>
      <c r="B143" s="102" t="s">
        <v>4189</v>
      </c>
      <c r="C143" s="16" t="s">
        <v>4463</v>
      </c>
      <c r="D143" s="143" t="s">
        <v>4464</v>
      </c>
      <c r="E143" s="102" t="s">
        <v>15</v>
      </c>
      <c r="F143" s="102" t="s">
        <v>15</v>
      </c>
      <c r="G143" s="102" t="s">
        <v>3359</v>
      </c>
      <c r="H143" s="143">
        <v>200</v>
      </c>
      <c r="I143" s="143">
        <v>200</v>
      </c>
      <c r="J143" s="102"/>
      <c r="K143" s="104"/>
      <c r="L143" s="105">
        <v>20201118</v>
      </c>
    </row>
    <row r="144" ht="16" customHeight="1" spans="1:12">
      <c r="A144" s="102">
        <v>142</v>
      </c>
      <c r="B144" s="102" t="s">
        <v>4189</v>
      </c>
      <c r="C144" s="16" t="s">
        <v>4465</v>
      </c>
      <c r="D144" s="143" t="s">
        <v>4466</v>
      </c>
      <c r="E144" s="102" t="s">
        <v>15</v>
      </c>
      <c r="F144" s="102" t="s">
        <v>15</v>
      </c>
      <c r="G144" s="102" t="s">
        <v>3359</v>
      </c>
      <c r="H144" s="143">
        <v>500</v>
      </c>
      <c r="I144" s="143">
        <v>500</v>
      </c>
      <c r="J144" s="102"/>
      <c r="K144" s="104"/>
      <c r="L144" s="105">
        <v>20201118</v>
      </c>
    </row>
    <row r="145" ht="16" customHeight="1" spans="1:12">
      <c r="A145" s="102">
        <v>143</v>
      </c>
      <c r="B145" s="102" t="s">
        <v>4189</v>
      </c>
      <c r="C145" s="16" t="s">
        <v>4467</v>
      </c>
      <c r="D145" s="143" t="s">
        <v>4468</v>
      </c>
      <c r="E145" s="102" t="s">
        <v>15</v>
      </c>
      <c r="F145" s="102" t="s">
        <v>15</v>
      </c>
      <c r="G145" s="102" t="s">
        <v>3359</v>
      </c>
      <c r="H145" s="143">
        <v>200</v>
      </c>
      <c r="I145" s="143">
        <v>200</v>
      </c>
      <c r="J145" s="102"/>
      <c r="K145" s="104"/>
      <c r="L145" s="105">
        <v>20201118</v>
      </c>
    </row>
    <row r="146" ht="16" customHeight="1" spans="1:12">
      <c r="A146" s="102">
        <v>144</v>
      </c>
      <c r="B146" s="102" t="s">
        <v>4189</v>
      </c>
      <c r="C146" s="16" t="s">
        <v>4469</v>
      </c>
      <c r="D146" s="143" t="s">
        <v>4470</v>
      </c>
      <c r="E146" s="102" t="s">
        <v>15</v>
      </c>
      <c r="F146" s="102" t="s">
        <v>15</v>
      </c>
      <c r="G146" s="102" t="s">
        <v>3359</v>
      </c>
      <c r="H146" s="143">
        <v>200</v>
      </c>
      <c r="I146" s="143">
        <v>200</v>
      </c>
      <c r="J146" s="102"/>
      <c r="K146" s="104"/>
      <c r="L146" s="105">
        <v>20201118</v>
      </c>
    </row>
    <row r="147" ht="16" customHeight="1" spans="1:12">
      <c r="A147" s="102">
        <v>145</v>
      </c>
      <c r="B147" s="102" t="s">
        <v>4189</v>
      </c>
      <c r="C147" s="16" t="s">
        <v>4471</v>
      </c>
      <c r="D147" s="143" t="s">
        <v>4472</v>
      </c>
      <c r="E147" s="102" t="s">
        <v>15</v>
      </c>
      <c r="F147" s="102" t="s">
        <v>15</v>
      </c>
      <c r="G147" s="102" t="s">
        <v>3359</v>
      </c>
      <c r="H147" s="143">
        <v>200</v>
      </c>
      <c r="I147" s="143">
        <v>200</v>
      </c>
      <c r="J147" s="102"/>
      <c r="K147" s="104"/>
      <c r="L147" s="105">
        <v>20201118</v>
      </c>
    </row>
    <row r="148" ht="16" customHeight="1" spans="1:12">
      <c r="A148" s="102">
        <v>146</v>
      </c>
      <c r="B148" s="102" t="s">
        <v>4189</v>
      </c>
      <c r="C148" s="16" t="s">
        <v>4473</v>
      </c>
      <c r="D148" s="143" t="s">
        <v>4474</v>
      </c>
      <c r="E148" s="102" t="s">
        <v>15</v>
      </c>
      <c r="F148" s="102" t="s">
        <v>15</v>
      </c>
      <c r="G148" s="102" t="s">
        <v>3359</v>
      </c>
      <c r="H148" s="143">
        <v>200</v>
      </c>
      <c r="I148" s="143">
        <v>200</v>
      </c>
      <c r="J148" s="102"/>
      <c r="K148" s="104"/>
      <c r="L148" s="105">
        <v>20201118</v>
      </c>
    </row>
    <row r="149" ht="16" customHeight="1" spans="1:12">
      <c r="A149" s="102">
        <v>147</v>
      </c>
      <c r="B149" s="102" t="s">
        <v>4189</v>
      </c>
      <c r="C149" s="16" t="s">
        <v>4475</v>
      </c>
      <c r="D149" s="143" t="s">
        <v>4476</v>
      </c>
      <c r="E149" s="102" t="s">
        <v>15</v>
      </c>
      <c r="F149" s="102" t="s">
        <v>15</v>
      </c>
      <c r="G149" s="102" t="s">
        <v>3359</v>
      </c>
      <c r="H149" s="143">
        <v>200</v>
      </c>
      <c r="I149" s="143">
        <v>200</v>
      </c>
      <c r="J149" s="102"/>
      <c r="K149" s="104"/>
      <c r="L149" s="105">
        <v>20201118</v>
      </c>
    </row>
    <row r="150" ht="16" customHeight="1" spans="1:12">
      <c r="A150" s="102">
        <v>148</v>
      </c>
      <c r="B150" s="102" t="s">
        <v>4189</v>
      </c>
      <c r="C150" s="16" t="s">
        <v>4477</v>
      </c>
      <c r="D150" s="143" t="s">
        <v>4478</v>
      </c>
      <c r="E150" s="102" t="s">
        <v>15</v>
      </c>
      <c r="F150" s="102" t="s">
        <v>15</v>
      </c>
      <c r="G150" s="102" t="s">
        <v>3359</v>
      </c>
      <c r="H150" s="143">
        <v>200</v>
      </c>
      <c r="I150" s="143">
        <v>200</v>
      </c>
      <c r="J150" s="102"/>
      <c r="K150" s="104"/>
      <c r="L150" s="105">
        <v>20201118</v>
      </c>
    </row>
    <row r="151" ht="16" customHeight="1" spans="1:12">
      <c r="A151" s="102">
        <v>149</v>
      </c>
      <c r="B151" s="102" t="s">
        <v>4189</v>
      </c>
      <c r="C151" s="16" t="s">
        <v>4479</v>
      </c>
      <c r="D151" s="143" t="s">
        <v>4480</v>
      </c>
      <c r="E151" s="102" t="s">
        <v>15</v>
      </c>
      <c r="F151" s="102" t="s">
        <v>15</v>
      </c>
      <c r="G151" s="102" t="s">
        <v>3359</v>
      </c>
      <c r="H151" s="143">
        <v>200</v>
      </c>
      <c r="I151" s="143">
        <v>200</v>
      </c>
      <c r="J151" s="102"/>
      <c r="K151" s="104"/>
      <c r="L151" s="105">
        <v>20201118</v>
      </c>
    </row>
    <row r="152" ht="16" customHeight="1" spans="1:12">
      <c r="A152" s="102">
        <v>150</v>
      </c>
      <c r="B152" s="102" t="s">
        <v>4189</v>
      </c>
      <c r="C152" s="16" t="s">
        <v>4481</v>
      </c>
      <c r="D152" s="143" t="s">
        <v>4482</v>
      </c>
      <c r="E152" s="102" t="s">
        <v>15</v>
      </c>
      <c r="F152" s="102" t="s">
        <v>15</v>
      </c>
      <c r="G152" s="102" t="s">
        <v>3359</v>
      </c>
      <c r="H152" s="143">
        <v>200</v>
      </c>
      <c r="I152" s="143">
        <v>200</v>
      </c>
      <c r="J152" s="102"/>
      <c r="K152" s="104"/>
      <c r="L152" s="105">
        <v>20201118</v>
      </c>
    </row>
    <row r="153" ht="16" customHeight="1" spans="1:12">
      <c r="A153" s="102">
        <v>151</v>
      </c>
      <c r="B153" s="102" t="s">
        <v>4189</v>
      </c>
      <c r="C153" s="16" t="s">
        <v>4483</v>
      </c>
      <c r="D153" s="143" t="s">
        <v>4484</v>
      </c>
      <c r="E153" s="102" t="s">
        <v>15</v>
      </c>
      <c r="F153" s="102" t="s">
        <v>15</v>
      </c>
      <c r="G153" s="102" t="s">
        <v>3359</v>
      </c>
      <c r="H153" s="143">
        <v>200</v>
      </c>
      <c r="I153" s="143">
        <v>200</v>
      </c>
      <c r="J153" s="102"/>
      <c r="K153" s="104"/>
      <c r="L153" s="105">
        <v>20201118</v>
      </c>
    </row>
    <row r="154" ht="16" customHeight="1" spans="1:12">
      <c r="A154" s="102">
        <v>152</v>
      </c>
      <c r="B154" s="102" t="s">
        <v>4189</v>
      </c>
      <c r="C154" s="16" t="s">
        <v>4485</v>
      </c>
      <c r="D154" s="143" t="s">
        <v>4486</v>
      </c>
      <c r="E154" s="102" t="s">
        <v>15</v>
      </c>
      <c r="F154" s="102" t="s">
        <v>15</v>
      </c>
      <c r="G154" s="102" t="s">
        <v>3359</v>
      </c>
      <c r="H154" s="143">
        <v>200</v>
      </c>
      <c r="I154" s="143">
        <v>200</v>
      </c>
      <c r="J154" s="102"/>
      <c r="K154" s="104"/>
      <c r="L154" s="105">
        <v>20201118</v>
      </c>
    </row>
    <row r="155" ht="16" customHeight="1" spans="1:12">
      <c r="A155" s="102">
        <v>153</v>
      </c>
      <c r="B155" s="102" t="s">
        <v>4189</v>
      </c>
      <c r="C155" s="16" t="s">
        <v>4487</v>
      </c>
      <c r="D155" s="143" t="s">
        <v>4488</v>
      </c>
      <c r="E155" s="102" t="s">
        <v>15</v>
      </c>
      <c r="F155" s="102" t="s">
        <v>15</v>
      </c>
      <c r="G155" s="102" t="s">
        <v>3359</v>
      </c>
      <c r="H155" s="143">
        <v>500</v>
      </c>
      <c r="I155" s="143">
        <v>500</v>
      </c>
      <c r="J155" s="102"/>
      <c r="K155" s="104"/>
      <c r="L155" s="105">
        <v>20201118</v>
      </c>
    </row>
    <row r="156" ht="16" customHeight="1" spans="1:12">
      <c r="A156" s="102">
        <v>154</v>
      </c>
      <c r="B156" s="102" t="s">
        <v>4189</v>
      </c>
      <c r="C156" s="16" t="s">
        <v>4489</v>
      </c>
      <c r="D156" s="143" t="s">
        <v>4490</v>
      </c>
      <c r="E156" s="102" t="s">
        <v>15</v>
      </c>
      <c r="F156" s="102" t="s">
        <v>15</v>
      </c>
      <c r="G156" s="102" t="s">
        <v>3359</v>
      </c>
      <c r="H156" s="143">
        <v>500</v>
      </c>
      <c r="I156" s="143">
        <v>500</v>
      </c>
      <c r="J156" s="102"/>
      <c r="K156" s="104"/>
      <c r="L156" s="105">
        <v>20201118</v>
      </c>
    </row>
    <row r="157" ht="16" customHeight="1" spans="1:12">
      <c r="A157" s="102">
        <v>155</v>
      </c>
      <c r="B157" s="102" t="s">
        <v>4189</v>
      </c>
      <c r="C157" s="16" t="s">
        <v>4491</v>
      </c>
      <c r="D157" s="143" t="s">
        <v>4492</v>
      </c>
      <c r="E157" s="102" t="s">
        <v>15</v>
      </c>
      <c r="F157" s="102" t="s">
        <v>15</v>
      </c>
      <c r="G157" s="102" t="s">
        <v>3359</v>
      </c>
      <c r="H157" s="143">
        <v>200</v>
      </c>
      <c r="I157" s="143">
        <v>200</v>
      </c>
      <c r="J157" s="102"/>
      <c r="K157" s="104"/>
      <c r="L157" s="105">
        <v>20201118</v>
      </c>
    </row>
    <row r="158" ht="16" customHeight="1" spans="1:12">
      <c r="A158" s="102">
        <v>156</v>
      </c>
      <c r="B158" s="102" t="s">
        <v>4189</v>
      </c>
      <c r="C158" s="16" t="s">
        <v>4493</v>
      </c>
      <c r="D158" s="143" t="s">
        <v>4494</v>
      </c>
      <c r="E158" s="102" t="s">
        <v>15</v>
      </c>
      <c r="F158" s="102" t="s">
        <v>15</v>
      </c>
      <c r="G158" s="102" t="s">
        <v>3359</v>
      </c>
      <c r="H158" s="143">
        <v>200</v>
      </c>
      <c r="I158" s="143">
        <v>200</v>
      </c>
      <c r="J158" s="102"/>
      <c r="K158" s="104"/>
      <c r="L158" s="105">
        <v>20201118</v>
      </c>
    </row>
    <row r="159" ht="16" customHeight="1" spans="1:12">
      <c r="A159" s="102">
        <v>157</v>
      </c>
      <c r="B159" s="102" t="s">
        <v>4189</v>
      </c>
      <c r="C159" s="16" t="s">
        <v>4495</v>
      </c>
      <c r="D159" s="143" t="s">
        <v>4496</v>
      </c>
      <c r="E159" s="102" t="s">
        <v>15</v>
      </c>
      <c r="F159" s="102" t="s">
        <v>15</v>
      </c>
      <c r="G159" s="102" t="s">
        <v>3359</v>
      </c>
      <c r="H159" s="143">
        <v>200</v>
      </c>
      <c r="I159" s="143">
        <v>200</v>
      </c>
      <c r="J159" s="102"/>
      <c r="K159" s="104"/>
      <c r="L159" s="105">
        <v>20201118</v>
      </c>
    </row>
    <row r="160" ht="16" customHeight="1" spans="1:12">
      <c r="A160" s="102">
        <v>158</v>
      </c>
      <c r="B160" s="102" t="s">
        <v>4189</v>
      </c>
      <c r="C160" s="16" t="s">
        <v>3786</v>
      </c>
      <c r="D160" s="143" t="s">
        <v>4497</v>
      </c>
      <c r="E160" s="102" t="s">
        <v>15</v>
      </c>
      <c r="F160" s="102" t="s">
        <v>15</v>
      </c>
      <c r="G160" s="102" t="s">
        <v>3359</v>
      </c>
      <c r="H160" s="143">
        <v>500</v>
      </c>
      <c r="I160" s="143">
        <v>500</v>
      </c>
      <c r="J160" s="102"/>
      <c r="K160" s="104"/>
      <c r="L160" s="105">
        <v>20201118</v>
      </c>
    </row>
    <row r="161" ht="16" customHeight="1" spans="1:12">
      <c r="A161" s="102">
        <v>159</v>
      </c>
      <c r="B161" s="102" t="s">
        <v>4189</v>
      </c>
      <c r="C161" s="16" t="s">
        <v>4498</v>
      </c>
      <c r="D161" s="143" t="s">
        <v>4499</v>
      </c>
      <c r="E161" s="102" t="s">
        <v>15</v>
      </c>
      <c r="F161" s="102" t="s">
        <v>15</v>
      </c>
      <c r="G161" s="102" t="s">
        <v>3359</v>
      </c>
      <c r="H161" s="143">
        <v>500</v>
      </c>
      <c r="I161" s="143">
        <v>500</v>
      </c>
      <c r="J161" s="102"/>
      <c r="K161" s="104"/>
      <c r="L161" s="105">
        <v>20201118</v>
      </c>
    </row>
    <row r="162" ht="16" customHeight="1" spans="1:12">
      <c r="A162" s="102">
        <v>160</v>
      </c>
      <c r="B162" s="102" t="s">
        <v>4189</v>
      </c>
      <c r="C162" s="16" t="s">
        <v>4500</v>
      </c>
      <c r="D162" s="143" t="s">
        <v>4501</v>
      </c>
      <c r="E162" s="102" t="s">
        <v>15</v>
      </c>
      <c r="F162" s="102" t="s">
        <v>15</v>
      </c>
      <c r="G162" s="102" t="s">
        <v>3359</v>
      </c>
      <c r="H162" s="143">
        <v>200</v>
      </c>
      <c r="I162" s="143">
        <v>200</v>
      </c>
      <c r="J162" s="102"/>
      <c r="K162" s="104"/>
      <c r="L162" s="105">
        <v>20201118</v>
      </c>
    </row>
    <row r="163" ht="16" customHeight="1" spans="1:12">
      <c r="A163" s="102">
        <v>161</v>
      </c>
      <c r="B163" s="102" t="s">
        <v>4189</v>
      </c>
      <c r="C163" s="16" t="s">
        <v>4502</v>
      </c>
      <c r="D163" s="143" t="s">
        <v>4503</v>
      </c>
      <c r="E163" s="102" t="s">
        <v>15</v>
      </c>
      <c r="F163" s="102" t="s">
        <v>15</v>
      </c>
      <c r="G163" s="102" t="s">
        <v>3359</v>
      </c>
      <c r="H163" s="143">
        <v>200</v>
      </c>
      <c r="I163" s="143">
        <v>200</v>
      </c>
      <c r="J163" s="102"/>
      <c r="K163" s="104"/>
      <c r="L163" s="105">
        <v>20201118</v>
      </c>
    </row>
    <row r="164" ht="16" customHeight="1" spans="1:12">
      <c r="A164" s="102">
        <v>162</v>
      </c>
      <c r="B164" s="102" t="s">
        <v>4189</v>
      </c>
      <c r="C164" s="16" t="s">
        <v>4504</v>
      </c>
      <c r="D164" s="143" t="s">
        <v>4505</v>
      </c>
      <c r="E164" s="102" t="s">
        <v>15</v>
      </c>
      <c r="F164" s="102" t="s">
        <v>15</v>
      </c>
      <c r="G164" s="102" t="s">
        <v>3359</v>
      </c>
      <c r="H164" s="143">
        <v>200</v>
      </c>
      <c r="I164" s="143">
        <v>200</v>
      </c>
      <c r="J164" s="102"/>
      <c r="K164" s="104"/>
      <c r="L164" s="105">
        <v>20201118</v>
      </c>
    </row>
    <row r="165" ht="16" customHeight="1" spans="1:12">
      <c r="A165" s="102">
        <v>163</v>
      </c>
      <c r="B165" s="102" t="s">
        <v>4189</v>
      </c>
      <c r="C165" s="16" t="s">
        <v>4506</v>
      </c>
      <c r="D165" s="143" t="s">
        <v>4507</v>
      </c>
      <c r="E165" s="102" t="s">
        <v>15</v>
      </c>
      <c r="F165" s="102" t="s">
        <v>15</v>
      </c>
      <c r="G165" s="102" t="s">
        <v>3359</v>
      </c>
      <c r="H165" s="143">
        <v>200</v>
      </c>
      <c r="I165" s="143">
        <v>200</v>
      </c>
      <c r="J165" s="102"/>
      <c r="K165" s="104"/>
      <c r="L165" s="105">
        <v>20201118</v>
      </c>
    </row>
    <row r="166" ht="16" customHeight="1" spans="1:12">
      <c r="A166" s="102">
        <v>164</v>
      </c>
      <c r="B166" s="102" t="s">
        <v>4189</v>
      </c>
      <c r="C166" s="16" t="s">
        <v>4508</v>
      </c>
      <c r="D166" s="143" t="s">
        <v>4509</v>
      </c>
      <c r="E166" s="102" t="s">
        <v>15</v>
      </c>
      <c r="F166" s="102" t="s">
        <v>15</v>
      </c>
      <c r="G166" s="102" t="s">
        <v>3359</v>
      </c>
      <c r="H166" s="143">
        <v>200</v>
      </c>
      <c r="I166" s="143">
        <v>200</v>
      </c>
      <c r="J166" s="102"/>
      <c r="K166" s="104"/>
      <c r="L166" s="105">
        <v>20201118</v>
      </c>
    </row>
    <row r="167" ht="16" customHeight="1" spans="1:12">
      <c r="A167" s="102">
        <v>165</v>
      </c>
      <c r="B167" s="102" t="s">
        <v>4189</v>
      </c>
      <c r="C167" s="16" t="s">
        <v>4510</v>
      </c>
      <c r="D167" s="143" t="s">
        <v>4511</v>
      </c>
      <c r="E167" s="102" t="s">
        <v>15</v>
      </c>
      <c r="F167" s="102" t="s">
        <v>15</v>
      </c>
      <c r="G167" s="102" t="s">
        <v>3359</v>
      </c>
      <c r="H167" s="143">
        <v>200</v>
      </c>
      <c r="I167" s="143">
        <v>200</v>
      </c>
      <c r="J167" s="102"/>
      <c r="K167" s="104"/>
      <c r="L167" s="105">
        <v>20201118</v>
      </c>
    </row>
    <row r="168" ht="16" customHeight="1" spans="1:12">
      <c r="A168" s="102">
        <v>166</v>
      </c>
      <c r="B168" s="102" t="s">
        <v>4189</v>
      </c>
      <c r="C168" s="16" t="s">
        <v>4512</v>
      </c>
      <c r="D168" s="143" t="s">
        <v>4513</v>
      </c>
      <c r="E168" s="102" t="s">
        <v>15</v>
      </c>
      <c r="F168" s="102" t="s">
        <v>15</v>
      </c>
      <c r="G168" s="102" t="s">
        <v>3359</v>
      </c>
      <c r="H168" s="143">
        <v>1000</v>
      </c>
      <c r="I168" s="143">
        <v>1000</v>
      </c>
      <c r="J168" s="102"/>
      <c r="K168" s="104"/>
      <c r="L168" s="105">
        <v>20201118</v>
      </c>
    </row>
    <row r="169" ht="16" customHeight="1" spans="1:12">
      <c r="A169" s="102">
        <v>167</v>
      </c>
      <c r="B169" s="102" t="s">
        <v>4189</v>
      </c>
      <c r="C169" s="16" t="s">
        <v>4514</v>
      </c>
      <c r="D169" s="143" t="s">
        <v>4515</v>
      </c>
      <c r="E169" s="102" t="s">
        <v>15</v>
      </c>
      <c r="F169" s="102" t="s">
        <v>15</v>
      </c>
      <c r="G169" s="102" t="s">
        <v>3359</v>
      </c>
      <c r="H169" s="143">
        <v>200</v>
      </c>
      <c r="I169" s="143">
        <v>200</v>
      </c>
      <c r="J169" s="102"/>
      <c r="K169" s="104"/>
      <c r="L169" s="105">
        <v>20201118</v>
      </c>
    </row>
    <row r="170" ht="16" customHeight="1" spans="1:12">
      <c r="A170" s="102">
        <v>168</v>
      </c>
      <c r="B170" s="102" t="s">
        <v>4189</v>
      </c>
      <c r="C170" s="16" t="s">
        <v>4516</v>
      </c>
      <c r="D170" s="143" t="s">
        <v>4517</v>
      </c>
      <c r="E170" s="102" t="s">
        <v>15</v>
      </c>
      <c r="F170" s="102" t="s">
        <v>15</v>
      </c>
      <c r="G170" s="102" t="s">
        <v>3359</v>
      </c>
      <c r="H170" s="143">
        <v>200</v>
      </c>
      <c r="I170" s="143">
        <v>200</v>
      </c>
      <c r="J170" s="102"/>
      <c r="K170" s="104"/>
      <c r="L170" s="105">
        <v>20201118</v>
      </c>
    </row>
    <row r="171" ht="16" customHeight="1" spans="1:12">
      <c r="A171" s="102">
        <v>169</v>
      </c>
      <c r="B171" s="102" t="s">
        <v>4189</v>
      </c>
      <c r="C171" s="16" t="s">
        <v>4518</v>
      </c>
      <c r="D171" s="143" t="s">
        <v>4519</v>
      </c>
      <c r="E171" s="102" t="s">
        <v>15</v>
      </c>
      <c r="F171" s="102" t="s">
        <v>15</v>
      </c>
      <c r="G171" s="102" t="s">
        <v>3359</v>
      </c>
      <c r="H171" s="143">
        <v>500</v>
      </c>
      <c r="I171" s="143">
        <v>500</v>
      </c>
      <c r="J171" s="102"/>
      <c r="K171" s="104"/>
      <c r="L171" s="105">
        <v>20201118</v>
      </c>
    </row>
    <row r="172" ht="16" customHeight="1" spans="1:12">
      <c r="A172" s="102">
        <v>170</v>
      </c>
      <c r="B172" s="102" t="s">
        <v>4189</v>
      </c>
      <c r="C172" s="16" t="s">
        <v>4520</v>
      </c>
      <c r="D172" s="143" t="s">
        <v>4521</v>
      </c>
      <c r="E172" s="102" t="s">
        <v>15</v>
      </c>
      <c r="F172" s="102" t="s">
        <v>15</v>
      </c>
      <c r="G172" s="102" t="s">
        <v>3359</v>
      </c>
      <c r="H172" s="143">
        <v>500</v>
      </c>
      <c r="I172" s="143">
        <v>500</v>
      </c>
      <c r="J172" s="102"/>
      <c r="K172" s="104"/>
      <c r="L172" s="105">
        <v>20201118</v>
      </c>
    </row>
    <row r="173" ht="16" customHeight="1" spans="1:12">
      <c r="A173" s="102">
        <v>171</v>
      </c>
      <c r="B173" s="102" t="s">
        <v>4189</v>
      </c>
      <c r="C173" s="16" t="s">
        <v>4522</v>
      </c>
      <c r="D173" s="143" t="s">
        <v>4523</v>
      </c>
      <c r="E173" s="102" t="s">
        <v>15</v>
      </c>
      <c r="F173" s="102" t="s">
        <v>15</v>
      </c>
      <c r="G173" s="102" t="s">
        <v>3359</v>
      </c>
      <c r="H173" s="143">
        <v>500</v>
      </c>
      <c r="I173" s="143">
        <v>500</v>
      </c>
      <c r="J173" s="102"/>
      <c r="K173" s="104"/>
      <c r="L173" s="105">
        <v>20201118</v>
      </c>
    </row>
    <row r="174" ht="16" customHeight="1" spans="1:12">
      <c r="A174" s="102">
        <v>172</v>
      </c>
      <c r="B174" s="102" t="s">
        <v>4189</v>
      </c>
      <c r="C174" s="16" t="s">
        <v>4524</v>
      </c>
      <c r="D174" s="143" t="s">
        <v>4525</v>
      </c>
      <c r="E174" s="102" t="s">
        <v>15</v>
      </c>
      <c r="F174" s="102" t="s">
        <v>15</v>
      </c>
      <c r="G174" s="102" t="s">
        <v>3359</v>
      </c>
      <c r="H174" s="143">
        <v>200</v>
      </c>
      <c r="I174" s="143">
        <v>200</v>
      </c>
      <c r="J174" s="102"/>
      <c r="K174" s="104"/>
      <c r="L174" s="105">
        <v>20201118</v>
      </c>
    </row>
    <row r="175" ht="16" customHeight="1" spans="1:12">
      <c r="A175" s="102">
        <v>173</v>
      </c>
      <c r="B175" s="102" t="s">
        <v>4189</v>
      </c>
      <c r="C175" s="16" t="s">
        <v>4526</v>
      </c>
      <c r="D175" s="143" t="s">
        <v>4527</v>
      </c>
      <c r="E175" s="102" t="s">
        <v>15</v>
      </c>
      <c r="F175" s="102" t="s">
        <v>15</v>
      </c>
      <c r="G175" s="102" t="s">
        <v>3359</v>
      </c>
      <c r="H175" s="143">
        <v>200</v>
      </c>
      <c r="I175" s="143">
        <v>200</v>
      </c>
      <c r="J175" s="102"/>
      <c r="K175" s="104"/>
      <c r="L175" s="105">
        <v>20201118</v>
      </c>
    </row>
    <row r="176" ht="16" customHeight="1" spans="1:12">
      <c r="A176" s="102">
        <v>174</v>
      </c>
      <c r="B176" s="102" t="s">
        <v>4189</v>
      </c>
      <c r="C176" s="16" t="s">
        <v>4528</v>
      </c>
      <c r="D176" s="143" t="s">
        <v>4529</v>
      </c>
      <c r="E176" s="102" t="s">
        <v>15</v>
      </c>
      <c r="F176" s="102" t="s">
        <v>15</v>
      </c>
      <c r="G176" s="102" t="s">
        <v>3359</v>
      </c>
      <c r="H176" s="143">
        <v>200</v>
      </c>
      <c r="I176" s="143">
        <v>200</v>
      </c>
      <c r="J176" s="102"/>
      <c r="K176" s="104"/>
      <c r="L176" s="105">
        <v>20201118</v>
      </c>
    </row>
    <row r="177" ht="16" customHeight="1" spans="1:12">
      <c r="A177" s="102">
        <v>175</v>
      </c>
      <c r="B177" s="102" t="s">
        <v>4189</v>
      </c>
      <c r="C177" s="16" t="s">
        <v>4530</v>
      </c>
      <c r="D177" s="143" t="s">
        <v>4531</v>
      </c>
      <c r="E177" s="102" t="s">
        <v>15</v>
      </c>
      <c r="F177" s="102" t="s">
        <v>15</v>
      </c>
      <c r="G177" s="102" t="s">
        <v>3359</v>
      </c>
      <c r="H177" s="143">
        <v>200</v>
      </c>
      <c r="I177" s="143">
        <v>200</v>
      </c>
      <c r="J177" s="102"/>
      <c r="K177" s="104"/>
      <c r="L177" s="105">
        <v>20201118</v>
      </c>
    </row>
    <row r="178" ht="16" customHeight="1" spans="1:12">
      <c r="A178" s="102">
        <v>176</v>
      </c>
      <c r="B178" s="102" t="s">
        <v>4189</v>
      </c>
      <c r="C178" s="16" t="s">
        <v>4532</v>
      </c>
      <c r="D178" s="143" t="s">
        <v>4533</v>
      </c>
      <c r="E178" s="102" t="s">
        <v>15</v>
      </c>
      <c r="F178" s="102" t="s">
        <v>15</v>
      </c>
      <c r="G178" s="102" t="s">
        <v>3359</v>
      </c>
      <c r="H178" s="143">
        <v>200</v>
      </c>
      <c r="I178" s="143">
        <v>200</v>
      </c>
      <c r="J178" s="102"/>
      <c r="K178" s="104"/>
      <c r="L178" s="105">
        <v>20201118</v>
      </c>
    </row>
    <row r="179" ht="16" customHeight="1" spans="1:12">
      <c r="A179" s="102">
        <v>177</v>
      </c>
      <c r="B179" s="102" t="s">
        <v>4189</v>
      </c>
      <c r="C179" s="16" t="s">
        <v>3718</v>
      </c>
      <c r="D179" s="143" t="s">
        <v>4534</v>
      </c>
      <c r="E179" s="102" t="s">
        <v>15</v>
      </c>
      <c r="F179" s="102" t="s">
        <v>15</v>
      </c>
      <c r="G179" s="102" t="s">
        <v>3359</v>
      </c>
      <c r="H179" s="143">
        <v>500</v>
      </c>
      <c r="I179" s="143">
        <v>500</v>
      </c>
      <c r="J179" s="102"/>
      <c r="K179" s="104"/>
      <c r="L179" s="105">
        <v>20201118</v>
      </c>
    </row>
    <row r="180" ht="16" customHeight="1" spans="1:12">
      <c r="A180" s="102">
        <v>178</v>
      </c>
      <c r="B180" s="102" t="s">
        <v>4189</v>
      </c>
      <c r="C180" s="16" t="s">
        <v>4535</v>
      </c>
      <c r="D180" s="143" t="s">
        <v>4536</v>
      </c>
      <c r="E180" s="102" t="s">
        <v>15</v>
      </c>
      <c r="F180" s="102" t="s">
        <v>15</v>
      </c>
      <c r="G180" s="102" t="s">
        <v>3359</v>
      </c>
      <c r="H180" s="143">
        <v>200</v>
      </c>
      <c r="I180" s="143">
        <v>200</v>
      </c>
      <c r="J180" s="102"/>
      <c r="K180" s="104"/>
      <c r="L180" s="105">
        <v>20201118</v>
      </c>
    </row>
    <row r="181" ht="16" customHeight="1" spans="1:12">
      <c r="A181" s="102">
        <v>179</v>
      </c>
      <c r="B181" s="102" t="s">
        <v>4189</v>
      </c>
      <c r="C181" s="16" t="s">
        <v>4537</v>
      </c>
      <c r="D181" s="143" t="s">
        <v>4538</v>
      </c>
      <c r="E181" s="102" t="s">
        <v>15</v>
      </c>
      <c r="F181" s="102" t="s">
        <v>15</v>
      </c>
      <c r="G181" s="102" t="s">
        <v>3359</v>
      </c>
      <c r="H181" s="143">
        <v>200</v>
      </c>
      <c r="I181" s="143">
        <v>200</v>
      </c>
      <c r="J181" s="102"/>
      <c r="K181" s="104"/>
      <c r="L181" s="105">
        <v>20201118</v>
      </c>
    </row>
    <row r="182" ht="16" customHeight="1" spans="1:12">
      <c r="A182" s="102">
        <v>180</v>
      </c>
      <c r="B182" s="102" t="s">
        <v>4189</v>
      </c>
      <c r="C182" s="16" t="s">
        <v>4539</v>
      </c>
      <c r="D182" s="143" t="s">
        <v>4540</v>
      </c>
      <c r="E182" s="102" t="s">
        <v>15</v>
      </c>
      <c r="F182" s="102" t="s">
        <v>15</v>
      </c>
      <c r="G182" s="102" t="s">
        <v>3359</v>
      </c>
      <c r="H182" s="143">
        <v>200</v>
      </c>
      <c r="I182" s="143">
        <v>200</v>
      </c>
      <c r="J182" s="102"/>
      <c r="K182" s="104"/>
      <c r="L182" s="105">
        <v>20201118</v>
      </c>
    </row>
    <row r="183" ht="16" customHeight="1" spans="1:12">
      <c r="A183" s="102">
        <v>181</v>
      </c>
      <c r="B183" s="102" t="s">
        <v>4189</v>
      </c>
      <c r="C183" s="16" t="s">
        <v>4541</v>
      </c>
      <c r="D183" s="143" t="s">
        <v>4542</v>
      </c>
      <c r="E183" s="102" t="s">
        <v>15</v>
      </c>
      <c r="F183" s="102" t="s">
        <v>15</v>
      </c>
      <c r="G183" s="102" t="s">
        <v>3359</v>
      </c>
      <c r="H183" s="143">
        <v>200</v>
      </c>
      <c r="I183" s="143">
        <v>200</v>
      </c>
      <c r="J183" s="102"/>
      <c r="K183" s="104"/>
      <c r="L183" s="105">
        <v>20201118</v>
      </c>
    </row>
    <row r="184" ht="16" customHeight="1" spans="1:12">
      <c r="A184" s="102">
        <v>182</v>
      </c>
      <c r="B184" s="102" t="s">
        <v>4189</v>
      </c>
      <c r="C184" s="16" t="s">
        <v>4543</v>
      </c>
      <c r="D184" s="143" t="s">
        <v>4544</v>
      </c>
      <c r="E184" s="102" t="s">
        <v>15</v>
      </c>
      <c r="F184" s="102" t="s">
        <v>15</v>
      </c>
      <c r="G184" s="102" t="s">
        <v>3359</v>
      </c>
      <c r="H184" s="143">
        <v>200</v>
      </c>
      <c r="I184" s="143">
        <v>200</v>
      </c>
      <c r="J184" s="102"/>
      <c r="K184" s="104"/>
      <c r="L184" s="105">
        <v>20201118</v>
      </c>
    </row>
    <row r="185" ht="16" customHeight="1" spans="1:12">
      <c r="A185" s="102">
        <v>183</v>
      </c>
      <c r="B185" s="102" t="s">
        <v>4189</v>
      </c>
      <c r="C185" s="16" t="s">
        <v>4545</v>
      </c>
      <c r="D185" s="143" t="s">
        <v>4546</v>
      </c>
      <c r="E185" s="102" t="s">
        <v>15</v>
      </c>
      <c r="F185" s="102" t="s">
        <v>15</v>
      </c>
      <c r="G185" s="102" t="s">
        <v>3359</v>
      </c>
      <c r="H185" s="143">
        <v>200</v>
      </c>
      <c r="I185" s="143">
        <v>200</v>
      </c>
      <c r="J185" s="102"/>
      <c r="K185" s="104"/>
      <c r="L185" s="105">
        <v>20201118</v>
      </c>
    </row>
    <row r="186" ht="16" customHeight="1" spans="1:12">
      <c r="A186" s="102">
        <v>184</v>
      </c>
      <c r="B186" s="102" t="s">
        <v>4189</v>
      </c>
      <c r="C186" s="16" t="s">
        <v>4547</v>
      </c>
      <c r="D186" s="143" t="s">
        <v>4548</v>
      </c>
      <c r="E186" s="102" t="s">
        <v>15</v>
      </c>
      <c r="F186" s="102" t="s">
        <v>15</v>
      </c>
      <c r="G186" s="102" t="s">
        <v>3359</v>
      </c>
      <c r="H186" s="143">
        <v>200</v>
      </c>
      <c r="I186" s="143">
        <v>200</v>
      </c>
      <c r="J186" s="102"/>
      <c r="K186" s="104"/>
      <c r="L186" s="105">
        <v>20201118</v>
      </c>
    </row>
    <row r="187" ht="16" customHeight="1" spans="1:12">
      <c r="A187" s="102">
        <v>185</v>
      </c>
      <c r="B187" s="102" t="s">
        <v>4189</v>
      </c>
      <c r="C187" s="16" t="s">
        <v>4549</v>
      </c>
      <c r="D187" s="143" t="s">
        <v>4550</v>
      </c>
      <c r="E187" s="102" t="s">
        <v>15</v>
      </c>
      <c r="F187" s="102" t="s">
        <v>15</v>
      </c>
      <c r="G187" s="102" t="s">
        <v>3359</v>
      </c>
      <c r="H187" s="143">
        <v>200</v>
      </c>
      <c r="I187" s="143">
        <v>200</v>
      </c>
      <c r="J187" s="102"/>
      <c r="K187" s="104"/>
      <c r="L187" s="105">
        <v>20201118</v>
      </c>
    </row>
    <row r="188" ht="16" customHeight="1" spans="1:12">
      <c r="A188" s="102">
        <v>186</v>
      </c>
      <c r="B188" s="102" t="s">
        <v>4189</v>
      </c>
      <c r="C188" s="16" t="s">
        <v>4551</v>
      </c>
      <c r="D188" s="143" t="s">
        <v>4552</v>
      </c>
      <c r="E188" s="102" t="s">
        <v>15</v>
      </c>
      <c r="F188" s="102" t="s">
        <v>15</v>
      </c>
      <c r="G188" s="102" t="s">
        <v>3359</v>
      </c>
      <c r="H188" s="143">
        <v>200</v>
      </c>
      <c r="I188" s="143">
        <v>200</v>
      </c>
      <c r="J188" s="102"/>
      <c r="K188" s="104"/>
      <c r="L188" s="105">
        <v>20201118</v>
      </c>
    </row>
    <row r="189" ht="16" customHeight="1" spans="1:12">
      <c r="A189" s="102">
        <v>187</v>
      </c>
      <c r="B189" s="102" t="s">
        <v>4189</v>
      </c>
      <c r="C189" s="16" t="s">
        <v>4553</v>
      </c>
      <c r="D189" s="143" t="s">
        <v>4554</v>
      </c>
      <c r="E189" s="102" t="s">
        <v>15</v>
      </c>
      <c r="F189" s="102" t="s">
        <v>15</v>
      </c>
      <c r="G189" s="102" t="s">
        <v>3359</v>
      </c>
      <c r="H189" s="143">
        <v>200</v>
      </c>
      <c r="I189" s="143">
        <v>200</v>
      </c>
      <c r="J189" s="102"/>
      <c r="K189" s="104"/>
      <c r="L189" s="105">
        <v>20201118</v>
      </c>
    </row>
    <row r="190" ht="16" customHeight="1" spans="1:12">
      <c r="A190" s="102">
        <v>188</v>
      </c>
      <c r="B190" s="102" t="s">
        <v>4189</v>
      </c>
      <c r="C190" s="16" t="s">
        <v>4555</v>
      </c>
      <c r="D190" s="143" t="s">
        <v>4556</v>
      </c>
      <c r="E190" s="102" t="s">
        <v>15</v>
      </c>
      <c r="F190" s="102" t="s">
        <v>15</v>
      </c>
      <c r="G190" s="102" t="s">
        <v>3359</v>
      </c>
      <c r="H190" s="143">
        <v>500</v>
      </c>
      <c r="I190" s="143">
        <v>500</v>
      </c>
      <c r="J190" s="102"/>
      <c r="K190" s="104"/>
      <c r="L190" s="105">
        <v>20201118</v>
      </c>
    </row>
    <row r="191" ht="16" customHeight="1" spans="1:12">
      <c r="A191" s="102">
        <v>189</v>
      </c>
      <c r="B191" s="102" t="s">
        <v>4189</v>
      </c>
      <c r="C191" s="16" t="s">
        <v>4557</v>
      </c>
      <c r="D191" s="143" t="s">
        <v>4558</v>
      </c>
      <c r="E191" s="102" t="s">
        <v>15</v>
      </c>
      <c r="F191" s="102" t="s">
        <v>15</v>
      </c>
      <c r="G191" s="102" t="s">
        <v>3359</v>
      </c>
      <c r="H191" s="143">
        <v>200</v>
      </c>
      <c r="I191" s="143">
        <v>200</v>
      </c>
      <c r="J191" s="102"/>
      <c r="K191" s="104"/>
      <c r="L191" s="105">
        <v>20201118</v>
      </c>
    </row>
    <row r="192" ht="16" customHeight="1" spans="1:12">
      <c r="A192" s="102">
        <v>190</v>
      </c>
      <c r="B192" s="102" t="s">
        <v>4189</v>
      </c>
      <c r="C192" s="16" t="s">
        <v>4559</v>
      </c>
      <c r="D192" s="143" t="s">
        <v>4560</v>
      </c>
      <c r="E192" s="102" t="s">
        <v>15</v>
      </c>
      <c r="F192" s="102" t="s">
        <v>15</v>
      </c>
      <c r="G192" s="102" t="s">
        <v>3359</v>
      </c>
      <c r="H192" s="143">
        <v>200</v>
      </c>
      <c r="I192" s="143">
        <v>200</v>
      </c>
      <c r="J192" s="102"/>
      <c r="K192" s="104"/>
      <c r="L192" s="105">
        <v>20201118</v>
      </c>
    </row>
    <row r="193" ht="16" customHeight="1" spans="1:12">
      <c r="A193" s="102">
        <v>191</v>
      </c>
      <c r="B193" s="102" t="s">
        <v>4189</v>
      </c>
      <c r="C193" s="16" t="s">
        <v>4561</v>
      </c>
      <c r="D193" s="143" t="s">
        <v>4562</v>
      </c>
      <c r="E193" s="102" t="s">
        <v>15</v>
      </c>
      <c r="F193" s="102" t="s">
        <v>15</v>
      </c>
      <c r="G193" s="102" t="s">
        <v>3359</v>
      </c>
      <c r="H193" s="143">
        <v>200</v>
      </c>
      <c r="I193" s="143">
        <v>200</v>
      </c>
      <c r="J193" s="102"/>
      <c r="K193" s="104"/>
      <c r="L193" s="105">
        <v>20201118</v>
      </c>
    </row>
    <row r="194" ht="16" customHeight="1" spans="1:12">
      <c r="A194" s="102">
        <v>192</v>
      </c>
      <c r="B194" s="102" t="s">
        <v>4189</v>
      </c>
      <c r="C194" s="16" t="s">
        <v>4563</v>
      </c>
      <c r="D194" s="143" t="s">
        <v>4564</v>
      </c>
      <c r="E194" s="102" t="s">
        <v>15</v>
      </c>
      <c r="F194" s="102" t="s">
        <v>15</v>
      </c>
      <c r="G194" s="102" t="s">
        <v>3359</v>
      </c>
      <c r="H194" s="143">
        <v>500</v>
      </c>
      <c r="I194" s="143">
        <v>500</v>
      </c>
      <c r="J194" s="102"/>
      <c r="K194" s="104"/>
      <c r="L194" s="105">
        <v>20201118</v>
      </c>
    </row>
    <row r="195" ht="16" customHeight="1" spans="1:12">
      <c r="A195" s="102">
        <v>193</v>
      </c>
      <c r="B195" s="102" t="s">
        <v>4189</v>
      </c>
      <c r="C195" s="16" t="s">
        <v>4565</v>
      </c>
      <c r="D195" s="143" t="s">
        <v>4566</v>
      </c>
      <c r="E195" s="102" t="s">
        <v>15</v>
      </c>
      <c r="F195" s="102" t="s">
        <v>15</v>
      </c>
      <c r="G195" s="102" t="s">
        <v>3359</v>
      </c>
      <c r="H195" s="143">
        <v>500</v>
      </c>
      <c r="I195" s="143">
        <v>500</v>
      </c>
      <c r="J195" s="102"/>
      <c r="K195" s="104"/>
      <c r="L195" s="105">
        <v>20201118</v>
      </c>
    </row>
    <row r="196" ht="16" customHeight="1" spans="1:12">
      <c r="A196" s="102">
        <v>194</v>
      </c>
      <c r="B196" s="102" t="s">
        <v>4189</v>
      </c>
      <c r="C196" s="16" t="s">
        <v>4567</v>
      </c>
      <c r="D196" s="143" t="s">
        <v>4568</v>
      </c>
      <c r="E196" s="102" t="s">
        <v>15</v>
      </c>
      <c r="F196" s="102" t="s">
        <v>15</v>
      </c>
      <c r="G196" s="102" t="s">
        <v>3359</v>
      </c>
      <c r="H196" s="143">
        <v>500</v>
      </c>
      <c r="I196" s="143">
        <v>500</v>
      </c>
      <c r="J196" s="102"/>
      <c r="K196" s="104"/>
      <c r="L196" s="105">
        <v>20201118</v>
      </c>
    </row>
    <row r="197" ht="16" customHeight="1" spans="1:12">
      <c r="A197" s="102">
        <v>195</v>
      </c>
      <c r="B197" s="102" t="s">
        <v>4189</v>
      </c>
      <c r="C197" s="16" t="s">
        <v>4569</v>
      </c>
      <c r="D197" s="143" t="s">
        <v>4570</v>
      </c>
      <c r="E197" s="102" t="s">
        <v>15</v>
      </c>
      <c r="F197" s="102" t="s">
        <v>15</v>
      </c>
      <c r="G197" s="102" t="s">
        <v>3359</v>
      </c>
      <c r="H197" s="143">
        <v>500</v>
      </c>
      <c r="I197" s="143">
        <v>500</v>
      </c>
      <c r="J197" s="102"/>
      <c r="K197" s="104"/>
      <c r="L197" s="105">
        <v>20201118</v>
      </c>
    </row>
    <row r="198" ht="16" customHeight="1" spans="1:12">
      <c r="A198" s="102">
        <v>196</v>
      </c>
      <c r="B198" s="102" t="s">
        <v>4189</v>
      </c>
      <c r="C198" s="16" t="s">
        <v>4571</v>
      </c>
      <c r="D198" s="143" t="s">
        <v>4572</v>
      </c>
      <c r="E198" s="102" t="s">
        <v>15</v>
      </c>
      <c r="F198" s="102" t="s">
        <v>15</v>
      </c>
      <c r="G198" s="102" t="s">
        <v>3359</v>
      </c>
      <c r="H198" s="143">
        <v>500</v>
      </c>
      <c r="I198" s="143">
        <v>500</v>
      </c>
      <c r="J198" s="102"/>
      <c r="K198" s="104"/>
      <c r="L198" s="105">
        <v>20201118</v>
      </c>
    </row>
    <row r="199" ht="16" customHeight="1" spans="1:12">
      <c r="A199" s="102">
        <v>197</v>
      </c>
      <c r="B199" s="102" t="s">
        <v>4189</v>
      </c>
      <c r="C199" s="16" t="s">
        <v>4573</v>
      </c>
      <c r="D199" s="143" t="s">
        <v>4574</v>
      </c>
      <c r="E199" s="102" t="s">
        <v>15</v>
      </c>
      <c r="F199" s="102" t="s">
        <v>15</v>
      </c>
      <c r="G199" s="102" t="s">
        <v>3359</v>
      </c>
      <c r="H199" s="143">
        <v>200</v>
      </c>
      <c r="I199" s="143">
        <v>200</v>
      </c>
      <c r="J199" s="102"/>
      <c r="K199" s="104"/>
      <c r="L199" s="105">
        <v>20201118</v>
      </c>
    </row>
    <row r="200" ht="16" customHeight="1" spans="1:12">
      <c r="A200" s="102">
        <v>198</v>
      </c>
      <c r="B200" s="102" t="s">
        <v>4189</v>
      </c>
      <c r="C200" s="16" t="s">
        <v>4575</v>
      </c>
      <c r="D200" s="143" t="s">
        <v>4576</v>
      </c>
      <c r="E200" s="102" t="s">
        <v>15</v>
      </c>
      <c r="F200" s="102" t="s">
        <v>15</v>
      </c>
      <c r="G200" s="102" t="s">
        <v>3359</v>
      </c>
      <c r="H200" s="143">
        <v>200</v>
      </c>
      <c r="I200" s="143">
        <v>200</v>
      </c>
      <c r="J200" s="102"/>
      <c r="K200" s="104"/>
      <c r="L200" s="105">
        <v>20201118</v>
      </c>
    </row>
    <row r="201" ht="16" customHeight="1" spans="1:12">
      <c r="A201" s="102">
        <v>199</v>
      </c>
      <c r="B201" s="102" t="s">
        <v>4189</v>
      </c>
      <c r="C201" s="16" t="s">
        <v>4577</v>
      </c>
      <c r="D201" s="143" t="s">
        <v>4578</v>
      </c>
      <c r="E201" s="102" t="s">
        <v>15</v>
      </c>
      <c r="F201" s="102" t="s">
        <v>15</v>
      </c>
      <c r="G201" s="102" t="s">
        <v>3359</v>
      </c>
      <c r="H201" s="143">
        <v>200</v>
      </c>
      <c r="I201" s="143">
        <v>200</v>
      </c>
      <c r="J201" s="102"/>
      <c r="K201" s="104"/>
      <c r="L201" s="105">
        <v>20201118</v>
      </c>
    </row>
    <row r="202" ht="16" customHeight="1" spans="1:12">
      <c r="A202" s="102">
        <v>200</v>
      </c>
      <c r="B202" s="102" t="s">
        <v>4189</v>
      </c>
      <c r="C202" s="16" t="s">
        <v>4579</v>
      </c>
      <c r="D202" s="143" t="s">
        <v>4580</v>
      </c>
      <c r="E202" s="102" t="s">
        <v>15</v>
      </c>
      <c r="F202" s="102" t="s">
        <v>15</v>
      </c>
      <c r="G202" s="102" t="s">
        <v>3359</v>
      </c>
      <c r="H202" s="143">
        <v>200</v>
      </c>
      <c r="I202" s="143">
        <v>200</v>
      </c>
      <c r="J202" s="102"/>
      <c r="K202" s="104"/>
      <c r="L202" s="105">
        <v>20201118</v>
      </c>
    </row>
    <row r="203" ht="16" customHeight="1" spans="1:12">
      <c r="A203" s="102">
        <v>201</v>
      </c>
      <c r="B203" s="102" t="s">
        <v>4189</v>
      </c>
      <c r="C203" s="16" t="s">
        <v>4581</v>
      </c>
      <c r="D203" s="143" t="s">
        <v>4582</v>
      </c>
      <c r="E203" s="102" t="s">
        <v>15</v>
      </c>
      <c r="F203" s="102" t="s">
        <v>15</v>
      </c>
      <c r="G203" s="102" t="s">
        <v>3359</v>
      </c>
      <c r="H203" s="143">
        <v>200</v>
      </c>
      <c r="I203" s="143">
        <v>200</v>
      </c>
      <c r="J203" s="102"/>
      <c r="K203" s="104"/>
      <c r="L203" s="105">
        <v>20201118</v>
      </c>
    </row>
    <row r="204" ht="16" customHeight="1" spans="1:12">
      <c r="A204" s="102">
        <v>202</v>
      </c>
      <c r="B204" s="102" t="s">
        <v>4189</v>
      </c>
      <c r="C204" s="16" t="s">
        <v>4583</v>
      </c>
      <c r="D204" s="143" t="s">
        <v>4584</v>
      </c>
      <c r="E204" s="102" t="s">
        <v>15</v>
      </c>
      <c r="F204" s="102" t="s">
        <v>15</v>
      </c>
      <c r="G204" s="102" t="s">
        <v>3359</v>
      </c>
      <c r="H204" s="143">
        <v>200</v>
      </c>
      <c r="I204" s="143">
        <v>200</v>
      </c>
      <c r="J204" s="102"/>
      <c r="K204" s="104"/>
      <c r="L204" s="105">
        <v>20201118</v>
      </c>
    </row>
    <row r="205" ht="16" customHeight="1" spans="1:12">
      <c r="A205" s="102">
        <v>203</v>
      </c>
      <c r="B205" s="102" t="s">
        <v>4189</v>
      </c>
      <c r="C205" s="16" t="s">
        <v>4585</v>
      </c>
      <c r="D205" s="143" t="s">
        <v>4586</v>
      </c>
      <c r="E205" s="102" t="s">
        <v>15</v>
      </c>
      <c r="F205" s="102" t="s">
        <v>15</v>
      </c>
      <c r="G205" s="102" t="s">
        <v>3359</v>
      </c>
      <c r="H205" s="143">
        <v>200</v>
      </c>
      <c r="I205" s="143">
        <v>200</v>
      </c>
      <c r="J205" s="102"/>
      <c r="K205" s="104"/>
      <c r="L205" s="105">
        <v>20201118</v>
      </c>
    </row>
    <row r="206" ht="16" customHeight="1" spans="1:12">
      <c r="A206" s="102">
        <v>204</v>
      </c>
      <c r="B206" s="102" t="s">
        <v>4189</v>
      </c>
      <c r="C206" s="16" t="s">
        <v>4587</v>
      </c>
      <c r="D206" s="143" t="s">
        <v>4588</v>
      </c>
      <c r="E206" s="102" t="s">
        <v>15</v>
      </c>
      <c r="F206" s="102" t="s">
        <v>15</v>
      </c>
      <c r="G206" s="102" t="s">
        <v>3359</v>
      </c>
      <c r="H206" s="143">
        <v>200</v>
      </c>
      <c r="I206" s="143">
        <v>200</v>
      </c>
      <c r="J206" s="102"/>
      <c r="K206" s="104"/>
      <c r="L206" s="105">
        <v>20201118</v>
      </c>
    </row>
    <row r="207" ht="16" customHeight="1" spans="1:12">
      <c r="A207" s="102">
        <v>205</v>
      </c>
      <c r="B207" s="102" t="s">
        <v>4189</v>
      </c>
      <c r="C207" s="16" t="s">
        <v>4589</v>
      </c>
      <c r="D207" s="143" t="s">
        <v>4590</v>
      </c>
      <c r="E207" s="102" t="s">
        <v>15</v>
      </c>
      <c r="F207" s="102" t="s">
        <v>15</v>
      </c>
      <c r="G207" s="102" t="s">
        <v>3359</v>
      </c>
      <c r="H207" s="143">
        <v>200</v>
      </c>
      <c r="I207" s="143">
        <v>200</v>
      </c>
      <c r="J207" s="102"/>
      <c r="K207" s="104"/>
      <c r="L207" s="105">
        <v>20201118</v>
      </c>
    </row>
    <row r="208" ht="16" customHeight="1" spans="1:12">
      <c r="A208" s="102">
        <v>206</v>
      </c>
      <c r="B208" s="102" t="s">
        <v>4189</v>
      </c>
      <c r="C208" s="16" t="s">
        <v>4591</v>
      </c>
      <c r="D208" s="143" t="s">
        <v>4592</v>
      </c>
      <c r="E208" s="102" t="s">
        <v>15</v>
      </c>
      <c r="F208" s="102" t="s">
        <v>15</v>
      </c>
      <c r="G208" s="102" t="s">
        <v>3359</v>
      </c>
      <c r="H208" s="143">
        <v>200</v>
      </c>
      <c r="I208" s="143">
        <v>200</v>
      </c>
      <c r="J208" s="102"/>
      <c r="K208" s="104"/>
      <c r="L208" s="105">
        <v>20201118</v>
      </c>
    </row>
    <row r="209" ht="16" customHeight="1" spans="1:12">
      <c r="A209" s="102">
        <v>207</v>
      </c>
      <c r="B209" s="102" t="s">
        <v>4189</v>
      </c>
      <c r="C209" s="16" t="s">
        <v>4593</v>
      </c>
      <c r="D209" s="143" t="s">
        <v>4594</v>
      </c>
      <c r="E209" s="102" t="s">
        <v>15</v>
      </c>
      <c r="F209" s="102" t="s">
        <v>15</v>
      </c>
      <c r="G209" s="102" t="s">
        <v>3359</v>
      </c>
      <c r="H209" s="143">
        <v>200</v>
      </c>
      <c r="I209" s="143">
        <v>200</v>
      </c>
      <c r="J209" s="102"/>
      <c r="K209" s="104"/>
      <c r="L209" s="105">
        <v>20201118</v>
      </c>
    </row>
    <row r="210" ht="16" customHeight="1" spans="1:12">
      <c r="A210" s="102">
        <v>208</v>
      </c>
      <c r="B210" s="102" t="s">
        <v>4189</v>
      </c>
      <c r="C210" s="16" t="s">
        <v>4595</v>
      </c>
      <c r="D210" s="143" t="s">
        <v>4596</v>
      </c>
      <c r="E210" s="102" t="s">
        <v>15</v>
      </c>
      <c r="F210" s="102" t="s">
        <v>15</v>
      </c>
      <c r="G210" s="102" t="s">
        <v>3359</v>
      </c>
      <c r="H210" s="143">
        <v>200</v>
      </c>
      <c r="I210" s="143">
        <v>200</v>
      </c>
      <c r="J210" s="102"/>
      <c r="K210" s="104"/>
      <c r="L210" s="105">
        <v>20201118</v>
      </c>
    </row>
    <row r="211" ht="16" customHeight="1" spans="1:12">
      <c r="A211" s="102">
        <v>209</v>
      </c>
      <c r="B211" s="102" t="s">
        <v>4189</v>
      </c>
      <c r="C211" s="16" t="s">
        <v>4597</v>
      </c>
      <c r="D211" s="143" t="s">
        <v>4598</v>
      </c>
      <c r="E211" s="102" t="s">
        <v>15</v>
      </c>
      <c r="F211" s="102" t="s">
        <v>15</v>
      </c>
      <c r="G211" s="102" t="s">
        <v>3359</v>
      </c>
      <c r="H211" s="143">
        <v>3000</v>
      </c>
      <c r="I211" s="143">
        <v>3000</v>
      </c>
      <c r="J211" s="102"/>
      <c r="K211" s="104"/>
      <c r="L211" s="105">
        <v>20201118</v>
      </c>
    </row>
    <row r="212" ht="16" customHeight="1" spans="1:12">
      <c r="A212" s="102">
        <v>210</v>
      </c>
      <c r="B212" s="102" t="s">
        <v>4189</v>
      </c>
      <c r="C212" s="16" t="s">
        <v>4599</v>
      </c>
      <c r="D212" s="143" t="s">
        <v>4600</v>
      </c>
      <c r="E212" s="102" t="s">
        <v>15</v>
      </c>
      <c r="F212" s="102" t="s">
        <v>15</v>
      </c>
      <c r="G212" s="102" t="s">
        <v>3359</v>
      </c>
      <c r="H212" s="143">
        <v>500</v>
      </c>
      <c r="I212" s="143">
        <v>500</v>
      </c>
      <c r="J212" s="102"/>
      <c r="K212" s="104"/>
      <c r="L212" s="105">
        <v>20201118</v>
      </c>
    </row>
    <row r="213" ht="16" customHeight="1" spans="1:12">
      <c r="A213" s="102">
        <v>211</v>
      </c>
      <c r="B213" s="102" t="s">
        <v>4189</v>
      </c>
      <c r="C213" s="16" t="s">
        <v>4601</v>
      </c>
      <c r="D213" s="143" t="s">
        <v>4602</v>
      </c>
      <c r="E213" s="102" t="s">
        <v>15</v>
      </c>
      <c r="F213" s="102" t="s">
        <v>15</v>
      </c>
      <c r="G213" s="102" t="s">
        <v>3359</v>
      </c>
      <c r="H213" s="143">
        <v>500</v>
      </c>
      <c r="I213" s="143">
        <v>500</v>
      </c>
      <c r="J213" s="102"/>
      <c r="K213" s="104"/>
      <c r="L213" s="105">
        <v>20201118</v>
      </c>
    </row>
    <row r="214" ht="16" customHeight="1" spans="1:12">
      <c r="A214" s="102">
        <v>212</v>
      </c>
      <c r="B214" s="102" t="s">
        <v>4189</v>
      </c>
      <c r="C214" s="16" t="s">
        <v>4603</v>
      </c>
      <c r="D214" s="143" t="s">
        <v>4604</v>
      </c>
      <c r="E214" s="102" t="s">
        <v>15</v>
      </c>
      <c r="F214" s="102" t="s">
        <v>15</v>
      </c>
      <c r="G214" s="102" t="s">
        <v>3359</v>
      </c>
      <c r="H214" s="143">
        <v>200</v>
      </c>
      <c r="I214" s="143">
        <v>200</v>
      </c>
      <c r="J214" s="102"/>
      <c r="K214" s="104"/>
      <c r="L214" s="105">
        <v>20201118</v>
      </c>
    </row>
    <row r="215" ht="16" customHeight="1" spans="1:12">
      <c r="A215" s="102">
        <v>213</v>
      </c>
      <c r="B215" s="102" t="s">
        <v>4189</v>
      </c>
      <c r="C215" s="16" t="s">
        <v>4605</v>
      </c>
      <c r="D215" s="143" t="s">
        <v>4606</v>
      </c>
      <c r="E215" s="102" t="s">
        <v>15</v>
      </c>
      <c r="F215" s="102" t="s">
        <v>15</v>
      </c>
      <c r="G215" s="102" t="s">
        <v>3359</v>
      </c>
      <c r="H215" s="143">
        <v>200</v>
      </c>
      <c r="I215" s="143">
        <v>200</v>
      </c>
      <c r="J215" s="102"/>
      <c r="K215" s="104"/>
      <c r="L215" s="105">
        <v>20201118</v>
      </c>
    </row>
    <row r="216" ht="16" customHeight="1" spans="1:12">
      <c r="A216" s="102">
        <v>214</v>
      </c>
      <c r="B216" s="102" t="s">
        <v>4189</v>
      </c>
      <c r="C216" s="16" t="s">
        <v>4607</v>
      </c>
      <c r="D216" s="143" t="s">
        <v>4608</v>
      </c>
      <c r="E216" s="102" t="s">
        <v>15</v>
      </c>
      <c r="F216" s="102" t="s">
        <v>15</v>
      </c>
      <c r="G216" s="102" t="s">
        <v>3359</v>
      </c>
      <c r="H216" s="143">
        <v>200</v>
      </c>
      <c r="I216" s="143">
        <v>200</v>
      </c>
      <c r="J216" s="102"/>
      <c r="K216" s="104"/>
      <c r="L216" s="105">
        <v>20201118</v>
      </c>
    </row>
    <row r="217" ht="16" customHeight="1" spans="1:12">
      <c r="A217" s="102">
        <v>215</v>
      </c>
      <c r="B217" s="102" t="s">
        <v>4189</v>
      </c>
      <c r="C217" s="16" t="s">
        <v>4609</v>
      </c>
      <c r="D217" s="143" t="s">
        <v>4610</v>
      </c>
      <c r="E217" s="102" t="s">
        <v>15</v>
      </c>
      <c r="F217" s="102" t="s">
        <v>15</v>
      </c>
      <c r="G217" s="102" t="s">
        <v>3359</v>
      </c>
      <c r="H217" s="143">
        <v>500</v>
      </c>
      <c r="I217" s="143">
        <v>500</v>
      </c>
      <c r="J217" s="102"/>
      <c r="K217" s="104"/>
      <c r="L217" s="105">
        <v>20201118</v>
      </c>
    </row>
    <row r="218" ht="16" customHeight="1" spans="1:12">
      <c r="A218" s="102">
        <v>216</v>
      </c>
      <c r="B218" s="102" t="s">
        <v>4189</v>
      </c>
      <c r="C218" s="16" t="s">
        <v>4611</v>
      </c>
      <c r="D218" s="143" t="s">
        <v>4612</v>
      </c>
      <c r="E218" s="102" t="s">
        <v>15</v>
      </c>
      <c r="F218" s="102" t="s">
        <v>15</v>
      </c>
      <c r="G218" s="102" t="s">
        <v>3359</v>
      </c>
      <c r="H218" s="143">
        <v>500</v>
      </c>
      <c r="I218" s="143">
        <v>500</v>
      </c>
      <c r="J218" s="102"/>
      <c r="K218" s="104"/>
      <c r="L218" s="105">
        <v>20201118</v>
      </c>
    </row>
    <row r="219" ht="16" customHeight="1" spans="1:12">
      <c r="A219" s="102">
        <v>217</v>
      </c>
      <c r="B219" s="102" t="s">
        <v>4189</v>
      </c>
      <c r="C219" s="16" t="s">
        <v>42</v>
      </c>
      <c r="D219" s="143" t="s">
        <v>4613</v>
      </c>
      <c r="E219" s="102" t="s">
        <v>15</v>
      </c>
      <c r="F219" s="102" t="s">
        <v>15</v>
      </c>
      <c r="G219" s="102" t="s">
        <v>3359</v>
      </c>
      <c r="H219" s="143">
        <v>200</v>
      </c>
      <c r="I219" s="143">
        <v>200</v>
      </c>
      <c r="J219" s="102"/>
      <c r="K219" s="104"/>
      <c r="L219" s="105">
        <v>20201118</v>
      </c>
    </row>
    <row r="220" ht="16" customHeight="1" spans="1:12">
      <c r="A220" s="102">
        <v>218</v>
      </c>
      <c r="B220" s="102" t="s">
        <v>4189</v>
      </c>
      <c r="C220" s="16" t="s">
        <v>4614</v>
      </c>
      <c r="D220" s="143" t="s">
        <v>4615</v>
      </c>
      <c r="E220" s="102" t="s">
        <v>15</v>
      </c>
      <c r="F220" s="102" t="s">
        <v>15</v>
      </c>
      <c r="G220" s="102" t="s">
        <v>3359</v>
      </c>
      <c r="H220" s="143">
        <v>200</v>
      </c>
      <c r="I220" s="143">
        <v>200</v>
      </c>
      <c r="J220" s="102"/>
      <c r="K220" s="104"/>
      <c r="L220" s="105">
        <v>20201118</v>
      </c>
    </row>
    <row r="221" ht="16" customHeight="1" spans="1:12">
      <c r="A221" s="102">
        <v>219</v>
      </c>
      <c r="B221" s="102" t="s">
        <v>4189</v>
      </c>
      <c r="C221" s="16" t="s">
        <v>4616</v>
      </c>
      <c r="D221" s="143" t="s">
        <v>4617</v>
      </c>
      <c r="E221" s="102" t="s">
        <v>15</v>
      </c>
      <c r="F221" s="102" t="s">
        <v>15</v>
      </c>
      <c r="G221" s="102" t="s">
        <v>3359</v>
      </c>
      <c r="H221" s="143">
        <v>500</v>
      </c>
      <c r="I221" s="143">
        <v>500</v>
      </c>
      <c r="J221" s="102"/>
      <c r="K221" s="104"/>
      <c r="L221" s="105">
        <v>20201118</v>
      </c>
    </row>
    <row r="222" ht="16" customHeight="1" spans="1:12">
      <c r="A222" s="102">
        <v>220</v>
      </c>
      <c r="B222" s="102" t="s">
        <v>4189</v>
      </c>
      <c r="C222" s="16" t="s">
        <v>4618</v>
      </c>
      <c r="D222" s="143" t="s">
        <v>4619</v>
      </c>
      <c r="E222" s="102" t="s">
        <v>15</v>
      </c>
      <c r="F222" s="102" t="s">
        <v>15</v>
      </c>
      <c r="G222" s="102" t="s">
        <v>3359</v>
      </c>
      <c r="H222" s="143">
        <v>200</v>
      </c>
      <c r="I222" s="143">
        <v>200</v>
      </c>
      <c r="J222" s="102"/>
      <c r="K222" s="104"/>
      <c r="L222" s="105">
        <v>20201118</v>
      </c>
    </row>
    <row r="223" ht="16" customHeight="1" spans="1:12">
      <c r="A223" s="102">
        <v>221</v>
      </c>
      <c r="B223" s="102" t="s">
        <v>4189</v>
      </c>
      <c r="C223" s="16" t="s">
        <v>1106</v>
      </c>
      <c r="D223" s="143" t="s">
        <v>4620</v>
      </c>
      <c r="E223" s="102" t="s">
        <v>15</v>
      </c>
      <c r="F223" s="102" t="s">
        <v>15</v>
      </c>
      <c r="G223" s="102" t="s">
        <v>3359</v>
      </c>
      <c r="H223" s="143">
        <v>1000</v>
      </c>
      <c r="I223" s="143">
        <v>1000</v>
      </c>
      <c r="J223" s="102"/>
      <c r="K223" s="104"/>
      <c r="L223" s="105">
        <v>20201118</v>
      </c>
    </row>
    <row r="224" ht="16" customHeight="1" spans="1:12">
      <c r="A224" s="102">
        <v>222</v>
      </c>
      <c r="B224" s="102" t="s">
        <v>4189</v>
      </c>
      <c r="C224" s="16" t="s">
        <v>4621</v>
      </c>
      <c r="D224" s="143" t="s">
        <v>4622</v>
      </c>
      <c r="E224" s="102" t="s">
        <v>15</v>
      </c>
      <c r="F224" s="102" t="s">
        <v>15</v>
      </c>
      <c r="G224" s="102" t="s">
        <v>3359</v>
      </c>
      <c r="H224" s="143">
        <v>200</v>
      </c>
      <c r="I224" s="143">
        <v>200</v>
      </c>
      <c r="J224" s="102"/>
      <c r="K224" s="104"/>
      <c r="L224" s="105">
        <v>20201118</v>
      </c>
    </row>
    <row r="225" ht="16" customHeight="1" spans="1:12">
      <c r="A225" s="102">
        <v>223</v>
      </c>
      <c r="B225" s="102" t="s">
        <v>4189</v>
      </c>
      <c r="C225" s="16" t="s">
        <v>4623</v>
      </c>
      <c r="D225" s="143" t="s">
        <v>4624</v>
      </c>
      <c r="E225" s="102" t="s">
        <v>15</v>
      </c>
      <c r="F225" s="102" t="s">
        <v>15</v>
      </c>
      <c r="G225" s="102" t="s">
        <v>3359</v>
      </c>
      <c r="H225" s="143">
        <v>200</v>
      </c>
      <c r="I225" s="143">
        <v>200</v>
      </c>
      <c r="J225" s="102"/>
      <c r="K225" s="104"/>
      <c r="L225" s="105">
        <v>20201118</v>
      </c>
    </row>
    <row r="226" ht="16" customHeight="1" spans="1:12">
      <c r="A226" s="102">
        <v>224</v>
      </c>
      <c r="B226" s="102" t="s">
        <v>4189</v>
      </c>
      <c r="C226" s="16" t="s">
        <v>4625</v>
      </c>
      <c r="D226" s="143" t="s">
        <v>4626</v>
      </c>
      <c r="E226" s="102" t="s">
        <v>15</v>
      </c>
      <c r="F226" s="102" t="s">
        <v>15</v>
      </c>
      <c r="G226" s="102" t="s">
        <v>3359</v>
      </c>
      <c r="H226" s="143">
        <v>500</v>
      </c>
      <c r="I226" s="143">
        <v>500</v>
      </c>
      <c r="J226" s="102"/>
      <c r="K226" s="104"/>
      <c r="L226" s="105">
        <v>20201118</v>
      </c>
    </row>
    <row r="227" ht="16" customHeight="1" spans="1:12">
      <c r="A227" s="102">
        <v>225</v>
      </c>
      <c r="B227" s="102" t="s">
        <v>4189</v>
      </c>
      <c r="C227" s="16" t="s">
        <v>4627</v>
      </c>
      <c r="D227" s="143" t="s">
        <v>4628</v>
      </c>
      <c r="E227" s="102" t="s">
        <v>15</v>
      </c>
      <c r="F227" s="102" t="s">
        <v>15</v>
      </c>
      <c r="G227" s="102" t="s">
        <v>3359</v>
      </c>
      <c r="H227" s="143">
        <v>500</v>
      </c>
      <c r="I227" s="143">
        <v>500</v>
      </c>
      <c r="J227" s="102"/>
      <c r="K227" s="104"/>
      <c r="L227" s="105">
        <v>20201118</v>
      </c>
    </row>
    <row r="228" ht="16" customHeight="1" spans="1:12">
      <c r="A228" s="102">
        <v>226</v>
      </c>
      <c r="B228" s="102" t="s">
        <v>4189</v>
      </c>
      <c r="C228" s="16" t="s">
        <v>4629</v>
      </c>
      <c r="D228" s="143" t="s">
        <v>4630</v>
      </c>
      <c r="E228" s="102" t="s">
        <v>15</v>
      </c>
      <c r="F228" s="102" t="s">
        <v>15</v>
      </c>
      <c r="G228" s="102" t="s">
        <v>3359</v>
      </c>
      <c r="H228" s="143">
        <v>200</v>
      </c>
      <c r="I228" s="143">
        <v>200</v>
      </c>
      <c r="J228" s="102"/>
      <c r="K228" s="104"/>
      <c r="L228" s="105">
        <v>20201118</v>
      </c>
    </row>
    <row r="229" ht="16" customHeight="1" spans="1:12">
      <c r="A229" s="102">
        <v>227</v>
      </c>
      <c r="B229" s="102" t="s">
        <v>4189</v>
      </c>
      <c r="C229" s="16" t="s">
        <v>4631</v>
      </c>
      <c r="D229" s="143" t="s">
        <v>4632</v>
      </c>
      <c r="E229" s="102" t="s">
        <v>15</v>
      </c>
      <c r="F229" s="102" t="s">
        <v>15</v>
      </c>
      <c r="G229" s="102" t="s">
        <v>3359</v>
      </c>
      <c r="H229" s="143">
        <v>200</v>
      </c>
      <c r="I229" s="143">
        <v>200</v>
      </c>
      <c r="J229" s="102"/>
      <c r="K229" s="104"/>
      <c r="L229" s="105">
        <v>20201118</v>
      </c>
    </row>
    <row r="230" ht="16" customHeight="1" spans="1:12">
      <c r="A230" s="102">
        <v>228</v>
      </c>
      <c r="B230" s="102" t="s">
        <v>4189</v>
      </c>
      <c r="C230" s="16" t="s">
        <v>4633</v>
      </c>
      <c r="D230" s="143" t="s">
        <v>4634</v>
      </c>
      <c r="E230" s="102" t="s">
        <v>15</v>
      </c>
      <c r="F230" s="102" t="s">
        <v>15</v>
      </c>
      <c r="G230" s="102" t="s">
        <v>3359</v>
      </c>
      <c r="H230" s="143">
        <v>200</v>
      </c>
      <c r="I230" s="143">
        <v>200</v>
      </c>
      <c r="J230" s="102"/>
      <c r="K230" s="104"/>
      <c r="L230" s="105">
        <v>20201118</v>
      </c>
    </row>
    <row r="231" ht="16" customHeight="1" spans="1:12">
      <c r="A231" s="102">
        <v>229</v>
      </c>
      <c r="B231" s="102" t="s">
        <v>4189</v>
      </c>
      <c r="C231" s="16" t="s">
        <v>4635</v>
      </c>
      <c r="D231" s="143" t="s">
        <v>4636</v>
      </c>
      <c r="E231" s="102" t="s">
        <v>15</v>
      </c>
      <c r="F231" s="102" t="s">
        <v>15</v>
      </c>
      <c r="G231" s="102" t="s">
        <v>3359</v>
      </c>
      <c r="H231" s="143">
        <v>200</v>
      </c>
      <c r="I231" s="143">
        <v>200</v>
      </c>
      <c r="J231" s="102"/>
      <c r="K231" s="104"/>
      <c r="L231" s="105">
        <v>20201118</v>
      </c>
    </row>
    <row r="232" ht="16" customHeight="1" spans="1:12">
      <c r="A232" s="102">
        <v>230</v>
      </c>
      <c r="B232" s="102" t="s">
        <v>4189</v>
      </c>
      <c r="C232" s="16" t="s">
        <v>4637</v>
      </c>
      <c r="D232" s="143" t="s">
        <v>4638</v>
      </c>
      <c r="E232" s="102" t="s">
        <v>15</v>
      </c>
      <c r="F232" s="102" t="s">
        <v>15</v>
      </c>
      <c r="G232" s="102" t="s">
        <v>3359</v>
      </c>
      <c r="H232" s="143">
        <v>200</v>
      </c>
      <c r="I232" s="143">
        <v>200</v>
      </c>
      <c r="J232" s="102"/>
      <c r="K232" s="104"/>
      <c r="L232" s="105">
        <v>20201118</v>
      </c>
    </row>
    <row r="233" ht="16" customHeight="1" spans="1:12">
      <c r="A233" s="102">
        <v>231</v>
      </c>
      <c r="B233" s="102" t="s">
        <v>4189</v>
      </c>
      <c r="C233" s="16" t="s">
        <v>4639</v>
      </c>
      <c r="D233" s="143" t="s">
        <v>4640</v>
      </c>
      <c r="E233" s="102" t="s">
        <v>15</v>
      </c>
      <c r="F233" s="102" t="s">
        <v>15</v>
      </c>
      <c r="G233" s="102" t="s">
        <v>3359</v>
      </c>
      <c r="H233" s="143">
        <v>200</v>
      </c>
      <c r="I233" s="143">
        <v>200</v>
      </c>
      <c r="J233" s="102"/>
      <c r="K233" s="104"/>
      <c r="L233" s="105">
        <v>20201118</v>
      </c>
    </row>
    <row r="234" ht="16" customHeight="1" spans="1:12">
      <c r="A234" s="102">
        <v>232</v>
      </c>
      <c r="B234" s="102" t="s">
        <v>4189</v>
      </c>
      <c r="C234" s="16" t="s">
        <v>4641</v>
      </c>
      <c r="D234" s="143" t="s">
        <v>4642</v>
      </c>
      <c r="E234" s="102" t="s">
        <v>15</v>
      </c>
      <c r="F234" s="102" t="s">
        <v>15</v>
      </c>
      <c r="G234" s="102" t="s">
        <v>3359</v>
      </c>
      <c r="H234" s="143">
        <v>200</v>
      </c>
      <c r="I234" s="143">
        <v>200</v>
      </c>
      <c r="J234" s="102"/>
      <c r="K234" s="104"/>
      <c r="L234" s="105">
        <v>20201118</v>
      </c>
    </row>
    <row r="235" ht="16" customHeight="1" spans="1:12">
      <c r="A235" s="102">
        <v>233</v>
      </c>
      <c r="B235" s="102" t="s">
        <v>4189</v>
      </c>
      <c r="C235" s="16" t="s">
        <v>4643</v>
      </c>
      <c r="D235" s="143" t="s">
        <v>4644</v>
      </c>
      <c r="E235" s="102" t="s">
        <v>15</v>
      </c>
      <c r="F235" s="102" t="s">
        <v>15</v>
      </c>
      <c r="G235" s="102" t="s">
        <v>3359</v>
      </c>
      <c r="H235" s="143">
        <v>200</v>
      </c>
      <c r="I235" s="143">
        <v>200</v>
      </c>
      <c r="J235" s="102"/>
      <c r="K235" s="104"/>
      <c r="L235" s="105">
        <v>20201118</v>
      </c>
    </row>
    <row r="236" ht="16" customHeight="1" spans="1:12">
      <c r="A236" s="102">
        <v>234</v>
      </c>
      <c r="B236" s="102" t="s">
        <v>4189</v>
      </c>
      <c r="C236" s="9" t="s">
        <v>4645</v>
      </c>
      <c r="D236" s="137" t="s">
        <v>4646</v>
      </c>
      <c r="E236" s="102" t="s">
        <v>15</v>
      </c>
      <c r="F236" s="102" t="s">
        <v>15</v>
      </c>
      <c r="G236" s="102" t="s">
        <v>3359</v>
      </c>
      <c r="H236" s="143">
        <v>200</v>
      </c>
      <c r="I236" s="143">
        <v>200</v>
      </c>
      <c r="J236" s="102"/>
      <c r="K236" s="104"/>
      <c r="L236" s="105">
        <v>20201118</v>
      </c>
    </row>
    <row r="237" ht="16" customHeight="1" spans="1:12">
      <c r="A237" s="102">
        <v>235</v>
      </c>
      <c r="B237" s="102" t="s">
        <v>4189</v>
      </c>
      <c r="C237" s="16" t="s">
        <v>228</v>
      </c>
      <c r="D237" s="143" t="s">
        <v>4647</v>
      </c>
      <c r="E237" s="102" t="s">
        <v>15</v>
      </c>
      <c r="F237" s="102" t="s">
        <v>15</v>
      </c>
      <c r="G237" s="102" t="s">
        <v>3359</v>
      </c>
      <c r="H237" s="143">
        <v>200</v>
      </c>
      <c r="I237" s="143">
        <v>200</v>
      </c>
      <c r="J237" s="102"/>
      <c r="K237" s="104"/>
      <c r="L237" s="105">
        <v>20201118</v>
      </c>
    </row>
    <row r="238" ht="16" customHeight="1" spans="1:12">
      <c r="A238" s="102">
        <v>236</v>
      </c>
      <c r="B238" s="102" t="s">
        <v>4189</v>
      </c>
      <c r="C238" s="16" t="s">
        <v>4648</v>
      </c>
      <c r="D238" s="143" t="s">
        <v>4649</v>
      </c>
      <c r="E238" s="102" t="s">
        <v>15</v>
      </c>
      <c r="F238" s="102" t="s">
        <v>15</v>
      </c>
      <c r="G238" s="102" t="s">
        <v>3359</v>
      </c>
      <c r="H238" s="143">
        <v>200</v>
      </c>
      <c r="I238" s="143">
        <v>200</v>
      </c>
      <c r="J238" s="102"/>
      <c r="K238" s="104"/>
      <c r="L238" s="105">
        <v>20201118</v>
      </c>
    </row>
    <row r="239" ht="16" customHeight="1" spans="1:12">
      <c r="A239" s="102">
        <v>237</v>
      </c>
      <c r="B239" s="102" t="s">
        <v>4189</v>
      </c>
      <c r="C239" s="16" t="s">
        <v>4650</v>
      </c>
      <c r="D239" s="143" t="s">
        <v>4651</v>
      </c>
      <c r="E239" s="102" t="s">
        <v>15</v>
      </c>
      <c r="F239" s="102" t="s">
        <v>15</v>
      </c>
      <c r="G239" s="102" t="s">
        <v>3359</v>
      </c>
      <c r="H239" s="143">
        <v>200</v>
      </c>
      <c r="I239" s="143">
        <v>200</v>
      </c>
      <c r="J239" s="102"/>
      <c r="K239" s="104"/>
      <c r="L239" s="105">
        <v>20201118</v>
      </c>
    </row>
    <row r="240" ht="16" customHeight="1" spans="1:12">
      <c r="A240" s="102">
        <v>238</v>
      </c>
      <c r="B240" s="102" t="s">
        <v>4189</v>
      </c>
      <c r="C240" s="16" t="s">
        <v>4652</v>
      </c>
      <c r="D240" s="143" t="s">
        <v>4653</v>
      </c>
      <c r="E240" s="102" t="s">
        <v>15</v>
      </c>
      <c r="F240" s="102" t="s">
        <v>15</v>
      </c>
      <c r="G240" s="102" t="s">
        <v>3359</v>
      </c>
      <c r="H240" s="143">
        <v>200</v>
      </c>
      <c r="I240" s="143">
        <v>200</v>
      </c>
      <c r="J240" s="102"/>
      <c r="K240" s="104"/>
      <c r="L240" s="105">
        <v>20201118</v>
      </c>
    </row>
    <row r="241" ht="16" customHeight="1" spans="1:12">
      <c r="A241" s="102">
        <v>239</v>
      </c>
      <c r="B241" s="102" t="s">
        <v>4189</v>
      </c>
      <c r="C241" s="16" t="s">
        <v>4654</v>
      </c>
      <c r="D241" s="143" t="s">
        <v>4655</v>
      </c>
      <c r="E241" s="102" t="s">
        <v>15</v>
      </c>
      <c r="F241" s="102" t="s">
        <v>15</v>
      </c>
      <c r="G241" s="102" t="s">
        <v>3359</v>
      </c>
      <c r="H241" s="143">
        <v>500</v>
      </c>
      <c r="I241" s="143">
        <v>500</v>
      </c>
      <c r="J241" s="102"/>
      <c r="K241" s="104"/>
      <c r="L241" s="105">
        <v>20201118</v>
      </c>
    </row>
    <row r="242" ht="16" customHeight="1" spans="1:12">
      <c r="A242" s="102">
        <v>240</v>
      </c>
      <c r="B242" s="102" t="s">
        <v>4189</v>
      </c>
      <c r="C242" s="16" t="s">
        <v>4656</v>
      </c>
      <c r="D242" s="143" t="s">
        <v>4657</v>
      </c>
      <c r="E242" s="102" t="s">
        <v>15</v>
      </c>
      <c r="F242" s="102" t="s">
        <v>15</v>
      </c>
      <c r="G242" s="102" t="s">
        <v>3359</v>
      </c>
      <c r="H242" s="143">
        <v>500</v>
      </c>
      <c r="I242" s="143">
        <v>500</v>
      </c>
      <c r="J242" s="102"/>
      <c r="K242" s="104"/>
      <c r="L242" s="105">
        <v>20201118</v>
      </c>
    </row>
    <row r="243" ht="16" customHeight="1" spans="1:12">
      <c r="A243" s="102">
        <v>241</v>
      </c>
      <c r="B243" s="102" t="s">
        <v>4189</v>
      </c>
      <c r="C243" s="16" t="s">
        <v>4658</v>
      </c>
      <c r="D243" s="143" t="s">
        <v>4659</v>
      </c>
      <c r="E243" s="102" t="s">
        <v>15</v>
      </c>
      <c r="F243" s="102" t="s">
        <v>15</v>
      </c>
      <c r="G243" s="102" t="s">
        <v>3359</v>
      </c>
      <c r="H243" s="143">
        <v>500</v>
      </c>
      <c r="I243" s="143">
        <v>500</v>
      </c>
      <c r="J243" s="102"/>
      <c r="K243" s="104"/>
      <c r="L243" s="105">
        <v>20201118</v>
      </c>
    </row>
    <row r="244" ht="16" customHeight="1" spans="1:12">
      <c r="A244" s="102">
        <v>242</v>
      </c>
      <c r="B244" s="102" t="s">
        <v>4189</v>
      </c>
      <c r="C244" s="16" t="s">
        <v>4660</v>
      </c>
      <c r="D244" s="143" t="s">
        <v>4661</v>
      </c>
      <c r="E244" s="102" t="s">
        <v>15</v>
      </c>
      <c r="F244" s="102" t="s">
        <v>15</v>
      </c>
      <c r="G244" s="102" t="s">
        <v>3359</v>
      </c>
      <c r="H244" s="143">
        <v>500</v>
      </c>
      <c r="I244" s="143">
        <v>500</v>
      </c>
      <c r="J244" s="102"/>
      <c r="K244" s="104"/>
      <c r="L244" s="105">
        <v>20201118</v>
      </c>
    </row>
    <row r="245" ht="16" customHeight="1" spans="1:12">
      <c r="A245" s="102">
        <v>243</v>
      </c>
      <c r="B245" s="102" t="s">
        <v>4189</v>
      </c>
      <c r="C245" s="16" t="s">
        <v>4662</v>
      </c>
      <c r="D245" s="143" t="s">
        <v>4663</v>
      </c>
      <c r="E245" s="102" t="s">
        <v>15</v>
      </c>
      <c r="F245" s="102" t="s">
        <v>15</v>
      </c>
      <c r="G245" s="102" t="s">
        <v>3359</v>
      </c>
      <c r="H245" s="143">
        <v>200</v>
      </c>
      <c r="I245" s="143">
        <v>200</v>
      </c>
      <c r="J245" s="102"/>
      <c r="K245" s="104"/>
      <c r="L245" s="105">
        <v>20201118</v>
      </c>
    </row>
    <row r="246" ht="16" customHeight="1" spans="1:12">
      <c r="A246" s="102">
        <v>244</v>
      </c>
      <c r="B246" s="102" t="s">
        <v>4189</v>
      </c>
      <c r="C246" s="16" t="s">
        <v>4664</v>
      </c>
      <c r="D246" s="143" t="s">
        <v>4665</v>
      </c>
      <c r="E246" s="102" t="s">
        <v>15</v>
      </c>
      <c r="F246" s="102" t="s">
        <v>15</v>
      </c>
      <c r="G246" s="102" t="s">
        <v>3359</v>
      </c>
      <c r="H246" s="143">
        <v>200</v>
      </c>
      <c r="I246" s="143">
        <v>200</v>
      </c>
      <c r="J246" s="102"/>
      <c r="K246" s="104"/>
      <c r="L246" s="105">
        <v>20201118</v>
      </c>
    </row>
    <row r="247" ht="16" customHeight="1" spans="1:12">
      <c r="A247" s="102">
        <v>245</v>
      </c>
      <c r="B247" s="102" t="s">
        <v>4189</v>
      </c>
      <c r="C247" s="16" t="s">
        <v>4666</v>
      </c>
      <c r="D247" s="143" t="s">
        <v>4667</v>
      </c>
      <c r="E247" s="102" t="s">
        <v>15</v>
      </c>
      <c r="F247" s="102" t="s">
        <v>15</v>
      </c>
      <c r="G247" s="102" t="s">
        <v>3359</v>
      </c>
      <c r="H247" s="143">
        <v>3000</v>
      </c>
      <c r="I247" s="143">
        <v>3000</v>
      </c>
      <c r="J247" s="102"/>
      <c r="K247" s="104"/>
      <c r="L247" s="105">
        <v>20201118</v>
      </c>
    </row>
    <row r="248" ht="16" customHeight="1" spans="1:12">
      <c r="A248" s="102">
        <v>246</v>
      </c>
      <c r="B248" s="102" t="s">
        <v>4189</v>
      </c>
      <c r="C248" s="16" t="s">
        <v>4668</v>
      </c>
      <c r="D248" s="143" t="s">
        <v>4669</v>
      </c>
      <c r="E248" s="102" t="s">
        <v>15</v>
      </c>
      <c r="F248" s="102" t="s">
        <v>15</v>
      </c>
      <c r="G248" s="102" t="s">
        <v>3359</v>
      </c>
      <c r="H248" s="143">
        <v>200</v>
      </c>
      <c r="I248" s="143">
        <v>200</v>
      </c>
      <c r="J248" s="102"/>
      <c r="K248" s="104"/>
      <c r="L248" s="105">
        <v>20201118</v>
      </c>
    </row>
    <row r="249" ht="16" customHeight="1" spans="1:12">
      <c r="A249" s="102">
        <v>247</v>
      </c>
      <c r="B249" s="102" t="s">
        <v>4189</v>
      </c>
      <c r="C249" s="16" t="s">
        <v>4670</v>
      </c>
      <c r="D249" s="143" t="s">
        <v>4671</v>
      </c>
      <c r="E249" s="102" t="s">
        <v>15</v>
      </c>
      <c r="F249" s="102" t="s">
        <v>15</v>
      </c>
      <c r="G249" s="102" t="s">
        <v>3359</v>
      </c>
      <c r="H249" s="143">
        <v>200</v>
      </c>
      <c r="I249" s="143">
        <v>200</v>
      </c>
      <c r="J249" s="102"/>
      <c r="K249" s="104"/>
      <c r="L249" s="105">
        <v>20201118</v>
      </c>
    </row>
    <row r="250" ht="16" customHeight="1" spans="1:12">
      <c r="A250" s="102">
        <v>248</v>
      </c>
      <c r="B250" s="102" t="s">
        <v>4189</v>
      </c>
      <c r="C250" s="16" t="s">
        <v>4672</v>
      </c>
      <c r="D250" s="143" t="s">
        <v>4673</v>
      </c>
      <c r="E250" s="102" t="s">
        <v>15</v>
      </c>
      <c r="F250" s="102" t="s">
        <v>15</v>
      </c>
      <c r="G250" s="102" t="s">
        <v>3359</v>
      </c>
      <c r="H250" s="143">
        <v>200</v>
      </c>
      <c r="I250" s="143">
        <v>200</v>
      </c>
      <c r="J250" s="102"/>
      <c r="K250" s="104"/>
      <c r="L250" s="105">
        <v>20201118</v>
      </c>
    </row>
    <row r="251" ht="16" customHeight="1" spans="1:12">
      <c r="A251" s="102">
        <v>249</v>
      </c>
      <c r="B251" s="102" t="s">
        <v>4189</v>
      </c>
      <c r="C251" s="16" t="s">
        <v>4674</v>
      </c>
      <c r="D251" s="143" t="s">
        <v>4675</v>
      </c>
      <c r="E251" s="102" t="s">
        <v>15</v>
      </c>
      <c r="F251" s="102" t="s">
        <v>15</v>
      </c>
      <c r="G251" s="102" t="s">
        <v>3359</v>
      </c>
      <c r="H251" s="143">
        <v>200</v>
      </c>
      <c r="I251" s="143">
        <v>200</v>
      </c>
      <c r="J251" s="102"/>
      <c r="K251" s="104"/>
      <c r="L251" s="105">
        <v>20201118</v>
      </c>
    </row>
    <row r="252" ht="16" customHeight="1" spans="1:12">
      <c r="A252" s="102">
        <v>250</v>
      </c>
      <c r="B252" s="102" t="s">
        <v>4189</v>
      </c>
      <c r="C252" s="16" t="s">
        <v>4676</v>
      </c>
      <c r="D252" s="143" t="s">
        <v>4677</v>
      </c>
      <c r="E252" s="102" t="s">
        <v>15</v>
      </c>
      <c r="F252" s="102" t="s">
        <v>15</v>
      </c>
      <c r="G252" s="102" t="s">
        <v>3359</v>
      </c>
      <c r="H252" s="143">
        <v>200</v>
      </c>
      <c r="I252" s="143">
        <v>200</v>
      </c>
      <c r="J252" s="102"/>
      <c r="K252" s="104"/>
      <c r="L252" s="105">
        <v>20201118</v>
      </c>
    </row>
    <row r="253" ht="16" customHeight="1" spans="1:12">
      <c r="A253" s="102">
        <v>251</v>
      </c>
      <c r="B253" s="102" t="s">
        <v>4189</v>
      </c>
      <c r="C253" s="16" t="s">
        <v>4678</v>
      </c>
      <c r="D253" s="143" t="s">
        <v>4679</v>
      </c>
      <c r="E253" s="102" t="s">
        <v>15</v>
      </c>
      <c r="F253" s="102" t="s">
        <v>15</v>
      </c>
      <c r="G253" s="102" t="s">
        <v>3359</v>
      </c>
      <c r="H253" s="143">
        <v>200</v>
      </c>
      <c r="I253" s="143">
        <v>200</v>
      </c>
      <c r="J253" s="102"/>
      <c r="K253" s="104"/>
      <c r="L253" s="105">
        <v>20201118</v>
      </c>
    </row>
    <row r="254" ht="16" customHeight="1" spans="1:12">
      <c r="A254" s="102">
        <v>252</v>
      </c>
      <c r="B254" s="102" t="s">
        <v>4189</v>
      </c>
      <c r="C254" s="16" t="s">
        <v>4680</v>
      </c>
      <c r="D254" s="143" t="s">
        <v>4681</v>
      </c>
      <c r="E254" s="102" t="s">
        <v>15</v>
      </c>
      <c r="F254" s="102" t="s">
        <v>15</v>
      </c>
      <c r="G254" s="102" t="s">
        <v>3359</v>
      </c>
      <c r="H254" s="143">
        <v>500</v>
      </c>
      <c r="I254" s="143">
        <v>500</v>
      </c>
      <c r="J254" s="102"/>
      <c r="K254" s="104"/>
      <c r="L254" s="105">
        <v>20201118</v>
      </c>
    </row>
    <row r="255" ht="16" customHeight="1" spans="1:12">
      <c r="A255" s="102">
        <v>253</v>
      </c>
      <c r="B255" s="102" t="s">
        <v>4189</v>
      </c>
      <c r="C255" s="16" t="s">
        <v>4682</v>
      </c>
      <c r="D255" s="143" t="s">
        <v>4683</v>
      </c>
      <c r="E255" s="102" t="s">
        <v>15</v>
      </c>
      <c r="F255" s="102" t="s">
        <v>15</v>
      </c>
      <c r="G255" s="102" t="s">
        <v>3359</v>
      </c>
      <c r="H255" s="143">
        <v>500</v>
      </c>
      <c r="I255" s="143">
        <v>500</v>
      </c>
      <c r="J255" s="102"/>
      <c r="K255" s="104"/>
      <c r="L255" s="105">
        <v>20201118</v>
      </c>
    </row>
    <row r="256" ht="16" customHeight="1" spans="1:12">
      <c r="A256" s="102">
        <v>254</v>
      </c>
      <c r="B256" s="102" t="s">
        <v>4189</v>
      </c>
      <c r="C256" s="16" t="s">
        <v>4684</v>
      </c>
      <c r="D256" s="143" t="s">
        <v>4685</v>
      </c>
      <c r="E256" s="102" t="s">
        <v>15</v>
      </c>
      <c r="F256" s="102" t="s">
        <v>15</v>
      </c>
      <c r="G256" s="102" t="s">
        <v>3359</v>
      </c>
      <c r="H256" s="143">
        <v>200</v>
      </c>
      <c r="I256" s="143">
        <v>200</v>
      </c>
      <c r="J256" s="102"/>
      <c r="K256" s="104"/>
      <c r="L256" s="105">
        <v>20201118</v>
      </c>
    </row>
    <row r="257" ht="16" customHeight="1" spans="1:12">
      <c r="A257" s="102">
        <v>255</v>
      </c>
      <c r="B257" s="102" t="s">
        <v>4189</v>
      </c>
      <c r="C257" s="16" t="s">
        <v>1438</v>
      </c>
      <c r="D257" s="143" t="s">
        <v>4686</v>
      </c>
      <c r="E257" s="102" t="s">
        <v>15</v>
      </c>
      <c r="F257" s="102" t="s">
        <v>15</v>
      </c>
      <c r="G257" s="102" t="s">
        <v>3359</v>
      </c>
      <c r="H257" s="143">
        <v>200</v>
      </c>
      <c r="I257" s="143">
        <v>200</v>
      </c>
      <c r="J257" s="102"/>
      <c r="K257" s="104"/>
      <c r="L257" s="105">
        <v>20201118</v>
      </c>
    </row>
    <row r="258" ht="16" customHeight="1" spans="1:12">
      <c r="A258" s="102">
        <v>256</v>
      </c>
      <c r="B258" s="102" t="s">
        <v>4189</v>
      </c>
      <c r="C258" s="16" t="s">
        <v>4687</v>
      </c>
      <c r="D258" s="143" t="s">
        <v>4688</v>
      </c>
      <c r="E258" s="102" t="s">
        <v>15</v>
      </c>
      <c r="F258" s="102" t="s">
        <v>15</v>
      </c>
      <c r="G258" s="102" t="s">
        <v>3359</v>
      </c>
      <c r="H258" s="143">
        <v>200</v>
      </c>
      <c r="I258" s="143">
        <v>200</v>
      </c>
      <c r="J258" s="102"/>
      <c r="K258" s="104"/>
      <c r="L258" s="105">
        <v>20201118</v>
      </c>
    </row>
    <row r="259" ht="16" customHeight="1" spans="1:12">
      <c r="A259" s="102">
        <v>257</v>
      </c>
      <c r="B259" s="102" t="s">
        <v>4189</v>
      </c>
      <c r="C259" s="16" t="s">
        <v>4689</v>
      </c>
      <c r="D259" s="143" t="s">
        <v>4690</v>
      </c>
      <c r="E259" s="102" t="s">
        <v>15</v>
      </c>
      <c r="F259" s="102" t="s">
        <v>15</v>
      </c>
      <c r="G259" s="102" t="s">
        <v>3359</v>
      </c>
      <c r="H259" s="143">
        <v>200</v>
      </c>
      <c r="I259" s="143">
        <v>200</v>
      </c>
      <c r="J259" s="102"/>
      <c r="K259" s="104"/>
      <c r="L259" s="105">
        <v>20201118</v>
      </c>
    </row>
    <row r="260" ht="16" customHeight="1" spans="1:12">
      <c r="A260" s="102">
        <v>258</v>
      </c>
      <c r="B260" s="102" t="s">
        <v>4189</v>
      </c>
      <c r="C260" s="16" t="s">
        <v>4691</v>
      </c>
      <c r="D260" s="143" t="s">
        <v>4692</v>
      </c>
      <c r="E260" s="102" t="s">
        <v>15</v>
      </c>
      <c r="F260" s="102" t="s">
        <v>15</v>
      </c>
      <c r="G260" s="102" t="s">
        <v>3359</v>
      </c>
      <c r="H260" s="143">
        <v>500</v>
      </c>
      <c r="I260" s="143">
        <v>500</v>
      </c>
      <c r="J260" s="102"/>
      <c r="K260" s="104"/>
      <c r="L260" s="105">
        <v>20201118</v>
      </c>
    </row>
    <row r="261" ht="16" customHeight="1" spans="1:12">
      <c r="A261" s="102">
        <v>259</v>
      </c>
      <c r="B261" s="102" t="s">
        <v>4189</v>
      </c>
      <c r="C261" s="16" t="s">
        <v>4693</v>
      </c>
      <c r="D261" s="143" t="s">
        <v>4694</v>
      </c>
      <c r="E261" s="102" t="s">
        <v>15</v>
      </c>
      <c r="F261" s="102" t="s">
        <v>15</v>
      </c>
      <c r="G261" s="102" t="s">
        <v>3359</v>
      </c>
      <c r="H261" s="143">
        <v>500</v>
      </c>
      <c r="I261" s="143">
        <v>500</v>
      </c>
      <c r="J261" s="102"/>
      <c r="K261" s="104"/>
      <c r="L261" s="105">
        <v>20201118</v>
      </c>
    </row>
    <row r="262" ht="16" customHeight="1" spans="1:12">
      <c r="A262" s="102">
        <v>260</v>
      </c>
      <c r="B262" s="102" t="s">
        <v>4189</v>
      </c>
      <c r="C262" s="16" t="s">
        <v>4695</v>
      </c>
      <c r="D262" s="143" t="s">
        <v>4696</v>
      </c>
      <c r="E262" s="102" t="s">
        <v>15</v>
      </c>
      <c r="F262" s="102" t="s">
        <v>15</v>
      </c>
      <c r="G262" s="102" t="s">
        <v>3359</v>
      </c>
      <c r="H262" s="143">
        <v>200</v>
      </c>
      <c r="I262" s="143">
        <v>200</v>
      </c>
      <c r="J262" s="102"/>
      <c r="K262" s="104"/>
      <c r="L262" s="105">
        <v>20201118</v>
      </c>
    </row>
    <row r="263" ht="16" customHeight="1" spans="1:12">
      <c r="A263" s="102">
        <v>261</v>
      </c>
      <c r="B263" s="102" t="s">
        <v>4189</v>
      </c>
      <c r="C263" s="16" t="s">
        <v>4697</v>
      </c>
      <c r="D263" s="143" t="s">
        <v>4698</v>
      </c>
      <c r="E263" s="102" t="s">
        <v>15</v>
      </c>
      <c r="F263" s="102" t="s">
        <v>15</v>
      </c>
      <c r="G263" s="102" t="s">
        <v>3359</v>
      </c>
      <c r="H263" s="143">
        <v>200</v>
      </c>
      <c r="I263" s="143">
        <v>200</v>
      </c>
      <c r="J263" s="102"/>
      <c r="K263" s="104"/>
      <c r="L263" s="105">
        <v>20201118</v>
      </c>
    </row>
    <row r="264" ht="16" customHeight="1" spans="1:12">
      <c r="A264" s="102">
        <v>262</v>
      </c>
      <c r="B264" s="102" t="s">
        <v>4189</v>
      </c>
      <c r="C264" s="16" t="s">
        <v>4699</v>
      </c>
      <c r="D264" s="143" t="s">
        <v>4700</v>
      </c>
      <c r="E264" s="102" t="s">
        <v>15</v>
      </c>
      <c r="F264" s="102" t="s">
        <v>15</v>
      </c>
      <c r="G264" s="102" t="s">
        <v>3359</v>
      </c>
      <c r="H264" s="143">
        <v>200</v>
      </c>
      <c r="I264" s="143">
        <v>200</v>
      </c>
      <c r="J264" s="102"/>
      <c r="K264" s="104"/>
      <c r="L264" s="105">
        <v>20201118</v>
      </c>
    </row>
    <row r="265" ht="16" customHeight="1" spans="1:12">
      <c r="A265" s="102">
        <v>263</v>
      </c>
      <c r="B265" s="102" t="s">
        <v>4189</v>
      </c>
      <c r="C265" s="16" t="s">
        <v>4701</v>
      </c>
      <c r="D265" s="16" t="s">
        <v>4702</v>
      </c>
      <c r="E265" s="102" t="s">
        <v>15</v>
      </c>
      <c r="F265" s="102" t="s">
        <v>15</v>
      </c>
      <c r="G265" s="102" t="s">
        <v>3359</v>
      </c>
      <c r="H265" s="143">
        <v>200</v>
      </c>
      <c r="I265" s="143">
        <v>200</v>
      </c>
      <c r="J265" s="102"/>
      <c r="K265" s="104"/>
      <c r="L265" s="105">
        <v>20201118</v>
      </c>
    </row>
    <row r="266" ht="16" customHeight="1" spans="1:12">
      <c r="A266" s="102">
        <v>264</v>
      </c>
      <c r="B266" s="102" t="s">
        <v>4189</v>
      </c>
      <c r="C266" s="16" t="s">
        <v>4703</v>
      </c>
      <c r="D266" s="143" t="s">
        <v>4704</v>
      </c>
      <c r="E266" s="102" t="s">
        <v>15</v>
      </c>
      <c r="F266" s="102" t="s">
        <v>15</v>
      </c>
      <c r="G266" s="102" t="s">
        <v>3359</v>
      </c>
      <c r="H266" s="143">
        <v>200</v>
      </c>
      <c r="I266" s="143">
        <v>200</v>
      </c>
      <c r="J266" s="102"/>
      <c r="K266" s="104"/>
      <c r="L266" s="105">
        <v>20201118</v>
      </c>
    </row>
    <row r="267" ht="16" customHeight="1" spans="1:12">
      <c r="A267" s="102">
        <v>265</v>
      </c>
      <c r="B267" s="102" t="s">
        <v>4189</v>
      </c>
      <c r="C267" s="16" t="s">
        <v>4705</v>
      </c>
      <c r="D267" s="143" t="s">
        <v>4706</v>
      </c>
      <c r="E267" s="102" t="s">
        <v>15</v>
      </c>
      <c r="F267" s="102" t="s">
        <v>15</v>
      </c>
      <c r="G267" s="102" t="s">
        <v>3359</v>
      </c>
      <c r="H267" s="143">
        <v>200</v>
      </c>
      <c r="I267" s="143">
        <v>200</v>
      </c>
      <c r="J267" s="102"/>
      <c r="K267" s="104"/>
      <c r="L267" s="105">
        <v>20201118</v>
      </c>
    </row>
    <row r="268" ht="16" customHeight="1" spans="1:12">
      <c r="A268" s="102">
        <v>266</v>
      </c>
      <c r="B268" s="102" t="s">
        <v>4189</v>
      </c>
      <c r="C268" s="16" t="s">
        <v>4707</v>
      </c>
      <c r="D268" s="143" t="s">
        <v>4708</v>
      </c>
      <c r="E268" s="102" t="s">
        <v>15</v>
      </c>
      <c r="F268" s="102" t="s">
        <v>15</v>
      </c>
      <c r="G268" s="102" t="s">
        <v>3359</v>
      </c>
      <c r="H268" s="143">
        <v>200</v>
      </c>
      <c r="I268" s="143">
        <v>200</v>
      </c>
      <c r="J268" s="102"/>
      <c r="K268" s="104"/>
      <c r="L268" s="105">
        <v>20201118</v>
      </c>
    </row>
    <row r="269" ht="16" customHeight="1" spans="1:12">
      <c r="A269" s="102">
        <v>267</v>
      </c>
      <c r="B269" s="102" t="s">
        <v>4189</v>
      </c>
      <c r="C269" s="16" t="s">
        <v>3144</v>
      </c>
      <c r="D269" s="143" t="s">
        <v>4709</v>
      </c>
      <c r="E269" s="102" t="s">
        <v>15</v>
      </c>
      <c r="F269" s="102" t="s">
        <v>15</v>
      </c>
      <c r="G269" s="102" t="s">
        <v>3359</v>
      </c>
      <c r="H269" s="143">
        <v>200</v>
      </c>
      <c r="I269" s="143">
        <v>200</v>
      </c>
      <c r="J269" s="102"/>
      <c r="K269" s="104"/>
      <c r="L269" s="105">
        <v>20201118</v>
      </c>
    </row>
    <row r="270" ht="16" customHeight="1" spans="1:12">
      <c r="A270" s="102">
        <v>268</v>
      </c>
      <c r="B270" s="102" t="s">
        <v>4189</v>
      </c>
      <c r="C270" s="16" t="s">
        <v>4710</v>
      </c>
      <c r="D270" s="143" t="s">
        <v>4711</v>
      </c>
      <c r="E270" s="102" t="s">
        <v>15</v>
      </c>
      <c r="F270" s="102" t="s">
        <v>15</v>
      </c>
      <c r="G270" s="102" t="s">
        <v>3359</v>
      </c>
      <c r="H270" s="143">
        <v>200</v>
      </c>
      <c r="I270" s="143">
        <v>200</v>
      </c>
      <c r="J270" s="102"/>
      <c r="K270" s="104"/>
      <c r="L270" s="105">
        <v>20201118</v>
      </c>
    </row>
    <row r="271" ht="16" customHeight="1" spans="1:12">
      <c r="A271" s="102">
        <v>269</v>
      </c>
      <c r="B271" s="102" t="s">
        <v>4189</v>
      </c>
      <c r="C271" s="16" t="s">
        <v>4589</v>
      </c>
      <c r="D271" s="143" t="s">
        <v>4712</v>
      </c>
      <c r="E271" s="102" t="s">
        <v>15</v>
      </c>
      <c r="F271" s="102" t="s">
        <v>15</v>
      </c>
      <c r="G271" s="102" t="s">
        <v>3359</v>
      </c>
      <c r="H271" s="143">
        <v>200</v>
      </c>
      <c r="I271" s="143">
        <v>200</v>
      </c>
      <c r="J271" s="102"/>
      <c r="K271" s="104"/>
      <c r="L271" s="105">
        <v>20201118</v>
      </c>
    </row>
    <row r="272" ht="16" customHeight="1" spans="1:12">
      <c r="A272" s="102">
        <v>270</v>
      </c>
      <c r="B272" s="102" t="s">
        <v>4189</v>
      </c>
      <c r="C272" s="16" t="s">
        <v>4713</v>
      </c>
      <c r="D272" s="143" t="s">
        <v>4714</v>
      </c>
      <c r="E272" s="102" t="s">
        <v>15</v>
      </c>
      <c r="F272" s="102" t="s">
        <v>15</v>
      </c>
      <c r="G272" s="102" t="s">
        <v>3359</v>
      </c>
      <c r="H272" s="143">
        <v>200</v>
      </c>
      <c r="I272" s="143">
        <v>200</v>
      </c>
      <c r="J272" s="102"/>
      <c r="K272" s="104"/>
      <c r="L272" s="105">
        <v>20201118</v>
      </c>
    </row>
    <row r="273" ht="16" customHeight="1" spans="1:12">
      <c r="A273" s="102">
        <v>271</v>
      </c>
      <c r="B273" s="102" t="s">
        <v>4189</v>
      </c>
      <c r="C273" s="16" t="s">
        <v>4715</v>
      </c>
      <c r="D273" s="143" t="s">
        <v>4716</v>
      </c>
      <c r="E273" s="102" t="s">
        <v>15</v>
      </c>
      <c r="F273" s="102" t="s">
        <v>15</v>
      </c>
      <c r="G273" s="102" t="s">
        <v>3359</v>
      </c>
      <c r="H273" s="143">
        <v>200</v>
      </c>
      <c r="I273" s="143">
        <v>200</v>
      </c>
      <c r="J273" s="102"/>
      <c r="K273" s="104"/>
      <c r="L273" s="105">
        <v>20201118</v>
      </c>
    </row>
    <row r="274" ht="16" customHeight="1" spans="1:12">
      <c r="A274" s="102">
        <v>272</v>
      </c>
      <c r="B274" s="102" t="s">
        <v>4189</v>
      </c>
      <c r="C274" s="16" t="s">
        <v>4717</v>
      </c>
      <c r="D274" s="143" t="s">
        <v>4718</v>
      </c>
      <c r="E274" s="102" t="s">
        <v>15</v>
      </c>
      <c r="F274" s="102" t="s">
        <v>15</v>
      </c>
      <c r="G274" s="102" t="s">
        <v>3359</v>
      </c>
      <c r="H274" s="143">
        <v>200</v>
      </c>
      <c r="I274" s="143">
        <v>200</v>
      </c>
      <c r="J274" s="102"/>
      <c r="K274" s="104"/>
      <c r="L274" s="105">
        <v>20201118</v>
      </c>
    </row>
    <row r="275" ht="16" customHeight="1" spans="1:12">
      <c r="A275" s="102">
        <v>273</v>
      </c>
      <c r="B275" s="102" t="s">
        <v>4189</v>
      </c>
      <c r="C275" s="16" t="s">
        <v>4719</v>
      </c>
      <c r="D275" s="143" t="s">
        <v>4720</v>
      </c>
      <c r="E275" s="102" t="s">
        <v>15</v>
      </c>
      <c r="F275" s="102" t="s">
        <v>15</v>
      </c>
      <c r="G275" s="102" t="s">
        <v>3359</v>
      </c>
      <c r="H275" s="143">
        <v>200</v>
      </c>
      <c r="I275" s="143">
        <v>200</v>
      </c>
      <c r="J275" s="102"/>
      <c r="K275" s="104"/>
      <c r="L275" s="105">
        <v>20201118</v>
      </c>
    </row>
    <row r="276" ht="16" customHeight="1" spans="1:12">
      <c r="A276" s="102">
        <v>274</v>
      </c>
      <c r="B276" s="102" t="s">
        <v>4189</v>
      </c>
      <c r="C276" s="16" t="s">
        <v>4721</v>
      </c>
      <c r="D276" s="143" t="s">
        <v>4722</v>
      </c>
      <c r="E276" s="102" t="s">
        <v>15</v>
      </c>
      <c r="F276" s="102" t="s">
        <v>15</v>
      </c>
      <c r="G276" s="102" t="s">
        <v>3359</v>
      </c>
      <c r="H276" s="143">
        <v>200</v>
      </c>
      <c r="I276" s="143">
        <v>200</v>
      </c>
      <c r="J276" s="102"/>
      <c r="K276" s="104"/>
      <c r="L276" s="105">
        <v>20201118</v>
      </c>
    </row>
    <row r="277" ht="16" customHeight="1" spans="1:12">
      <c r="A277" s="102">
        <v>275</v>
      </c>
      <c r="B277" s="102" t="s">
        <v>4189</v>
      </c>
      <c r="C277" s="16" t="s">
        <v>4723</v>
      </c>
      <c r="D277" s="143" t="s">
        <v>4724</v>
      </c>
      <c r="E277" s="102" t="s">
        <v>15</v>
      </c>
      <c r="F277" s="102" t="s">
        <v>15</v>
      </c>
      <c r="G277" s="102" t="s">
        <v>3359</v>
      </c>
      <c r="H277" s="143">
        <v>200</v>
      </c>
      <c r="I277" s="143">
        <v>200</v>
      </c>
      <c r="J277" s="102"/>
      <c r="K277" s="104"/>
      <c r="L277" s="105">
        <v>20201118</v>
      </c>
    </row>
    <row r="278" ht="16" customHeight="1" spans="1:12">
      <c r="A278" s="102">
        <v>276</v>
      </c>
      <c r="B278" s="102" t="s">
        <v>4189</v>
      </c>
      <c r="C278" s="16" t="s">
        <v>4725</v>
      </c>
      <c r="D278" s="143" t="s">
        <v>4726</v>
      </c>
      <c r="E278" s="102" t="s">
        <v>15</v>
      </c>
      <c r="F278" s="102" t="s">
        <v>15</v>
      </c>
      <c r="G278" s="102" t="s">
        <v>3359</v>
      </c>
      <c r="H278" s="143">
        <v>200</v>
      </c>
      <c r="I278" s="143">
        <v>200</v>
      </c>
      <c r="J278" s="102"/>
      <c r="K278" s="104"/>
      <c r="L278" s="105">
        <v>20201118</v>
      </c>
    </row>
    <row r="279" ht="16" customHeight="1" spans="1:12">
      <c r="A279" s="102">
        <v>277</v>
      </c>
      <c r="B279" s="102" t="s">
        <v>4189</v>
      </c>
      <c r="C279" s="16" t="s">
        <v>4727</v>
      </c>
      <c r="D279" s="143" t="s">
        <v>4728</v>
      </c>
      <c r="E279" s="102" t="s">
        <v>15</v>
      </c>
      <c r="F279" s="102" t="s">
        <v>15</v>
      </c>
      <c r="G279" s="102" t="s">
        <v>3359</v>
      </c>
      <c r="H279" s="143">
        <v>200</v>
      </c>
      <c r="I279" s="143">
        <v>200</v>
      </c>
      <c r="J279" s="102"/>
      <c r="K279" s="104"/>
      <c r="L279" s="105">
        <v>20201118</v>
      </c>
    </row>
    <row r="280" ht="16" customHeight="1" spans="1:12">
      <c r="A280" s="102">
        <v>278</v>
      </c>
      <c r="B280" s="102" t="s">
        <v>4189</v>
      </c>
      <c r="C280" s="16" t="s">
        <v>4729</v>
      </c>
      <c r="D280" s="143" t="s">
        <v>4730</v>
      </c>
      <c r="E280" s="102" t="s">
        <v>15</v>
      </c>
      <c r="F280" s="102" t="s">
        <v>15</v>
      </c>
      <c r="G280" s="102" t="s">
        <v>3359</v>
      </c>
      <c r="H280" s="143">
        <v>200</v>
      </c>
      <c r="I280" s="143">
        <v>200</v>
      </c>
      <c r="J280" s="102"/>
      <c r="K280" s="104"/>
      <c r="L280" s="105">
        <v>20201118</v>
      </c>
    </row>
    <row r="281" ht="16" customHeight="1" spans="1:12">
      <c r="A281" s="102">
        <v>279</v>
      </c>
      <c r="B281" s="102" t="s">
        <v>4189</v>
      </c>
      <c r="C281" s="16" t="s">
        <v>4731</v>
      </c>
      <c r="D281" s="143" t="s">
        <v>4732</v>
      </c>
      <c r="E281" s="102" t="s">
        <v>15</v>
      </c>
      <c r="F281" s="102" t="s">
        <v>15</v>
      </c>
      <c r="G281" s="102" t="s">
        <v>3359</v>
      </c>
      <c r="H281" s="143">
        <v>200</v>
      </c>
      <c r="I281" s="143">
        <v>200</v>
      </c>
      <c r="J281" s="102"/>
      <c r="K281" s="104"/>
      <c r="L281" s="105">
        <v>20201118</v>
      </c>
    </row>
    <row r="282" ht="16" customHeight="1" spans="1:12">
      <c r="A282" s="102">
        <v>280</v>
      </c>
      <c r="B282" s="102" t="s">
        <v>4189</v>
      </c>
      <c r="C282" s="16" t="s">
        <v>4733</v>
      </c>
      <c r="D282" s="143" t="s">
        <v>4734</v>
      </c>
      <c r="E282" s="102" t="s">
        <v>15</v>
      </c>
      <c r="F282" s="102" t="s">
        <v>15</v>
      </c>
      <c r="G282" s="102" t="s">
        <v>3359</v>
      </c>
      <c r="H282" s="143">
        <v>200</v>
      </c>
      <c r="I282" s="143">
        <v>200</v>
      </c>
      <c r="J282" s="102"/>
      <c r="K282" s="104"/>
      <c r="L282" s="105">
        <v>20201118</v>
      </c>
    </row>
    <row r="283" ht="16" customHeight="1" spans="1:12">
      <c r="A283" s="102">
        <v>281</v>
      </c>
      <c r="B283" s="102" t="s">
        <v>4189</v>
      </c>
      <c r="C283" s="16" t="s">
        <v>4735</v>
      </c>
      <c r="D283" s="16" t="s">
        <v>4736</v>
      </c>
      <c r="E283" s="102" t="s">
        <v>15</v>
      </c>
      <c r="F283" s="102" t="s">
        <v>15</v>
      </c>
      <c r="G283" s="102" t="s">
        <v>3359</v>
      </c>
      <c r="H283" s="143">
        <v>200</v>
      </c>
      <c r="I283" s="143">
        <v>200</v>
      </c>
      <c r="J283" s="102"/>
      <c r="K283" s="104"/>
      <c r="L283" s="105">
        <v>20201118</v>
      </c>
    </row>
    <row r="284" ht="16" customHeight="1" spans="1:12">
      <c r="A284" s="102">
        <v>282</v>
      </c>
      <c r="B284" s="102" t="s">
        <v>4189</v>
      </c>
      <c r="C284" s="16" t="s">
        <v>4737</v>
      </c>
      <c r="D284" s="143" t="s">
        <v>4738</v>
      </c>
      <c r="E284" s="102" t="s">
        <v>15</v>
      </c>
      <c r="F284" s="102" t="s">
        <v>15</v>
      </c>
      <c r="G284" s="102" t="s">
        <v>3359</v>
      </c>
      <c r="H284" s="143">
        <v>200</v>
      </c>
      <c r="I284" s="143">
        <v>200</v>
      </c>
      <c r="J284" s="102"/>
      <c r="K284" s="104"/>
      <c r="L284" s="105">
        <v>20201118</v>
      </c>
    </row>
    <row r="285" ht="16" customHeight="1" spans="1:12">
      <c r="A285" s="102">
        <v>283</v>
      </c>
      <c r="B285" s="102" t="s">
        <v>4189</v>
      </c>
      <c r="C285" s="16" t="s">
        <v>4739</v>
      </c>
      <c r="D285" s="143" t="s">
        <v>4740</v>
      </c>
      <c r="E285" s="102" t="s">
        <v>15</v>
      </c>
      <c r="F285" s="102" t="s">
        <v>15</v>
      </c>
      <c r="G285" s="102" t="s">
        <v>3359</v>
      </c>
      <c r="H285" s="143">
        <v>200</v>
      </c>
      <c r="I285" s="143">
        <v>200</v>
      </c>
      <c r="J285" s="102"/>
      <c r="K285" s="104"/>
      <c r="L285" s="105">
        <v>20201118</v>
      </c>
    </row>
    <row r="286" ht="16" customHeight="1" spans="1:12">
      <c r="A286" s="102">
        <v>284</v>
      </c>
      <c r="B286" s="102" t="s">
        <v>4189</v>
      </c>
      <c r="C286" s="16" t="s">
        <v>4741</v>
      </c>
      <c r="D286" s="143" t="s">
        <v>4742</v>
      </c>
      <c r="E286" s="102" t="s">
        <v>15</v>
      </c>
      <c r="F286" s="102" t="s">
        <v>15</v>
      </c>
      <c r="G286" s="102" t="s">
        <v>3359</v>
      </c>
      <c r="H286" s="143">
        <v>500</v>
      </c>
      <c r="I286" s="143">
        <v>500</v>
      </c>
      <c r="J286" s="102"/>
      <c r="K286" s="104"/>
      <c r="L286" s="105">
        <v>20201118</v>
      </c>
    </row>
    <row r="287" ht="16" customHeight="1" spans="1:12">
      <c r="A287" s="102">
        <v>285</v>
      </c>
      <c r="B287" s="102" t="s">
        <v>4189</v>
      </c>
      <c r="C287" s="16" t="s">
        <v>4743</v>
      </c>
      <c r="D287" s="143" t="s">
        <v>4744</v>
      </c>
      <c r="E287" s="102" t="s">
        <v>15</v>
      </c>
      <c r="F287" s="102" t="s">
        <v>15</v>
      </c>
      <c r="G287" s="102" t="s">
        <v>3359</v>
      </c>
      <c r="H287" s="143">
        <v>500</v>
      </c>
      <c r="I287" s="143">
        <v>500</v>
      </c>
      <c r="J287" s="102"/>
      <c r="K287" s="104"/>
      <c r="L287" s="105">
        <v>20201118</v>
      </c>
    </row>
    <row r="288" ht="16" customHeight="1" spans="1:12">
      <c r="A288" s="102">
        <v>286</v>
      </c>
      <c r="B288" s="102" t="s">
        <v>4189</v>
      </c>
      <c r="C288" s="16" t="s">
        <v>4745</v>
      </c>
      <c r="D288" s="143" t="s">
        <v>4746</v>
      </c>
      <c r="E288" s="102" t="s">
        <v>15</v>
      </c>
      <c r="F288" s="102" t="s">
        <v>15</v>
      </c>
      <c r="G288" s="102" t="s">
        <v>3359</v>
      </c>
      <c r="H288" s="143">
        <v>200</v>
      </c>
      <c r="I288" s="143">
        <v>200</v>
      </c>
      <c r="J288" s="102"/>
      <c r="K288" s="104"/>
      <c r="L288" s="105">
        <v>20201118</v>
      </c>
    </row>
    <row r="289" ht="16" customHeight="1" spans="1:12">
      <c r="A289" s="102">
        <v>287</v>
      </c>
      <c r="B289" s="102" t="s">
        <v>4189</v>
      </c>
      <c r="C289" s="16" t="s">
        <v>4747</v>
      </c>
      <c r="D289" s="143" t="s">
        <v>4748</v>
      </c>
      <c r="E289" s="102" t="s">
        <v>15</v>
      </c>
      <c r="F289" s="102" t="s">
        <v>15</v>
      </c>
      <c r="G289" s="102" t="s">
        <v>3359</v>
      </c>
      <c r="H289" s="143">
        <v>200</v>
      </c>
      <c r="I289" s="143">
        <v>200</v>
      </c>
      <c r="J289" s="102"/>
      <c r="K289" s="104"/>
      <c r="L289" s="105">
        <v>20201118</v>
      </c>
    </row>
    <row r="290" ht="16" customHeight="1" spans="1:12">
      <c r="A290" s="102">
        <v>288</v>
      </c>
      <c r="B290" s="102" t="s">
        <v>4189</v>
      </c>
      <c r="C290" s="16" t="s">
        <v>4749</v>
      </c>
      <c r="D290" s="143" t="s">
        <v>4750</v>
      </c>
      <c r="E290" s="102" t="s">
        <v>15</v>
      </c>
      <c r="F290" s="102" t="s">
        <v>15</v>
      </c>
      <c r="G290" s="102" t="s">
        <v>3359</v>
      </c>
      <c r="H290" s="143">
        <v>200</v>
      </c>
      <c r="I290" s="143">
        <v>200</v>
      </c>
      <c r="J290" s="102"/>
      <c r="K290" s="104"/>
      <c r="L290" s="105">
        <v>20201118</v>
      </c>
    </row>
    <row r="291" ht="16" customHeight="1" spans="1:12">
      <c r="A291" s="102">
        <v>289</v>
      </c>
      <c r="B291" s="102" t="s">
        <v>4189</v>
      </c>
      <c r="C291" s="16" t="s">
        <v>4751</v>
      </c>
      <c r="D291" s="143" t="s">
        <v>4752</v>
      </c>
      <c r="E291" s="102" t="s">
        <v>15</v>
      </c>
      <c r="F291" s="102" t="s">
        <v>15</v>
      </c>
      <c r="G291" s="102" t="s">
        <v>3359</v>
      </c>
      <c r="H291" s="143">
        <v>200</v>
      </c>
      <c r="I291" s="143">
        <v>200</v>
      </c>
      <c r="J291" s="102"/>
      <c r="K291" s="104"/>
      <c r="L291" s="105">
        <v>20201118</v>
      </c>
    </row>
    <row r="292" ht="16" customHeight="1" spans="1:12">
      <c r="A292" s="102">
        <v>290</v>
      </c>
      <c r="B292" s="102" t="s">
        <v>4189</v>
      </c>
      <c r="C292" s="9" t="s">
        <v>4753</v>
      </c>
      <c r="D292" s="284" t="s">
        <v>4754</v>
      </c>
      <c r="E292" s="102" t="s">
        <v>15</v>
      </c>
      <c r="F292" s="102" t="s">
        <v>15</v>
      </c>
      <c r="G292" s="102" t="s">
        <v>3359</v>
      </c>
      <c r="H292" s="143">
        <v>200</v>
      </c>
      <c r="I292" s="143">
        <v>200</v>
      </c>
      <c r="J292" s="102"/>
      <c r="K292" s="104"/>
      <c r="L292" s="105">
        <v>20201118</v>
      </c>
    </row>
    <row r="293" ht="16" customHeight="1" spans="1:12">
      <c r="A293" s="102">
        <v>291</v>
      </c>
      <c r="B293" s="102" t="s">
        <v>4189</v>
      </c>
      <c r="C293" s="9" t="s">
        <v>4755</v>
      </c>
      <c r="D293" s="137" t="s">
        <v>4756</v>
      </c>
      <c r="E293" s="102" t="s">
        <v>15</v>
      </c>
      <c r="F293" s="102" t="s">
        <v>15</v>
      </c>
      <c r="G293" s="102" t="s">
        <v>3359</v>
      </c>
      <c r="H293" s="143">
        <v>200</v>
      </c>
      <c r="I293" s="143">
        <v>200</v>
      </c>
      <c r="J293" s="102"/>
      <c r="K293" s="104"/>
      <c r="L293" s="105">
        <v>20201118</v>
      </c>
    </row>
    <row r="294" ht="16" customHeight="1" spans="1:12">
      <c r="A294" s="102">
        <v>292</v>
      </c>
      <c r="B294" s="102" t="s">
        <v>4189</v>
      </c>
      <c r="C294" s="9" t="s">
        <v>4757</v>
      </c>
      <c r="D294" s="137" t="s">
        <v>4758</v>
      </c>
      <c r="E294" s="102" t="s">
        <v>15</v>
      </c>
      <c r="F294" s="102" t="s">
        <v>15</v>
      </c>
      <c r="G294" s="102" t="s">
        <v>3359</v>
      </c>
      <c r="H294" s="143">
        <v>200</v>
      </c>
      <c r="I294" s="143">
        <v>200</v>
      </c>
      <c r="J294" s="102"/>
      <c r="K294" s="104"/>
      <c r="L294" s="105">
        <v>20201118</v>
      </c>
    </row>
    <row r="295" ht="16" customHeight="1" spans="1:12">
      <c r="A295" s="102">
        <v>293</v>
      </c>
      <c r="B295" s="102" t="s">
        <v>4189</v>
      </c>
      <c r="C295" s="9" t="s">
        <v>4759</v>
      </c>
      <c r="D295" s="137" t="s">
        <v>4760</v>
      </c>
      <c r="E295" s="102" t="s">
        <v>15</v>
      </c>
      <c r="F295" s="102" t="s">
        <v>15</v>
      </c>
      <c r="G295" s="102" t="s">
        <v>3359</v>
      </c>
      <c r="H295" s="143">
        <v>200</v>
      </c>
      <c r="I295" s="143">
        <v>200</v>
      </c>
      <c r="J295" s="102"/>
      <c r="K295" s="104"/>
      <c r="L295" s="105">
        <v>20201118</v>
      </c>
    </row>
    <row r="296" ht="16" customHeight="1" spans="1:12">
      <c r="A296" s="102">
        <v>294</v>
      </c>
      <c r="B296" s="102" t="s">
        <v>4189</v>
      </c>
      <c r="C296" s="9" t="s">
        <v>4761</v>
      </c>
      <c r="D296" s="137" t="s">
        <v>4762</v>
      </c>
      <c r="E296" s="102" t="s">
        <v>15</v>
      </c>
      <c r="F296" s="102" t="s">
        <v>15</v>
      </c>
      <c r="G296" s="102" t="s">
        <v>3359</v>
      </c>
      <c r="H296" s="143">
        <v>200</v>
      </c>
      <c r="I296" s="143">
        <v>200</v>
      </c>
      <c r="J296" s="102"/>
      <c r="K296" s="104"/>
      <c r="L296" s="105">
        <v>20201118</v>
      </c>
    </row>
    <row r="297" ht="16" customHeight="1" spans="1:12">
      <c r="A297" s="102">
        <v>295</v>
      </c>
      <c r="B297" s="102" t="s">
        <v>4189</v>
      </c>
      <c r="C297" s="9" t="s">
        <v>4763</v>
      </c>
      <c r="D297" s="137" t="s">
        <v>4764</v>
      </c>
      <c r="E297" s="102" t="s">
        <v>15</v>
      </c>
      <c r="F297" s="102" t="s">
        <v>15</v>
      </c>
      <c r="G297" s="102" t="s">
        <v>3359</v>
      </c>
      <c r="H297" s="143">
        <v>200</v>
      </c>
      <c r="I297" s="143">
        <v>200</v>
      </c>
      <c r="J297" s="102"/>
      <c r="K297" s="104"/>
      <c r="L297" s="105">
        <v>20201118</v>
      </c>
    </row>
    <row r="298" ht="16" customHeight="1" spans="1:12">
      <c r="A298" s="102">
        <v>296</v>
      </c>
      <c r="B298" s="102" t="s">
        <v>4189</v>
      </c>
      <c r="C298" s="9" t="s">
        <v>4765</v>
      </c>
      <c r="D298" s="137" t="s">
        <v>4766</v>
      </c>
      <c r="E298" s="102" t="s">
        <v>15</v>
      </c>
      <c r="F298" s="102" t="s">
        <v>15</v>
      </c>
      <c r="G298" s="102" t="s">
        <v>3359</v>
      </c>
      <c r="H298" s="143">
        <v>200</v>
      </c>
      <c r="I298" s="143">
        <v>200</v>
      </c>
      <c r="J298" s="102"/>
      <c r="K298" s="104"/>
      <c r="L298" s="105">
        <v>20201118</v>
      </c>
    </row>
    <row r="299" ht="16" customHeight="1" spans="1:12">
      <c r="A299" s="102">
        <v>297</v>
      </c>
      <c r="B299" s="102" t="s">
        <v>4189</v>
      </c>
      <c r="C299" s="9" t="s">
        <v>4767</v>
      </c>
      <c r="D299" s="137" t="s">
        <v>4768</v>
      </c>
      <c r="E299" s="102" t="s">
        <v>15</v>
      </c>
      <c r="F299" s="102" t="s">
        <v>15</v>
      </c>
      <c r="G299" s="102" t="s">
        <v>3359</v>
      </c>
      <c r="H299" s="143">
        <v>200</v>
      </c>
      <c r="I299" s="143">
        <v>200</v>
      </c>
      <c r="J299" s="102"/>
      <c r="K299" s="104"/>
      <c r="L299" s="105">
        <v>20201118</v>
      </c>
    </row>
    <row r="300" ht="16" customHeight="1" spans="1:12">
      <c r="A300" s="102">
        <v>298</v>
      </c>
      <c r="B300" s="102" t="s">
        <v>4189</v>
      </c>
      <c r="C300" s="9" t="s">
        <v>4769</v>
      </c>
      <c r="D300" s="137" t="s">
        <v>4770</v>
      </c>
      <c r="E300" s="102" t="s">
        <v>15</v>
      </c>
      <c r="F300" s="102" t="s">
        <v>15</v>
      </c>
      <c r="G300" s="102" t="s">
        <v>3359</v>
      </c>
      <c r="H300" s="143">
        <v>200</v>
      </c>
      <c r="I300" s="143">
        <v>200</v>
      </c>
      <c r="J300" s="102"/>
      <c r="K300" s="104"/>
      <c r="L300" s="105">
        <v>20201118</v>
      </c>
    </row>
    <row r="301" ht="16" customHeight="1" spans="1:12">
      <c r="A301" s="102">
        <v>299</v>
      </c>
      <c r="B301" s="102" t="s">
        <v>4189</v>
      </c>
      <c r="C301" s="9" t="s">
        <v>4420</v>
      </c>
      <c r="D301" s="137" t="s">
        <v>4771</v>
      </c>
      <c r="E301" s="102" t="s">
        <v>15</v>
      </c>
      <c r="F301" s="102" t="s">
        <v>15</v>
      </c>
      <c r="G301" s="102" t="s">
        <v>3359</v>
      </c>
      <c r="H301" s="143">
        <v>200</v>
      </c>
      <c r="I301" s="143">
        <v>200</v>
      </c>
      <c r="J301" s="102"/>
      <c r="K301" s="104"/>
      <c r="L301" s="105">
        <v>20201118</v>
      </c>
    </row>
    <row r="302" ht="16" customHeight="1" spans="1:12">
      <c r="A302" s="102">
        <v>300</v>
      </c>
      <c r="B302" s="102" t="s">
        <v>4189</v>
      </c>
      <c r="C302" s="9" t="s">
        <v>4772</v>
      </c>
      <c r="D302" s="137" t="s">
        <v>4773</v>
      </c>
      <c r="E302" s="102" t="s">
        <v>15</v>
      </c>
      <c r="F302" s="102" t="s">
        <v>15</v>
      </c>
      <c r="G302" s="102" t="s">
        <v>3359</v>
      </c>
      <c r="H302" s="143">
        <v>200</v>
      </c>
      <c r="I302" s="143">
        <v>200</v>
      </c>
      <c r="J302" s="102"/>
      <c r="K302" s="104"/>
      <c r="L302" s="105">
        <v>20201118</v>
      </c>
    </row>
    <row r="303" ht="16" customHeight="1" spans="1:12">
      <c r="A303" s="102">
        <v>301</v>
      </c>
      <c r="B303" s="102" t="s">
        <v>4189</v>
      </c>
      <c r="C303" s="9" t="s">
        <v>4774</v>
      </c>
      <c r="D303" s="137" t="s">
        <v>4775</v>
      </c>
      <c r="E303" s="102" t="s">
        <v>15</v>
      </c>
      <c r="F303" s="102" t="s">
        <v>15</v>
      </c>
      <c r="G303" s="102" t="s">
        <v>3359</v>
      </c>
      <c r="H303" s="143">
        <v>200</v>
      </c>
      <c r="I303" s="143">
        <v>200</v>
      </c>
      <c r="J303" s="102"/>
      <c r="K303" s="104"/>
      <c r="L303" s="105">
        <v>20201118</v>
      </c>
    </row>
    <row r="304" ht="16" customHeight="1" spans="1:12">
      <c r="A304" s="102">
        <v>302</v>
      </c>
      <c r="B304" s="102" t="s">
        <v>4189</v>
      </c>
      <c r="C304" s="9" t="s">
        <v>4776</v>
      </c>
      <c r="D304" s="137" t="s">
        <v>4777</v>
      </c>
      <c r="E304" s="102" t="s">
        <v>15</v>
      </c>
      <c r="F304" s="102" t="s">
        <v>15</v>
      </c>
      <c r="G304" s="102" t="s">
        <v>3359</v>
      </c>
      <c r="H304" s="143">
        <v>200</v>
      </c>
      <c r="I304" s="143">
        <v>200</v>
      </c>
      <c r="J304" s="102"/>
      <c r="K304" s="104"/>
      <c r="L304" s="105">
        <v>20201118</v>
      </c>
    </row>
    <row r="305" ht="16" customHeight="1" spans="1:12">
      <c r="A305" s="102">
        <v>303</v>
      </c>
      <c r="B305" s="102" t="s">
        <v>4189</v>
      </c>
      <c r="C305" s="9" t="s">
        <v>4778</v>
      </c>
      <c r="D305" s="137" t="s">
        <v>4779</v>
      </c>
      <c r="E305" s="102" t="s">
        <v>15</v>
      </c>
      <c r="F305" s="102" t="s">
        <v>15</v>
      </c>
      <c r="G305" s="102" t="s">
        <v>3359</v>
      </c>
      <c r="H305" s="143">
        <v>200</v>
      </c>
      <c r="I305" s="143">
        <v>200</v>
      </c>
      <c r="J305" s="102"/>
      <c r="K305" s="104"/>
      <c r="L305" s="105">
        <v>20201118</v>
      </c>
    </row>
    <row r="306" ht="16" customHeight="1" spans="1:12">
      <c r="A306" s="102">
        <v>304</v>
      </c>
      <c r="B306" s="102" t="s">
        <v>4189</v>
      </c>
      <c r="C306" s="9" t="s">
        <v>4780</v>
      </c>
      <c r="D306" s="137" t="s">
        <v>4781</v>
      </c>
      <c r="E306" s="102" t="s">
        <v>15</v>
      </c>
      <c r="F306" s="102" t="s">
        <v>15</v>
      </c>
      <c r="G306" s="102" t="s">
        <v>3359</v>
      </c>
      <c r="H306" s="143">
        <v>200</v>
      </c>
      <c r="I306" s="143">
        <v>200</v>
      </c>
      <c r="J306" s="102"/>
      <c r="K306" s="104"/>
      <c r="L306" s="105">
        <v>20201118</v>
      </c>
    </row>
    <row r="307" ht="16" customHeight="1" spans="1:12">
      <c r="A307" s="102">
        <v>305</v>
      </c>
      <c r="B307" s="102" t="s">
        <v>4189</v>
      </c>
      <c r="C307" s="9" t="s">
        <v>4782</v>
      </c>
      <c r="D307" s="137" t="s">
        <v>4783</v>
      </c>
      <c r="E307" s="102" t="s">
        <v>15</v>
      </c>
      <c r="F307" s="102" t="s">
        <v>15</v>
      </c>
      <c r="G307" s="102" t="s">
        <v>3359</v>
      </c>
      <c r="H307" s="143">
        <v>200</v>
      </c>
      <c r="I307" s="143">
        <v>200</v>
      </c>
      <c r="J307" s="102"/>
      <c r="K307" s="104"/>
      <c r="L307" s="105">
        <v>20201118</v>
      </c>
    </row>
    <row r="308" ht="16" customHeight="1" spans="1:12">
      <c r="A308" s="102">
        <v>306</v>
      </c>
      <c r="B308" s="102" t="s">
        <v>4189</v>
      </c>
      <c r="C308" s="9" t="s">
        <v>4784</v>
      </c>
      <c r="D308" s="137" t="s">
        <v>4785</v>
      </c>
      <c r="E308" s="102" t="s">
        <v>15</v>
      </c>
      <c r="F308" s="102" t="s">
        <v>15</v>
      </c>
      <c r="G308" s="102" t="s">
        <v>3359</v>
      </c>
      <c r="H308" s="143">
        <v>200</v>
      </c>
      <c r="I308" s="143">
        <v>200</v>
      </c>
      <c r="J308" s="102"/>
      <c r="K308" s="104"/>
      <c r="L308" s="105">
        <v>20201118</v>
      </c>
    </row>
    <row r="309" ht="16" customHeight="1" spans="1:12">
      <c r="A309" s="102">
        <v>307</v>
      </c>
      <c r="B309" s="102" t="s">
        <v>4189</v>
      </c>
      <c r="C309" s="9" t="s">
        <v>4786</v>
      </c>
      <c r="D309" s="137" t="s">
        <v>4787</v>
      </c>
      <c r="E309" s="102" t="s">
        <v>15</v>
      </c>
      <c r="F309" s="102" t="s">
        <v>15</v>
      </c>
      <c r="G309" s="102" t="s">
        <v>3359</v>
      </c>
      <c r="H309" s="143">
        <v>200</v>
      </c>
      <c r="I309" s="143">
        <v>200</v>
      </c>
      <c r="J309" s="102"/>
      <c r="K309" s="104"/>
      <c r="L309" s="105">
        <v>20201118</v>
      </c>
    </row>
    <row r="310" ht="16" customHeight="1" spans="1:12">
      <c r="A310" s="102">
        <v>308</v>
      </c>
      <c r="B310" s="102" t="s">
        <v>4189</v>
      </c>
      <c r="C310" s="9" t="s">
        <v>4788</v>
      </c>
      <c r="D310" s="137" t="s">
        <v>4789</v>
      </c>
      <c r="E310" s="102" t="s">
        <v>15</v>
      </c>
      <c r="F310" s="102" t="s">
        <v>15</v>
      </c>
      <c r="G310" s="102" t="s">
        <v>3359</v>
      </c>
      <c r="H310" s="143">
        <v>200</v>
      </c>
      <c r="I310" s="143">
        <v>200</v>
      </c>
      <c r="J310" s="102"/>
      <c r="K310" s="104"/>
      <c r="L310" s="105">
        <v>20201118</v>
      </c>
    </row>
    <row r="311" ht="16" customHeight="1" spans="1:12">
      <c r="A311" s="102">
        <v>309</v>
      </c>
      <c r="B311" s="102" t="s">
        <v>4189</v>
      </c>
      <c r="C311" s="9" t="s">
        <v>4790</v>
      </c>
      <c r="D311" s="137" t="s">
        <v>4791</v>
      </c>
      <c r="E311" s="102" t="s">
        <v>15</v>
      </c>
      <c r="F311" s="102" t="s">
        <v>15</v>
      </c>
      <c r="G311" s="102" t="s">
        <v>3359</v>
      </c>
      <c r="H311" s="143">
        <v>1000</v>
      </c>
      <c r="I311" s="143">
        <v>1000</v>
      </c>
      <c r="J311" s="102"/>
      <c r="K311" s="104"/>
      <c r="L311" s="105">
        <v>20201118</v>
      </c>
    </row>
    <row r="312" ht="16" customHeight="1" spans="1:12">
      <c r="A312" s="102">
        <v>310</v>
      </c>
      <c r="B312" s="102" t="s">
        <v>4189</v>
      </c>
      <c r="C312" s="9" t="s">
        <v>4792</v>
      </c>
      <c r="D312" s="137" t="s">
        <v>4793</v>
      </c>
      <c r="E312" s="102" t="s">
        <v>15</v>
      </c>
      <c r="F312" s="102" t="s">
        <v>15</v>
      </c>
      <c r="G312" s="102" t="s">
        <v>3359</v>
      </c>
      <c r="H312" s="143">
        <v>200</v>
      </c>
      <c r="I312" s="143">
        <v>200</v>
      </c>
      <c r="J312" s="102"/>
      <c r="K312" s="104"/>
      <c r="L312" s="105">
        <v>20201118</v>
      </c>
    </row>
    <row r="313" ht="16" customHeight="1" spans="1:12">
      <c r="A313" s="102">
        <v>311</v>
      </c>
      <c r="B313" s="102" t="s">
        <v>4189</v>
      </c>
      <c r="C313" s="9" t="s">
        <v>4794</v>
      </c>
      <c r="D313" s="137" t="s">
        <v>4795</v>
      </c>
      <c r="E313" s="102" t="s">
        <v>15</v>
      </c>
      <c r="F313" s="102" t="s">
        <v>15</v>
      </c>
      <c r="G313" s="102" t="s">
        <v>3359</v>
      </c>
      <c r="H313" s="143">
        <v>200</v>
      </c>
      <c r="I313" s="143">
        <v>200</v>
      </c>
      <c r="J313" s="102"/>
      <c r="K313" s="104"/>
      <c r="L313" s="105">
        <v>20201118</v>
      </c>
    </row>
    <row r="314" ht="16" customHeight="1" spans="1:12">
      <c r="A314" s="102">
        <v>312</v>
      </c>
      <c r="B314" s="102" t="s">
        <v>4189</v>
      </c>
      <c r="C314" s="9" t="s">
        <v>4796</v>
      </c>
      <c r="D314" s="137" t="s">
        <v>4797</v>
      </c>
      <c r="E314" s="102" t="s">
        <v>15</v>
      </c>
      <c r="F314" s="102" t="s">
        <v>15</v>
      </c>
      <c r="G314" s="102" t="s">
        <v>3359</v>
      </c>
      <c r="H314" s="143">
        <v>200</v>
      </c>
      <c r="I314" s="143">
        <v>200</v>
      </c>
      <c r="J314" s="102"/>
      <c r="K314" s="104"/>
      <c r="L314" s="105">
        <v>20201118</v>
      </c>
    </row>
    <row r="315" ht="16" customHeight="1" spans="1:12">
      <c r="A315" s="102">
        <v>313</v>
      </c>
      <c r="B315" s="102" t="s">
        <v>4189</v>
      </c>
      <c r="C315" s="9" t="s">
        <v>4798</v>
      </c>
      <c r="D315" s="137" t="s">
        <v>4799</v>
      </c>
      <c r="E315" s="102" t="s">
        <v>15</v>
      </c>
      <c r="F315" s="102" t="s">
        <v>15</v>
      </c>
      <c r="G315" s="102" t="s">
        <v>3359</v>
      </c>
      <c r="H315" s="143">
        <v>200</v>
      </c>
      <c r="I315" s="143">
        <v>200</v>
      </c>
      <c r="J315" s="102"/>
      <c r="K315" s="104"/>
      <c r="L315" s="105">
        <v>20201118</v>
      </c>
    </row>
    <row r="316" ht="16" customHeight="1" spans="1:12">
      <c r="A316" s="102">
        <v>314</v>
      </c>
      <c r="B316" s="102" t="s">
        <v>4189</v>
      </c>
      <c r="C316" s="9" t="s">
        <v>4800</v>
      </c>
      <c r="D316" s="137" t="s">
        <v>4801</v>
      </c>
      <c r="E316" s="102" t="s">
        <v>15</v>
      </c>
      <c r="F316" s="102" t="s">
        <v>15</v>
      </c>
      <c r="G316" s="102" t="s">
        <v>3359</v>
      </c>
      <c r="H316" s="143">
        <v>200</v>
      </c>
      <c r="I316" s="143">
        <v>200</v>
      </c>
      <c r="J316" s="102"/>
      <c r="K316" s="104"/>
      <c r="L316" s="105">
        <v>20201118</v>
      </c>
    </row>
    <row r="317" ht="16" customHeight="1" spans="1:12">
      <c r="A317" s="102">
        <v>315</v>
      </c>
      <c r="B317" s="102" t="s">
        <v>4189</v>
      </c>
      <c r="C317" s="9" t="s">
        <v>4802</v>
      </c>
      <c r="D317" s="137" t="s">
        <v>4803</v>
      </c>
      <c r="E317" s="102" t="s">
        <v>15</v>
      </c>
      <c r="F317" s="102" t="s">
        <v>15</v>
      </c>
      <c r="G317" s="102" t="s">
        <v>3359</v>
      </c>
      <c r="H317" s="143">
        <v>200</v>
      </c>
      <c r="I317" s="143">
        <v>200</v>
      </c>
      <c r="J317" s="102"/>
      <c r="K317" s="104"/>
      <c r="L317" s="105">
        <v>20201118</v>
      </c>
    </row>
    <row r="318" ht="16" customHeight="1" spans="1:12">
      <c r="A318" s="102">
        <v>316</v>
      </c>
      <c r="B318" s="102" t="s">
        <v>4189</v>
      </c>
      <c r="C318" s="9" t="s">
        <v>4804</v>
      </c>
      <c r="D318" s="137" t="s">
        <v>4805</v>
      </c>
      <c r="E318" s="102" t="s">
        <v>15</v>
      </c>
      <c r="F318" s="102" t="s">
        <v>15</v>
      </c>
      <c r="G318" s="102" t="s">
        <v>3359</v>
      </c>
      <c r="H318" s="143">
        <v>200</v>
      </c>
      <c r="I318" s="143">
        <v>200</v>
      </c>
      <c r="J318" s="102"/>
      <c r="K318" s="104"/>
      <c r="L318" s="105">
        <v>20201118</v>
      </c>
    </row>
    <row r="319" ht="16" customHeight="1" spans="1:12">
      <c r="A319" s="102">
        <v>317</v>
      </c>
      <c r="B319" s="102" t="s">
        <v>4189</v>
      </c>
      <c r="C319" s="9" t="s">
        <v>4806</v>
      </c>
      <c r="D319" s="137" t="s">
        <v>4807</v>
      </c>
      <c r="E319" s="102" t="s">
        <v>15</v>
      </c>
      <c r="F319" s="102" t="s">
        <v>15</v>
      </c>
      <c r="G319" s="102" t="s">
        <v>3359</v>
      </c>
      <c r="H319" s="143">
        <v>200</v>
      </c>
      <c r="I319" s="143">
        <v>200</v>
      </c>
      <c r="J319" s="102"/>
      <c r="K319" s="104"/>
      <c r="L319" s="105">
        <v>20201118</v>
      </c>
    </row>
    <row r="320" ht="16" customHeight="1" spans="1:12">
      <c r="A320" s="102">
        <v>318</v>
      </c>
      <c r="B320" s="102" t="s">
        <v>4189</v>
      </c>
      <c r="C320" s="9" t="s">
        <v>4808</v>
      </c>
      <c r="D320" s="137" t="s">
        <v>4809</v>
      </c>
      <c r="E320" s="102" t="s">
        <v>15</v>
      </c>
      <c r="F320" s="102" t="s">
        <v>15</v>
      </c>
      <c r="G320" s="102" t="s">
        <v>3359</v>
      </c>
      <c r="H320" s="143">
        <v>200</v>
      </c>
      <c r="I320" s="143">
        <v>200</v>
      </c>
      <c r="J320" s="102"/>
      <c r="K320" s="104"/>
      <c r="L320" s="105">
        <v>20201118</v>
      </c>
    </row>
    <row r="321" ht="16" customHeight="1" spans="1:12">
      <c r="A321" s="102">
        <v>319</v>
      </c>
      <c r="B321" s="102" t="s">
        <v>4189</v>
      </c>
      <c r="C321" s="9" t="s">
        <v>4810</v>
      </c>
      <c r="D321" s="137" t="s">
        <v>4811</v>
      </c>
      <c r="E321" s="102" t="s">
        <v>15</v>
      </c>
      <c r="F321" s="102" t="s">
        <v>15</v>
      </c>
      <c r="G321" s="102" t="s">
        <v>3359</v>
      </c>
      <c r="H321" s="143">
        <v>200</v>
      </c>
      <c r="I321" s="143">
        <v>200</v>
      </c>
      <c r="J321" s="102"/>
      <c r="K321" s="104"/>
      <c r="L321" s="105">
        <v>20201118</v>
      </c>
    </row>
    <row r="322" ht="16" customHeight="1" spans="1:12">
      <c r="A322" s="102">
        <v>320</v>
      </c>
      <c r="B322" s="102" t="s">
        <v>4189</v>
      </c>
      <c r="C322" s="9" t="s">
        <v>4812</v>
      </c>
      <c r="D322" s="137" t="s">
        <v>4813</v>
      </c>
      <c r="E322" s="102" t="s">
        <v>15</v>
      </c>
      <c r="F322" s="102" t="s">
        <v>15</v>
      </c>
      <c r="G322" s="102" t="s">
        <v>3359</v>
      </c>
      <c r="H322" s="143">
        <v>200</v>
      </c>
      <c r="I322" s="143">
        <v>200</v>
      </c>
      <c r="J322" s="102"/>
      <c r="K322" s="104"/>
      <c r="L322" s="105">
        <v>20201118</v>
      </c>
    </row>
    <row r="323" ht="16" customHeight="1" spans="1:12">
      <c r="A323" s="102">
        <v>321</v>
      </c>
      <c r="B323" s="93" t="s">
        <v>4189</v>
      </c>
      <c r="C323" s="152" t="s">
        <v>4814</v>
      </c>
      <c r="D323" s="290" t="s">
        <v>4815</v>
      </c>
      <c r="E323" s="93" t="s">
        <v>15</v>
      </c>
      <c r="F323" s="93" t="s">
        <v>15</v>
      </c>
      <c r="G323" s="93" t="s">
        <v>295</v>
      </c>
      <c r="H323" s="123">
        <v>200</v>
      </c>
      <c r="I323" s="123">
        <v>200</v>
      </c>
      <c r="J323" s="123"/>
      <c r="K323" s="104"/>
      <c r="L323" s="105">
        <v>20201118</v>
      </c>
    </row>
    <row r="324" ht="16" customHeight="1" spans="1:12">
      <c r="A324" s="102">
        <v>322</v>
      </c>
      <c r="B324" s="93" t="s">
        <v>4189</v>
      </c>
      <c r="C324" s="152" t="s">
        <v>4816</v>
      </c>
      <c r="D324" s="290" t="s">
        <v>4817</v>
      </c>
      <c r="E324" s="93" t="s">
        <v>15</v>
      </c>
      <c r="F324" s="93" t="s">
        <v>15</v>
      </c>
      <c r="G324" s="93" t="s">
        <v>295</v>
      </c>
      <c r="H324" s="123">
        <v>200</v>
      </c>
      <c r="I324" s="123">
        <v>200</v>
      </c>
      <c r="J324" s="123"/>
      <c r="K324" s="104"/>
      <c r="L324" s="105">
        <v>20201118</v>
      </c>
    </row>
    <row r="325" ht="16" customHeight="1" spans="1:12">
      <c r="A325" s="102">
        <v>323</v>
      </c>
      <c r="B325" s="93" t="s">
        <v>4189</v>
      </c>
      <c r="C325" s="152" t="s">
        <v>958</v>
      </c>
      <c r="D325" s="290" t="s">
        <v>4818</v>
      </c>
      <c r="E325" s="93" t="s">
        <v>15</v>
      </c>
      <c r="F325" s="93" t="s">
        <v>15</v>
      </c>
      <c r="G325" s="93" t="s">
        <v>295</v>
      </c>
      <c r="H325" s="123">
        <v>200</v>
      </c>
      <c r="I325" s="123">
        <v>200</v>
      </c>
      <c r="J325" s="123"/>
      <c r="K325" s="104"/>
      <c r="L325" s="105">
        <v>20201118</v>
      </c>
    </row>
    <row r="326" ht="16" customHeight="1" spans="1:12">
      <c r="A326" s="102">
        <v>324</v>
      </c>
      <c r="B326" s="93" t="s">
        <v>4189</v>
      </c>
      <c r="C326" s="152" t="s">
        <v>4819</v>
      </c>
      <c r="D326" s="290" t="s">
        <v>4820</v>
      </c>
      <c r="E326" s="93" t="s">
        <v>15</v>
      </c>
      <c r="F326" s="93" t="s">
        <v>15</v>
      </c>
      <c r="G326" s="93" t="s">
        <v>295</v>
      </c>
      <c r="H326" s="123">
        <v>200</v>
      </c>
      <c r="I326" s="123">
        <v>200</v>
      </c>
      <c r="J326" s="123"/>
      <c r="K326" s="104"/>
      <c r="L326" s="105">
        <v>20201118</v>
      </c>
    </row>
    <row r="327" ht="16" customHeight="1" spans="1:12">
      <c r="A327" s="102">
        <v>325</v>
      </c>
      <c r="B327" s="107" t="s">
        <v>4189</v>
      </c>
      <c r="C327" s="131" t="s">
        <v>4821</v>
      </c>
      <c r="D327" s="291" t="s">
        <v>4822</v>
      </c>
      <c r="E327" s="107" t="s">
        <v>310</v>
      </c>
      <c r="F327" s="107" t="s">
        <v>15</v>
      </c>
      <c r="G327" s="107" t="s">
        <v>289</v>
      </c>
      <c r="H327" s="178" t="s">
        <v>311</v>
      </c>
      <c r="I327" s="178">
        <v>2000</v>
      </c>
      <c r="J327" s="178"/>
      <c r="K327" s="104"/>
      <c r="L327" s="105">
        <v>20201118</v>
      </c>
    </row>
    <row r="328" ht="16" customHeight="1" spans="1:12">
      <c r="A328" s="102">
        <v>326</v>
      </c>
      <c r="B328" s="107" t="s">
        <v>4189</v>
      </c>
      <c r="C328" s="131" t="s">
        <v>4823</v>
      </c>
      <c r="D328" s="291" t="s">
        <v>4824</v>
      </c>
      <c r="E328" s="107" t="s">
        <v>310</v>
      </c>
      <c r="F328" s="107" t="s">
        <v>15</v>
      </c>
      <c r="G328" s="107" t="s">
        <v>289</v>
      </c>
      <c r="H328" s="178" t="s">
        <v>311</v>
      </c>
      <c r="I328" s="178">
        <v>2000</v>
      </c>
      <c r="J328" s="178"/>
      <c r="K328" s="104"/>
      <c r="L328" s="105">
        <v>20201118</v>
      </c>
    </row>
    <row r="329" ht="16" customHeight="1" spans="1:12">
      <c r="A329" s="102">
        <v>327</v>
      </c>
      <c r="B329" s="107" t="s">
        <v>4189</v>
      </c>
      <c r="C329" s="131" t="s">
        <v>4825</v>
      </c>
      <c r="D329" s="291" t="s">
        <v>4826</v>
      </c>
      <c r="E329" s="107" t="s">
        <v>310</v>
      </c>
      <c r="F329" s="107" t="s">
        <v>15</v>
      </c>
      <c r="G329" s="107" t="s">
        <v>289</v>
      </c>
      <c r="H329" s="178" t="s">
        <v>311</v>
      </c>
      <c r="I329" s="178">
        <v>2000</v>
      </c>
      <c r="J329" s="178"/>
      <c r="K329" s="104"/>
      <c r="L329" s="105">
        <v>20201118</v>
      </c>
    </row>
    <row r="330" ht="16" customHeight="1" spans="1:12">
      <c r="A330" s="102">
        <v>328</v>
      </c>
      <c r="B330" s="107" t="s">
        <v>4189</v>
      </c>
      <c r="C330" s="131" t="s">
        <v>4331</v>
      </c>
      <c r="D330" s="291" t="s">
        <v>4827</v>
      </c>
      <c r="E330" s="107" t="s">
        <v>310</v>
      </c>
      <c r="F330" s="107" t="s">
        <v>15</v>
      </c>
      <c r="G330" s="107" t="s">
        <v>289</v>
      </c>
      <c r="H330" s="178" t="s">
        <v>311</v>
      </c>
      <c r="I330" s="178">
        <v>2000</v>
      </c>
      <c r="J330" s="178"/>
      <c r="K330" s="104"/>
      <c r="L330" s="105">
        <v>20201118</v>
      </c>
    </row>
    <row r="331" ht="16" customHeight="1" spans="1:12">
      <c r="A331" s="102">
        <v>329</v>
      </c>
      <c r="B331" s="107" t="s">
        <v>4189</v>
      </c>
      <c r="C331" s="131" t="s">
        <v>4828</v>
      </c>
      <c r="D331" s="291" t="s">
        <v>4829</v>
      </c>
      <c r="E331" s="107" t="s">
        <v>2472</v>
      </c>
      <c r="F331" s="107" t="s">
        <v>15</v>
      </c>
      <c r="G331" s="107" t="s">
        <v>289</v>
      </c>
      <c r="H331" s="178" t="s">
        <v>311</v>
      </c>
      <c r="I331" s="178">
        <v>1200</v>
      </c>
      <c r="J331" s="178"/>
      <c r="K331" s="104"/>
      <c r="L331" s="105">
        <v>20201118</v>
      </c>
    </row>
    <row r="332" ht="16" customHeight="1" spans="1:12">
      <c r="A332" s="102">
        <v>330</v>
      </c>
      <c r="B332" s="107" t="s">
        <v>4189</v>
      </c>
      <c r="C332" s="131" t="s">
        <v>4830</v>
      </c>
      <c r="D332" s="291" t="s">
        <v>4831</v>
      </c>
      <c r="E332" s="107" t="s">
        <v>288</v>
      </c>
      <c r="F332" s="107" t="s">
        <v>15</v>
      </c>
      <c r="G332" s="107" t="s">
        <v>289</v>
      </c>
      <c r="H332" s="178" t="s">
        <v>311</v>
      </c>
      <c r="I332" s="178">
        <v>800</v>
      </c>
      <c r="J332" s="178"/>
      <c r="K332" s="104"/>
      <c r="L332" s="105">
        <v>20201118</v>
      </c>
    </row>
    <row r="333" ht="16" customHeight="1" spans="1:12">
      <c r="A333" s="102">
        <v>331</v>
      </c>
      <c r="B333" s="107" t="s">
        <v>4189</v>
      </c>
      <c r="C333" s="131" t="s">
        <v>4832</v>
      </c>
      <c r="D333" s="291" t="s">
        <v>4833</v>
      </c>
      <c r="E333" s="107" t="s">
        <v>1047</v>
      </c>
      <c r="F333" s="107" t="s">
        <v>15</v>
      </c>
      <c r="G333" s="107" t="s">
        <v>289</v>
      </c>
      <c r="H333" s="178" t="s">
        <v>311</v>
      </c>
      <c r="I333" s="178">
        <v>400</v>
      </c>
      <c r="J333" s="178"/>
      <c r="K333" s="104"/>
      <c r="L333" s="105">
        <v>20201118</v>
      </c>
    </row>
    <row r="334" ht="16" customHeight="1" spans="1:12">
      <c r="A334" s="102">
        <v>332</v>
      </c>
      <c r="B334" s="107" t="s">
        <v>4189</v>
      </c>
      <c r="C334" s="178" t="s">
        <v>4834</v>
      </c>
      <c r="D334" s="292" t="s">
        <v>4835</v>
      </c>
      <c r="E334" s="245">
        <v>2019</v>
      </c>
      <c r="F334" s="245">
        <v>2019</v>
      </c>
      <c r="G334" s="107" t="s">
        <v>289</v>
      </c>
      <c r="H334" s="245">
        <v>200</v>
      </c>
      <c r="I334" s="245">
        <v>200</v>
      </c>
      <c r="J334" s="245"/>
      <c r="K334" s="105"/>
      <c r="L334" s="105">
        <v>20200814</v>
      </c>
    </row>
    <row r="335" spans="1:12">
      <c r="A335" s="108"/>
      <c r="B335" s="108"/>
      <c r="C335" s="108"/>
      <c r="D335" s="108"/>
      <c r="E335" s="108"/>
      <c r="F335" s="108"/>
      <c r="G335" s="108"/>
      <c r="H335" s="108"/>
      <c r="I335" s="108">
        <v>103700</v>
      </c>
      <c r="J335" s="108"/>
      <c r="K335" s="108"/>
      <c r="L335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5"/>
  <sheetViews>
    <sheetView topLeftCell="A214" workbookViewId="0">
      <selection activeCell="A3" sqref="A3:L252"/>
    </sheetView>
  </sheetViews>
  <sheetFormatPr defaultColWidth="9" defaultRowHeight="24.95" customHeight="1"/>
  <cols>
    <col min="1" max="1" width="5.75" style="236" customWidth="1"/>
    <col min="2" max="2" width="8.375" style="236" customWidth="1"/>
    <col min="3" max="3" width="13.375" style="237" customWidth="1"/>
    <col min="4" max="4" width="23.125" style="236" customWidth="1"/>
    <col min="5" max="5" width="7.5" style="236" customWidth="1"/>
    <col min="6" max="6" width="10.25" style="236" customWidth="1"/>
    <col min="7" max="7" width="13.625" style="236" customWidth="1"/>
    <col min="8" max="8" width="11.875" style="236" customWidth="1"/>
    <col min="9" max="9" width="9.875" style="236" customWidth="1"/>
    <col min="10" max="10" width="11" style="236" customWidth="1"/>
    <col min="11" max="11" width="13.75" style="236" customWidth="1"/>
    <col min="12" max="12" width="11.75" customWidth="1"/>
    <col min="13" max="14" width="9" style="114"/>
    <col min="15" max="16384" width="9" style="113"/>
  </cols>
  <sheetData>
    <row r="1" customFormat="1" ht="18.75" spans="1:12">
      <c r="A1" s="99" t="s">
        <v>4836</v>
      </c>
      <c r="B1" s="99"/>
      <c r="C1" s="238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5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s="113" customFormat="1" ht="15" customHeight="1" spans="1:12">
      <c r="A3" s="137">
        <v>1</v>
      </c>
      <c r="B3" s="137" t="s">
        <v>4837</v>
      </c>
      <c r="C3" s="9" t="s">
        <v>3786</v>
      </c>
      <c r="D3" s="137" t="s">
        <v>4838</v>
      </c>
      <c r="E3" s="109" t="s">
        <v>15</v>
      </c>
      <c r="F3" s="109">
        <v>2020</v>
      </c>
      <c r="G3" s="137" t="s">
        <v>2480</v>
      </c>
      <c r="H3" s="137">
        <v>200</v>
      </c>
      <c r="I3" s="137">
        <v>200</v>
      </c>
      <c r="J3" s="239" t="s">
        <v>108</v>
      </c>
      <c r="K3" s="94"/>
      <c r="L3" s="105">
        <v>20201118</v>
      </c>
    </row>
    <row r="4" s="113" customFormat="1" ht="15" customHeight="1" spans="1:12">
      <c r="A4" s="137">
        <v>2</v>
      </c>
      <c r="B4" s="137" t="s">
        <v>4837</v>
      </c>
      <c r="C4" s="9" t="s">
        <v>4839</v>
      </c>
      <c r="D4" s="137" t="s">
        <v>4840</v>
      </c>
      <c r="E4" s="109" t="s">
        <v>15</v>
      </c>
      <c r="F4" s="109">
        <v>2020</v>
      </c>
      <c r="G4" s="137" t="s">
        <v>2480</v>
      </c>
      <c r="H4" s="137">
        <v>200</v>
      </c>
      <c r="I4" s="137">
        <v>200</v>
      </c>
      <c r="J4" s="109"/>
      <c r="K4" s="94"/>
      <c r="L4" s="105">
        <v>20201118</v>
      </c>
    </row>
    <row r="5" s="113" customFormat="1" ht="15" customHeight="1" spans="1:12">
      <c r="A5" s="137">
        <v>3</v>
      </c>
      <c r="B5" s="137" t="s">
        <v>4837</v>
      </c>
      <c r="C5" s="9" t="s">
        <v>4841</v>
      </c>
      <c r="D5" s="137" t="s">
        <v>4842</v>
      </c>
      <c r="E5" s="109" t="s">
        <v>15</v>
      </c>
      <c r="F5" s="109">
        <v>2020</v>
      </c>
      <c r="G5" s="137" t="s">
        <v>2480</v>
      </c>
      <c r="H5" s="137">
        <v>500</v>
      </c>
      <c r="I5" s="137">
        <v>500</v>
      </c>
      <c r="J5" s="109"/>
      <c r="K5" s="94"/>
      <c r="L5" s="105">
        <v>20201118</v>
      </c>
    </row>
    <row r="6" s="113" customFormat="1" ht="15" customHeight="1" spans="1:12">
      <c r="A6" s="137">
        <v>4</v>
      </c>
      <c r="B6" s="137" t="s">
        <v>4837</v>
      </c>
      <c r="C6" s="9" t="s">
        <v>4843</v>
      </c>
      <c r="D6" s="137" t="s">
        <v>4844</v>
      </c>
      <c r="E6" s="109" t="s">
        <v>15</v>
      </c>
      <c r="F6" s="109">
        <v>2020</v>
      </c>
      <c r="G6" s="137" t="s">
        <v>2480</v>
      </c>
      <c r="H6" s="137">
        <v>200</v>
      </c>
      <c r="I6" s="137">
        <v>200</v>
      </c>
      <c r="J6" s="109"/>
      <c r="K6" s="94"/>
      <c r="L6" s="105">
        <v>20201118</v>
      </c>
    </row>
    <row r="7" s="113" customFormat="1" ht="15" customHeight="1" spans="1:12">
      <c r="A7" s="137">
        <v>5</v>
      </c>
      <c r="B7" s="137" t="s">
        <v>4837</v>
      </c>
      <c r="C7" s="9" t="s">
        <v>4845</v>
      </c>
      <c r="D7" s="137" t="s">
        <v>4846</v>
      </c>
      <c r="E7" s="109" t="s">
        <v>15</v>
      </c>
      <c r="F7" s="109">
        <v>2020</v>
      </c>
      <c r="G7" s="137" t="s">
        <v>2480</v>
      </c>
      <c r="H7" s="137">
        <v>200</v>
      </c>
      <c r="I7" s="137">
        <v>200</v>
      </c>
      <c r="J7" s="109"/>
      <c r="K7" s="94"/>
      <c r="L7" s="105">
        <v>20201118</v>
      </c>
    </row>
    <row r="8" s="113" customFormat="1" ht="15" customHeight="1" spans="1:12">
      <c r="A8" s="137">
        <v>6</v>
      </c>
      <c r="B8" s="137" t="s">
        <v>4837</v>
      </c>
      <c r="C8" s="9" t="s">
        <v>4847</v>
      </c>
      <c r="D8" s="137" t="s">
        <v>4848</v>
      </c>
      <c r="E8" s="109" t="s">
        <v>15</v>
      </c>
      <c r="F8" s="109">
        <v>2020</v>
      </c>
      <c r="G8" s="137" t="s">
        <v>2480</v>
      </c>
      <c r="H8" s="137">
        <v>200</v>
      </c>
      <c r="I8" s="137">
        <v>200</v>
      </c>
      <c r="J8" s="109"/>
      <c r="K8" s="94"/>
      <c r="L8" s="105">
        <v>20201118</v>
      </c>
    </row>
    <row r="9" s="113" customFormat="1" ht="15" customHeight="1" spans="1:12">
      <c r="A9" s="137">
        <v>7</v>
      </c>
      <c r="B9" s="137" t="s">
        <v>4837</v>
      </c>
      <c r="C9" s="9" t="s">
        <v>4849</v>
      </c>
      <c r="D9" s="137" t="s">
        <v>4850</v>
      </c>
      <c r="E9" s="109" t="s">
        <v>15</v>
      </c>
      <c r="F9" s="109">
        <v>2020</v>
      </c>
      <c r="G9" s="137" t="s">
        <v>2480</v>
      </c>
      <c r="H9" s="137">
        <v>200</v>
      </c>
      <c r="I9" s="137">
        <v>200</v>
      </c>
      <c r="J9" s="109"/>
      <c r="K9" s="94"/>
      <c r="L9" s="105">
        <v>20201118</v>
      </c>
    </row>
    <row r="10" s="113" customFormat="1" ht="15" customHeight="1" spans="1:12">
      <c r="A10" s="137">
        <v>8</v>
      </c>
      <c r="B10" s="137" t="s">
        <v>4837</v>
      </c>
      <c r="C10" s="9" t="s">
        <v>4851</v>
      </c>
      <c r="D10" s="137" t="s">
        <v>4852</v>
      </c>
      <c r="E10" s="109" t="s">
        <v>15</v>
      </c>
      <c r="F10" s="109">
        <v>2020</v>
      </c>
      <c r="G10" s="137" t="s">
        <v>2480</v>
      </c>
      <c r="H10" s="137">
        <v>200</v>
      </c>
      <c r="I10" s="137">
        <v>200</v>
      </c>
      <c r="J10" s="109"/>
      <c r="K10" s="94"/>
      <c r="L10" s="105">
        <v>20201118</v>
      </c>
    </row>
    <row r="11" s="113" customFormat="1" ht="15" customHeight="1" spans="1:12">
      <c r="A11" s="137">
        <v>9</v>
      </c>
      <c r="B11" s="137" t="s">
        <v>4837</v>
      </c>
      <c r="C11" s="9" t="s">
        <v>4853</v>
      </c>
      <c r="D11" s="137" t="s">
        <v>4854</v>
      </c>
      <c r="E11" s="109" t="s">
        <v>15</v>
      </c>
      <c r="F11" s="109">
        <v>2020</v>
      </c>
      <c r="G11" s="137" t="s">
        <v>2480</v>
      </c>
      <c r="H11" s="137">
        <v>200</v>
      </c>
      <c r="I11" s="137">
        <v>200</v>
      </c>
      <c r="J11" s="109"/>
      <c r="K11" s="94"/>
      <c r="L11" s="105">
        <v>20201118</v>
      </c>
    </row>
    <row r="12" s="113" customFormat="1" ht="15" customHeight="1" spans="1:12">
      <c r="A12" s="137">
        <v>10</v>
      </c>
      <c r="B12" s="137" t="s">
        <v>4837</v>
      </c>
      <c r="C12" s="9" t="s">
        <v>1400</v>
      </c>
      <c r="D12" s="137" t="s">
        <v>4855</v>
      </c>
      <c r="E12" s="109" t="s">
        <v>15</v>
      </c>
      <c r="F12" s="109">
        <v>2020</v>
      </c>
      <c r="G12" s="137" t="s">
        <v>2480</v>
      </c>
      <c r="H12" s="137">
        <v>200</v>
      </c>
      <c r="I12" s="137">
        <v>200</v>
      </c>
      <c r="J12" s="109"/>
      <c r="K12" s="94"/>
      <c r="L12" s="105">
        <v>20201118</v>
      </c>
    </row>
    <row r="13" s="113" customFormat="1" ht="15" customHeight="1" spans="1:12">
      <c r="A13" s="137">
        <v>11</v>
      </c>
      <c r="B13" s="137" t="s">
        <v>4837</v>
      </c>
      <c r="C13" s="9" t="s">
        <v>4856</v>
      </c>
      <c r="D13" s="137" t="s">
        <v>4857</v>
      </c>
      <c r="E13" s="109" t="s">
        <v>15</v>
      </c>
      <c r="F13" s="109">
        <v>2020</v>
      </c>
      <c r="G13" s="137" t="s">
        <v>2480</v>
      </c>
      <c r="H13" s="137">
        <v>200</v>
      </c>
      <c r="I13" s="137">
        <v>200</v>
      </c>
      <c r="J13" s="109"/>
      <c r="K13" s="94"/>
      <c r="L13" s="105">
        <v>20201118</v>
      </c>
    </row>
    <row r="14" s="113" customFormat="1" ht="15" customHeight="1" spans="1:12">
      <c r="A14" s="137">
        <v>12</v>
      </c>
      <c r="B14" s="137" t="s">
        <v>4837</v>
      </c>
      <c r="C14" s="9" t="s">
        <v>4858</v>
      </c>
      <c r="D14" s="137" t="s">
        <v>4859</v>
      </c>
      <c r="E14" s="109" t="s">
        <v>15</v>
      </c>
      <c r="F14" s="109">
        <v>2020</v>
      </c>
      <c r="G14" s="137" t="s">
        <v>2480</v>
      </c>
      <c r="H14" s="137">
        <v>200</v>
      </c>
      <c r="I14" s="137">
        <v>200</v>
      </c>
      <c r="J14" s="109"/>
      <c r="K14" s="94"/>
      <c r="L14" s="105">
        <v>20201118</v>
      </c>
    </row>
    <row r="15" s="113" customFormat="1" ht="15" customHeight="1" spans="1:12">
      <c r="A15" s="137">
        <v>13</v>
      </c>
      <c r="B15" s="137" t="s">
        <v>4837</v>
      </c>
      <c r="C15" s="9" t="s">
        <v>4860</v>
      </c>
      <c r="D15" s="137" t="s">
        <v>4861</v>
      </c>
      <c r="E15" s="109" t="s">
        <v>15</v>
      </c>
      <c r="F15" s="109">
        <v>2020</v>
      </c>
      <c r="G15" s="137" t="s">
        <v>2480</v>
      </c>
      <c r="H15" s="137">
        <v>200</v>
      </c>
      <c r="I15" s="137">
        <v>200</v>
      </c>
      <c r="J15" s="109"/>
      <c r="K15" s="94"/>
      <c r="L15" s="105">
        <v>20201118</v>
      </c>
    </row>
    <row r="16" s="113" customFormat="1" ht="15" customHeight="1" spans="1:12">
      <c r="A16" s="137">
        <v>14</v>
      </c>
      <c r="B16" s="137" t="s">
        <v>4837</v>
      </c>
      <c r="C16" s="9" t="s">
        <v>4862</v>
      </c>
      <c r="D16" s="137" t="s">
        <v>4863</v>
      </c>
      <c r="E16" s="109" t="s">
        <v>15</v>
      </c>
      <c r="F16" s="109">
        <v>2020</v>
      </c>
      <c r="G16" s="137" t="s">
        <v>2480</v>
      </c>
      <c r="H16" s="137">
        <v>200</v>
      </c>
      <c r="I16" s="137">
        <v>200</v>
      </c>
      <c r="J16" s="109"/>
      <c r="K16" s="94"/>
      <c r="L16" s="105">
        <v>20201118</v>
      </c>
    </row>
    <row r="17" s="113" customFormat="1" ht="15" customHeight="1" spans="1:12">
      <c r="A17" s="137">
        <v>15</v>
      </c>
      <c r="B17" s="137" t="s">
        <v>4837</v>
      </c>
      <c r="C17" s="9" t="s">
        <v>4864</v>
      </c>
      <c r="D17" s="137" t="s">
        <v>4865</v>
      </c>
      <c r="E17" s="109" t="s">
        <v>15</v>
      </c>
      <c r="F17" s="109">
        <v>2020</v>
      </c>
      <c r="G17" s="137" t="s">
        <v>2480</v>
      </c>
      <c r="H17" s="137">
        <v>200</v>
      </c>
      <c r="I17" s="137">
        <v>200</v>
      </c>
      <c r="J17" s="109"/>
      <c r="K17" s="94"/>
      <c r="L17" s="105">
        <v>20201118</v>
      </c>
    </row>
    <row r="18" s="113" customFormat="1" ht="15" customHeight="1" spans="1:12">
      <c r="A18" s="137">
        <v>16</v>
      </c>
      <c r="B18" s="137" t="s">
        <v>4837</v>
      </c>
      <c r="C18" s="9" t="s">
        <v>4866</v>
      </c>
      <c r="D18" s="137" t="s">
        <v>4867</v>
      </c>
      <c r="E18" s="109" t="s">
        <v>15</v>
      </c>
      <c r="F18" s="109">
        <v>2020</v>
      </c>
      <c r="G18" s="137" t="s">
        <v>2480</v>
      </c>
      <c r="H18" s="137">
        <v>200</v>
      </c>
      <c r="I18" s="137">
        <v>200</v>
      </c>
      <c r="J18" s="109"/>
      <c r="K18" s="94"/>
      <c r="L18" s="105">
        <v>20201118</v>
      </c>
    </row>
    <row r="19" s="113" customFormat="1" ht="15" customHeight="1" spans="1:12">
      <c r="A19" s="137">
        <v>17</v>
      </c>
      <c r="B19" s="137" t="s">
        <v>4837</v>
      </c>
      <c r="C19" s="9" t="s">
        <v>4868</v>
      </c>
      <c r="D19" s="137" t="s">
        <v>4869</v>
      </c>
      <c r="E19" s="109" t="s">
        <v>15</v>
      </c>
      <c r="F19" s="109">
        <v>2020</v>
      </c>
      <c r="G19" s="137" t="s">
        <v>2480</v>
      </c>
      <c r="H19" s="137">
        <v>200</v>
      </c>
      <c r="I19" s="137">
        <v>200</v>
      </c>
      <c r="J19" s="109"/>
      <c r="K19" s="94"/>
      <c r="L19" s="105">
        <v>20201118</v>
      </c>
    </row>
    <row r="20" s="113" customFormat="1" ht="15" customHeight="1" spans="1:12">
      <c r="A20" s="137">
        <v>18</v>
      </c>
      <c r="B20" s="137" t="s">
        <v>4837</v>
      </c>
      <c r="C20" s="9" t="s">
        <v>4870</v>
      </c>
      <c r="D20" s="137" t="s">
        <v>4871</v>
      </c>
      <c r="E20" s="109" t="s">
        <v>15</v>
      </c>
      <c r="F20" s="109">
        <v>2020</v>
      </c>
      <c r="G20" s="137" t="s">
        <v>2480</v>
      </c>
      <c r="H20" s="137">
        <v>200</v>
      </c>
      <c r="I20" s="137">
        <v>200</v>
      </c>
      <c r="J20" s="109"/>
      <c r="K20" s="94"/>
      <c r="L20" s="105">
        <v>20201118</v>
      </c>
    </row>
    <row r="21" s="113" customFormat="1" ht="15" customHeight="1" spans="1:12">
      <c r="A21" s="137">
        <v>19</v>
      </c>
      <c r="B21" s="137" t="s">
        <v>4837</v>
      </c>
      <c r="C21" s="9" t="s">
        <v>4872</v>
      </c>
      <c r="D21" s="137" t="s">
        <v>4873</v>
      </c>
      <c r="E21" s="109" t="s">
        <v>15</v>
      </c>
      <c r="F21" s="109">
        <v>2020</v>
      </c>
      <c r="G21" s="137" t="s">
        <v>2480</v>
      </c>
      <c r="H21" s="137">
        <v>200</v>
      </c>
      <c r="I21" s="137">
        <v>200</v>
      </c>
      <c r="J21" s="109"/>
      <c r="K21" s="94"/>
      <c r="L21" s="105">
        <v>20201118</v>
      </c>
    </row>
    <row r="22" s="113" customFormat="1" ht="15" customHeight="1" spans="1:12">
      <c r="A22" s="137">
        <v>20</v>
      </c>
      <c r="B22" s="137" t="s">
        <v>4837</v>
      </c>
      <c r="C22" s="9" t="s">
        <v>4874</v>
      </c>
      <c r="D22" s="137" t="s">
        <v>4875</v>
      </c>
      <c r="E22" s="109" t="s">
        <v>15</v>
      </c>
      <c r="F22" s="109">
        <v>2020</v>
      </c>
      <c r="G22" s="137" t="s">
        <v>2480</v>
      </c>
      <c r="H22" s="137">
        <v>200</v>
      </c>
      <c r="I22" s="137">
        <v>200</v>
      </c>
      <c r="J22" s="109"/>
      <c r="K22" s="94"/>
      <c r="L22" s="105">
        <v>20201118</v>
      </c>
    </row>
    <row r="23" s="113" customFormat="1" ht="15" customHeight="1" spans="1:12">
      <c r="A23" s="137">
        <v>21</v>
      </c>
      <c r="B23" s="137" t="s">
        <v>4837</v>
      </c>
      <c r="C23" s="9" t="s">
        <v>4876</v>
      </c>
      <c r="D23" s="137" t="s">
        <v>4877</v>
      </c>
      <c r="E23" s="109" t="s">
        <v>15</v>
      </c>
      <c r="F23" s="109">
        <v>2020</v>
      </c>
      <c r="G23" s="137" t="s">
        <v>2480</v>
      </c>
      <c r="H23" s="137">
        <v>200</v>
      </c>
      <c r="I23" s="137">
        <v>200</v>
      </c>
      <c r="J23" s="109"/>
      <c r="K23" s="94"/>
      <c r="L23" s="105">
        <v>20201118</v>
      </c>
    </row>
    <row r="24" s="113" customFormat="1" ht="15" customHeight="1" spans="1:12">
      <c r="A24" s="137">
        <v>22</v>
      </c>
      <c r="B24" s="137" t="s">
        <v>4837</v>
      </c>
      <c r="C24" s="9" t="s">
        <v>4878</v>
      </c>
      <c r="D24" s="137" t="s">
        <v>4879</v>
      </c>
      <c r="E24" s="109" t="s">
        <v>15</v>
      </c>
      <c r="F24" s="109">
        <v>2020</v>
      </c>
      <c r="G24" s="137" t="s">
        <v>2480</v>
      </c>
      <c r="H24" s="137">
        <v>200</v>
      </c>
      <c r="I24" s="137">
        <v>200</v>
      </c>
      <c r="J24" s="109"/>
      <c r="K24" s="94"/>
      <c r="L24" s="105">
        <v>20201118</v>
      </c>
    </row>
    <row r="25" s="113" customFormat="1" ht="15" customHeight="1" spans="1:12">
      <c r="A25" s="137">
        <v>23</v>
      </c>
      <c r="B25" s="137" t="s">
        <v>4837</v>
      </c>
      <c r="C25" s="9" t="s">
        <v>4880</v>
      </c>
      <c r="D25" s="137" t="s">
        <v>4881</v>
      </c>
      <c r="E25" s="109" t="s">
        <v>15</v>
      </c>
      <c r="F25" s="109">
        <v>2020</v>
      </c>
      <c r="G25" s="137" t="s">
        <v>2480</v>
      </c>
      <c r="H25" s="137">
        <v>200</v>
      </c>
      <c r="I25" s="137">
        <v>200</v>
      </c>
      <c r="J25" s="109"/>
      <c r="K25" s="94"/>
      <c r="L25" s="105">
        <v>20201118</v>
      </c>
    </row>
    <row r="26" s="113" customFormat="1" ht="15" customHeight="1" spans="1:12">
      <c r="A26" s="137">
        <v>24</v>
      </c>
      <c r="B26" s="137" t="s">
        <v>4837</v>
      </c>
      <c r="C26" s="9" t="s">
        <v>4882</v>
      </c>
      <c r="D26" s="137" t="s">
        <v>4883</v>
      </c>
      <c r="E26" s="109" t="s">
        <v>15</v>
      </c>
      <c r="F26" s="109">
        <v>2020</v>
      </c>
      <c r="G26" s="137" t="s">
        <v>2480</v>
      </c>
      <c r="H26" s="137">
        <v>200</v>
      </c>
      <c r="I26" s="137">
        <v>200</v>
      </c>
      <c r="J26" s="109"/>
      <c r="K26" s="94"/>
      <c r="L26" s="105">
        <v>20201118</v>
      </c>
    </row>
    <row r="27" s="113" customFormat="1" ht="15" customHeight="1" spans="1:12">
      <c r="A27" s="137">
        <v>25</v>
      </c>
      <c r="B27" s="137" t="s">
        <v>4837</v>
      </c>
      <c r="C27" s="9" t="s">
        <v>4884</v>
      </c>
      <c r="D27" s="137" t="s">
        <v>4885</v>
      </c>
      <c r="E27" s="109" t="s">
        <v>15</v>
      </c>
      <c r="F27" s="109">
        <v>2020</v>
      </c>
      <c r="G27" s="137" t="s">
        <v>2480</v>
      </c>
      <c r="H27" s="137">
        <v>200</v>
      </c>
      <c r="I27" s="137">
        <v>200</v>
      </c>
      <c r="J27" s="109" t="s">
        <v>108</v>
      </c>
      <c r="K27" s="94"/>
      <c r="L27" s="105">
        <v>20201118</v>
      </c>
    </row>
    <row r="28" s="113" customFormat="1" ht="15" customHeight="1" spans="1:12">
      <c r="A28" s="137">
        <v>26</v>
      </c>
      <c r="B28" s="137" t="s">
        <v>4837</v>
      </c>
      <c r="C28" s="9" t="s">
        <v>4886</v>
      </c>
      <c r="D28" s="137" t="s">
        <v>4887</v>
      </c>
      <c r="E28" s="109" t="s">
        <v>15</v>
      </c>
      <c r="F28" s="109">
        <v>2020</v>
      </c>
      <c r="G28" s="137" t="s">
        <v>2480</v>
      </c>
      <c r="H28" s="137">
        <v>200</v>
      </c>
      <c r="I28" s="137">
        <v>200</v>
      </c>
      <c r="J28" s="109" t="s">
        <v>108</v>
      </c>
      <c r="K28" s="94"/>
      <c r="L28" s="105">
        <v>20201118</v>
      </c>
    </row>
    <row r="29" s="113" customFormat="1" ht="15" customHeight="1" spans="1:12">
      <c r="A29" s="137">
        <v>27</v>
      </c>
      <c r="B29" s="137" t="s">
        <v>4837</v>
      </c>
      <c r="C29" s="9" t="s">
        <v>4888</v>
      </c>
      <c r="D29" s="137" t="s">
        <v>4889</v>
      </c>
      <c r="E29" s="109" t="s">
        <v>15</v>
      </c>
      <c r="F29" s="109">
        <v>2020</v>
      </c>
      <c r="G29" s="137" t="s">
        <v>2480</v>
      </c>
      <c r="H29" s="137">
        <v>500</v>
      </c>
      <c r="I29" s="137">
        <v>500</v>
      </c>
      <c r="J29" s="109"/>
      <c r="K29" s="94"/>
      <c r="L29" s="105">
        <v>20201118</v>
      </c>
    </row>
    <row r="30" s="113" customFormat="1" ht="15" customHeight="1" spans="1:12">
      <c r="A30" s="137">
        <v>28</v>
      </c>
      <c r="B30" s="137" t="s">
        <v>4837</v>
      </c>
      <c r="C30" s="9" t="s">
        <v>4890</v>
      </c>
      <c r="D30" s="137" t="s">
        <v>4891</v>
      </c>
      <c r="E30" s="109" t="s">
        <v>15</v>
      </c>
      <c r="F30" s="109">
        <v>2020</v>
      </c>
      <c r="G30" s="137" t="s">
        <v>2480</v>
      </c>
      <c r="H30" s="137">
        <v>200</v>
      </c>
      <c r="I30" s="137">
        <v>200</v>
      </c>
      <c r="J30" s="109"/>
      <c r="K30" s="94"/>
      <c r="L30" s="105">
        <v>20201118</v>
      </c>
    </row>
    <row r="31" s="113" customFormat="1" ht="15" customHeight="1" spans="1:12">
      <c r="A31" s="137">
        <v>29</v>
      </c>
      <c r="B31" s="137" t="s">
        <v>4837</v>
      </c>
      <c r="C31" s="9" t="s">
        <v>4892</v>
      </c>
      <c r="D31" s="137" t="s">
        <v>4893</v>
      </c>
      <c r="E31" s="109" t="s">
        <v>15</v>
      </c>
      <c r="F31" s="109">
        <v>2020</v>
      </c>
      <c r="G31" s="137" t="s">
        <v>2480</v>
      </c>
      <c r="H31" s="137">
        <v>200</v>
      </c>
      <c r="I31" s="137">
        <v>200</v>
      </c>
      <c r="J31" s="109"/>
      <c r="K31" s="94"/>
      <c r="L31" s="105">
        <v>20201118</v>
      </c>
    </row>
    <row r="32" s="113" customFormat="1" ht="15" customHeight="1" spans="1:12">
      <c r="A32" s="137">
        <v>30</v>
      </c>
      <c r="B32" s="137" t="s">
        <v>4837</v>
      </c>
      <c r="C32" s="9" t="s">
        <v>4894</v>
      </c>
      <c r="D32" s="137" t="s">
        <v>4895</v>
      </c>
      <c r="E32" s="109" t="s">
        <v>15</v>
      </c>
      <c r="F32" s="109">
        <v>2020</v>
      </c>
      <c r="G32" s="137" t="s">
        <v>2480</v>
      </c>
      <c r="H32" s="137">
        <v>200</v>
      </c>
      <c r="I32" s="137">
        <v>200</v>
      </c>
      <c r="J32" s="109"/>
      <c r="K32" s="94"/>
      <c r="L32" s="105">
        <v>20201118</v>
      </c>
    </row>
    <row r="33" s="113" customFormat="1" ht="15" customHeight="1" spans="1:12">
      <c r="A33" s="137">
        <v>31</v>
      </c>
      <c r="B33" s="137" t="s">
        <v>4837</v>
      </c>
      <c r="C33" s="9" t="s">
        <v>4896</v>
      </c>
      <c r="D33" s="137" t="s">
        <v>4897</v>
      </c>
      <c r="E33" s="109" t="s">
        <v>15</v>
      </c>
      <c r="F33" s="109">
        <v>2020</v>
      </c>
      <c r="G33" s="137" t="s">
        <v>2480</v>
      </c>
      <c r="H33" s="137">
        <v>200</v>
      </c>
      <c r="I33" s="137">
        <v>200</v>
      </c>
      <c r="J33" s="109" t="s">
        <v>108</v>
      </c>
      <c r="K33" s="94"/>
      <c r="L33" s="105">
        <v>20201118</v>
      </c>
    </row>
    <row r="34" s="113" customFormat="1" ht="15" customHeight="1" spans="1:12">
      <c r="A34" s="137">
        <v>32</v>
      </c>
      <c r="B34" s="137" t="s">
        <v>4837</v>
      </c>
      <c r="C34" s="9" t="s">
        <v>4898</v>
      </c>
      <c r="D34" s="137" t="s">
        <v>4899</v>
      </c>
      <c r="E34" s="109" t="s">
        <v>15</v>
      </c>
      <c r="F34" s="109">
        <v>2020</v>
      </c>
      <c r="G34" s="137" t="s">
        <v>2480</v>
      </c>
      <c r="H34" s="137">
        <v>200</v>
      </c>
      <c r="I34" s="137">
        <v>200</v>
      </c>
      <c r="J34" s="109"/>
      <c r="K34" s="94"/>
      <c r="L34" s="105">
        <v>20201118</v>
      </c>
    </row>
    <row r="35" s="113" customFormat="1" ht="15" customHeight="1" spans="1:12">
      <c r="A35" s="137">
        <v>33</v>
      </c>
      <c r="B35" s="137" t="s">
        <v>4837</v>
      </c>
      <c r="C35" s="9" t="s">
        <v>4900</v>
      </c>
      <c r="D35" s="137" t="s">
        <v>4901</v>
      </c>
      <c r="E35" s="109" t="s">
        <v>15</v>
      </c>
      <c r="F35" s="109">
        <v>2020</v>
      </c>
      <c r="G35" s="137" t="s">
        <v>2480</v>
      </c>
      <c r="H35" s="137">
        <v>200</v>
      </c>
      <c r="I35" s="137">
        <v>200</v>
      </c>
      <c r="J35" s="109"/>
      <c r="K35" s="94"/>
      <c r="L35" s="105">
        <v>20201118</v>
      </c>
    </row>
    <row r="36" s="113" customFormat="1" ht="15" customHeight="1" spans="1:12">
      <c r="A36" s="137">
        <v>34</v>
      </c>
      <c r="B36" s="137" t="s">
        <v>4837</v>
      </c>
      <c r="C36" s="9" t="s">
        <v>4902</v>
      </c>
      <c r="D36" s="137" t="s">
        <v>4903</v>
      </c>
      <c r="E36" s="109" t="s">
        <v>15</v>
      </c>
      <c r="F36" s="109">
        <v>2020</v>
      </c>
      <c r="G36" s="137" t="s">
        <v>2480</v>
      </c>
      <c r="H36" s="137">
        <v>200</v>
      </c>
      <c r="I36" s="137">
        <v>200</v>
      </c>
      <c r="J36" s="109"/>
      <c r="K36" s="94"/>
      <c r="L36" s="105">
        <v>20201118</v>
      </c>
    </row>
    <row r="37" s="113" customFormat="1" ht="15" customHeight="1" spans="1:12">
      <c r="A37" s="137">
        <v>35</v>
      </c>
      <c r="B37" s="137" t="s">
        <v>4837</v>
      </c>
      <c r="C37" s="9" t="s">
        <v>4904</v>
      </c>
      <c r="D37" s="137" t="s">
        <v>4905</v>
      </c>
      <c r="E37" s="109" t="s">
        <v>15</v>
      </c>
      <c r="F37" s="109">
        <v>2020</v>
      </c>
      <c r="G37" s="137" t="s">
        <v>2480</v>
      </c>
      <c r="H37" s="137">
        <v>200</v>
      </c>
      <c r="I37" s="137">
        <v>200</v>
      </c>
      <c r="J37" s="109"/>
      <c r="K37" s="94"/>
      <c r="L37" s="105">
        <v>20201118</v>
      </c>
    </row>
    <row r="38" s="113" customFormat="1" ht="15" customHeight="1" spans="1:12">
      <c r="A38" s="137">
        <v>36</v>
      </c>
      <c r="B38" s="137" t="s">
        <v>4837</v>
      </c>
      <c r="C38" s="9" t="s">
        <v>4906</v>
      </c>
      <c r="D38" s="137" t="s">
        <v>4907</v>
      </c>
      <c r="E38" s="109" t="s">
        <v>15</v>
      </c>
      <c r="F38" s="109">
        <v>2020</v>
      </c>
      <c r="G38" s="137" t="s">
        <v>2480</v>
      </c>
      <c r="H38" s="137">
        <v>200</v>
      </c>
      <c r="I38" s="137">
        <v>200</v>
      </c>
      <c r="J38" s="109"/>
      <c r="K38" s="94"/>
      <c r="L38" s="105">
        <v>20201118</v>
      </c>
    </row>
    <row r="39" s="113" customFormat="1" ht="15" customHeight="1" spans="1:12">
      <c r="A39" s="137">
        <v>37</v>
      </c>
      <c r="B39" s="137" t="s">
        <v>4837</v>
      </c>
      <c r="C39" s="9" t="s">
        <v>4908</v>
      </c>
      <c r="D39" s="137" t="s">
        <v>4909</v>
      </c>
      <c r="E39" s="109" t="s">
        <v>15</v>
      </c>
      <c r="F39" s="109">
        <v>2020</v>
      </c>
      <c r="G39" s="137" t="s">
        <v>2480</v>
      </c>
      <c r="H39" s="137">
        <v>200</v>
      </c>
      <c r="I39" s="137">
        <v>200</v>
      </c>
      <c r="J39" s="109"/>
      <c r="K39" s="94"/>
      <c r="L39" s="105">
        <v>20201118</v>
      </c>
    </row>
    <row r="40" s="113" customFormat="1" ht="15" customHeight="1" spans="1:12">
      <c r="A40" s="137">
        <v>38</v>
      </c>
      <c r="B40" s="137" t="s">
        <v>4837</v>
      </c>
      <c r="C40" s="9" t="s">
        <v>4910</v>
      </c>
      <c r="D40" s="137" t="s">
        <v>4911</v>
      </c>
      <c r="E40" s="109" t="s">
        <v>15</v>
      </c>
      <c r="F40" s="109">
        <v>2020</v>
      </c>
      <c r="G40" s="137" t="s">
        <v>2480</v>
      </c>
      <c r="H40" s="137">
        <v>200</v>
      </c>
      <c r="I40" s="137">
        <v>200</v>
      </c>
      <c r="J40" s="109"/>
      <c r="K40" s="94"/>
      <c r="L40" s="105">
        <v>20201118</v>
      </c>
    </row>
    <row r="41" s="113" customFormat="1" ht="15" customHeight="1" spans="1:12">
      <c r="A41" s="137">
        <v>39</v>
      </c>
      <c r="B41" s="137" t="s">
        <v>4837</v>
      </c>
      <c r="C41" s="9" t="s">
        <v>4912</v>
      </c>
      <c r="D41" s="137" t="s">
        <v>4913</v>
      </c>
      <c r="E41" s="109" t="s">
        <v>15</v>
      </c>
      <c r="F41" s="109">
        <v>2020</v>
      </c>
      <c r="G41" s="137" t="s">
        <v>2480</v>
      </c>
      <c r="H41" s="137">
        <v>200</v>
      </c>
      <c r="I41" s="137">
        <v>200</v>
      </c>
      <c r="J41" s="109"/>
      <c r="K41" s="94"/>
      <c r="L41" s="105">
        <v>20201118</v>
      </c>
    </row>
    <row r="42" s="113" customFormat="1" ht="15" customHeight="1" spans="1:12">
      <c r="A42" s="137">
        <v>40</v>
      </c>
      <c r="B42" s="137" t="s">
        <v>4837</v>
      </c>
      <c r="C42" s="9" t="s">
        <v>4914</v>
      </c>
      <c r="D42" s="137" t="s">
        <v>4915</v>
      </c>
      <c r="E42" s="109" t="s">
        <v>15</v>
      </c>
      <c r="F42" s="109">
        <v>2020</v>
      </c>
      <c r="G42" s="137" t="s">
        <v>2480</v>
      </c>
      <c r="H42" s="137">
        <v>200</v>
      </c>
      <c r="I42" s="137">
        <v>200</v>
      </c>
      <c r="J42" s="109" t="s">
        <v>108</v>
      </c>
      <c r="K42" s="94"/>
      <c r="L42" s="105">
        <v>20201118</v>
      </c>
    </row>
    <row r="43" s="113" customFormat="1" ht="15" customHeight="1" spans="1:12">
      <c r="A43" s="137">
        <v>41</v>
      </c>
      <c r="B43" s="137" t="s">
        <v>4837</v>
      </c>
      <c r="C43" s="9" t="s">
        <v>4916</v>
      </c>
      <c r="D43" s="137" t="s">
        <v>4917</v>
      </c>
      <c r="E43" s="109" t="s">
        <v>15</v>
      </c>
      <c r="F43" s="109">
        <v>2020</v>
      </c>
      <c r="G43" s="137" t="s">
        <v>2480</v>
      </c>
      <c r="H43" s="137">
        <v>200</v>
      </c>
      <c r="I43" s="137">
        <v>200</v>
      </c>
      <c r="J43" s="109"/>
      <c r="K43" s="94"/>
      <c r="L43" s="105">
        <v>20201118</v>
      </c>
    </row>
    <row r="44" s="113" customFormat="1" ht="15" customHeight="1" spans="1:12">
      <c r="A44" s="137">
        <v>42</v>
      </c>
      <c r="B44" s="137" t="s">
        <v>4837</v>
      </c>
      <c r="C44" s="9" t="s">
        <v>4918</v>
      </c>
      <c r="D44" s="137" t="s">
        <v>4919</v>
      </c>
      <c r="E44" s="109" t="s">
        <v>15</v>
      </c>
      <c r="F44" s="109">
        <v>2020</v>
      </c>
      <c r="G44" s="137" t="s">
        <v>2480</v>
      </c>
      <c r="H44" s="137">
        <v>200</v>
      </c>
      <c r="I44" s="137">
        <v>200</v>
      </c>
      <c r="J44" s="109"/>
      <c r="K44" s="94"/>
      <c r="L44" s="105">
        <v>20201118</v>
      </c>
    </row>
    <row r="45" s="113" customFormat="1" ht="15" customHeight="1" spans="1:12">
      <c r="A45" s="137">
        <v>43</v>
      </c>
      <c r="B45" s="137" t="s">
        <v>4837</v>
      </c>
      <c r="C45" s="9" t="s">
        <v>4920</v>
      </c>
      <c r="D45" s="137" t="s">
        <v>4921</v>
      </c>
      <c r="E45" s="109" t="s">
        <v>15</v>
      </c>
      <c r="F45" s="109">
        <v>2020</v>
      </c>
      <c r="G45" s="137" t="s">
        <v>2480</v>
      </c>
      <c r="H45" s="137">
        <v>200</v>
      </c>
      <c r="I45" s="137">
        <v>200</v>
      </c>
      <c r="J45" s="109"/>
      <c r="K45" s="94"/>
      <c r="L45" s="105">
        <v>20201118</v>
      </c>
    </row>
    <row r="46" s="113" customFormat="1" ht="15" customHeight="1" spans="1:12">
      <c r="A46" s="137">
        <v>44</v>
      </c>
      <c r="B46" s="137" t="s">
        <v>4837</v>
      </c>
      <c r="C46" s="9" t="s">
        <v>4922</v>
      </c>
      <c r="D46" s="137" t="s">
        <v>4923</v>
      </c>
      <c r="E46" s="109" t="s">
        <v>15</v>
      </c>
      <c r="F46" s="109">
        <v>2020</v>
      </c>
      <c r="G46" s="137" t="s">
        <v>2480</v>
      </c>
      <c r="H46" s="137">
        <v>200</v>
      </c>
      <c r="I46" s="137">
        <v>200</v>
      </c>
      <c r="J46" s="109"/>
      <c r="K46" s="94"/>
      <c r="L46" s="105">
        <v>20201118</v>
      </c>
    </row>
    <row r="47" s="113" customFormat="1" ht="15" customHeight="1" spans="1:12">
      <c r="A47" s="137">
        <v>45</v>
      </c>
      <c r="B47" s="137" t="s">
        <v>4837</v>
      </c>
      <c r="C47" s="9" t="s">
        <v>4924</v>
      </c>
      <c r="D47" s="137" t="s">
        <v>4925</v>
      </c>
      <c r="E47" s="109" t="s">
        <v>15</v>
      </c>
      <c r="F47" s="109">
        <v>2020</v>
      </c>
      <c r="G47" s="137" t="s">
        <v>2480</v>
      </c>
      <c r="H47" s="137">
        <v>200</v>
      </c>
      <c r="I47" s="137">
        <v>200</v>
      </c>
      <c r="J47" s="109"/>
      <c r="K47" s="94"/>
      <c r="L47" s="105">
        <v>20201118</v>
      </c>
    </row>
    <row r="48" s="113" customFormat="1" ht="15" customHeight="1" spans="1:12">
      <c r="A48" s="137">
        <v>46</v>
      </c>
      <c r="B48" s="137" t="s">
        <v>4837</v>
      </c>
      <c r="C48" s="9" t="s">
        <v>4926</v>
      </c>
      <c r="D48" s="137" t="s">
        <v>4927</v>
      </c>
      <c r="E48" s="109" t="s">
        <v>15</v>
      </c>
      <c r="F48" s="109">
        <v>2020</v>
      </c>
      <c r="G48" s="137" t="s">
        <v>2480</v>
      </c>
      <c r="H48" s="137">
        <v>200</v>
      </c>
      <c r="I48" s="137">
        <v>200</v>
      </c>
      <c r="J48" s="109" t="s">
        <v>108</v>
      </c>
      <c r="K48" s="94"/>
      <c r="L48" s="105">
        <v>20201118</v>
      </c>
    </row>
    <row r="49" s="113" customFormat="1" ht="15" customHeight="1" spans="1:12">
      <c r="A49" s="137">
        <v>47</v>
      </c>
      <c r="B49" s="137" t="s">
        <v>4837</v>
      </c>
      <c r="C49" s="9" t="s">
        <v>4928</v>
      </c>
      <c r="D49" s="137" t="s">
        <v>4929</v>
      </c>
      <c r="E49" s="109" t="s">
        <v>15</v>
      </c>
      <c r="F49" s="109">
        <v>2020</v>
      </c>
      <c r="G49" s="137" t="s">
        <v>2480</v>
      </c>
      <c r="H49" s="137">
        <v>200</v>
      </c>
      <c r="I49" s="137">
        <v>200</v>
      </c>
      <c r="J49" s="109" t="s">
        <v>108</v>
      </c>
      <c r="K49" s="94"/>
      <c r="L49" s="105">
        <v>20201118</v>
      </c>
    </row>
    <row r="50" s="113" customFormat="1" ht="15" customHeight="1" spans="1:12">
      <c r="A50" s="137">
        <v>48</v>
      </c>
      <c r="B50" s="137" t="s">
        <v>4837</v>
      </c>
      <c r="C50" s="9" t="s">
        <v>4930</v>
      </c>
      <c r="D50" s="137" t="s">
        <v>4931</v>
      </c>
      <c r="E50" s="109" t="s">
        <v>15</v>
      </c>
      <c r="F50" s="109">
        <v>2020</v>
      </c>
      <c r="G50" s="137" t="s">
        <v>2480</v>
      </c>
      <c r="H50" s="137">
        <v>200</v>
      </c>
      <c r="I50" s="137">
        <v>200</v>
      </c>
      <c r="J50" s="109"/>
      <c r="K50" s="94"/>
      <c r="L50" s="105">
        <v>20201118</v>
      </c>
    </row>
    <row r="51" s="113" customFormat="1" ht="15" customHeight="1" spans="1:12">
      <c r="A51" s="137">
        <v>49</v>
      </c>
      <c r="B51" s="137" t="s">
        <v>4837</v>
      </c>
      <c r="C51" s="9" t="s">
        <v>4932</v>
      </c>
      <c r="D51" s="137" t="s">
        <v>4933</v>
      </c>
      <c r="E51" s="109" t="s">
        <v>15</v>
      </c>
      <c r="F51" s="109">
        <v>2020</v>
      </c>
      <c r="G51" s="137" t="s">
        <v>2480</v>
      </c>
      <c r="H51" s="137">
        <v>200</v>
      </c>
      <c r="I51" s="137">
        <v>200</v>
      </c>
      <c r="J51" s="109"/>
      <c r="K51" s="94"/>
      <c r="L51" s="105">
        <v>20201118</v>
      </c>
    </row>
    <row r="52" s="113" customFormat="1" ht="15" customHeight="1" spans="1:12">
      <c r="A52" s="137">
        <v>50</v>
      </c>
      <c r="B52" s="137" t="s">
        <v>4837</v>
      </c>
      <c r="C52" s="9" t="s">
        <v>4934</v>
      </c>
      <c r="D52" s="137" t="s">
        <v>4935</v>
      </c>
      <c r="E52" s="109" t="s">
        <v>15</v>
      </c>
      <c r="F52" s="109">
        <v>2020</v>
      </c>
      <c r="G52" s="137" t="s">
        <v>2480</v>
      </c>
      <c r="H52" s="137">
        <v>200</v>
      </c>
      <c r="I52" s="137">
        <v>200</v>
      </c>
      <c r="J52" s="109"/>
      <c r="K52" s="94"/>
      <c r="L52" s="105">
        <v>20201118</v>
      </c>
    </row>
    <row r="53" s="113" customFormat="1" ht="15" customHeight="1" spans="1:12">
      <c r="A53" s="137">
        <v>51</v>
      </c>
      <c r="B53" s="137" t="s">
        <v>4837</v>
      </c>
      <c r="C53" s="9" t="s">
        <v>4936</v>
      </c>
      <c r="D53" s="137" t="s">
        <v>4937</v>
      </c>
      <c r="E53" s="109" t="s">
        <v>15</v>
      </c>
      <c r="F53" s="109">
        <v>2020</v>
      </c>
      <c r="G53" s="137" t="s">
        <v>2480</v>
      </c>
      <c r="H53" s="137">
        <v>200</v>
      </c>
      <c r="I53" s="137">
        <v>200</v>
      </c>
      <c r="J53" s="109"/>
      <c r="K53" s="94"/>
      <c r="L53" s="105">
        <v>20201118</v>
      </c>
    </row>
    <row r="54" s="113" customFormat="1" ht="15" customHeight="1" spans="1:12">
      <c r="A54" s="137">
        <v>52</v>
      </c>
      <c r="B54" s="137" t="s">
        <v>4837</v>
      </c>
      <c r="C54" s="9" t="s">
        <v>4938</v>
      </c>
      <c r="D54" s="137" t="s">
        <v>4939</v>
      </c>
      <c r="E54" s="109" t="s">
        <v>15</v>
      </c>
      <c r="F54" s="109">
        <v>2020</v>
      </c>
      <c r="G54" s="137" t="s">
        <v>2480</v>
      </c>
      <c r="H54" s="137">
        <v>200</v>
      </c>
      <c r="I54" s="137">
        <v>200</v>
      </c>
      <c r="J54" s="109"/>
      <c r="K54" s="94"/>
      <c r="L54" s="105">
        <v>20201118</v>
      </c>
    </row>
    <row r="55" s="113" customFormat="1" ht="15" customHeight="1" spans="1:12">
      <c r="A55" s="137">
        <v>53</v>
      </c>
      <c r="B55" s="137" t="s">
        <v>4837</v>
      </c>
      <c r="C55" s="9" t="s">
        <v>4940</v>
      </c>
      <c r="D55" s="137" t="s">
        <v>4941</v>
      </c>
      <c r="E55" s="109" t="s">
        <v>15</v>
      </c>
      <c r="F55" s="109">
        <v>2020</v>
      </c>
      <c r="G55" s="137" t="s">
        <v>2480</v>
      </c>
      <c r="H55" s="137">
        <v>200</v>
      </c>
      <c r="I55" s="137">
        <v>200</v>
      </c>
      <c r="J55" s="109" t="s">
        <v>108</v>
      </c>
      <c r="K55" s="94"/>
      <c r="L55" s="105">
        <v>20201118</v>
      </c>
    </row>
    <row r="56" s="113" customFormat="1" ht="15" customHeight="1" spans="1:12">
      <c r="A56" s="137">
        <v>54</v>
      </c>
      <c r="B56" s="137" t="s">
        <v>4837</v>
      </c>
      <c r="C56" s="9" t="s">
        <v>4942</v>
      </c>
      <c r="D56" s="137" t="s">
        <v>4943</v>
      </c>
      <c r="E56" s="109" t="s">
        <v>15</v>
      </c>
      <c r="F56" s="109">
        <v>2020</v>
      </c>
      <c r="G56" s="137" t="s">
        <v>2480</v>
      </c>
      <c r="H56" s="137">
        <v>200</v>
      </c>
      <c r="I56" s="137">
        <v>200</v>
      </c>
      <c r="J56" s="109"/>
      <c r="K56" s="94"/>
      <c r="L56" s="105">
        <v>20201118</v>
      </c>
    </row>
    <row r="57" s="113" customFormat="1" ht="15" customHeight="1" spans="1:12">
      <c r="A57" s="137">
        <v>55</v>
      </c>
      <c r="B57" s="137" t="s">
        <v>4837</v>
      </c>
      <c r="C57" s="9" t="s">
        <v>4944</v>
      </c>
      <c r="D57" s="137" t="s">
        <v>4945</v>
      </c>
      <c r="E57" s="109" t="s">
        <v>15</v>
      </c>
      <c r="F57" s="109">
        <v>2020</v>
      </c>
      <c r="G57" s="137" t="s">
        <v>2480</v>
      </c>
      <c r="H57" s="137">
        <v>200</v>
      </c>
      <c r="I57" s="137">
        <v>200</v>
      </c>
      <c r="J57" s="109"/>
      <c r="K57" s="94"/>
      <c r="L57" s="105">
        <v>20201118</v>
      </c>
    </row>
    <row r="58" s="113" customFormat="1" ht="15" customHeight="1" spans="1:12">
      <c r="A58" s="137">
        <v>56</v>
      </c>
      <c r="B58" s="137" t="s">
        <v>4837</v>
      </c>
      <c r="C58" s="9" t="s">
        <v>4946</v>
      </c>
      <c r="D58" s="137" t="s">
        <v>4947</v>
      </c>
      <c r="E58" s="109" t="s">
        <v>15</v>
      </c>
      <c r="F58" s="109">
        <v>2020</v>
      </c>
      <c r="G58" s="137" t="s">
        <v>2480</v>
      </c>
      <c r="H58" s="137">
        <v>200</v>
      </c>
      <c r="I58" s="137">
        <v>200</v>
      </c>
      <c r="J58" s="109"/>
      <c r="K58" s="94"/>
      <c r="L58" s="105">
        <v>20201118</v>
      </c>
    </row>
    <row r="59" s="113" customFormat="1" ht="15" customHeight="1" spans="1:12">
      <c r="A59" s="137">
        <v>57</v>
      </c>
      <c r="B59" s="137" t="s">
        <v>4837</v>
      </c>
      <c r="C59" s="9" t="s">
        <v>4948</v>
      </c>
      <c r="D59" s="137" t="s">
        <v>4949</v>
      </c>
      <c r="E59" s="109" t="s">
        <v>15</v>
      </c>
      <c r="F59" s="109">
        <v>2020</v>
      </c>
      <c r="G59" s="137" t="s">
        <v>2480</v>
      </c>
      <c r="H59" s="137">
        <v>200</v>
      </c>
      <c r="I59" s="137">
        <v>200</v>
      </c>
      <c r="J59" s="109" t="s">
        <v>108</v>
      </c>
      <c r="K59" s="94"/>
      <c r="L59" s="105">
        <v>20201118</v>
      </c>
    </row>
    <row r="60" s="113" customFormat="1" ht="15" customHeight="1" spans="1:12">
      <c r="A60" s="137">
        <v>58</v>
      </c>
      <c r="B60" s="137" t="s">
        <v>4837</v>
      </c>
      <c r="C60" s="9" t="s">
        <v>4950</v>
      </c>
      <c r="D60" s="137" t="s">
        <v>4951</v>
      </c>
      <c r="E60" s="109" t="s">
        <v>15</v>
      </c>
      <c r="F60" s="109">
        <v>2020</v>
      </c>
      <c r="G60" s="137" t="s">
        <v>2480</v>
      </c>
      <c r="H60" s="137">
        <v>200</v>
      </c>
      <c r="I60" s="137">
        <v>200</v>
      </c>
      <c r="J60" s="109"/>
      <c r="K60" s="94"/>
      <c r="L60" s="105">
        <v>20201118</v>
      </c>
    </row>
    <row r="61" s="113" customFormat="1" ht="15" customHeight="1" spans="1:12">
      <c r="A61" s="137">
        <v>59</v>
      </c>
      <c r="B61" s="137" t="s">
        <v>4837</v>
      </c>
      <c r="C61" s="9" t="s">
        <v>4952</v>
      </c>
      <c r="D61" s="137" t="s">
        <v>4953</v>
      </c>
      <c r="E61" s="109" t="s">
        <v>15</v>
      </c>
      <c r="F61" s="109">
        <v>2020</v>
      </c>
      <c r="G61" s="137" t="s">
        <v>2480</v>
      </c>
      <c r="H61" s="137">
        <v>200</v>
      </c>
      <c r="I61" s="137">
        <v>200</v>
      </c>
      <c r="J61" s="109"/>
      <c r="K61" s="94"/>
      <c r="L61" s="105">
        <v>20201118</v>
      </c>
    </row>
    <row r="62" s="113" customFormat="1" ht="15" customHeight="1" spans="1:12">
      <c r="A62" s="137">
        <v>60</v>
      </c>
      <c r="B62" s="137" t="s">
        <v>4837</v>
      </c>
      <c r="C62" s="9" t="s">
        <v>4954</v>
      </c>
      <c r="D62" s="137" t="s">
        <v>4955</v>
      </c>
      <c r="E62" s="109" t="s">
        <v>15</v>
      </c>
      <c r="F62" s="109">
        <v>2020</v>
      </c>
      <c r="G62" s="137" t="s">
        <v>2480</v>
      </c>
      <c r="H62" s="137">
        <v>200</v>
      </c>
      <c r="I62" s="137">
        <v>200</v>
      </c>
      <c r="J62" s="109"/>
      <c r="K62" s="94"/>
      <c r="L62" s="105">
        <v>20201118</v>
      </c>
    </row>
    <row r="63" s="113" customFormat="1" ht="15" customHeight="1" spans="1:12">
      <c r="A63" s="137">
        <v>61</v>
      </c>
      <c r="B63" s="137" t="s">
        <v>4837</v>
      </c>
      <c r="C63" s="9" t="s">
        <v>3565</v>
      </c>
      <c r="D63" s="137" t="s">
        <v>4956</v>
      </c>
      <c r="E63" s="109" t="s">
        <v>15</v>
      </c>
      <c r="F63" s="109">
        <v>2020</v>
      </c>
      <c r="G63" s="137" t="s">
        <v>2480</v>
      </c>
      <c r="H63" s="137">
        <v>200</v>
      </c>
      <c r="I63" s="137">
        <v>200</v>
      </c>
      <c r="J63" s="109"/>
      <c r="K63" s="94"/>
      <c r="L63" s="105">
        <v>20201118</v>
      </c>
    </row>
    <row r="64" s="113" customFormat="1" ht="15" customHeight="1" spans="1:12">
      <c r="A64" s="137">
        <v>62</v>
      </c>
      <c r="B64" s="137" t="s">
        <v>4837</v>
      </c>
      <c r="C64" s="9" t="s">
        <v>4957</v>
      </c>
      <c r="D64" s="137" t="s">
        <v>4958</v>
      </c>
      <c r="E64" s="109" t="s">
        <v>15</v>
      </c>
      <c r="F64" s="109">
        <v>2020</v>
      </c>
      <c r="G64" s="137" t="s">
        <v>2480</v>
      </c>
      <c r="H64" s="137">
        <v>200</v>
      </c>
      <c r="I64" s="137">
        <v>200</v>
      </c>
      <c r="J64" s="109"/>
      <c r="K64" s="94"/>
      <c r="L64" s="105">
        <v>20201118</v>
      </c>
    </row>
    <row r="65" s="113" customFormat="1" ht="15" customHeight="1" spans="1:12">
      <c r="A65" s="137">
        <v>63</v>
      </c>
      <c r="B65" s="137" t="s">
        <v>4837</v>
      </c>
      <c r="C65" s="9" t="s">
        <v>4959</v>
      </c>
      <c r="D65" s="137" t="s">
        <v>4960</v>
      </c>
      <c r="E65" s="109" t="s">
        <v>15</v>
      </c>
      <c r="F65" s="109">
        <v>2020</v>
      </c>
      <c r="G65" s="137" t="s">
        <v>2480</v>
      </c>
      <c r="H65" s="137">
        <v>200</v>
      </c>
      <c r="I65" s="137">
        <v>200</v>
      </c>
      <c r="J65" s="109"/>
      <c r="K65" s="94"/>
      <c r="L65" s="105">
        <v>20201118</v>
      </c>
    </row>
    <row r="66" s="113" customFormat="1" ht="15" customHeight="1" spans="1:12">
      <c r="A66" s="137">
        <v>64</v>
      </c>
      <c r="B66" s="137" t="s">
        <v>4837</v>
      </c>
      <c r="C66" s="9" t="s">
        <v>4961</v>
      </c>
      <c r="D66" s="137" t="s">
        <v>4962</v>
      </c>
      <c r="E66" s="109" t="s">
        <v>15</v>
      </c>
      <c r="F66" s="109">
        <v>2020</v>
      </c>
      <c r="G66" s="137" t="s">
        <v>2480</v>
      </c>
      <c r="H66" s="137">
        <v>200</v>
      </c>
      <c r="I66" s="137">
        <v>200</v>
      </c>
      <c r="J66" s="109"/>
      <c r="K66" s="94"/>
      <c r="L66" s="105">
        <v>20201118</v>
      </c>
    </row>
    <row r="67" s="113" customFormat="1" ht="15" customHeight="1" spans="1:12">
      <c r="A67" s="137">
        <v>65</v>
      </c>
      <c r="B67" s="137" t="s">
        <v>4837</v>
      </c>
      <c r="C67" s="9" t="s">
        <v>4963</v>
      </c>
      <c r="D67" s="137" t="s">
        <v>4964</v>
      </c>
      <c r="E67" s="109" t="s">
        <v>15</v>
      </c>
      <c r="F67" s="109">
        <v>2020</v>
      </c>
      <c r="G67" s="137" t="s">
        <v>2480</v>
      </c>
      <c r="H67" s="137">
        <v>200</v>
      </c>
      <c r="I67" s="137">
        <v>200</v>
      </c>
      <c r="J67" s="109"/>
      <c r="K67" s="94"/>
      <c r="L67" s="105">
        <v>20201118</v>
      </c>
    </row>
    <row r="68" s="113" customFormat="1" ht="15" customHeight="1" spans="1:12">
      <c r="A68" s="137">
        <v>66</v>
      </c>
      <c r="B68" s="137" t="s">
        <v>4837</v>
      </c>
      <c r="C68" s="9" t="s">
        <v>4965</v>
      </c>
      <c r="D68" s="137" t="s">
        <v>4966</v>
      </c>
      <c r="E68" s="109" t="s">
        <v>15</v>
      </c>
      <c r="F68" s="109">
        <v>2020</v>
      </c>
      <c r="G68" s="137" t="s">
        <v>2480</v>
      </c>
      <c r="H68" s="137">
        <v>200</v>
      </c>
      <c r="I68" s="137">
        <v>200</v>
      </c>
      <c r="J68" s="109"/>
      <c r="K68" s="94"/>
      <c r="L68" s="105">
        <v>20201118</v>
      </c>
    </row>
    <row r="69" s="113" customFormat="1" ht="15" customHeight="1" spans="1:12">
      <c r="A69" s="137">
        <v>67</v>
      </c>
      <c r="B69" s="137" t="s">
        <v>4837</v>
      </c>
      <c r="C69" s="9" t="s">
        <v>4967</v>
      </c>
      <c r="D69" s="137" t="s">
        <v>4968</v>
      </c>
      <c r="E69" s="109" t="s">
        <v>15</v>
      </c>
      <c r="F69" s="109">
        <v>2020</v>
      </c>
      <c r="G69" s="137" t="s">
        <v>2480</v>
      </c>
      <c r="H69" s="137">
        <v>200</v>
      </c>
      <c r="I69" s="137">
        <v>200</v>
      </c>
      <c r="J69" s="109" t="s">
        <v>768</v>
      </c>
      <c r="K69" s="94"/>
      <c r="L69" s="105">
        <v>20201118</v>
      </c>
    </row>
    <row r="70" s="113" customFormat="1" ht="15" customHeight="1" spans="1:12">
      <c r="A70" s="137">
        <v>68</v>
      </c>
      <c r="B70" s="137" t="s">
        <v>4837</v>
      </c>
      <c r="C70" s="9" t="s">
        <v>4969</v>
      </c>
      <c r="D70" s="137" t="s">
        <v>4970</v>
      </c>
      <c r="E70" s="109" t="s">
        <v>15</v>
      </c>
      <c r="F70" s="109">
        <v>2020</v>
      </c>
      <c r="G70" s="137" t="s">
        <v>2480</v>
      </c>
      <c r="H70" s="137">
        <v>200</v>
      </c>
      <c r="I70" s="137">
        <v>200</v>
      </c>
      <c r="J70" s="109"/>
      <c r="K70" s="94"/>
      <c r="L70" s="105">
        <v>20201118</v>
      </c>
    </row>
    <row r="71" s="113" customFormat="1" ht="15" customHeight="1" spans="1:12">
      <c r="A71" s="137">
        <v>69</v>
      </c>
      <c r="B71" s="137" t="s">
        <v>4837</v>
      </c>
      <c r="C71" s="9" t="s">
        <v>4971</v>
      </c>
      <c r="D71" s="137" t="s">
        <v>4972</v>
      </c>
      <c r="E71" s="109" t="s">
        <v>15</v>
      </c>
      <c r="F71" s="109">
        <v>2020</v>
      </c>
      <c r="G71" s="137" t="s">
        <v>2480</v>
      </c>
      <c r="H71" s="137">
        <v>200</v>
      </c>
      <c r="I71" s="137">
        <v>200</v>
      </c>
      <c r="J71" s="109"/>
      <c r="K71" s="94"/>
      <c r="L71" s="105">
        <v>20201118</v>
      </c>
    </row>
    <row r="72" s="113" customFormat="1" ht="15" customHeight="1" spans="1:12">
      <c r="A72" s="137">
        <v>70</v>
      </c>
      <c r="B72" s="137" t="s">
        <v>4837</v>
      </c>
      <c r="C72" s="9" t="s">
        <v>4973</v>
      </c>
      <c r="D72" s="137" t="s">
        <v>4974</v>
      </c>
      <c r="E72" s="109" t="s">
        <v>15</v>
      </c>
      <c r="F72" s="109">
        <v>2020</v>
      </c>
      <c r="G72" s="137" t="s">
        <v>2480</v>
      </c>
      <c r="H72" s="137">
        <v>200</v>
      </c>
      <c r="I72" s="137">
        <v>200</v>
      </c>
      <c r="J72" s="109"/>
      <c r="K72" s="94"/>
      <c r="L72" s="105">
        <v>20201118</v>
      </c>
    </row>
    <row r="73" s="113" customFormat="1" ht="15" customHeight="1" spans="1:12">
      <c r="A73" s="137">
        <v>71</v>
      </c>
      <c r="B73" s="137" t="s">
        <v>4837</v>
      </c>
      <c r="C73" s="9" t="s">
        <v>4975</v>
      </c>
      <c r="D73" s="137" t="s">
        <v>4976</v>
      </c>
      <c r="E73" s="109" t="s">
        <v>15</v>
      </c>
      <c r="F73" s="109">
        <v>2020</v>
      </c>
      <c r="G73" s="137" t="s">
        <v>2480</v>
      </c>
      <c r="H73" s="137">
        <v>200</v>
      </c>
      <c r="I73" s="137">
        <v>200</v>
      </c>
      <c r="J73" s="109"/>
      <c r="K73" s="94"/>
      <c r="L73" s="105">
        <v>20201118</v>
      </c>
    </row>
    <row r="74" s="113" customFormat="1" ht="15" customHeight="1" spans="1:12">
      <c r="A74" s="137">
        <v>72</v>
      </c>
      <c r="B74" s="137" t="s">
        <v>4837</v>
      </c>
      <c r="C74" s="9" t="s">
        <v>4977</v>
      </c>
      <c r="D74" s="137" t="s">
        <v>4978</v>
      </c>
      <c r="E74" s="109" t="s">
        <v>15</v>
      </c>
      <c r="F74" s="109">
        <v>2020</v>
      </c>
      <c r="G74" s="137" t="s">
        <v>2480</v>
      </c>
      <c r="H74" s="137">
        <v>200</v>
      </c>
      <c r="I74" s="137">
        <v>200</v>
      </c>
      <c r="J74" s="109"/>
      <c r="K74" s="94"/>
      <c r="L74" s="105">
        <v>20201118</v>
      </c>
    </row>
    <row r="75" s="113" customFormat="1" ht="15" customHeight="1" spans="1:12">
      <c r="A75" s="137">
        <v>73</v>
      </c>
      <c r="B75" s="137" t="s">
        <v>4837</v>
      </c>
      <c r="C75" s="9" t="s">
        <v>4979</v>
      </c>
      <c r="D75" s="137" t="s">
        <v>4980</v>
      </c>
      <c r="E75" s="109" t="s">
        <v>15</v>
      </c>
      <c r="F75" s="109">
        <v>2020</v>
      </c>
      <c r="G75" s="137" t="s">
        <v>2480</v>
      </c>
      <c r="H75" s="137">
        <v>200</v>
      </c>
      <c r="I75" s="137">
        <v>200</v>
      </c>
      <c r="J75" s="109"/>
      <c r="K75" s="94"/>
      <c r="L75" s="105">
        <v>20201118</v>
      </c>
    </row>
    <row r="76" s="113" customFormat="1" ht="15" customHeight="1" spans="1:12">
      <c r="A76" s="137">
        <v>74</v>
      </c>
      <c r="B76" s="137" t="s">
        <v>4837</v>
      </c>
      <c r="C76" s="9" t="s">
        <v>4981</v>
      </c>
      <c r="D76" s="137" t="s">
        <v>4982</v>
      </c>
      <c r="E76" s="109" t="s">
        <v>15</v>
      </c>
      <c r="F76" s="109">
        <v>2020</v>
      </c>
      <c r="G76" s="137" t="s">
        <v>2480</v>
      </c>
      <c r="H76" s="137">
        <v>200</v>
      </c>
      <c r="I76" s="137">
        <v>200</v>
      </c>
      <c r="J76" s="109"/>
      <c r="K76" s="94"/>
      <c r="L76" s="105">
        <v>20201118</v>
      </c>
    </row>
    <row r="77" s="113" customFormat="1" ht="15" customHeight="1" spans="1:12">
      <c r="A77" s="137">
        <v>75</v>
      </c>
      <c r="B77" s="137" t="s">
        <v>4837</v>
      </c>
      <c r="C77" s="9" t="s">
        <v>4983</v>
      </c>
      <c r="D77" s="137" t="s">
        <v>4984</v>
      </c>
      <c r="E77" s="109" t="s">
        <v>15</v>
      </c>
      <c r="F77" s="109">
        <v>2020</v>
      </c>
      <c r="G77" s="137" t="s">
        <v>2480</v>
      </c>
      <c r="H77" s="137">
        <v>200</v>
      </c>
      <c r="I77" s="137">
        <v>200</v>
      </c>
      <c r="J77" s="109"/>
      <c r="K77" s="94"/>
      <c r="L77" s="105">
        <v>20201118</v>
      </c>
    </row>
    <row r="78" s="113" customFormat="1" ht="15" customHeight="1" spans="1:12">
      <c r="A78" s="137">
        <v>76</v>
      </c>
      <c r="B78" s="137" t="s">
        <v>4837</v>
      </c>
      <c r="C78" s="9" t="s">
        <v>4985</v>
      </c>
      <c r="D78" s="137" t="s">
        <v>4986</v>
      </c>
      <c r="E78" s="109" t="s">
        <v>15</v>
      </c>
      <c r="F78" s="109">
        <v>2020</v>
      </c>
      <c r="G78" s="137" t="s">
        <v>2480</v>
      </c>
      <c r="H78" s="137">
        <v>200</v>
      </c>
      <c r="I78" s="137">
        <v>200</v>
      </c>
      <c r="J78" s="109"/>
      <c r="K78" s="94"/>
      <c r="L78" s="105">
        <v>20201118</v>
      </c>
    </row>
    <row r="79" s="113" customFormat="1" ht="15" customHeight="1" spans="1:12">
      <c r="A79" s="137">
        <v>77</v>
      </c>
      <c r="B79" s="137" t="s">
        <v>4837</v>
      </c>
      <c r="C79" s="9" t="s">
        <v>4987</v>
      </c>
      <c r="D79" s="137" t="s">
        <v>4988</v>
      </c>
      <c r="E79" s="109" t="s">
        <v>15</v>
      </c>
      <c r="F79" s="109">
        <v>2020</v>
      </c>
      <c r="G79" s="137" t="s">
        <v>2480</v>
      </c>
      <c r="H79" s="137">
        <v>500</v>
      </c>
      <c r="I79" s="137">
        <v>500</v>
      </c>
      <c r="J79" s="109"/>
      <c r="K79" s="94"/>
      <c r="L79" s="105">
        <v>20201118</v>
      </c>
    </row>
    <row r="80" s="113" customFormat="1" ht="15" customHeight="1" spans="1:12">
      <c r="A80" s="137">
        <v>78</v>
      </c>
      <c r="B80" s="137" t="s">
        <v>4837</v>
      </c>
      <c r="C80" s="9" t="s">
        <v>4989</v>
      </c>
      <c r="D80" s="137" t="s">
        <v>4990</v>
      </c>
      <c r="E80" s="109" t="s">
        <v>15</v>
      </c>
      <c r="F80" s="109">
        <v>2020</v>
      </c>
      <c r="G80" s="137" t="s">
        <v>2480</v>
      </c>
      <c r="H80" s="137">
        <v>200</v>
      </c>
      <c r="I80" s="137">
        <v>200</v>
      </c>
      <c r="J80" s="109"/>
      <c r="K80" s="94"/>
      <c r="L80" s="105">
        <v>20201118</v>
      </c>
    </row>
    <row r="81" s="113" customFormat="1" ht="15" customHeight="1" spans="1:12">
      <c r="A81" s="137">
        <v>79</v>
      </c>
      <c r="B81" s="137" t="s">
        <v>4837</v>
      </c>
      <c r="C81" s="9" t="s">
        <v>4991</v>
      </c>
      <c r="D81" s="137" t="s">
        <v>4992</v>
      </c>
      <c r="E81" s="109" t="s">
        <v>15</v>
      </c>
      <c r="F81" s="109">
        <v>2020</v>
      </c>
      <c r="G81" s="137" t="s">
        <v>2480</v>
      </c>
      <c r="H81" s="137">
        <v>200</v>
      </c>
      <c r="I81" s="137">
        <v>200</v>
      </c>
      <c r="J81" s="109" t="s">
        <v>768</v>
      </c>
      <c r="K81" s="94"/>
      <c r="L81" s="105">
        <v>20201118</v>
      </c>
    </row>
    <row r="82" s="113" customFormat="1" ht="15" customHeight="1" spans="1:12">
      <c r="A82" s="137">
        <v>80</v>
      </c>
      <c r="B82" s="137" t="s">
        <v>4837</v>
      </c>
      <c r="C82" s="9" t="s">
        <v>4993</v>
      </c>
      <c r="D82" s="137" t="s">
        <v>4994</v>
      </c>
      <c r="E82" s="109" t="s">
        <v>15</v>
      </c>
      <c r="F82" s="109">
        <v>2020</v>
      </c>
      <c r="G82" s="137" t="s">
        <v>2480</v>
      </c>
      <c r="H82" s="137">
        <v>200</v>
      </c>
      <c r="I82" s="137">
        <v>200</v>
      </c>
      <c r="J82" s="109" t="s">
        <v>108</v>
      </c>
      <c r="K82" s="94"/>
      <c r="L82" s="105">
        <v>20201118</v>
      </c>
    </row>
    <row r="83" s="113" customFormat="1" ht="15" customHeight="1" spans="1:12">
      <c r="A83" s="137">
        <v>81</v>
      </c>
      <c r="B83" s="137" t="s">
        <v>4837</v>
      </c>
      <c r="C83" s="9" t="s">
        <v>4995</v>
      </c>
      <c r="D83" s="137" t="s">
        <v>4996</v>
      </c>
      <c r="E83" s="109" t="s">
        <v>15</v>
      </c>
      <c r="F83" s="109">
        <v>2020</v>
      </c>
      <c r="G83" s="137" t="s">
        <v>2480</v>
      </c>
      <c r="H83" s="137">
        <v>200</v>
      </c>
      <c r="I83" s="137">
        <v>200</v>
      </c>
      <c r="J83" s="109"/>
      <c r="K83" s="94"/>
      <c r="L83" s="105">
        <v>20201118</v>
      </c>
    </row>
    <row r="84" s="113" customFormat="1" ht="15" customHeight="1" spans="1:12">
      <c r="A84" s="137">
        <v>82</v>
      </c>
      <c r="B84" s="137" t="s">
        <v>4837</v>
      </c>
      <c r="C84" s="9" t="s">
        <v>4997</v>
      </c>
      <c r="D84" s="137" t="s">
        <v>4998</v>
      </c>
      <c r="E84" s="109" t="s">
        <v>15</v>
      </c>
      <c r="F84" s="109">
        <v>2020</v>
      </c>
      <c r="G84" s="137" t="s">
        <v>2480</v>
      </c>
      <c r="H84" s="137">
        <v>200</v>
      </c>
      <c r="I84" s="137">
        <v>200</v>
      </c>
      <c r="J84" s="109"/>
      <c r="K84" s="94"/>
      <c r="L84" s="105">
        <v>20201118</v>
      </c>
    </row>
    <row r="85" s="113" customFormat="1" ht="15" customHeight="1" spans="1:12">
      <c r="A85" s="137">
        <v>83</v>
      </c>
      <c r="B85" s="137" t="s">
        <v>4837</v>
      </c>
      <c r="C85" s="9" t="s">
        <v>4999</v>
      </c>
      <c r="D85" s="137" t="s">
        <v>5000</v>
      </c>
      <c r="E85" s="109" t="s">
        <v>15</v>
      </c>
      <c r="F85" s="109">
        <v>2020</v>
      </c>
      <c r="G85" s="137" t="s">
        <v>2480</v>
      </c>
      <c r="H85" s="137">
        <v>200</v>
      </c>
      <c r="I85" s="137">
        <v>200</v>
      </c>
      <c r="J85" s="109"/>
      <c r="K85" s="94"/>
      <c r="L85" s="105">
        <v>20201118</v>
      </c>
    </row>
    <row r="86" s="113" customFormat="1" ht="15" customHeight="1" spans="1:12">
      <c r="A86" s="137">
        <v>84</v>
      </c>
      <c r="B86" s="137" t="s">
        <v>4837</v>
      </c>
      <c r="C86" s="9" t="s">
        <v>5001</v>
      </c>
      <c r="D86" s="137" t="s">
        <v>5002</v>
      </c>
      <c r="E86" s="109" t="s">
        <v>15</v>
      </c>
      <c r="F86" s="109">
        <v>2020</v>
      </c>
      <c r="G86" s="137" t="s">
        <v>2480</v>
      </c>
      <c r="H86" s="137">
        <v>200</v>
      </c>
      <c r="I86" s="137">
        <v>200</v>
      </c>
      <c r="J86" s="109"/>
      <c r="K86" s="94"/>
      <c r="L86" s="105">
        <v>20201118</v>
      </c>
    </row>
    <row r="87" s="113" customFormat="1" ht="15" customHeight="1" spans="1:12">
      <c r="A87" s="137">
        <v>85</v>
      </c>
      <c r="B87" s="137" t="s">
        <v>4837</v>
      </c>
      <c r="C87" s="9" t="s">
        <v>5003</v>
      </c>
      <c r="D87" s="137" t="s">
        <v>5004</v>
      </c>
      <c r="E87" s="109" t="s">
        <v>15</v>
      </c>
      <c r="F87" s="109">
        <v>2020</v>
      </c>
      <c r="G87" s="137" t="s">
        <v>2480</v>
      </c>
      <c r="H87" s="137">
        <v>200</v>
      </c>
      <c r="I87" s="137">
        <v>200</v>
      </c>
      <c r="J87" s="109"/>
      <c r="K87" s="94"/>
      <c r="L87" s="105">
        <v>20201118</v>
      </c>
    </row>
    <row r="88" s="113" customFormat="1" ht="15" customHeight="1" spans="1:12">
      <c r="A88" s="137">
        <v>86</v>
      </c>
      <c r="B88" s="137" t="s">
        <v>4837</v>
      </c>
      <c r="C88" s="9" t="s">
        <v>5005</v>
      </c>
      <c r="D88" s="137" t="s">
        <v>5006</v>
      </c>
      <c r="E88" s="109" t="s">
        <v>15</v>
      </c>
      <c r="F88" s="109">
        <v>2020</v>
      </c>
      <c r="G88" s="137" t="s">
        <v>2480</v>
      </c>
      <c r="H88" s="137">
        <v>200</v>
      </c>
      <c r="I88" s="137">
        <v>200</v>
      </c>
      <c r="J88" s="109"/>
      <c r="K88" s="94"/>
      <c r="L88" s="105">
        <v>20201118</v>
      </c>
    </row>
    <row r="89" s="113" customFormat="1" ht="15" customHeight="1" spans="1:12">
      <c r="A89" s="137">
        <v>87</v>
      </c>
      <c r="B89" s="137" t="s">
        <v>4837</v>
      </c>
      <c r="C89" s="9" t="s">
        <v>5007</v>
      </c>
      <c r="D89" s="137" t="s">
        <v>5008</v>
      </c>
      <c r="E89" s="109" t="s">
        <v>15</v>
      </c>
      <c r="F89" s="109">
        <v>2020</v>
      </c>
      <c r="G89" s="137" t="s">
        <v>2480</v>
      </c>
      <c r="H89" s="137">
        <v>200</v>
      </c>
      <c r="I89" s="137">
        <v>200</v>
      </c>
      <c r="J89" s="109"/>
      <c r="K89" s="94"/>
      <c r="L89" s="105">
        <v>20201118</v>
      </c>
    </row>
    <row r="90" s="113" customFormat="1" ht="15" customHeight="1" spans="1:12">
      <c r="A90" s="137">
        <v>88</v>
      </c>
      <c r="B90" s="137" t="s">
        <v>4837</v>
      </c>
      <c r="C90" s="9" t="s">
        <v>5009</v>
      </c>
      <c r="D90" s="137" t="s">
        <v>5010</v>
      </c>
      <c r="E90" s="109" t="s">
        <v>15</v>
      </c>
      <c r="F90" s="109">
        <v>2020</v>
      </c>
      <c r="G90" s="137" t="s">
        <v>2480</v>
      </c>
      <c r="H90" s="137">
        <v>200</v>
      </c>
      <c r="I90" s="137">
        <v>200</v>
      </c>
      <c r="J90" s="109"/>
      <c r="K90" s="94"/>
      <c r="L90" s="105">
        <v>20201118</v>
      </c>
    </row>
    <row r="91" s="113" customFormat="1" ht="15" customHeight="1" spans="1:12">
      <c r="A91" s="137">
        <v>89</v>
      </c>
      <c r="B91" s="137" t="s">
        <v>4837</v>
      </c>
      <c r="C91" s="9" t="s">
        <v>5011</v>
      </c>
      <c r="D91" s="137" t="s">
        <v>5012</v>
      </c>
      <c r="E91" s="109" t="s">
        <v>15</v>
      </c>
      <c r="F91" s="109">
        <v>2020</v>
      </c>
      <c r="G91" s="137" t="s">
        <v>2480</v>
      </c>
      <c r="H91" s="137">
        <v>200</v>
      </c>
      <c r="I91" s="137">
        <v>200</v>
      </c>
      <c r="J91" s="109"/>
      <c r="K91" s="94"/>
      <c r="L91" s="105">
        <v>20201118</v>
      </c>
    </row>
    <row r="92" s="113" customFormat="1" ht="15" customHeight="1" spans="1:12">
      <c r="A92" s="137">
        <v>90</v>
      </c>
      <c r="B92" s="137" t="s">
        <v>4837</v>
      </c>
      <c r="C92" s="9" t="s">
        <v>5013</v>
      </c>
      <c r="D92" s="137" t="s">
        <v>5014</v>
      </c>
      <c r="E92" s="109" t="s">
        <v>15</v>
      </c>
      <c r="F92" s="109">
        <v>2020</v>
      </c>
      <c r="G92" s="137" t="s">
        <v>2480</v>
      </c>
      <c r="H92" s="137">
        <v>200</v>
      </c>
      <c r="I92" s="137">
        <v>200</v>
      </c>
      <c r="J92" s="109"/>
      <c r="K92" s="94"/>
      <c r="L92" s="105">
        <v>20201118</v>
      </c>
    </row>
    <row r="93" s="113" customFormat="1" ht="15" customHeight="1" spans="1:12">
      <c r="A93" s="137">
        <v>91</v>
      </c>
      <c r="B93" s="137" t="s">
        <v>4837</v>
      </c>
      <c r="C93" s="9" t="s">
        <v>5015</v>
      </c>
      <c r="D93" s="137" t="s">
        <v>5016</v>
      </c>
      <c r="E93" s="109" t="s">
        <v>15</v>
      </c>
      <c r="F93" s="109">
        <v>2020</v>
      </c>
      <c r="G93" s="137" t="s">
        <v>2480</v>
      </c>
      <c r="H93" s="137">
        <v>200</v>
      </c>
      <c r="I93" s="137">
        <v>200</v>
      </c>
      <c r="J93" s="109"/>
      <c r="K93" s="94"/>
      <c r="L93" s="105">
        <v>20201118</v>
      </c>
    </row>
    <row r="94" s="113" customFormat="1" ht="15" customHeight="1" spans="1:12">
      <c r="A94" s="137">
        <v>92</v>
      </c>
      <c r="B94" s="137" t="s">
        <v>4837</v>
      </c>
      <c r="C94" s="9" t="s">
        <v>1106</v>
      </c>
      <c r="D94" s="137" t="s">
        <v>5017</v>
      </c>
      <c r="E94" s="109" t="s">
        <v>15</v>
      </c>
      <c r="F94" s="109">
        <v>2020</v>
      </c>
      <c r="G94" s="137" t="s">
        <v>2480</v>
      </c>
      <c r="H94" s="137">
        <v>200</v>
      </c>
      <c r="I94" s="137">
        <v>200</v>
      </c>
      <c r="J94" s="109"/>
      <c r="K94" s="94"/>
      <c r="L94" s="105">
        <v>20201118</v>
      </c>
    </row>
    <row r="95" s="113" customFormat="1" ht="15" customHeight="1" spans="1:12">
      <c r="A95" s="137">
        <v>93</v>
      </c>
      <c r="B95" s="137" t="s">
        <v>4837</v>
      </c>
      <c r="C95" s="9" t="s">
        <v>5018</v>
      </c>
      <c r="D95" s="137" t="s">
        <v>5019</v>
      </c>
      <c r="E95" s="109" t="s">
        <v>15</v>
      </c>
      <c r="F95" s="109">
        <v>2020</v>
      </c>
      <c r="G95" s="137" t="s">
        <v>2480</v>
      </c>
      <c r="H95" s="137">
        <v>200</v>
      </c>
      <c r="I95" s="137">
        <v>200</v>
      </c>
      <c r="J95" s="109"/>
      <c r="K95" s="94"/>
      <c r="L95" s="105">
        <v>20201118</v>
      </c>
    </row>
    <row r="96" s="113" customFormat="1" ht="15" customHeight="1" spans="1:12">
      <c r="A96" s="137">
        <v>94</v>
      </c>
      <c r="B96" s="137" t="s">
        <v>4837</v>
      </c>
      <c r="C96" s="9" t="s">
        <v>5020</v>
      </c>
      <c r="D96" s="137" t="s">
        <v>5021</v>
      </c>
      <c r="E96" s="109" t="s">
        <v>15</v>
      </c>
      <c r="F96" s="109">
        <v>2020</v>
      </c>
      <c r="G96" s="137" t="s">
        <v>2480</v>
      </c>
      <c r="H96" s="137">
        <v>500</v>
      </c>
      <c r="I96" s="137">
        <v>500</v>
      </c>
      <c r="J96" s="109"/>
      <c r="K96" s="94"/>
      <c r="L96" s="105">
        <v>20201118</v>
      </c>
    </row>
    <row r="97" s="113" customFormat="1" ht="15" customHeight="1" spans="1:12">
      <c r="A97" s="137">
        <v>95</v>
      </c>
      <c r="B97" s="137" t="s">
        <v>4837</v>
      </c>
      <c r="C97" s="9" t="s">
        <v>5022</v>
      </c>
      <c r="D97" s="137" t="s">
        <v>5023</v>
      </c>
      <c r="E97" s="109" t="s">
        <v>15</v>
      </c>
      <c r="F97" s="109">
        <v>2020</v>
      </c>
      <c r="G97" s="137" t="s">
        <v>2480</v>
      </c>
      <c r="H97" s="137">
        <v>200</v>
      </c>
      <c r="I97" s="137">
        <v>200</v>
      </c>
      <c r="J97" s="109"/>
      <c r="K97" s="94"/>
      <c r="L97" s="105">
        <v>20201118</v>
      </c>
    </row>
    <row r="98" s="113" customFormat="1" ht="15" customHeight="1" spans="1:12">
      <c r="A98" s="137">
        <v>96</v>
      </c>
      <c r="B98" s="137" t="s">
        <v>4837</v>
      </c>
      <c r="C98" s="9" t="s">
        <v>5024</v>
      </c>
      <c r="D98" s="137" t="s">
        <v>5025</v>
      </c>
      <c r="E98" s="109" t="s">
        <v>15</v>
      </c>
      <c r="F98" s="109">
        <v>2020</v>
      </c>
      <c r="G98" s="137" t="s">
        <v>2480</v>
      </c>
      <c r="H98" s="137">
        <v>200</v>
      </c>
      <c r="I98" s="137">
        <v>200</v>
      </c>
      <c r="J98" s="109"/>
      <c r="K98" s="94"/>
      <c r="L98" s="105">
        <v>20201118</v>
      </c>
    </row>
    <row r="99" s="113" customFormat="1" ht="15" customHeight="1" spans="1:12">
      <c r="A99" s="137">
        <v>97</v>
      </c>
      <c r="B99" s="137" t="s">
        <v>4837</v>
      </c>
      <c r="C99" s="9" t="s">
        <v>5026</v>
      </c>
      <c r="D99" s="137" t="s">
        <v>5027</v>
      </c>
      <c r="E99" s="109" t="s">
        <v>15</v>
      </c>
      <c r="F99" s="109">
        <v>2020</v>
      </c>
      <c r="G99" s="137" t="s">
        <v>2480</v>
      </c>
      <c r="H99" s="137">
        <v>200</v>
      </c>
      <c r="I99" s="137">
        <v>200</v>
      </c>
      <c r="J99" s="109"/>
      <c r="K99" s="94"/>
      <c r="L99" s="105">
        <v>20201118</v>
      </c>
    </row>
    <row r="100" s="113" customFormat="1" ht="15" customHeight="1" spans="1:12">
      <c r="A100" s="137">
        <v>98</v>
      </c>
      <c r="B100" s="137" t="s">
        <v>4837</v>
      </c>
      <c r="C100" s="9" t="s">
        <v>5028</v>
      </c>
      <c r="D100" s="137" t="s">
        <v>5029</v>
      </c>
      <c r="E100" s="109" t="s">
        <v>15</v>
      </c>
      <c r="F100" s="109">
        <v>2020</v>
      </c>
      <c r="G100" s="137" t="s">
        <v>2480</v>
      </c>
      <c r="H100" s="137">
        <v>200</v>
      </c>
      <c r="I100" s="137">
        <v>200</v>
      </c>
      <c r="J100" s="109"/>
      <c r="K100" s="94"/>
      <c r="L100" s="105">
        <v>20201118</v>
      </c>
    </row>
    <row r="101" s="113" customFormat="1" ht="15" customHeight="1" spans="1:12">
      <c r="A101" s="137">
        <v>99</v>
      </c>
      <c r="B101" s="137" t="s">
        <v>4837</v>
      </c>
      <c r="C101" s="9" t="s">
        <v>5030</v>
      </c>
      <c r="D101" s="137" t="s">
        <v>5031</v>
      </c>
      <c r="E101" s="109" t="s">
        <v>15</v>
      </c>
      <c r="F101" s="109">
        <v>2020</v>
      </c>
      <c r="G101" s="137" t="s">
        <v>2480</v>
      </c>
      <c r="H101" s="137">
        <v>200</v>
      </c>
      <c r="I101" s="137">
        <v>200</v>
      </c>
      <c r="J101" s="109"/>
      <c r="K101" s="94"/>
      <c r="L101" s="105">
        <v>20201118</v>
      </c>
    </row>
    <row r="102" s="113" customFormat="1" ht="15" customHeight="1" spans="1:12">
      <c r="A102" s="137">
        <v>100</v>
      </c>
      <c r="B102" s="137" t="s">
        <v>4837</v>
      </c>
      <c r="C102" s="9" t="s">
        <v>5032</v>
      </c>
      <c r="D102" s="137" t="s">
        <v>5033</v>
      </c>
      <c r="E102" s="109" t="s">
        <v>15</v>
      </c>
      <c r="F102" s="109">
        <v>2020</v>
      </c>
      <c r="G102" s="137" t="s">
        <v>2480</v>
      </c>
      <c r="H102" s="137">
        <v>200</v>
      </c>
      <c r="I102" s="137">
        <v>200</v>
      </c>
      <c r="J102" s="109"/>
      <c r="K102" s="94"/>
      <c r="L102" s="105">
        <v>20201118</v>
      </c>
    </row>
    <row r="103" s="113" customFormat="1" ht="15" customHeight="1" spans="1:12">
      <c r="A103" s="137">
        <v>101</v>
      </c>
      <c r="B103" s="137" t="s">
        <v>4837</v>
      </c>
      <c r="C103" s="9" t="s">
        <v>5034</v>
      </c>
      <c r="D103" s="137" t="s">
        <v>5035</v>
      </c>
      <c r="E103" s="109" t="s">
        <v>15</v>
      </c>
      <c r="F103" s="109">
        <v>2020</v>
      </c>
      <c r="G103" s="137" t="s">
        <v>2480</v>
      </c>
      <c r="H103" s="137">
        <v>200</v>
      </c>
      <c r="I103" s="137">
        <v>200</v>
      </c>
      <c r="J103" s="109"/>
      <c r="K103" s="94"/>
      <c r="L103" s="105">
        <v>20201118</v>
      </c>
    </row>
    <row r="104" s="113" customFormat="1" ht="15" customHeight="1" spans="1:12">
      <c r="A104" s="137">
        <v>102</v>
      </c>
      <c r="B104" s="137" t="s">
        <v>4837</v>
      </c>
      <c r="C104" s="9" t="s">
        <v>5036</v>
      </c>
      <c r="D104" s="137" t="s">
        <v>5037</v>
      </c>
      <c r="E104" s="109" t="s">
        <v>15</v>
      </c>
      <c r="F104" s="109">
        <v>2020</v>
      </c>
      <c r="G104" s="137" t="s">
        <v>2480</v>
      </c>
      <c r="H104" s="137">
        <v>200</v>
      </c>
      <c r="I104" s="137">
        <v>200</v>
      </c>
      <c r="J104" s="109"/>
      <c r="K104" s="94"/>
      <c r="L104" s="105">
        <v>20201118</v>
      </c>
    </row>
    <row r="105" s="113" customFormat="1" ht="15" customHeight="1" spans="1:12">
      <c r="A105" s="137">
        <v>103</v>
      </c>
      <c r="B105" s="137" t="s">
        <v>4837</v>
      </c>
      <c r="C105" s="9" t="s">
        <v>5038</v>
      </c>
      <c r="D105" s="137" t="s">
        <v>5039</v>
      </c>
      <c r="E105" s="109" t="s">
        <v>15</v>
      </c>
      <c r="F105" s="109">
        <v>2020</v>
      </c>
      <c r="G105" s="137" t="s">
        <v>2480</v>
      </c>
      <c r="H105" s="137">
        <v>200</v>
      </c>
      <c r="I105" s="137">
        <v>200</v>
      </c>
      <c r="J105" s="109"/>
      <c r="K105" s="94"/>
      <c r="L105" s="105">
        <v>20201118</v>
      </c>
    </row>
    <row r="106" s="113" customFormat="1" ht="15" customHeight="1" spans="1:12">
      <c r="A106" s="137">
        <v>104</v>
      </c>
      <c r="B106" s="137" t="s">
        <v>4837</v>
      </c>
      <c r="C106" s="9" t="s">
        <v>5040</v>
      </c>
      <c r="D106" s="137" t="s">
        <v>5041</v>
      </c>
      <c r="E106" s="109" t="s">
        <v>15</v>
      </c>
      <c r="F106" s="109">
        <v>2020</v>
      </c>
      <c r="G106" s="137" t="s">
        <v>2480</v>
      </c>
      <c r="H106" s="137">
        <v>200</v>
      </c>
      <c r="I106" s="137">
        <v>200</v>
      </c>
      <c r="J106" s="109"/>
      <c r="K106" s="94"/>
      <c r="L106" s="105">
        <v>20201118</v>
      </c>
    </row>
    <row r="107" s="113" customFormat="1" ht="15" customHeight="1" spans="1:12">
      <c r="A107" s="137">
        <v>105</v>
      </c>
      <c r="B107" s="137" t="s">
        <v>4837</v>
      </c>
      <c r="C107" s="9" t="s">
        <v>5042</v>
      </c>
      <c r="D107" s="137" t="s">
        <v>5043</v>
      </c>
      <c r="E107" s="109" t="s">
        <v>15</v>
      </c>
      <c r="F107" s="109">
        <v>2020</v>
      </c>
      <c r="G107" s="137" t="s">
        <v>2480</v>
      </c>
      <c r="H107" s="137">
        <v>500</v>
      </c>
      <c r="I107" s="137">
        <v>500</v>
      </c>
      <c r="J107" s="109"/>
      <c r="K107" s="94"/>
      <c r="L107" s="105">
        <v>20201118</v>
      </c>
    </row>
    <row r="108" s="113" customFormat="1" ht="15" customHeight="1" spans="1:12">
      <c r="A108" s="137">
        <v>106</v>
      </c>
      <c r="B108" s="137" t="s">
        <v>4837</v>
      </c>
      <c r="C108" s="9" t="s">
        <v>5044</v>
      </c>
      <c r="D108" s="137" t="s">
        <v>5045</v>
      </c>
      <c r="E108" s="109" t="s">
        <v>15</v>
      </c>
      <c r="F108" s="109">
        <v>2020</v>
      </c>
      <c r="G108" s="137" t="s">
        <v>2480</v>
      </c>
      <c r="H108" s="137">
        <v>200</v>
      </c>
      <c r="I108" s="137">
        <v>200</v>
      </c>
      <c r="J108" s="109"/>
      <c r="K108" s="94"/>
      <c r="L108" s="105">
        <v>20201118</v>
      </c>
    </row>
    <row r="109" s="113" customFormat="1" ht="15" customHeight="1" spans="1:12">
      <c r="A109" s="137">
        <v>107</v>
      </c>
      <c r="B109" s="137" t="s">
        <v>4837</v>
      </c>
      <c r="C109" s="9" t="s">
        <v>5046</v>
      </c>
      <c r="D109" s="137" t="s">
        <v>5047</v>
      </c>
      <c r="E109" s="109" t="s">
        <v>15</v>
      </c>
      <c r="F109" s="109">
        <v>2020</v>
      </c>
      <c r="G109" s="137" t="s">
        <v>2480</v>
      </c>
      <c r="H109" s="137">
        <v>200</v>
      </c>
      <c r="I109" s="137">
        <v>200</v>
      </c>
      <c r="J109" s="109"/>
      <c r="K109" s="94"/>
      <c r="L109" s="105">
        <v>20201118</v>
      </c>
    </row>
    <row r="110" s="113" customFormat="1" ht="15" customHeight="1" spans="1:12">
      <c r="A110" s="137">
        <v>108</v>
      </c>
      <c r="B110" s="137" t="s">
        <v>4837</v>
      </c>
      <c r="C110" s="9" t="s">
        <v>5048</v>
      </c>
      <c r="D110" s="137" t="s">
        <v>5049</v>
      </c>
      <c r="E110" s="109" t="s">
        <v>15</v>
      </c>
      <c r="F110" s="109">
        <v>2020</v>
      </c>
      <c r="G110" s="137" t="s">
        <v>2480</v>
      </c>
      <c r="H110" s="137">
        <v>200</v>
      </c>
      <c r="I110" s="137">
        <v>200</v>
      </c>
      <c r="J110" s="109"/>
      <c r="K110" s="94"/>
      <c r="L110" s="105">
        <v>20201118</v>
      </c>
    </row>
    <row r="111" s="113" customFormat="1" ht="15" customHeight="1" spans="1:12">
      <c r="A111" s="137">
        <v>109</v>
      </c>
      <c r="B111" s="137" t="s">
        <v>4837</v>
      </c>
      <c r="C111" s="9" t="s">
        <v>5050</v>
      </c>
      <c r="D111" s="137" t="s">
        <v>5051</v>
      </c>
      <c r="E111" s="109" t="s">
        <v>15</v>
      </c>
      <c r="F111" s="109">
        <v>2020</v>
      </c>
      <c r="G111" s="137" t="s">
        <v>2480</v>
      </c>
      <c r="H111" s="137">
        <v>200</v>
      </c>
      <c r="I111" s="137">
        <v>200</v>
      </c>
      <c r="J111" s="109"/>
      <c r="K111" s="94"/>
      <c r="L111" s="105">
        <v>20201118</v>
      </c>
    </row>
    <row r="112" s="113" customFormat="1" ht="15" customHeight="1" spans="1:12">
      <c r="A112" s="137">
        <v>110</v>
      </c>
      <c r="B112" s="137" t="s">
        <v>4837</v>
      </c>
      <c r="C112" s="9" t="s">
        <v>5052</v>
      </c>
      <c r="D112" s="137" t="s">
        <v>5053</v>
      </c>
      <c r="E112" s="109" t="s">
        <v>15</v>
      </c>
      <c r="F112" s="109">
        <v>2020</v>
      </c>
      <c r="G112" s="137" t="s">
        <v>2480</v>
      </c>
      <c r="H112" s="137">
        <v>200</v>
      </c>
      <c r="I112" s="137">
        <v>200</v>
      </c>
      <c r="J112" s="109"/>
      <c r="K112" s="94"/>
      <c r="L112" s="105">
        <v>20201118</v>
      </c>
    </row>
    <row r="113" s="113" customFormat="1" ht="15" customHeight="1" spans="1:12">
      <c r="A113" s="137">
        <v>111</v>
      </c>
      <c r="B113" s="137" t="s">
        <v>4837</v>
      </c>
      <c r="C113" s="9" t="s">
        <v>5054</v>
      </c>
      <c r="D113" s="137" t="s">
        <v>5055</v>
      </c>
      <c r="E113" s="109" t="s">
        <v>15</v>
      </c>
      <c r="F113" s="109">
        <v>2020</v>
      </c>
      <c r="G113" s="137" t="s">
        <v>2480</v>
      </c>
      <c r="H113" s="137">
        <v>200</v>
      </c>
      <c r="I113" s="137">
        <v>200</v>
      </c>
      <c r="J113" s="109"/>
      <c r="K113" s="94"/>
      <c r="L113" s="105">
        <v>20201118</v>
      </c>
    </row>
    <row r="114" s="113" customFormat="1" ht="15" customHeight="1" spans="1:12">
      <c r="A114" s="137">
        <v>112</v>
      </c>
      <c r="B114" s="137" t="s">
        <v>4837</v>
      </c>
      <c r="C114" s="9" t="s">
        <v>5056</v>
      </c>
      <c r="D114" s="137" t="s">
        <v>5057</v>
      </c>
      <c r="E114" s="109" t="s">
        <v>15</v>
      </c>
      <c r="F114" s="109">
        <v>2020</v>
      </c>
      <c r="G114" s="137" t="s">
        <v>2480</v>
      </c>
      <c r="H114" s="137">
        <v>200</v>
      </c>
      <c r="I114" s="137">
        <v>200</v>
      </c>
      <c r="J114" s="109"/>
      <c r="K114" s="94"/>
      <c r="L114" s="105">
        <v>20201118</v>
      </c>
    </row>
    <row r="115" s="113" customFormat="1" ht="15" customHeight="1" spans="1:12">
      <c r="A115" s="137">
        <v>113</v>
      </c>
      <c r="B115" s="137" t="s">
        <v>4837</v>
      </c>
      <c r="C115" s="9" t="s">
        <v>5058</v>
      </c>
      <c r="D115" s="137" t="s">
        <v>5059</v>
      </c>
      <c r="E115" s="109" t="s">
        <v>15</v>
      </c>
      <c r="F115" s="109">
        <v>2020</v>
      </c>
      <c r="G115" s="137" t="s">
        <v>2480</v>
      </c>
      <c r="H115" s="137">
        <v>200</v>
      </c>
      <c r="I115" s="137">
        <v>200</v>
      </c>
      <c r="J115" s="109"/>
      <c r="K115" s="94"/>
      <c r="L115" s="105">
        <v>20201118</v>
      </c>
    </row>
    <row r="116" s="113" customFormat="1" ht="15" customHeight="1" spans="1:12">
      <c r="A116" s="137">
        <v>114</v>
      </c>
      <c r="B116" s="137" t="s">
        <v>4837</v>
      </c>
      <c r="C116" s="9" t="s">
        <v>5060</v>
      </c>
      <c r="D116" s="137" t="s">
        <v>5061</v>
      </c>
      <c r="E116" s="109" t="s">
        <v>15</v>
      </c>
      <c r="F116" s="109">
        <v>2020</v>
      </c>
      <c r="G116" s="137" t="s">
        <v>2480</v>
      </c>
      <c r="H116" s="137">
        <v>200</v>
      </c>
      <c r="I116" s="137">
        <v>200</v>
      </c>
      <c r="J116" s="109"/>
      <c r="K116" s="94"/>
      <c r="L116" s="105">
        <v>20201118</v>
      </c>
    </row>
    <row r="117" s="113" customFormat="1" ht="15" customHeight="1" spans="1:12">
      <c r="A117" s="137">
        <v>115</v>
      </c>
      <c r="B117" s="137" t="s">
        <v>4837</v>
      </c>
      <c r="C117" s="9" t="s">
        <v>5062</v>
      </c>
      <c r="D117" s="137" t="s">
        <v>5063</v>
      </c>
      <c r="E117" s="109" t="s">
        <v>15</v>
      </c>
      <c r="F117" s="109">
        <v>2020</v>
      </c>
      <c r="G117" s="137" t="s">
        <v>2480</v>
      </c>
      <c r="H117" s="137">
        <v>200</v>
      </c>
      <c r="I117" s="137">
        <v>200</v>
      </c>
      <c r="J117" s="109"/>
      <c r="K117" s="94"/>
      <c r="L117" s="105">
        <v>20201118</v>
      </c>
    </row>
    <row r="118" s="113" customFormat="1" ht="15" customHeight="1" spans="1:12">
      <c r="A118" s="137">
        <v>116</v>
      </c>
      <c r="B118" s="137" t="s">
        <v>4837</v>
      </c>
      <c r="C118" s="9" t="s">
        <v>5064</v>
      </c>
      <c r="D118" s="137" t="s">
        <v>5065</v>
      </c>
      <c r="E118" s="109" t="s">
        <v>15</v>
      </c>
      <c r="F118" s="109">
        <v>2020</v>
      </c>
      <c r="G118" s="137" t="s">
        <v>2480</v>
      </c>
      <c r="H118" s="137">
        <v>200</v>
      </c>
      <c r="I118" s="137">
        <v>200</v>
      </c>
      <c r="J118" s="109"/>
      <c r="K118" s="94"/>
      <c r="L118" s="105">
        <v>20201118</v>
      </c>
    </row>
    <row r="119" s="113" customFormat="1" ht="15" customHeight="1" spans="1:12">
      <c r="A119" s="137">
        <v>117</v>
      </c>
      <c r="B119" s="137" t="s">
        <v>4837</v>
      </c>
      <c r="C119" s="9" t="s">
        <v>5066</v>
      </c>
      <c r="D119" s="137" t="s">
        <v>5067</v>
      </c>
      <c r="E119" s="109" t="s">
        <v>15</v>
      </c>
      <c r="F119" s="109">
        <v>2020</v>
      </c>
      <c r="G119" s="137" t="s">
        <v>2480</v>
      </c>
      <c r="H119" s="137">
        <v>200</v>
      </c>
      <c r="I119" s="137">
        <v>200</v>
      </c>
      <c r="J119" s="109"/>
      <c r="K119" s="94"/>
      <c r="L119" s="105">
        <v>20201118</v>
      </c>
    </row>
    <row r="120" s="113" customFormat="1" ht="15" customHeight="1" spans="1:12">
      <c r="A120" s="137">
        <v>118</v>
      </c>
      <c r="B120" s="137" t="s">
        <v>4837</v>
      </c>
      <c r="C120" s="9" t="s">
        <v>5068</v>
      </c>
      <c r="D120" s="137" t="s">
        <v>5069</v>
      </c>
      <c r="E120" s="109" t="s">
        <v>15</v>
      </c>
      <c r="F120" s="109">
        <v>2020</v>
      </c>
      <c r="G120" s="137" t="s">
        <v>2480</v>
      </c>
      <c r="H120" s="137">
        <v>200</v>
      </c>
      <c r="I120" s="137">
        <v>200</v>
      </c>
      <c r="J120" s="109"/>
      <c r="K120" s="94"/>
      <c r="L120" s="105">
        <v>20201118</v>
      </c>
    </row>
    <row r="121" s="113" customFormat="1" ht="15" customHeight="1" spans="1:12">
      <c r="A121" s="137">
        <v>119</v>
      </c>
      <c r="B121" s="137" t="s">
        <v>4837</v>
      </c>
      <c r="C121" s="9" t="s">
        <v>5070</v>
      </c>
      <c r="D121" s="137" t="s">
        <v>5071</v>
      </c>
      <c r="E121" s="109" t="s">
        <v>15</v>
      </c>
      <c r="F121" s="109">
        <v>2020</v>
      </c>
      <c r="G121" s="137" t="s">
        <v>2480</v>
      </c>
      <c r="H121" s="137">
        <v>200</v>
      </c>
      <c r="I121" s="137">
        <v>200</v>
      </c>
      <c r="J121" s="109"/>
      <c r="K121" s="94"/>
      <c r="L121" s="105">
        <v>20201118</v>
      </c>
    </row>
    <row r="122" s="113" customFormat="1" ht="15" customHeight="1" spans="1:12">
      <c r="A122" s="137">
        <v>120</v>
      </c>
      <c r="B122" s="137" t="s">
        <v>4837</v>
      </c>
      <c r="C122" s="9" t="s">
        <v>5072</v>
      </c>
      <c r="D122" s="137" t="s">
        <v>5073</v>
      </c>
      <c r="E122" s="109" t="s">
        <v>15</v>
      </c>
      <c r="F122" s="109">
        <v>2020</v>
      </c>
      <c r="G122" s="137" t="s">
        <v>2480</v>
      </c>
      <c r="H122" s="137">
        <v>200</v>
      </c>
      <c r="I122" s="137">
        <v>200</v>
      </c>
      <c r="J122" s="109"/>
      <c r="K122" s="94"/>
      <c r="L122" s="105">
        <v>20201118</v>
      </c>
    </row>
    <row r="123" s="113" customFormat="1" ht="15" customHeight="1" spans="1:12">
      <c r="A123" s="137">
        <v>121</v>
      </c>
      <c r="B123" s="137" t="s">
        <v>4837</v>
      </c>
      <c r="C123" s="9" t="s">
        <v>3122</v>
      </c>
      <c r="D123" s="137" t="s">
        <v>5074</v>
      </c>
      <c r="E123" s="109" t="s">
        <v>15</v>
      </c>
      <c r="F123" s="109">
        <v>2020</v>
      </c>
      <c r="G123" s="137" t="s">
        <v>2480</v>
      </c>
      <c r="H123" s="137">
        <v>200</v>
      </c>
      <c r="I123" s="137">
        <v>200</v>
      </c>
      <c r="J123" s="109"/>
      <c r="K123" s="94"/>
      <c r="L123" s="105">
        <v>20201118</v>
      </c>
    </row>
    <row r="124" s="113" customFormat="1" ht="15" customHeight="1" spans="1:12">
      <c r="A124" s="137">
        <v>122</v>
      </c>
      <c r="B124" s="137" t="s">
        <v>4837</v>
      </c>
      <c r="C124" s="9" t="s">
        <v>5075</v>
      </c>
      <c r="D124" s="137" t="s">
        <v>5076</v>
      </c>
      <c r="E124" s="109" t="s">
        <v>15</v>
      </c>
      <c r="F124" s="109">
        <v>2020</v>
      </c>
      <c r="G124" s="137" t="s">
        <v>2480</v>
      </c>
      <c r="H124" s="137">
        <v>200</v>
      </c>
      <c r="I124" s="137">
        <v>200</v>
      </c>
      <c r="J124" s="109"/>
      <c r="K124" s="94"/>
      <c r="L124" s="105">
        <v>20201118</v>
      </c>
    </row>
    <row r="125" s="113" customFormat="1" ht="15" customHeight="1" spans="1:12">
      <c r="A125" s="137">
        <v>123</v>
      </c>
      <c r="B125" s="137" t="s">
        <v>4837</v>
      </c>
      <c r="C125" s="9" t="s">
        <v>5077</v>
      </c>
      <c r="D125" s="137" t="s">
        <v>5078</v>
      </c>
      <c r="E125" s="109" t="s">
        <v>15</v>
      </c>
      <c r="F125" s="109">
        <v>2020</v>
      </c>
      <c r="G125" s="137" t="s">
        <v>2480</v>
      </c>
      <c r="H125" s="137">
        <v>200</v>
      </c>
      <c r="I125" s="137">
        <v>200</v>
      </c>
      <c r="J125" s="109"/>
      <c r="K125" s="94"/>
      <c r="L125" s="105">
        <v>20201118</v>
      </c>
    </row>
    <row r="126" s="113" customFormat="1" ht="15" customHeight="1" spans="1:12">
      <c r="A126" s="137">
        <v>124</v>
      </c>
      <c r="B126" s="137" t="s">
        <v>4837</v>
      </c>
      <c r="C126" s="9" t="s">
        <v>5079</v>
      </c>
      <c r="D126" s="137" t="s">
        <v>5080</v>
      </c>
      <c r="E126" s="109" t="s">
        <v>15</v>
      </c>
      <c r="F126" s="109">
        <v>2020</v>
      </c>
      <c r="G126" s="137" t="s">
        <v>2480</v>
      </c>
      <c r="H126" s="137">
        <v>200</v>
      </c>
      <c r="I126" s="137">
        <v>200</v>
      </c>
      <c r="J126" s="109"/>
      <c r="K126" s="94"/>
      <c r="L126" s="105">
        <v>20201118</v>
      </c>
    </row>
    <row r="127" s="113" customFormat="1" ht="15" customHeight="1" spans="1:12">
      <c r="A127" s="137">
        <v>125</v>
      </c>
      <c r="B127" s="137" t="s">
        <v>4837</v>
      </c>
      <c r="C127" s="9" t="s">
        <v>5081</v>
      </c>
      <c r="D127" s="137" t="s">
        <v>5082</v>
      </c>
      <c r="E127" s="109" t="s">
        <v>15</v>
      </c>
      <c r="F127" s="109">
        <v>2020</v>
      </c>
      <c r="G127" s="137" t="s">
        <v>2480</v>
      </c>
      <c r="H127" s="137">
        <v>200</v>
      </c>
      <c r="I127" s="137">
        <v>200</v>
      </c>
      <c r="J127" s="109"/>
      <c r="K127" s="94"/>
      <c r="L127" s="105">
        <v>20201118</v>
      </c>
    </row>
    <row r="128" s="113" customFormat="1" ht="15" customHeight="1" spans="1:12">
      <c r="A128" s="137">
        <v>126</v>
      </c>
      <c r="B128" s="137" t="s">
        <v>4837</v>
      </c>
      <c r="C128" s="9" t="s">
        <v>5083</v>
      </c>
      <c r="D128" s="137" t="s">
        <v>5084</v>
      </c>
      <c r="E128" s="109" t="s">
        <v>15</v>
      </c>
      <c r="F128" s="109">
        <v>2020</v>
      </c>
      <c r="G128" s="137" t="s">
        <v>2480</v>
      </c>
      <c r="H128" s="137">
        <v>200</v>
      </c>
      <c r="I128" s="137">
        <v>200</v>
      </c>
      <c r="J128" s="109"/>
      <c r="K128" s="94"/>
      <c r="L128" s="105">
        <v>20201118</v>
      </c>
    </row>
    <row r="129" s="113" customFormat="1" ht="15" customHeight="1" spans="1:12">
      <c r="A129" s="137">
        <v>127</v>
      </c>
      <c r="B129" s="137" t="s">
        <v>4837</v>
      </c>
      <c r="C129" s="9" t="s">
        <v>5085</v>
      </c>
      <c r="D129" s="137" t="s">
        <v>5086</v>
      </c>
      <c r="E129" s="109" t="s">
        <v>15</v>
      </c>
      <c r="F129" s="109">
        <v>2020</v>
      </c>
      <c r="G129" s="137" t="s">
        <v>2480</v>
      </c>
      <c r="H129" s="137">
        <v>200</v>
      </c>
      <c r="I129" s="137">
        <v>200</v>
      </c>
      <c r="J129" s="109"/>
      <c r="K129" s="94"/>
      <c r="L129" s="105">
        <v>20201118</v>
      </c>
    </row>
    <row r="130" s="113" customFormat="1" ht="15" customHeight="1" spans="1:12">
      <c r="A130" s="137">
        <v>128</v>
      </c>
      <c r="B130" s="137" t="s">
        <v>4837</v>
      </c>
      <c r="C130" s="9" t="s">
        <v>2890</v>
      </c>
      <c r="D130" s="137" t="s">
        <v>5087</v>
      </c>
      <c r="E130" s="109" t="s">
        <v>15</v>
      </c>
      <c r="F130" s="109">
        <v>2020</v>
      </c>
      <c r="G130" s="137" t="s">
        <v>2480</v>
      </c>
      <c r="H130" s="137">
        <v>200</v>
      </c>
      <c r="I130" s="137">
        <v>200</v>
      </c>
      <c r="J130" s="109"/>
      <c r="K130" s="94"/>
      <c r="L130" s="105">
        <v>20201118</v>
      </c>
    </row>
    <row r="131" s="113" customFormat="1" ht="15" customHeight="1" spans="1:12">
      <c r="A131" s="137">
        <v>129</v>
      </c>
      <c r="B131" s="137" t="s">
        <v>4837</v>
      </c>
      <c r="C131" s="9" t="s">
        <v>5088</v>
      </c>
      <c r="D131" s="137" t="s">
        <v>5089</v>
      </c>
      <c r="E131" s="109" t="s">
        <v>15</v>
      </c>
      <c r="F131" s="109">
        <v>2020</v>
      </c>
      <c r="G131" s="137" t="s">
        <v>2480</v>
      </c>
      <c r="H131" s="137">
        <v>200</v>
      </c>
      <c r="I131" s="137">
        <v>200</v>
      </c>
      <c r="J131" s="109"/>
      <c r="K131" s="94"/>
      <c r="L131" s="105">
        <v>20201118</v>
      </c>
    </row>
    <row r="132" s="113" customFormat="1" ht="15" customHeight="1" spans="1:12">
      <c r="A132" s="137">
        <v>130</v>
      </c>
      <c r="B132" s="137" t="s">
        <v>4837</v>
      </c>
      <c r="C132" s="9" t="s">
        <v>2785</v>
      </c>
      <c r="D132" s="137" t="s">
        <v>5090</v>
      </c>
      <c r="E132" s="109" t="s">
        <v>15</v>
      </c>
      <c r="F132" s="109">
        <v>2020</v>
      </c>
      <c r="G132" s="137" t="s">
        <v>2480</v>
      </c>
      <c r="H132" s="137">
        <v>200</v>
      </c>
      <c r="I132" s="137">
        <v>200</v>
      </c>
      <c r="J132" s="109"/>
      <c r="K132" s="94"/>
      <c r="L132" s="105">
        <v>20201118</v>
      </c>
    </row>
    <row r="133" s="113" customFormat="1" ht="15" customHeight="1" spans="1:12">
      <c r="A133" s="137">
        <v>131</v>
      </c>
      <c r="B133" s="137" t="s">
        <v>4837</v>
      </c>
      <c r="C133" s="9" t="s">
        <v>1315</v>
      </c>
      <c r="D133" s="137" t="s">
        <v>5091</v>
      </c>
      <c r="E133" s="109" t="s">
        <v>15</v>
      </c>
      <c r="F133" s="109">
        <v>2020</v>
      </c>
      <c r="G133" s="137" t="s">
        <v>2480</v>
      </c>
      <c r="H133" s="137">
        <v>200</v>
      </c>
      <c r="I133" s="137">
        <v>200</v>
      </c>
      <c r="J133" s="109"/>
      <c r="K133" s="94"/>
      <c r="L133" s="105">
        <v>20201118</v>
      </c>
    </row>
    <row r="134" s="113" customFormat="1" ht="15" customHeight="1" spans="1:12">
      <c r="A134" s="137">
        <v>132</v>
      </c>
      <c r="B134" s="137" t="s">
        <v>4837</v>
      </c>
      <c r="C134" s="9" t="s">
        <v>5092</v>
      </c>
      <c r="D134" s="137" t="s">
        <v>5093</v>
      </c>
      <c r="E134" s="109" t="s">
        <v>15</v>
      </c>
      <c r="F134" s="109">
        <v>2020</v>
      </c>
      <c r="G134" s="137" t="s">
        <v>2480</v>
      </c>
      <c r="H134" s="137">
        <v>200</v>
      </c>
      <c r="I134" s="137">
        <v>200</v>
      </c>
      <c r="J134" s="109"/>
      <c r="K134" s="94"/>
      <c r="L134" s="105">
        <v>20201118</v>
      </c>
    </row>
    <row r="135" s="113" customFormat="1" ht="15" customHeight="1" spans="1:12">
      <c r="A135" s="137">
        <v>133</v>
      </c>
      <c r="B135" s="137" t="s">
        <v>4837</v>
      </c>
      <c r="C135" s="9" t="s">
        <v>5094</v>
      </c>
      <c r="D135" s="137" t="s">
        <v>5095</v>
      </c>
      <c r="E135" s="109" t="s">
        <v>15</v>
      </c>
      <c r="F135" s="109">
        <v>2020</v>
      </c>
      <c r="G135" s="137" t="s">
        <v>2480</v>
      </c>
      <c r="H135" s="137">
        <v>200</v>
      </c>
      <c r="I135" s="137">
        <v>200</v>
      </c>
      <c r="J135" s="109"/>
      <c r="K135" s="94"/>
      <c r="L135" s="105">
        <v>20201118</v>
      </c>
    </row>
    <row r="136" s="113" customFormat="1" ht="15" customHeight="1" spans="1:12">
      <c r="A136" s="137">
        <v>134</v>
      </c>
      <c r="B136" s="137" t="s">
        <v>4837</v>
      </c>
      <c r="C136" s="9" t="s">
        <v>5096</v>
      </c>
      <c r="D136" s="137" t="s">
        <v>5097</v>
      </c>
      <c r="E136" s="109" t="s">
        <v>15</v>
      </c>
      <c r="F136" s="109">
        <v>2020</v>
      </c>
      <c r="G136" s="137" t="s">
        <v>2480</v>
      </c>
      <c r="H136" s="137">
        <v>200</v>
      </c>
      <c r="I136" s="137">
        <v>200</v>
      </c>
      <c r="J136" s="109"/>
      <c r="K136" s="94"/>
      <c r="L136" s="105">
        <v>20201118</v>
      </c>
    </row>
    <row r="137" s="113" customFormat="1" ht="15" customHeight="1" spans="1:12">
      <c r="A137" s="137">
        <v>135</v>
      </c>
      <c r="B137" s="137" t="s">
        <v>4837</v>
      </c>
      <c r="C137" s="9" t="s">
        <v>5098</v>
      </c>
      <c r="D137" s="137" t="s">
        <v>5099</v>
      </c>
      <c r="E137" s="109" t="s">
        <v>15</v>
      </c>
      <c r="F137" s="109">
        <v>2020</v>
      </c>
      <c r="G137" s="137" t="s">
        <v>2480</v>
      </c>
      <c r="H137" s="137">
        <v>200</v>
      </c>
      <c r="I137" s="137">
        <v>200</v>
      </c>
      <c r="J137" s="109"/>
      <c r="K137" s="94"/>
      <c r="L137" s="105">
        <v>20201118</v>
      </c>
    </row>
    <row r="138" s="113" customFormat="1" ht="15" customHeight="1" spans="1:12">
      <c r="A138" s="137">
        <v>136</v>
      </c>
      <c r="B138" s="137" t="s">
        <v>4837</v>
      </c>
      <c r="C138" s="9" t="s">
        <v>5100</v>
      </c>
      <c r="D138" s="137" t="s">
        <v>5101</v>
      </c>
      <c r="E138" s="109" t="s">
        <v>15</v>
      </c>
      <c r="F138" s="109">
        <v>2020</v>
      </c>
      <c r="G138" s="137" t="s">
        <v>2480</v>
      </c>
      <c r="H138" s="137">
        <v>200</v>
      </c>
      <c r="I138" s="137">
        <v>200</v>
      </c>
      <c r="J138" s="109"/>
      <c r="K138" s="94"/>
      <c r="L138" s="105">
        <v>20201118</v>
      </c>
    </row>
    <row r="139" s="113" customFormat="1" ht="15" customHeight="1" spans="1:12">
      <c r="A139" s="137">
        <v>137</v>
      </c>
      <c r="B139" s="137" t="s">
        <v>4837</v>
      </c>
      <c r="C139" s="9" t="s">
        <v>5102</v>
      </c>
      <c r="D139" s="137" t="s">
        <v>5103</v>
      </c>
      <c r="E139" s="109" t="s">
        <v>15</v>
      </c>
      <c r="F139" s="109">
        <v>2020</v>
      </c>
      <c r="G139" s="137" t="s">
        <v>2480</v>
      </c>
      <c r="H139" s="137">
        <v>200</v>
      </c>
      <c r="I139" s="137">
        <v>200</v>
      </c>
      <c r="J139" s="109"/>
      <c r="K139" s="94"/>
      <c r="L139" s="105">
        <v>20201118</v>
      </c>
    </row>
    <row r="140" s="113" customFormat="1" ht="15" customHeight="1" spans="1:12">
      <c r="A140" s="137">
        <v>138</v>
      </c>
      <c r="B140" s="137" t="s">
        <v>4837</v>
      </c>
      <c r="C140" s="9" t="s">
        <v>5104</v>
      </c>
      <c r="D140" s="137" t="s">
        <v>5105</v>
      </c>
      <c r="E140" s="109" t="s">
        <v>15</v>
      </c>
      <c r="F140" s="109">
        <v>2020</v>
      </c>
      <c r="G140" s="137" t="s">
        <v>2480</v>
      </c>
      <c r="H140" s="137">
        <v>200</v>
      </c>
      <c r="I140" s="137">
        <v>200</v>
      </c>
      <c r="J140" s="109"/>
      <c r="K140" s="94"/>
      <c r="L140" s="105">
        <v>20201118</v>
      </c>
    </row>
    <row r="141" s="113" customFormat="1" ht="15" customHeight="1" spans="1:12">
      <c r="A141" s="137">
        <v>139</v>
      </c>
      <c r="B141" s="137" t="s">
        <v>4837</v>
      </c>
      <c r="C141" s="9" t="s">
        <v>5106</v>
      </c>
      <c r="D141" s="137" t="s">
        <v>5107</v>
      </c>
      <c r="E141" s="109" t="s">
        <v>15</v>
      </c>
      <c r="F141" s="109">
        <v>2020</v>
      </c>
      <c r="G141" s="137" t="s">
        <v>2480</v>
      </c>
      <c r="H141" s="137">
        <v>200</v>
      </c>
      <c r="I141" s="137">
        <v>200</v>
      </c>
      <c r="J141" s="109"/>
      <c r="K141" s="94"/>
      <c r="L141" s="105">
        <v>20201118</v>
      </c>
    </row>
    <row r="142" s="113" customFormat="1" ht="15" customHeight="1" spans="1:12">
      <c r="A142" s="137">
        <v>140</v>
      </c>
      <c r="B142" s="137" t="s">
        <v>4837</v>
      </c>
      <c r="C142" s="9" t="s">
        <v>5108</v>
      </c>
      <c r="D142" s="137" t="s">
        <v>5109</v>
      </c>
      <c r="E142" s="109" t="s">
        <v>15</v>
      </c>
      <c r="F142" s="109">
        <v>2020</v>
      </c>
      <c r="G142" s="137" t="s">
        <v>2480</v>
      </c>
      <c r="H142" s="137">
        <v>200</v>
      </c>
      <c r="I142" s="137">
        <v>200</v>
      </c>
      <c r="J142" s="109"/>
      <c r="K142" s="94"/>
      <c r="L142" s="105">
        <v>20201118</v>
      </c>
    </row>
    <row r="143" s="113" customFormat="1" ht="15" customHeight="1" spans="1:12">
      <c r="A143" s="137">
        <v>141</v>
      </c>
      <c r="B143" s="137" t="s">
        <v>4837</v>
      </c>
      <c r="C143" s="9" t="s">
        <v>5110</v>
      </c>
      <c r="D143" s="137" t="s">
        <v>5111</v>
      </c>
      <c r="E143" s="109" t="s">
        <v>15</v>
      </c>
      <c r="F143" s="109">
        <v>2020</v>
      </c>
      <c r="G143" s="137" t="s">
        <v>2480</v>
      </c>
      <c r="H143" s="137">
        <v>200</v>
      </c>
      <c r="I143" s="137">
        <v>200</v>
      </c>
      <c r="J143" s="109"/>
      <c r="K143" s="94"/>
      <c r="L143" s="105">
        <v>20201118</v>
      </c>
    </row>
    <row r="144" s="113" customFormat="1" ht="15" customHeight="1" spans="1:12">
      <c r="A144" s="137">
        <v>142</v>
      </c>
      <c r="B144" s="137" t="s">
        <v>4837</v>
      </c>
      <c r="C144" s="9" t="s">
        <v>5112</v>
      </c>
      <c r="D144" s="137" t="s">
        <v>5113</v>
      </c>
      <c r="E144" s="109" t="s">
        <v>15</v>
      </c>
      <c r="F144" s="109">
        <v>2020</v>
      </c>
      <c r="G144" s="137" t="s">
        <v>2480</v>
      </c>
      <c r="H144" s="137">
        <v>200</v>
      </c>
      <c r="I144" s="137">
        <v>200</v>
      </c>
      <c r="J144" s="109"/>
      <c r="K144" s="94"/>
      <c r="L144" s="105">
        <v>20201118</v>
      </c>
    </row>
    <row r="145" s="113" customFormat="1" ht="15" customHeight="1" spans="1:12">
      <c r="A145" s="137">
        <v>143</v>
      </c>
      <c r="B145" s="137" t="s">
        <v>4837</v>
      </c>
      <c r="C145" s="9" t="s">
        <v>5114</v>
      </c>
      <c r="D145" s="137" t="s">
        <v>5115</v>
      </c>
      <c r="E145" s="109" t="s">
        <v>15</v>
      </c>
      <c r="F145" s="109">
        <v>2020</v>
      </c>
      <c r="G145" s="137" t="s">
        <v>2480</v>
      </c>
      <c r="H145" s="137">
        <v>500</v>
      </c>
      <c r="I145" s="137">
        <v>500</v>
      </c>
      <c r="J145" s="109"/>
      <c r="K145" s="94"/>
      <c r="L145" s="105">
        <v>20201118</v>
      </c>
    </row>
    <row r="146" s="113" customFormat="1" ht="15" customHeight="1" spans="1:12">
      <c r="A146" s="137">
        <v>144</v>
      </c>
      <c r="B146" s="137" t="s">
        <v>4837</v>
      </c>
      <c r="C146" s="9" t="s">
        <v>5116</v>
      </c>
      <c r="D146" s="137" t="s">
        <v>5117</v>
      </c>
      <c r="E146" s="109" t="s">
        <v>15</v>
      </c>
      <c r="F146" s="109">
        <v>2020</v>
      </c>
      <c r="G146" s="137" t="s">
        <v>2480</v>
      </c>
      <c r="H146" s="137">
        <v>500</v>
      </c>
      <c r="I146" s="137">
        <v>500</v>
      </c>
      <c r="J146" s="109"/>
      <c r="K146" s="94"/>
      <c r="L146" s="105">
        <v>20201118</v>
      </c>
    </row>
    <row r="147" s="113" customFormat="1" ht="15" customHeight="1" spans="1:12">
      <c r="A147" s="137">
        <v>145</v>
      </c>
      <c r="B147" s="137" t="s">
        <v>4837</v>
      </c>
      <c r="C147" s="9" t="s">
        <v>5118</v>
      </c>
      <c r="D147" s="137" t="s">
        <v>5119</v>
      </c>
      <c r="E147" s="109" t="s">
        <v>15</v>
      </c>
      <c r="F147" s="109">
        <v>2020</v>
      </c>
      <c r="G147" s="137" t="s">
        <v>2480</v>
      </c>
      <c r="H147" s="137">
        <v>200</v>
      </c>
      <c r="I147" s="137">
        <v>200</v>
      </c>
      <c r="J147" s="109"/>
      <c r="K147" s="94"/>
      <c r="L147" s="105">
        <v>20201118</v>
      </c>
    </row>
    <row r="148" s="113" customFormat="1" ht="15" customHeight="1" spans="1:12">
      <c r="A148" s="137">
        <v>146</v>
      </c>
      <c r="B148" s="137" t="s">
        <v>4837</v>
      </c>
      <c r="C148" s="9" t="s">
        <v>5120</v>
      </c>
      <c r="D148" s="137" t="s">
        <v>5121</v>
      </c>
      <c r="E148" s="109" t="s">
        <v>15</v>
      </c>
      <c r="F148" s="109">
        <v>2020</v>
      </c>
      <c r="G148" s="137" t="s">
        <v>2480</v>
      </c>
      <c r="H148" s="137">
        <v>200</v>
      </c>
      <c r="I148" s="137">
        <v>200</v>
      </c>
      <c r="J148" s="109"/>
      <c r="K148" s="94"/>
      <c r="L148" s="105">
        <v>20201118</v>
      </c>
    </row>
    <row r="149" s="113" customFormat="1" ht="15" customHeight="1" spans="1:12">
      <c r="A149" s="137">
        <v>147</v>
      </c>
      <c r="B149" s="137" t="s">
        <v>4837</v>
      </c>
      <c r="C149" s="9" t="s">
        <v>5122</v>
      </c>
      <c r="D149" s="137" t="s">
        <v>5123</v>
      </c>
      <c r="E149" s="109" t="s">
        <v>15</v>
      </c>
      <c r="F149" s="109">
        <v>2020</v>
      </c>
      <c r="G149" s="137" t="s">
        <v>2480</v>
      </c>
      <c r="H149" s="137">
        <v>200</v>
      </c>
      <c r="I149" s="137">
        <v>200</v>
      </c>
      <c r="J149" s="109"/>
      <c r="K149" s="94"/>
      <c r="L149" s="105">
        <v>20201118</v>
      </c>
    </row>
    <row r="150" s="113" customFormat="1" ht="15" customHeight="1" spans="1:12">
      <c r="A150" s="137">
        <v>148</v>
      </c>
      <c r="B150" s="137" t="s">
        <v>4837</v>
      </c>
      <c r="C150" s="9" t="s">
        <v>5124</v>
      </c>
      <c r="D150" s="137" t="s">
        <v>5125</v>
      </c>
      <c r="E150" s="109" t="s">
        <v>15</v>
      </c>
      <c r="F150" s="109">
        <v>2020</v>
      </c>
      <c r="G150" s="137" t="s">
        <v>2480</v>
      </c>
      <c r="H150" s="137">
        <v>200</v>
      </c>
      <c r="I150" s="137">
        <v>200</v>
      </c>
      <c r="J150" s="109"/>
      <c r="K150" s="94"/>
      <c r="L150" s="105">
        <v>20201118</v>
      </c>
    </row>
    <row r="151" s="113" customFormat="1" ht="15" customHeight="1" spans="1:12">
      <c r="A151" s="137">
        <v>149</v>
      </c>
      <c r="B151" s="137" t="s">
        <v>4837</v>
      </c>
      <c r="C151" s="9" t="s">
        <v>5126</v>
      </c>
      <c r="D151" s="137" t="s">
        <v>5127</v>
      </c>
      <c r="E151" s="109" t="s">
        <v>15</v>
      </c>
      <c r="F151" s="109">
        <v>2020</v>
      </c>
      <c r="G151" s="137" t="s">
        <v>2480</v>
      </c>
      <c r="H151" s="137">
        <v>500</v>
      </c>
      <c r="I151" s="137">
        <v>500</v>
      </c>
      <c r="J151" s="109"/>
      <c r="K151" s="94"/>
      <c r="L151" s="105">
        <v>20201118</v>
      </c>
    </row>
    <row r="152" s="113" customFormat="1" ht="15" customHeight="1" spans="1:12">
      <c r="A152" s="137">
        <v>150</v>
      </c>
      <c r="B152" s="137" t="s">
        <v>4837</v>
      </c>
      <c r="C152" s="9" t="s">
        <v>2991</v>
      </c>
      <c r="D152" s="137" t="s">
        <v>5128</v>
      </c>
      <c r="E152" s="109" t="s">
        <v>15</v>
      </c>
      <c r="F152" s="109">
        <v>2020</v>
      </c>
      <c r="G152" s="137" t="s">
        <v>2480</v>
      </c>
      <c r="H152" s="137">
        <v>200</v>
      </c>
      <c r="I152" s="137">
        <v>200</v>
      </c>
      <c r="J152" s="109"/>
      <c r="K152" s="94"/>
      <c r="L152" s="105">
        <v>20201118</v>
      </c>
    </row>
    <row r="153" s="113" customFormat="1" ht="15" customHeight="1" spans="1:12">
      <c r="A153" s="137">
        <v>151</v>
      </c>
      <c r="B153" s="137" t="s">
        <v>4837</v>
      </c>
      <c r="C153" s="9" t="s">
        <v>5129</v>
      </c>
      <c r="D153" s="137" t="s">
        <v>5130</v>
      </c>
      <c r="E153" s="109" t="s">
        <v>15</v>
      </c>
      <c r="F153" s="109">
        <v>2020</v>
      </c>
      <c r="G153" s="137" t="s">
        <v>2480</v>
      </c>
      <c r="H153" s="137">
        <v>200</v>
      </c>
      <c r="I153" s="137">
        <v>200</v>
      </c>
      <c r="J153" s="109"/>
      <c r="K153" s="94"/>
      <c r="L153" s="105">
        <v>20201118</v>
      </c>
    </row>
    <row r="154" s="113" customFormat="1" ht="15" customHeight="1" spans="1:12">
      <c r="A154" s="137">
        <v>152</v>
      </c>
      <c r="B154" s="137" t="s">
        <v>4837</v>
      </c>
      <c r="C154" s="9" t="s">
        <v>5131</v>
      </c>
      <c r="D154" s="137" t="s">
        <v>5132</v>
      </c>
      <c r="E154" s="109" t="s">
        <v>15</v>
      </c>
      <c r="F154" s="109">
        <v>2020</v>
      </c>
      <c r="G154" s="137" t="s">
        <v>2480</v>
      </c>
      <c r="H154" s="137">
        <v>200</v>
      </c>
      <c r="I154" s="137">
        <v>200</v>
      </c>
      <c r="J154" s="109"/>
      <c r="K154" s="94"/>
      <c r="L154" s="105">
        <v>20201118</v>
      </c>
    </row>
    <row r="155" s="113" customFormat="1" ht="15" customHeight="1" spans="1:12">
      <c r="A155" s="137">
        <v>153</v>
      </c>
      <c r="B155" s="137" t="s">
        <v>4837</v>
      </c>
      <c r="C155" s="9" t="s">
        <v>5133</v>
      </c>
      <c r="D155" s="137" t="s">
        <v>5134</v>
      </c>
      <c r="E155" s="109" t="s">
        <v>15</v>
      </c>
      <c r="F155" s="109">
        <v>2020</v>
      </c>
      <c r="G155" s="137" t="s">
        <v>2480</v>
      </c>
      <c r="H155" s="137">
        <v>200</v>
      </c>
      <c r="I155" s="137">
        <v>200</v>
      </c>
      <c r="J155" s="109"/>
      <c r="K155" s="94"/>
      <c r="L155" s="105">
        <v>20201118</v>
      </c>
    </row>
    <row r="156" s="113" customFormat="1" ht="15" customHeight="1" spans="1:12">
      <c r="A156" s="137">
        <v>154</v>
      </c>
      <c r="B156" s="137" t="s">
        <v>4837</v>
      </c>
      <c r="C156" s="9" t="s">
        <v>5135</v>
      </c>
      <c r="D156" s="137" t="s">
        <v>5136</v>
      </c>
      <c r="E156" s="109" t="s">
        <v>15</v>
      </c>
      <c r="F156" s="109">
        <v>2020</v>
      </c>
      <c r="G156" s="137" t="s">
        <v>2480</v>
      </c>
      <c r="H156" s="137">
        <v>200</v>
      </c>
      <c r="I156" s="137">
        <v>200</v>
      </c>
      <c r="J156" s="109"/>
      <c r="K156" s="94"/>
      <c r="L156" s="105">
        <v>20201118</v>
      </c>
    </row>
    <row r="157" s="113" customFormat="1" ht="15" customHeight="1" spans="1:12">
      <c r="A157" s="137">
        <v>155</v>
      </c>
      <c r="B157" s="137" t="s">
        <v>4837</v>
      </c>
      <c r="C157" s="9" t="s">
        <v>5137</v>
      </c>
      <c r="D157" s="137" t="s">
        <v>5138</v>
      </c>
      <c r="E157" s="109" t="s">
        <v>15</v>
      </c>
      <c r="F157" s="109">
        <v>2020</v>
      </c>
      <c r="G157" s="137" t="s">
        <v>2480</v>
      </c>
      <c r="H157" s="137">
        <v>200</v>
      </c>
      <c r="I157" s="137">
        <v>200</v>
      </c>
      <c r="J157" s="109"/>
      <c r="K157" s="94"/>
      <c r="L157" s="105">
        <v>20201118</v>
      </c>
    </row>
    <row r="158" s="113" customFormat="1" ht="15" customHeight="1" spans="1:12">
      <c r="A158" s="137">
        <v>156</v>
      </c>
      <c r="B158" s="137" t="s">
        <v>4837</v>
      </c>
      <c r="C158" s="9" t="s">
        <v>5139</v>
      </c>
      <c r="D158" s="137" t="s">
        <v>5140</v>
      </c>
      <c r="E158" s="109" t="s">
        <v>15</v>
      </c>
      <c r="F158" s="109">
        <v>2020</v>
      </c>
      <c r="G158" s="137" t="s">
        <v>2480</v>
      </c>
      <c r="H158" s="137">
        <v>200</v>
      </c>
      <c r="I158" s="137">
        <v>200</v>
      </c>
      <c r="J158" s="109"/>
      <c r="K158" s="94"/>
      <c r="L158" s="105">
        <v>20201118</v>
      </c>
    </row>
    <row r="159" s="113" customFormat="1" ht="15" customHeight="1" spans="1:12">
      <c r="A159" s="137">
        <v>157</v>
      </c>
      <c r="B159" s="137" t="s">
        <v>4837</v>
      </c>
      <c r="C159" s="9" t="s">
        <v>5141</v>
      </c>
      <c r="D159" s="137" t="s">
        <v>5142</v>
      </c>
      <c r="E159" s="109" t="s">
        <v>15</v>
      </c>
      <c r="F159" s="109">
        <v>2020</v>
      </c>
      <c r="G159" s="137" t="s">
        <v>2480</v>
      </c>
      <c r="H159" s="137">
        <v>200</v>
      </c>
      <c r="I159" s="137">
        <v>200</v>
      </c>
      <c r="J159" s="109"/>
      <c r="K159" s="94"/>
      <c r="L159" s="105">
        <v>20201118</v>
      </c>
    </row>
    <row r="160" s="113" customFormat="1" ht="15" customHeight="1" spans="1:12">
      <c r="A160" s="137">
        <v>158</v>
      </c>
      <c r="B160" s="137" t="s">
        <v>4837</v>
      </c>
      <c r="C160" s="9" t="s">
        <v>5143</v>
      </c>
      <c r="D160" s="137" t="s">
        <v>5144</v>
      </c>
      <c r="E160" s="109" t="s">
        <v>15</v>
      </c>
      <c r="F160" s="109">
        <v>2020</v>
      </c>
      <c r="G160" s="137" t="s">
        <v>2480</v>
      </c>
      <c r="H160" s="137">
        <v>200</v>
      </c>
      <c r="I160" s="137">
        <v>200</v>
      </c>
      <c r="J160" s="109"/>
      <c r="K160" s="94"/>
      <c r="L160" s="105">
        <v>20201118</v>
      </c>
    </row>
    <row r="161" s="113" customFormat="1" ht="15" customHeight="1" spans="1:12">
      <c r="A161" s="137">
        <v>159</v>
      </c>
      <c r="B161" s="137" t="s">
        <v>4837</v>
      </c>
      <c r="C161" s="9" t="s">
        <v>5145</v>
      </c>
      <c r="D161" s="137" t="s">
        <v>5146</v>
      </c>
      <c r="E161" s="109" t="s">
        <v>15</v>
      </c>
      <c r="F161" s="109">
        <v>2020</v>
      </c>
      <c r="G161" s="137" t="s">
        <v>2480</v>
      </c>
      <c r="H161" s="137">
        <v>200</v>
      </c>
      <c r="I161" s="137">
        <v>200</v>
      </c>
      <c r="J161" s="109"/>
      <c r="K161" s="94"/>
      <c r="L161" s="105">
        <v>20201118</v>
      </c>
    </row>
    <row r="162" s="113" customFormat="1" ht="15" customHeight="1" spans="1:12">
      <c r="A162" s="137">
        <v>160</v>
      </c>
      <c r="B162" s="137" t="s">
        <v>4837</v>
      </c>
      <c r="C162" s="9" t="s">
        <v>5147</v>
      </c>
      <c r="D162" s="137" t="s">
        <v>5148</v>
      </c>
      <c r="E162" s="109" t="s">
        <v>15</v>
      </c>
      <c r="F162" s="109">
        <v>2020</v>
      </c>
      <c r="G162" s="137" t="s">
        <v>2480</v>
      </c>
      <c r="H162" s="137">
        <v>200</v>
      </c>
      <c r="I162" s="137">
        <v>200</v>
      </c>
      <c r="J162" s="109"/>
      <c r="K162" s="94"/>
      <c r="L162" s="105">
        <v>20201118</v>
      </c>
    </row>
    <row r="163" s="113" customFormat="1" ht="15" customHeight="1" spans="1:12">
      <c r="A163" s="137">
        <v>161</v>
      </c>
      <c r="B163" s="137" t="s">
        <v>4837</v>
      </c>
      <c r="C163" s="9" t="s">
        <v>1158</v>
      </c>
      <c r="D163" s="137" t="s">
        <v>5149</v>
      </c>
      <c r="E163" s="109" t="s">
        <v>15</v>
      </c>
      <c r="F163" s="109">
        <v>2020</v>
      </c>
      <c r="G163" s="137" t="s">
        <v>2480</v>
      </c>
      <c r="H163" s="137">
        <v>200</v>
      </c>
      <c r="I163" s="137">
        <v>200</v>
      </c>
      <c r="J163" s="109"/>
      <c r="K163" s="94"/>
      <c r="L163" s="105">
        <v>20201118</v>
      </c>
    </row>
    <row r="164" s="113" customFormat="1" ht="15" customHeight="1" spans="1:12">
      <c r="A164" s="137">
        <v>162</v>
      </c>
      <c r="B164" s="137" t="s">
        <v>4837</v>
      </c>
      <c r="C164" s="9" t="s">
        <v>5150</v>
      </c>
      <c r="D164" s="137" t="s">
        <v>5151</v>
      </c>
      <c r="E164" s="109" t="s">
        <v>15</v>
      </c>
      <c r="F164" s="109">
        <v>2020</v>
      </c>
      <c r="G164" s="137" t="s">
        <v>2480</v>
      </c>
      <c r="H164" s="137">
        <v>200</v>
      </c>
      <c r="I164" s="137">
        <v>200</v>
      </c>
      <c r="J164" s="109"/>
      <c r="K164" s="94"/>
      <c r="L164" s="105">
        <v>20201118</v>
      </c>
    </row>
    <row r="165" s="113" customFormat="1" ht="15" customHeight="1" spans="1:12">
      <c r="A165" s="137">
        <v>163</v>
      </c>
      <c r="B165" s="137" t="s">
        <v>4837</v>
      </c>
      <c r="C165" s="9" t="s">
        <v>5152</v>
      </c>
      <c r="D165" s="137" t="s">
        <v>5153</v>
      </c>
      <c r="E165" s="109" t="s">
        <v>15</v>
      </c>
      <c r="F165" s="109">
        <v>2020</v>
      </c>
      <c r="G165" s="137" t="s">
        <v>2480</v>
      </c>
      <c r="H165" s="137">
        <v>500</v>
      </c>
      <c r="I165" s="137">
        <v>500</v>
      </c>
      <c r="J165" s="109"/>
      <c r="K165" s="94"/>
      <c r="L165" s="105">
        <v>20201118</v>
      </c>
    </row>
    <row r="166" s="113" customFormat="1" ht="15" customHeight="1" spans="1:12">
      <c r="A166" s="137">
        <v>164</v>
      </c>
      <c r="B166" s="137" t="s">
        <v>4837</v>
      </c>
      <c r="C166" s="9" t="s">
        <v>5154</v>
      </c>
      <c r="D166" s="137" t="s">
        <v>5155</v>
      </c>
      <c r="E166" s="109" t="s">
        <v>15</v>
      </c>
      <c r="F166" s="109">
        <v>2020</v>
      </c>
      <c r="G166" s="137" t="s">
        <v>2480</v>
      </c>
      <c r="H166" s="137">
        <v>200</v>
      </c>
      <c r="I166" s="137">
        <v>200</v>
      </c>
      <c r="J166" s="109"/>
      <c r="K166" s="94"/>
      <c r="L166" s="105">
        <v>20201118</v>
      </c>
    </row>
    <row r="167" s="113" customFormat="1" ht="15" customHeight="1" spans="1:12">
      <c r="A167" s="137">
        <v>165</v>
      </c>
      <c r="B167" s="137" t="s">
        <v>4837</v>
      </c>
      <c r="C167" s="9" t="s">
        <v>5156</v>
      </c>
      <c r="D167" s="137" t="s">
        <v>5157</v>
      </c>
      <c r="E167" s="109" t="s">
        <v>15</v>
      </c>
      <c r="F167" s="109">
        <v>2020</v>
      </c>
      <c r="G167" s="137" t="s">
        <v>2480</v>
      </c>
      <c r="H167" s="137">
        <v>200</v>
      </c>
      <c r="I167" s="137">
        <v>200</v>
      </c>
      <c r="J167" s="109"/>
      <c r="K167" s="94"/>
      <c r="L167" s="105">
        <v>20201118</v>
      </c>
    </row>
    <row r="168" s="113" customFormat="1" ht="15" customHeight="1" spans="1:12">
      <c r="A168" s="137">
        <v>166</v>
      </c>
      <c r="B168" s="137" t="s">
        <v>4837</v>
      </c>
      <c r="C168" s="9" t="s">
        <v>5158</v>
      </c>
      <c r="D168" s="137" t="s">
        <v>5159</v>
      </c>
      <c r="E168" s="109" t="s">
        <v>15</v>
      </c>
      <c r="F168" s="109">
        <v>2020</v>
      </c>
      <c r="G168" s="137" t="s">
        <v>2480</v>
      </c>
      <c r="H168" s="137">
        <v>200</v>
      </c>
      <c r="I168" s="137">
        <v>200</v>
      </c>
      <c r="J168" s="109"/>
      <c r="K168" s="94"/>
      <c r="L168" s="105">
        <v>20201118</v>
      </c>
    </row>
    <row r="169" s="113" customFormat="1" ht="15" customHeight="1" spans="1:12">
      <c r="A169" s="137">
        <v>167</v>
      </c>
      <c r="B169" s="137" t="s">
        <v>4837</v>
      </c>
      <c r="C169" s="9" t="s">
        <v>5160</v>
      </c>
      <c r="D169" s="137" t="s">
        <v>5161</v>
      </c>
      <c r="E169" s="109" t="s">
        <v>15</v>
      </c>
      <c r="F169" s="109">
        <v>2020</v>
      </c>
      <c r="G169" s="137" t="s">
        <v>2480</v>
      </c>
      <c r="H169" s="137">
        <v>200</v>
      </c>
      <c r="I169" s="137">
        <v>200</v>
      </c>
      <c r="J169" s="109"/>
      <c r="K169" s="94"/>
      <c r="L169" s="105">
        <v>20201118</v>
      </c>
    </row>
    <row r="170" s="113" customFormat="1" ht="15" customHeight="1" spans="1:12">
      <c r="A170" s="137">
        <v>168</v>
      </c>
      <c r="B170" s="137" t="s">
        <v>4837</v>
      </c>
      <c r="C170" s="9" t="s">
        <v>5162</v>
      </c>
      <c r="D170" s="137" t="s">
        <v>5163</v>
      </c>
      <c r="E170" s="109" t="s">
        <v>15</v>
      </c>
      <c r="F170" s="109">
        <v>2020</v>
      </c>
      <c r="G170" s="137" t="s">
        <v>2480</v>
      </c>
      <c r="H170" s="137">
        <v>500</v>
      </c>
      <c r="I170" s="137">
        <v>500</v>
      </c>
      <c r="J170" s="109"/>
      <c r="K170" s="94"/>
      <c r="L170" s="105">
        <v>20201118</v>
      </c>
    </row>
    <row r="171" s="113" customFormat="1" ht="15" customHeight="1" spans="1:12">
      <c r="A171" s="137">
        <v>169</v>
      </c>
      <c r="B171" s="137" t="s">
        <v>4837</v>
      </c>
      <c r="C171" s="9" t="s">
        <v>5164</v>
      </c>
      <c r="D171" s="137" t="s">
        <v>5165</v>
      </c>
      <c r="E171" s="109" t="s">
        <v>15</v>
      </c>
      <c r="F171" s="109">
        <v>2020</v>
      </c>
      <c r="G171" s="137" t="s">
        <v>2480</v>
      </c>
      <c r="H171" s="137">
        <v>200</v>
      </c>
      <c r="I171" s="137">
        <v>200</v>
      </c>
      <c r="J171" s="109"/>
      <c r="K171" s="94"/>
      <c r="L171" s="105">
        <v>20201118</v>
      </c>
    </row>
    <row r="172" s="113" customFormat="1" ht="15" customHeight="1" spans="1:12">
      <c r="A172" s="137">
        <v>170</v>
      </c>
      <c r="B172" s="137" t="s">
        <v>4837</v>
      </c>
      <c r="C172" s="9" t="s">
        <v>5166</v>
      </c>
      <c r="D172" s="137" t="s">
        <v>5167</v>
      </c>
      <c r="E172" s="109" t="s">
        <v>15</v>
      </c>
      <c r="F172" s="109">
        <v>2020</v>
      </c>
      <c r="G172" s="137" t="s">
        <v>2480</v>
      </c>
      <c r="H172" s="137">
        <v>500</v>
      </c>
      <c r="I172" s="137">
        <v>500</v>
      </c>
      <c r="J172" s="109"/>
      <c r="K172" s="94"/>
      <c r="L172" s="105">
        <v>20201118</v>
      </c>
    </row>
    <row r="173" s="113" customFormat="1" ht="15" customHeight="1" spans="1:12">
      <c r="A173" s="137">
        <v>171</v>
      </c>
      <c r="B173" s="137" t="s">
        <v>4837</v>
      </c>
      <c r="C173" s="9" t="s">
        <v>5168</v>
      </c>
      <c r="D173" s="137" t="s">
        <v>5169</v>
      </c>
      <c r="E173" s="109" t="s">
        <v>15</v>
      </c>
      <c r="F173" s="109">
        <v>2020</v>
      </c>
      <c r="G173" s="137" t="s">
        <v>2480</v>
      </c>
      <c r="H173" s="137">
        <v>200</v>
      </c>
      <c r="I173" s="137">
        <v>200</v>
      </c>
      <c r="J173" s="109"/>
      <c r="K173" s="94"/>
      <c r="L173" s="105">
        <v>20201118</v>
      </c>
    </row>
    <row r="174" s="113" customFormat="1" ht="15" customHeight="1" spans="1:12">
      <c r="A174" s="137">
        <v>172</v>
      </c>
      <c r="B174" s="137" t="s">
        <v>4837</v>
      </c>
      <c r="C174" s="9" t="s">
        <v>5170</v>
      </c>
      <c r="D174" s="137" t="s">
        <v>5171</v>
      </c>
      <c r="E174" s="109" t="s">
        <v>15</v>
      </c>
      <c r="F174" s="109">
        <v>2020</v>
      </c>
      <c r="G174" s="137" t="s">
        <v>2480</v>
      </c>
      <c r="H174" s="137">
        <v>200</v>
      </c>
      <c r="I174" s="137">
        <v>200</v>
      </c>
      <c r="J174" s="109"/>
      <c r="K174" s="94"/>
      <c r="L174" s="105">
        <v>20201118</v>
      </c>
    </row>
    <row r="175" s="113" customFormat="1" ht="15" customHeight="1" spans="1:12">
      <c r="A175" s="137">
        <v>173</v>
      </c>
      <c r="B175" s="137" t="s">
        <v>4837</v>
      </c>
      <c r="C175" s="9" t="s">
        <v>5172</v>
      </c>
      <c r="D175" s="137" t="s">
        <v>5173</v>
      </c>
      <c r="E175" s="109" t="s">
        <v>15</v>
      </c>
      <c r="F175" s="109">
        <v>2020</v>
      </c>
      <c r="G175" s="137" t="s">
        <v>2480</v>
      </c>
      <c r="H175" s="137">
        <v>200</v>
      </c>
      <c r="I175" s="137">
        <v>200</v>
      </c>
      <c r="J175" s="109"/>
      <c r="K175" s="94"/>
      <c r="L175" s="105">
        <v>20201118</v>
      </c>
    </row>
    <row r="176" s="113" customFormat="1" ht="15" customHeight="1" spans="1:12">
      <c r="A176" s="137">
        <v>174</v>
      </c>
      <c r="B176" s="137" t="s">
        <v>4837</v>
      </c>
      <c r="C176" s="9" t="s">
        <v>5174</v>
      </c>
      <c r="D176" s="137" t="s">
        <v>5175</v>
      </c>
      <c r="E176" s="109" t="s">
        <v>15</v>
      </c>
      <c r="F176" s="109">
        <v>2020</v>
      </c>
      <c r="G176" s="137" t="s">
        <v>2480</v>
      </c>
      <c r="H176" s="137">
        <v>200</v>
      </c>
      <c r="I176" s="137">
        <v>200</v>
      </c>
      <c r="J176" s="109"/>
      <c r="K176" s="94"/>
      <c r="L176" s="105">
        <v>20201118</v>
      </c>
    </row>
    <row r="177" s="113" customFormat="1" ht="15" customHeight="1" spans="1:12">
      <c r="A177" s="137">
        <v>175</v>
      </c>
      <c r="B177" s="137" t="s">
        <v>4837</v>
      </c>
      <c r="C177" s="9" t="s">
        <v>5176</v>
      </c>
      <c r="D177" s="137" t="s">
        <v>5177</v>
      </c>
      <c r="E177" s="109" t="s">
        <v>15</v>
      </c>
      <c r="F177" s="109">
        <v>2020</v>
      </c>
      <c r="G177" s="137" t="s">
        <v>2480</v>
      </c>
      <c r="H177" s="137">
        <v>500</v>
      </c>
      <c r="I177" s="137">
        <v>500</v>
      </c>
      <c r="J177" s="109"/>
      <c r="K177" s="94"/>
      <c r="L177" s="105">
        <v>20201118</v>
      </c>
    </row>
    <row r="178" s="113" customFormat="1" ht="15" customHeight="1" spans="1:12">
      <c r="A178" s="137">
        <v>176</v>
      </c>
      <c r="B178" s="137" t="s">
        <v>4837</v>
      </c>
      <c r="C178" s="9" t="s">
        <v>5178</v>
      </c>
      <c r="D178" s="137" t="s">
        <v>5179</v>
      </c>
      <c r="E178" s="109" t="s">
        <v>15</v>
      </c>
      <c r="F178" s="109">
        <v>2020</v>
      </c>
      <c r="G178" s="137" t="s">
        <v>2480</v>
      </c>
      <c r="H178" s="137">
        <v>200</v>
      </c>
      <c r="I178" s="137">
        <v>200</v>
      </c>
      <c r="J178" s="109"/>
      <c r="K178" s="94"/>
      <c r="L178" s="105">
        <v>20201118</v>
      </c>
    </row>
    <row r="179" s="113" customFormat="1" ht="15" customHeight="1" spans="1:12">
      <c r="A179" s="137">
        <v>177</v>
      </c>
      <c r="B179" s="137" t="s">
        <v>4837</v>
      </c>
      <c r="C179" s="9" t="s">
        <v>5180</v>
      </c>
      <c r="D179" s="137" t="s">
        <v>5181</v>
      </c>
      <c r="E179" s="109" t="s">
        <v>15</v>
      </c>
      <c r="F179" s="109">
        <v>2020</v>
      </c>
      <c r="G179" s="137" t="s">
        <v>2480</v>
      </c>
      <c r="H179" s="137">
        <v>200</v>
      </c>
      <c r="I179" s="137">
        <v>200</v>
      </c>
      <c r="J179" s="109"/>
      <c r="K179" s="94"/>
      <c r="L179" s="105">
        <v>20201118</v>
      </c>
    </row>
    <row r="180" s="113" customFormat="1" ht="15" customHeight="1" spans="1:12">
      <c r="A180" s="137">
        <v>178</v>
      </c>
      <c r="B180" s="137" t="s">
        <v>4837</v>
      </c>
      <c r="C180" s="9" t="s">
        <v>5182</v>
      </c>
      <c r="D180" s="137" t="s">
        <v>5183</v>
      </c>
      <c r="E180" s="109" t="s">
        <v>15</v>
      </c>
      <c r="F180" s="109">
        <v>2020</v>
      </c>
      <c r="G180" s="137" t="s">
        <v>2480</v>
      </c>
      <c r="H180" s="137">
        <v>200</v>
      </c>
      <c r="I180" s="137">
        <v>200</v>
      </c>
      <c r="J180" s="109"/>
      <c r="K180" s="94"/>
      <c r="L180" s="105">
        <v>20201118</v>
      </c>
    </row>
    <row r="181" s="113" customFormat="1" ht="15" customHeight="1" spans="1:12">
      <c r="A181" s="137">
        <v>179</v>
      </c>
      <c r="B181" s="137" t="s">
        <v>4837</v>
      </c>
      <c r="C181" s="9" t="s">
        <v>5184</v>
      </c>
      <c r="D181" s="137" t="s">
        <v>5185</v>
      </c>
      <c r="E181" s="109" t="s">
        <v>15</v>
      </c>
      <c r="F181" s="109">
        <v>2020</v>
      </c>
      <c r="G181" s="137" t="s">
        <v>2480</v>
      </c>
      <c r="H181" s="137">
        <v>200</v>
      </c>
      <c r="I181" s="137">
        <v>200</v>
      </c>
      <c r="J181" s="109"/>
      <c r="K181" s="94"/>
      <c r="L181" s="105">
        <v>20201118</v>
      </c>
    </row>
    <row r="182" s="113" customFormat="1" ht="15" customHeight="1" spans="1:12">
      <c r="A182" s="137">
        <v>180</v>
      </c>
      <c r="B182" s="137" t="s">
        <v>4837</v>
      </c>
      <c r="C182" s="9" t="s">
        <v>5186</v>
      </c>
      <c r="D182" s="137" t="s">
        <v>5187</v>
      </c>
      <c r="E182" s="109" t="s">
        <v>15</v>
      </c>
      <c r="F182" s="109">
        <v>2020</v>
      </c>
      <c r="G182" s="137" t="s">
        <v>2480</v>
      </c>
      <c r="H182" s="137">
        <v>200</v>
      </c>
      <c r="I182" s="137">
        <v>200</v>
      </c>
      <c r="J182" s="109"/>
      <c r="K182" s="94"/>
      <c r="L182" s="105">
        <v>20201118</v>
      </c>
    </row>
    <row r="183" s="113" customFormat="1" ht="15" customHeight="1" spans="1:12">
      <c r="A183" s="137">
        <v>181</v>
      </c>
      <c r="B183" s="137" t="s">
        <v>4837</v>
      </c>
      <c r="C183" s="9" t="s">
        <v>5188</v>
      </c>
      <c r="D183" s="137" t="s">
        <v>5189</v>
      </c>
      <c r="E183" s="109" t="s">
        <v>15</v>
      </c>
      <c r="F183" s="109">
        <v>2020</v>
      </c>
      <c r="G183" s="137" t="s">
        <v>2480</v>
      </c>
      <c r="H183" s="137">
        <v>200</v>
      </c>
      <c r="I183" s="137">
        <v>200</v>
      </c>
      <c r="J183" s="109"/>
      <c r="K183" s="94"/>
      <c r="L183" s="105">
        <v>20201118</v>
      </c>
    </row>
    <row r="184" s="113" customFormat="1" ht="15" customHeight="1" spans="1:12">
      <c r="A184" s="137">
        <v>182</v>
      </c>
      <c r="B184" s="137" t="s">
        <v>4837</v>
      </c>
      <c r="C184" s="9" t="s">
        <v>5190</v>
      </c>
      <c r="D184" s="137" t="s">
        <v>5191</v>
      </c>
      <c r="E184" s="109" t="s">
        <v>15</v>
      </c>
      <c r="F184" s="109">
        <v>2020</v>
      </c>
      <c r="G184" s="137" t="s">
        <v>2480</v>
      </c>
      <c r="H184" s="137">
        <v>200</v>
      </c>
      <c r="I184" s="137">
        <v>200</v>
      </c>
      <c r="J184" s="109"/>
      <c r="K184" s="94"/>
      <c r="L184" s="105">
        <v>20201118</v>
      </c>
    </row>
    <row r="185" s="113" customFormat="1" ht="15" customHeight="1" spans="1:12">
      <c r="A185" s="137">
        <v>183</v>
      </c>
      <c r="B185" s="137" t="s">
        <v>4837</v>
      </c>
      <c r="C185" s="9" t="s">
        <v>5192</v>
      </c>
      <c r="D185" s="137" t="s">
        <v>5193</v>
      </c>
      <c r="E185" s="109" t="s">
        <v>15</v>
      </c>
      <c r="F185" s="109">
        <v>2020</v>
      </c>
      <c r="G185" s="137" t="s">
        <v>2480</v>
      </c>
      <c r="H185" s="137">
        <v>200</v>
      </c>
      <c r="I185" s="137">
        <v>200</v>
      </c>
      <c r="J185" s="109"/>
      <c r="K185" s="94"/>
      <c r="L185" s="105">
        <v>20201118</v>
      </c>
    </row>
    <row r="186" s="113" customFormat="1" ht="15" customHeight="1" spans="1:12">
      <c r="A186" s="137">
        <v>184</v>
      </c>
      <c r="B186" s="137" t="s">
        <v>4837</v>
      </c>
      <c r="C186" s="9" t="s">
        <v>5194</v>
      </c>
      <c r="D186" s="137" t="s">
        <v>5195</v>
      </c>
      <c r="E186" s="109" t="s">
        <v>15</v>
      </c>
      <c r="F186" s="109">
        <v>2020</v>
      </c>
      <c r="G186" s="137" t="s">
        <v>2480</v>
      </c>
      <c r="H186" s="137">
        <v>200</v>
      </c>
      <c r="I186" s="137">
        <v>200</v>
      </c>
      <c r="J186" s="109"/>
      <c r="K186" s="94"/>
      <c r="L186" s="105">
        <v>20201118</v>
      </c>
    </row>
    <row r="187" s="113" customFormat="1" ht="15" customHeight="1" spans="1:12">
      <c r="A187" s="137">
        <v>185</v>
      </c>
      <c r="B187" s="137" t="s">
        <v>4837</v>
      </c>
      <c r="C187" s="9" t="s">
        <v>5196</v>
      </c>
      <c r="D187" s="137" t="s">
        <v>5197</v>
      </c>
      <c r="E187" s="109" t="s">
        <v>15</v>
      </c>
      <c r="F187" s="109">
        <v>2020</v>
      </c>
      <c r="G187" s="137" t="s">
        <v>2480</v>
      </c>
      <c r="H187" s="137">
        <v>200</v>
      </c>
      <c r="I187" s="137">
        <v>200</v>
      </c>
      <c r="J187" s="109"/>
      <c r="K187" s="94"/>
      <c r="L187" s="105">
        <v>20201118</v>
      </c>
    </row>
    <row r="188" s="113" customFormat="1" ht="15" customHeight="1" spans="1:12">
      <c r="A188" s="137">
        <v>186</v>
      </c>
      <c r="B188" s="137" t="s">
        <v>4837</v>
      </c>
      <c r="C188" s="9" t="s">
        <v>183</v>
      </c>
      <c r="D188" s="137" t="s">
        <v>5198</v>
      </c>
      <c r="E188" s="109" t="s">
        <v>15</v>
      </c>
      <c r="F188" s="109">
        <v>2020</v>
      </c>
      <c r="G188" s="137" t="s">
        <v>2480</v>
      </c>
      <c r="H188" s="137">
        <v>200</v>
      </c>
      <c r="I188" s="137">
        <v>200</v>
      </c>
      <c r="J188" s="109"/>
      <c r="K188" s="94"/>
      <c r="L188" s="105">
        <v>20201118</v>
      </c>
    </row>
    <row r="189" s="113" customFormat="1" ht="15" customHeight="1" spans="1:12">
      <c r="A189" s="137">
        <v>187</v>
      </c>
      <c r="B189" s="137" t="s">
        <v>4837</v>
      </c>
      <c r="C189" s="9" t="s">
        <v>5199</v>
      </c>
      <c r="D189" s="137" t="s">
        <v>5200</v>
      </c>
      <c r="E189" s="109" t="s">
        <v>15</v>
      </c>
      <c r="F189" s="109">
        <v>2020</v>
      </c>
      <c r="G189" s="137" t="s">
        <v>2480</v>
      </c>
      <c r="H189" s="137">
        <v>200</v>
      </c>
      <c r="I189" s="137">
        <v>200</v>
      </c>
      <c r="J189" s="109"/>
      <c r="K189" s="94"/>
      <c r="L189" s="105">
        <v>20201118</v>
      </c>
    </row>
    <row r="190" s="113" customFormat="1" ht="15" customHeight="1" spans="1:12">
      <c r="A190" s="137">
        <v>188</v>
      </c>
      <c r="B190" s="137" t="s">
        <v>4837</v>
      </c>
      <c r="C190" s="9" t="s">
        <v>5201</v>
      </c>
      <c r="D190" s="137" t="s">
        <v>5202</v>
      </c>
      <c r="E190" s="109" t="s">
        <v>15</v>
      </c>
      <c r="F190" s="109">
        <v>2020</v>
      </c>
      <c r="G190" s="137" t="s">
        <v>2480</v>
      </c>
      <c r="H190" s="137">
        <v>200</v>
      </c>
      <c r="I190" s="137">
        <v>200</v>
      </c>
      <c r="J190" s="109"/>
      <c r="K190" s="94"/>
      <c r="L190" s="105">
        <v>20201118</v>
      </c>
    </row>
    <row r="191" s="113" customFormat="1" ht="15" customHeight="1" spans="1:12">
      <c r="A191" s="137">
        <v>189</v>
      </c>
      <c r="B191" s="137" t="s">
        <v>4837</v>
      </c>
      <c r="C191" s="9" t="s">
        <v>5203</v>
      </c>
      <c r="D191" s="137" t="s">
        <v>5204</v>
      </c>
      <c r="E191" s="109" t="s">
        <v>15</v>
      </c>
      <c r="F191" s="109">
        <v>2020</v>
      </c>
      <c r="G191" s="137" t="s">
        <v>2480</v>
      </c>
      <c r="H191" s="137">
        <v>200</v>
      </c>
      <c r="I191" s="137">
        <v>200</v>
      </c>
      <c r="J191" s="109"/>
      <c r="K191" s="94"/>
      <c r="L191" s="105">
        <v>20201118</v>
      </c>
    </row>
    <row r="192" s="113" customFormat="1" ht="15" customHeight="1" spans="1:12">
      <c r="A192" s="137">
        <v>190</v>
      </c>
      <c r="B192" s="137" t="s">
        <v>4837</v>
      </c>
      <c r="C192" s="9" t="s">
        <v>5205</v>
      </c>
      <c r="D192" s="137" t="s">
        <v>5206</v>
      </c>
      <c r="E192" s="109" t="s">
        <v>15</v>
      </c>
      <c r="F192" s="109">
        <v>2020</v>
      </c>
      <c r="G192" s="137" t="s">
        <v>2480</v>
      </c>
      <c r="H192" s="137">
        <v>200</v>
      </c>
      <c r="I192" s="137">
        <v>200</v>
      </c>
      <c r="J192" s="109"/>
      <c r="K192" s="94"/>
      <c r="L192" s="105">
        <v>20201118</v>
      </c>
    </row>
    <row r="193" s="113" customFormat="1" ht="15" customHeight="1" spans="1:12">
      <c r="A193" s="137">
        <v>191</v>
      </c>
      <c r="B193" s="137" t="s">
        <v>4837</v>
      </c>
      <c r="C193" s="9" t="s">
        <v>5207</v>
      </c>
      <c r="D193" s="137" t="s">
        <v>5208</v>
      </c>
      <c r="E193" s="109" t="s">
        <v>15</v>
      </c>
      <c r="F193" s="109">
        <v>2020</v>
      </c>
      <c r="G193" s="137" t="s">
        <v>2480</v>
      </c>
      <c r="H193" s="137">
        <v>200</v>
      </c>
      <c r="I193" s="137">
        <v>200</v>
      </c>
      <c r="J193" s="109"/>
      <c r="K193" s="94"/>
      <c r="L193" s="105">
        <v>20201118</v>
      </c>
    </row>
    <row r="194" s="113" customFormat="1" ht="15" customHeight="1" spans="1:12">
      <c r="A194" s="137">
        <v>192</v>
      </c>
      <c r="B194" s="137" t="s">
        <v>4837</v>
      </c>
      <c r="C194" s="9" t="s">
        <v>5209</v>
      </c>
      <c r="D194" s="137" t="s">
        <v>5210</v>
      </c>
      <c r="E194" s="109" t="s">
        <v>15</v>
      </c>
      <c r="F194" s="109">
        <v>2020</v>
      </c>
      <c r="G194" s="137" t="s">
        <v>2480</v>
      </c>
      <c r="H194" s="137">
        <v>200</v>
      </c>
      <c r="I194" s="137">
        <v>200</v>
      </c>
      <c r="J194" s="109"/>
      <c r="K194" s="94"/>
      <c r="L194" s="105">
        <v>20201118</v>
      </c>
    </row>
    <row r="195" s="113" customFormat="1" ht="15" customHeight="1" spans="1:12">
      <c r="A195" s="137">
        <v>193</v>
      </c>
      <c r="B195" s="137" t="s">
        <v>4837</v>
      </c>
      <c r="C195" s="9" t="s">
        <v>5211</v>
      </c>
      <c r="D195" s="137" t="s">
        <v>5212</v>
      </c>
      <c r="E195" s="109" t="s">
        <v>15</v>
      </c>
      <c r="F195" s="109">
        <v>2020</v>
      </c>
      <c r="G195" s="137" t="s">
        <v>2480</v>
      </c>
      <c r="H195" s="137">
        <v>200</v>
      </c>
      <c r="I195" s="137">
        <v>200</v>
      </c>
      <c r="J195" s="109"/>
      <c r="K195" s="94"/>
      <c r="L195" s="105">
        <v>20201118</v>
      </c>
    </row>
    <row r="196" s="113" customFormat="1" ht="15" customHeight="1" spans="1:12">
      <c r="A196" s="137">
        <v>194</v>
      </c>
      <c r="B196" s="137" t="s">
        <v>4837</v>
      </c>
      <c r="C196" s="9" t="s">
        <v>5213</v>
      </c>
      <c r="D196" s="137" t="s">
        <v>5214</v>
      </c>
      <c r="E196" s="109" t="s">
        <v>15</v>
      </c>
      <c r="F196" s="109">
        <v>2020</v>
      </c>
      <c r="G196" s="137" t="s">
        <v>2480</v>
      </c>
      <c r="H196" s="137">
        <v>200</v>
      </c>
      <c r="I196" s="137">
        <v>200</v>
      </c>
      <c r="J196" s="109"/>
      <c r="K196" s="94"/>
      <c r="L196" s="105">
        <v>20201118</v>
      </c>
    </row>
    <row r="197" s="113" customFormat="1" ht="15" customHeight="1" spans="1:12">
      <c r="A197" s="137">
        <v>195</v>
      </c>
      <c r="B197" s="137" t="s">
        <v>4837</v>
      </c>
      <c r="C197" s="9" t="s">
        <v>5215</v>
      </c>
      <c r="D197" s="137" t="s">
        <v>5216</v>
      </c>
      <c r="E197" s="109" t="s">
        <v>15</v>
      </c>
      <c r="F197" s="109">
        <v>2020</v>
      </c>
      <c r="G197" s="137" t="s">
        <v>2480</v>
      </c>
      <c r="H197" s="137">
        <v>200</v>
      </c>
      <c r="I197" s="137">
        <v>200</v>
      </c>
      <c r="J197" s="109"/>
      <c r="K197" s="94"/>
      <c r="L197" s="105">
        <v>20201118</v>
      </c>
    </row>
    <row r="198" s="113" customFormat="1" ht="15" customHeight="1" spans="1:12">
      <c r="A198" s="137">
        <v>196</v>
      </c>
      <c r="B198" s="137" t="s">
        <v>4837</v>
      </c>
      <c r="C198" s="9" t="s">
        <v>5217</v>
      </c>
      <c r="D198" s="137" t="s">
        <v>5218</v>
      </c>
      <c r="E198" s="109" t="s">
        <v>15</v>
      </c>
      <c r="F198" s="109">
        <v>2020</v>
      </c>
      <c r="G198" s="137" t="s">
        <v>2480</v>
      </c>
      <c r="H198" s="137">
        <v>200</v>
      </c>
      <c r="I198" s="137">
        <v>200</v>
      </c>
      <c r="J198" s="109"/>
      <c r="K198" s="94"/>
      <c r="L198" s="105">
        <v>20201118</v>
      </c>
    </row>
    <row r="199" s="113" customFormat="1" ht="15" customHeight="1" spans="1:12">
      <c r="A199" s="137">
        <v>197</v>
      </c>
      <c r="B199" s="137" t="s">
        <v>4837</v>
      </c>
      <c r="C199" s="9" t="s">
        <v>5219</v>
      </c>
      <c r="D199" s="137" t="s">
        <v>5220</v>
      </c>
      <c r="E199" s="109" t="s">
        <v>15</v>
      </c>
      <c r="F199" s="109">
        <v>2020</v>
      </c>
      <c r="G199" s="137" t="s">
        <v>2480</v>
      </c>
      <c r="H199" s="137">
        <v>200</v>
      </c>
      <c r="I199" s="137">
        <v>200</v>
      </c>
      <c r="J199" s="109"/>
      <c r="K199" s="94"/>
      <c r="L199" s="105">
        <v>20201118</v>
      </c>
    </row>
    <row r="200" s="113" customFormat="1" ht="15" customHeight="1" spans="1:12">
      <c r="A200" s="137">
        <v>198</v>
      </c>
      <c r="B200" s="137" t="s">
        <v>4837</v>
      </c>
      <c r="C200" s="9" t="s">
        <v>5221</v>
      </c>
      <c r="D200" s="137" t="s">
        <v>5222</v>
      </c>
      <c r="E200" s="109" t="s">
        <v>15</v>
      </c>
      <c r="F200" s="109">
        <v>2020</v>
      </c>
      <c r="G200" s="137" t="s">
        <v>2480</v>
      </c>
      <c r="H200" s="137">
        <v>200</v>
      </c>
      <c r="I200" s="137">
        <v>200</v>
      </c>
      <c r="J200" s="109"/>
      <c r="K200" s="94"/>
      <c r="L200" s="105">
        <v>20201118</v>
      </c>
    </row>
    <row r="201" s="113" customFormat="1" ht="15" customHeight="1" spans="1:12">
      <c r="A201" s="137">
        <v>199</v>
      </c>
      <c r="B201" s="137" t="s">
        <v>4837</v>
      </c>
      <c r="C201" s="9" t="s">
        <v>5223</v>
      </c>
      <c r="D201" s="137" t="s">
        <v>5224</v>
      </c>
      <c r="E201" s="109" t="s">
        <v>15</v>
      </c>
      <c r="F201" s="109">
        <v>2020</v>
      </c>
      <c r="G201" s="137" t="s">
        <v>2480</v>
      </c>
      <c r="H201" s="137">
        <v>200</v>
      </c>
      <c r="I201" s="137">
        <v>200</v>
      </c>
      <c r="J201" s="109"/>
      <c r="K201" s="94"/>
      <c r="L201" s="105">
        <v>20201118</v>
      </c>
    </row>
    <row r="202" s="113" customFormat="1" ht="15" customHeight="1" spans="1:12">
      <c r="A202" s="137">
        <v>200</v>
      </c>
      <c r="B202" s="137" t="s">
        <v>4837</v>
      </c>
      <c r="C202" s="9" t="s">
        <v>5225</v>
      </c>
      <c r="D202" s="137" t="s">
        <v>5226</v>
      </c>
      <c r="E202" s="109" t="s">
        <v>15</v>
      </c>
      <c r="F202" s="109">
        <v>2020</v>
      </c>
      <c r="G202" s="137" t="s">
        <v>2480</v>
      </c>
      <c r="H202" s="137">
        <v>200</v>
      </c>
      <c r="I202" s="137">
        <v>200</v>
      </c>
      <c r="J202" s="109"/>
      <c r="K202" s="94"/>
      <c r="L202" s="105">
        <v>20201118</v>
      </c>
    </row>
    <row r="203" s="113" customFormat="1" ht="15" customHeight="1" spans="1:12">
      <c r="A203" s="137">
        <v>201</v>
      </c>
      <c r="B203" s="137" t="s">
        <v>4837</v>
      </c>
      <c r="C203" s="9" t="s">
        <v>5227</v>
      </c>
      <c r="D203" s="137" t="s">
        <v>5228</v>
      </c>
      <c r="E203" s="109" t="s">
        <v>15</v>
      </c>
      <c r="F203" s="109">
        <v>2020</v>
      </c>
      <c r="G203" s="137" t="s">
        <v>2480</v>
      </c>
      <c r="H203" s="137">
        <v>200</v>
      </c>
      <c r="I203" s="137">
        <v>200</v>
      </c>
      <c r="J203" s="109"/>
      <c r="K203" s="94"/>
      <c r="L203" s="105">
        <v>20201118</v>
      </c>
    </row>
    <row r="204" s="113" customFormat="1" ht="15" customHeight="1" spans="1:12">
      <c r="A204" s="137">
        <v>202</v>
      </c>
      <c r="B204" s="137" t="s">
        <v>4837</v>
      </c>
      <c r="C204" s="9" t="s">
        <v>5229</v>
      </c>
      <c r="D204" s="137" t="s">
        <v>5230</v>
      </c>
      <c r="E204" s="109" t="s">
        <v>15</v>
      </c>
      <c r="F204" s="109">
        <v>2020</v>
      </c>
      <c r="G204" s="137" t="s">
        <v>2480</v>
      </c>
      <c r="H204" s="137">
        <v>200</v>
      </c>
      <c r="I204" s="137">
        <v>200</v>
      </c>
      <c r="J204" s="109"/>
      <c r="K204" s="94"/>
      <c r="L204" s="105">
        <v>20201118</v>
      </c>
    </row>
    <row r="205" s="113" customFormat="1" ht="15" customHeight="1" spans="1:12">
      <c r="A205" s="137">
        <v>203</v>
      </c>
      <c r="B205" s="137" t="s">
        <v>4837</v>
      </c>
      <c r="C205" s="9" t="s">
        <v>5231</v>
      </c>
      <c r="D205" s="137" t="s">
        <v>5232</v>
      </c>
      <c r="E205" s="109" t="s">
        <v>15</v>
      </c>
      <c r="F205" s="109">
        <v>2020</v>
      </c>
      <c r="G205" s="137" t="s">
        <v>2480</v>
      </c>
      <c r="H205" s="137">
        <v>200</v>
      </c>
      <c r="I205" s="137">
        <v>200</v>
      </c>
      <c r="J205" s="109"/>
      <c r="K205" s="94"/>
      <c r="L205" s="105">
        <v>20201118</v>
      </c>
    </row>
    <row r="206" s="113" customFormat="1" ht="15" customHeight="1" spans="1:12">
      <c r="A206" s="137">
        <v>204</v>
      </c>
      <c r="B206" s="137" t="s">
        <v>4837</v>
      </c>
      <c r="C206" s="9" t="s">
        <v>5233</v>
      </c>
      <c r="D206" s="137" t="s">
        <v>5234</v>
      </c>
      <c r="E206" s="109" t="s">
        <v>15</v>
      </c>
      <c r="F206" s="109">
        <v>2020</v>
      </c>
      <c r="G206" s="137" t="s">
        <v>2480</v>
      </c>
      <c r="H206" s="137">
        <v>200</v>
      </c>
      <c r="I206" s="137">
        <v>200</v>
      </c>
      <c r="J206" s="109"/>
      <c r="K206" s="94"/>
      <c r="L206" s="105">
        <v>20201118</v>
      </c>
    </row>
    <row r="207" s="113" customFormat="1" ht="15" customHeight="1" spans="1:12">
      <c r="A207" s="137">
        <v>205</v>
      </c>
      <c r="B207" s="137" t="s">
        <v>4837</v>
      </c>
      <c r="C207" s="9" t="s">
        <v>5235</v>
      </c>
      <c r="D207" s="137" t="s">
        <v>5236</v>
      </c>
      <c r="E207" s="109" t="s">
        <v>15</v>
      </c>
      <c r="F207" s="109">
        <v>2020</v>
      </c>
      <c r="G207" s="137" t="s">
        <v>2480</v>
      </c>
      <c r="H207" s="137">
        <v>200</v>
      </c>
      <c r="I207" s="137">
        <v>200</v>
      </c>
      <c r="J207" s="109"/>
      <c r="K207" s="94"/>
      <c r="L207" s="105">
        <v>20201118</v>
      </c>
    </row>
    <row r="208" s="113" customFormat="1" ht="15" customHeight="1" spans="1:12">
      <c r="A208" s="137">
        <v>206</v>
      </c>
      <c r="B208" s="137" t="s">
        <v>4837</v>
      </c>
      <c r="C208" s="9" t="s">
        <v>5237</v>
      </c>
      <c r="D208" s="137" t="s">
        <v>5238</v>
      </c>
      <c r="E208" s="109" t="s">
        <v>15</v>
      </c>
      <c r="F208" s="109">
        <v>2020</v>
      </c>
      <c r="G208" s="137" t="s">
        <v>2480</v>
      </c>
      <c r="H208" s="137">
        <v>200</v>
      </c>
      <c r="I208" s="137">
        <v>200</v>
      </c>
      <c r="J208" s="109"/>
      <c r="K208" s="94"/>
      <c r="L208" s="105">
        <v>20201118</v>
      </c>
    </row>
    <row r="209" s="113" customFormat="1" ht="15" customHeight="1" spans="1:12">
      <c r="A209" s="137">
        <v>207</v>
      </c>
      <c r="B209" s="137" t="s">
        <v>4837</v>
      </c>
      <c r="C209" s="9" t="s">
        <v>5239</v>
      </c>
      <c r="D209" s="137" t="s">
        <v>5240</v>
      </c>
      <c r="E209" s="109" t="s">
        <v>15</v>
      </c>
      <c r="F209" s="109">
        <v>2020</v>
      </c>
      <c r="G209" s="137" t="s">
        <v>2480</v>
      </c>
      <c r="H209" s="137">
        <v>200</v>
      </c>
      <c r="I209" s="137">
        <v>200</v>
      </c>
      <c r="J209" s="109"/>
      <c r="K209" s="94"/>
      <c r="L209" s="105">
        <v>20201118</v>
      </c>
    </row>
    <row r="210" s="113" customFormat="1" ht="15" customHeight="1" spans="1:12">
      <c r="A210" s="137">
        <v>208</v>
      </c>
      <c r="B210" s="137" t="s">
        <v>4837</v>
      </c>
      <c r="C210" s="9" t="s">
        <v>5241</v>
      </c>
      <c r="D210" s="137" t="s">
        <v>5242</v>
      </c>
      <c r="E210" s="109" t="s">
        <v>15</v>
      </c>
      <c r="F210" s="109">
        <v>2020</v>
      </c>
      <c r="G210" s="137" t="s">
        <v>2480</v>
      </c>
      <c r="H210" s="137">
        <v>200</v>
      </c>
      <c r="I210" s="137">
        <v>200</v>
      </c>
      <c r="J210" s="109"/>
      <c r="K210" s="94"/>
      <c r="L210" s="105">
        <v>20201118</v>
      </c>
    </row>
    <row r="211" s="113" customFormat="1" ht="15" customHeight="1" spans="1:12">
      <c r="A211" s="137">
        <v>209</v>
      </c>
      <c r="B211" s="137" t="s">
        <v>4837</v>
      </c>
      <c r="C211" s="9" t="s">
        <v>5243</v>
      </c>
      <c r="D211" s="137" t="s">
        <v>5244</v>
      </c>
      <c r="E211" s="109" t="s">
        <v>15</v>
      </c>
      <c r="F211" s="109">
        <v>2020</v>
      </c>
      <c r="G211" s="137" t="s">
        <v>2480</v>
      </c>
      <c r="H211" s="137">
        <v>200</v>
      </c>
      <c r="I211" s="137">
        <v>200</v>
      </c>
      <c r="J211" s="109"/>
      <c r="K211" s="94"/>
      <c r="L211" s="105">
        <v>20201118</v>
      </c>
    </row>
    <row r="212" s="113" customFormat="1" ht="15" customHeight="1" spans="1:12">
      <c r="A212" s="137">
        <v>210</v>
      </c>
      <c r="B212" s="137" t="s">
        <v>4837</v>
      </c>
      <c r="C212" s="9" t="s">
        <v>5245</v>
      </c>
      <c r="D212" s="137" t="s">
        <v>5246</v>
      </c>
      <c r="E212" s="109" t="s">
        <v>15</v>
      </c>
      <c r="F212" s="109">
        <v>2020</v>
      </c>
      <c r="G212" s="137" t="s">
        <v>2480</v>
      </c>
      <c r="H212" s="137">
        <v>200</v>
      </c>
      <c r="I212" s="137">
        <v>200</v>
      </c>
      <c r="J212" s="109"/>
      <c r="K212" s="94"/>
      <c r="L212" s="105">
        <v>20201118</v>
      </c>
    </row>
    <row r="213" s="113" customFormat="1" ht="15" customHeight="1" spans="1:12">
      <c r="A213" s="137">
        <v>211</v>
      </c>
      <c r="B213" s="137" t="s">
        <v>4837</v>
      </c>
      <c r="C213" s="9" t="s">
        <v>5247</v>
      </c>
      <c r="D213" s="137" t="s">
        <v>5248</v>
      </c>
      <c r="E213" s="109" t="s">
        <v>15</v>
      </c>
      <c r="F213" s="109">
        <v>2020</v>
      </c>
      <c r="G213" s="137" t="s">
        <v>2480</v>
      </c>
      <c r="H213" s="137">
        <v>200</v>
      </c>
      <c r="I213" s="137">
        <v>200</v>
      </c>
      <c r="J213" s="109"/>
      <c r="K213" s="94"/>
      <c r="L213" s="105">
        <v>20201118</v>
      </c>
    </row>
    <row r="214" s="113" customFormat="1" ht="15" customHeight="1" spans="1:12">
      <c r="A214" s="137">
        <v>212</v>
      </c>
      <c r="B214" s="137" t="s">
        <v>4837</v>
      </c>
      <c r="C214" s="9" t="s">
        <v>5249</v>
      </c>
      <c r="D214" s="137" t="s">
        <v>5250</v>
      </c>
      <c r="E214" s="109" t="s">
        <v>15</v>
      </c>
      <c r="F214" s="109">
        <v>2020</v>
      </c>
      <c r="G214" s="137" t="s">
        <v>2480</v>
      </c>
      <c r="H214" s="137">
        <v>200</v>
      </c>
      <c r="I214" s="137">
        <v>200</v>
      </c>
      <c r="J214" s="109"/>
      <c r="K214" s="94"/>
      <c r="L214" s="105">
        <v>20201118</v>
      </c>
    </row>
    <row r="215" s="113" customFormat="1" ht="15" customHeight="1" spans="1:12">
      <c r="A215" s="137">
        <v>213</v>
      </c>
      <c r="B215" s="137" t="s">
        <v>4837</v>
      </c>
      <c r="C215" s="9" t="s">
        <v>5251</v>
      </c>
      <c r="D215" s="137" t="s">
        <v>5252</v>
      </c>
      <c r="E215" s="109" t="s">
        <v>15</v>
      </c>
      <c r="F215" s="109">
        <v>2020</v>
      </c>
      <c r="G215" s="137" t="s">
        <v>2480</v>
      </c>
      <c r="H215" s="137">
        <v>300</v>
      </c>
      <c r="I215" s="137">
        <v>300</v>
      </c>
      <c r="J215" s="109"/>
      <c r="K215" s="94"/>
      <c r="L215" s="105">
        <v>20201118</v>
      </c>
    </row>
    <row r="216" s="113" customFormat="1" ht="15" customHeight="1" spans="1:12">
      <c r="A216" s="137">
        <v>214</v>
      </c>
      <c r="B216" s="137" t="s">
        <v>4837</v>
      </c>
      <c r="C216" s="9" t="s">
        <v>5253</v>
      </c>
      <c r="D216" s="137" t="s">
        <v>5254</v>
      </c>
      <c r="E216" s="109" t="s">
        <v>15</v>
      </c>
      <c r="F216" s="109">
        <v>2020</v>
      </c>
      <c r="G216" s="137" t="s">
        <v>2480</v>
      </c>
      <c r="H216" s="137">
        <v>200</v>
      </c>
      <c r="I216" s="137">
        <v>200</v>
      </c>
      <c r="J216" s="109"/>
      <c r="K216" s="94"/>
      <c r="L216" s="105">
        <v>20201118</v>
      </c>
    </row>
    <row r="217" s="113" customFormat="1" ht="15" customHeight="1" spans="1:12">
      <c r="A217" s="137">
        <v>215</v>
      </c>
      <c r="B217" s="137" t="s">
        <v>4837</v>
      </c>
      <c r="C217" s="9" t="s">
        <v>5255</v>
      </c>
      <c r="D217" s="137" t="s">
        <v>5256</v>
      </c>
      <c r="E217" s="109" t="s">
        <v>15</v>
      </c>
      <c r="F217" s="109">
        <v>2020</v>
      </c>
      <c r="G217" s="137" t="s">
        <v>2480</v>
      </c>
      <c r="H217" s="137">
        <v>200</v>
      </c>
      <c r="I217" s="137">
        <v>200</v>
      </c>
      <c r="J217" s="109"/>
      <c r="K217" s="94"/>
      <c r="L217" s="105">
        <v>20201118</v>
      </c>
    </row>
    <row r="218" s="113" customFormat="1" ht="15" customHeight="1" spans="1:12">
      <c r="A218" s="137">
        <v>216</v>
      </c>
      <c r="B218" s="137" t="s">
        <v>4837</v>
      </c>
      <c r="C218" s="9" t="s">
        <v>5257</v>
      </c>
      <c r="D218" s="137" t="s">
        <v>5258</v>
      </c>
      <c r="E218" s="109" t="s">
        <v>15</v>
      </c>
      <c r="F218" s="109">
        <v>2020</v>
      </c>
      <c r="G218" s="137" t="s">
        <v>2480</v>
      </c>
      <c r="H218" s="137">
        <v>200</v>
      </c>
      <c r="I218" s="137">
        <v>200</v>
      </c>
      <c r="J218" s="109"/>
      <c r="K218" s="94"/>
      <c r="L218" s="105">
        <v>20201118</v>
      </c>
    </row>
    <row r="219" s="113" customFormat="1" ht="15" customHeight="1" spans="1:12">
      <c r="A219" s="137">
        <v>217</v>
      </c>
      <c r="B219" s="137" t="s">
        <v>4837</v>
      </c>
      <c r="C219" s="9" t="s">
        <v>5259</v>
      </c>
      <c r="D219" s="137" t="s">
        <v>5260</v>
      </c>
      <c r="E219" s="109" t="s">
        <v>15</v>
      </c>
      <c r="F219" s="109">
        <v>2020</v>
      </c>
      <c r="G219" s="137" t="s">
        <v>2480</v>
      </c>
      <c r="H219" s="137">
        <v>200</v>
      </c>
      <c r="I219" s="137">
        <v>200</v>
      </c>
      <c r="J219" s="109"/>
      <c r="K219" s="94"/>
      <c r="L219" s="105">
        <v>20201118</v>
      </c>
    </row>
    <row r="220" s="113" customFormat="1" ht="15" customHeight="1" spans="1:12">
      <c r="A220" s="137">
        <v>218</v>
      </c>
      <c r="B220" s="137" t="s">
        <v>4837</v>
      </c>
      <c r="C220" s="9" t="s">
        <v>5261</v>
      </c>
      <c r="D220" s="137" t="s">
        <v>5262</v>
      </c>
      <c r="E220" s="109" t="s">
        <v>15</v>
      </c>
      <c r="F220" s="109">
        <v>2020</v>
      </c>
      <c r="G220" s="137" t="s">
        <v>2480</v>
      </c>
      <c r="H220" s="137">
        <v>200</v>
      </c>
      <c r="I220" s="137">
        <v>200</v>
      </c>
      <c r="J220" s="109"/>
      <c r="K220" s="94"/>
      <c r="L220" s="105">
        <v>20201118</v>
      </c>
    </row>
    <row r="221" s="113" customFormat="1" ht="15" customHeight="1" spans="1:12">
      <c r="A221" s="137">
        <v>219</v>
      </c>
      <c r="B221" s="137" t="s">
        <v>4837</v>
      </c>
      <c r="C221" s="9" t="s">
        <v>5263</v>
      </c>
      <c r="D221" s="137" t="s">
        <v>5264</v>
      </c>
      <c r="E221" s="109" t="s">
        <v>15</v>
      </c>
      <c r="F221" s="109">
        <v>2020</v>
      </c>
      <c r="G221" s="137" t="s">
        <v>2480</v>
      </c>
      <c r="H221" s="137">
        <v>200</v>
      </c>
      <c r="I221" s="137">
        <v>200</v>
      </c>
      <c r="J221" s="109"/>
      <c r="K221" s="94"/>
      <c r="L221" s="105">
        <v>20201118</v>
      </c>
    </row>
    <row r="222" s="113" customFormat="1" ht="15" customHeight="1" spans="1:12">
      <c r="A222" s="137">
        <v>220</v>
      </c>
      <c r="B222" s="137" t="s">
        <v>4837</v>
      </c>
      <c r="C222" s="9" t="s">
        <v>5265</v>
      </c>
      <c r="D222" s="137" t="s">
        <v>5266</v>
      </c>
      <c r="E222" s="109" t="s">
        <v>15</v>
      </c>
      <c r="F222" s="109">
        <v>2020</v>
      </c>
      <c r="G222" s="137" t="s">
        <v>2480</v>
      </c>
      <c r="H222" s="137">
        <v>200</v>
      </c>
      <c r="I222" s="137">
        <v>200</v>
      </c>
      <c r="J222" s="109"/>
      <c r="K222" s="94"/>
      <c r="L222" s="105">
        <v>20201118</v>
      </c>
    </row>
    <row r="223" s="113" customFormat="1" ht="15" customHeight="1" spans="1:12">
      <c r="A223" s="137">
        <v>221</v>
      </c>
      <c r="B223" s="137" t="s">
        <v>4837</v>
      </c>
      <c r="C223" s="9" t="s">
        <v>5267</v>
      </c>
      <c r="D223" s="137" t="s">
        <v>5268</v>
      </c>
      <c r="E223" s="109" t="s">
        <v>15</v>
      </c>
      <c r="F223" s="109">
        <v>2020</v>
      </c>
      <c r="G223" s="137" t="s">
        <v>2480</v>
      </c>
      <c r="H223" s="137">
        <v>300</v>
      </c>
      <c r="I223" s="137">
        <v>300</v>
      </c>
      <c r="J223" s="109"/>
      <c r="K223" s="94"/>
      <c r="L223" s="105">
        <v>20201118</v>
      </c>
    </row>
    <row r="224" s="113" customFormat="1" ht="15" customHeight="1" spans="1:12">
      <c r="A224" s="137">
        <v>222</v>
      </c>
      <c r="B224" s="137" t="s">
        <v>4837</v>
      </c>
      <c r="C224" s="9" t="s">
        <v>5269</v>
      </c>
      <c r="D224" s="137" t="s">
        <v>5270</v>
      </c>
      <c r="E224" s="109" t="s">
        <v>15</v>
      </c>
      <c r="F224" s="109">
        <v>2020</v>
      </c>
      <c r="G224" s="137" t="s">
        <v>2480</v>
      </c>
      <c r="H224" s="137">
        <v>200</v>
      </c>
      <c r="I224" s="137">
        <v>200</v>
      </c>
      <c r="J224" s="109"/>
      <c r="K224" s="94"/>
      <c r="L224" s="105">
        <v>20201118</v>
      </c>
    </row>
    <row r="225" s="113" customFormat="1" ht="15" customHeight="1" spans="1:12">
      <c r="A225" s="137">
        <v>223</v>
      </c>
      <c r="B225" s="137" t="s">
        <v>4837</v>
      </c>
      <c r="C225" s="9" t="s">
        <v>5271</v>
      </c>
      <c r="D225" s="137" t="s">
        <v>5272</v>
      </c>
      <c r="E225" s="109" t="s">
        <v>15</v>
      </c>
      <c r="F225" s="109">
        <v>2020</v>
      </c>
      <c r="G225" s="137" t="s">
        <v>2480</v>
      </c>
      <c r="H225" s="137">
        <v>200</v>
      </c>
      <c r="I225" s="137">
        <v>200</v>
      </c>
      <c r="J225" s="109"/>
      <c r="K225" s="94"/>
      <c r="L225" s="105">
        <v>20201118</v>
      </c>
    </row>
    <row r="226" s="113" customFormat="1" ht="15" customHeight="1" spans="1:12">
      <c r="A226" s="137">
        <v>224</v>
      </c>
      <c r="B226" s="137" t="s">
        <v>4837</v>
      </c>
      <c r="C226" s="9" t="s">
        <v>5273</v>
      </c>
      <c r="D226" s="137" t="s">
        <v>5274</v>
      </c>
      <c r="E226" s="109" t="s">
        <v>15</v>
      </c>
      <c r="F226" s="109">
        <v>2020</v>
      </c>
      <c r="G226" s="137" t="s">
        <v>2480</v>
      </c>
      <c r="H226" s="137">
        <v>200</v>
      </c>
      <c r="I226" s="137">
        <v>200</v>
      </c>
      <c r="J226" s="109"/>
      <c r="K226" s="94"/>
      <c r="L226" s="105">
        <v>20201118</v>
      </c>
    </row>
    <row r="227" s="113" customFormat="1" ht="15" customHeight="1" spans="1:12">
      <c r="A227" s="137">
        <v>225</v>
      </c>
      <c r="B227" s="137" t="s">
        <v>4837</v>
      </c>
      <c r="C227" s="9" t="s">
        <v>5275</v>
      </c>
      <c r="D227" s="137" t="s">
        <v>5276</v>
      </c>
      <c r="E227" s="109" t="s">
        <v>15</v>
      </c>
      <c r="F227" s="109">
        <v>2020</v>
      </c>
      <c r="G227" s="137" t="s">
        <v>2480</v>
      </c>
      <c r="H227" s="137">
        <v>200</v>
      </c>
      <c r="I227" s="137">
        <v>200</v>
      </c>
      <c r="J227" s="109"/>
      <c r="K227" s="94"/>
      <c r="L227" s="105">
        <v>20201118</v>
      </c>
    </row>
    <row r="228" s="113" customFormat="1" ht="15" customHeight="1" spans="1:12">
      <c r="A228" s="137">
        <v>226</v>
      </c>
      <c r="B228" s="137" t="s">
        <v>4837</v>
      </c>
      <c r="C228" s="9" t="s">
        <v>5277</v>
      </c>
      <c r="D228" s="137" t="s">
        <v>5278</v>
      </c>
      <c r="E228" s="109" t="s">
        <v>15</v>
      </c>
      <c r="F228" s="109">
        <v>2020</v>
      </c>
      <c r="G228" s="137" t="s">
        <v>2480</v>
      </c>
      <c r="H228" s="137">
        <v>200</v>
      </c>
      <c r="I228" s="137">
        <v>200</v>
      </c>
      <c r="J228" s="109"/>
      <c r="K228" s="94"/>
      <c r="L228" s="105">
        <v>20201118</v>
      </c>
    </row>
    <row r="229" s="113" customFormat="1" ht="15" customHeight="1" spans="1:12">
      <c r="A229" s="137">
        <v>227</v>
      </c>
      <c r="B229" s="137" t="s">
        <v>4837</v>
      </c>
      <c r="C229" s="9" t="s">
        <v>5279</v>
      </c>
      <c r="D229" s="137" t="s">
        <v>5280</v>
      </c>
      <c r="E229" s="109" t="s">
        <v>15</v>
      </c>
      <c r="F229" s="109">
        <v>2020</v>
      </c>
      <c r="G229" s="137" t="s">
        <v>2480</v>
      </c>
      <c r="H229" s="137">
        <v>200</v>
      </c>
      <c r="I229" s="137">
        <v>200</v>
      </c>
      <c r="J229" s="109"/>
      <c r="K229" s="94"/>
      <c r="L229" s="105">
        <v>20201118</v>
      </c>
    </row>
    <row r="230" s="113" customFormat="1" ht="15" customHeight="1" spans="1:12">
      <c r="A230" s="137">
        <v>228</v>
      </c>
      <c r="B230" s="137" t="s">
        <v>4837</v>
      </c>
      <c r="C230" s="9" t="s">
        <v>5281</v>
      </c>
      <c r="D230" s="137" t="s">
        <v>5282</v>
      </c>
      <c r="E230" s="109" t="s">
        <v>15</v>
      </c>
      <c r="F230" s="109">
        <v>2020</v>
      </c>
      <c r="G230" s="137" t="s">
        <v>2480</v>
      </c>
      <c r="H230" s="137">
        <v>200</v>
      </c>
      <c r="I230" s="137">
        <v>200</v>
      </c>
      <c r="J230" s="109"/>
      <c r="K230" s="94"/>
      <c r="L230" s="105">
        <v>20201118</v>
      </c>
    </row>
    <row r="231" s="113" customFormat="1" ht="15" customHeight="1" spans="1:12">
      <c r="A231" s="137">
        <v>229</v>
      </c>
      <c r="B231" s="137" t="s">
        <v>4837</v>
      </c>
      <c r="C231" s="9" t="s">
        <v>5283</v>
      </c>
      <c r="D231" s="137" t="s">
        <v>5284</v>
      </c>
      <c r="E231" s="109" t="s">
        <v>15</v>
      </c>
      <c r="F231" s="109">
        <v>2020</v>
      </c>
      <c r="G231" s="137" t="s">
        <v>2480</v>
      </c>
      <c r="H231" s="137">
        <v>200</v>
      </c>
      <c r="I231" s="137">
        <v>200</v>
      </c>
      <c r="J231" s="109"/>
      <c r="K231" s="94"/>
      <c r="L231" s="105">
        <v>20201118</v>
      </c>
    </row>
    <row r="232" s="113" customFormat="1" ht="15" customHeight="1" spans="1:12">
      <c r="A232" s="137">
        <v>230</v>
      </c>
      <c r="B232" s="137" t="s">
        <v>4837</v>
      </c>
      <c r="C232" s="9" t="s">
        <v>5285</v>
      </c>
      <c r="D232" s="137" t="s">
        <v>5286</v>
      </c>
      <c r="E232" s="109" t="s">
        <v>15</v>
      </c>
      <c r="F232" s="109">
        <v>2020</v>
      </c>
      <c r="G232" s="137" t="s">
        <v>2480</v>
      </c>
      <c r="H232" s="137">
        <v>200</v>
      </c>
      <c r="I232" s="137">
        <v>200</v>
      </c>
      <c r="J232" s="109" t="s">
        <v>108</v>
      </c>
      <c r="K232" s="94"/>
      <c r="L232" s="105">
        <v>20201118</v>
      </c>
    </row>
    <row r="233" s="113" customFormat="1" ht="15" customHeight="1" spans="1:12">
      <c r="A233" s="137">
        <v>231</v>
      </c>
      <c r="B233" s="137" t="s">
        <v>4837</v>
      </c>
      <c r="C233" s="9" t="s">
        <v>5287</v>
      </c>
      <c r="D233" s="137" t="s">
        <v>5288</v>
      </c>
      <c r="E233" s="109" t="s">
        <v>15</v>
      </c>
      <c r="F233" s="109">
        <v>2020</v>
      </c>
      <c r="G233" s="137" t="s">
        <v>2480</v>
      </c>
      <c r="H233" s="137">
        <v>200</v>
      </c>
      <c r="I233" s="137">
        <v>200</v>
      </c>
      <c r="J233" s="109"/>
      <c r="K233" s="94"/>
      <c r="L233" s="105">
        <v>20201118</v>
      </c>
    </row>
    <row r="234" s="113" customFormat="1" ht="15" customHeight="1" spans="1:12">
      <c r="A234" s="137">
        <v>232</v>
      </c>
      <c r="B234" s="137" t="s">
        <v>4837</v>
      </c>
      <c r="C234" s="9" t="s">
        <v>5289</v>
      </c>
      <c r="D234" s="137" t="s">
        <v>5290</v>
      </c>
      <c r="E234" s="109" t="s">
        <v>15</v>
      </c>
      <c r="F234" s="109">
        <v>2020</v>
      </c>
      <c r="G234" s="137" t="s">
        <v>2480</v>
      </c>
      <c r="H234" s="137">
        <v>200</v>
      </c>
      <c r="I234" s="137">
        <v>200</v>
      </c>
      <c r="J234" s="109"/>
      <c r="K234" s="94"/>
      <c r="L234" s="105">
        <v>20201118</v>
      </c>
    </row>
    <row r="235" s="113" customFormat="1" ht="15" customHeight="1" spans="1:12">
      <c r="A235" s="137">
        <v>233</v>
      </c>
      <c r="B235" s="137" t="s">
        <v>4837</v>
      </c>
      <c r="C235" s="9" t="s">
        <v>5291</v>
      </c>
      <c r="D235" s="137" t="s">
        <v>5292</v>
      </c>
      <c r="E235" s="109" t="s">
        <v>15</v>
      </c>
      <c r="F235" s="109">
        <v>2020</v>
      </c>
      <c r="G235" s="137" t="s">
        <v>2480</v>
      </c>
      <c r="H235" s="137">
        <v>200</v>
      </c>
      <c r="I235" s="137">
        <v>200</v>
      </c>
      <c r="J235" s="109"/>
      <c r="K235" s="94"/>
      <c r="L235" s="105">
        <v>20201118</v>
      </c>
    </row>
    <row r="236" s="113" customFormat="1" ht="15" customHeight="1" spans="1:12">
      <c r="A236" s="137">
        <v>234</v>
      </c>
      <c r="B236" s="137" t="s">
        <v>4837</v>
      </c>
      <c r="C236" s="9" t="s">
        <v>5293</v>
      </c>
      <c r="D236" s="137" t="s">
        <v>5294</v>
      </c>
      <c r="E236" s="109" t="s">
        <v>15</v>
      </c>
      <c r="F236" s="109">
        <v>2020</v>
      </c>
      <c r="G236" s="137" t="s">
        <v>2480</v>
      </c>
      <c r="H236" s="137">
        <v>200</v>
      </c>
      <c r="I236" s="137">
        <v>200</v>
      </c>
      <c r="J236" s="109"/>
      <c r="K236" s="94"/>
      <c r="L236" s="105">
        <v>20201118</v>
      </c>
    </row>
    <row r="237" s="113" customFormat="1" ht="15" customHeight="1" spans="1:12">
      <c r="A237" s="137">
        <v>235</v>
      </c>
      <c r="B237" s="137" t="s">
        <v>4837</v>
      </c>
      <c r="C237" s="9" t="s">
        <v>5295</v>
      </c>
      <c r="D237" s="137" t="s">
        <v>5296</v>
      </c>
      <c r="E237" s="109" t="s">
        <v>15</v>
      </c>
      <c r="F237" s="109">
        <v>2020</v>
      </c>
      <c r="G237" s="137" t="s">
        <v>2480</v>
      </c>
      <c r="H237" s="137">
        <v>200</v>
      </c>
      <c r="I237" s="137">
        <v>200</v>
      </c>
      <c r="J237" s="109"/>
      <c r="K237" s="94"/>
      <c r="L237" s="105">
        <v>20201118</v>
      </c>
    </row>
    <row r="238" s="113" customFormat="1" ht="15" customHeight="1" spans="1:12">
      <c r="A238" s="137">
        <v>236</v>
      </c>
      <c r="B238" s="137" t="s">
        <v>4837</v>
      </c>
      <c r="C238" s="9" t="s">
        <v>3224</v>
      </c>
      <c r="D238" s="137" t="s">
        <v>5297</v>
      </c>
      <c r="E238" s="109" t="s">
        <v>15</v>
      </c>
      <c r="F238" s="109">
        <v>2020</v>
      </c>
      <c r="G238" s="137" t="s">
        <v>2480</v>
      </c>
      <c r="H238" s="137">
        <v>200</v>
      </c>
      <c r="I238" s="137">
        <v>200</v>
      </c>
      <c r="J238" s="109"/>
      <c r="K238" s="94"/>
      <c r="L238" s="105">
        <v>20201118</v>
      </c>
    </row>
    <row r="239" s="113" customFormat="1" ht="15" customHeight="1" spans="1:12">
      <c r="A239" s="137">
        <v>237</v>
      </c>
      <c r="B239" s="137" t="s">
        <v>4837</v>
      </c>
      <c r="C239" s="9" t="s">
        <v>5298</v>
      </c>
      <c r="D239" s="137" t="s">
        <v>5299</v>
      </c>
      <c r="E239" s="109" t="s">
        <v>15</v>
      </c>
      <c r="F239" s="109">
        <v>2020</v>
      </c>
      <c r="G239" s="137" t="s">
        <v>2480</v>
      </c>
      <c r="H239" s="137">
        <v>200</v>
      </c>
      <c r="I239" s="137">
        <v>200</v>
      </c>
      <c r="J239" s="109"/>
      <c r="K239" s="94"/>
      <c r="L239" s="105">
        <v>20201118</v>
      </c>
    </row>
    <row r="240" s="113" customFormat="1" ht="15" customHeight="1" spans="1:12">
      <c r="A240" s="137">
        <v>238</v>
      </c>
      <c r="B240" s="137" t="s">
        <v>4837</v>
      </c>
      <c r="C240" s="9" t="s">
        <v>3228</v>
      </c>
      <c r="D240" s="137" t="s">
        <v>5300</v>
      </c>
      <c r="E240" s="109" t="s">
        <v>15</v>
      </c>
      <c r="F240" s="109">
        <v>2020</v>
      </c>
      <c r="G240" s="137" t="s">
        <v>2480</v>
      </c>
      <c r="H240" s="137">
        <v>200</v>
      </c>
      <c r="I240" s="137">
        <v>200</v>
      </c>
      <c r="J240" s="109"/>
      <c r="K240" s="94"/>
      <c r="L240" s="105">
        <v>20201118</v>
      </c>
    </row>
    <row r="241" s="113" customFormat="1" ht="15" customHeight="1" spans="1:12">
      <c r="A241" s="137">
        <v>239</v>
      </c>
      <c r="B241" s="137" t="s">
        <v>4837</v>
      </c>
      <c r="C241" s="9" t="s">
        <v>5301</v>
      </c>
      <c r="D241" s="137" t="s">
        <v>5302</v>
      </c>
      <c r="E241" s="109" t="s">
        <v>15</v>
      </c>
      <c r="F241" s="109">
        <v>2020</v>
      </c>
      <c r="G241" s="137" t="s">
        <v>2480</v>
      </c>
      <c r="H241" s="137">
        <v>200</v>
      </c>
      <c r="I241" s="137">
        <v>200</v>
      </c>
      <c r="J241" s="109"/>
      <c r="K241" s="94"/>
      <c r="L241" s="105">
        <v>20201118</v>
      </c>
    </row>
    <row r="242" s="113" customFormat="1" ht="15" customHeight="1" spans="1:12">
      <c r="A242" s="137">
        <v>240</v>
      </c>
      <c r="B242" s="137" t="s">
        <v>4837</v>
      </c>
      <c r="C242" s="9" t="s">
        <v>5303</v>
      </c>
      <c r="D242" s="9" t="s">
        <v>5304</v>
      </c>
      <c r="E242" s="109" t="s">
        <v>15</v>
      </c>
      <c r="F242" s="109">
        <v>2020</v>
      </c>
      <c r="G242" s="137" t="s">
        <v>2480</v>
      </c>
      <c r="H242" s="137">
        <v>200</v>
      </c>
      <c r="I242" s="137">
        <v>200</v>
      </c>
      <c r="J242" s="109"/>
      <c r="K242" s="94"/>
      <c r="L242" s="105">
        <v>20201118</v>
      </c>
    </row>
    <row r="243" s="113" customFormat="1" ht="15" customHeight="1" spans="1:12">
      <c r="A243" s="137">
        <v>241</v>
      </c>
      <c r="B243" s="137" t="s">
        <v>4837</v>
      </c>
      <c r="C243" s="9" t="s">
        <v>5305</v>
      </c>
      <c r="D243" s="137" t="s">
        <v>5306</v>
      </c>
      <c r="E243" s="109" t="s">
        <v>15</v>
      </c>
      <c r="F243" s="109">
        <v>2020</v>
      </c>
      <c r="G243" s="137" t="s">
        <v>2480</v>
      </c>
      <c r="H243" s="137">
        <v>200</v>
      </c>
      <c r="I243" s="137">
        <v>200</v>
      </c>
      <c r="J243" s="109"/>
      <c r="K243" s="94"/>
      <c r="L243" s="105">
        <v>20201118</v>
      </c>
    </row>
    <row r="244" s="113" customFormat="1" ht="15" customHeight="1" spans="1:12">
      <c r="A244" s="137">
        <v>242</v>
      </c>
      <c r="B244" s="137" t="s">
        <v>4837</v>
      </c>
      <c r="C244" s="9" t="s">
        <v>5307</v>
      </c>
      <c r="D244" s="137" t="s">
        <v>5308</v>
      </c>
      <c r="E244" s="109" t="s">
        <v>15</v>
      </c>
      <c r="F244" s="109">
        <v>2020</v>
      </c>
      <c r="G244" s="137" t="s">
        <v>2480</v>
      </c>
      <c r="H244" s="137">
        <v>200</v>
      </c>
      <c r="I244" s="137">
        <v>200</v>
      </c>
      <c r="J244" s="109"/>
      <c r="K244" s="94"/>
      <c r="L244" s="105">
        <v>20201118</v>
      </c>
    </row>
    <row r="245" s="113" customFormat="1" ht="15" customHeight="1" spans="1:12">
      <c r="A245" s="137">
        <v>243</v>
      </c>
      <c r="B245" s="137" t="s">
        <v>4837</v>
      </c>
      <c r="C245" s="9" t="s">
        <v>5309</v>
      </c>
      <c r="D245" s="137" t="s">
        <v>5310</v>
      </c>
      <c r="E245" s="109" t="s">
        <v>15</v>
      </c>
      <c r="F245" s="109">
        <v>2020</v>
      </c>
      <c r="G245" s="137" t="s">
        <v>2480</v>
      </c>
      <c r="H245" s="137">
        <v>200</v>
      </c>
      <c r="I245" s="137">
        <v>200</v>
      </c>
      <c r="J245" s="109"/>
      <c r="K245" s="94"/>
      <c r="L245" s="105">
        <v>20201118</v>
      </c>
    </row>
    <row r="246" s="113" customFormat="1" ht="15" customHeight="1" spans="1:12">
      <c r="A246" s="137">
        <v>244</v>
      </c>
      <c r="B246" s="137" t="s">
        <v>4837</v>
      </c>
      <c r="C246" s="9" t="s">
        <v>5311</v>
      </c>
      <c r="D246" s="137" t="s">
        <v>5312</v>
      </c>
      <c r="E246" s="109" t="s">
        <v>15</v>
      </c>
      <c r="F246" s="109">
        <v>2020</v>
      </c>
      <c r="G246" s="137" t="s">
        <v>2480</v>
      </c>
      <c r="H246" s="137">
        <v>200</v>
      </c>
      <c r="I246" s="137">
        <v>200</v>
      </c>
      <c r="J246" s="109"/>
      <c r="K246" s="94"/>
      <c r="L246" s="105">
        <v>20201118</v>
      </c>
    </row>
    <row r="247" s="113" customFormat="1" ht="15" customHeight="1" spans="1:12">
      <c r="A247" s="137">
        <v>245</v>
      </c>
      <c r="B247" s="137" t="s">
        <v>4837</v>
      </c>
      <c r="C247" s="6" t="s">
        <v>5313</v>
      </c>
      <c r="D247" s="288" t="s">
        <v>5314</v>
      </c>
      <c r="E247" s="109" t="s">
        <v>15</v>
      </c>
      <c r="F247" s="109">
        <v>2020</v>
      </c>
      <c r="G247" s="137" t="s">
        <v>2480</v>
      </c>
      <c r="H247" s="109">
        <v>200</v>
      </c>
      <c r="I247" s="109">
        <v>200</v>
      </c>
      <c r="J247" s="109" t="s">
        <v>5315</v>
      </c>
      <c r="K247" s="94"/>
      <c r="L247" s="105">
        <v>20201118</v>
      </c>
    </row>
    <row r="248" s="113" customFormat="1" ht="15" customHeight="1" spans="1:12">
      <c r="A248" s="137">
        <v>246</v>
      </c>
      <c r="B248" s="137" t="s">
        <v>4837</v>
      </c>
      <c r="C248" s="6" t="s">
        <v>5316</v>
      </c>
      <c r="D248" s="288" t="s">
        <v>5317</v>
      </c>
      <c r="E248" s="109" t="s">
        <v>15</v>
      </c>
      <c r="F248" s="109">
        <v>2020</v>
      </c>
      <c r="G248" s="137" t="s">
        <v>2480</v>
      </c>
      <c r="H248" s="109">
        <v>200</v>
      </c>
      <c r="I248" s="109">
        <v>200</v>
      </c>
      <c r="J248" s="109" t="s">
        <v>5315</v>
      </c>
      <c r="K248" s="94"/>
      <c r="L248" s="105">
        <v>20201118</v>
      </c>
    </row>
    <row r="249" s="113" customFormat="1" ht="15" customHeight="1" spans="1:12">
      <c r="A249" s="137">
        <v>247</v>
      </c>
      <c r="B249" s="137" t="s">
        <v>4837</v>
      </c>
      <c r="C249" s="6" t="s">
        <v>5318</v>
      </c>
      <c r="D249" s="288" t="s">
        <v>5319</v>
      </c>
      <c r="E249" s="109" t="s">
        <v>15</v>
      </c>
      <c r="F249" s="109">
        <v>2020</v>
      </c>
      <c r="G249" s="137" t="s">
        <v>2480</v>
      </c>
      <c r="H249" s="109">
        <v>200</v>
      </c>
      <c r="I249" s="109">
        <v>200</v>
      </c>
      <c r="J249" s="109" t="s">
        <v>5315</v>
      </c>
      <c r="K249" s="94"/>
      <c r="L249" s="105">
        <v>20201118</v>
      </c>
    </row>
    <row r="250" s="113" customFormat="1" ht="15" customHeight="1" spans="1:12">
      <c r="A250" s="137">
        <v>248</v>
      </c>
      <c r="B250" s="137" t="s">
        <v>4837</v>
      </c>
      <c r="C250" s="6" t="s">
        <v>5320</v>
      </c>
      <c r="D250" s="288" t="s">
        <v>5321</v>
      </c>
      <c r="E250" s="109" t="s">
        <v>15</v>
      </c>
      <c r="F250" s="109">
        <v>2020</v>
      </c>
      <c r="G250" s="137" t="s">
        <v>2480</v>
      </c>
      <c r="H250" s="109">
        <v>200</v>
      </c>
      <c r="I250" s="109">
        <v>200</v>
      </c>
      <c r="J250" s="109" t="s">
        <v>5315</v>
      </c>
      <c r="K250" s="94"/>
      <c r="L250" s="105">
        <v>20201118</v>
      </c>
    </row>
    <row r="251" s="235" customFormat="1" ht="15" customHeight="1" spans="1:15">
      <c r="A251" s="137">
        <v>249</v>
      </c>
      <c r="B251" s="9" t="s">
        <v>4837</v>
      </c>
      <c r="C251" s="6" t="s">
        <v>5322</v>
      </c>
      <c r="D251" s="293" t="s">
        <v>5323</v>
      </c>
      <c r="E251" s="6" t="s">
        <v>310</v>
      </c>
      <c r="F251" s="6">
        <v>2020</v>
      </c>
      <c r="G251" s="6" t="s">
        <v>5324</v>
      </c>
      <c r="H251" s="6">
        <v>200</v>
      </c>
      <c r="I251" s="6">
        <v>2000</v>
      </c>
      <c r="J251" s="6"/>
      <c r="K251" s="10"/>
      <c r="L251" s="105">
        <v>20201118</v>
      </c>
      <c r="O251" s="240"/>
    </row>
    <row r="252" s="113" customFormat="1" ht="15" customHeight="1" spans="1:12">
      <c r="A252" s="137">
        <v>250</v>
      </c>
      <c r="B252" s="137" t="s">
        <v>4837</v>
      </c>
      <c r="C252" s="6" t="s">
        <v>5106</v>
      </c>
      <c r="D252" s="109" t="s">
        <v>5325</v>
      </c>
      <c r="E252" s="109" t="s">
        <v>15</v>
      </c>
      <c r="F252" s="109">
        <v>2020</v>
      </c>
      <c r="G252" s="137" t="s">
        <v>2480</v>
      </c>
      <c r="H252" s="109" t="s">
        <v>2295</v>
      </c>
      <c r="I252" s="109">
        <v>500</v>
      </c>
      <c r="J252" s="109"/>
      <c r="K252" s="94"/>
      <c r="L252" s="105">
        <v>20201118</v>
      </c>
    </row>
    <row r="253" s="113" customFormat="1" ht="16" customHeight="1" spans="1:14">
      <c r="A253" s="172"/>
      <c r="B253" s="172"/>
      <c r="C253" s="74"/>
      <c r="D253" s="172"/>
      <c r="E253" s="172"/>
      <c r="F253" s="172"/>
      <c r="G253" s="172"/>
      <c r="H253" s="172"/>
      <c r="I253" s="172" t="s">
        <v>5326</v>
      </c>
      <c r="J253" s="172"/>
      <c r="K253" s="172"/>
      <c r="L253" s="105"/>
      <c r="M253" s="114"/>
      <c r="N253" s="114"/>
    </row>
    <row r="254" s="113" customFormat="1" customHeight="1" spans="1:14">
      <c r="A254" s="236"/>
      <c r="B254" s="236"/>
      <c r="C254" s="237"/>
      <c r="D254" s="236"/>
      <c r="E254" s="236"/>
      <c r="F254" s="236"/>
      <c r="G254" s="236"/>
      <c r="H254" s="236"/>
      <c r="I254" s="236"/>
      <c r="J254" s="236"/>
      <c r="K254" s="236"/>
      <c r="L254"/>
      <c r="M254" s="114"/>
      <c r="N254" s="114"/>
    </row>
    <row r="255" s="113" customFormat="1" customHeight="1" spans="1:14">
      <c r="A255" s="236"/>
      <c r="B255" s="236"/>
      <c r="C255" s="237"/>
      <c r="D255" s="236"/>
      <c r="E255" s="236"/>
      <c r="F255" s="236"/>
      <c r="G255" s="236"/>
      <c r="H255" s="236"/>
      <c r="I255" s="236"/>
      <c r="J255" s="236"/>
      <c r="K255" s="236"/>
      <c r="L255"/>
      <c r="M255" s="114"/>
      <c r="N255" s="114"/>
    </row>
  </sheetData>
  <mergeCells count="2">
    <mergeCell ref="A1:L1"/>
    <mergeCell ref="E2:F2"/>
  </mergeCells>
  <pageMargins left="0.75" right="0.75" top="1" bottom="1" header="0.5" footer="0.5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2"/>
  <sheetViews>
    <sheetView topLeftCell="A98" workbookViewId="0">
      <selection activeCell="A3" sqref="A3:L141"/>
    </sheetView>
  </sheetViews>
  <sheetFormatPr defaultColWidth="9" defaultRowHeight="13.5"/>
  <cols>
    <col min="1" max="1" width="5.75" style="133" customWidth="1"/>
    <col min="2" max="2" width="13" style="133" customWidth="1"/>
    <col min="3" max="3" width="15" style="134" customWidth="1"/>
    <col min="4" max="4" width="20.5" style="133" customWidth="1"/>
    <col min="5" max="5" width="8.5" style="133" customWidth="1"/>
    <col min="6" max="6" width="9" style="133"/>
    <col min="7" max="7" width="10.5" style="133" customWidth="1"/>
    <col min="8" max="9" width="7.75" style="133" customWidth="1"/>
    <col min="10" max="10" width="13.75" style="133" customWidth="1"/>
    <col min="11" max="11" width="9" style="133"/>
    <col min="12" max="12" width="11.75" customWidth="1"/>
    <col min="13" max="13" width="9" style="133"/>
    <col min="14" max="16384" width="9" style="146"/>
  </cols>
  <sheetData>
    <row r="1" s="228" customFormat="1" ht="27" customHeight="1" spans="1:12">
      <c r="A1" s="229" t="s">
        <v>5327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spans="1:12">
      <c r="A3" s="132">
        <v>1</v>
      </c>
      <c r="B3" s="102" t="s">
        <v>5328</v>
      </c>
      <c r="C3" s="16" t="s">
        <v>5329</v>
      </c>
      <c r="D3" s="143" t="s">
        <v>5330</v>
      </c>
      <c r="E3" s="102" t="s">
        <v>15</v>
      </c>
      <c r="F3" s="102" t="s">
        <v>15</v>
      </c>
      <c r="G3" s="132" t="s">
        <v>16</v>
      </c>
      <c r="H3" s="109">
        <v>200</v>
      </c>
      <c r="I3" s="109">
        <v>200</v>
      </c>
      <c r="J3" s="128" t="s">
        <v>5331</v>
      </c>
      <c r="K3" s="102"/>
      <c r="L3" s="105">
        <v>20201118</v>
      </c>
    </row>
    <row r="4" spans="1:12">
      <c r="A4" s="132">
        <v>2</v>
      </c>
      <c r="B4" s="102" t="s">
        <v>5328</v>
      </c>
      <c r="C4" s="16" t="s">
        <v>5332</v>
      </c>
      <c r="D4" s="143" t="s">
        <v>5333</v>
      </c>
      <c r="E4" s="102" t="s">
        <v>15</v>
      </c>
      <c r="F4" s="102" t="s">
        <v>15</v>
      </c>
      <c r="G4" s="132" t="s">
        <v>16</v>
      </c>
      <c r="H4" s="109">
        <v>200</v>
      </c>
      <c r="I4" s="109">
        <v>200</v>
      </c>
      <c r="J4" s="102"/>
      <c r="K4" s="102"/>
      <c r="L4" s="105">
        <v>20201118</v>
      </c>
    </row>
    <row r="5" spans="1:12">
      <c r="A5" s="102">
        <v>3</v>
      </c>
      <c r="B5" s="102" t="s">
        <v>5328</v>
      </c>
      <c r="C5" s="16" t="s">
        <v>5334</v>
      </c>
      <c r="D5" s="143" t="s">
        <v>5335</v>
      </c>
      <c r="E5" s="102" t="s">
        <v>15</v>
      </c>
      <c r="F5" s="102" t="s">
        <v>15</v>
      </c>
      <c r="G5" s="132" t="s">
        <v>16</v>
      </c>
      <c r="H5" s="109">
        <v>200</v>
      </c>
      <c r="I5" s="109">
        <v>200</v>
      </c>
      <c r="J5" s="128" t="s">
        <v>5331</v>
      </c>
      <c r="K5" s="102"/>
      <c r="L5" s="105">
        <v>20201118</v>
      </c>
    </row>
    <row r="6" spans="1:12">
      <c r="A6" s="132">
        <v>4</v>
      </c>
      <c r="B6" s="102" t="s">
        <v>5328</v>
      </c>
      <c r="C6" s="16" t="s">
        <v>5336</v>
      </c>
      <c r="D6" s="143" t="s">
        <v>5337</v>
      </c>
      <c r="E6" s="102" t="s">
        <v>15</v>
      </c>
      <c r="F6" s="102" t="s">
        <v>15</v>
      </c>
      <c r="G6" s="132" t="s">
        <v>16</v>
      </c>
      <c r="H6" s="109">
        <v>200</v>
      </c>
      <c r="I6" s="109">
        <v>200</v>
      </c>
      <c r="J6" s="128" t="s">
        <v>5331</v>
      </c>
      <c r="K6" s="102"/>
      <c r="L6" s="105">
        <v>20201118</v>
      </c>
    </row>
    <row r="7" spans="1:12">
      <c r="A7" s="132">
        <v>5</v>
      </c>
      <c r="B7" s="102" t="s">
        <v>5328</v>
      </c>
      <c r="C7" s="16" t="s">
        <v>5338</v>
      </c>
      <c r="D7" s="143" t="s">
        <v>5339</v>
      </c>
      <c r="E7" s="102" t="s">
        <v>15</v>
      </c>
      <c r="F7" s="102" t="s">
        <v>15</v>
      </c>
      <c r="G7" s="132" t="s">
        <v>16</v>
      </c>
      <c r="H7" s="109">
        <v>200</v>
      </c>
      <c r="I7" s="109">
        <v>200</v>
      </c>
      <c r="J7" s="102"/>
      <c r="K7" s="102"/>
      <c r="L7" s="105">
        <v>20201118</v>
      </c>
    </row>
    <row r="8" spans="1:12">
      <c r="A8" s="132">
        <v>6</v>
      </c>
      <c r="B8" s="102" t="s">
        <v>5328</v>
      </c>
      <c r="C8" s="16" t="s">
        <v>5340</v>
      </c>
      <c r="D8" s="143" t="s">
        <v>5341</v>
      </c>
      <c r="E8" s="102" t="s">
        <v>15</v>
      </c>
      <c r="F8" s="102" t="s">
        <v>15</v>
      </c>
      <c r="G8" s="132" t="s">
        <v>16</v>
      </c>
      <c r="H8" s="109">
        <v>200</v>
      </c>
      <c r="I8" s="109">
        <v>200</v>
      </c>
      <c r="J8" s="102"/>
      <c r="K8" s="102"/>
      <c r="L8" s="105">
        <v>20201118</v>
      </c>
    </row>
    <row r="9" spans="1:12">
      <c r="A9" s="102">
        <v>7</v>
      </c>
      <c r="B9" s="102" t="s">
        <v>5328</v>
      </c>
      <c r="C9" s="16" t="s">
        <v>5342</v>
      </c>
      <c r="D9" s="143" t="s">
        <v>5343</v>
      </c>
      <c r="E9" s="102" t="s">
        <v>15</v>
      </c>
      <c r="F9" s="102" t="s">
        <v>15</v>
      </c>
      <c r="G9" s="132" t="s">
        <v>16</v>
      </c>
      <c r="H9" s="109">
        <v>200</v>
      </c>
      <c r="I9" s="109">
        <v>200</v>
      </c>
      <c r="J9" s="102"/>
      <c r="K9" s="102"/>
      <c r="L9" s="105">
        <v>20201118</v>
      </c>
    </row>
    <row r="10" spans="1:12">
      <c r="A10" s="132">
        <v>8</v>
      </c>
      <c r="B10" s="102" t="s">
        <v>5328</v>
      </c>
      <c r="C10" s="16" t="s">
        <v>4830</v>
      </c>
      <c r="D10" s="143" t="s">
        <v>5344</v>
      </c>
      <c r="E10" s="102" t="s">
        <v>15</v>
      </c>
      <c r="F10" s="102" t="s">
        <v>15</v>
      </c>
      <c r="G10" s="132" t="s">
        <v>16</v>
      </c>
      <c r="H10" s="109">
        <v>200</v>
      </c>
      <c r="I10" s="109">
        <v>200</v>
      </c>
      <c r="J10" s="102" t="s">
        <v>768</v>
      </c>
      <c r="K10" s="102"/>
      <c r="L10" s="105">
        <v>20201118</v>
      </c>
    </row>
    <row r="11" spans="1:12">
      <c r="A11" s="132">
        <v>9</v>
      </c>
      <c r="B11" s="102" t="s">
        <v>5328</v>
      </c>
      <c r="C11" s="16" t="s">
        <v>5345</v>
      </c>
      <c r="D11" s="143" t="s">
        <v>5346</v>
      </c>
      <c r="E11" s="102" t="s">
        <v>15</v>
      </c>
      <c r="F11" s="102" t="s">
        <v>15</v>
      </c>
      <c r="G11" s="132" t="s">
        <v>16</v>
      </c>
      <c r="H11" s="109">
        <v>200</v>
      </c>
      <c r="I11" s="109">
        <v>200</v>
      </c>
      <c r="J11" s="102"/>
      <c r="K11" s="102"/>
      <c r="L11" s="105">
        <v>20201118</v>
      </c>
    </row>
    <row r="12" spans="1:12">
      <c r="A12" s="132">
        <v>10</v>
      </c>
      <c r="B12" s="102" t="s">
        <v>5328</v>
      </c>
      <c r="C12" s="16" t="s">
        <v>5347</v>
      </c>
      <c r="D12" s="143" t="s">
        <v>5348</v>
      </c>
      <c r="E12" s="102" t="s">
        <v>15</v>
      </c>
      <c r="F12" s="102" t="s">
        <v>15</v>
      </c>
      <c r="G12" s="132" t="s">
        <v>16</v>
      </c>
      <c r="H12" s="109">
        <v>200</v>
      </c>
      <c r="I12" s="109">
        <v>200</v>
      </c>
      <c r="J12" s="102"/>
      <c r="K12" s="102"/>
      <c r="L12" s="105">
        <v>20201118</v>
      </c>
    </row>
    <row r="13" spans="1:12">
      <c r="A13" s="102">
        <v>11</v>
      </c>
      <c r="B13" s="102" t="s">
        <v>5328</v>
      </c>
      <c r="C13" s="16" t="s">
        <v>5349</v>
      </c>
      <c r="D13" s="143" t="s">
        <v>5350</v>
      </c>
      <c r="E13" s="102" t="s">
        <v>15</v>
      </c>
      <c r="F13" s="102" t="s">
        <v>15</v>
      </c>
      <c r="G13" s="132" t="s">
        <v>16</v>
      </c>
      <c r="H13" s="109">
        <v>200</v>
      </c>
      <c r="I13" s="109">
        <v>200</v>
      </c>
      <c r="J13" s="102"/>
      <c r="K13" s="102"/>
      <c r="L13" s="105">
        <v>20201118</v>
      </c>
    </row>
    <row r="14" spans="1:12">
      <c r="A14" s="132">
        <v>12</v>
      </c>
      <c r="B14" s="102" t="s">
        <v>5328</v>
      </c>
      <c r="C14" s="16" t="s">
        <v>5351</v>
      </c>
      <c r="D14" s="143" t="s">
        <v>5352</v>
      </c>
      <c r="E14" s="102" t="s">
        <v>15</v>
      </c>
      <c r="F14" s="102" t="s">
        <v>15</v>
      </c>
      <c r="G14" s="132" t="s">
        <v>16</v>
      </c>
      <c r="H14" s="109">
        <v>200</v>
      </c>
      <c r="I14" s="109">
        <v>200</v>
      </c>
      <c r="J14" s="102"/>
      <c r="K14" s="102"/>
      <c r="L14" s="105">
        <v>20201118</v>
      </c>
    </row>
    <row r="15" spans="1:12">
      <c r="A15" s="132">
        <v>13</v>
      </c>
      <c r="B15" s="102" t="s">
        <v>5328</v>
      </c>
      <c r="C15" s="16" t="s">
        <v>5353</v>
      </c>
      <c r="D15" s="143" t="s">
        <v>5354</v>
      </c>
      <c r="E15" s="102" t="s">
        <v>15</v>
      </c>
      <c r="F15" s="102" t="s">
        <v>15</v>
      </c>
      <c r="G15" s="132" t="s">
        <v>16</v>
      </c>
      <c r="H15" s="109">
        <v>200</v>
      </c>
      <c r="I15" s="109">
        <v>200</v>
      </c>
      <c r="J15" s="102"/>
      <c r="K15" s="102"/>
      <c r="L15" s="105">
        <v>20201118</v>
      </c>
    </row>
    <row r="16" spans="1:12">
      <c r="A16" s="132">
        <v>14</v>
      </c>
      <c r="B16" s="102" t="s">
        <v>5328</v>
      </c>
      <c r="C16" s="16" t="s">
        <v>5355</v>
      </c>
      <c r="D16" s="143" t="s">
        <v>5356</v>
      </c>
      <c r="E16" s="102" t="s">
        <v>15</v>
      </c>
      <c r="F16" s="102" t="s">
        <v>15</v>
      </c>
      <c r="G16" s="132" t="s">
        <v>16</v>
      </c>
      <c r="H16" s="109">
        <v>200</v>
      </c>
      <c r="I16" s="109">
        <v>200</v>
      </c>
      <c r="J16" s="102"/>
      <c r="K16" s="102"/>
      <c r="L16" s="105">
        <v>20201118</v>
      </c>
    </row>
    <row r="17" spans="1:12">
      <c r="A17" s="102">
        <v>15</v>
      </c>
      <c r="B17" s="102" t="s">
        <v>5328</v>
      </c>
      <c r="C17" s="16" t="s">
        <v>5357</v>
      </c>
      <c r="D17" s="143" t="s">
        <v>5358</v>
      </c>
      <c r="E17" s="102" t="s">
        <v>15</v>
      </c>
      <c r="F17" s="102" t="s">
        <v>15</v>
      </c>
      <c r="G17" s="132" t="s">
        <v>16</v>
      </c>
      <c r="H17" s="109">
        <v>200</v>
      </c>
      <c r="I17" s="109">
        <v>200</v>
      </c>
      <c r="J17" s="102" t="s">
        <v>768</v>
      </c>
      <c r="K17" s="102"/>
      <c r="L17" s="105">
        <v>20201118</v>
      </c>
    </row>
    <row r="18" spans="1:12">
      <c r="A18" s="132">
        <v>16</v>
      </c>
      <c r="B18" s="102" t="s">
        <v>5328</v>
      </c>
      <c r="C18" s="16" t="s">
        <v>5359</v>
      </c>
      <c r="D18" s="143" t="s">
        <v>5360</v>
      </c>
      <c r="E18" s="102" t="s">
        <v>15</v>
      </c>
      <c r="F18" s="102" t="s">
        <v>15</v>
      </c>
      <c r="G18" s="132" t="s">
        <v>16</v>
      </c>
      <c r="H18" s="109">
        <v>200</v>
      </c>
      <c r="I18" s="109">
        <v>200</v>
      </c>
      <c r="J18" s="102"/>
      <c r="K18" s="102"/>
      <c r="L18" s="105">
        <v>20201118</v>
      </c>
    </row>
    <row r="19" spans="1:12">
      <c r="A19" s="132">
        <v>17</v>
      </c>
      <c r="B19" s="102" t="s">
        <v>5328</v>
      </c>
      <c r="C19" s="16" t="s">
        <v>5361</v>
      </c>
      <c r="D19" s="143" t="s">
        <v>5362</v>
      </c>
      <c r="E19" s="102" t="s">
        <v>15</v>
      </c>
      <c r="F19" s="102" t="s">
        <v>15</v>
      </c>
      <c r="G19" s="132" t="s">
        <v>16</v>
      </c>
      <c r="H19" s="109">
        <v>200</v>
      </c>
      <c r="I19" s="109">
        <v>200</v>
      </c>
      <c r="J19" s="102"/>
      <c r="K19" s="102"/>
      <c r="L19" s="105">
        <v>20201118</v>
      </c>
    </row>
    <row r="20" spans="1:12">
      <c r="A20" s="132">
        <v>18</v>
      </c>
      <c r="B20" s="102" t="s">
        <v>5328</v>
      </c>
      <c r="C20" s="16" t="s">
        <v>5363</v>
      </c>
      <c r="D20" s="143" t="s">
        <v>5364</v>
      </c>
      <c r="E20" s="102" t="s">
        <v>15</v>
      </c>
      <c r="F20" s="102" t="s">
        <v>15</v>
      </c>
      <c r="G20" s="132" t="s">
        <v>16</v>
      </c>
      <c r="H20" s="109">
        <v>200</v>
      </c>
      <c r="I20" s="109">
        <v>200</v>
      </c>
      <c r="J20" s="102"/>
      <c r="K20" s="102"/>
      <c r="L20" s="105">
        <v>20201118</v>
      </c>
    </row>
    <row r="21" spans="1:12">
      <c r="A21" s="102">
        <v>19</v>
      </c>
      <c r="B21" s="102" t="s">
        <v>5328</v>
      </c>
      <c r="C21" s="16" t="s">
        <v>5365</v>
      </c>
      <c r="D21" s="143" t="s">
        <v>5366</v>
      </c>
      <c r="E21" s="102" t="s">
        <v>15</v>
      </c>
      <c r="F21" s="102" t="s">
        <v>15</v>
      </c>
      <c r="G21" s="132" t="s">
        <v>16</v>
      </c>
      <c r="H21" s="109">
        <v>200</v>
      </c>
      <c r="I21" s="109">
        <v>200</v>
      </c>
      <c r="J21" s="102"/>
      <c r="K21" s="102"/>
      <c r="L21" s="105">
        <v>20201118</v>
      </c>
    </row>
    <row r="22" spans="1:12">
      <c r="A22" s="132">
        <v>20</v>
      </c>
      <c r="B22" s="102" t="s">
        <v>5328</v>
      </c>
      <c r="C22" s="16" t="s">
        <v>5367</v>
      </c>
      <c r="D22" s="143" t="s">
        <v>5368</v>
      </c>
      <c r="E22" s="102" t="s">
        <v>15</v>
      </c>
      <c r="F22" s="102" t="s">
        <v>15</v>
      </c>
      <c r="G22" s="132" t="s">
        <v>16</v>
      </c>
      <c r="H22" s="109">
        <v>200</v>
      </c>
      <c r="I22" s="109">
        <v>200</v>
      </c>
      <c r="J22" s="102"/>
      <c r="K22" s="102"/>
      <c r="L22" s="105">
        <v>20201118</v>
      </c>
    </row>
    <row r="23" spans="1:12">
      <c r="A23" s="132">
        <v>21</v>
      </c>
      <c r="B23" s="102" t="s">
        <v>5328</v>
      </c>
      <c r="C23" s="16" t="s">
        <v>5369</v>
      </c>
      <c r="D23" s="143" t="s">
        <v>5370</v>
      </c>
      <c r="E23" s="102" t="s">
        <v>15</v>
      </c>
      <c r="F23" s="102" t="s">
        <v>15</v>
      </c>
      <c r="G23" s="132" t="s">
        <v>16</v>
      </c>
      <c r="H23" s="109">
        <v>200</v>
      </c>
      <c r="I23" s="109">
        <v>200</v>
      </c>
      <c r="J23" s="102"/>
      <c r="K23" s="102"/>
      <c r="L23" s="105">
        <v>20201118</v>
      </c>
    </row>
    <row r="24" spans="1:12">
      <c r="A24" s="132">
        <v>22</v>
      </c>
      <c r="B24" s="102" t="s">
        <v>5328</v>
      </c>
      <c r="C24" s="16" t="s">
        <v>5371</v>
      </c>
      <c r="D24" s="143" t="s">
        <v>5372</v>
      </c>
      <c r="E24" s="102" t="s">
        <v>15</v>
      </c>
      <c r="F24" s="102" t="s">
        <v>15</v>
      </c>
      <c r="G24" s="132" t="s">
        <v>16</v>
      </c>
      <c r="H24" s="109">
        <v>200</v>
      </c>
      <c r="I24" s="109">
        <v>200</v>
      </c>
      <c r="J24" s="102"/>
      <c r="K24" s="102"/>
      <c r="L24" s="105">
        <v>20201118</v>
      </c>
    </row>
    <row r="25" spans="1:12">
      <c r="A25" s="102">
        <v>23</v>
      </c>
      <c r="B25" s="102" t="s">
        <v>5328</v>
      </c>
      <c r="C25" s="16" t="s">
        <v>5373</v>
      </c>
      <c r="D25" s="143" t="s">
        <v>5374</v>
      </c>
      <c r="E25" s="102" t="s">
        <v>15</v>
      </c>
      <c r="F25" s="102" t="s">
        <v>15</v>
      </c>
      <c r="G25" s="132" t="s">
        <v>16</v>
      </c>
      <c r="H25" s="109">
        <v>200</v>
      </c>
      <c r="I25" s="109">
        <v>200</v>
      </c>
      <c r="J25" s="102"/>
      <c r="K25" s="102"/>
      <c r="L25" s="105">
        <v>20201118</v>
      </c>
    </row>
    <row r="26" spans="1:12">
      <c r="A26" s="132">
        <v>24</v>
      </c>
      <c r="B26" s="102" t="s">
        <v>5328</v>
      </c>
      <c r="C26" s="16" t="s">
        <v>5375</v>
      </c>
      <c r="D26" s="143" t="s">
        <v>5376</v>
      </c>
      <c r="E26" s="102" t="s">
        <v>15</v>
      </c>
      <c r="F26" s="102" t="s">
        <v>15</v>
      </c>
      <c r="G26" s="132" t="s">
        <v>16</v>
      </c>
      <c r="H26" s="109">
        <v>200</v>
      </c>
      <c r="I26" s="109">
        <v>200</v>
      </c>
      <c r="J26" s="102"/>
      <c r="K26" s="102"/>
      <c r="L26" s="105">
        <v>20201118</v>
      </c>
    </row>
    <row r="27" spans="1:12">
      <c r="A27" s="132">
        <v>25</v>
      </c>
      <c r="B27" s="102" t="s">
        <v>5328</v>
      </c>
      <c r="C27" s="16" t="s">
        <v>5377</v>
      </c>
      <c r="D27" s="143" t="s">
        <v>5378</v>
      </c>
      <c r="E27" s="102" t="s">
        <v>15</v>
      </c>
      <c r="F27" s="102" t="s">
        <v>15</v>
      </c>
      <c r="G27" s="132" t="s">
        <v>16</v>
      </c>
      <c r="H27" s="109">
        <v>200</v>
      </c>
      <c r="I27" s="109">
        <v>200</v>
      </c>
      <c r="J27" s="102"/>
      <c r="K27" s="102"/>
      <c r="L27" s="105">
        <v>20201118</v>
      </c>
    </row>
    <row r="28" spans="1:12">
      <c r="A28" s="132">
        <v>26</v>
      </c>
      <c r="B28" s="102" t="s">
        <v>5328</v>
      </c>
      <c r="C28" s="16" t="s">
        <v>5379</v>
      </c>
      <c r="D28" s="143" t="s">
        <v>5380</v>
      </c>
      <c r="E28" s="102" t="s">
        <v>15</v>
      </c>
      <c r="F28" s="102" t="s">
        <v>15</v>
      </c>
      <c r="G28" s="132" t="s">
        <v>16</v>
      </c>
      <c r="H28" s="109">
        <v>200</v>
      </c>
      <c r="I28" s="109">
        <v>200</v>
      </c>
      <c r="J28" s="102"/>
      <c r="K28" s="102"/>
      <c r="L28" s="105">
        <v>20201118</v>
      </c>
    </row>
    <row r="29" spans="1:12">
      <c r="A29" s="102">
        <v>27</v>
      </c>
      <c r="B29" s="102" t="s">
        <v>5328</v>
      </c>
      <c r="C29" s="16" t="s">
        <v>5381</v>
      </c>
      <c r="D29" s="143" t="s">
        <v>5382</v>
      </c>
      <c r="E29" s="102" t="s">
        <v>15</v>
      </c>
      <c r="F29" s="102" t="s">
        <v>15</v>
      </c>
      <c r="G29" s="132" t="s">
        <v>16</v>
      </c>
      <c r="H29" s="109">
        <v>200</v>
      </c>
      <c r="I29" s="109">
        <v>200</v>
      </c>
      <c r="J29" s="102"/>
      <c r="K29" s="102"/>
      <c r="L29" s="105">
        <v>20201118</v>
      </c>
    </row>
    <row r="30" spans="1:12">
      <c r="A30" s="132">
        <v>28</v>
      </c>
      <c r="B30" s="102" t="s">
        <v>5328</v>
      </c>
      <c r="C30" s="16" t="s">
        <v>5383</v>
      </c>
      <c r="D30" s="143" t="s">
        <v>5384</v>
      </c>
      <c r="E30" s="102" t="s">
        <v>15</v>
      </c>
      <c r="F30" s="102" t="s">
        <v>15</v>
      </c>
      <c r="G30" s="132" t="s">
        <v>16</v>
      </c>
      <c r="H30" s="109">
        <v>200</v>
      </c>
      <c r="I30" s="109">
        <v>200</v>
      </c>
      <c r="J30" s="102"/>
      <c r="K30" s="102"/>
      <c r="L30" s="105">
        <v>20201118</v>
      </c>
    </row>
    <row r="31" spans="1:12">
      <c r="A31" s="132">
        <v>29</v>
      </c>
      <c r="B31" s="102" t="s">
        <v>5328</v>
      </c>
      <c r="C31" s="16" t="s">
        <v>5385</v>
      </c>
      <c r="D31" s="143" t="s">
        <v>5386</v>
      </c>
      <c r="E31" s="102" t="s">
        <v>15</v>
      </c>
      <c r="F31" s="102" t="s">
        <v>15</v>
      </c>
      <c r="G31" s="132" t="s">
        <v>16</v>
      </c>
      <c r="H31" s="109">
        <v>200</v>
      </c>
      <c r="I31" s="109">
        <v>200</v>
      </c>
      <c r="J31" s="102"/>
      <c r="K31" s="102"/>
      <c r="L31" s="105">
        <v>20201118</v>
      </c>
    </row>
    <row r="32" spans="1:12">
      <c r="A32" s="132">
        <v>30</v>
      </c>
      <c r="B32" s="102" t="s">
        <v>5328</v>
      </c>
      <c r="C32" s="16" t="s">
        <v>5387</v>
      </c>
      <c r="D32" s="143" t="s">
        <v>5388</v>
      </c>
      <c r="E32" s="102" t="s">
        <v>15</v>
      </c>
      <c r="F32" s="102" t="s">
        <v>15</v>
      </c>
      <c r="G32" s="132" t="s">
        <v>16</v>
      </c>
      <c r="H32" s="109">
        <v>200</v>
      </c>
      <c r="I32" s="109">
        <v>200</v>
      </c>
      <c r="J32" s="102"/>
      <c r="K32" s="102"/>
      <c r="L32" s="105">
        <v>20201118</v>
      </c>
    </row>
    <row r="33" spans="1:12">
      <c r="A33" s="102">
        <v>31</v>
      </c>
      <c r="B33" s="102" t="s">
        <v>5328</v>
      </c>
      <c r="C33" s="16" t="s">
        <v>5389</v>
      </c>
      <c r="D33" s="143" t="s">
        <v>5390</v>
      </c>
      <c r="E33" s="102" t="s">
        <v>15</v>
      </c>
      <c r="F33" s="102" t="s">
        <v>15</v>
      </c>
      <c r="G33" s="132" t="s">
        <v>16</v>
      </c>
      <c r="H33" s="109">
        <v>200</v>
      </c>
      <c r="I33" s="109">
        <v>200</v>
      </c>
      <c r="J33" s="102"/>
      <c r="K33" s="102"/>
      <c r="L33" s="105">
        <v>20201118</v>
      </c>
    </row>
    <row r="34" spans="1:12">
      <c r="A34" s="132">
        <v>32</v>
      </c>
      <c r="B34" s="102" t="s">
        <v>5328</v>
      </c>
      <c r="C34" s="16" t="s">
        <v>5391</v>
      </c>
      <c r="D34" s="143" t="s">
        <v>5392</v>
      </c>
      <c r="E34" s="102" t="s">
        <v>15</v>
      </c>
      <c r="F34" s="102" t="s">
        <v>15</v>
      </c>
      <c r="G34" s="132" t="s">
        <v>16</v>
      </c>
      <c r="H34" s="109">
        <v>200</v>
      </c>
      <c r="I34" s="109">
        <v>200</v>
      </c>
      <c r="J34" s="102"/>
      <c r="K34" s="102"/>
      <c r="L34" s="105">
        <v>20201118</v>
      </c>
    </row>
    <row r="35" spans="1:12">
      <c r="A35" s="132">
        <v>33</v>
      </c>
      <c r="B35" s="102" t="s">
        <v>5328</v>
      </c>
      <c r="C35" s="16" t="s">
        <v>1106</v>
      </c>
      <c r="D35" s="143" t="s">
        <v>5393</v>
      </c>
      <c r="E35" s="102" t="s">
        <v>15</v>
      </c>
      <c r="F35" s="102" t="s">
        <v>15</v>
      </c>
      <c r="G35" s="132" t="s">
        <v>16</v>
      </c>
      <c r="H35" s="109">
        <v>200</v>
      </c>
      <c r="I35" s="109">
        <v>200</v>
      </c>
      <c r="J35" s="102"/>
      <c r="K35" s="102"/>
      <c r="L35" s="105">
        <v>20201118</v>
      </c>
    </row>
    <row r="36" spans="1:12">
      <c r="A36" s="132">
        <v>34</v>
      </c>
      <c r="B36" s="102" t="s">
        <v>5328</v>
      </c>
      <c r="C36" s="16" t="s">
        <v>5394</v>
      </c>
      <c r="D36" s="143" t="s">
        <v>5395</v>
      </c>
      <c r="E36" s="102" t="s">
        <v>15</v>
      </c>
      <c r="F36" s="102" t="s">
        <v>15</v>
      </c>
      <c r="G36" s="132" t="s">
        <v>16</v>
      </c>
      <c r="H36" s="109">
        <v>200</v>
      </c>
      <c r="I36" s="109">
        <v>200</v>
      </c>
      <c r="J36" s="102" t="s">
        <v>108</v>
      </c>
      <c r="K36" s="102"/>
      <c r="L36" s="105">
        <v>20201118</v>
      </c>
    </row>
    <row r="37" spans="1:12">
      <c r="A37" s="102">
        <v>35</v>
      </c>
      <c r="B37" s="102" t="s">
        <v>5328</v>
      </c>
      <c r="C37" s="16" t="s">
        <v>5396</v>
      </c>
      <c r="D37" s="143" t="s">
        <v>5397</v>
      </c>
      <c r="E37" s="102" t="s">
        <v>15</v>
      </c>
      <c r="F37" s="102" t="s">
        <v>15</v>
      </c>
      <c r="G37" s="132" t="s">
        <v>16</v>
      </c>
      <c r="H37" s="109">
        <v>200</v>
      </c>
      <c r="I37" s="109">
        <v>200</v>
      </c>
      <c r="J37" s="102"/>
      <c r="K37" s="102"/>
      <c r="L37" s="105">
        <v>20201118</v>
      </c>
    </row>
    <row r="38" spans="1:12">
      <c r="A38" s="132">
        <v>36</v>
      </c>
      <c r="B38" s="102" t="s">
        <v>5328</v>
      </c>
      <c r="C38" s="16" t="s">
        <v>5398</v>
      </c>
      <c r="D38" s="143" t="s">
        <v>5399</v>
      </c>
      <c r="E38" s="102" t="s">
        <v>15</v>
      </c>
      <c r="F38" s="102" t="s">
        <v>15</v>
      </c>
      <c r="G38" s="132" t="s">
        <v>16</v>
      </c>
      <c r="H38" s="109">
        <v>200</v>
      </c>
      <c r="I38" s="109">
        <v>200</v>
      </c>
      <c r="J38" s="102"/>
      <c r="K38" s="102"/>
      <c r="L38" s="105">
        <v>20201118</v>
      </c>
    </row>
    <row r="39" spans="1:12">
      <c r="A39" s="132">
        <v>37</v>
      </c>
      <c r="B39" s="102" t="s">
        <v>5328</v>
      </c>
      <c r="C39" s="16" t="s">
        <v>5400</v>
      </c>
      <c r="D39" s="143" t="s">
        <v>5401</v>
      </c>
      <c r="E39" s="102" t="s">
        <v>15</v>
      </c>
      <c r="F39" s="102" t="s">
        <v>15</v>
      </c>
      <c r="G39" s="132" t="s">
        <v>16</v>
      </c>
      <c r="H39" s="109">
        <v>200</v>
      </c>
      <c r="I39" s="109">
        <v>200</v>
      </c>
      <c r="J39" s="102"/>
      <c r="K39" s="102"/>
      <c r="L39" s="105">
        <v>20201118</v>
      </c>
    </row>
    <row r="40" spans="1:12">
      <c r="A40" s="132">
        <v>38</v>
      </c>
      <c r="B40" s="102" t="s">
        <v>5328</v>
      </c>
      <c r="C40" s="16" t="s">
        <v>5402</v>
      </c>
      <c r="D40" s="143" t="s">
        <v>5403</v>
      </c>
      <c r="E40" s="102" t="s">
        <v>15</v>
      </c>
      <c r="F40" s="102" t="s">
        <v>15</v>
      </c>
      <c r="G40" s="132" t="s">
        <v>16</v>
      </c>
      <c r="H40" s="109">
        <v>200</v>
      </c>
      <c r="I40" s="109">
        <v>200</v>
      </c>
      <c r="J40" s="102"/>
      <c r="K40" s="102"/>
      <c r="L40" s="105">
        <v>20201118</v>
      </c>
    </row>
    <row r="41" spans="1:12">
      <c r="A41" s="102">
        <v>39</v>
      </c>
      <c r="B41" s="102" t="s">
        <v>5328</v>
      </c>
      <c r="C41" s="16" t="s">
        <v>5353</v>
      </c>
      <c r="D41" s="143" t="s">
        <v>5404</v>
      </c>
      <c r="E41" s="102" t="s">
        <v>15</v>
      </c>
      <c r="F41" s="102" t="s">
        <v>15</v>
      </c>
      <c r="G41" s="132" t="s">
        <v>16</v>
      </c>
      <c r="H41" s="109">
        <v>200</v>
      </c>
      <c r="I41" s="109">
        <v>200</v>
      </c>
      <c r="J41" s="102"/>
      <c r="K41" s="102"/>
      <c r="L41" s="105">
        <v>20201118</v>
      </c>
    </row>
    <row r="42" spans="1:12">
      <c r="A42" s="132">
        <v>40</v>
      </c>
      <c r="B42" s="102" t="s">
        <v>5328</v>
      </c>
      <c r="C42" s="16" t="s">
        <v>5405</v>
      </c>
      <c r="D42" s="143" t="s">
        <v>5406</v>
      </c>
      <c r="E42" s="102" t="s">
        <v>15</v>
      </c>
      <c r="F42" s="102" t="s">
        <v>15</v>
      </c>
      <c r="G42" s="132" t="s">
        <v>16</v>
      </c>
      <c r="H42" s="109">
        <v>200</v>
      </c>
      <c r="I42" s="109">
        <v>200</v>
      </c>
      <c r="J42" s="102"/>
      <c r="K42" s="102"/>
      <c r="L42" s="105">
        <v>20201118</v>
      </c>
    </row>
    <row r="43" spans="1:12">
      <c r="A43" s="132">
        <v>41</v>
      </c>
      <c r="B43" s="102" t="s">
        <v>5328</v>
      </c>
      <c r="C43" s="16" t="s">
        <v>5407</v>
      </c>
      <c r="D43" s="143" t="s">
        <v>5408</v>
      </c>
      <c r="E43" s="102" t="s">
        <v>15</v>
      </c>
      <c r="F43" s="102" t="s">
        <v>15</v>
      </c>
      <c r="G43" s="132" t="s">
        <v>16</v>
      </c>
      <c r="H43" s="109">
        <v>200</v>
      </c>
      <c r="I43" s="109">
        <v>200</v>
      </c>
      <c r="J43" s="102"/>
      <c r="K43" s="102"/>
      <c r="L43" s="105">
        <v>20201118</v>
      </c>
    </row>
    <row r="44" spans="1:12">
      <c r="A44" s="132">
        <v>42</v>
      </c>
      <c r="B44" s="102" t="s">
        <v>5328</v>
      </c>
      <c r="C44" s="16" t="s">
        <v>5409</v>
      </c>
      <c r="D44" s="143" t="s">
        <v>5410</v>
      </c>
      <c r="E44" s="102" t="s">
        <v>15</v>
      </c>
      <c r="F44" s="102" t="s">
        <v>15</v>
      </c>
      <c r="G44" s="132" t="s">
        <v>16</v>
      </c>
      <c r="H44" s="109">
        <v>200</v>
      </c>
      <c r="I44" s="109">
        <v>200</v>
      </c>
      <c r="J44" s="102" t="s">
        <v>108</v>
      </c>
      <c r="K44" s="102"/>
      <c r="L44" s="105">
        <v>20201118</v>
      </c>
    </row>
    <row r="45" spans="1:12">
      <c r="A45" s="102">
        <v>43</v>
      </c>
      <c r="B45" s="102" t="s">
        <v>5328</v>
      </c>
      <c r="C45" s="16" t="s">
        <v>5411</v>
      </c>
      <c r="D45" s="143" t="s">
        <v>5412</v>
      </c>
      <c r="E45" s="102" t="s">
        <v>15</v>
      </c>
      <c r="F45" s="102" t="s">
        <v>15</v>
      </c>
      <c r="G45" s="132" t="s">
        <v>16</v>
      </c>
      <c r="H45" s="109">
        <v>200</v>
      </c>
      <c r="I45" s="109">
        <v>200</v>
      </c>
      <c r="J45" s="102"/>
      <c r="K45" s="102"/>
      <c r="L45" s="105">
        <v>20201118</v>
      </c>
    </row>
    <row r="46" spans="1:12">
      <c r="A46" s="132">
        <v>44</v>
      </c>
      <c r="B46" s="102" t="s">
        <v>5328</v>
      </c>
      <c r="C46" s="16" t="s">
        <v>5413</v>
      </c>
      <c r="D46" s="143" t="s">
        <v>5414</v>
      </c>
      <c r="E46" s="102" t="s">
        <v>15</v>
      </c>
      <c r="F46" s="102" t="s">
        <v>15</v>
      </c>
      <c r="G46" s="132" t="s">
        <v>16</v>
      </c>
      <c r="H46" s="109">
        <v>200</v>
      </c>
      <c r="I46" s="109">
        <v>200</v>
      </c>
      <c r="J46" s="102"/>
      <c r="K46" s="102"/>
      <c r="L46" s="105">
        <v>20201118</v>
      </c>
    </row>
    <row r="47" spans="1:12">
      <c r="A47" s="132">
        <v>45</v>
      </c>
      <c r="B47" s="102" t="s">
        <v>5328</v>
      </c>
      <c r="C47" s="16" t="s">
        <v>5415</v>
      </c>
      <c r="D47" s="143" t="s">
        <v>5416</v>
      </c>
      <c r="E47" s="102" t="s">
        <v>15</v>
      </c>
      <c r="F47" s="102" t="s">
        <v>15</v>
      </c>
      <c r="G47" s="132" t="s">
        <v>16</v>
      </c>
      <c r="H47" s="109">
        <v>200</v>
      </c>
      <c r="I47" s="109">
        <v>200</v>
      </c>
      <c r="J47" s="102"/>
      <c r="K47" s="102"/>
      <c r="L47" s="105">
        <v>20201118</v>
      </c>
    </row>
    <row r="48" spans="1:12">
      <c r="A48" s="132">
        <v>46</v>
      </c>
      <c r="B48" s="102" t="s">
        <v>5328</v>
      </c>
      <c r="C48" s="16" t="s">
        <v>5417</v>
      </c>
      <c r="D48" s="143" t="s">
        <v>5418</v>
      </c>
      <c r="E48" s="102" t="s">
        <v>15</v>
      </c>
      <c r="F48" s="102" t="s">
        <v>15</v>
      </c>
      <c r="G48" s="132" t="s">
        <v>16</v>
      </c>
      <c r="H48" s="109">
        <v>200</v>
      </c>
      <c r="I48" s="109">
        <v>200</v>
      </c>
      <c r="J48" s="102"/>
      <c r="K48" s="102"/>
      <c r="L48" s="105">
        <v>20201118</v>
      </c>
    </row>
    <row r="49" spans="1:12">
      <c r="A49" s="102">
        <v>47</v>
      </c>
      <c r="B49" s="102" t="s">
        <v>5328</v>
      </c>
      <c r="C49" s="16" t="s">
        <v>5419</v>
      </c>
      <c r="D49" s="143" t="s">
        <v>5420</v>
      </c>
      <c r="E49" s="102" t="s">
        <v>15</v>
      </c>
      <c r="F49" s="102" t="s">
        <v>15</v>
      </c>
      <c r="G49" s="132" t="s">
        <v>16</v>
      </c>
      <c r="H49" s="109">
        <v>200</v>
      </c>
      <c r="I49" s="109">
        <v>200</v>
      </c>
      <c r="J49" s="102"/>
      <c r="K49" s="102"/>
      <c r="L49" s="105">
        <v>20201118</v>
      </c>
    </row>
    <row r="50" spans="1:12">
      <c r="A50" s="132">
        <v>48</v>
      </c>
      <c r="B50" s="102" t="s">
        <v>5328</v>
      </c>
      <c r="C50" s="16" t="s">
        <v>5421</v>
      </c>
      <c r="D50" s="143" t="s">
        <v>5422</v>
      </c>
      <c r="E50" s="102" t="s">
        <v>15</v>
      </c>
      <c r="F50" s="102" t="s">
        <v>15</v>
      </c>
      <c r="G50" s="132" t="s">
        <v>16</v>
      </c>
      <c r="H50" s="109">
        <v>200</v>
      </c>
      <c r="I50" s="109">
        <v>200</v>
      </c>
      <c r="J50" s="102"/>
      <c r="K50" s="102"/>
      <c r="L50" s="105">
        <v>20201118</v>
      </c>
    </row>
    <row r="51" spans="1:12">
      <c r="A51" s="132">
        <v>49</v>
      </c>
      <c r="B51" s="102" t="s">
        <v>5328</v>
      </c>
      <c r="C51" s="16" t="s">
        <v>5423</v>
      </c>
      <c r="D51" s="143" t="s">
        <v>5424</v>
      </c>
      <c r="E51" s="102" t="s">
        <v>15</v>
      </c>
      <c r="F51" s="102" t="s">
        <v>15</v>
      </c>
      <c r="G51" s="132" t="s">
        <v>16</v>
      </c>
      <c r="H51" s="109">
        <v>200</v>
      </c>
      <c r="I51" s="109">
        <v>200</v>
      </c>
      <c r="J51" s="102"/>
      <c r="K51" s="102"/>
      <c r="L51" s="105">
        <v>20201118</v>
      </c>
    </row>
    <row r="52" spans="1:12">
      <c r="A52" s="132">
        <v>50</v>
      </c>
      <c r="B52" s="102" t="s">
        <v>5328</v>
      </c>
      <c r="C52" s="16" t="s">
        <v>5425</v>
      </c>
      <c r="D52" s="143" t="s">
        <v>5426</v>
      </c>
      <c r="E52" s="102" t="s">
        <v>15</v>
      </c>
      <c r="F52" s="102" t="s">
        <v>15</v>
      </c>
      <c r="G52" s="132" t="s">
        <v>16</v>
      </c>
      <c r="H52" s="109">
        <v>200</v>
      </c>
      <c r="I52" s="109">
        <v>200</v>
      </c>
      <c r="J52" s="102"/>
      <c r="K52" s="102"/>
      <c r="L52" s="105">
        <v>20201118</v>
      </c>
    </row>
    <row r="53" spans="1:12">
      <c r="A53" s="102">
        <v>51</v>
      </c>
      <c r="B53" s="102" t="s">
        <v>5328</v>
      </c>
      <c r="C53" s="16" t="s">
        <v>5427</v>
      </c>
      <c r="D53" s="143" t="s">
        <v>5428</v>
      </c>
      <c r="E53" s="102" t="s">
        <v>15</v>
      </c>
      <c r="F53" s="102" t="s">
        <v>15</v>
      </c>
      <c r="G53" s="132" t="s">
        <v>16</v>
      </c>
      <c r="H53" s="109">
        <v>200</v>
      </c>
      <c r="I53" s="109">
        <v>200</v>
      </c>
      <c r="J53" s="102"/>
      <c r="K53" s="102"/>
      <c r="L53" s="105">
        <v>20201118</v>
      </c>
    </row>
    <row r="54" spans="1:12">
      <c r="A54" s="132">
        <v>52</v>
      </c>
      <c r="B54" s="102" t="s">
        <v>5328</v>
      </c>
      <c r="C54" s="16" t="s">
        <v>5429</v>
      </c>
      <c r="D54" s="143" t="s">
        <v>5430</v>
      </c>
      <c r="E54" s="102" t="s">
        <v>15</v>
      </c>
      <c r="F54" s="102" t="s">
        <v>15</v>
      </c>
      <c r="G54" s="132" t="s">
        <v>16</v>
      </c>
      <c r="H54" s="109">
        <v>200</v>
      </c>
      <c r="I54" s="109">
        <v>200</v>
      </c>
      <c r="J54" s="102"/>
      <c r="K54" s="102"/>
      <c r="L54" s="105">
        <v>20201118</v>
      </c>
    </row>
    <row r="55" spans="1:12">
      <c r="A55" s="132">
        <v>53</v>
      </c>
      <c r="B55" s="102" t="s">
        <v>5328</v>
      </c>
      <c r="C55" s="16" t="s">
        <v>5431</v>
      </c>
      <c r="D55" s="143" t="s">
        <v>5432</v>
      </c>
      <c r="E55" s="102" t="s">
        <v>15</v>
      </c>
      <c r="F55" s="102" t="s">
        <v>15</v>
      </c>
      <c r="G55" s="132" t="s">
        <v>16</v>
      </c>
      <c r="H55" s="109">
        <v>200</v>
      </c>
      <c r="I55" s="109">
        <v>200</v>
      </c>
      <c r="J55" s="102"/>
      <c r="K55" s="102"/>
      <c r="L55" s="105">
        <v>20201118</v>
      </c>
    </row>
    <row r="56" spans="1:12">
      <c r="A56" s="132">
        <v>54</v>
      </c>
      <c r="B56" s="102" t="s">
        <v>5328</v>
      </c>
      <c r="C56" s="16" t="s">
        <v>5433</v>
      </c>
      <c r="D56" s="143" t="s">
        <v>5434</v>
      </c>
      <c r="E56" s="102" t="s">
        <v>15</v>
      </c>
      <c r="F56" s="102" t="s">
        <v>15</v>
      </c>
      <c r="G56" s="132" t="s">
        <v>16</v>
      </c>
      <c r="H56" s="109">
        <v>200</v>
      </c>
      <c r="I56" s="109">
        <v>200</v>
      </c>
      <c r="J56" s="102"/>
      <c r="K56" s="102"/>
      <c r="L56" s="105">
        <v>20201118</v>
      </c>
    </row>
    <row r="57" spans="1:12">
      <c r="A57" s="102">
        <v>55</v>
      </c>
      <c r="B57" s="102" t="s">
        <v>5328</v>
      </c>
      <c r="C57" s="16" t="s">
        <v>5435</v>
      </c>
      <c r="D57" s="143" t="s">
        <v>5436</v>
      </c>
      <c r="E57" s="102" t="s">
        <v>15</v>
      </c>
      <c r="F57" s="102" t="s">
        <v>15</v>
      </c>
      <c r="G57" s="132" t="s">
        <v>16</v>
      </c>
      <c r="H57" s="109">
        <v>200</v>
      </c>
      <c r="I57" s="109">
        <v>200</v>
      </c>
      <c r="J57" s="102"/>
      <c r="K57" s="102"/>
      <c r="L57" s="105">
        <v>20201118</v>
      </c>
    </row>
    <row r="58" spans="1:12">
      <c r="A58" s="132">
        <v>56</v>
      </c>
      <c r="B58" s="102" t="s">
        <v>5328</v>
      </c>
      <c r="C58" s="16" t="s">
        <v>5437</v>
      </c>
      <c r="D58" s="143" t="s">
        <v>5438</v>
      </c>
      <c r="E58" s="102" t="s">
        <v>15</v>
      </c>
      <c r="F58" s="102" t="s">
        <v>15</v>
      </c>
      <c r="G58" s="132" t="s">
        <v>16</v>
      </c>
      <c r="H58" s="109">
        <v>200</v>
      </c>
      <c r="I58" s="109">
        <v>200</v>
      </c>
      <c r="J58" s="102"/>
      <c r="K58" s="102"/>
      <c r="L58" s="105">
        <v>20201118</v>
      </c>
    </row>
    <row r="59" spans="1:12">
      <c r="A59" s="132">
        <v>57</v>
      </c>
      <c r="B59" s="102" t="s">
        <v>5328</v>
      </c>
      <c r="C59" s="16" t="s">
        <v>5439</v>
      </c>
      <c r="D59" s="143" t="s">
        <v>5440</v>
      </c>
      <c r="E59" s="102" t="s">
        <v>15</v>
      </c>
      <c r="F59" s="102" t="s">
        <v>15</v>
      </c>
      <c r="G59" s="132" t="s">
        <v>16</v>
      </c>
      <c r="H59" s="109">
        <v>200</v>
      </c>
      <c r="I59" s="109">
        <v>200</v>
      </c>
      <c r="J59" s="102"/>
      <c r="K59" s="102"/>
      <c r="L59" s="105">
        <v>20201118</v>
      </c>
    </row>
    <row r="60" spans="1:12">
      <c r="A60" s="132">
        <v>58</v>
      </c>
      <c r="B60" s="102" t="s">
        <v>5328</v>
      </c>
      <c r="C60" s="16" t="s">
        <v>5441</v>
      </c>
      <c r="D60" s="143" t="s">
        <v>5442</v>
      </c>
      <c r="E60" s="102" t="s">
        <v>15</v>
      </c>
      <c r="F60" s="102" t="s">
        <v>15</v>
      </c>
      <c r="G60" s="132" t="s">
        <v>16</v>
      </c>
      <c r="H60" s="109">
        <v>200</v>
      </c>
      <c r="I60" s="109">
        <v>200</v>
      </c>
      <c r="J60" s="102"/>
      <c r="K60" s="102"/>
      <c r="L60" s="105">
        <v>20201118</v>
      </c>
    </row>
    <row r="61" spans="1:12">
      <c r="A61" s="102">
        <v>59</v>
      </c>
      <c r="B61" s="102" t="s">
        <v>5328</v>
      </c>
      <c r="C61" s="16" t="s">
        <v>5443</v>
      </c>
      <c r="D61" s="143" t="s">
        <v>5444</v>
      </c>
      <c r="E61" s="102" t="s">
        <v>15</v>
      </c>
      <c r="F61" s="102" t="s">
        <v>15</v>
      </c>
      <c r="G61" s="132" t="s">
        <v>16</v>
      </c>
      <c r="H61" s="109">
        <v>200</v>
      </c>
      <c r="I61" s="109">
        <v>200</v>
      </c>
      <c r="J61" s="102"/>
      <c r="K61" s="102"/>
      <c r="L61" s="105">
        <v>20201118</v>
      </c>
    </row>
    <row r="62" spans="1:12">
      <c r="A62" s="132">
        <v>60</v>
      </c>
      <c r="B62" s="102" t="s">
        <v>5328</v>
      </c>
      <c r="C62" s="16" t="s">
        <v>5445</v>
      </c>
      <c r="D62" s="143" t="s">
        <v>5446</v>
      </c>
      <c r="E62" s="102" t="s">
        <v>15</v>
      </c>
      <c r="F62" s="102" t="s">
        <v>15</v>
      </c>
      <c r="G62" s="132" t="s">
        <v>16</v>
      </c>
      <c r="H62" s="109">
        <v>200</v>
      </c>
      <c r="I62" s="109">
        <v>200</v>
      </c>
      <c r="J62" s="102"/>
      <c r="K62" s="102"/>
      <c r="L62" s="105">
        <v>20201118</v>
      </c>
    </row>
    <row r="63" spans="1:12">
      <c r="A63" s="132">
        <v>61</v>
      </c>
      <c r="B63" s="102" t="s">
        <v>5328</v>
      </c>
      <c r="C63" s="16" t="s">
        <v>5447</v>
      </c>
      <c r="D63" s="143" t="s">
        <v>5448</v>
      </c>
      <c r="E63" s="102" t="s">
        <v>15</v>
      </c>
      <c r="F63" s="102" t="s">
        <v>15</v>
      </c>
      <c r="G63" s="132" t="s">
        <v>16</v>
      </c>
      <c r="H63" s="109">
        <v>200</v>
      </c>
      <c r="I63" s="109">
        <v>200</v>
      </c>
      <c r="J63" s="102"/>
      <c r="K63" s="102"/>
      <c r="L63" s="105">
        <v>20201118</v>
      </c>
    </row>
    <row r="64" spans="1:12">
      <c r="A64" s="132">
        <v>62</v>
      </c>
      <c r="B64" s="102" t="s">
        <v>5328</v>
      </c>
      <c r="C64" s="16" t="s">
        <v>5449</v>
      </c>
      <c r="D64" s="143" t="s">
        <v>5450</v>
      </c>
      <c r="E64" s="102" t="s">
        <v>15</v>
      </c>
      <c r="F64" s="102" t="s">
        <v>15</v>
      </c>
      <c r="G64" s="132" t="s">
        <v>16</v>
      </c>
      <c r="H64" s="109">
        <v>200</v>
      </c>
      <c r="I64" s="109">
        <v>200</v>
      </c>
      <c r="J64" s="102"/>
      <c r="K64" s="102"/>
      <c r="L64" s="105">
        <v>20201118</v>
      </c>
    </row>
    <row r="65" spans="1:12">
      <c r="A65" s="102">
        <v>63</v>
      </c>
      <c r="B65" s="102" t="s">
        <v>5328</v>
      </c>
      <c r="C65" s="16" t="s">
        <v>5451</v>
      </c>
      <c r="D65" s="143" t="s">
        <v>5452</v>
      </c>
      <c r="E65" s="102" t="s">
        <v>15</v>
      </c>
      <c r="F65" s="102" t="s">
        <v>15</v>
      </c>
      <c r="G65" s="132" t="s">
        <v>16</v>
      </c>
      <c r="H65" s="109">
        <v>200</v>
      </c>
      <c r="I65" s="109">
        <v>200</v>
      </c>
      <c r="J65" s="102"/>
      <c r="K65" s="102"/>
      <c r="L65" s="105">
        <v>20201118</v>
      </c>
    </row>
    <row r="66" spans="1:12">
      <c r="A66" s="132">
        <v>64</v>
      </c>
      <c r="B66" s="102" t="s">
        <v>5328</v>
      </c>
      <c r="C66" s="16" t="s">
        <v>5453</v>
      </c>
      <c r="D66" s="143" t="s">
        <v>5454</v>
      </c>
      <c r="E66" s="102" t="s">
        <v>15</v>
      </c>
      <c r="F66" s="102" t="s">
        <v>15</v>
      </c>
      <c r="G66" s="132" t="s">
        <v>16</v>
      </c>
      <c r="H66" s="109">
        <v>200</v>
      </c>
      <c r="I66" s="109">
        <v>200</v>
      </c>
      <c r="J66" s="102"/>
      <c r="K66" s="102"/>
      <c r="L66" s="105">
        <v>20201118</v>
      </c>
    </row>
    <row r="67" spans="1:12">
      <c r="A67" s="132">
        <v>65</v>
      </c>
      <c r="B67" s="102" t="s">
        <v>5328</v>
      </c>
      <c r="C67" s="16" t="s">
        <v>5455</v>
      </c>
      <c r="D67" s="143" t="s">
        <v>5456</v>
      </c>
      <c r="E67" s="102" t="s">
        <v>15</v>
      </c>
      <c r="F67" s="102" t="s">
        <v>15</v>
      </c>
      <c r="G67" s="132" t="s">
        <v>16</v>
      </c>
      <c r="H67" s="109">
        <v>200</v>
      </c>
      <c r="I67" s="109">
        <v>200</v>
      </c>
      <c r="J67" s="102"/>
      <c r="K67" s="102"/>
      <c r="L67" s="105">
        <v>20201118</v>
      </c>
    </row>
    <row r="68" spans="1:12">
      <c r="A68" s="132">
        <v>66</v>
      </c>
      <c r="B68" s="102" t="s">
        <v>5328</v>
      </c>
      <c r="C68" s="16" t="s">
        <v>5457</v>
      </c>
      <c r="D68" s="143" t="s">
        <v>5458</v>
      </c>
      <c r="E68" s="102" t="s">
        <v>15</v>
      </c>
      <c r="F68" s="102" t="s">
        <v>15</v>
      </c>
      <c r="G68" s="132" t="s">
        <v>16</v>
      </c>
      <c r="H68" s="109">
        <v>200</v>
      </c>
      <c r="I68" s="109">
        <v>200</v>
      </c>
      <c r="J68" s="102" t="s">
        <v>108</v>
      </c>
      <c r="K68" s="102"/>
      <c r="L68" s="105">
        <v>20201118</v>
      </c>
    </row>
    <row r="69" spans="1:12">
      <c r="A69" s="102">
        <v>67</v>
      </c>
      <c r="B69" s="102" t="s">
        <v>5328</v>
      </c>
      <c r="C69" s="16" t="s">
        <v>5459</v>
      </c>
      <c r="D69" s="143" t="s">
        <v>5460</v>
      </c>
      <c r="E69" s="102" t="s">
        <v>15</v>
      </c>
      <c r="F69" s="102" t="s">
        <v>15</v>
      </c>
      <c r="G69" s="132" t="s">
        <v>16</v>
      </c>
      <c r="H69" s="109">
        <v>200</v>
      </c>
      <c r="I69" s="109">
        <v>200</v>
      </c>
      <c r="J69" s="102"/>
      <c r="K69" s="102"/>
      <c r="L69" s="105">
        <v>20201118</v>
      </c>
    </row>
    <row r="70" spans="1:12">
      <c r="A70" s="132">
        <v>68</v>
      </c>
      <c r="B70" s="102" t="s">
        <v>5328</v>
      </c>
      <c r="C70" s="16" t="s">
        <v>5461</v>
      </c>
      <c r="D70" s="143" t="s">
        <v>5462</v>
      </c>
      <c r="E70" s="102" t="s">
        <v>15</v>
      </c>
      <c r="F70" s="102" t="s">
        <v>15</v>
      </c>
      <c r="G70" s="132" t="s">
        <v>16</v>
      </c>
      <c r="H70" s="109">
        <v>200</v>
      </c>
      <c r="I70" s="109">
        <v>200</v>
      </c>
      <c r="J70" s="102"/>
      <c r="K70" s="102"/>
      <c r="L70" s="105">
        <v>20201118</v>
      </c>
    </row>
    <row r="71" spans="1:12">
      <c r="A71" s="132">
        <v>69</v>
      </c>
      <c r="B71" s="102" t="s">
        <v>5328</v>
      </c>
      <c r="C71" s="16" t="s">
        <v>5463</v>
      </c>
      <c r="D71" s="143" t="s">
        <v>5464</v>
      </c>
      <c r="E71" s="102" t="s">
        <v>15</v>
      </c>
      <c r="F71" s="102" t="s">
        <v>15</v>
      </c>
      <c r="G71" s="132" t="s">
        <v>16</v>
      </c>
      <c r="H71" s="109">
        <v>200</v>
      </c>
      <c r="I71" s="109">
        <v>200</v>
      </c>
      <c r="J71" s="102"/>
      <c r="K71" s="102"/>
      <c r="L71" s="105">
        <v>20201118</v>
      </c>
    </row>
    <row r="72" spans="1:12">
      <c r="A72" s="132">
        <v>70</v>
      </c>
      <c r="B72" s="102" t="s">
        <v>5328</v>
      </c>
      <c r="C72" s="16" t="s">
        <v>2621</v>
      </c>
      <c r="D72" s="143" t="s">
        <v>5465</v>
      </c>
      <c r="E72" s="102" t="s">
        <v>15</v>
      </c>
      <c r="F72" s="102" t="s">
        <v>15</v>
      </c>
      <c r="G72" s="132" t="s">
        <v>16</v>
      </c>
      <c r="H72" s="109">
        <v>200</v>
      </c>
      <c r="I72" s="109">
        <v>200</v>
      </c>
      <c r="J72" s="102"/>
      <c r="K72" s="102"/>
      <c r="L72" s="105">
        <v>20201118</v>
      </c>
    </row>
    <row r="73" spans="1:12">
      <c r="A73" s="102">
        <v>71</v>
      </c>
      <c r="B73" s="102" t="s">
        <v>5328</v>
      </c>
      <c r="C73" s="16" t="s">
        <v>5466</v>
      </c>
      <c r="D73" s="143" t="s">
        <v>5467</v>
      </c>
      <c r="E73" s="102" t="s">
        <v>15</v>
      </c>
      <c r="F73" s="102" t="s">
        <v>15</v>
      </c>
      <c r="G73" s="132" t="s">
        <v>16</v>
      </c>
      <c r="H73" s="109">
        <v>200</v>
      </c>
      <c r="I73" s="109">
        <v>200</v>
      </c>
      <c r="J73" s="102"/>
      <c r="K73" s="102"/>
      <c r="L73" s="105">
        <v>20201118</v>
      </c>
    </row>
    <row r="74" spans="1:12">
      <c r="A74" s="132">
        <v>72</v>
      </c>
      <c r="B74" s="102" t="s">
        <v>5328</v>
      </c>
      <c r="C74" s="16" t="s">
        <v>5468</v>
      </c>
      <c r="D74" s="143" t="s">
        <v>5469</v>
      </c>
      <c r="E74" s="102" t="s">
        <v>15</v>
      </c>
      <c r="F74" s="102" t="s">
        <v>15</v>
      </c>
      <c r="G74" s="132" t="s">
        <v>16</v>
      </c>
      <c r="H74" s="109">
        <v>200</v>
      </c>
      <c r="I74" s="109">
        <v>200</v>
      </c>
      <c r="J74" s="102"/>
      <c r="K74" s="102"/>
      <c r="L74" s="105">
        <v>20201118</v>
      </c>
    </row>
    <row r="75" spans="1:12">
      <c r="A75" s="132">
        <v>73</v>
      </c>
      <c r="B75" s="102" t="s">
        <v>5328</v>
      </c>
      <c r="C75" s="16" t="s">
        <v>5470</v>
      </c>
      <c r="D75" s="143" t="s">
        <v>5471</v>
      </c>
      <c r="E75" s="102" t="s">
        <v>15</v>
      </c>
      <c r="F75" s="102" t="s">
        <v>15</v>
      </c>
      <c r="G75" s="132" t="s">
        <v>16</v>
      </c>
      <c r="H75" s="109">
        <v>200</v>
      </c>
      <c r="I75" s="109">
        <v>200</v>
      </c>
      <c r="J75" s="102"/>
      <c r="K75" s="102"/>
      <c r="L75" s="105">
        <v>20201118</v>
      </c>
    </row>
    <row r="76" spans="1:12">
      <c r="A76" s="132">
        <v>74</v>
      </c>
      <c r="B76" s="102" t="s">
        <v>5328</v>
      </c>
      <c r="C76" s="16" t="s">
        <v>5472</v>
      </c>
      <c r="D76" s="143" t="s">
        <v>5473</v>
      </c>
      <c r="E76" s="102" t="s">
        <v>15</v>
      </c>
      <c r="F76" s="102" t="s">
        <v>15</v>
      </c>
      <c r="G76" s="132" t="s">
        <v>16</v>
      </c>
      <c r="H76" s="109">
        <v>300</v>
      </c>
      <c r="I76" s="109">
        <v>300</v>
      </c>
      <c r="J76" s="102"/>
      <c r="K76" s="102"/>
      <c r="L76" s="105">
        <v>20201118</v>
      </c>
    </row>
    <row r="77" spans="1:12">
      <c r="A77" s="102">
        <v>75</v>
      </c>
      <c r="B77" s="102" t="s">
        <v>5328</v>
      </c>
      <c r="C77" s="16" t="s">
        <v>5474</v>
      </c>
      <c r="D77" s="143" t="s">
        <v>5475</v>
      </c>
      <c r="E77" s="102" t="s">
        <v>15</v>
      </c>
      <c r="F77" s="102" t="s">
        <v>15</v>
      </c>
      <c r="G77" s="132" t="s">
        <v>16</v>
      </c>
      <c r="H77" s="109">
        <v>200</v>
      </c>
      <c r="I77" s="109">
        <v>200</v>
      </c>
      <c r="J77" s="102"/>
      <c r="K77" s="102"/>
      <c r="L77" s="105">
        <v>20201118</v>
      </c>
    </row>
    <row r="78" spans="1:12">
      <c r="A78" s="132">
        <v>76</v>
      </c>
      <c r="B78" s="102" t="s">
        <v>5328</v>
      </c>
      <c r="C78" s="16" t="s">
        <v>5476</v>
      </c>
      <c r="D78" s="143" t="s">
        <v>5477</v>
      </c>
      <c r="E78" s="102" t="s">
        <v>15</v>
      </c>
      <c r="F78" s="102" t="s">
        <v>15</v>
      </c>
      <c r="G78" s="132" t="s">
        <v>16</v>
      </c>
      <c r="H78" s="109">
        <v>200</v>
      </c>
      <c r="I78" s="109">
        <v>200</v>
      </c>
      <c r="J78" s="102"/>
      <c r="K78" s="102"/>
      <c r="L78" s="105">
        <v>20201118</v>
      </c>
    </row>
    <row r="79" spans="1:12">
      <c r="A79" s="132">
        <v>77</v>
      </c>
      <c r="B79" s="102" t="s">
        <v>5328</v>
      </c>
      <c r="C79" s="16" t="s">
        <v>5478</v>
      </c>
      <c r="D79" s="143" t="s">
        <v>5479</v>
      </c>
      <c r="E79" s="102" t="s">
        <v>15</v>
      </c>
      <c r="F79" s="102" t="s">
        <v>15</v>
      </c>
      <c r="G79" s="132" t="s">
        <v>16</v>
      </c>
      <c r="H79" s="109">
        <v>200</v>
      </c>
      <c r="I79" s="109">
        <v>200</v>
      </c>
      <c r="J79" s="102"/>
      <c r="K79" s="102"/>
      <c r="L79" s="105">
        <v>20201118</v>
      </c>
    </row>
    <row r="80" spans="1:12">
      <c r="A80" s="132">
        <v>78</v>
      </c>
      <c r="B80" s="102" t="s">
        <v>5328</v>
      </c>
      <c r="C80" s="16" t="s">
        <v>5480</v>
      </c>
      <c r="D80" s="143" t="s">
        <v>5481</v>
      </c>
      <c r="E80" s="102" t="s">
        <v>15</v>
      </c>
      <c r="F80" s="102" t="s">
        <v>15</v>
      </c>
      <c r="G80" s="132" t="s">
        <v>16</v>
      </c>
      <c r="H80" s="109">
        <v>200</v>
      </c>
      <c r="I80" s="109">
        <v>200</v>
      </c>
      <c r="J80" s="102"/>
      <c r="K80" s="102"/>
      <c r="L80" s="105">
        <v>20201118</v>
      </c>
    </row>
    <row r="81" spans="1:12">
      <c r="A81" s="102">
        <v>79</v>
      </c>
      <c r="B81" s="102" t="s">
        <v>5328</v>
      </c>
      <c r="C81" s="16" t="s">
        <v>4394</v>
      </c>
      <c r="D81" s="143" t="s">
        <v>5482</v>
      </c>
      <c r="E81" s="102" t="s">
        <v>15</v>
      </c>
      <c r="F81" s="102" t="s">
        <v>15</v>
      </c>
      <c r="G81" s="132" t="s">
        <v>16</v>
      </c>
      <c r="H81" s="109">
        <v>200</v>
      </c>
      <c r="I81" s="109">
        <v>200</v>
      </c>
      <c r="J81" s="102"/>
      <c r="K81" s="102"/>
      <c r="L81" s="105">
        <v>20201118</v>
      </c>
    </row>
    <row r="82" spans="1:12">
      <c r="A82" s="132">
        <v>80</v>
      </c>
      <c r="B82" s="102" t="s">
        <v>5328</v>
      </c>
      <c r="C82" s="16" t="s">
        <v>5483</v>
      </c>
      <c r="D82" s="143" t="s">
        <v>5484</v>
      </c>
      <c r="E82" s="102" t="s">
        <v>15</v>
      </c>
      <c r="F82" s="102" t="s">
        <v>15</v>
      </c>
      <c r="G82" s="132" t="s">
        <v>16</v>
      </c>
      <c r="H82" s="109">
        <v>200</v>
      </c>
      <c r="I82" s="109">
        <v>200</v>
      </c>
      <c r="J82" s="102"/>
      <c r="K82" s="102"/>
      <c r="L82" s="105">
        <v>20201118</v>
      </c>
    </row>
    <row r="83" spans="1:12">
      <c r="A83" s="132">
        <v>81</v>
      </c>
      <c r="B83" s="102" t="s">
        <v>5328</v>
      </c>
      <c r="C83" s="16" t="s">
        <v>5485</v>
      </c>
      <c r="D83" s="143" t="s">
        <v>5486</v>
      </c>
      <c r="E83" s="102" t="s">
        <v>15</v>
      </c>
      <c r="F83" s="102" t="s">
        <v>15</v>
      </c>
      <c r="G83" s="132" t="s">
        <v>16</v>
      </c>
      <c r="H83" s="109">
        <v>200</v>
      </c>
      <c r="I83" s="109">
        <v>200</v>
      </c>
      <c r="J83" s="102"/>
      <c r="K83" s="102"/>
      <c r="L83" s="105">
        <v>20201118</v>
      </c>
    </row>
    <row r="84" spans="1:12">
      <c r="A84" s="132">
        <v>82</v>
      </c>
      <c r="B84" s="102" t="s">
        <v>5328</v>
      </c>
      <c r="C84" s="16" t="s">
        <v>5487</v>
      </c>
      <c r="D84" s="143" t="s">
        <v>5488</v>
      </c>
      <c r="E84" s="102" t="s">
        <v>15</v>
      </c>
      <c r="F84" s="102" t="s">
        <v>15</v>
      </c>
      <c r="G84" s="132" t="s">
        <v>16</v>
      </c>
      <c r="H84" s="109">
        <v>200</v>
      </c>
      <c r="I84" s="109">
        <v>200</v>
      </c>
      <c r="J84" s="102"/>
      <c r="K84" s="102"/>
      <c r="L84" s="105">
        <v>20201118</v>
      </c>
    </row>
    <row r="85" spans="1:12">
      <c r="A85" s="102">
        <v>83</v>
      </c>
      <c r="B85" s="102" t="s">
        <v>5328</v>
      </c>
      <c r="C85" s="16" t="s">
        <v>1049</v>
      </c>
      <c r="D85" s="143" t="s">
        <v>5489</v>
      </c>
      <c r="E85" s="102" t="s">
        <v>15</v>
      </c>
      <c r="F85" s="102" t="s">
        <v>15</v>
      </c>
      <c r="G85" s="132" t="s">
        <v>16</v>
      </c>
      <c r="H85" s="109">
        <v>200</v>
      </c>
      <c r="I85" s="109">
        <v>200</v>
      </c>
      <c r="J85" s="102"/>
      <c r="K85" s="102"/>
      <c r="L85" s="105">
        <v>20201118</v>
      </c>
    </row>
    <row r="86" spans="1:12">
      <c r="A86" s="132">
        <v>84</v>
      </c>
      <c r="B86" s="102" t="s">
        <v>5328</v>
      </c>
      <c r="C86" s="16" t="s">
        <v>5490</v>
      </c>
      <c r="D86" s="143" t="s">
        <v>5491</v>
      </c>
      <c r="E86" s="102" t="s">
        <v>15</v>
      </c>
      <c r="F86" s="102" t="s">
        <v>15</v>
      </c>
      <c r="G86" s="132" t="s">
        <v>16</v>
      </c>
      <c r="H86" s="109">
        <v>300</v>
      </c>
      <c r="I86" s="109">
        <v>300</v>
      </c>
      <c r="J86" s="102"/>
      <c r="K86" s="102"/>
      <c r="L86" s="105">
        <v>20201118</v>
      </c>
    </row>
    <row r="87" spans="1:12">
      <c r="A87" s="132">
        <v>85</v>
      </c>
      <c r="B87" s="102" t="s">
        <v>5328</v>
      </c>
      <c r="C87" s="16" t="s">
        <v>5492</v>
      </c>
      <c r="D87" s="143" t="s">
        <v>5493</v>
      </c>
      <c r="E87" s="102" t="s">
        <v>15</v>
      </c>
      <c r="F87" s="102" t="s">
        <v>15</v>
      </c>
      <c r="G87" s="132" t="s">
        <v>16</v>
      </c>
      <c r="H87" s="109">
        <v>200</v>
      </c>
      <c r="I87" s="109">
        <v>200</v>
      </c>
      <c r="J87" s="102"/>
      <c r="K87" s="102"/>
      <c r="L87" s="105">
        <v>20201118</v>
      </c>
    </row>
    <row r="88" spans="1:12">
      <c r="A88" s="132">
        <v>86</v>
      </c>
      <c r="B88" s="102" t="s">
        <v>5328</v>
      </c>
      <c r="C88" s="16" t="s">
        <v>5494</v>
      </c>
      <c r="D88" s="143" t="s">
        <v>5495</v>
      </c>
      <c r="E88" s="102" t="s">
        <v>15</v>
      </c>
      <c r="F88" s="102" t="s">
        <v>15</v>
      </c>
      <c r="G88" s="132" t="s">
        <v>16</v>
      </c>
      <c r="H88" s="109">
        <v>200</v>
      </c>
      <c r="I88" s="109">
        <v>200</v>
      </c>
      <c r="J88" s="102"/>
      <c r="K88" s="102"/>
      <c r="L88" s="105">
        <v>20201118</v>
      </c>
    </row>
    <row r="89" spans="1:12">
      <c r="A89" s="102">
        <v>87</v>
      </c>
      <c r="B89" s="102" t="s">
        <v>5328</v>
      </c>
      <c r="C89" s="16" t="s">
        <v>5496</v>
      </c>
      <c r="D89" s="143" t="s">
        <v>5497</v>
      </c>
      <c r="E89" s="102" t="s">
        <v>15</v>
      </c>
      <c r="F89" s="102" t="s">
        <v>15</v>
      </c>
      <c r="G89" s="132" t="s">
        <v>16</v>
      </c>
      <c r="H89" s="109">
        <v>200</v>
      </c>
      <c r="I89" s="109">
        <v>200</v>
      </c>
      <c r="J89" s="102"/>
      <c r="K89" s="102"/>
      <c r="L89" s="105">
        <v>20201118</v>
      </c>
    </row>
    <row r="90" spans="1:12">
      <c r="A90" s="132">
        <v>88</v>
      </c>
      <c r="B90" s="102" t="s">
        <v>5328</v>
      </c>
      <c r="C90" s="16" t="s">
        <v>5498</v>
      </c>
      <c r="D90" s="143" t="s">
        <v>5499</v>
      </c>
      <c r="E90" s="102" t="s">
        <v>15</v>
      </c>
      <c r="F90" s="102" t="s">
        <v>15</v>
      </c>
      <c r="G90" s="132" t="s">
        <v>16</v>
      </c>
      <c r="H90" s="109">
        <v>200</v>
      </c>
      <c r="I90" s="109">
        <v>200</v>
      </c>
      <c r="J90" s="102"/>
      <c r="K90" s="102"/>
      <c r="L90" s="105">
        <v>20201118</v>
      </c>
    </row>
    <row r="91" spans="1:12">
      <c r="A91" s="132">
        <v>89</v>
      </c>
      <c r="B91" s="102" t="s">
        <v>5328</v>
      </c>
      <c r="C91" s="16" t="s">
        <v>5500</v>
      </c>
      <c r="D91" s="143" t="s">
        <v>5501</v>
      </c>
      <c r="E91" s="102" t="s">
        <v>15</v>
      </c>
      <c r="F91" s="102" t="s">
        <v>15</v>
      </c>
      <c r="G91" s="132" t="s">
        <v>16</v>
      </c>
      <c r="H91" s="109">
        <v>200</v>
      </c>
      <c r="I91" s="109">
        <v>200</v>
      </c>
      <c r="J91" s="102"/>
      <c r="K91" s="102"/>
      <c r="L91" s="105">
        <v>20201118</v>
      </c>
    </row>
    <row r="92" spans="1:12">
      <c r="A92" s="132">
        <v>90</v>
      </c>
      <c r="B92" s="102" t="s">
        <v>5328</v>
      </c>
      <c r="C92" s="16" t="s">
        <v>5502</v>
      </c>
      <c r="D92" s="143" t="s">
        <v>5503</v>
      </c>
      <c r="E92" s="102" t="s">
        <v>15</v>
      </c>
      <c r="F92" s="102" t="s">
        <v>15</v>
      </c>
      <c r="G92" s="132" t="s">
        <v>16</v>
      </c>
      <c r="H92" s="109">
        <v>200</v>
      </c>
      <c r="I92" s="109">
        <v>200</v>
      </c>
      <c r="J92" s="102"/>
      <c r="K92" s="102"/>
      <c r="L92" s="105">
        <v>20201118</v>
      </c>
    </row>
    <row r="93" spans="1:12">
      <c r="A93" s="102">
        <v>91</v>
      </c>
      <c r="B93" s="102" t="s">
        <v>5328</v>
      </c>
      <c r="C93" s="16" t="s">
        <v>5504</v>
      </c>
      <c r="D93" s="143" t="s">
        <v>5505</v>
      </c>
      <c r="E93" s="102" t="s">
        <v>15</v>
      </c>
      <c r="F93" s="102" t="s">
        <v>15</v>
      </c>
      <c r="G93" s="132" t="s">
        <v>16</v>
      </c>
      <c r="H93" s="109">
        <v>200</v>
      </c>
      <c r="I93" s="109">
        <v>200</v>
      </c>
      <c r="J93" s="102"/>
      <c r="K93" s="102"/>
      <c r="L93" s="105">
        <v>20201118</v>
      </c>
    </row>
    <row r="94" spans="1:12">
      <c r="A94" s="132">
        <v>92</v>
      </c>
      <c r="B94" s="102" t="s">
        <v>5328</v>
      </c>
      <c r="C94" s="16" t="s">
        <v>5506</v>
      </c>
      <c r="D94" s="143" t="s">
        <v>5507</v>
      </c>
      <c r="E94" s="102" t="s">
        <v>15</v>
      </c>
      <c r="F94" s="102" t="s">
        <v>15</v>
      </c>
      <c r="G94" s="132" t="s">
        <v>16</v>
      </c>
      <c r="H94" s="109">
        <v>200</v>
      </c>
      <c r="I94" s="109">
        <v>200</v>
      </c>
      <c r="J94" s="102"/>
      <c r="K94" s="102"/>
      <c r="L94" s="105">
        <v>20201118</v>
      </c>
    </row>
    <row r="95" spans="1:12">
      <c r="A95" s="132">
        <v>93</v>
      </c>
      <c r="B95" s="102" t="s">
        <v>5328</v>
      </c>
      <c r="C95" s="16" t="s">
        <v>5508</v>
      </c>
      <c r="D95" s="143" t="s">
        <v>5509</v>
      </c>
      <c r="E95" s="102" t="s">
        <v>15</v>
      </c>
      <c r="F95" s="102" t="s">
        <v>15</v>
      </c>
      <c r="G95" s="132" t="s">
        <v>16</v>
      </c>
      <c r="H95" s="109">
        <v>200</v>
      </c>
      <c r="I95" s="109">
        <v>200</v>
      </c>
      <c r="J95" s="102"/>
      <c r="K95" s="102"/>
      <c r="L95" s="105">
        <v>20201118</v>
      </c>
    </row>
    <row r="96" spans="1:12">
      <c r="A96" s="132">
        <v>94</v>
      </c>
      <c r="B96" s="102" t="s">
        <v>5328</v>
      </c>
      <c r="C96" s="16" t="s">
        <v>3134</v>
      </c>
      <c r="D96" s="143" t="s">
        <v>5510</v>
      </c>
      <c r="E96" s="102" t="s">
        <v>15</v>
      </c>
      <c r="F96" s="102" t="s">
        <v>15</v>
      </c>
      <c r="G96" s="132" t="s">
        <v>16</v>
      </c>
      <c r="H96" s="109">
        <v>200</v>
      </c>
      <c r="I96" s="109">
        <v>200</v>
      </c>
      <c r="J96" s="102" t="s">
        <v>108</v>
      </c>
      <c r="K96" s="102"/>
      <c r="L96" s="105">
        <v>20201118</v>
      </c>
    </row>
    <row r="97" spans="1:12">
      <c r="A97" s="102">
        <v>95</v>
      </c>
      <c r="B97" s="102" t="s">
        <v>5328</v>
      </c>
      <c r="C97" s="16" t="s">
        <v>5511</v>
      </c>
      <c r="D97" s="143" t="s">
        <v>5512</v>
      </c>
      <c r="E97" s="102" t="s">
        <v>15</v>
      </c>
      <c r="F97" s="102" t="s">
        <v>15</v>
      </c>
      <c r="G97" s="132" t="s">
        <v>16</v>
      </c>
      <c r="H97" s="109">
        <v>200</v>
      </c>
      <c r="I97" s="109">
        <v>200</v>
      </c>
      <c r="J97" s="102"/>
      <c r="K97" s="102"/>
      <c r="L97" s="105">
        <v>20201118</v>
      </c>
    </row>
    <row r="98" spans="1:12">
      <c r="A98" s="132">
        <v>96</v>
      </c>
      <c r="B98" s="102" t="s">
        <v>5328</v>
      </c>
      <c r="C98" s="16" t="s">
        <v>5513</v>
      </c>
      <c r="D98" s="143" t="s">
        <v>5514</v>
      </c>
      <c r="E98" s="102" t="s">
        <v>15</v>
      </c>
      <c r="F98" s="102" t="s">
        <v>15</v>
      </c>
      <c r="G98" s="132" t="s">
        <v>16</v>
      </c>
      <c r="H98" s="109">
        <v>200</v>
      </c>
      <c r="I98" s="109">
        <v>200</v>
      </c>
      <c r="J98" s="102"/>
      <c r="K98" s="102"/>
      <c r="L98" s="105">
        <v>20201118</v>
      </c>
    </row>
    <row r="99" spans="1:12">
      <c r="A99" s="132">
        <v>97</v>
      </c>
      <c r="B99" s="102" t="s">
        <v>5328</v>
      </c>
      <c r="C99" s="16" t="s">
        <v>5515</v>
      </c>
      <c r="D99" s="143" t="s">
        <v>5516</v>
      </c>
      <c r="E99" s="102" t="s">
        <v>15</v>
      </c>
      <c r="F99" s="102" t="s">
        <v>15</v>
      </c>
      <c r="G99" s="132" t="s">
        <v>16</v>
      </c>
      <c r="H99" s="109">
        <v>200</v>
      </c>
      <c r="I99" s="109">
        <v>200</v>
      </c>
      <c r="J99" s="102"/>
      <c r="K99" s="102"/>
      <c r="L99" s="105">
        <v>20201118</v>
      </c>
    </row>
    <row r="100" spans="1:12">
      <c r="A100" s="132">
        <v>98</v>
      </c>
      <c r="B100" s="102" t="s">
        <v>5328</v>
      </c>
      <c r="C100" s="16" t="s">
        <v>5517</v>
      </c>
      <c r="D100" s="143" t="s">
        <v>5518</v>
      </c>
      <c r="E100" s="102" t="s">
        <v>15</v>
      </c>
      <c r="F100" s="102" t="s">
        <v>15</v>
      </c>
      <c r="G100" s="132" t="s">
        <v>16</v>
      </c>
      <c r="H100" s="109">
        <v>200</v>
      </c>
      <c r="I100" s="109">
        <v>200</v>
      </c>
      <c r="J100" s="102"/>
      <c r="K100" s="102"/>
      <c r="L100" s="105">
        <v>20201118</v>
      </c>
    </row>
    <row r="101" spans="1:12">
      <c r="A101" s="102">
        <v>99</v>
      </c>
      <c r="B101" s="102" t="s">
        <v>5328</v>
      </c>
      <c r="C101" s="16" t="s">
        <v>5519</v>
      </c>
      <c r="D101" s="143" t="s">
        <v>5520</v>
      </c>
      <c r="E101" s="102" t="s">
        <v>15</v>
      </c>
      <c r="F101" s="102" t="s">
        <v>15</v>
      </c>
      <c r="G101" s="132" t="s">
        <v>16</v>
      </c>
      <c r="H101" s="109">
        <v>500</v>
      </c>
      <c r="I101" s="109">
        <v>500</v>
      </c>
      <c r="J101" s="102"/>
      <c r="K101" s="102"/>
      <c r="L101" s="105">
        <v>20201118</v>
      </c>
    </row>
    <row r="102" spans="1:12">
      <c r="A102" s="132">
        <v>100</v>
      </c>
      <c r="B102" s="102" t="s">
        <v>5328</v>
      </c>
      <c r="C102" s="16" t="s">
        <v>5521</v>
      </c>
      <c r="D102" s="143" t="s">
        <v>5522</v>
      </c>
      <c r="E102" s="102" t="s">
        <v>15</v>
      </c>
      <c r="F102" s="102" t="s">
        <v>15</v>
      </c>
      <c r="G102" s="132" t="s">
        <v>16</v>
      </c>
      <c r="H102" s="109">
        <v>200</v>
      </c>
      <c r="I102" s="109">
        <v>200</v>
      </c>
      <c r="J102" s="102"/>
      <c r="K102" s="102"/>
      <c r="L102" s="105">
        <v>20201118</v>
      </c>
    </row>
    <row r="103" spans="1:12">
      <c r="A103" s="132">
        <v>101</v>
      </c>
      <c r="B103" s="102" t="s">
        <v>5328</v>
      </c>
      <c r="C103" s="16" t="s">
        <v>5523</v>
      </c>
      <c r="D103" s="143" t="s">
        <v>5524</v>
      </c>
      <c r="E103" s="102" t="s">
        <v>15</v>
      </c>
      <c r="F103" s="102" t="s">
        <v>15</v>
      </c>
      <c r="G103" s="132" t="s">
        <v>16</v>
      </c>
      <c r="H103" s="109">
        <v>200</v>
      </c>
      <c r="I103" s="109">
        <v>200</v>
      </c>
      <c r="J103" s="102"/>
      <c r="K103" s="102"/>
      <c r="L103" s="105">
        <v>20201118</v>
      </c>
    </row>
    <row r="104" spans="1:12">
      <c r="A104" s="132">
        <v>102</v>
      </c>
      <c r="B104" s="102" t="s">
        <v>5328</v>
      </c>
      <c r="C104" s="16" t="s">
        <v>5525</v>
      </c>
      <c r="D104" s="143" t="s">
        <v>5526</v>
      </c>
      <c r="E104" s="102" t="s">
        <v>15</v>
      </c>
      <c r="F104" s="102" t="s">
        <v>15</v>
      </c>
      <c r="G104" s="132" t="s">
        <v>16</v>
      </c>
      <c r="H104" s="109">
        <v>200</v>
      </c>
      <c r="I104" s="109">
        <v>200</v>
      </c>
      <c r="J104" s="102"/>
      <c r="K104" s="102"/>
      <c r="L104" s="105">
        <v>20201118</v>
      </c>
    </row>
    <row r="105" spans="1:12">
      <c r="A105" s="102">
        <v>103</v>
      </c>
      <c r="B105" s="102" t="s">
        <v>5328</v>
      </c>
      <c r="C105" s="16" t="s">
        <v>5527</v>
      </c>
      <c r="D105" s="143" t="s">
        <v>5528</v>
      </c>
      <c r="E105" s="102" t="s">
        <v>15</v>
      </c>
      <c r="F105" s="102" t="s">
        <v>15</v>
      </c>
      <c r="G105" s="132" t="s">
        <v>16</v>
      </c>
      <c r="H105" s="109">
        <v>200</v>
      </c>
      <c r="I105" s="109">
        <v>200</v>
      </c>
      <c r="J105" s="102"/>
      <c r="K105" s="102"/>
      <c r="L105" s="105">
        <v>20201118</v>
      </c>
    </row>
    <row r="106" spans="1:12">
      <c r="A106" s="132">
        <v>104</v>
      </c>
      <c r="B106" s="102" t="s">
        <v>5328</v>
      </c>
      <c r="C106" s="16" t="s">
        <v>5529</v>
      </c>
      <c r="D106" s="143" t="s">
        <v>5530</v>
      </c>
      <c r="E106" s="102" t="s">
        <v>15</v>
      </c>
      <c r="F106" s="102" t="s">
        <v>15</v>
      </c>
      <c r="G106" s="132" t="s">
        <v>16</v>
      </c>
      <c r="H106" s="109">
        <v>200</v>
      </c>
      <c r="I106" s="109">
        <v>200</v>
      </c>
      <c r="J106" s="102"/>
      <c r="K106" s="102"/>
      <c r="L106" s="105">
        <v>20201118</v>
      </c>
    </row>
    <row r="107" spans="1:12">
      <c r="A107" s="132">
        <v>105</v>
      </c>
      <c r="B107" s="102" t="s">
        <v>5328</v>
      </c>
      <c r="C107" s="16" t="s">
        <v>5531</v>
      </c>
      <c r="D107" s="143" t="s">
        <v>5532</v>
      </c>
      <c r="E107" s="102" t="s">
        <v>15</v>
      </c>
      <c r="F107" s="102" t="s">
        <v>15</v>
      </c>
      <c r="G107" s="132" t="s">
        <v>16</v>
      </c>
      <c r="H107" s="109">
        <v>200</v>
      </c>
      <c r="I107" s="109">
        <v>200</v>
      </c>
      <c r="J107" s="102"/>
      <c r="K107" s="102"/>
      <c r="L107" s="105">
        <v>20201118</v>
      </c>
    </row>
    <row r="108" spans="1:12">
      <c r="A108" s="132">
        <v>106</v>
      </c>
      <c r="B108" s="102" t="s">
        <v>5328</v>
      </c>
      <c r="C108" s="16" t="s">
        <v>4280</v>
      </c>
      <c r="D108" s="143" t="s">
        <v>5533</v>
      </c>
      <c r="E108" s="102" t="s">
        <v>15</v>
      </c>
      <c r="F108" s="102" t="s">
        <v>15</v>
      </c>
      <c r="G108" s="132" t="s">
        <v>16</v>
      </c>
      <c r="H108" s="109">
        <v>200</v>
      </c>
      <c r="I108" s="109">
        <v>200</v>
      </c>
      <c r="J108" s="102"/>
      <c r="K108" s="102"/>
      <c r="L108" s="105">
        <v>20201118</v>
      </c>
    </row>
    <row r="109" spans="1:12">
      <c r="A109" s="102">
        <v>107</v>
      </c>
      <c r="B109" s="102" t="s">
        <v>5328</v>
      </c>
      <c r="C109" s="16" t="s">
        <v>5534</v>
      </c>
      <c r="D109" s="143" t="s">
        <v>5535</v>
      </c>
      <c r="E109" s="102" t="s">
        <v>15</v>
      </c>
      <c r="F109" s="102" t="s">
        <v>15</v>
      </c>
      <c r="G109" s="132" t="s">
        <v>16</v>
      </c>
      <c r="H109" s="109">
        <v>200</v>
      </c>
      <c r="I109" s="109">
        <v>200</v>
      </c>
      <c r="J109" s="102"/>
      <c r="K109" s="102"/>
      <c r="L109" s="105">
        <v>20201118</v>
      </c>
    </row>
    <row r="110" spans="1:12">
      <c r="A110" s="132">
        <v>108</v>
      </c>
      <c r="B110" s="102" t="s">
        <v>5328</v>
      </c>
      <c r="C110" s="16" t="s">
        <v>5536</v>
      </c>
      <c r="D110" s="143" t="s">
        <v>5537</v>
      </c>
      <c r="E110" s="102" t="s">
        <v>15</v>
      </c>
      <c r="F110" s="102" t="s">
        <v>15</v>
      </c>
      <c r="G110" s="132" t="s">
        <v>16</v>
      </c>
      <c r="H110" s="109">
        <v>1000</v>
      </c>
      <c r="I110" s="109">
        <v>1000</v>
      </c>
      <c r="J110" s="102"/>
      <c r="K110" s="102"/>
      <c r="L110" s="105">
        <v>20201118</v>
      </c>
    </row>
    <row r="111" spans="1:12">
      <c r="A111" s="132">
        <v>109</v>
      </c>
      <c r="B111" s="102" t="s">
        <v>5328</v>
      </c>
      <c r="C111" s="16" t="s">
        <v>5538</v>
      </c>
      <c r="D111" s="143" t="s">
        <v>5539</v>
      </c>
      <c r="E111" s="102" t="s">
        <v>15</v>
      </c>
      <c r="F111" s="102" t="s">
        <v>15</v>
      </c>
      <c r="G111" s="132" t="s">
        <v>16</v>
      </c>
      <c r="H111" s="109">
        <v>500</v>
      </c>
      <c r="I111" s="109">
        <v>500</v>
      </c>
      <c r="J111" s="102"/>
      <c r="K111" s="102"/>
      <c r="L111" s="105">
        <v>20201118</v>
      </c>
    </row>
    <row r="112" spans="1:12">
      <c r="A112" s="132">
        <v>110</v>
      </c>
      <c r="B112" s="102" t="s">
        <v>5328</v>
      </c>
      <c r="C112" s="16" t="s">
        <v>5540</v>
      </c>
      <c r="D112" s="143" t="s">
        <v>5541</v>
      </c>
      <c r="E112" s="102" t="s">
        <v>15</v>
      </c>
      <c r="F112" s="102" t="s">
        <v>15</v>
      </c>
      <c r="G112" s="132" t="s">
        <v>16</v>
      </c>
      <c r="H112" s="109">
        <v>200</v>
      </c>
      <c r="I112" s="109">
        <v>200</v>
      </c>
      <c r="J112" s="102"/>
      <c r="K112" s="102"/>
      <c r="L112" s="105">
        <v>20201118</v>
      </c>
    </row>
    <row r="113" spans="1:12">
      <c r="A113" s="102">
        <v>111</v>
      </c>
      <c r="B113" s="102" t="s">
        <v>5328</v>
      </c>
      <c r="C113" s="16" t="s">
        <v>5542</v>
      </c>
      <c r="D113" s="143" t="s">
        <v>5543</v>
      </c>
      <c r="E113" s="102" t="s">
        <v>15</v>
      </c>
      <c r="F113" s="102" t="s">
        <v>15</v>
      </c>
      <c r="G113" s="132" t="s">
        <v>16</v>
      </c>
      <c r="H113" s="109">
        <v>200</v>
      </c>
      <c r="I113" s="109">
        <v>200</v>
      </c>
      <c r="J113" s="102"/>
      <c r="K113" s="102"/>
      <c r="L113" s="105">
        <v>20201118</v>
      </c>
    </row>
    <row r="114" spans="1:12">
      <c r="A114" s="132">
        <v>112</v>
      </c>
      <c r="B114" s="102" t="s">
        <v>5328</v>
      </c>
      <c r="C114" s="16" t="s">
        <v>5544</v>
      </c>
      <c r="D114" s="143" t="s">
        <v>5545</v>
      </c>
      <c r="E114" s="102" t="s">
        <v>15</v>
      </c>
      <c r="F114" s="102" t="s">
        <v>15</v>
      </c>
      <c r="G114" s="132" t="s">
        <v>16</v>
      </c>
      <c r="H114" s="109">
        <v>200</v>
      </c>
      <c r="I114" s="109">
        <v>200</v>
      </c>
      <c r="J114" s="102"/>
      <c r="K114" s="102"/>
      <c r="L114" s="105">
        <v>20201118</v>
      </c>
    </row>
    <row r="115" spans="1:12">
      <c r="A115" s="132">
        <v>113</v>
      </c>
      <c r="B115" s="102" t="s">
        <v>5328</v>
      </c>
      <c r="C115" s="16" t="s">
        <v>5546</v>
      </c>
      <c r="D115" s="143" t="s">
        <v>5547</v>
      </c>
      <c r="E115" s="102" t="s">
        <v>15</v>
      </c>
      <c r="F115" s="102" t="s">
        <v>15</v>
      </c>
      <c r="G115" s="132" t="s">
        <v>16</v>
      </c>
      <c r="H115" s="109">
        <v>200</v>
      </c>
      <c r="I115" s="109">
        <v>200</v>
      </c>
      <c r="J115" s="102"/>
      <c r="K115" s="102"/>
      <c r="L115" s="105">
        <v>20201118</v>
      </c>
    </row>
    <row r="116" spans="1:12">
      <c r="A116" s="132">
        <v>114</v>
      </c>
      <c r="B116" s="102" t="s">
        <v>5328</v>
      </c>
      <c r="C116" s="16" t="s">
        <v>5548</v>
      </c>
      <c r="D116" s="143" t="s">
        <v>5549</v>
      </c>
      <c r="E116" s="102" t="s">
        <v>15</v>
      </c>
      <c r="F116" s="102" t="s">
        <v>15</v>
      </c>
      <c r="G116" s="132" t="s">
        <v>16</v>
      </c>
      <c r="H116" s="109">
        <v>200</v>
      </c>
      <c r="I116" s="109">
        <v>200</v>
      </c>
      <c r="J116" s="102"/>
      <c r="K116" s="102"/>
      <c r="L116" s="105">
        <v>20201118</v>
      </c>
    </row>
    <row r="117" spans="1:12">
      <c r="A117" s="102">
        <v>115</v>
      </c>
      <c r="B117" s="102" t="s">
        <v>5328</v>
      </c>
      <c r="C117" s="16" t="s">
        <v>5550</v>
      </c>
      <c r="D117" s="143" t="s">
        <v>5551</v>
      </c>
      <c r="E117" s="102" t="s">
        <v>15</v>
      </c>
      <c r="F117" s="102" t="s">
        <v>15</v>
      </c>
      <c r="G117" s="132" t="s">
        <v>16</v>
      </c>
      <c r="H117" s="109">
        <v>200</v>
      </c>
      <c r="I117" s="109">
        <v>200</v>
      </c>
      <c r="J117" s="102"/>
      <c r="K117" s="102"/>
      <c r="L117" s="105">
        <v>20201118</v>
      </c>
    </row>
    <row r="118" spans="1:12">
      <c r="A118" s="132">
        <v>116</v>
      </c>
      <c r="B118" s="102" t="s">
        <v>5328</v>
      </c>
      <c r="C118" s="16" t="s">
        <v>5552</v>
      </c>
      <c r="D118" s="143" t="s">
        <v>5553</v>
      </c>
      <c r="E118" s="102" t="s">
        <v>15</v>
      </c>
      <c r="F118" s="102" t="s">
        <v>15</v>
      </c>
      <c r="G118" s="132" t="s">
        <v>16</v>
      </c>
      <c r="H118" s="109">
        <v>200</v>
      </c>
      <c r="I118" s="109">
        <v>200</v>
      </c>
      <c r="J118" s="102"/>
      <c r="K118" s="102"/>
      <c r="L118" s="105">
        <v>20201118</v>
      </c>
    </row>
    <row r="119" spans="1:12">
      <c r="A119" s="132">
        <v>117</v>
      </c>
      <c r="B119" s="102" t="s">
        <v>5328</v>
      </c>
      <c r="C119" s="16" t="s">
        <v>5554</v>
      </c>
      <c r="D119" s="143" t="s">
        <v>5555</v>
      </c>
      <c r="E119" s="102" t="s">
        <v>15</v>
      </c>
      <c r="F119" s="102" t="s">
        <v>15</v>
      </c>
      <c r="G119" s="132" t="s">
        <v>16</v>
      </c>
      <c r="H119" s="109">
        <v>200</v>
      </c>
      <c r="I119" s="109">
        <v>200</v>
      </c>
      <c r="J119" s="102"/>
      <c r="K119" s="102"/>
      <c r="L119" s="105">
        <v>20201118</v>
      </c>
    </row>
    <row r="120" spans="1:12">
      <c r="A120" s="132">
        <v>118</v>
      </c>
      <c r="B120" s="102" t="s">
        <v>5328</v>
      </c>
      <c r="C120" s="16" t="s">
        <v>5556</v>
      </c>
      <c r="D120" s="143" t="s">
        <v>5557</v>
      </c>
      <c r="E120" s="102" t="s">
        <v>15</v>
      </c>
      <c r="F120" s="102" t="s">
        <v>15</v>
      </c>
      <c r="G120" s="132" t="s">
        <v>16</v>
      </c>
      <c r="H120" s="109">
        <v>200</v>
      </c>
      <c r="I120" s="109">
        <v>200</v>
      </c>
      <c r="J120" s="102"/>
      <c r="K120" s="102"/>
      <c r="L120" s="105">
        <v>20201118</v>
      </c>
    </row>
    <row r="121" spans="1:12">
      <c r="A121" s="102">
        <v>119</v>
      </c>
      <c r="B121" s="102" t="s">
        <v>5328</v>
      </c>
      <c r="C121" s="16" t="s">
        <v>5558</v>
      </c>
      <c r="D121" s="143" t="s">
        <v>5559</v>
      </c>
      <c r="E121" s="102" t="s">
        <v>15</v>
      </c>
      <c r="F121" s="102" t="s">
        <v>15</v>
      </c>
      <c r="G121" s="132" t="s">
        <v>16</v>
      </c>
      <c r="H121" s="109">
        <v>200</v>
      </c>
      <c r="I121" s="109">
        <v>200</v>
      </c>
      <c r="J121" s="102"/>
      <c r="K121" s="102"/>
      <c r="L121" s="105">
        <v>20201118</v>
      </c>
    </row>
    <row r="122" spans="1:12">
      <c r="A122" s="132">
        <v>120</v>
      </c>
      <c r="B122" s="102" t="s">
        <v>5328</v>
      </c>
      <c r="C122" s="16" t="s">
        <v>5560</v>
      </c>
      <c r="D122" s="143" t="s">
        <v>5561</v>
      </c>
      <c r="E122" s="102" t="s">
        <v>15</v>
      </c>
      <c r="F122" s="102" t="s">
        <v>15</v>
      </c>
      <c r="G122" s="132" t="s">
        <v>16</v>
      </c>
      <c r="H122" s="109">
        <v>200</v>
      </c>
      <c r="I122" s="109">
        <v>200</v>
      </c>
      <c r="J122" s="102"/>
      <c r="K122" s="102"/>
      <c r="L122" s="105">
        <v>20201118</v>
      </c>
    </row>
    <row r="123" spans="1:12">
      <c r="A123" s="132">
        <v>121</v>
      </c>
      <c r="B123" s="102" t="s">
        <v>5328</v>
      </c>
      <c r="C123" s="16" t="s">
        <v>5562</v>
      </c>
      <c r="D123" s="143" t="s">
        <v>5563</v>
      </c>
      <c r="E123" s="102" t="s">
        <v>15</v>
      </c>
      <c r="F123" s="102" t="s">
        <v>15</v>
      </c>
      <c r="G123" s="132" t="s">
        <v>16</v>
      </c>
      <c r="H123" s="109">
        <v>200</v>
      </c>
      <c r="I123" s="109">
        <v>200</v>
      </c>
      <c r="J123" s="102"/>
      <c r="K123" s="102"/>
      <c r="L123" s="105">
        <v>20201118</v>
      </c>
    </row>
    <row r="124" spans="1:12">
      <c r="A124" s="132">
        <v>122</v>
      </c>
      <c r="B124" s="102" t="s">
        <v>5328</v>
      </c>
      <c r="C124" s="16" t="s">
        <v>5564</v>
      </c>
      <c r="D124" s="143" t="s">
        <v>5565</v>
      </c>
      <c r="E124" s="102" t="s">
        <v>15</v>
      </c>
      <c r="F124" s="102" t="s">
        <v>15</v>
      </c>
      <c r="G124" s="132" t="s">
        <v>16</v>
      </c>
      <c r="H124" s="109">
        <v>200</v>
      </c>
      <c r="I124" s="109">
        <v>200</v>
      </c>
      <c r="J124" s="102"/>
      <c r="K124" s="102"/>
      <c r="L124" s="105">
        <v>20201118</v>
      </c>
    </row>
    <row r="125" spans="1:12">
      <c r="A125" s="102">
        <v>123</v>
      </c>
      <c r="B125" s="102" t="s">
        <v>5328</v>
      </c>
      <c r="C125" s="16" t="s">
        <v>5566</v>
      </c>
      <c r="D125" s="143" t="s">
        <v>5567</v>
      </c>
      <c r="E125" s="102" t="s">
        <v>15</v>
      </c>
      <c r="F125" s="102" t="s">
        <v>15</v>
      </c>
      <c r="G125" s="132" t="s">
        <v>16</v>
      </c>
      <c r="H125" s="109">
        <v>200</v>
      </c>
      <c r="I125" s="109">
        <v>200</v>
      </c>
      <c r="J125" s="102"/>
      <c r="K125" s="102"/>
      <c r="L125" s="105">
        <v>20201118</v>
      </c>
    </row>
    <row r="126" spans="1:12">
      <c r="A126" s="132">
        <v>124</v>
      </c>
      <c r="B126" s="102" t="s">
        <v>5328</v>
      </c>
      <c r="C126" s="16" t="s">
        <v>5568</v>
      </c>
      <c r="D126" s="143" t="s">
        <v>5569</v>
      </c>
      <c r="E126" s="102" t="s">
        <v>15</v>
      </c>
      <c r="F126" s="102" t="s">
        <v>15</v>
      </c>
      <c r="G126" s="132" t="s">
        <v>16</v>
      </c>
      <c r="H126" s="109">
        <v>200</v>
      </c>
      <c r="I126" s="109">
        <v>200</v>
      </c>
      <c r="J126" s="102"/>
      <c r="K126" s="102"/>
      <c r="L126" s="105">
        <v>20201118</v>
      </c>
    </row>
    <row r="127" spans="1:12">
      <c r="A127" s="132">
        <v>125</v>
      </c>
      <c r="B127" s="102" t="s">
        <v>5328</v>
      </c>
      <c r="C127" s="16" t="s">
        <v>5570</v>
      </c>
      <c r="D127" s="143" t="s">
        <v>5571</v>
      </c>
      <c r="E127" s="102" t="s">
        <v>15</v>
      </c>
      <c r="F127" s="102" t="s">
        <v>15</v>
      </c>
      <c r="G127" s="132" t="s">
        <v>16</v>
      </c>
      <c r="H127" s="109">
        <v>300</v>
      </c>
      <c r="I127" s="109">
        <v>300</v>
      </c>
      <c r="J127" s="102"/>
      <c r="K127" s="102"/>
      <c r="L127" s="105">
        <v>20201118</v>
      </c>
    </row>
    <row r="128" spans="1:12">
      <c r="A128" s="132">
        <v>126</v>
      </c>
      <c r="B128" s="102" t="s">
        <v>5328</v>
      </c>
      <c r="C128" s="16" t="s">
        <v>5572</v>
      </c>
      <c r="D128" s="143" t="s">
        <v>5573</v>
      </c>
      <c r="E128" s="102" t="s">
        <v>15</v>
      </c>
      <c r="F128" s="102" t="s">
        <v>15</v>
      </c>
      <c r="G128" s="132" t="s">
        <v>16</v>
      </c>
      <c r="H128" s="109">
        <v>200</v>
      </c>
      <c r="I128" s="109">
        <v>200</v>
      </c>
      <c r="J128" s="102"/>
      <c r="K128" s="102"/>
      <c r="L128" s="105">
        <v>20201118</v>
      </c>
    </row>
    <row r="129" spans="1:12">
      <c r="A129" s="102">
        <v>127</v>
      </c>
      <c r="B129" s="102" t="s">
        <v>5328</v>
      </c>
      <c r="C129" s="16" t="s">
        <v>5574</v>
      </c>
      <c r="D129" s="143" t="s">
        <v>5575</v>
      </c>
      <c r="E129" s="102" t="s">
        <v>15</v>
      </c>
      <c r="F129" s="102" t="s">
        <v>15</v>
      </c>
      <c r="G129" s="132" t="s">
        <v>16</v>
      </c>
      <c r="H129" s="109">
        <v>200</v>
      </c>
      <c r="I129" s="109">
        <v>200</v>
      </c>
      <c r="J129" s="102"/>
      <c r="K129" s="102"/>
      <c r="L129" s="105">
        <v>20201118</v>
      </c>
    </row>
    <row r="130" spans="1:12">
      <c r="A130" s="132">
        <v>128</v>
      </c>
      <c r="B130" s="102" t="s">
        <v>5328</v>
      </c>
      <c r="C130" s="16" t="s">
        <v>5576</v>
      </c>
      <c r="D130" s="143" t="s">
        <v>5577</v>
      </c>
      <c r="E130" s="102" t="s">
        <v>15</v>
      </c>
      <c r="F130" s="102" t="s">
        <v>15</v>
      </c>
      <c r="G130" s="132" t="s">
        <v>16</v>
      </c>
      <c r="H130" s="109">
        <v>200</v>
      </c>
      <c r="I130" s="109">
        <v>200</v>
      </c>
      <c r="J130" s="102"/>
      <c r="K130" s="102"/>
      <c r="L130" s="105">
        <v>20201118</v>
      </c>
    </row>
    <row r="131" spans="1:12">
      <c r="A131" s="132">
        <v>129</v>
      </c>
      <c r="B131" s="102" t="s">
        <v>5328</v>
      </c>
      <c r="C131" s="16" t="s">
        <v>5578</v>
      </c>
      <c r="D131" s="143" t="s">
        <v>5579</v>
      </c>
      <c r="E131" s="102" t="s">
        <v>15</v>
      </c>
      <c r="F131" s="102" t="s">
        <v>15</v>
      </c>
      <c r="G131" s="132" t="s">
        <v>16</v>
      </c>
      <c r="H131" s="109">
        <v>200</v>
      </c>
      <c r="I131" s="109">
        <v>200</v>
      </c>
      <c r="J131" s="102"/>
      <c r="K131" s="102"/>
      <c r="L131" s="105">
        <v>20201118</v>
      </c>
    </row>
    <row r="132" spans="1:12">
      <c r="A132" s="132">
        <v>130</v>
      </c>
      <c r="B132" s="102" t="s">
        <v>5328</v>
      </c>
      <c r="C132" s="16" t="s">
        <v>5580</v>
      </c>
      <c r="D132" s="143" t="s">
        <v>5581</v>
      </c>
      <c r="E132" s="102" t="s">
        <v>15</v>
      </c>
      <c r="F132" s="102" t="s">
        <v>15</v>
      </c>
      <c r="G132" s="132" t="s">
        <v>16</v>
      </c>
      <c r="H132" s="109">
        <v>200</v>
      </c>
      <c r="I132" s="109">
        <v>200</v>
      </c>
      <c r="J132" s="102"/>
      <c r="K132" s="102"/>
      <c r="L132" s="105">
        <v>20201118</v>
      </c>
    </row>
    <row r="133" spans="1:12">
      <c r="A133" s="102">
        <v>131</v>
      </c>
      <c r="B133" s="102" t="s">
        <v>5328</v>
      </c>
      <c r="C133" s="16" t="s">
        <v>5582</v>
      </c>
      <c r="D133" s="143" t="s">
        <v>5583</v>
      </c>
      <c r="E133" s="102" t="s">
        <v>15</v>
      </c>
      <c r="F133" s="102" t="s">
        <v>15</v>
      </c>
      <c r="G133" s="132" t="s">
        <v>16</v>
      </c>
      <c r="H133" s="109">
        <v>200</v>
      </c>
      <c r="I133" s="109">
        <v>200</v>
      </c>
      <c r="J133" s="102"/>
      <c r="K133" s="102"/>
      <c r="L133" s="105">
        <v>20201118</v>
      </c>
    </row>
    <row r="134" spans="1:12">
      <c r="A134" s="132">
        <v>132</v>
      </c>
      <c r="B134" s="102" t="s">
        <v>5328</v>
      </c>
      <c r="C134" s="16" t="s">
        <v>5584</v>
      </c>
      <c r="D134" s="143" t="s">
        <v>5585</v>
      </c>
      <c r="E134" s="102" t="s">
        <v>15</v>
      </c>
      <c r="F134" s="102" t="s">
        <v>15</v>
      </c>
      <c r="G134" s="132" t="s">
        <v>16</v>
      </c>
      <c r="H134" s="109">
        <v>200</v>
      </c>
      <c r="I134" s="109">
        <v>200</v>
      </c>
      <c r="J134" s="102"/>
      <c r="K134" s="102"/>
      <c r="L134" s="105">
        <v>20201118</v>
      </c>
    </row>
    <row r="135" spans="1:12">
      <c r="A135" s="132">
        <v>133</v>
      </c>
      <c r="B135" s="102" t="s">
        <v>5328</v>
      </c>
      <c r="C135" s="16" t="s">
        <v>5586</v>
      </c>
      <c r="D135" s="143" t="s">
        <v>5587</v>
      </c>
      <c r="E135" s="102" t="s">
        <v>15</v>
      </c>
      <c r="F135" s="102" t="s">
        <v>15</v>
      </c>
      <c r="G135" s="132" t="s">
        <v>16</v>
      </c>
      <c r="H135" s="109">
        <v>200</v>
      </c>
      <c r="I135" s="109">
        <v>200</v>
      </c>
      <c r="J135" s="102"/>
      <c r="K135" s="102"/>
      <c r="L135" s="105">
        <v>20201118</v>
      </c>
    </row>
    <row r="136" s="146" customFormat="1" spans="1:12">
      <c r="A136" s="132">
        <v>134</v>
      </c>
      <c r="B136" s="102" t="s">
        <v>5328</v>
      </c>
      <c r="C136" s="231" t="s">
        <v>5588</v>
      </c>
      <c r="D136" s="231" t="s">
        <v>5589</v>
      </c>
      <c r="E136" s="102" t="s">
        <v>310</v>
      </c>
      <c r="F136" s="102" t="s">
        <v>15</v>
      </c>
      <c r="G136" s="232" t="s">
        <v>289</v>
      </c>
      <c r="H136" s="109">
        <v>200</v>
      </c>
      <c r="I136" s="109">
        <v>2000</v>
      </c>
      <c r="J136" s="102"/>
      <c r="K136" s="111"/>
      <c r="L136" s="105">
        <v>20201118</v>
      </c>
    </row>
    <row r="137" s="146" customFormat="1" spans="1:12">
      <c r="A137" s="102">
        <v>135</v>
      </c>
      <c r="B137" s="102" t="s">
        <v>5328</v>
      </c>
      <c r="C137" s="231" t="s">
        <v>5590</v>
      </c>
      <c r="D137" s="231" t="s">
        <v>5591</v>
      </c>
      <c r="E137" s="102" t="s">
        <v>310</v>
      </c>
      <c r="F137" s="102" t="s">
        <v>15</v>
      </c>
      <c r="G137" s="232" t="s">
        <v>289</v>
      </c>
      <c r="H137" s="109">
        <v>200</v>
      </c>
      <c r="I137" s="109">
        <v>2000</v>
      </c>
      <c r="J137" s="102"/>
      <c r="K137" s="111"/>
      <c r="L137" s="105">
        <v>20201118</v>
      </c>
    </row>
    <row r="138" s="146" customFormat="1" spans="1:12">
      <c r="A138" s="132">
        <v>136</v>
      </c>
      <c r="B138" s="102" t="s">
        <v>5328</v>
      </c>
      <c r="C138" s="233" t="s">
        <v>5592</v>
      </c>
      <c r="D138" s="233" t="s">
        <v>5593</v>
      </c>
      <c r="E138" s="102" t="s">
        <v>310</v>
      </c>
      <c r="F138" s="102" t="s">
        <v>15</v>
      </c>
      <c r="G138" s="232" t="s">
        <v>289</v>
      </c>
      <c r="H138" s="109">
        <v>200</v>
      </c>
      <c r="I138" s="109">
        <v>2000</v>
      </c>
      <c r="J138" s="102"/>
      <c r="K138" s="111"/>
      <c r="L138" s="105">
        <v>20201118</v>
      </c>
    </row>
    <row r="139" s="146" customFormat="1" spans="1:12">
      <c r="A139" s="132">
        <v>137</v>
      </c>
      <c r="B139" s="102" t="s">
        <v>5328</v>
      </c>
      <c r="C139" s="233" t="s">
        <v>5594</v>
      </c>
      <c r="D139" s="233" t="s">
        <v>5595</v>
      </c>
      <c r="E139" s="102" t="s">
        <v>292</v>
      </c>
      <c r="F139" s="102" t="s">
        <v>15</v>
      </c>
      <c r="G139" s="232" t="s">
        <v>289</v>
      </c>
      <c r="H139" s="109">
        <v>200</v>
      </c>
      <c r="I139" s="109">
        <v>1000</v>
      </c>
      <c r="J139" s="102"/>
      <c r="K139" s="111"/>
      <c r="L139" s="105">
        <v>20201118</v>
      </c>
    </row>
    <row r="140" s="146" customFormat="1" spans="1:12">
      <c r="A140" s="132">
        <v>138</v>
      </c>
      <c r="B140" s="102" t="s">
        <v>5328</v>
      </c>
      <c r="C140" s="231" t="s">
        <v>5596</v>
      </c>
      <c r="D140" s="231" t="s">
        <v>5597</v>
      </c>
      <c r="E140" s="102" t="s">
        <v>288</v>
      </c>
      <c r="F140" s="102" t="s">
        <v>15</v>
      </c>
      <c r="G140" s="232" t="s">
        <v>289</v>
      </c>
      <c r="H140" s="109">
        <v>200</v>
      </c>
      <c r="I140" s="109">
        <v>800</v>
      </c>
      <c r="J140" s="102"/>
      <c r="K140" s="111"/>
      <c r="L140" s="105">
        <v>20201118</v>
      </c>
    </row>
    <row r="141" s="146" customFormat="1" spans="1:13">
      <c r="A141" s="132">
        <v>139</v>
      </c>
      <c r="B141" s="102" t="s">
        <v>5328</v>
      </c>
      <c r="C141" s="179" t="s">
        <v>5598</v>
      </c>
      <c r="D141" s="179" t="s">
        <v>5599</v>
      </c>
      <c r="E141" s="149" t="s">
        <v>310</v>
      </c>
      <c r="F141" s="149" t="s">
        <v>15</v>
      </c>
      <c r="G141" s="232" t="s">
        <v>289</v>
      </c>
      <c r="H141" s="130" t="s">
        <v>311</v>
      </c>
      <c r="I141" s="227">
        <v>2000</v>
      </c>
      <c r="J141" s="164"/>
      <c r="K141" s="164"/>
      <c r="L141" s="105">
        <v>20200814</v>
      </c>
      <c r="M141" s="133"/>
    </row>
    <row r="142" spans="1:12">
      <c r="A142" s="132"/>
      <c r="B142" s="205"/>
      <c r="C142" s="66"/>
      <c r="D142" s="234"/>
      <c r="E142" s="128"/>
      <c r="F142" s="132"/>
      <c r="G142" s="205"/>
      <c r="H142" s="109"/>
      <c r="I142" s="109" t="s">
        <v>5600</v>
      </c>
      <c r="J142" s="234"/>
      <c r="K142" s="205"/>
      <c r="L142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3"/>
  <sheetViews>
    <sheetView topLeftCell="A205" workbookViewId="0">
      <selection activeCell="A3" sqref="A3:L242"/>
    </sheetView>
  </sheetViews>
  <sheetFormatPr defaultColWidth="9" defaultRowHeight="13.5"/>
  <cols>
    <col min="2" max="2" width="12.75" customWidth="1"/>
    <col min="4" max="4" width="19.25" customWidth="1"/>
    <col min="12" max="12" width="11.75" customWidth="1"/>
  </cols>
  <sheetData>
    <row r="1" ht="18.75" spans="1:12">
      <c r="A1" s="99" t="s">
        <v>5601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95"/>
    </row>
    <row r="2" s="96" customFormat="1" ht="16" customHeight="1" spans="1:12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/>
      <c r="G2" s="44" t="s">
        <v>6</v>
      </c>
      <c r="H2" s="44" t="s">
        <v>7</v>
      </c>
      <c r="I2" s="44" t="s">
        <v>8</v>
      </c>
      <c r="J2" s="44" t="s">
        <v>9</v>
      </c>
      <c r="K2" s="110" t="s">
        <v>10</v>
      </c>
      <c r="L2" s="104" t="s">
        <v>11</v>
      </c>
    </row>
    <row r="3" ht="16" customHeight="1" spans="1:12">
      <c r="A3" s="161">
        <v>1</v>
      </c>
      <c r="B3" s="161" t="s">
        <v>5602</v>
      </c>
      <c r="C3" s="137" t="s">
        <v>5603</v>
      </c>
      <c r="D3" s="137" t="s">
        <v>5604</v>
      </c>
      <c r="E3" s="161">
        <v>2020</v>
      </c>
      <c r="F3" s="161">
        <v>2020</v>
      </c>
      <c r="G3" s="161" t="s">
        <v>16</v>
      </c>
      <c r="H3" s="137">
        <v>200</v>
      </c>
      <c r="I3" s="137">
        <v>200</v>
      </c>
      <c r="J3" s="161" t="s">
        <v>108</v>
      </c>
      <c r="K3" s="218"/>
      <c r="L3" s="105">
        <v>20201118</v>
      </c>
    </row>
    <row r="4" ht="16" customHeight="1" spans="1:12">
      <c r="A4" s="161">
        <v>2</v>
      </c>
      <c r="B4" s="161" t="s">
        <v>5602</v>
      </c>
      <c r="C4" s="137" t="s">
        <v>5605</v>
      </c>
      <c r="D4" s="137" t="s">
        <v>5606</v>
      </c>
      <c r="E4" s="161">
        <v>2020</v>
      </c>
      <c r="F4" s="161">
        <v>2020</v>
      </c>
      <c r="G4" s="161" t="s">
        <v>16</v>
      </c>
      <c r="H4" s="137">
        <v>200</v>
      </c>
      <c r="I4" s="137">
        <v>200</v>
      </c>
      <c r="J4" s="161"/>
      <c r="K4" s="218"/>
      <c r="L4" s="105">
        <v>20201118</v>
      </c>
    </row>
    <row r="5" ht="16" customHeight="1" spans="1:12">
      <c r="A5" s="161">
        <v>3</v>
      </c>
      <c r="B5" s="161" t="s">
        <v>5602</v>
      </c>
      <c r="C5" s="137" t="s">
        <v>5607</v>
      </c>
      <c r="D5" s="137" t="s">
        <v>5608</v>
      </c>
      <c r="E5" s="161">
        <v>2020</v>
      </c>
      <c r="F5" s="161">
        <v>2020</v>
      </c>
      <c r="G5" s="161" t="s">
        <v>16</v>
      </c>
      <c r="H5" s="137">
        <v>200</v>
      </c>
      <c r="I5" s="137">
        <v>200</v>
      </c>
      <c r="J5" s="161" t="s">
        <v>108</v>
      </c>
      <c r="K5" s="218"/>
      <c r="L5" s="105">
        <v>20201118</v>
      </c>
    </row>
    <row r="6" ht="16" customHeight="1" spans="1:12">
      <c r="A6" s="161">
        <v>4</v>
      </c>
      <c r="B6" s="161" t="s">
        <v>5602</v>
      </c>
      <c r="C6" s="137" t="s">
        <v>5609</v>
      </c>
      <c r="D6" s="137" t="s">
        <v>5610</v>
      </c>
      <c r="E6" s="161">
        <v>2020</v>
      </c>
      <c r="F6" s="161">
        <v>2020</v>
      </c>
      <c r="G6" s="161" t="s">
        <v>16</v>
      </c>
      <c r="H6" s="137">
        <v>300</v>
      </c>
      <c r="I6" s="137">
        <v>300</v>
      </c>
      <c r="J6" s="161"/>
      <c r="K6" s="218"/>
      <c r="L6" s="105">
        <v>20201118</v>
      </c>
    </row>
    <row r="7" ht="16" customHeight="1" spans="1:12">
      <c r="A7" s="161">
        <v>5</v>
      </c>
      <c r="B7" s="161" t="s">
        <v>5602</v>
      </c>
      <c r="C7" s="137" t="s">
        <v>5611</v>
      </c>
      <c r="D7" s="137" t="s">
        <v>5612</v>
      </c>
      <c r="E7" s="161">
        <v>2020</v>
      </c>
      <c r="F7" s="161">
        <v>2020</v>
      </c>
      <c r="G7" s="161" t="s">
        <v>16</v>
      </c>
      <c r="H7" s="137">
        <v>200</v>
      </c>
      <c r="I7" s="137">
        <v>200</v>
      </c>
      <c r="J7" s="161"/>
      <c r="K7" s="218"/>
      <c r="L7" s="105">
        <v>20201118</v>
      </c>
    </row>
    <row r="8" ht="16" customHeight="1" spans="1:12">
      <c r="A8" s="161">
        <v>6</v>
      </c>
      <c r="B8" s="161" t="s">
        <v>5602</v>
      </c>
      <c r="C8" s="137" t="s">
        <v>5613</v>
      </c>
      <c r="D8" s="137" t="s">
        <v>5614</v>
      </c>
      <c r="E8" s="161">
        <v>2020</v>
      </c>
      <c r="F8" s="161">
        <v>2020</v>
      </c>
      <c r="G8" s="161" t="s">
        <v>16</v>
      </c>
      <c r="H8" s="137">
        <v>200</v>
      </c>
      <c r="I8" s="137">
        <v>200</v>
      </c>
      <c r="J8" s="161"/>
      <c r="K8" s="218"/>
      <c r="L8" s="105">
        <v>20201118</v>
      </c>
    </row>
    <row r="9" ht="16" customHeight="1" spans="1:12">
      <c r="A9" s="161">
        <v>7</v>
      </c>
      <c r="B9" s="161" t="s">
        <v>5602</v>
      </c>
      <c r="C9" s="137" t="s">
        <v>5615</v>
      </c>
      <c r="D9" s="137" t="s">
        <v>5616</v>
      </c>
      <c r="E9" s="161">
        <v>2020</v>
      </c>
      <c r="F9" s="161">
        <v>2020</v>
      </c>
      <c r="G9" s="161" t="s">
        <v>16</v>
      </c>
      <c r="H9" s="137">
        <v>200</v>
      </c>
      <c r="I9" s="137">
        <v>200</v>
      </c>
      <c r="J9" s="161"/>
      <c r="K9" s="218"/>
      <c r="L9" s="105">
        <v>20201118</v>
      </c>
    </row>
    <row r="10" ht="16" customHeight="1" spans="1:12">
      <c r="A10" s="161">
        <v>8</v>
      </c>
      <c r="B10" s="161" t="s">
        <v>5602</v>
      </c>
      <c r="C10" s="137" t="s">
        <v>5617</v>
      </c>
      <c r="D10" s="137" t="s">
        <v>5618</v>
      </c>
      <c r="E10" s="161">
        <v>2020</v>
      </c>
      <c r="F10" s="161">
        <v>2020</v>
      </c>
      <c r="G10" s="161" t="s">
        <v>16</v>
      </c>
      <c r="H10" s="137">
        <v>200</v>
      </c>
      <c r="I10" s="137">
        <v>200</v>
      </c>
      <c r="J10" s="161"/>
      <c r="K10" s="218"/>
      <c r="L10" s="105">
        <v>20201118</v>
      </c>
    </row>
    <row r="11" ht="16" customHeight="1" spans="1:12">
      <c r="A11" s="161">
        <v>9</v>
      </c>
      <c r="B11" s="161" t="s">
        <v>5602</v>
      </c>
      <c r="C11" s="137" t="s">
        <v>5619</v>
      </c>
      <c r="D11" s="137" t="s">
        <v>5620</v>
      </c>
      <c r="E11" s="161">
        <v>2020</v>
      </c>
      <c r="F11" s="161">
        <v>2020</v>
      </c>
      <c r="G11" s="161" t="s">
        <v>16</v>
      </c>
      <c r="H11" s="137">
        <v>200</v>
      </c>
      <c r="I11" s="137">
        <v>200</v>
      </c>
      <c r="J11" s="161"/>
      <c r="K11" s="218"/>
      <c r="L11" s="105">
        <v>20201118</v>
      </c>
    </row>
    <row r="12" ht="16" customHeight="1" spans="1:12">
      <c r="A12" s="161">
        <v>10</v>
      </c>
      <c r="B12" s="161" t="s">
        <v>5602</v>
      </c>
      <c r="C12" s="137" t="s">
        <v>5621</v>
      </c>
      <c r="D12" s="137" t="s">
        <v>5622</v>
      </c>
      <c r="E12" s="161">
        <v>2020</v>
      </c>
      <c r="F12" s="161">
        <v>2020</v>
      </c>
      <c r="G12" s="161" t="s">
        <v>16</v>
      </c>
      <c r="H12" s="137">
        <v>200</v>
      </c>
      <c r="I12" s="137">
        <v>200</v>
      </c>
      <c r="J12" s="161"/>
      <c r="K12" s="218"/>
      <c r="L12" s="105">
        <v>20201118</v>
      </c>
    </row>
    <row r="13" ht="16" customHeight="1" spans="1:12">
      <c r="A13" s="161">
        <v>11</v>
      </c>
      <c r="B13" s="161" t="s">
        <v>5602</v>
      </c>
      <c r="C13" s="137" t="s">
        <v>5623</v>
      </c>
      <c r="D13" s="137" t="s">
        <v>5624</v>
      </c>
      <c r="E13" s="161">
        <v>2020</v>
      </c>
      <c r="F13" s="161">
        <v>2020</v>
      </c>
      <c r="G13" s="161" t="s">
        <v>16</v>
      </c>
      <c r="H13" s="137">
        <v>200</v>
      </c>
      <c r="I13" s="137">
        <v>200</v>
      </c>
      <c r="J13" s="161" t="s">
        <v>5625</v>
      </c>
      <c r="K13" s="218"/>
      <c r="L13" s="105">
        <v>20201118</v>
      </c>
    </row>
    <row r="14" ht="16" customHeight="1" spans="1:12">
      <c r="A14" s="161">
        <v>12</v>
      </c>
      <c r="B14" s="161" t="s">
        <v>5602</v>
      </c>
      <c r="C14" s="137" t="s">
        <v>5626</v>
      </c>
      <c r="D14" s="137" t="s">
        <v>5627</v>
      </c>
      <c r="E14" s="161">
        <v>2020</v>
      </c>
      <c r="F14" s="161">
        <v>2020</v>
      </c>
      <c r="G14" s="161" t="s">
        <v>16</v>
      </c>
      <c r="H14" s="137">
        <v>200</v>
      </c>
      <c r="I14" s="137">
        <v>200</v>
      </c>
      <c r="J14" s="161"/>
      <c r="K14" s="218"/>
      <c r="L14" s="105">
        <v>20201118</v>
      </c>
    </row>
    <row r="15" ht="16" customHeight="1" spans="1:12">
      <c r="A15" s="161">
        <v>13</v>
      </c>
      <c r="B15" s="161" t="s">
        <v>5602</v>
      </c>
      <c r="C15" s="137" t="s">
        <v>5628</v>
      </c>
      <c r="D15" s="137" t="s">
        <v>5629</v>
      </c>
      <c r="E15" s="161">
        <v>2020</v>
      </c>
      <c r="F15" s="161">
        <v>2020</v>
      </c>
      <c r="G15" s="161" t="s">
        <v>16</v>
      </c>
      <c r="H15" s="137">
        <v>500</v>
      </c>
      <c r="I15" s="137">
        <v>500</v>
      </c>
      <c r="J15" s="161"/>
      <c r="K15" s="218"/>
      <c r="L15" s="105">
        <v>20201118</v>
      </c>
    </row>
    <row r="16" ht="16" customHeight="1" spans="1:12">
      <c r="A16" s="161">
        <v>14</v>
      </c>
      <c r="B16" s="161" t="s">
        <v>5602</v>
      </c>
      <c r="C16" s="137" t="s">
        <v>5630</v>
      </c>
      <c r="D16" s="137" t="s">
        <v>5631</v>
      </c>
      <c r="E16" s="161">
        <v>2020</v>
      </c>
      <c r="F16" s="161">
        <v>2020</v>
      </c>
      <c r="G16" s="161" t="s">
        <v>16</v>
      </c>
      <c r="H16" s="137">
        <v>200</v>
      </c>
      <c r="I16" s="137">
        <v>200</v>
      </c>
      <c r="J16" s="161"/>
      <c r="K16" s="218"/>
      <c r="L16" s="105">
        <v>20201118</v>
      </c>
    </row>
    <row r="17" ht="16" customHeight="1" spans="1:12">
      <c r="A17" s="161">
        <v>15</v>
      </c>
      <c r="B17" s="161" t="s">
        <v>5602</v>
      </c>
      <c r="C17" s="137" t="s">
        <v>5632</v>
      </c>
      <c r="D17" s="137" t="s">
        <v>5633</v>
      </c>
      <c r="E17" s="161">
        <v>2020</v>
      </c>
      <c r="F17" s="161">
        <v>2020</v>
      </c>
      <c r="G17" s="161" t="s">
        <v>16</v>
      </c>
      <c r="H17" s="137">
        <v>500</v>
      </c>
      <c r="I17" s="137">
        <v>500</v>
      </c>
      <c r="J17" s="161"/>
      <c r="K17" s="218"/>
      <c r="L17" s="105">
        <v>20201118</v>
      </c>
    </row>
    <row r="18" ht="16" customHeight="1" spans="1:12">
      <c r="A18" s="161">
        <v>16</v>
      </c>
      <c r="B18" s="161" t="s">
        <v>5602</v>
      </c>
      <c r="C18" s="137" t="s">
        <v>5634</v>
      </c>
      <c r="D18" s="137" t="s">
        <v>5635</v>
      </c>
      <c r="E18" s="161">
        <v>2020</v>
      </c>
      <c r="F18" s="161">
        <v>2020</v>
      </c>
      <c r="G18" s="161" t="s">
        <v>16</v>
      </c>
      <c r="H18" s="137">
        <v>200</v>
      </c>
      <c r="I18" s="137">
        <v>200</v>
      </c>
      <c r="J18" s="161"/>
      <c r="K18" s="218"/>
      <c r="L18" s="105">
        <v>20201118</v>
      </c>
    </row>
    <row r="19" ht="16" customHeight="1" spans="1:12">
      <c r="A19" s="161">
        <v>17</v>
      </c>
      <c r="B19" s="161" t="s">
        <v>5602</v>
      </c>
      <c r="C19" s="137" t="s">
        <v>5636</v>
      </c>
      <c r="D19" s="137" t="s">
        <v>5637</v>
      </c>
      <c r="E19" s="161">
        <v>2020</v>
      </c>
      <c r="F19" s="161">
        <v>2020</v>
      </c>
      <c r="G19" s="161" t="s">
        <v>16</v>
      </c>
      <c r="H19" s="137">
        <v>200</v>
      </c>
      <c r="I19" s="137">
        <v>200</v>
      </c>
      <c r="J19" s="161"/>
      <c r="K19" s="218"/>
      <c r="L19" s="105">
        <v>20201118</v>
      </c>
    </row>
    <row r="20" ht="16" customHeight="1" spans="1:12">
      <c r="A20" s="161">
        <v>18</v>
      </c>
      <c r="B20" s="161" t="s">
        <v>5602</v>
      </c>
      <c r="C20" s="137" t="s">
        <v>5638</v>
      </c>
      <c r="D20" s="137" t="s">
        <v>5639</v>
      </c>
      <c r="E20" s="161">
        <v>2020</v>
      </c>
      <c r="F20" s="161">
        <v>2020</v>
      </c>
      <c r="G20" s="161" t="s">
        <v>16</v>
      </c>
      <c r="H20" s="137">
        <v>200</v>
      </c>
      <c r="I20" s="137">
        <v>200</v>
      </c>
      <c r="J20" s="161"/>
      <c r="K20" s="218"/>
      <c r="L20" s="105">
        <v>20201118</v>
      </c>
    </row>
    <row r="21" ht="16" customHeight="1" spans="1:12">
      <c r="A21" s="161">
        <v>19</v>
      </c>
      <c r="B21" s="161" t="s">
        <v>5602</v>
      </c>
      <c r="C21" s="137" t="s">
        <v>5640</v>
      </c>
      <c r="D21" s="137" t="s">
        <v>5641</v>
      </c>
      <c r="E21" s="161">
        <v>2020</v>
      </c>
      <c r="F21" s="161">
        <v>2020</v>
      </c>
      <c r="G21" s="161" t="s">
        <v>16</v>
      </c>
      <c r="H21" s="137">
        <v>200</v>
      </c>
      <c r="I21" s="137">
        <v>200</v>
      </c>
      <c r="J21" s="161"/>
      <c r="K21" s="218"/>
      <c r="L21" s="105">
        <v>20201118</v>
      </c>
    </row>
    <row r="22" ht="16" customHeight="1" spans="1:12">
      <c r="A22" s="161">
        <v>20</v>
      </c>
      <c r="B22" s="161" t="s">
        <v>5602</v>
      </c>
      <c r="C22" s="137" t="s">
        <v>5642</v>
      </c>
      <c r="D22" s="137" t="s">
        <v>5643</v>
      </c>
      <c r="E22" s="161">
        <v>2020</v>
      </c>
      <c r="F22" s="161">
        <v>2020</v>
      </c>
      <c r="G22" s="161" t="s">
        <v>16</v>
      </c>
      <c r="H22" s="137">
        <v>200</v>
      </c>
      <c r="I22" s="137">
        <v>200</v>
      </c>
      <c r="J22" s="161"/>
      <c r="K22" s="218"/>
      <c r="L22" s="105">
        <v>20201118</v>
      </c>
    </row>
    <row r="23" ht="16" customHeight="1" spans="1:12">
      <c r="A23" s="161">
        <v>21</v>
      </c>
      <c r="B23" s="161" t="s">
        <v>5602</v>
      </c>
      <c r="C23" s="137" t="s">
        <v>5644</v>
      </c>
      <c r="D23" s="137" t="s">
        <v>5645</v>
      </c>
      <c r="E23" s="161">
        <v>2020</v>
      </c>
      <c r="F23" s="161">
        <v>2020</v>
      </c>
      <c r="G23" s="161" t="s">
        <v>16</v>
      </c>
      <c r="H23" s="137">
        <v>200</v>
      </c>
      <c r="I23" s="137">
        <v>200</v>
      </c>
      <c r="J23" s="161"/>
      <c r="K23" s="218"/>
      <c r="L23" s="105">
        <v>20201118</v>
      </c>
    </row>
    <row r="24" ht="16" customHeight="1" spans="1:12">
      <c r="A24" s="161">
        <v>22</v>
      </c>
      <c r="B24" s="161" t="s">
        <v>5602</v>
      </c>
      <c r="C24" s="137" t="s">
        <v>5646</v>
      </c>
      <c r="D24" s="137" t="s">
        <v>5647</v>
      </c>
      <c r="E24" s="161">
        <v>2020</v>
      </c>
      <c r="F24" s="161">
        <v>2020</v>
      </c>
      <c r="G24" s="161" t="s">
        <v>16</v>
      </c>
      <c r="H24" s="137">
        <v>200</v>
      </c>
      <c r="I24" s="137">
        <v>200</v>
      </c>
      <c r="J24" s="161"/>
      <c r="K24" s="218"/>
      <c r="L24" s="105">
        <v>20201118</v>
      </c>
    </row>
    <row r="25" ht="16" customHeight="1" spans="1:12">
      <c r="A25" s="161">
        <v>23</v>
      </c>
      <c r="B25" s="161" t="s">
        <v>5602</v>
      </c>
      <c r="C25" s="137" t="s">
        <v>5648</v>
      </c>
      <c r="D25" s="137" t="s">
        <v>5649</v>
      </c>
      <c r="E25" s="161">
        <v>2020</v>
      </c>
      <c r="F25" s="161">
        <v>2020</v>
      </c>
      <c r="G25" s="161" t="s">
        <v>16</v>
      </c>
      <c r="H25" s="137">
        <v>200</v>
      </c>
      <c r="I25" s="137">
        <v>200</v>
      </c>
      <c r="J25" s="161"/>
      <c r="K25" s="218"/>
      <c r="L25" s="105">
        <v>20201118</v>
      </c>
    </row>
    <row r="26" ht="16" customHeight="1" spans="1:12">
      <c r="A26" s="161">
        <v>24</v>
      </c>
      <c r="B26" s="161" t="s">
        <v>5602</v>
      </c>
      <c r="C26" s="137" t="s">
        <v>5650</v>
      </c>
      <c r="D26" s="137" t="s">
        <v>5651</v>
      </c>
      <c r="E26" s="161">
        <v>2020</v>
      </c>
      <c r="F26" s="161">
        <v>2020</v>
      </c>
      <c r="G26" s="161" t="s">
        <v>16</v>
      </c>
      <c r="H26" s="137">
        <v>200</v>
      </c>
      <c r="I26" s="137">
        <v>200</v>
      </c>
      <c r="J26" s="161"/>
      <c r="K26" s="218"/>
      <c r="L26" s="105">
        <v>20201118</v>
      </c>
    </row>
    <row r="27" ht="16" customHeight="1" spans="1:12">
      <c r="A27" s="161">
        <v>25</v>
      </c>
      <c r="B27" s="161" t="s">
        <v>5602</v>
      </c>
      <c r="C27" s="137" t="s">
        <v>5652</v>
      </c>
      <c r="D27" s="137" t="s">
        <v>5653</v>
      </c>
      <c r="E27" s="161">
        <v>2020</v>
      </c>
      <c r="F27" s="161">
        <v>2020</v>
      </c>
      <c r="G27" s="161" t="s">
        <v>16</v>
      </c>
      <c r="H27" s="137">
        <v>200</v>
      </c>
      <c r="I27" s="137">
        <v>200</v>
      </c>
      <c r="J27" s="161"/>
      <c r="K27" s="218"/>
      <c r="L27" s="105">
        <v>20201118</v>
      </c>
    </row>
    <row r="28" ht="16" customHeight="1" spans="1:12">
      <c r="A28" s="161">
        <v>26</v>
      </c>
      <c r="B28" s="161" t="s">
        <v>5602</v>
      </c>
      <c r="C28" s="137" t="s">
        <v>5654</v>
      </c>
      <c r="D28" s="137" t="s">
        <v>5655</v>
      </c>
      <c r="E28" s="161">
        <v>2020</v>
      </c>
      <c r="F28" s="161">
        <v>2020</v>
      </c>
      <c r="G28" s="161" t="s">
        <v>16</v>
      </c>
      <c r="H28" s="137">
        <v>200</v>
      </c>
      <c r="I28" s="137">
        <v>200</v>
      </c>
      <c r="J28" s="161"/>
      <c r="K28" s="218"/>
      <c r="L28" s="105">
        <v>20201118</v>
      </c>
    </row>
    <row r="29" ht="16" customHeight="1" spans="1:12">
      <c r="A29" s="161">
        <v>27</v>
      </c>
      <c r="B29" s="161" t="s">
        <v>5602</v>
      </c>
      <c r="C29" s="137" t="s">
        <v>5656</v>
      </c>
      <c r="D29" s="137" t="s">
        <v>5657</v>
      </c>
      <c r="E29" s="161">
        <v>2020</v>
      </c>
      <c r="F29" s="161">
        <v>2020</v>
      </c>
      <c r="G29" s="161" t="s">
        <v>16</v>
      </c>
      <c r="H29" s="137">
        <v>200</v>
      </c>
      <c r="I29" s="137">
        <v>200</v>
      </c>
      <c r="J29" s="161"/>
      <c r="K29" s="218"/>
      <c r="L29" s="105">
        <v>20201118</v>
      </c>
    </row>
    <row r="30" ht="16" customHeight="1" spans="1:12">
      <c r="A30" s="161">
        <v>28</v>
      </c>
      <c r="B30" s="161" t="s">
        <v>5602</v>
      </c>
      <c r="C30" s="137" t="s">
        <v>5658</v>
      </c>
      <c r="D30" s="137" t="s">
        <v>5659</v>
      </c>
      <c r="E30" s="161">
        <v>2020</v>
      </c>
      <c r="F30" s="161">
        <v>2020</v>
      </c>
      <c r="G30" s="161" t="s">
        <v>16</v>
      </c>
      <c r="H30" s="137">
        <v>200</v>
      </c>
      <c r="I30" s="137">
        <v>200</v>
      </c>
      <c r="J30" s="161"/>
      <c r="K30" s="218"/>
      <c r="L30" s="105">
        <v>20201118</v>
      </c>
    </row>
    <row r="31" ht="16" customHeight="1" spans="1:12">
      <c r="A31" s="161">
        <v>29</v>
      </c>
      <c r="B31" s="161" t="s">
        <v>5602</v>
      </c>
      <c r="C31" s="137" t="s">
        <v>5660</v>
      </c>
      <c r="D31" s="137" t="s">
        <v>5661</v>
      </c>
      <c r="E31" s="161">
        <v>2020</v>
      </c>
      <c r="F31" s="161">
        <v>2020</v>
      </c>
      <c r="G31" s="161" t="s">
        <v>16</v>
      </c>
      <c r="H31" s="137">
        <v>200</v>
      </c>
      <c r="I31" s="137">
        <v>200</v>
      </c>
      <c r="J31" s="161"/>
      <c r="K31" s="218"/>
      <c r="L31" s="105">
        <v>20201118</v>
      </c>
    </row>
    <row r="32" ht="16" customHeight="1" spans="1:12">
      <c r="A32" s="161">
        <v>30</v>
      </c>
      <c r="B32" s="161" t="s">
        <v>5602</v>
      </c>
      <c r="C32" s="137" t="s">
        <v>5662</v>
      </c>
      <c r="D32" s="137" t="s">
        <v>5663</v>
      </c>
      <c r="E32" s="161">
        <v>2020</v>
      </c>
      <c r="F32" s="161">
        <v>2020</v>
      </c>
      <c r="G32" s="161" t="s">
        <v>16</v>
      </c>
      <c r="H32" s="137">
        <v>200</v>
      </c>
      <c r="I32" s="137">
        <v>200</v>
      </c>
      <c r="J32" s="161"/>
      <c r="K32" s="218"/>
      <c r="L32" s="105">
        <v>20201118</v>
      </c>
    </row>
    <row r="33" ht="16" customHeight="1" spans="1:12">
      <c r="A33" s="161">
        <v>31</v>
      </c>
      <c r="B33" s="161" t="s">
        <v>5602</v>
      </c>
      <c r="C33" s="137" t="s">
        <v>5664</v>
      </c>
      <c r="D33" s="137" t="s">
        <v>5665</v>
      </c>
      <c r="E33" s="161">
        <v>2020</v>
      </c>
      <c r="F33" s="161">
        <v>2020</v>
      </c>
      <c r="G33" s="161" t="s">
        <v>16</v>
      </c>
      <c r="H33" s="137">
        <v>1000</v>
      </c>
      <c r="I33" s="137">
        <v>1000</v>
      </c>
      <c r="J33" s="161"/>
      <c r="K33" s="218"/>
      <c r="L33" s="105">
        <v>20201118</v>
      </c>
    </row>
    <row r="34" ht="16" customHeight="1" spans="1:12">
      <c r="A34" s="161">
        <v>32</v>
      </c>
      <c r="B34" s="161" t="s">
        <v>5602</v>
      </c>
      <c r="C34" s="137" t="s">
        <v>5666</v>
      </c>
      <c r="D34" s="137" t="s">
        <v>5667</v>
      </c>
      <c r="E34" s="161">
        <v>2020</v>
      </c>
      <c r="F34" s="161">
        <v>2020</v>
      </c>
      <c r="G34" s="161" t="s">
        <v>16</v>
      </c>
      <c r="H34" s="137">
        <v>200</v>
      </c>
      <c r="I34" s="137">
        <v>200</v>
      </c>
      <c r="J34" s="161"/>
      <c r="K34" s="218"/>
      <c r="L34" s="105">
        <v>20201118</v>
      </c>
    </row>
    <row r="35" ht="16" customHeight="1" spans="1:12">
      <c r="A35" s="161">
        <v>33</v>
      </c>
      <c r="B35" s="161" t="s">
        <v>5602</v>
      </c>
      <c r="C35" s="137" t="s">
        <v>5668</v>
      </c>
      <c r="D35" s="137" t="s">
        <v>5669</v>
      </c>
      <c r="E35" s="161">
        <v>2020</v>
      </c>
      <c r="F35" s="161">
        <v>2020</v>
      </c>
      <c r="G35" s="161" t="s">
        <v>16</v>
      </c>
      <c r="H35" s="137">
        <v>200</v>
      </c>
      <c r="I35" s="137">
        <v>200</v>
      </c>
      <c r="J35" s="161"/>
      <c r="K35" s="218"/>
      <c r="L35" s="105">
        <v>20201118</v>
      </c>
    </row>
    <row r="36" ht="16" customHeight="1" spans="1:12">
      <c r="A36" s="161">
        <v>34</v>
      </c>
      <c r="B36" s="161" t="s">
        <v>5602</v>
      </c>
      <c r="C36" s="137" t="s">
        <v>5670</v>
      </c>
      <c r="D36" s="137" t="s">
        <v>5671</v>
      </c>
      <c r="E36" s="161">
        <v>2020</v>
      </c>
      <c r="F36" s="161">
        <v>2020</v>
      </c>
      <c r="G36" s="161" t="s">
        <v>16</v>
      </c>
      <c r="H36" s="137">
        <v>200</v>
      </c>
      <c r="I36" s="137">
        <v>200</v>
      </c>
      <c r="J36" s="161"/>
      <c r="K36" s="218"/>
      <c r="L36" s="105">
        <v>20201118</v>
      </c>
    </row>
    <row r="37" ht="16" customHeight="1" spans="1:12">
      <c r="A37" s="161">
        <v>35</v>
      </c>
      <c r="B37" s="161" t="s">
        <v>5602</v>
      </c>
      <c r="C37" s="137" t="s">
        <v>5672</v>
      </c>
      <c r="D37" s="137" t="s">
        <v>5673</v>
      </c>
      <c r="E37" s="161">
        <v>2020</v>
      </c>
      <c r="F37" s="161">
        <v>2020</v>
      </c>
      <c r="G37" s="161" t="s">
        <v>16</v>
      </c>
      <c r="H37" s="137">
        <v>200</v>
      </c>
      <c r="I37" s="137">
        <v>200</v>
      </c>
      <c r="J37" s="161"/>
      <c r="K37" s="218"/>
      <c r="L37" s="105">
        <v>20201118</v>
      </c>
    </row>
    <row r="38" ht="16" customHeight="1" spans="1:12">
      <c r="A38" s="161">
        <v>36</v>
      </c>
      <c r="B38" s="161" t="s">
        <v>5602</v>
      </c>
      <c r="C38" s="137" t="s">
        <v>5674</v>
      </c>
      <c r="D38" s="137" t="s">
        <v>5675</v>
      </c>
      <c r="E38" s="161">
        <v>2020</v>
      </c>
      <c r="F38" s="161">
        <v>2020</v>
      </c>
      <c r="G38" s="161" t="s">
        <v>16</v>
      </c>
      <c r="H38" s="137">
        <v>200</v>
      </c>
      <c r="I38" s="137">
        <v>200</v>
      </c>
      <c r="J38" s="161"/>
      <c r="K38" s="218"/>
      <c r="L38" s="105">
        <v>20201118</v>
      </c>
    </row>
    <row r="39" ht="16" customHeight="1" spans="1:12">
      <c r="A39" s="161">
        <v>37</v>
      </c>
      <c r="B39" s="161" t="s">
        <v>5602</v>
      </c>
      <c r="C39" s="137" t="s">
        <v>5676</v>
      </c>
      <c r="D39" s="137" t="s">
        <v>5677</v>
      </c>
      <c r="E39" s="161">
        <v>2020</v>
      </c>
      <c r="F39" s="161">
        <v>2020</v>
      </c>
      <c r="G39" s="161" t="s">
        <v>16</v>
      </c>
      <c r="H39" s="137">
        <v>200</v>
      </c>
      <c r="I39" s="137">
        <v>200</v>
      </c>
      <c r="J39" s="161"/>
      <c r="K39" s="218"/>
      <c r="L39" s="105">
        <v>20201118</v>
      </c>
    </row>
    <row r="40" ht="16" customHeight="1" spans="1:12">
      <c r="A40" s="161">
        <v>38</v>
      </c>
      <c r="B40" s="161" t="s">
        <v>5602</v>
      </c>
      <c r="C40" s="137" t="s">
        <v>5678</v>
      </c>
      <c r="D40" s="137" t="s">
        <v>5679</v>
      </c>
      <c r="E40" s="161">
        <v>2020</v>
      </c>
      <c r="F40" s="161">
        <v>2020</v>
      </c>
      <c r="G40" s="161" t="s">
        <v>16</v>
      </c>
      <c r="H40" s="137">
        <v>7000</v>
      </c>
      <c r="I40" s="137">
        <v>7000</v>
      </c>
      <c r="J40" s="161"/>
      <c r="K40" s="218"/>
      <c r="L40" s="105">
        <v>20201118</v>
      </c>
    </row>
    <row r="41" ht="16" customHeight="1" spans="1:12">
      <c r="A41" s="161">
        <v>39</v>
      </c>
      <c r="B41" s="161" t="s">
        <v>5602</v>
      </c>
      <c r="C41" s="137" t="s">
        <v>5605</v>
      </c>
      <c r="D41" s="137" t="s">
        <v>5680</v>
      </c>
      <c r="E41" s="161">
        <v>2020</v>
      </c>
      <c r="F41" s="161">
        <v>2020</v>
      </c>
      <c r="G41" s="161" t="s">
        <v>16</v>
      </c>
      <c r="H41" s="137">
        <v>200</v>
      </c>
      <c r="I41" s="137">
        <v>200</v>
      </c>
      <c r="J41" s="161"/>
      <c r="K41" s="218"/>
      <c r="L41" s="105">
        <v>20201118</v>
      </c>
    </row>
    <row r="42" ht="16" customHeight="1" spans="1:12">
      <c r="A42" s="161">
        <v>40</v>
      </c>
      <c r="B42" s="161" t="s">
        <v>5602</v>
      </c>
      <c r="C42" s="137" t="s">
        <v>5681</v>
      </c>
      <c r="D42" s="137" t="s">
        <v>5682</v>
      </c>
      <c r="E42" s="161">
        <v>2020</v>
      </c>
      <c r="F42" s="161">
        <v>2020</v>
      </c>
      <c r="G42" s="161" t="s">
        <v>16</v>
      </c>
      <c r="H42" s="137">
        <v>200</v>
      </c>
      <c r="I42" s="137">
        <v>200</v>
      </c>
      <c r="J42" s="161"/>
      <c r="K42" s="218"/>
      <c r="L42" s="105">
        <v>20201118</v>
      </c>
    </row>
    <row r="43" ht="16" customHeight="1" spans="1:12">
      <c r="A43" s="161">
        <v>41</v>
      </c>
      <c r="B43" s="161" t="s">
        <v>5602</v>
      </c>
      <c r="C43" s="137" t="s">
        <v>5683</v>
      </c>
      <c r="D43" s="137" t="s">
        <v>5684</v>
      </c>
      <c r="E43" s="161">
        <v>2020</v>
      </c>
      <c r="F43" s="161">
        <v>2020</v>
      </c>
      <c r="G43" s="161" t="s">
        <v>16</v>
      </c>
      <c r="H43" s="137">
        <v>200</v>
      </c>
      <c r="I43" s="137">
        <v>200</v>
      </c>
      <c r="J43" s="161"/>
      <c r="K43" s="218"/>
      <c r="L43" s="105">
        <v>20201118</v>
      </c>
    </row>
    <row r="44" ht="16" customHeight="1" spans="1:12">
      <c r="A44" s="161">
        <v>42</v>
      </c>
      <c r="B44" s="161" t="s">
        <v>5602</v>
      </c>
      <c r="C44" s="137" t="s">
        <v>5685</v>
      </c>
      <c r="D44" s="137" t="s">
        <v>5686</v>
      </c>
      <c r="E44" s="161">
        <v>2020</v>
      </c>
      <c r="F44" s="161">
        <v>2020</v>
      </c>
      <c r="G44" s="161" t="s">
        <v>16</v>
      </c>
      <c r="H44" s="137">
        <v>200</v>
      </c>
      <c r="I44" s="137">
        <v>200</v>
      </c>
      <c r="J44" s="161"/>
      <c r="K44" s="218"/>
      <c r="L44" s="105">
        <v>20201118</v>
      </c>
    </row>
    <row r="45" ht="16" customHeight="1" spans="1:12">
      <c r="A45" s="161">
        <v>43</v>
      </c>
      <c r="B45" s="161" t="s">
        <v>5602</v>
      </c>
      <c r="C45" s="137" t="s">
        <v>2558</v>
      </c>
      <c r="D45" s="137" t="s">
        <v>5687</v>
      </c>
      <c r="E45" s="161">
        <v>2020</v>
      </c>
      <c r="F45" s="161">
        <v>2020</v>
      </c>
      <c r="G45" s="161" t="s">
        <v>16</v>
      </c>
      <c r="H45" s="137">
        <v>200</v>
      </c>
      <c r="I45" s="137">
        <v>200</v>
      </c>
      <c r="J45" s="161"/>
      <c r="K45" s="218"/>
      <c r="L45" s="105">
        <v>20201118</v>
      </c>
    </row>
    <row r="46" ht="16" customHeight="1" spans="1:12">
      <c r="A46" s="161">
        <v>44</v>
      </c>
      <c r="B46" s="161" t="s">
        <v>5602</v>
      </c>
      <c r="C46" s="137" t="s">
        <v>3344</v>
      </c>
      <c r="D46" s="137" t="s">
        <v>5688</v>
      </c>
      <c r="E46" s="161">
        <v>2020</v>
      </c>
      <c r="F46" s="161">
        <v>2020</v>
      </c>
      <c r="G46" s="161" t="s">
        <v>16</v>
      </c>
      <c r="H46" s="137">
        <v>200</v>
      </c>
      <c r="I46" s="137">
        <v>200</v>
      </c>
      <c r="J46" s="161"/>
      <c r="K46" s="218"/>
      <c r="L46" s="105">
        <v>20201118</v>
      </c>
    </row>
    <row r="47" ht="16" customHeight="1" spans="1:12">
      <c r="A47" s="161">
        <v>45</v>
      </c>
      <c r="B47" s="161" t="s">
        <v>5602</v>
      </c>
      <c r="C47" s="137" t="s">
        <v>5689</v>
      </c>
      <c r="D47" s="137" t="s">
        <v>5690</v>
      </c>
      <c r="E47" s="161">
        <v>2020</v>
      </c>
      <c r="F47" s="161">
        <v>2020</v>
      </c>
      <c r="G47" s="161" t="s">
        <v>16</v>
      </c>
      <c r="H47" s="137">
        <v>1000</v>
      </c>
      <c r="I47" s="137">
        <v>1000</v>
      </c>
      <c r="J47" s="161"/>
      <c r="K47" s="218"/>
      <c r="L47" s="105">
        <v>20201118</v>
      </c>
    </row>
    <row r="48" ht="16" customHeight="1" spans="1:12">
      <c r="A48" s="161">
        <v>46</v>
      </c>
      <c r="B48" s="161" t="s">
        <v>5602</v>
      </c>
      <c r="C48" s="137" t="s">
        <v>5691</v>
      </c>
      <c r="D48" s="137" t="s">
        <v>5692</v>
      </c>
      <c r="E48" s="161">
        <v>2020</v>
      </c>
      <c r="F48" s="161">
        <v>2020</v>
      </c>
      <c r="G48" s="161" t="s">
        <v>16</v>
      </c>
      <c r="H48" s="137">
        <v>200</v>
      </c>
      <c r="I48" s="137">
        <v>200</v>
      </c>
      <c r="J48" s="161"/>
      <c r="K48" s="218"/>
      <c r="L48" s="105">
        <v>20201118</v>
      </c>
    </row>
    <row r="49" ht="16" customHeight="1" spans="1:12">
      <c r="A49" s="161">
        <v>47</v>
      </c>
      <c r="B49" s="161" t="s">
        <v>5602</v>
      </c>
      <c r="C49" s="137" t="s">
        <v>5693</v>
      </c>
      <c r="D49" s="137" t="s">
        <v>5694</v>
      </c>
      <c r="E49" s="161">
        <v>2020</v>
      </c>
      <c r="F49" s="161">
        <v>2020</v>
      </c>
      <c r="G49" s="161" t="s">
        <v>16</v>
      </c>
      <c r="H49" s="137">
        <v>200</v>
      </c>
      <c r="I49" s="137">
        <v>200</v>
      </c>
      <c r="J49" s="161"/>
      <c r="K49" s="218"/>
      <c r="L49" s="105">
        <v>20201118</v>
      </c>
    </row>
    <row r="50" ht="16" customHeight="1" spans="1:12">
      <c r="A50" s="161">
        <v>48</v>
      </c>
      <c r="B50" s="161" t="s">
        <v>5602</v>
      </c>
      <c r="C50" s="137" t="s">
        <v>5695</v>
      </c>
      <c r="D50" s="137" t="s">
        <v>5696</v>
      </c>
      <c r="E50" s="161">
        <v>2020</v>
      </c>
      <c r="F50" s="161">
        <v>2020</v>
      </c>
      <c r="G50" s="161" t="s">
        <v>16</v>
      </c>
      <c r="H50" s="137">
        <v>200</v>
      </c>
      <c r="I50" s="137">
        <v>200</v>
      </c>
      <c r="J50" s="161"/>
      <c r="K50" s="218"/>
      <c r="L50" s="105">
        <v>20201118</v>
      </c>
    </row>
    <row r="51" ht="16" customHeight="1" spans="1:12">
      <c r="A51" s="161">
        <v>49</v>
      </c>
      <c r="B51" s="161" t="s">
        <v>5602</v>
      </c>
      <c r="C51" s="137" t="s">
        <v>5697</v>
      </c>
      <c r="D51" s="137" t="s">
        <v>5698</v>
      </c>
      <c r="E51" s="161">
        <v>2020</v>
      </c>
      <c r="F51" s="161">
        <v>2020</v>
      </c>
      <c r="G51" s="161" t="s">
        <v>16</v>
      </c>
      <c r="H51" s="137">
        <v>200</v>
      </c>
      <c r="I51" s="137">
        <v>200</v>
      </c>
      <c r="J51" s="161"/>
      <c r="K51" s="218"/>
      <c r="L51" s="105">
        <v>20201118</v>
      </c>
    </row>
    <row r="52" ht="16" customHeight="1" spans="1:12">
      <c r="A52" s="161">
        <v>50</v>
      </c>
      <c r="B52" s="161" t="s">
        <v>5602</v>
      </c>
      <c r="C52" s="137" t="s">
        <v>5699</v>
      </c>
      <c r="D52" s="137" t="s">
        <v>5700</v>
      </c>
      <c r="E52" s="161">
        <v>2020</v>
      </c>
      <c r="F52" s="161">
        <v>2020</v>
      </c>
      <c r="G52" s="161" t="s">
        <v>16</v>
      </c>
      <c r="H52" s="137">
        <v>200</v>
      </c>
      <c r="I52" s="137">
        <v>200</v>
      </c>
      <c r="J52" s="161"/>
      <c r="K52" s="218"/>
      <c r="L52" s="105">
        <v>20201118</v>
      </c>
    </row>
    <row r="53" ht="16" customHeight="1" spans="1:12">
      <c r="A53" s="161">
        <v>51</v>
      </c>
      <c r="B53" s="161" t="s">
        <v>5602</v>
      </c>
      <c r="C53" s="137" t="s">
        <v>5701</v>
      </c>
      <c r="D53" s="137" t="s">
        <v>5702</v>
      </c>
      <c r="E53" s="161">
        <v>2020</v>
      </c>
      <c r="F53" s="161">
        <v>2020</v>
      </c>
      <c r="G53" s="161" t="s">
        <v>16</v>
      </c>
      <c r="H53" s="137">
        <v>200</v>
      </c>
      <c r="I53" s="137">
        <v>200</v>
      </c>
      <c r="J53" s="161"/>
      <c r="K53" s="218"/>
      <c r="L53" s="105">
        <v>20201118</v>
      </c>
    </row>
    <row r="54" ht="16" customHeight="1" spans="1:12">
      <c r="A54" s="161">
        <v>52</v>
      </c>
      <c r="B54" s="161" t="s">
        <v>5602</v>
      </c>
      <c r="C54" s="137" t="s">
        <v>5703</v>
      </c>
      <c r="D54" s="137" t="s">
        <v>5704</v>
      </c>
      <c r="E54" s="161">
        <v>2020</v>
      </c>
      <c r="F54" s="161">
        <v>2020</v>
      </c>
      <c r="G54" s="161" t="s">
        <v>16</v>
      </c>
      <c r="H54" s="137">
        <v>200</v>
      </c>
      <c r="I54" s="137">
        <v>200</v>
      </c>
      <c r="J54" s="161"/>
      <c r="K54" s="218"/>
      <c r="L54" s="105">
        <v>20201118</v>
      </c>
    </row>
    <row r="55" ht="16" customHeight="1" spans="1:12">
      <c r="A55" s="161">
        <v>53</v>
      </c>
      <c r="B55" s="161" t="s">
        <v>5602</v>
      </c>
      <c r="C55" s="137" t="s">
        <v>5705</v>
      </c>
      <c r="D55" s="137" t="s">
        <v>5706</v>
      </c>
      <c r="E55" s="161">
        <v>2020</v>
      </c>
      <c r="F55" s="161">
        <v>2020</v>
      </c>
      <c r="G55" s="161" t="s">
        <v>16</v>
      </c>
      <c r="H55" s="137">
        <v>200</v>
      </c>
      <c r="I55" s="137">
        <v>200</v>
      </c>
      <c r="J55" s="161"/>
      <c r="K55" s="218"/>
      <c r="L55" s="105">
        <v>20201118</v>
      </c>
    </row>
    <row r="56" ht="16" customHeight="1" spans="1:12">
      <c r="A56" s="161">
        <v>54</v>
      </c>
      <c r="B56" s="161" t="s">
        <v>5602</v>
      </c>
      <c r="C56" s="137" t="s">
        <v>5707</v>
      </c>
      <c r="D56" s="137" t="s">
        <v>5708</v>
      </c>
      <c r="E56" s="161">
        <v>2020</v>
      </c>
      <c r="F56" s="161">
        <v>2020</v>
      </c>
      <c r="G56" s="161" t="s">
        <v>16</v>
      </c>
      <c r="H56" s="137">
        <v>200</v>
      </c>
      <c r="I56" s="137">
        <v>200</v>
      </c>
      <c r="J56" s="161"/>
      <c r="K56" s="218"/>
      <c r="L56" s="105">
        <v>20201118</v>
      </c>
    </row>
    <row r="57" ht="16" customHeight="1" spans="1:12">
      <c r="A57" s="161">
        <v>55</v>
      </c>
      <c r="B57" s="161" t="s">
        <v>5602</v>
      </c>
      <c r="C57" s="137" t="s">
        <v>5709</v>
      </c>
      <c r="D57" s="137" t="s">
        <v>5710</v>
      </c>
      <c r="E57" s="161">
        <v>2020</v>
      </c>
      <c r="F57" s="161">
        <v>2020</v>
      </c>
      <c r="G57" s="161" t="s">
        <v>16</v>
      </c>
      <c r="H57" s="137">
        <v>200</v>
      </c>
      <c r="I57" s="137">
        <v>200</v>
      </c>
      <c r="J57" s="161"/>
      <c r="K57" s="218"/>
      <c r="L57" s="105">
        <v>20201118</v>
      </c>
    </row>
    <row r="58" ht="16" customHeight="1" spans="1:12">
      <c r="A58" s="161">
        <v>56</v>
      </c>
      <c r="B58" s="161" t="s">
        <v>5602</v>
      </c>
      <c r="C58" s="137" t="s">
        <v>5711</v>
      </c>
      <c r="D58" s="137" t="s">
        <v>5712</v>
      </c>
      <c r="E58" s="161">
        <v>2020</v>
      </c>
      <c r="F58" s="161">
        <v>2020</v>
      </c>
      <c r="G58" s="161" t="s">
        <v>16</v>
      </c>
      <c r="H58" s="137">
        <v>200</v>
      </c>
      <c r="I58" s="137">
        <v>200</v>
      </c>
      <c r="J58" s="161"/>
      <c r="K58" s="218"/>
      <c r="L58" s="105">
        <v>20201118</v>
      </c>
    </row>
    <row r="59" ht="16" customHeight="1" spans="1:12">
      <c r="A59" s="161">
        <v>57</v>
      </c>
      <c r="B59" s="161" t="s">
        <v>5602</v>
      </c>
      <c r="C59" s="137" t="s">
        <v>5713</v>
      </c>
      <c r="D59" s="137" t="s">
        <v>5714</v>
      </c>
      <c r="E59" s="161">
        <v>2020</v>
      </c>
      <c r="F59" s="161">
        <v>2020</v>
      </c>
      <c r="G59" s="161" t="s">
        <v>16</v>
      </c>
      <c r="H59" s="137">
        <v>200</v>
      </c>
      <c r="I59" s="137">
        <v>200</v>
      </c>
      <c r="J59" s="161"/>
      <c r="K59" s="218"/>
      <c r="L59" s="105">
        <v>20201118</v>
      </c>
    </row>
    <row r="60" ht="16" customHeight="1" spans="1:12">
      <c r="A60" s="161">
        <v>58</v>
      </c>
      <c r="B60" s="161" t="s">
        <v>5602</v>
      </c>
      <c r="C60" s="137" t="s">
        <v>5715</v>
      </c>
      <c r="D60" s="137" t="s">
        <v>5716</v>
      </c>
      <c r="E60" s="161">
        <v>2020</v>
      </c>
      <c r="F60" s="161">
        <v>2020</v>
      </c>
      <c r="G60" s="161" t="s">
        <v>16</v>
      </c>
      <c r="H60" s="137">
        <v>200</v>
      </c>
      <c r="I60" s="137">
        <v>200</v>
      </c>
      <c r="J60" s="161"/>
      <c r="K60" s="218"/>
      <c r="L60" s="105">
        <v>20201118</v>
      </c>
    </row>
    <row r="61" ht="16" customHeight="1" spans="1:12">
      <c r="A61" s="161">
        <v>59</v>
      </c>
      <c r="B61" s="161" t="s">
        <v>5602</v>
      </c>
      <c r="C61" s="137" t="s">
        <v>5717</v>
      </c>
      <c r="D61" s="137" t="s">
        <v>5718</v>
      </c>
      <c r="E61" s="161">
        <v>2020</v>
      </c>
      <c r="F61" s="161">
        <v>2020</v>
      </c>
      <c r="G61" s="161" t="s">
        <v>16</v>
      </c>
      <c r="H61" s="137">
        <v>200</v>
      </c>
      <c r="I61" s="137">
        <v>200</v>
      </c>
      <c r="J61" s="161"/>
      <c r="K61" s="218"/>
      <c r="L61" s="105">
        <v>20201118</v>
      </c>
    </row>
    <row r="62" ht="16" customHeight="1" spans="1:12">
      <c r="A62" s="161">
        <v>60</v>
      </c>
      <c r="B62" s="161" t="s">
        <v>5602</v>
      </c>
      <c r="C62" s="137" t="s">
        <v>5719</v>
      </c>
      <c r="D62" s="137" t="s">
        <v>5720</v>
      </c>
      <c r="E62" s="161">
        <v>2020</v>
      </c>
      <c r="F62" s="161">
        <v>2020</v>
      </c>
      <c r="G62" s="161" t="s">
        <v>16</v>
      </c>
      <c r="H62" s="137">
        <v>200</v>
      </c>
      <c r="I62" s="137">
        <v>200</v>
      </c>
      <c r="J62" s="161"/>
      <c r="K62" s="218"/>
      <c r="L62" s="105">
        <v>20201118</v>
      </c>
    </row>
    <row r="63" ht="16" customHeight="1" spans="1:12">
      <c r="A63" s="161">
        <v>61</v>
      </c>
      <c r="B63" s="161" t="s">
        <v>5602</v>
      </c>
      <c r="C63" s="137" t="s">
        <v>2071</v>
      </c>
      <c r="D63" s="137" t="s">
        <v>5721</v>
      </c>
      <c r="E63" s="161">
        <v>2020</v>
      </c>
      <c r="F63" s="161">
        <v>2020</v>
      </c>
      <c r="G63" s="161" t="s">
        <v>16</v>
      </c>
      <c r="H63" s="137">
        <v>200</v>
      </c>
      <c r="I63" s="137">
        <v>200</v>
      </c>
      <c r="J63" s="161"/>
      <c r="K63" s="218"/>
      <c r="L63" s="105">
        <v>20201118</v>
      </c>
    </row>
    <row r="64" ht="16" customHeight="1" spans="1:12">
      <c r="A64" s="161">
        <v>62</v>
      </c>
      <c r="B64" s="161" t="s">
        <v>5602</v>
      </c>
      <c r="C64" s="137" t="s">
        <v>5722</v>
      </c>
      <c r="D64" s="137" t="s">
        <v>5723</v>
      </c>
      <c r="E64" s="161">
        <v>2020</v>
      </c>
      <c r="F64" s="161">
        <v>2020</v>
      </c>
      <c r="G64" s="161" t="s">
        <v>16</v>
      </c>
      <c r="H64" s="137">
        <v>200</v>
      </c>
      <c r="I64" s="137">
        <v>200</v>
      </c>
      <c r="J64" s="161"/>
      <c r="K64" s="218"/>
      <c r="L64" s="105">
        <v>20201118</v>
      </c>
    </row>
    <row r="65" ht="16" customHeight="1" spans="1:12">
      <c r="A65" s="161">
        <v>63</v>
      </c>
      <c r="B65" s="161" t="s">
        <v>5602</v>
      </c>
      <c r="C65" s="137" t="s">
        <v>5724</v>
      </c>
      <c r="D65" s="137" t="s">
        <v>5725</v>
      </c>
      <c r="E65" s="161">
        <v>2020</v>
      </c>
      <c r="F65" s="161">
        <v>2020</v>
      </c>
      <c r="G65" s="161" t="s">
        <v>16</v>
      </c>
      <c r="H65" s="137">
        <v>200</v>
      </c>
      <c r="I65" s="137">
        <v>200</v>
      </c>
      <c r="J65" s="161"/>
      <c r="K65" s="218"/>
      <c r="L65" s="105">
        <v>20201118</v>
      </c>
    </row>
    <row r="66" ht="16" customHeight="1" spans="1:12">
      <c r="A66" s="161">
        <v>64</v>
      </c>
      <c r="B66" s="161" t="s">
        <v>5602</v>
      </c>
      <c r="C66" s="137" t="s">
        <v>5726</v>
      </c>
      <c r="D66" s="137" t="s">
        <v>5727</v>
      </c>
      <c r="E66" s="161">
        <v>2020</v>
      </c>
      <c r="F66" s="161">
        <v>2020</v>
      </c>
      <c r="G66" s="161" t="s">
        <v>16</v>
      </c>
      <c r="H66" s="137">
        <v>200</v>
      </c>
      <c r="I66" s="137">
        <v>200</v>
      </c>
      <c r="J66" s="161"/>
      <c r="K66" s="218"/>
      <c r="L66" s="105">
        <v>20201118</v>
      </c>
    </row>
    <row r="67" ht="16" customHeight="1" spans="1:12">
      <c r="A67" s="161">
        <v>65</v>
      </c>
      <c r="B67" s="161" t="s">
        <v>5602</v>
      </c>
      <c r="C67" s="137" t="s">
        <v>5728</v>
      </c>
      <c r="D67" s="137" t="s">
        <v>5729</v>
      </c>
      <c r="E67" s="161">
        <v>2020</v>
      </c>
      <c r="F67" s="161">
        <v>2020</v>
      </c>
      <c r="G67" s="161" t="s">
        <v>16</v>
      </c>
      <c r="H67" s="137">
        <v>200</v>
      </c>
      <c r="I67" s="137">
        <v>200</v>
      </c>
      <c r="J67" s="161"/>
      <c r="K67" s="218"/>
      <c r="L67" s="105">
        <v>20201118</v>
      </c>
    </row>
    <row r="68" ht="16" customHeight="1" spans="1:12">
      <c r="A68" s="161">
        <v>66</v>
      </c>
      <c r="B68" s="161" t="s">
        <v>5602</v>
      </c>
      <c r="C68" s="137" t="s">
        <v>5730</v>
      </c>
      <c r="D68" s="137" t="s">
        <v>5731</v>
      </c>
      <c r="E68" s="161">
        <v>2020</v>
      </c>
      <c r="F68" s="161">
        <v>2020</v>
      </c>
      <c r="G68" s="161" t="s">
        <v>16</v>
      </c>
      <c r="H68" s="137">
        <v>200</v>
      </c>
      <c r="I68" s="137">
        <v>200</v>
      </c>
      <c r="J68" s="161"/>
      <c r="K68" s="218"/>
      <c r="L68" s="105">
        <v>20201118</v>
      </c>
    </row>
    <row r="69" ht="16" customHeight="1" spans="1:12">
      <c r="A69" s="161">
        <v>67</v>
      </c>
      <c r="B69" s="161" t="s">
        <v>5602</v>
      </c>
      <c r="C69" s="137" t="s">
        <v>5732</v>
      </c>
      <c r="D69" s="137" t="s">
        <v>5733</v>
      </c>
      <c r="E69" s="161">
        <v>2020</v>
      </c>
      <c r="F69" s="161">
        <v>2020</v>
      </c>
      <c r="G69" s="161" t="s">
        <v>16</v>
      </c>
      <c r="H69" s="137">
        <v>1000</v>
      </c>
      <c r="I69" s="137">
        <v>1000</v>
      </c>
      <c r="J69" s="161"/>
      <c r="K69" s="218"/>
      <c r="L69" s="105">
        <v>20201118</v>
      </c>
    </row>
    <row r="70" ht="16" customHeight="1" spans="1:12">
      <c r="A70" s="161">
        <v>68</v>
      </c>
      <c r="B70" s="161" t="s">
        <v>5602</v>
      </c>
      <c r="C70" s="137" t="s">
        <v>5734</v>
      </c>
      <c r="D70" s="137" t="s">
        <v>5735</v>
      </c>
      <c r="E70" s="161">
        <v>2020</v>
      </c>
      <c r="F70" s="161">
        <v>2020</v>
      </c>
      <c r="G70" s="161" t="s">
        <v>16</v>
      </c>
      <c r="H70" s="137">
        <v>200</v>
      </c>
      <c r="I70" s="137">
        <v>200</v>
      </c>
      <c r="J70" s="161"/>
      <c r="K70" s="218"/>
      <c r="L70" s="105">
        <v>20201118</v>
      </c>
    </row>
    <row r="71" ht="16" customHeight="1" spans="1:12">
      <c r="A71" s="161">
        <v>69</v>
      </c>
      <c r="B71" s="161" t="s">
        <v>5602</v>
      </c>
      <c r="C71" s="137" t="s">
        <v>5736</v>
      </c>
      <c r="D71" s="137" t="s">
        <v>5737</v>
      </c>
      <c r="E71" s="161">
        <v>2020</v>
      </c>
      <c r="F71" s="161">
        <v>2020</v>
      </c>
      <c r="G71" s="161" t="s">
        <v>16</v>
      </c>
      <c r="H71" s="137">
        <v>200</v>
      </c>
      <c r="I71" s="137">
        <v>200</v>
      </c>
      <c r="J71" s="161"/>
      <c r="K71" s="218"/>
      <c r="L71" s="105">
        <v>20201118</v>
      </c>
    </row>
    <row r="72" ht="16" customHeight="1" spans="1:12">
      <c r="A72" s="161">
        <v>70</v>
      </c>
      <c r="B72" s="161" t="s">
        <v>5602</v>
      </c>
      <c r="C72" s="137" t="s">
        <v>5738</v>
      </c>
      <c r="D72" s="137" t="s">
        <v>5739</v>
      </c>
      <c r="E72" s="161">
        <v>2020</v>
      </c>
      <c r="F72" s="161">
        <v>2020</v>
      </c>
      <c r="G72" s="161" t="s">
        <v>16</v>
      </c>
      <c r="H72" s="137">
        <v>200</v>
      </c>
      <c r="I72" s="137">
        <v>200</v>
      </c>
      <c r="J72" s="161"/>
      <c r="K72" s="218"/>
      <c r="L72" s="105">
        <v>20201118</v>
      </c>
    </row>
    <row r="73" ht="16" customHeight="1" spans="1:12">
      <c r="A73" s="161">
        <v>71</v>
      </c>
      <c r="B73" s="161" t="s">
        <v>5602</v>
      </c>
      <c r="C73" s="137" t="s">
        <v>5740</v>
      </c>
      <c r="D73" s="137" t="s">
        <v>5741</v>
      </c>
      <c r="E73" s="161">
        <v>2020</v>
      </c>
      <c r="F73" s="161">
        <v>2020</v>
      </c>
      <c r="G73" s="161" t="s">
        <v>16</v>
      </c>
      <c r="H73" s="137">
        <v>200</v>
      </c>
      <c r="I73" s="137">
        <v>200</v>
      </c>
      <c r="J73" s="161"/>
      <c r="K73" s="218"/>
      <c r="L73" s="105">
        <v>20201118</v>
      </c>
    </row>
    <row r="74" ht="16" customHeight="1" spans="1:12">
      <c r="A74" s="161">
        <v>72</v>
      </c>
      <c r="B74" s="161" t="s">
        <v>5602</v>
      </c>
      <c r="C74" s="137" t="s">
        <v>5742</v>
      </c>
      <c r="D74" s="137" t="s">
        <v>5743</v>
      </c>
      <c r="E74" s="161">
        <v>2020</v>
      </c>
      <c r="F74" s="161">
        <v>2020</v>
      </c>
      <c r="G74" s="161" t="s">
        <v>16</v>
      </c>
      <c r="H74" s="137">
        <v>200</v>
      </c>
      <c r="I74" s="137">
        <v>200</v>
      </c>
      <c r="J74" s="161"/>
      <c r="K74" s="218"/>
      <c r="L74" s="105">
        <v>20201118</v>
      </c>
    </row>
    <row r="75" ht="16" customHeight="1" spans="1:12">
      <c r="A75" s="161">
        <v>73</v>
      </c>
      <c r="B75" s="161" t="s">
        <v>5602</v>
      </c>
      <c r="C75" s="137" t="s">
        <v>5744</v>
      </c>
      <c r="D75" s="137" t="s">
        <v>5745</v>
      </c>
      <c r="E75" s="161">
        <v>2020</v>
      </c>
      <c r="F75" s="161">
        <v>2020</v>
      </c>
      <c r="G75" s="161" t="s">
        <v>16</v>
      </c>
      <c r="H75" s="137">
        <v>200</v>
      </c>
      <c r="I75" s="137">
        <v>200</v>
      </c>
      <c r="J75" s="161"/>
      <c r="K75" s="218"/>
      <c r="L75" s="105">
        <v>20201118</v>
      </c>
    </row>
    <row r="76" ht="16" customHeight="1" spans="1:12">
      <c r="A76" s="161">
        <v>74</v>
      </c>
      <c r="B76" s="161" t="s">
        <v>5602</v>
      </c>
      <c r="C76" s="137" t="s">
        <v>5746</v>
      </c>
      <c r="D76" s="137" t="s">
        <v>5747</v>
      </c>
      <c r="E76" s="161">
        <v>2020</v>
      </c>
      <c r="F76" s="161">
        <v>2020</v>
      </c>
      <c r="G76" s="161" t="s">
        <v>16</v>
      </c>
      <c r="H76" s="137">
        <v>200</v>
      </c>
      <c r="I76" s="137">
        <v>200</v>
      </c>
      <c r="J76" s="161"/>
      <c r="K76" s="218"/>
      <c r="L76" s="105">
        <v>20201118</v>
      </c>
    </row>
    <row r="77" ht="16" customHeight="1" spans="1:12">
      <c r="A77" s="161">
        <v>75</v>
      </c>
      <c r="B77" s="161" t="s">
        <v>5602</v>
      </c>
      <c r="C77" s="137" t="s">
        <v>5748</v>
      </c>
      <c r="D77" s="137" t="s">
        <v>5749</v>
      </c>
      <c r="E77" s="161">
        <v>2020</v>
      </c>
      <c r="F77" s="161">
        <v>2020</v>
      </c>
      <c r="G77" s="161" t="s">
        <v>16</v>
      </c>
      <c r="H77" s="137">
        <v>200</v>
      </c>
      <c r="I77" s="137">
        <v>200</v>
      </c>
      <c r="J77" s="161"/>
      <c r="K77" s="218"/>
      <c r="L77" s="105">
        <v>20201118</v>
      </c>
    </row>
    <row r="78" ht="16" customHeight="1" spans="1:12">
      <c r="A78" s="161">
        <v>76</v>
      </c>
      <c r="B78" s="161" t="s">
        <v>5602</v>
      </c>
      <c r="C78" s="137" t="s">
        <v>5750</v>
      </c>
      <c r="D78" s="137" t="s">
        <v>5751</v>
      </c>
      <c r="E78" s="161">
        <v>2020</v>
      </c>
      <c r="F78" s="161">
        <v>2020</v>
      </c>
      <c r="G78" s="161" t="s">
        <v>16</v>
      </c>
      <c r="H78" s="137">
        <v>200</v>
      </c>
      <c r="I78" s="137">
        <v>200</v>
      </c>
      <c r="J78" s="161"/>
      <c r="K78" s="218"/>
      <c r="L78" s="105">
        <v>20201118</v>
      </c>
    </row>
    <row r="79" ht="16" customHeight="1" spans="1:12">
      <c r="A79" s="161">
        <v>77</v>
      </c>
      <c r="B79" s="161" t="s">
        <v>5602</v>
      </c>
      <c r="C79" s="137" t="s">
        <v>5752</v>
      </c>
      <c r="D79" s="137" t="s">
        <v>5753</v>
      </c>
      <c r="E79" s="161">
        <v>2020</v>
      </c>
      <c r="F79" s="161">
        <v>2020</v>
      </c>
      <c r="G79" s="161" t="s">
        <v>16</v>
      </c>
      <c r="H79" s="137">
        <v>200</v>
      </c>
      <c r="I79" s="137">
        <v>200</v>
      </c>
      <c r="J79" s="161"/>
      <c r="K79" s="218"/>
      <c r="L79" s="105">
        <v>20201118</v>
      </c>
    </row>
    <row r="80" ht="16" customHeight="1" spans="1:12">
      <c r="A80" s="161">
        <v>78</v>
      </c>
      <c r="B80" s="161" t="s">
        <v>5602</v>
      </c>
      <c r="C80" s="137" t="s">
        <v>5754</v>
      </c>
      <c r="D80" s="137" t="s">
        <v>5755</v>
      </c>
      <c r="E80" s="161">
        <v>2020</v>
      </c>
      <c r="F80" s="161">
        <v>2020</v>
      </c>
      <c r="G80" s="161" t="s">
        <v>16</v>
      </c>
      <c r="H80" s="137">
        <v>200</v>
      </c>
      <c r="I80" s="137">
        <v>200</v>
      </c>
      <c r="J80" s="161"/>
      <c r="K80" s="218"/>
      <c r="L80" s="105">
        <v>20201118</v>
      </c>
    </row>
    <row r="81" ht="16" customHeight="1" spans="1:12">
      <c r="A81" s="161">
        <v>79</v>
      </c>
      <c r="B81" s="161" t="s">
        <v>5602</v>
      </c>
      <c r="C81" s="137" t="s">
        <v>5756</v>
      </c>
      <c r="D81" s="137" t="s">
        <v>5757</v>
      </c>
      <c r="E81" s="161">
        <v>2020</v>
      </c>
      <c r="F81" s="161">
        <v>2020</v>
      </c>
      <c r="G81" s="161" t="s">
        <v>16</v>
      </c>
      <c r="H81" s="137">
        <v>200</v>
      </c>
      <c r="I81" s="137">
        <v>200</v>
      </c>
      <c r="J81" s="161"/>
      <c r="K81" s="218"/>
      <c r="L81" s="105">
        <v>20201118</v>
      </c>
    </row>
    <row r="82" ht="16" customHeight="1" spans="1:12">
      <c r="A82" s="161">
        <v>80</v>
      </c>
      <c r="B82" s="161" t="s">
        <v>5602</v>
      </c>
      <c r="C82" s="137" t="s">
        <v>5758</v>
      </c>
      <c r="D82" s="137" t="s">
        <v>5759</v>
      </c>
      <c r="E82" s="161">
        <v>2020</v>
      </c>
      <c r="F82" s="161">
        <v>2020</v>
      </c>
      <c r="G82" s="161" t="s">
        <v>16</v>
      </c>
      <c r="H82" s="137">
        <v>200</v>
      </c>
      <c r="I82" s="137">
        <v>200</v>
      </c>
      <c r="J82" s="161"/>
      <c r="K82" s="218"/>
      <c r="L82" s="105">
        <v>20201118</v>
      </c>
    </row>
    <row r="83" ht="16" customHeight="1" spans="1:12">
      <c r="A83" s="161">
        <v>81</v>
      </c>
      <c r="B83" s="161" t="s">
        <v>5602</v>
      </c>
      <c r="C83" s="137" t="s">
        <v>5760</v>
      </c>
      <c r="D83" s="137" t="s">
        <v>5761</v>
      </c>
      <c r="E83" s="161">
        <v>2020</v>
      </c>
      <c r="F83" s="161">
        <v>2020</v>
      </c>
      <c r="G83" s="161" t="s">
        <v>16</v>
      </c>
      <c r="H83" s="137">
        <v>200</v>
      </c>
      <c r="I83" s="137">
        <v>200</v>
      </c>
      <c r="J83" s="161"/>
      <c r="K83" s="218"/>
      <c r="L83" s="105">
        <v>20201118</v>
      </c>
    </row>
    <row r="84" ht="16" customHeight="1" spans="1:12">
      <c r="A84" s="161">
        <v>82</v>
      </c>
      <c r="B84" s="161" t="s">
        <v>5602</v>
      </c>
      <c r="C84" s="137" t="s">
        <v>5762</v>
      </c>
      <c r="D84" s="137" t="s">
        <v>5763</v>
      </c>
      <c r="E84" s="161">
        <v>2020</v>
      </c>
      <c r="F84" s="161">
        <v>2020</v>
      </c>
      <c r="G84" s="161" t="s">
        <v>16</v>
      </c>
      <c r="H84" s="137">
        <v>200</v>
      </c>
      <c r="I84" s="137">
        <v>200</v>
      </c>
      <c r="J84" s="161"/>
      <c r="K84" s="218"/>
      <c r="L84" s="105">
        <v>20201118</v>
      </c>
    </row>
    <row r="85" ht="16" customHeight="1" spans="1:12">
      <c r="A85" s="161">
        <v>83</v>
      </c>
      <c r="B85" s="161" t="s">
        <v>5602</v>
      </c>
      <c r="C85" s="137" t="s">
        <v>5764</v>
      </c>
      <c r="D85" s="137" t="s">
        <v>5765</v>
      </c>
      <c r="E85" s="161">
        <v>2020</v>
      </c>
      <c r="F85" s="161">
        <v>2020</v>
      </c>
      <c r="G85" s="161" t="s">
        <v>16</v>
      </c>
      <c r="H85" s="137">
        <v>200</v>
      </c>
      <c r="I85" s="137">
        <v>200</v>
      </c>
      <c r="J85" s="161"/>
      <c r="K85" s="218"/>
      <c r="L85" s="105">
        <v>20201118</v>
      </c>
    </row>
    <row r="86" ht="16" customHeight="1" spans="1:12">
      <c r="A86" s="161">
        <v>84</v>
      </c>
      <c r="B86" s="161" t="s">
        <v>5602</v>
      </c>
      <c r="C86" s="137" t="s">
        <v>5766</v>
      </c>
      <c r="D86" s="137" t="s">
        <v>5767</v>
      </c>
      <c r="E86" s="161">
        <v>2020</v>
      </c>
      <c r="F86" s="161">
        <v>2020</v>
      </c>
      <c r="G86" s="161" t="s">
        <v>16</v>
      </c>
      <c r="H86" s="137">
        <v>200</v>
      </c>
      <c r="I86" s="137">
        <v>200</v>
      </c>
      <c r="J86" s="161"/>
      <c r="K86" s="218"/>
      <c r="L86" s="105">
        <v>20201118</v>
      </c>
    </row>
    <row r="87" ht="16" customHeight="1" spans="1:12">
      <c r="A87" s="161">
        <v>85</v>
      </c>
      <c r="B87" s="161" t="s">
        <v>5602</v>
      </c>
      <c r="C87" s="137" t="s">
        <v>5768</v>
      </c>
      <c r="D87" s="137" t="s">
        <v>5769</v>
      </c>
      <c r="E87" s="161">
        <v>2020</v>
      </c>
      <c r="F87" s="161">
        <v>2020</v>
      </c>
      <c r="G87" s="161" t="s">
        <v>16</v>
      </c>
      <c r="H87" s="137">
        <v>200</v>
      </c>
      <c r="I87" s="137">
        <v>200</v>
      </c>
      <c r="J87" s="161"/>
      <c r="K87" s="218"/>
      <c r="L87" s="105">
        <v>20201118</v>
      </c>
    </row>
    <row r="88" ht="16" customHeight="1" spans="1:12">
      <c r="A88" s="161">
        <v>86</v>
      </c>
      <c r="B88" s="161" t="s">
        <v>5602</v>
      </c>
      <c r="C88" s="137" t="s">
        <v>5770</v>
      </c>
      <c r="D88" s="137" t="s">
        <v>5771</v>
      </c>
      <c r="E88" s="161">
        <v>2020</v>
      </c>
      <c r="F88" s="161">
        <v>2020</v>
      </c>
      <c r="G88" s="161" t="s">
        <v>16</v>
      </c>
      <c r="H88" s="137">
        <v>200</v>
      </c>
      <c r="I88" s="137">
        <v>200</v>
      </c>
      <c r="J88" s="161"/>
      <c r="K88" s="218"/>
      <c r="L88" s="105">
        <v>20201118</v>
      </c>
    </row>
    <row r="89" ht="16" customHeight="1" spans="1:12">
      <c r="A89" s="161">
        <v>87</v>
      </c>
      <c r="B89" s="161" t="s">
        <v>5602</v>
      </c>
      <c r="C89" s="137" t="s">
        <v>5772</v>
      </c>
      <c r="D89" s="137" t="s">
        <v>5773</v>
      </c>
      <c r="E89" s="161">
        <v>2020</v>
      </c>
      <c r="F89" s="161">
        <v>2020</v>
      </c>
      <c r="G89" s="161" t="s">
        <v>16</v>
      </c>
      <c r="H89" s="137">
        <v>200</v>
      </c>
      <c r="I89" s="137">
        <v>200</v>
      </c>
      <c r="J89" s="161"/>
      <c r="K89" s="218"/>
      <c r="L89" s="105">
        <v>20201118</v>
      </c>
    </row>
    <row r="90" ht="16" customHeight="1" spans="1:12">
      <c r="A90" s="161">
        <v>88</v>
      </c>
      <c r="B90" s="161" t="s">
        <v>5602</v>
      </c>
      <c r="C90" s="137" t="s">
        <v>5774</v>
      </c>
      <c r="D90" s="137" t="s">
        <v>5775</v>
      </c>
      <c r="E90" s="161">
        <v>2020</v>
      </c>
      <c r="F90" s="161">
        <v>2020</v>
      </c>
      <c r="G90" s="161" t="s">
        <v>16</v>
      </c>
      <c r="H90" s="137">
        <v>200</v>
      </c>
      <c r="I90" s="137">
        <v>200</v>
      </c>
      <c r="J90" s="161"/>
      <c r="K90" s="218"/>
      <c r="L90" s="105">
        <v>20201118</v>
      </c>
    </row>
    <row r="91" ht="16" customHeight="1" spans="1:12">
      <c r="A91" s="161">
        <v>89</v>
      </c>
      <c r="B91" s="161" t="s">
        <v>5602</v>
      </c>
      <c r="C91" s="137" t="s">
        <v>5776</v>
      </c>
      <c r="D91" s="137" t="s">
        <v>5777</v>
      </c>
      <c r="E91" s="161">
        <v>2020</v>
      </c>
      <c r="F91" s="161">
        <v>2020</v>
      </c>
      <c r="G91" s="161" t="s">
        <v>16</v>
      </c>
      <c r="H91" s="137">
        <v>200</v>
      </c>
      <c r="I91" s="137">
        <v>200</v>
      </c>
      <c r="J91" s="161"/>
      <c r="K91" s="218"/>
      <c r="L91" s="105">
        <v>20201118</v>
      </c>
    </row>
    <row r="92" ht="16" customHeight="1" spans="1:12">
      <c r="A92" s="161">
        <v>90</v>
      </c>
      <c r="B92" s="161" t="s">
        <v>5602</v>
      </c>
      <c r="C92" s="137" t="s">
        <v>5778</v>
      </c>
      <c r="D92" s="137" t="s">
        <v>5779</v>
      </c>
      <c r="E92" s="161">
        <v>2020</v>
      </c>
      <c r="F92" s="161">
        <v>2020</v>
      </c>
      <c r="G92" s="161" t="s">
        <v>16</v>
      </c>
      <c r="H92" s="137">
        <v>200</v>
      </c>
      <c r="I92" s="137">
        <v>200</v>
      </c>
      <c r="J92" s="161"/>
      <c r="K92" s="218"/>
      <c r="L92" s="105">
        <v>20201118</v>
      </c>
    </row>
    <row r="93" ht="16" customHeight="1" spans="1:12">
      <c r="A93" s="161">
        <v>91</v>
      </c>
      <c r="B93" s="161" t="s">
        <v>5602</v>
      </c>
      <c r="C93" s="137" t="s">
        <v>5780</v>
      </c>
      <c r="D93" s="137" t="s">
        <v>5781</v>
      </c>
      <c r="E93" s="161">
        <v>2020</v>
      </c>
      <c r="F93" s="161">
        <v>2020</v>
      </c>
      <c r="G93" s="161" t="s">
        <v>16</v>
      </c>
      <c r="H93" s="137">
        <v>200</v>
      </c>
      <c r="I93" s="137">
        <v>200</v>
      </c>
      <c r="J93" s="161"/>
      <c r="K93" s="218"/>
      <c r="L93" s="105">
        <v>20201118</v>
      </c>
    </row>
    <row r="94" ht="16" customHeight="1" spans="1:12">
      <c r="A94" s="161">
        <v>92</v>
      </c>
      <c r="B94" s="161" t="s">
        <v>5602</v>
      </c>
      <c r="C94" s="137" t="s">
        <v>5782</v>
      </c>
      <c r="D94" s="137" t="s">
        <v>5783</v>
      </c>
      <c r="E94" s="161">
        <v>2020</v>
      </c>
      <c r="F94" s="161">
        <v>2020</v>
      </c>
      <c r="G94" s="161" t="s">
        <v>16</v>
      </c>
      <c r="H94" s="137">
        <v>200</v>
      </c>
      <c r="I94" s="137">
        <v>200</v>
      </c>
      <c r="J94" s="161"/>
      <c r="K94" s="218"/>
      <c r="L94" s="105">
        <v>20201118</v>
      </c>
    </row>
    <row r="95" ht="16" customHeight="1" spans="1:12">
      <c r="A95" s="161">
        <v>93</v>
      </c>
      <c r="B95" s="161" t="s">
        <v>5602</v>
      </c>
      <c r="C95" s="137" t="s">
        <v>5784</v>
      </c>
      <c r="D95" s="137" t="s">
        <v>5785</v>
      </c>
      <c r="E95" s="161">
        <v>2020</v>
      </c>
      <c r="F95" s="161">
        <v>2020</v>
      </c>
      <c r="G95" s="161" t="s">
        <v>16</v>
      </c>
      <c r="H95" s="137">
        <v>200</v>
      </c>
      <c r="I95" s="137">
        <v>200</v>
      </c>
      <c r="J95" s="161"/>
      <c r="K95" s="218"/>
      <c r="L95" s="105">
        <v>20201118</v>
      </c>
    </row>
    <row r="96" ht="16" customHeight="1" spans="1:12">
      <c r="A96" s="161">
        <v>94</v>
      </c>
      <c r="B96" s="161" t="s">
        <v>5602</v>
      </c>
      <c r="C96" s="137" t="s">
        <v>5786</v>
      </c>
      <c r="D96" s="137" t="s">
        <v>5787</v>
      </c>
      <c r="E96" s="161">
        <v>2020</v>
      </c>
      <c r="F96" s="161">
        <v>2020</v>
      </c>
      <c r="G96" s="161" t="s">
        <v>16</v>
      </c>
      <c r="H96" s="137">
        <v>200</v>
      </c>
      <c r="I96" s="137">
        <v>200</v>
      </c>
      <c r="J96" s="161"/>
      <c r="K96" s="218"/>
      <c r="L96" s="105">
        <v>20201118</v>
      </c>
    </row>
    <row r="97" ht="16" customHeight="1" spans="1:12">
      <c r="A97" s="161">
        <v>95</v>
      </c>
      <c r="B97" s="161" t="s">
        <v>5602</v>
      </c>
      <c r="C97" s="137" t="s">
        <v>5788</v>
      </c>
      <c r="D97" s="137" t="s">
        <v>5789</v>
      </c>
      <c r="E97" s="161">
        <v>2020</v>
      </c>
      <c r="F97" s="161">
        <v>2020</v>
      </c>
      <c r="G97" s="161" t="s">
        <v>16</v>
      </c>
      <c r="H97" s="137">
        <v>200</v>
      </c>
      <c r="I97" s="137">
        <v>200</v>
      </c>
      <c r="J97" s="161"/>
      <c r="K97" s="218"/>
      <c r="L97" s="105">
        <v>20201118</v>
      </c>
    </row>
    <row r="98" ht="16" customHeight="1" spans="1:12">
      <c r="A98" s="161">
        <v>96</v>
      </c>
      <c r="B98" s="161" t="s">
        <v>5602</v>
      </c>
      <c r="C98" s="137" t="s">
        <v>5790</v>
      </c>
      <c r="D98" s="137" t="s">
        <v>5791</v>
      </c>
      <c r="E98" s="161">
        <v>2020</v>
      </c>
      <c r="F98" s="161">
        <v>2020</v>
      </c>
      <c r="G98" s="161" t="s">
        <v>16</v>
      </c>
      <c r="H98" s="137">
        <v>200</v>
      </c>
      <c r="I98" s="137">
        <v>200</v>
      </c>
      <c r="J98" s="161"/>
      <c r="K98" s="218"/>
      <c r="L98" s="105">
        <v>20201118</v>
      </c>
    </row>
    <row r="99" ht="16" customHeight="1" spans="1:12">
      <c r="A99" s="161">
        <v>97</v>
      </c>
      <c r="B99" s="161" t="s">
        <v>5602</v>
      </c>
      <c r="C99" s="137" t="s">
        <v>5792</v>
      </c>
      <c r="D99" s="137" t="s">
        <v>5793</v>
      </c>
      <c r="E99" s="161">
        <v>2020</v>
      </c>
      <c r="F99" s="161">
        <v>2020</v>
      </c>
      <c r="G99" s="161" t="s">
        <v>16</v>
      </c>
      <c r="H99" s="137">
        <v>200</v>
      </c>
      <c r="I99" s="137">
        <v>200</v>
      </c>
      <c r="J99" s="161" t="s">
        <v>108</v>
      </c>
      <c r="K99" s="218"/>
      <c r="L99" s="105">
        <v>20201118</v>
      </c>
    </row>
    <row r="100" ht="16" customHeight="1" spans="1:12">
      <c r="A100" s="161">
        <v>98</v>
      </c>
      <c r="B100" s="161" t="s">
        <v>5602</v>
      </c>
      <c r="C100" s="137" t="s">
        <v>5794</v>
      </c>
      <c r="D100" s="137" t="s">
        <v>5795</v>
      </c>
      <c r="E100" s="161">
        <v>2020</v>
      </c>
      <c r="F100" s="161">
        <v>2020</v>
      </c>
      <c r="G100" s="161" t="s">
        <v>16</v>
      </c>
      <c r="H100" s="137" t="s">
        <v>311</v>
      </c>
      <c r="I100" s="219">
        <v>200</v>
      </c>
      <c r="J100" s="161"/>
      <c r="K100" s="218"/>
      <c r="L100" s="105">
        <v>20201118</v>
      </c>
    </row>
    <row r="101" ht="16" customHeight="1" spans="1:12">
      <c r="A101" s="161">
        <v>99</v>
      </c>
      <c r="B101" s="161" t="s">
        <v>5602</v>
      </c>
      <c r="C101" s="137" t="s">
        <v>5796</v>
      </c>
      <c r="D101" s="137" t="s">
        <v>5797</v>
      </c>
      <c r="E101" s="161">
        <v>2020</v>
      </c>
      <c r="F101" s="161">
        <v>2020</v>
      </c>
      <c r="G101" s="161" t="s">
        <v>16</v>
      </c>
      <c r="H101" s="137">
        <v>200</v>
      </c>
      <c r="I101" s="137">
        <v>200</v>
      </c>
      <c r="J101" s="161"/>
      <c r="K101" s="218"/>
      <c r="L101" s="105">
        <v>20201118</v>
      </c>
    </row>
    <row r="102" ht="16" customHeight="1" spans="1:12">
      <c r="A102" s="161">
        <v>100</v>
      </c>
      <c r="B102" s="161" t="s">
        <v>5602</v>
      </c>
      <c r="C102" s="137" t="s">
        <v>5798</v>
      </c>
      <c r="D102" s="137" t="s">
        <v>5799</v>
      </c>
      <c r="E102" s="161">
        <v>2020</v>
      </c>
      <c r="F102" s="161">
        <v>2020</v>
      </c>
      <c r="G102" s="161" t="s">
        <v>16</v>
      </c>
      <c r="H102" s="137">
        <v>200</v>
      </c>
      <c r="I102" s="137">
        <v>200</v>
      </c>
      <c r="J102" s="161"/>
      <c r="K102" s="218"/>
      <c r="L102" s="105">
        <v>20201118</v>
      </c>
    </row>
    <row r="103" ht="16" customHeight="1" spans="1:12">
      <c r="A103" s="161">
        <v>101</v>
      </c>
      <c r="B103" s="161" t="s">
        <v>5602</v>
      </c>
      <c r="C103" s="137" t="s">
        <v>5800</v>
      </c>
      <c r="D103" s="137" t="s">
        <v>5801</v>
      </c>
      <c r="E103" s="161">
        <v>2020</v>
      </c>
      <c r="F103" s="161">
        <v>2020</v>
      </c>
      <c r="G103" s="161" t="s">
        <v>16</v>
      </c>
      <c r="H103" s="137">
        <v>200</v>
      </c>
      <c r="I103" s="137">
        <v>200</v>
      </c>
      <c r="J103" s="161"/>
      <c r="K103" s="218"/>
      <c r="L103" s="105">
        <v>20201118</v>
      </c>
    </row>
    <row r="104" ht="16" customHeight="1" spans="1:12">
      <c r="A104" s="161">
        <v>102</v>
      </c>
      <c r="B104" s="161" t="s">
        <v>5602</v>
      </c>
      <c r="C104" s="137" t="s">
        <v>5802</v>
      </c>
      <c r="D104" s="137" t="s">
        <v>5803</v>
      </c>
      <c r="E104" s="161">
        <v>2020</v>
      </c>
      <c r="F104" s="161">
        <v>2020</v>
      </c>
      <c r="G104" s="161" t="s">
        <v>16</v>
      </c>
      <c r="H104" s="137">
        <v>200</v>
      </c>
      <c r="I104" s="137">
        <v>200</v>
      </c>
      <c r="J104" s="161"/>
      <c r="K104" s="218"/>
      <c r="L104" s="105">
        <v>20201118</v>
      </c>
    </row>
    <row r="105" ht="16" customHeight="1" spans="1:12">
      <c r="A105" s="161">
        <v>103</v>
      </c>
      <c r="B105" s="161" t="s">
        <v>5602</v>
      </c>
      <c r="C105" s="137" t="s">
        <v>5804</v>
      </c>
      <c r="D105" s="137" t="s">
        <v>5805</v>
      </c>
      <c r="E105" s="161">
        <v>2020</v>
      </c>
      <c r="F105" s="161">
        <v>2020</v>
      </c>
      <c r="G105" s="161" t="s">
        <v>16</v>
      </c>
      <c r="H105" s="137">
        <v>200</v>
      </c>
      <c r="I105" s="137">
        <v>200</v>
      </c>
      <c r="J105" s="161"/>
      <c r="K105" s="218"/>
      <c r="L105" s="105">
        <v>20201118</v>
      </c>
    </row>
    <row r="106" ht="16" customHeight="1" spans="1:12">
      <c r="A106" s="161">
        <v>104</v>
      </c>
      <c r="B106" s="161" t="s">
        <v>5602</v>
      </c>
      <c r="C106" s="137" t="s">
        <v>5806</v>
      </c>
      <c r="D106" s="137" t="s">
        <v>5807</v>
      </c>
      <c r="E106" s="161">
        <v>2020</v>
      </c>
      <c r="F106" s="161">
        <v>2020</v>
      </c>
      <c r="G106" s="161" t="s">
        <v>16</v>
      </c>
      <c r="H106" s="137">
        <v>200</v>
      </c>
      <c r="I106" s="137">
        <v>200</v>
      </c>
      <c r="J106" s="161"/>
      <c r="K106" s="218"/>
      <c r="L106" s="105">
        <v>20201118</v>
      </c>
    </row>
    <row r="107" ht="16" customHeight="1" spans="1:12">
      <c r="A107" s="161">
        <v>105</v>
      </c>
      <c r="B107" s="161" t="s">
        <v>5602</v>
      </c>
      <c r="C107" s="137" t="s">
        <v>5808</v>
      </c>
      <c r="D107" s="137" t="s">
        <v>5809</v>
      </c>
      <c r="E107" s="161">
        <v>2020</v>
      </c>
      <c r="F107" s="161">
        <v>2020</v>
      </c>
      <c r="G107" s="161" t="s">
        <v>16</v>
      </c>
      <c r="H107" s="137">
        <v>200</v>
      </c>
      <c r="I107" s="137">
        <v>200</v>
      </c>
      <c r="J107" s="161"/>
      <c r="K107" s="218"/>
      <c r="L107" s="105">
        <v>20201118</v>
      </c>
    </row>
    <row r="108" ht="16" customHeight="1" spans="1:12">
      <c r="A108" s="161">
        <v>106</v>
      </c>
      <c r="B108" s="161" t="s">
        <v>5602</v>
      </c>
      <c r="C108" s="137" t="s">
        <v>5810</v>
      </c>
      <c r="D108" s="137" t="s">
        <v>5811</v>
      </c>
      <c r="E108" s="161">
        <v>2020</v>
      </c>
      <c r="F108" s="161">
        <v>2020</v>
      </c>
      <c r="G108" s="161" t="s">
        <v>16</v>
      </c>
      <c r="H108" s="137">
        <v>200</v>
      </c>
      <c r="I108" s="137">
        <v>200</v>
      </c>
      <c r="J108" s="161"/>
      <c r="K108" s="218"/>
      <c r="L108" s="105">
        <v>20201118</v>
      </c>
    </row>
    <row r="109" ht="16" customHeight="1" spans="1:12">
      <c r="A109" s="161">
        <v>107</v>
      </c>
      <c r="B109" s="161" t="s">
        <v>5602</v>
      </c>
      <c r="C109" s="137" t="s">
        <v>5812</v>
      </c>
      <c r="D109" s="137" t="s">
        <v>5813</v>
      </c>
      <c r="E109" s="161">
        <v>2020</v>
      </c>
      <c r="F109" s="161">
        <v>2020</v>
      </c>
      <c r="G109" s="161" t="s">
        <v>16</v>
      </c>
      <c r="H109" s="137">
        <v>200</v>
      </c>
      <c r="I109" s="137">
        <v>200</v>
      </c>
      <c r="J109" s="161"/>
      <c r="K109" s="218"/>
      <c r="L109" s="105">
        <v>20201118</v>
      </c>
    </row>
    <row r="110" ht="16" customHeight="1" spans="1:12">
      <c r="A110" s="161">
        <v>108</v>
      </c>
      <c r="B110" s="161" t="s">
        <v>5602</v>
      </c>
      <c r="C110" s="137" t="s">
        <v>5814</v>
      </c>
      <c r="D110" s="137" t="s">
        <v>5815</v>
      </c>
      <c r="E110" s="161">
        <v>2020</v>
      </c>
      <c r="F110" s="161">
        <v>2020</v>
      </c>
      <c r="G110" s="161" t="s">
        <v>16</v>
      </c>
      <c r="H110" s="137">
        <v>200</v>
      </c>
      <c r="I110" s="137">
        <v>200</v>
      </c>
      <c r="J110" s="161"/>
      <c r="K110" s="218"/>
      <c r="L110" s="105">
        <v>20201118</v>
      </c>
    </row>
    <row r="111" ht="16" customHeight="1" spans="1:12">
      <c r="A111" s="161">
        <v>109</v>
      </c>
      <c r="B111" s="161" t="s">
        <v>5602</v>
      </c>
      <c r="C111" s="137" t="s">
        <v>5816</v>
      </c>
      <c r="D111" s="137" t="s">
        <v>5817</v>
      </c>
      <c r="E111" s="161">
        <v>2020</v>
      </c>
      <c r="F111" s="161">
        <v>2020</v>
      </c>
      <c r="G111" s="161" t="s">
        <v>16</v>
      </c>
      <c r="H111" s="137">
        <v>200</v>
      </c>
      <c r="I111" s="137">
        <v>200</v>
      </c>
      <c r="J111" s="161"/>
      <c r="K111" s="218"/>
      <c r="L111" s="105">
        <v>20201118</v>
      </c>
    </row>
    <row r="112" ht="16" customHeight="1" spans="1:12">
      <c r="A112" s="161">
        <v>110</v>
      </c>
      <c r="B112" s="161" t="s">
        <v>5602</v>
      </c>
      <c r="C112" s="137" t="s">
        <v>5818</v>
      </c>
      <c r="D112" s="137" t="s">
        <v>5819</v>
      </c>
      <c r="E112" s="161">
        <v>2020</v>
      </c>
      <c r="F112" s="161">
        <v>2020</v>
      </c>
      <c r="G112" s="161" t="s">
        <v>16</v>
      </c>
      <c r="H112" s="137">
        <v>200</v>
      </c>
      <c r="I112" s="137">
        <v>200</v>
      </c>
      <c r="J112" s="161"/>
      <c r="K112" s="218"/>
      <c r="L112" s="105">
        <v>20201118</v>
      </c>
    </row>
    <row r="113" ht="16" customHeight="1" spans="1:12">
      <c r="A113" s="161">
        <v>111</v>
      </c>
      <c r="B113" s="161" t="s">
        <v>5602</v>
      </c>
      <c r="C113" s="137" t="s">
        <v>5820</v>
      </c>
      <c r="D113" s="137" t="s">
        <v>5821</v>
      </c>
      <c r="E113" s="161">
        <v>2020</v>
      </c>
      <c r="F113" s="161">
        <v>2020</v>
      </c>
      <c r="G113" s="161" t="s">
        <v>16</v>
      </c>
      <c r="H113" s="137">
        <v>200</v>
      </c>
      <c r="I113" s="137">
        <v>200</v>
      </c>
      <c r="J113" s="161"/>
      <c r="K113" s="218"/>
      <c r="L113" s="105">
        <v>20201118</v>
      </c>
    </row>
    <row r="114" ht="16" customHeight="1" spans="1:12">
      <c r="A114" s="161">
        <v>112</v>
      </c>
      <c r="B114" s="161" t="s">
        <v>5602</v>
      </c>
      <c r="C114" s="137" t="s">
        <v>5822</v>
      </c>
      <c r="D114" s="137" t="s">
        <v>5823</v>
      </c>
      <c r="E114" s="161">
        <v>2020</v>
      </c>
      <c r="F114" s="161">
        <v>2020</v>
      </c>
      <c r="G114" s="161" t="s">
        <v>16</v>
      </c>
      <c r="H114" s="137">
        <v>200</v>
      </c>
      <c r="I114" s="137">
        <v>200</v>
      </c>
      <c r="J114" s="161" t="s">
        <v>108</v>
      </c>
      <c r="K114" s="218"/>
      <c r="L114" s="105">
        <v>20201118</v>
      </c>
    </row>
    <row r="115" ht="16" customHeight="1" spans="1:12">
      <c r="A115" s="161">
        <v>113</v>
      </c>
      <c r="B115" s="161" t="s">
        <v>5602</v>
      </c>
      <c r="C115" s="137" t="s">
        <v>5824</v>
      </c>
      <c r="D115" s="137" t="s">
        <v>5825</v>
      </c>
      <c r="E115" s="161">
        <v>2020</v>
      </c>
      <c r="F115" s="161">
        <v>2020</v>
      </c>
      <c r="G115" s="161" t="s">
        <v>16</v>
      </c>
      <c r="H115" s="137">
        <v>200</v>
      </c>
      <c r="I115" s="137">
        <v>200</v>
      </c>
      <c r="J115" s="161"/>
      <c r="K115" s="218"/>
      <c r="L115" s="105">
        <v>20201118</v>
      </c>
    </row>
    <row r="116" ht="16" customHeight="1" spans="1:12">
      <c r="A116" s="161">
        <v>114</v>
      </c>
      <c r="B116" s="161" t="s">
        <v>5602</v>
      </c>
      <c r="C116" s="137" t="s">
        <v>5826</v>
      </c>
      <c r="D116" s="137" t="s">
        <v>5827</v>
      </c>
      <c r="E116" s="161">
        <v>2020</v>
      </c>
      <c r="F116" s="161">
        <v>2020</v>
      </c>
      <c r="G116" s="161" t="s">
        <v>16</v>
      </c>
      <c r="H116" s="137">
        <v>200</v>
      </c>
      <c r="I116" s="137">
        <v>200</v>
      </c>
      <c r="J116" s="161"/>
      <c r="K116" s="218"/>
      <c r="L116" s="105">
        <v>20201118</v>
      </c>
    </row>
    <row r="117" ht="16" customHeight="1" spans="1:12">
      <c r="A117" s="161">
        <v>115</v>
      </c>
      <c r="B117" s="161" t="s">
        <v>5602</v>
      </c>
      <c r="C117" s="137" t="s">
        <v>5828</v>
      </c>
      <c r="D117" s="137" t="s">
        <v>5829</v>
      </c>
      <c r="E117" s="161">
        <v>2020</v>
      </c>
      <c r="F117" s="161">
        <v>2020</v>
      </c>
      <c r="G117" s="161" t="s">
        <v>16</v>
      </c>
      <c r="H117" s="137">
        <v>200</v>
      </c>
      <c r="I117" s="137">
        <v>200</v>
      </c>
      <c r="J117" s="161"/>
      <c r="K117" s="218"/>
      <c r="L117" s="105">
        <v>20201118</v>
      </c>
    </row>
    <row r="118" ht="16" customHeight="1" spans="1:12">
      <c r="A118" s="161">
        <v>116</v>
      </c>
      <c r="B118" s="161" t="s">
        <v>5602</v>
      </c>
      <c r="C118" s="137" t="s">
        <v>5830</v>
      </c>
      <c r="D118" s="137" t="s">
        <v>5831</v>
      </c>
      <c r="E118" s="161">
        <v>2020</v>
      </c>
      <c r="F118" s="161">
        <v>2020</v>
      </c>
      <c r="G118" s="161" t="s">
        <v>16</v>
      </c>
      <c r="H118" s="137">
        <v>200</v>
      </c>
      <c r="I118" s="137">
        <v>200</v>
      </c>
      <c r="J118" s="161"/>
      <c r="K118" s="218"/>
      <c r="L118" s="105">
        <v>20201118</v>
      </c>
    </row>
    <row r="119" ht="16" customHeight="1" spans="1:12">
      <c r="A119" s="161">
        <v>117</v>
      </c>
      <c r="B119" s="161" t="s">
        <v>5602</v>
      </c>
      <c r="C119" s="137" t="s">
        <v>5832</v>
      </c>
      <c r="D119" s="137" t="s">
        <v>5833</v>
      </c>
      <c r="E119" s="161">
        <v>2020</v>
      </c>
      <c r="F119" s="161">
        <v>2020</v>
      </c>
      <c r="G119" s="161" t="s">
        <v>16</v>
      </c>
      <c r="H119" s="137">
        <v>200</v>
      </c>
      <c r="I119" s="137">
        <v>200</v>
      </c>
      <c r="J119" s="161"/>
      <c r="K119" s="218"/>
      <c r="L119" s="105">
        <v>20201118</v>
      </c>
    </row>
    <row r="120" ht="16" customHeight="1" spans="1:12">
      <c r="A120" s="161">
        <v>118</v>
      </c>
      <c r="B120" s="161" t="s">
        <v>5602</v>
      </c>
      <c r="C120" s="137" t="s">
        <v>5834</v>
      </c>
      <c r="D120" s="137" t="s">
        <v>5835</v>
      </c>
      <c r="E120" s="161">
        <v>2020</v>
      </c>
      <c r="F120" s="161">
        <v>2020</v>
      </c>
      <c r="G120" s="161" t="s">
        <v>16</v>
      </c>
      <c r="H120" s="137">
        <v>200</v>
      </c>
      <c r="I120" s="137">
        <v>200</v>
      </c>
      <c r="J120" s="161"/>
      <c r="K120" s="218"/>
      <c r="L120" s="105">
        <v>20201118</v>
      </c>
    </row>
    <row r="121" ht="16" customHeight="1" spans="1:12">
      <c r="A121" s="161">
        <v>119</v>
      </c>
      <c r="B121" s="161" t="s">
        <v>5602</v>
      </c>
      <c r="C121" s="137" t="s">
        <v>5836</v>
      </c>
      <c r="D121" s="137" t="s">
        <v>5837</v>
      </c>
      <c r="E121" s="161">
        <v>2020</v>
      </c>
      <c r="F121" s="161">
        <v>2020</v>
      </c>
      <c r="G121" s="161" t="s">
        <v>16</v>
      </c>
      <c r="H121" s="137">
        <v>200</v>
      </c>
      <c r="I121" s="137">
        <v>200</v>
      </c>
      <c r="J121" s="161"/>
      <c r="K121" s="218"/>
      <c r="L121" s="105">
        <v>20201118</v>
      </c>
    </row>
    <row r="122" ht="16" customHeight="1" spans="1:12">
      <c r="A122" s="161">
        <v>120</v>
      </c>
      <c r="B122" s="161" t="s">
        <v>5602</v>
      </c>
      <c r="C122" s="137" t="s">
        <v>5838</v>
      </c>
      <c r="D122" s="137" t="s">
        <v>5839</v>
      </c>
      <c r="E122" s="161">
        <v>2020</v>
      </c>
      <c r="F122" s="161">
        <v>2020</v>
      </c>
      <c r="G122" s="161" t="s">
        <v>16</v>
      </c>
      <c r="H122" s="137">
        <v>200</v>
      </c>
      <c r="I122" s="137">
        <v>200</v>
      </c>
      <c r="J122" s="161"/>
      <c r="K122" s="218"/>
      <c r="L122" s="105">
        <v>20201118</v>
      </c>
    </row>
    <row r="123" ht="16" customHeight="1" spans="1:12">
      <c r="A123" s="161">
        <v>121</v>
      </c>
      <c r="B123" s="161" t="s">
        <v>5602</v>
      </c>
      <c r="C123" s="137" t="s">
        <v>5840</v>
      </c>
      <c r="D123" s="137" t="s">
        <v>5841</v>
      </c>
      <c r="E123" s="161">
        <v>2020</v>
      </c>
      <c r="F123" s="161">
        <v>2020</v>
      </c>
      <c r="G123" s="161" t="s">
        <v>16</v>
      </c>
      <c r="H123" s="137">
        <v>200</v>
      </c>
      <c r="I123" s="137">
        <v>200</v>
      </c>
      <c r="J123" s="161"/>
      <c r="K123" s="218"/>
      <c r="L123" s="105">
        <v>20201118</v>
      </c>
    </row>
    <row r="124" ht="16" customHeight="1" spans="1:12">
      <c r="A124" s="161">
        <v>122</v>
      </c>
      <c r="B124" s="161" t="s">
        <v>5602</v>
      </c>
      <c r="C124" s="137" t="s">
        <v>5842</v>
      </c>
      <c r="D124" s="137" t="s">
        <v>5843</v>
      </c>
      <c r="E124" s="161">
        <v>2020</v>
      </c>
      <c r="F124" s="161">
        <v>2020</v>
      </c>
      <c r="G124" s="161" t="s">
        <v>16</v>
      </c>
      <c r="H124" s="137">
        <v>200</v>
      </c>
      <c r="I124" s="137">
        <v>200</v>
      </c>
      <c r="J124" s="161"/>
      <c r="K124" s="218"/>
      <c r="L124" s="105">
        <v>20201118</v>
      </c>
    </row>
    <row r="125" ht="16" customHeight="1" spans="1:12">
      <c r="A125" s="161">
        <v>123</v>
      </c>
      <c r="B125" s="161" t="s">
        <v>5602</v>
      </c>
      <c r="C125" s="137" t="s">
        <v>5844</v>
      </c>
      <c r="D125" s="137" t="s">
        <v>5845</v>
      </c>
      <c r="E125" s="161">
        <v>2020</v>
      </c>
      <c r="F125" s="161">
        <v>2020</v>
      </c>
      <c r="G125" s="161" t="s">
        <v>16</v>
      </c>
      <c r="H125" s="137">
        <v>200</v>
      </c>
      <c r="I125" s="137">
        <v>200</v>
      </c>
      <c r="J125" s="161"/>
      <c r="K125" s="218"/>
      <c r="L125" s="105">
        <v>20201118</v>
      </c>
    </row>
    <row r="126" ht="16" customHeight="1" spans="1:12">
      <c r="A126" s="161">
        <v>124</v>
      </c>
      <c r="B126" s="161" t="s">
        <v>5602</v>
      </c>
      <c r="C126" s="137" t="s">
        <v>5846</v>
      </c>
      <c r="D126" s="137" t="s">
        <v>5847</v>
      </c>
      <c r="E126" s="161">
        <v>2020</v>
      </c>
      <c r="F126" s="161">
        <v>2020</v>
      </c>
      <c r="G126" s="161" t="s">
        <v>16</v>
      </c>
      <c r="H126" s="137">
        <v>200</v>
      </c>
      <c r="I126" s="137">
        <v>200</v>
      </c>
      <c r="J126" s="161"/>
      <c r="K126" s="218"/>
      <c r="L126" s="105">
        <v>20201118</v>
      </c>
    </row>
    <row r="127" ht="16" customHeight="1" spans="1:12">
      <c r="A127" s="161">
        <v>125</v>
      </c>
      <c r="B127" s="161" t="s">
        <v>5602</v>
      </c>
      <c r="C127" s="137" t="s">
        <v>5848</v>
      </c>
      <c r="D127" s="137" t="s">
        <v>5849</v>
      </c>
      <c r="E127" s="161">
        <v>2020</v>
      </c>
      <c r="F127" s="161">
        <v>2020</v>
      </c>
      <c r="G127" s="161" t="s">
        <v>16</v>
      </c>
      <c r="H127" s="137">
        <v>200</v>
      </c>
      <c r="I127" s="137">
        <v>200</v>
      </c>
      <c r="J127" s="161"/>
      <c r="K127" s="218"/>
      <c r="L127" s="105">
        <v>20201118</v>
      </c>
    </row>
    <row r="128" ht="16" customHeight="1" spans="1:12">
      <c r="A128" s="161">
        <v>126</v>
      </c>
      <c r="B128" s="161" t="s">
        <v>5602</v>
      </c>
      <c r="C128" s="137" t="s">
        <v>5850</v>
      </c>
      <c r="D128" s="137" t="s">
        <v>5851</v>
      </c>
      <c r="E128" s="161">
        <v>2020</v>
      </c>
      <c r="F128" s="161">
        <v>2020</v>
      </c>
      <c r="G128" s="161" t="s">
        <v>16</v>
      </c>
      <c r="H128" s="137">
        <v>200</v>
      </c>
      <c r="I128" s="137">
        <v>200</v>
      </c>
      <c r="J128" s="161"/>
      <c r="K128" s="218"/>
      <c r="L128" s="105">
        <v>20201118</v>
      </c>
    </row>
    <row r="129" ht="16" customHeight="1" spans="1:12">
      <c r="A129" s="161">
        <v>127</v>
      </c>
      <c r="B129" s="161" t="s">
        <v>5602</v>
      </c>
      <c r="C129" s="137" t="s">
        <v>5852</v>
      </c>
      <c r="D129" s="137" t="s">
        <v>5853</v>
      </c>
      <c r="E129" s="161">
        <v>2020</v>
      </c>
      <c r="F129" s="161">
        <v>2020</v>
      </c>
      <c r="G129" s="161" t="s">
        <v>16</v>
      </c>
      <c r="H129" s="137">
        <v>200</v>
      </c>
      <c r="I129" s="137">
        <v>200</v>
      </c>
      <c r="J129" s="161"/>
      <c r="K129" s="218"/>
      <c r="L129" s="105">
        <v>20201118</v>
      </c>
    </row>
    <row r="130" ht="16" customHeight="1" spans="1:12">
      <c r="A130" s="161">
        <v>128</v>
      </c>
      <c r="B130" s="161" t="s">
        <v>5602</v>
      </c>
      <c r="C130" s="137" t="s">
        <v>5854</v>
      </c>
      <c r="D130" s="137" t="s">
        <v>5855</v>
      </c>
      <c r="E130" s="161">
        <v>2020</v>
      </c>
      <c r="F130" s="161">
        <v>2020</v>
      </c>
      <c r="G130" s="161" t="s">
        <v>16</v>
      </c>
      <c r="H130" s="137">
        <v>200</v>
      </c>
      <c r="I130" s="137">
        <v>200</v>
      </c>
      <c r="J130" s="161"/>
      <c r="K130" s="218"/>
      <c r="L130" s="105">
        <v>20201118</v>
      </c>
    </row>
    <row r="131" ht="16" customHeight="1" spans="1:12">
      <c r="A131" s="161">
        <v>129</v>
      </c>
      <c r="B131" s="161" t="s">
        <v>5602</v>
      </c>
      <c r="C131" s="137" t="s">
        <v>5856</v>
      </c>
      <c r="D131" s="137" t="s">
        <v>5857</v>
      </c>
      <c r="E131" s="161">
        <v>2020</v>
      </c>
      <c r="F131" s="161">
        <v>2020</v>
      </c>
      <c r="G131" s="161" t="s">
        <v>16</v>
      </c>
      <c r="H131" s="137">
        <v>200</v>
      </c>
      <c r="I131" s="137">
        <v>200</v>
      </c>
      <c r="J131" s="161"/>
      <c r="K131" s="218"/>
      <c r="L131" s="105">
        <v>20201118</v>
      </c>
    </row>
    <row r="132" ht="16" customHeight="1" spans="1:12">
      <c r="A132" s="161">
        <v>130</v>
      </c>
      <c r="B132" s="161" t="s">
        <v>5602</v>
      </c>
      <c r="C132" s="137" t="s">
        <v>5858</v>
      </c>
      <c r="D132" s="137" t="s">
        <v>5859</v>
      </c>
      <c r="E132" s="161">
        <v>2020</v>
      </c>
      <c r="F132" s="161">
        <v>2020</v>
      </c>
      <c r="G132" s="161" t="s">
        <v>16</v>
      </c>
      <c r="H132" s="137">
        <v>200</v>
      </c>
      <c r="I132" s="137">
        <v>200</v>
      </c>
      <c r="J132" s="161"/>
      <c r="K132" s="218"/>
      <c r="L132" s="105">
        <v>20201118</v>
      </c>
    </row>
    <row r="133" ht="16" customHeight="1" spans="1:12">
      <c r="A133" s="161">
        <v>131</v>
      </c>
      <c r="B133" s="161" t="s">
        <v>5602</v>
      </c>
      <c r="C133" s="137" t="s">
        <v>5860</v>
      </c>
      <c r="D133" s="137" t="s">
        <v>5861</v>
      </c>
      <c r="E133" s="161">
        <v>2020</v>
      </c>
      <c r="F133" s="161">
        <v>2020</v>
      </c>
      <c r="G133" s="161" t="s">
        <v>16</v>
      </c>
      <c r="H133" s="137">
        <v>200</v>
      </c>
      <c r="I133" s="137">
        <v>200</v>
      </c>
      <c r="J133" s="161"/>
      <c r="K133" s="218"/>
      <c r="L133" s="105">
        <v>20201118</v>
      </c>
    </row>
    <row r="134" ht="16" customHeight="1" spans="1:12">
      <c r="A134" s="161">
        <v>132</v>
      </c>
      <c r="B134" s="161" t="s">
        <v>5602</v>
      </c>
      <c r="C134" s="137" t="s">
        <v>5862</v>
      </c>
      <c r="D134" s="137" t="s">
        <v>5863</v>
      </c>
      <c r="E134" s="161">
        <v>2020</v>
      </c>
      <c r="F134" s="161">
        <v>2020</v>
      </c>
      <c r="G134" s="161" t="s">
        <v>16</v>
      </c>
      <c r="H134" s="137">
        <v>200</v>
      </c>
      <c r="I134" s="137">
        <v>200</v>
      </c>
      <c r="J134" s="161"/>
      <c r="K134" s="218"/>
      <c r="L134" s="105">
        <v>20201118</v>
      </c>
    </row>
    <row r="135" ht="16" customHeight="1" spans="1:12">
      <c r="A135" s="161">
        <v>133</v>
      </c>
      <c r="B135" s="161" t="s">
        <v>5602</v>
      </c>
      <c r="C135" s="137" t="s">
        <v>5864</v>
      </c>
      <c r="D135" s="137" t="s">
        <v>5865</v>
      </c>
      <c r="E135" s="161">
        <v>2020</v>
      </c>
      <c r="F135" s="161">
        <v>2020</v>
      </c>
      <c r="G135" s="161" t="s">
        <v>16</v>
      </c>
      <c r="H135" s="137">
        <v>200</v>
      </c>
      <c r="I135" s="137">
        <v>200</v>
      </c>
      <c r="J135" s="161"/>
      <c r="K135" s="218"/>
      <c r="L135" s="105">
        <v>20201118</v>
      </c>
    </row>
    <row r="136" ht="16" customHeight="1" spans="1:12">
      <c r="A136" s="161">
        <v>134</v>
      </c>
      <c r="B136" s="161" t="s">
        <v>5602</v>
      </c>
      <c r="C136" s="137" t="s">
        <v>5866</v>
      </c>
      <c r="D136" s="137" t="s">
        <v>5867</v>
      </c>
      <c r="E136" s="161">
        <v>2020</v>
      </c>
      <c r="F136" s="161">
        <v>2020</v>
      </c>
      <c r="G136" s="161" t="s">
        <v>16</v>
      </c>
      <c r="H136" s="137">
        <v>200</v>
      </c>
      <c r="I136" s="137">
        <v>200</v>
      </c>
      <c r="J136" s="161"/>
      <c r="K136" s="218"/>
      <c r="L136" s="105">
        <v>20201118</v>
      </c>
    </row>
    <row r="137" ht="16" customHeight="1" spans="1:12">
      <c r="A137" s="161">
        <v>135</v>
      </c>
      <c r="B137" s="161" t="s">
        <v>5602</v>
      </c>
      <c r="C137" s="137" t="s">
        <v>5868</v>
      </c>
      <c r="D137" s="137" t="s">
        <v>5869</v>
      </c>
      <c r="E137" s="161">
        <v>2020</v>
      </c>
      <c r="F137" s="161">
        <v>2020</v>
      </c>
      <c r="G137" s="161" t="s">
        <v>16</v>
      </c>
      <c r="H137" s="137">
        <v>200</v>
      </c>
      <c r="I137" s="137">
        <v>200</v>
      </c>
      <c r="J137" s="161"/>
      <c r="K137" s="218"/>
      <c r="L137" s="105">
        <v>20201118</v>
      </c>
    </row>
    <row r="138" ht="16" customHeight="1" spans="1:12">
      <c r="A138" s="161">
        <v>136</v>
      </c>
      <c r="B138" s="161" t="s">
        <v>5602</v>
      </c>
      <c r="C138" s="137" t="s">
        <v>5870</v>
      </c>
      <c r="D138" s="137" t="s">
        <v>5871</v>
      </c>
      <c r="E138" s="161">
        <v>2020</v>
      </c>
      <c r="F138" s="161">
        <v>2020</v>
      </c>
      <c r="G138" s="161" t="s">
        <v>16</v>
      </c>
      <c r="H138" s="137">
        <v>200</v>
      </c>
      <c r="I138" s="137">
        <v>200</v>
      </c>
      <c r="J138" s="161"/>
      <c r="K138" s="218"/>
      <c r="L138" s="105">
        <v>20201118</v>
      </c>
    </row>
    <row r="139" ht="16" customHeight="1" spans="1:12">
      <c r="A139" s="161">
        <v>137</v>
      </c>
      <c r="B139" s="161" t="s">
        <v>5602</v>
      </c>
      <c r="C139" s="137" t="s">
        <v>5872</v>
      </c>
      <c r="D139" s="137" t="s">
        <v>5873</v>
      </c>
      <c r="E139" s="161">
        <v>2020</v>
      </c>
      <c r="F139" s="161">
        <v>2020</v>
      </c>
      <c r="G139" s="161" t="s">
        <v>16</v>
      </c>
      <c r="H139" s="137">
        <v>200</v>
      </c>
      <c r="I139" s="137">
        <v>200</v>
      </c>
      <c r="J139" s="161"/>
      <c r="K139" s="218"/>
      <c r="L139" s="105">
        <v>20201118</v>
      </c>
    </row>
    <row r="140" ht="16" customHeight="1" spans="1:12">
      <c r="A140" s="161">
        <v>138</v>
      </c>
      <c r="B140" s="161" t="s">
        <v>5602</v>
      </c>
      <c r="C140" s="137" t="s">
        <v>5874</v>
      </c>
      <c r="D140" s="137" t="s">
        <v>5875</v>
      </c>
      <c r="E140" s="161">
        <v>2020</v>
      </c>
      <c r="F140" s="161">
        <v>2020</v>
      </c>
      <c r="G140" s="161" t="s">
        <v>16</v>
      </c>
      <c r="H140" s="137">
        <v>200</v>
      </c>
      <c r="I140" s="137">
        <v>200</v>
      </c>
      <c r="J140" s="161"/>
      <c r="K140" s="218"/>
      <c r="L140" s="105">
        <v>20201118</v>
      </c>
    </row>
    <row r="141" ht="16" customHeight="1" spans="1:12">
      <c r="A141" s="161">
        <v>139</v>
      </c>
      <c r="B141" s="161" t="s">
        <v>5602</v>
      </c>
      <c r="C141" s="137" t="s">
        <v>2154</v>
      </c>
      <c r="D141" s="137" t="s">
        <v>5876</v>
      </c>
      <c r="E141" s="161">
        <v>2020</v>
      </c>
      <c r="F141" s="161">
        <v>2020</v>
      </c>
      <c r="G141" s="161" t="s">
        <v>16</v>
      </c>
      <c r="H141" s="137">
        <v>200</v>
      </c>
      <c r="I141" s="137">
        <v>200</v>
      </c>
      <c r="J141" s="161"/>
      <c r="K141" s="218"/>
      <c r="L141" s="105">
        <v>20201118</v>
      </c>
    </row>
    <row r="142" ht="16" customHeight="1" spans="1:12">
      <c r="A142" s="161">
        <v>140</v>
      </c>
      <c r="B142" s="161" t="s">
        <v>5602</v>
      </c>
      <c r="C142" s="137" t="s">
        <v>5877</v>
      </c>
      <c r="D142" s="137" t="s">
        <v>5878</v>
      </c>
      <c r="E142" s="161">
        <v>2020</v>
      </c>
      <c r="F142" s="161">
        <v>2020</v>
      </c>
      <c r="G142" s="161" t="s">
        <v>16</v>
      </c>
      <c r="H142" s="137">
        <v>200</v>
      </c>
      <c r="I142" s="137">
        <v>200</v>
      </c>
      <c r="J142" s="161"/>
      <c r="K142" s="218"/>
      <c r="L142" s="105">
        <v>20201118</v>
      </c>
    </row>
    <row r="143" ht="16" customHeight="1" spans="1:12">
      <c r="A143" s="161">
        <v>141</v>
      </c>
      <c r="B143" s="161" t="s">
        <v>5602</v>
      </c>
      <c r="C143" s="137" t="s">
        <v>5879</v>
      </c>
      <c r="D143" s="137" t="s">
        <v>5880</v>
      </c>
      <c r="E143" s="161">
        <v>2020</v>
      </c>
      <c r="F143" s="161">
        <v>2020</v>
      </c>
      <c r="G143" s="161" t="s">
        <v>16</v>
      </c>
      <c r="H143" s="137">
        <v>200</v>
      </c>
      <c r="I143" s="137">
        <v>200</v>
      </c>
      <c r="J143" s="161"/>
      <c r="K143" s="218"/>
      <c r="L143" s="105">
        <v>20201118</v>
      </c>
    </row>
    <row r="144" ht="16" customHeight="1" spans="1:12">
      <c r="A144" s="161">
        <v>142</v>
      </c>
      <c r="B144" s="161" t="s">
        <v>5602</v>
      </c>
      <c r="C144" s="137" t="s">
        <v>5881</v>
      </c>
      <c r="D144" s="137" t="s">
        <v>5882</v>
      </c>
      <c r="E144" s="161">
        <v>2020</v>
      </c>
      <c r="F144" s="161">
        <v>2020</v>
      </c>
      <c r="G144" s="161" t="s">
        <v>16</v>
      </c>
      <c r="H144" s="137">
        <v>200</v>
      </c>
      <c r="I144" s="137">
        <v>200</v>
      </c>
      <c r="J144" s="161"/>
      <c r="K144" s="218"/>
      <c r="L144" s="105">
        <v>20201118</v>
      </c>
    </row>
    <row r="145" ht="16" customHeight="1" spans="1:12">
      <c r="A145" s="161">
        <v>143</v>
      </c>
      <c r="B145" s="161" t="s">
        <v>5602</v>
      </c>
      <c r="C145" s="137" t="s">
        <v>5883</v>
      </c>
      <c r="D145" s="137" t="s">
        <v>5884</v>
      </c>
      <c r="E145" s="161">
        <v>2020</v>
      </c>
      <c r="F145" s="161">
        <v>2020</v>
      </c>
      <c r="G145" s="161" t="s">
        <v>16</v>
      </c>
      <c r="H145" s="137">
        <v>200</v>
      </c>
      <c r="I145" s="137">
        <v>200</v>
      </c>
      <c r="J145" s="161"/>
      <c r="K145" s="218"/>
      <c r="L145" s="105">
        <v>20201118</v>
      </c>
    </row>
    <row r="146" ht="16" customHeight="1" spans="1:12">
      <c r="A146" s="161">
        <v>144</v>
      </c>
      <c r="B146" s="161" t="s">
        <v>5602</v>
      </c>
      <c r="C146" s="137" t="s">
        <v>5885</v>
      </c>
      <c r="D146" s="137" t="s">
        <v>5886</v>
      </c>
      <c r="E146" s="161">
        <v>2020</v>
      </c>
      <c r="F146" s="161">
        <v>2020</v>
      </c>
      <c r="G146" s="161" t="s">
        <v>16</v>
      </c>
      <c r="H146" s="137">
        <v>200</v>
      </c>
      <c r="I146" s="137">
        <v>200</v>
      </c>
      <c r="J146" s="161"/>
      <c r="K146" s="218"/>
      <c r="L146" s="105">
        <v>20201118</v>
      </c>
    </row>
    <row r="147" ht="16" customHeight="1" spans="1:12">
      <c r="A147" s="161">
        <v>145</v>
      </c>
      <c r="B147" s="161" t="s">
        <v>5602</v>
      </c>
      <c r="C147" s="137" t="s">
        <v>5887</v>
      </c>
      <c r="D147" s="137" t="s">
        <v>5888</v>
      </c>
      <c r="E147" s="161">
        <v>2020</v>
      </c>
      <c r="F147" s="161">
        <v>2020</v>
      </c>
      <c r="G147" s="161" t="s">
        <v>16</v>
      </c>
      <c r="H147" s="137">
        <v>200</v>
      </c>
      <c r="I147" s="137">
        <v>200</v>
      </c>
      <c r="J147" s="161"/>
      <c r="K147" s="218"/>
      <c r="L147" s="105">
        <v>20201118</v>
      </c>
    </row>
    <row r="148" ht="16" customHeight="1" spans="1:12">
      <c r="A148" s="161">
        <v>146</v>
      </c>
      <c r="B148" s="161" t="s">
        <v>5602</v>
      </c>
      <c r="C148" s="137" t="s">
        <v>5889</v>
      </c>
      <c r="D148" s="137" t="s">
        <v>5890</v>
      </c>
      <c r="E148" s="161">
        <v>2020</v>
      </c>
      <c r="F148" s="161">
        <v>2020</v>
      </c>
      <c r="G148" s="161" t="s">
        <v>16</v>
      </c>
      <c r="H148" s="137">
        <v>200</v>
      </c>
      <c r="I148" s="137">
        <v>200</v>
      </c>
      <c r="J148" s="161"/>
      <c r="K148" s="218"/>
      <c r="L148" s="105">
        <v>20201118</v>
      </c>
    </row>
    <row r="149" ht="16" customHeight="1" spans="1:12">
      <c r="A149" s="161">
        <v>147</v>
      </c>
      <c r="B149" s="161" t="s">
        <v>5602</v>
      </c>
      <c r="C149" s="137" t="s">
        <v>5891</v>
      </c>
      <c r="D149" s="137" t="s">
        <v>5892</v>
      </c>
      <c r="E149" s="161">
        <v>2020</v>
      </c>
      <c r="F149" s="161">
        <v>2020</v>
      </c>
      <c r="G149" s="161" t="s">
        <v>16</v>
      </c>
      <c r="H149" s="137">
        <v>200</v>
      </c>
      <c r="I149" s="137">
        <v>200</v>
      </c>
      <c r="J149" s="161"/>
      <c r="K149" s="218"/>
      <c r="L149" s="105">
        <v>20201118</v>
      </c>
    </row>
    <row r="150" ht="16" customHeight="1" spans="1:12">
      <c r="A150" s="161">
        <v>148</v>
      </c>
      <c r="B150" s="161" t="s">
        <v>5602</v>
      </c>
      <c r="C150" s="137" t="s">
        <v>5893</v>
      </c>
      <c r="D150" s="137" t="s">
        <v>5894</v>
      </c>
      <c r="E150" s="161">
        <v>2020</v>
      </c>
      <c r="F150" s="161">
        <v>2020</v>
      </c>
      <c r="G150" s="161" t="s">
        <v>16</v>
      </c>
      <c r="H150" s="137">
        <v>200</v>
      </c>
      <c r="I150" s="137">
        <v>200</v>
      </c>
      <c r="J150" s="161"/>
      <c r="K150" s="218"/>
      <c r="L150" s="105">
        <v>20201118</v>
      </c>
    </row>
    <row r="151" ht="16" customHeight="1" spans="1:12">
      <c r="A151" s="161">
        <v>149</v>
      </c>
      <c r="B151" s="161" t="s">
        <v>5602</v>
      </c>
      <c r="C151" s="137" t="s">
        <v>5895</v>
      </c>
      <c r="D151" s="137" t="s">
        <v>5896</v>
      </c>
      <c r="E151" s="161">
        <v>2020</v>
      </c>
      <c r="F151" s="161">
        <v>2020</v>
      </c>
      <c r="G151" s="161" t="s">
        <v>16</v>
      </c>
      <c r="H151" s="137">
        <v>200</v>
      </c>
      <c r="I151" s="137">
        <v>200</v>
      </c>
      <c r="J151" s="161"/>
      <c r="K151" s="218"/>
      <c r="L151" s="105">
        <v>20201118</v>
      </c>
    </row>
    <row r="152" ht="16" customHeight="1" spans="1:12">
      <c r="A152" s="161">
        <v>150</v>
      </c>
      <c r="B152" s="161" t="s">
        <v>5602</v>
      </c>
      <c r="C152" s="137" t="s">
        <v>5897</v>
      </c>
      <c r="D152" s="137" t="s">
        <v>5898</v>
      </c>
      <c r="E152" s="161">
        <v>2020</v>
      </c>
      <c r="F152" s="161">
        <v>2020</v>
      </c>
      <c r="G152" s="161" t="s">
        <v>16</v>
      </c>
      <c r="H152" s="137">
        <v>200</v>
      </c>
      <c r="I152" s="137">
        <v>200</v>
      </c>
      <c r="J152" s="161" t="s">
        <v>5625</v>
      </c>
      <c r="K152" s="218"/>
      <c r="L152" s="105">
        <v>20201118</v>
      </c>
    </row>
    <row r="153" ht="16" customHeight="1" spans="1:12">
      <c r="A153" s="161">
        <v>151</v>
      </c>
      <c r="B153" s="161" t="s">
        <v>5602</v>
      </c>
      <c r="C153" s="137" t="s">
        <v>5899</v>
      </c>
      <c r="D153" s="137" t="s">
        <v>5900</v>
      </c>
      <c r="E153" s="161">
        <v>2020</v>
      </c>
      <c r="F153" s="161">
        <v>2020</v>
      </c>
      <c r="G153" s="161" t="s">
        <v>16</v>
      </c>
      <c r="H153" s="137">
        <v>200</v>
      </c>
      <c r="I153" s="137">
        <v>200</v>
      </c>
      <c r="J153" s="161"/>
      <c r="K153" s="218"/>
      <c r="L153" s="105">
        <v>20201118</v>
      </c>
    </row>
    <row r="154" ht="16" customHeight="1" spans="1:12">
      <c r="A154" s="161">
        <v>152</v>
      </c>
      <c r="B154" s="161" t="s">
        <v>5602</v>
      </c>
      <c r="C154" s="137" t="s">
        <v>5901</v>
      </c>
      <c r="D154" s="137" t="s">
        <v>5902</v>
      </c>
      <c r="E154" s="161">
        <v>2020</v>
      </c>
      <c r="F154" s="161">
        <v>2020</v>
      </c>
      <c r="G154" s="161" t="s">
        <v>16</v>
      </c>
      <c r="H154" s="137">
        <v>200</v>
      </c>
      <c r="I154" s="137">
        <v>200</v>
      </c>
      <c r="J154" s="161"/>
      <c r="K154" s="218"/>
      <c r="L154" s="105">
        <v>20201118</v>
      </c>
    </row>
    <row r="155" ht="16" customHeight="1" spans="1:12">
      <c r="A155" s="161">
        <v>153</v>
      </c>
      <c r="B155" s="161" t="s">
        <v>5602</v>
      </c>
      <c r="C155" s="137" t="s">
        <v>5903</v>
      </c>
      <c r="D155" s="137" t="s">
        <v>5904</v>
      </c>
      <c r="E155" s="161">
        <v>2020</v>
      </c>
      <c r="F155" s="161">
        <v>2020</v>
      </c>
      <c r="G155" s="161" t="s">
        <v>16</v>
      </c>
      <c r="H155" s="137">
        <v>200</v>
      </c>
      <c r="I155" s="137">
        <v>200</v>
      </c>
      <c r="J155" s="161"/>
      <c r="K155" s="218"/>
      <c r="L155" s="105">
        <v>20201118</v>
      </c>
    </row>
    <row r="156" ht="16" customHeight="1" spans="1:12">
      <c r="A156" s="161">
        <v>154</v>
      </c>
      <c r="B156" s="161" t="s">
        <v>5602</v>
      </c>
      <c r="C156" s="137" t="s">
        <v>5905</v>
      </c>
      <c r="D156" s="137" t="s">
        <v>5906</v>
      </c>
      <c r="E156" s="161">
        <v>2020</v>
      </c>
      <c r="F156" s="161">
        <v>2020</v>
      </c>
      <c r="G156" s="161" t="s">
        <v>16</v>
      </c>
      <c r="H156" s="137">
        <v>200</v>
      </c>
      <c r="I156" s="137">
        <v>200</v>
      </c>
      <c r="J156" s="161"/>
      <c r="K156" s="218"/>
      <c r="L156" s="105">
        <v>20201118</v>
      </c>
    </row>
    <row r="157" ht="16" customHeight="1" spans="1:12">
      <c r="A157" s="161">
        <v>155</v>
      </c>
      <c r="B157" s="161" t="s">
        <v>5602</v>
      </c>
      <c r="C157" s="137" t="s">
        <v>5907</v>
      </c>
      <c r="D157" s="137" t="s">
        <v>5908</v>
      </c>
      <c r="E157" s="161">
        <v>2020</v>
      </c>
      <c r="F157" s="161">
        <v>2020</v>
      </c>
      <c r="G157" s="161" t="s">
        <v>16</v>
      </c>
      <c r="H157" s="137">
        <v>200</v>
      </c>
      <c r="I157" s="137">
        <v>200</v>
      </c>
      <c r="J157" s="161"/>
      <c r="K157" s="218"/>
      <c r="L157" s="105">
        <v>20201118</v>
      </c>
    </row>
    <row r="158" ht="16" customHeight="1" spans="1:12">
      <c r="A158" s="161">
        <v>156</v>
      </c>
      <c r="B158" s="161" t="s">
        <v>5602</v>
      </c>
      <c r="C158" s="137" t="s">
        <v>5909</v>
      </c>
      <c r="D158" s="137" t="s">
        <v>5910</v>
      </c>
      <c r="E158" s="161">
        <v>2020</v>
      </c>
      <c r="F158" s="161">
        <v>2020</v>
      </c>
      <c r="G158" s="161" t="s">
        <v>16</v>
      </c>
      <c r="H158" s="137">
        <v>200</v>
      </c>
      <c r="I158" s="137">
        <v>200</v>
      </c>
      <c r="J158" s="161"/>
      <c r="K158" s="218"/>
      <c r="L158" s="105">
        <v>20201118</v>
      </c>
    </row>
    <row r="159" ht="16" customHeight="1" spans="1:12">
      <c r="A159" s="161">
        <v>157</v>
      </c>
      <c r="B159" s="161" t="s">
        <v>5602</v>
      </c>
      <c r="C159" s="137" t="s">
        <v>4182</v>
      </c>
      <c r="D159" s="137" t="s">
        <v>5911</v>
      </c>
      <c r="E159" s="161">
        <v>2020</v>
      </c>
      <c r="F159" s="161">
        <v>2020</v>
      </c>
      <c r="G159" s="161" t="s">
        <v>16</v>
      </c>
      <c r="H159" s="137">
        <v>200</v>
      </c>
      <c r="I159" s="137">
        <v>200</v>
      </c>
      <c r="J159" s="161"/>
      <c r="K159" s="218"/>
      <c r="L159" s="105">
        <v>20201118</v>
      </c>
    </row>
    <row r="160" ht="16" customHeight="1" spans="1:12">
      <c r="A160" s="161">
        <v>158</v>
      </c>
      <c r="B160" s="161" t="s">
        <v>5602</v>
      </c>
      <c r="C160" s="137" t="s">
        <v>5912</v>
      </c>
      <c r="D160" s="137" t="s">
        <v>5913</v>
      </c>
      <c r="E160" s="161">
        <v>2020</v>
      </c>
      <c r="F160" s="161">
        <v>2020</v>
      </c>
      <c r="G160" s="161" t="s">
        <v>16</v>
      </c>
      <c r="H160" s="137">
        <v>200</v>
      </c>
      <c r="I160" s="137">
        <v>200</v>
      </c>
      <c r="J160" s="161"/>
      <c r="K160" s="218"/>
      <c r="L160" s="105">
        <v>20201118</v>
      </c>
    </row>
    <row r="161" ht="16" customHeight="1" spans="1:12">
      <c r="A161" s="161">
        <v>159</v>
      </c>
      <c r="B161" s="161" t="s">
        <v>5602</v>
      </c>
      <c r="C161" s="137" t="s">
        <v>5914</v>
      </c>
      <c r="D161" s="137" t="s">
        <v>5915</v>
      </c>
      <c r="E161" s="161">
        <v>2020</v>
      </c>
      <c r="F161" s="161">
        <v>2020</v>
      </c>
      <c r="G161" s="161" t="s">
        <v>16</v>
      </c>
      <c r="H161" s="137">
        <v>200</v>
      </c>
      <c r="I161" s="137">
        <v>200</v>
      </c>
      <c r="J161" s="161" t="s">
        <v>5625</v>
      </c>
      <c r="K161" s="218"/>
      <c r="L161" s="105">
        <v>20201118</v>
      </c>
    </row>
    <row r="162" ht="16" customHeight="1" spans="1:12">
      <c r="A162" s="161">
        <v>160</v>
      </c>
      <c r="B162" s="161" t="s">
        <v>5602</v>
      </c>
      <c r="C162" s="137" t="s">
        <v>5916</v>
      </c>
      <c r="D162" s="137" t="s">
        <v>5917</v>
      </c>
      <c r="E162" s="161">
        <v>2020</v>
      </c>
      <c r="F162" s="161">
        <v>2020</v>
      </c>
      <c r="G162" s="161" t="s">
        <v>16</v>
      </c>
      <c r="H162" s="137">
        <v>200</v>
      </c>
      <c r="I162" s="137">
        <v>200</v>
      </c>
      <c r="J162" s="161"/>
      <c r="K162" s="218"/>
      <c r="L162" s="105">
        <v>20201118</v>
      </c>
    </row>
    <row r="163" ht="16" customHeight="1" spans="1:12">
      <c r="A163" s="161">
        <v>161</v>
      </c>
      <c r="B163" s="161" t="s">
        <v>5602</v>
      </c>
      <c r="C163" s="137" t="s">
        <v>5918</v>
      </c>
      <c r="D163" s="137" t="s">
        <v>5919</v>
      </c>
      <c r="E163" s="161">
        <v>2020</v>
      </c>
      <c r="F163" s="161">
        <v>2020</v>
      </c>
      <c r="G163" s="161" t="s">
        <v>16</v>
      </c>
      <c r="H163" s="137">
        <v>200</v>
      </c>
      <c r="I163" s="137">
        <v>200</v>
      </c>
      <c r="J163" s="161"/>
      <c r="K163" s="218"/>
      <c r="L163" s="105">
        <v>20201118</v>
      </c>
    </row>
    <row r="164" ht="16" customHeight="1" spans="1:12">
      <c r="A164" s="161">
        <v>162</v>
      </c>
      <c r="B164" s="161" t="s">
        <v>5602</v>
      </c>
      <c r="C164" s="137" t="s">
        <v>5920</v>
      </c>
      <c r="D164" s="137" t="s">
        <v>5921</v>
      </c>
      <c r="E164" s="161">
        <v>2020</v>
      </c>
      <c r="F164" s="161">
        <v>2020</v>
      </c>
      <c r="G164" s="161" t="s">
        <v>16</v>
      </c>
      <c r="H164" s="137">
        <v>200</v>
      </c>
      <c r="I164" s="137">
        <v>200</v>
      </c>
      <c r="J164" s="161"/>
      <c r="K164" s="218"/>
      <c r="L164" s="105">
        <v>20201118</v>
      </c>
    </row>
    <row r="165" ht="16" customHeight="1" spans="1:12">
      <c r="A165" s="161">
        <v>163</v>
      </c>
      <c r="B165" s="161" t="s">
        <v>5602</v>
      </c>
      <c r="C165" s="137" t="s">
        <v>5922</v>
      </c>
      <c r="D165" s="137" t="s">
        <v>5923</v>
      </c>
      <c r="E165" s="161">
        <v>2020</v>
      </c>
      <c r="F165" s="161">
        <v>2020</v>
      </c>
      <c r="G165" s="161" t="s">
        <v>16</v>
      </c>
      <c r="H165" s="137">
        <v>200</v>
      </c>
      <c r="I165" s="137">
        <v>200</v>
      </c>
      <c r="J165" s="161"/>
      <c r="K165" s="218"/>
      <c r="L165" s="105">
        <v>20201118</v>
      </c>
    </row>
    <row r="166" ht="16" customHeight="1" spans="1:12">
      <c r="A166" s="161">
        <v>164</v>
      </c>
      <c r="B166" s="161" t="s">
        <v>5602</v>
      </c>
      <c r="C166" s="137" t="s">
        <v>5924</v>
      </c>
      <c r="D166" s="137" t="s">
        <v>5925</v>
      </c>
      <c r="E166" s="161">
        <v>2020</v>
      </c>
      <c r="F166" s="161">
        <v>2020</v>
      </c>
      <c r="G166" s="161" t="s">
        <v>16</v>
      </c>
      <c r="H166" s="137">
        <v>200</v>
      </c>
      <c r="I166" s="137">
        <v>200</v>
      </c>
      <c r="J166" s="161"/>
      <c r="K166" s="218"/>
      <c r="L166" s="105">
        <v>20201118</v>
      </c>
    </row>
    <row r="167" ht="16" customHeight="1" spans="1:12">
      <c r="A167" s="161">
        <v>165</v>
      </c>
      <c r="B167" s="161" t="s">
        <v>5602</v>
      </c>
      <c r="C167" s="137" t="s">
        <v>5926</v>
      </c>
      <c r="D167" s="137" t="s">
        <v>5927</v>
      </c>
      <c r="E167" s="161">
        <v>2020</v>
      </c>
      <c r="F167" s="161">
        <v>2020</v>
      </c>
      <c r="G167" s="161" t="s">
        <v>16</v>
      </c>
      <c r="H167" s="137">
        <v>200</v>
      </c>
      <c r="I167" s="137">
        <v>200</v>
      </c>
      <c r="J167" s="161"/>
      <c r="K167" s="218"/>
      <c r="L167" s="105">
        <v>20201118</v>
      </c>
    </row>
    <row r="168" ht="16" customHeight="1" spans="1:12">
      <c r="A168" s="161">
        <v>166</v>
      </c>
      <c r="B168" s="161" t="s">
        <v>5602</v>
      </c>
      <c r="C168" s="137" t="s">
        <v>5928</v>
      </c>
      <c r="D168" s="137" t="s">
        <v>5929</v>
      </c>
      <c r="E168" s="161">
        <v>2020</v>
      </c>
      <c r="F168" s="161">
        <v>2020</v>
      </c>
      <c r="G168" s="161" t="s">
        <v>16</v>
      </c>
      <c r="H168" s="137">
        <v>200</v>
      </c>
      <c r="I168" s="137">
        <v>200</v>
      </c>
      <c r="J168" s="161"/>
      <c r="K168" s="218"/>
      <c r="L168" s="105">
        <v>20201118</v>
      </c>
    </row>
    <row r="169" ht="16" customHeight="1" spans="1:12">
      <c r="A169" s="161">
        <v>167</v>
      </c>
      <c r="B169" s="161" t="s">
        <v>5602</v>
      </c>
      <c r="C169" s="137" t="s">
        <v>5930</v>
      </c>
      <c r="D169" s="137" t="s">
        <v>5931</v>
      </c>
      <c r="E169" s="161">
        <v>2020</v>
      </c>
      <c r="F169" s="161">
        <v>2020</v>
      </c>
      <c r="G169" s="161" t="s">
        <v>16</v>
      </c>
      <c r="H169" s="137">
        <v>200</v>
      </c>
      <c r="I169" s="137">
        <v>200</v>
      </c>
      <c r="J169" s="161"/>
      <c r="K169" s="218"/>
      <c r="L169" s="105">
        <v>20201118</v>
      </c>
    </row>
    <row r="170" ht="16" customHeight="1" spans="1:12">
      <c r="A170" s="161">
        <v>168</v>
      </c>
      <c r="B170" s="161" t="s">
        <v>5602</v>
      </c>
      <c r="C170" s="137" t="s">
        <v>5932</v>
      </c>
      <c r="D170" s="137" t="s">
        <v>5933</v>
      </c>
      <c r="E170" s="161">
        <v>2020</v>
      </c>
      <c r="F170" s="161">
        <v>2020</v>
      </c>
      <c r="G170" s="161" t="s">
        <v>16</v>
      </c>
      <c r="H170" s="137">
        <v>200</v>
      </c>
      <c r="I170" s="137">
        <v>200</v>
      </c>
      <c r="J170" s="161"/>
      <c r="K170" s="218"/>
      <c r="L170" s="105">
        <v>20201118</v>
      </c>
    </row>
    <row r="171" ht="16" customHeight="1" spans="1:12">
      <c r="A171" s="161">
        <v>169</v>
      </c>
      <c r="B171" s="161" t="s">
        <v>5602</v>
      </c>
      <c r="C171" s="137" t="s">
        <v>5934</v>
      </c>
      <c r="D171" s="137" t="s">
        <v>5935</v>
      </c>
      <c r="E171" s="161">
        <v>2020</v>
      </c>
      <c r="F171" s="161">
        <v>2020</v>
      </c>
      <c r="G171" s="161" t="s">
        <v>16</v>
      </c>
      <c r="H171" s="137">
        <v>200</v>
      </c>
      <c r="I171" s="137">
        <v>200</v>
      </c>
      <c r="J171" s="161"/>
      <c r="K171" s="218"/>
      <c r="L171" s="105">
        <v>20201118</v>
      </c>
    </row>
    <row r="172" ht="16" customHeight="1" spans="1:12">
      <c r="A172" s="161">
        <v>170</v>
      </c>
      <c r="B172" s="161" t="s">
        <v>5602</v>
      </c>
      <c r="C172" s="137" t="s">
        <v>5936</v>
      </c>
      <c r="D172" s="137" t="s">
        <v>5937</v>
      </c>
      <c r="E172" s="161">
        <v>2020</v>
      </c>
      <c r="F172" s="161">
        <v>2020</v>
      </c>
      <c r="G172" s="161" t="s">
        <v>16</v>
      </c>
      <c r="H172" s="137">
        <v>200</v>
      </c>
      <c r="I172" s="137">
        <v>200</v>
      </c>
      <c r="J172" s="161"/>
      <c r="K172" s="218"/>
      <c r="L172" s="105">
        <v>20201118</v>
      </c>
    </row>
    <row r="173" ht="16" customHeight="1" spans="1:12">
      <c r="A173" s="161">
        <v>171</v>
      </c>
      <c r="B173" s="161" t="s">
        <v>5602</v>
      </c>
      <c r="C173" s="137" t="s">
        <v>5293</v>
      </c>
      <c r="D173" s="137" t="s">
        <v>5938</v>
      </c>
      <c r="E173" s="161">
        <v>2020</v>
      </c>
      <c r="F173" s="161">
        <v>2020</v>
      </c>
      <c r="G173" s="161" t="s">
        <v>16</v>
      </c>
      <c r="H173" s="137">
        <v>200</v>
      </c>
      <c r="I173" s="137">
        <v>200</v>
      </c>
      <c r="J173" s="161"/>
      <c r="K173" s="218"/>
      <c r="L173" s="105">
        <v>20201118</v>
      </c>
    </row>
    <row r="174" ht="16" customHeight="1" spans="1:12">
      <c r="A174" s="161">
        <v>172</v>
      </c>
      <c r="B174" s="161" t="s">
        <v>5602</v>
      </c>
      <c r="C174" s="137" t="s">
        <v>5939</v>
      </c>
      <c r="D174" s="137" t="s">
        <v>5940</v>
      </c>
      <c r="E174" s="161">
        <v>2020</v>
      </c>
      <c r="F174" s="161">
        <v>2020</v>
      </c>
      <c r="G174" s="161" t="s">
        <v>16</v>
      </c>
      <c r="H174" s="137">
        <v>200</v>
      </c>
      <c r="I174" s="137">
        <v>200</v>
      </c>
      <c r="J174" s="161"/>
      <c r="K174" s="218"/>
      <c r="L174" s="105">
        <v>20201118</v>
      </c>
    </row>
    <row r="175" ht="16" customHeight="1" spans="1:12">
      <c r="A175" s="161">
        <v>173</v>
      </c>
      <c r="B175" s="161" t="s">
        <v>5602</v>
      </c>
      <c r="C175" s="137" t="s">
        <v>5941</v>
      </c>
      <c r="D175" s="137" t="s">
        <v>5942</v>
      </c>
      <c r="E175" s="161">
        <v>2020</v>
      </c>
      <c r="F175" s="161">
        <v>2020</v>
      </c>
      <c r="G175" s="161" t="s">
        <v>16</v>
      </c>
      <c r="H175" s="137">
        <v>200</v>
      </c>
      <c r="I175" s="137">
        <v>200</v>
      </c>
      <c r="J175" s="161"/>
      <c r="K175" s="218"/>
      <c r="L175" s="105">
        <v>20201118</v>
      </c>
    </row>
    <row r="176" ht="16" customHeight="1" spans="1:12">
      <c r="A176" s="161">
        <v>174</v>
      </c>
      <c r="B176" s="161" t="s">
        <v>5602</v>
      </c>
      <c r="C176" s="137" t="s">
        <v>2587</v>
      </c>
      <c r="D176" s="137" t="s">
        <v>5943</v>
      </c>
      <c r="E176" s="161">
        <v>2020</v>
      </c>
      <c r="F176" s="161">
        <v>2020</v>
      </c>
      <c r="G176" s="161" t="s">
        <v>16</v>
      </c>
      <c r="H176" s="137">
        <v>200</v>
      </c>
      <c r="I176" s="137">
        <v>200</v>
      </c>
      <c r="J176" s="161"/>
      <c r="K176" s="218"/>
      <c r="L176" s="105">
        <v>20201118</v>
      </c>
    </row>
    <row r="177" ht="16" customHeight="1" spans="1:12">
      <c r="A177" s="161">
        <v>175</v>
      </c>
      <c r="B177" s="161" t="s">
        <v>5602</v>
      </c>
      <c r="C177" s="137" t="s">
        <v>5944</v>
      </c>
      <c r="D177" s="137" t="s">
        <v>5945</v>
      </c>
      <c r="E177" s="161">
        <v>2020</v>
      </c>
      <c r="F177" s="161">
        <v>2020</v>
      </c>
      <c r="G177" s="161" t="s">
        <v>16</v>
      </c>
      <c r="H177" s="137">
        <v>200</v>
      </c>
      <c r="I177" s="137">
        <v>200</v>
      </c>
      <c r="J177" s="161"/>
      <c r="K177" s="218"/>
      <c r="L177" s="105">
        <v>20201118</v>
      </c>
    </row>
    <row r="178" ht="16" customHeight="1" spans="1:12">
      <c r="A178" s="161">
        <v>176</v>
      </c>
      <c r="B178" s="161" t="s">
        <v>5602</v>
      </c>
      <c r="C178" s="137" t="s">
        <v>5946</v>
      </c>
      <c r="D178" s="137" t="s">
        <v>5947</v>
      </c>
      <c r="E178" s="161">
        <v>2020</v>
      </c>
      <c r="F178" s="161">
        <v>2020</v>
      </c>
      <c r="G178" s="161" t="s">
        <v>16</v>
      </c>
      <c r="H178" s="137">
        <v>200</v>
      </c>
      <c r="I178" s="137">
        <v>200</v>
      </c>
      <c r="J178" s="161"/>
      <c r="K178" s="218"/>
      <c r="L178" s="105">
        <v>20201118</v>
      </c>
    </row>
    <row r="179" ht="16" customHeight="1" spans="1:12">
      <c r="A179" s="161">
        <v>177</v>
      </c>
      <c r="B179" s="161" t="s">
        <v>5602</v>
      </c>
      <c r="C179" s="137" t="s">
        <v>5948</v>
      </c>
      <c r="D179" s="137" t="s">
        <v>5949</v>
      </c>
      <c r="E179" s="161">
        <v>2020</v>
      </c>
      <c r="F179" s="161">
        <v>2020</v>
      </c>
      <c r="G179" s="161" t="s">
        <v>16</v>
      </c>
      <c r="H179" s="137">
        <v>200</v>
      </c>
      <c r="I179" s="137">
        <v>200</v>
      </c>
      <c r="J179" s="161"/>
      <c r="K179" s="218"/>
      <c r="L179" s="105">
        <v>20201118</v>
      </c>
    </row>
    <row r="180" ht="16" customHeight="1" spans="1:12">
      <c r="A180" s="161">
        <v>178</v>
      </c>
      <c r="B180" s="161" t="s">
        <v>5602</v>
      </c>
      <c r="C180" s="137" t="s">
        <v>5950</v>
      </c>
      <c r="D180" s="137" t="s">
        <v>5951</v>
      </c>
      <c r="E180" s="161">
        <v>2020</v>
      </c>
      <c r="F180" s="161">
        <v>2020</v>
      </c>
      <c r="G180" s="161" t="s">
        <v>16</v>
      </c>
      <c r="H180" s="137">
        <v>3000</v>
      </c>
      <c r="I180" s="137">
        <v>3000</v>
      </c>
      <c r="J180" s="161"/>
      <c r="K180" s="218"/>
      <c r="L180" s="105">
        <v>20201118</v>
      </c>
    </row>
    <row r="181" ht="16" customHeight="1" spans="1:12">
      <c r="A181" s="161">
        <v>179</v>
      </c>
      <c r="B181" s="161" t="s">
        <v>5602</v>
      </c>
      <c r="C181" s="137" t="s">
        <v>5952</v>
      </c>
      <c r="D181" s="137" t="s">
        <v>5953</v>
      </c>
      <c r="E181" s="161">
        <v>2020</v>
      </c>
      <c r="F181" s="161">
        <v>2020</v>
      </c>
      <c r="G181" s="161" t="s">
        <v>16</v>
      </c>
      <c r="H181" s="137">
        <v>200</v>
      </c>
      <c r="I181" s="137">
        <v>200</v>
      </c>
      <c r="J181" s="161"/>
      <c r="K181" s="218"/>
      <c r="L181" s="105">
        <v>20201118</v>
      </c>
    </row>
    <row r="182" ht="16" customHeight="1" spans="1:12">
      <c r="A182" s="161">
        <v>180</v>
      </c>
      <c r="B182" s="161" t="s">
        <v>5602</v>
      </c>
      <c r="C182" s="137" t="s">
        <v>5954</v>
      </c>
      <c r="D182" s="137" t="s">
        <v>5955</v>
      </c>
      <c r="E182" s="161">
        <v>2020</v>
      </c>
      <c r="F182" s="161">
        <v>2020</v>
      </c>
      <c r="G182" s="161" t="s">
        <v>16</v>
      </c>
      <c r="H182" s="137">
        <v>200</v>
      </c>
      <c r="I182" s="137">
        <v>200</v>
      </c>
      <c r="J182" s="161"/>
      <c r="K182" s="218"/>
      <c r="L182" s="105">
        <v>20201118</v>
      </c>
    </row>
    <row r="183" ht="16" customHeight="1" spans="1:12">
      <c r="A183" s="161">
        <v>181</v>
      </c>
      <c r="B183" s="161" t="s">
        <v>5602</v>
      </c>
      <c r="C183" s="137" t="s">
        <v>5956</v>
      </c>
      <c r="D183" s="137" t="s">
        <v>5957</v>
      </c>
      <c r="E183" s="161">
        <v>2020</v>
      </c>
      <c r="F183" s="161">
        <v>2020</v>
      </c>
      <c r="G183" s="161" t="s">
        <v>16</v>
      </c>
      <c r="H183" s="137">
        <v>200</v>
      </c>
      <c r="I183" s="137">
        <v>200</v>
      </c>
      <c r="J183" s="161"/>
      <c r="K183" s="218"/>
      <c r="L183" s="105">
        <v>20201118</v>
      </c>
    </row>
    <row r="184" ht="16" customHeight="1" spans="1:12">
      <c r="A184" s="161">
        <v>182</v>
      </c>
      <c r="B184" s="161" t="s">
        <v>5602</v>
      </c>
      <c r="C184" s="137" t="s">
        <v>5958</v>
      </c>
      <c r="D184" s="137" t="s">
        <v>5959</v>
      </c>
      <c r="E184" s="161">
        <v>2020</v>
      </c>
      <c r="F184" s="161">
        <v>2020</v>
      </c>
      <c r="G184" s="161" t="s">
        <v>16</v>
      </c>
      <c r="H184" s="137">
        <v>200</v>
      </c>
      <c r="I184" s="137">
        <v>200</v>
      </c>
      <c r="J184" s="161"/>
      <c r="K184" s="218"/>
      <c r="L184" s="105">
        <v>20201118</v>
      </c>
    </row>
    <row r="185" ht="16" customHeight="1" spans="1:12">
      <c r="A185" s="161">
        <v>183</v>
      </c>
      <c r="B185" s="161" t="s">
        <v>5602</v>
      </c>
      <c r="C185" s="137" t="s">
        <v>5960</v>
      </c>
      <c r="D185" s="137" t="s">
        <v>5961</v>
      </c>
      <c r="E185" s="161">
        <v>2020</v>
      </c>
      <c r="F185" s="161">
        <v>2020</v>
      </c>
      <c r="G185" s="161" t="s">
        <v>16</v>
      </c>
      <c r="H185" s="137">
        <v>200</v>
      </c>
      <c r="I185" s="137">
        <v>200</v>
      </c>
      <c r="J185" s="161"/>
      <c r="K185" s="218"/>
      <c r="L185" s="105">
        <v>20201118</v>
      </c>
    </row>
    <row r="186" ht="16" customHeight="1" spans="1:12">
      <c r="A186" s="161">
        <v>184</v>
      </c>
      <c r="B186" s="161" t="s">
        <v>5602</v>
      </c>
      <c r="C186" s="137" t="s">
        <v>5962</v>
      </c>
      <c r="D186" s="137" t="s">
        <v>5963</v>
      </c>
      <c r="E186" s="161">
        <v>2020</v>
      </c>
      <c r="F186" s="161">
        <v>2020</v>
      </c>
      <c r="G186" s="161" t="s">
        <v>16</v>
      </c>
      <c r="H186" s="137">
        <v>200</v>
      </c>
      <c r="I186" s="137">
        <v>200</v>
      </c>
      <c r="J186" s="161"/>
      <c r="K186" s="218"/>
      <c r="L186" s="105">
        <v>20201118</v>
      </c>
    </row>
    <row r="187" ht="16" customHeight="1" spans="1:12">
      <c r="A187" s="161">
        <v>185</v>
      </c>
      <c r="B187" s="161" t="s">
        <v>5602</v>
      </c>
      <c r="C187" s="137" t="s">
        <v>5964</v>
      </c>
      <c r="D187" s="137" t="s">
        <v>5965</v>
      </c>
      <c r="E187" s="161">
        <v>2020</v>
      </c>
      <c r="F187" s="161">
        <v>2020</v>
      </c>
      <c r="G187" s="161" t="s">
        <v>16</v>
      </c>
      <c r="H187" s="137">
        <v>200</v>
      </c>
      <c r="I187" s="137">
        <v>200</v>
      </c>
      <c r="J187" s="161"/>
      <c r="K187" s="218"/>
      <c r="L187" s="105">
        <v>20201118</v>
      </c>
    </row>
    <row r="188" ht="16" customHeight="1" spans="1:12">
      <c r="A188" s="161">
        <v>186</v>
      </c>
      <c r="B188" s="161" t="s">
        <v>5602</v>
      </c>
      <c r="C188" s="137" t="s">
        <v>5966</v>
      </c>
      <c r="D188" s="137" t="s">
        <v>5967</v>
      </c>
      <c r="E188" s="161">
        <v>2020</v>
      </c>
      <c r="F188" s="161">
        <v>2020</v>
      </c>
      <c r="G188" s="161" t="s">
        <v>16</v>
      </c>
      <c r="H188" s="137">
        <v>200</v>
      </c>
      <c r="I188" s="137">
        <v>200</v>
      </c>
      <c r="J188" s="161"/>
      <c r="K188" s="218"/>
      <c r="L188" s="105">
        <v>20201118</v>
      </c>
    </row>
    <row r="189" ht="16" customHeight="1" spans="1:12">
      <c r="A189" s="161">
        <v>187</v>
      </c>
      <c r="B189" s="161" t="s">
        <v>5602</v>
      </c>
      <c r="C189" s="137" t="s">
        <v>5968</v>
      </c>
      <c r="D189" s="137" t="s">
        <v>5969</v>
      </c>
      <c r="E189" s="161">
        <v>2020</v>
      </c>
      <c r="F189" s="161">
        <v>2020</v>
      </c>
      <c r="G189" s="161" t="s">
        <v>16</v>
      </c>
      <c r="H189" s="137">
        <v>200</v>
      </c>
      <c r="I189" s="137">
        <v>200</v>
      </c>
      <c r="J189" s="161" t="s">
        <v>5625</v>
      </c>
      <c r="K189" s="218"/>
      <c r="L189" s="105">
        <v>20201118</v>
      </c>
    </row>
    <row r="190" ht="16" customHeight="1" spans="1:12">
      <c r="A190" s="161">
        <v>188</v>
      </c>
      <c r="B190" s="161" t="s">
        <v>5602</v>
      </c>
      <c r="C190" s="137" t="s">
        <v>5970</v>
      </c>
      <c r="D190" s="137" t="s">
        <v>5971</v>
      </c>
      <c r="E190" s="161">
        <v>2020</v>
      </c>
      <c r="F190" s="161">
        <v>2020</v>
      </c>
      <c r="G190" s="161" t="s">
        <v>16</v>
      </c>
      <c r="H190" s="137">
        <v>200</v>
      </c>
      <c r="I190" s="137">
        <v>200</v>
      </c>
      <c r="J190" s="161"/>
      <c r="K190" s="218"/>
      <c r="L190" s="105">
        <v>20201118</v>
      </c>
    </row>
    <row r="191" ht="16" customHeight="1" spans="1:12">
      <c r="A191" s="161">
        <v>189</v>
      </c>
      <c r="B191" s="161" t="s">
        <v>5602</v>
      </c>
      <c r="C191" s="137" t="s">
        <v>5972</v>
      </c>
      <c r="D191" s="137" t="s">
        <v>5973</v>
      </c>
      <c r="E191" s="161">
        <v>2020</v>
      </c>
      <c r="F191" s="161">
        <v>2020</v>
      </c>
      <c r="G191" s="161" t="s">
        <v>16</v>
      </c>
      <c r="H191" s="137">
        <v>200</v>
      </c>
      <c r="I191" s="137">
        <v>200</v>
      </c>
      <c r="J191" s="161"/>
      <c r="K191" s="218"/>
      <c r="L191" s="105">
        <v>20201118</v>
      </c>
    </row>
    <row r="192" ht="16" customHeight="1" spans="1:12">
      <c r="A192" s="161">
        <v>190</v>
      </c>
      <c r="B192" s="161" t="s">
        <v>5602</v>
      </c>
      <c r="C192" s="137" t="s">
        <v>5974</v>
      </c>
      <c r="D192" s="137" t="s">
        <v>5975</v>
      </c>
      <c r="E192" s="161">
        <v>2020</v>
      </c>
      <c r="F192" s="161">
        <v>2020</v>
      </c>
      <c r="G192" s="161" t="s">
        <v>16</v>
      </c>
      <c r="H192" s="137">
        <v>200</v>
      </c>
      <c r="I192" s="137">
        <v>200</v>
      </c>
      <c r="J192" s="161"/>
      <c r="K192" s="218"/>
      <c r="L192" s="105">
        <v>20201118</v>
      </c>
    </row>
    <row r="193" ht="16" customHeight="1" spans="1:12">
      <c r="A193" s="161">
        <v>191</v>
      </c>
      <c r="B193" s="161" t="s">
        <v>5602</v>
      </c>
      <c r="C193" s="137" t="s">
        <v>5976</v>
      </c>
      <c r="D193" s="137" t="s">
        <v>5977</v>
      </c>
      <c r="E193" s="161">
        <v>2020</v>
      </c>
      <c r="F193" s="161">
        <v>2020</v>
      </c>
      <c r="G193" s="161" t="s">
        <v>16</v>
      </c>
      <c r="H193" s="137">
        <v>200</v>
      </c>
      <c r="I193" s="137">
        <v>200</v>
      </c>
      <c r="J193" s="161"/>
      <c r="K193" s="218"/>
      <c r="L193" s="105">
        <v>20201118</v>
      </c>
    </row>
    <row r="194" ht="16" customHeight="1" spans="1:12">
      <c r="A194" s="161">
        <v>192</v>
      </c>
      <c r="B194" s="161" t="s">
        <v>5602</v>
      </c>
      <c r="C194" s="137" t="s">
        <v>5978</v>
      </c>
      <c r="D194" s="137" t="s">
        <v>5979</v>
      </c>
      <c r="E194" s="161">
        <v>2020</v>
      </c>
      <c r="F194" s="161">
        <v>2020</v>
      </c>
      <c r="G194" s="161" t="s">
        <v>16</v>
      </c>
      <c r="H194" s="137">
        <v>200</v>
      </c>
      <c r="I194" s="137">
        <v>200</v>
      </c>
      <c r="J194" s="161"/>
      <c r="K194" s="218"/>
      <c r="L194" s="105">
        <v>20201118</v>
      </c>
    </row>
    <row r="195" ht="16" customHeight="1" spans="1:12">
      <c r="A195" s="161">
        <v>193</v>
      </c>
      <c r="B195" s="161" t="s">
        <v>5602</v>
      </c>
      <c r="C195" s="137" t="s">
        <v>5980</v>
      </c>
      <c r="D195" s="137" t="s">
        <v>5981</v>
      </c>
      <c r="E195" s="161">
        <v>2020</v>
      </c>
      <c r="F195" s="161">
        <v>2020</v>
      </c>
      <c r="G195" s="161" t="s">
        <v>16</v>
      </c>
      <c r="H195" s="137">
        <v>200</v>
      </c>
      <c r="I195" s="137">
        <v>200</v>
      </c>
      <c r="J195" s="161"/>
      <c r="K195" s="218"/>
      <c r="L195" s="105">
        <v>20201118</v>
      </c>
    </row>
    <row r="196" ht="16" customHeight="1" spans="1:12">
      <c r="A196" s="161">
        <v>194</v>
      </c>
      <c r="B196" s="161" t="s">
        <v>5602</v>
      </c>
      <c r="C196" s="137" t="s">
        <v>5982</v>
      </c>
      <c r="D196" s="137" t="s">
        <v>5983</v>
      </c>
      <c r="E196" s="161">
        <v>2020</v>
      </c>
      <c r="F196" s="161">
        <v>2020</v>
      </c>
      <c r="G196" s="161" t="s">
        <v>16</v>
      </c>
      <c r="H196" s="137">
        <v>200</v>
      </c>
      <c r="I196" s="137">
        <v>200</v>
      </c>
      <c r="J196" s="161"/>
      <c r="K196" s="218"/>
      <c r="L196" s="105">
        <v>20201118</v>
      </c>
    </row>
    <row r="197" ht="16" customHeight="1" spans="1:12">
      <c r="A197" s="161">
        <v>195</v>
      </c>
      <c r="B197" s="161" t="s">
        <v>5602</v>
      </c>
      <c r="C197" s="137" t="s">
        <v>5984</v>
      </c>
      <c r="D197" s="137" t="s">
        <v>5985</v>
      </c>
      <c r="E197" s="161">
        <v>2020</v>
      </c>
      <c r="F197" s="161">
        <v>2020</v>
      </c>
      <c r="G197" s="161" t="s">
        <v>16</v>
      </c>
      <c r="H197" s="137">
        <v>200</v>
      </c>
      <c r="I197" s="137">
        <v>200</v>
      </c>
      <c r="J197" s="161"/>
      <c r="K197" s="218"/>
      <c r="L197" s="105">
        <v>20201118</v>
      </c>
    </row>
    <row r="198" ht="16" customHeight="1" spans="1:12">
      <c r="A198" s="161">
        <v>196</v>
      </c>
      <c r="B198" s="161" t="s">
        <v>5602</v>
      </c>
      <c r="C198" s="137" t="s">
        <v>5986</v>
      </c>
      <c r="D198" s="137" t="s">
        <v>5987</v>
      </c>
      <c r="E198" s="161">
        <v>2020</v>
      </c>
      <c r="F198" s="161">
        <v>2020</v>
      </c>
      <c r="G198" s="161" t="s">
        <v>16</v>
      </c>
      <c r="H198" s="137">
        <v>200</v>
      </c>
      <c r="I198" s="137">
        <v>200</v>
      </c>
      <c r="J198" s="161"/>
      <c r="K198" s="218"/>
      <c r="L198" s="105">
        <v>20201118</v>
      </c>
    </row>
    <row r="199" ht="16" customHeight="1" spans="1:12">
      <c r="A199" s="161">
        <v>197</v>
      </c>
      <c r="B199" s="161" t="s">
        <v>5602</v>
      </c>
      <c r="C199" s="137" t="s">
        <v>5988</v>
      </c>
      <c r="D199" s="137" t="s">
        <v>5989</v>
      </c>
      <c r="E199" s="161">
        <v>2020</v>
      </c>
      <c r="F199" s="161">
        <v>2020</v>
      </c>
      <c r="G199" s="161" t="s">
        <v>16</v>
      </c>
      <c r="H199" s="137">
        <v>200</v>
      </c>
      <c r="I199" s="137">
        <v>200</v>
      </c>
      <c r="J199" s="161"/>
      <c r="K199" s="218"/>
      <c r="L199" s="105">
        <v>20201118</v>
      </c>
    </row>
    <row r="200" ht="16" customHeight="1" spans="1:12">
      <c r="A200" s="161">
        <v>198</v>
      </c>
      <c r="B200" s="161" t="s">
        <v>5602</v>
      </c>
      <c r="C200" s="137" t="s">
        <v>5990</v>
      </c>
      <c r="D200" s="137" t="s">
        <v>5991</v>
      </c>
      <c r="E200" s="161">
        <v>2020</v>
      </c>
      <c r="F200" s="161">
        <v>2020</v>
      </c>
      <c r="G200" s="161" t="s">
        <v>16</v>
      </c>
      <c r="H200" s="137">
        <v>200</v>
      </c>
      <c r="I200" s="137">
        <v>200</v>
      </c>
      <c r="J200" s="161"/>
      <c r="K200" s="218"/>
      <c r="L200" s="105">
        <v>20201118</v>
      </c>
    </row>
    <row r="201" ht="16" customHeight="1" spans="1:12">
      <c r="A201" s="161">
        <v>199</v>
      </c>
      <c r="B201" s="161" t="s">
        <v>5602</v>
      </c>
      <c r="C201" s="137" t="s">
        <v>5992</v>
      </c>
      <c r="D201" s="137" t="s">
        <v>5993</v>
      </c>
      <c r="E201" s="161">
        <v>2020</v>
      </c>
      <c r="F201" s="161">
        <v>2020</v>
      </c>
      <c r="G201" s="161" t="s">
        <v>16</v>
      </c>
      <c r="H201" s="137">
        <v>200</v>
      </c>
      <c r="I201" s="137">
        <v>200</v>
      </c>
      <c r="J201" s="161"/>
      <c r="K201" s="218"/>
      <c r="L201" s="105">
        <v>20201118</v>
      </c>
    </row>
    <row r="202" ht="16" customHeight="1" spans="1:12">
      <c r="A202" s="161">
        <v>200</v>
      </c>
      <c r="B202" s="161" t="s">
        <v>5602</v>
      </c>
      <c r="C202" s="137" t="s">
        <v>5994</v>
      </c>
      <c r="D202" s="137" t="s">
        <v>5995</v>
      </c>
      <c r="E202" s="161">
        <v>2020</v>
      </c>
      <c r="F202" s="161">
        <v>2020</v>
      </c>
      <c r="G202" s="161" t="s">
        <v>16</v>
      </c>
      <c r="H202" s="137">
        <v>200</v>
      </c>
      <c r="I202" s="137">
        <v>200</v>
      </c>
      <c r="J202" s="161"/>
      <c r="K202" s="218"/>
      <c r="L202" s="105">
        <v>20201118</v>
      </c>
    </row>
    <row r="203" ht="16" customHeight="1" spans="1:12">
      <c r="A203" s="161">
        <v>201</v>
      </c>
      <c r="B203" s="161" t="s">
        <v>5602</v>
      </c>
      <c r="C203" s="137" t="s">
        <v>5996</v>
      </c>
      <c r="D203" s="137" t="s">
        <v>5997</v>
      </c>
      <c r="E203" s="161">
        <v>2020</v>
      </c>
      <c r="F203" s="161">
        <v>2020</v>
      </c>
      <c r="G203" s="161" t="s">
        <v>16</v>
      </c>
      <c r="H203" s="137">
        <v>200</v>
      </c>
      <c r="I203" s="137">
        <v>200</v>
      </c>
      <c r="J203" s="161"/>
      <c r="K203" s="218"/>
      <c r="L203" s="105">
        <v>20201118</v>
      </c>
    </row>
    <row r="204" ht="16" customHeight="1" spans="1:12">
      <c r="A204" s="161">
        <v>202</v>
      </c>
      <c r="B204" s="161" t="s">
        <v>5602</v>
      </c>
      <c r="C204" s="137" t="s">
        <v>5998</v>
      </c>
      <c r="D204" s="137" t="s">
        <v>5999</v>
      </c>
      <c r="E204" s="161">
        <v>2020</v>
      </c>
      <c r="F204" s="161">
        <v>2020</v>
      </c>
      <c r="G204" s="161" t="s">
        <v>16</v>
      </c>
      <c r="H204" s="137">
        <v>200</v>
      </c>
      <c r="I204" s="137">
        <v>200</v>
      </c>
      <c r="J204" s="161"/>
      <c r="K204" s="218"/>
      <c r="L204" s="105">
        <v>20201118</v>
      </c>
    </row>
    <row r="205" ht="16" customHeight="1" spans="1:12">
      <c r="A205" s="161">
        <v>203</v>
      </c>
      <c r="B205" s="161" t="s">
        <v>5602</v>
      </c>
      <c r="C205" s="137" t="s">
        <v>6000</v>
      </c>
      <c r="D205" s="137" t="s">
        <v>6001</v>
      </c>
      <c r="E205" s="161">
        <v>2020</v>
      </c>
      <c r="F205" s="161">
        <v>2020</v>
      </c>
      <c r="G205" s="161" t="s">
        <v>16</v>
      </c>
      <c r="H205" s="137">
        <v>200</v>
      </c>
      <c r="I205" s="137">
        <v>200</v>
      </c>
      <c r="J205" s="161"/>
      <c r="K205" s="218"/>
      <c r="L205" s="105">
        <v>20201118</v>
      </c>
    </row>
    <row r="206" ht="16" customHeight="1" spans="1:12">
      <c r="A206" s="161">
        <v>204</v>
      </c>
      <c r="B206" s="161" t="s">
        <v>5602</v>
      </c>
      <c r="C206" s="137" t="s">
        <v>6002</v>
      </c>
      <c r="D206" s="137" t="s">
        <v>6003</v>
      </c>
      <c r="E206" s="161">
        <v>2020</v>
      </c>
      <c r="F206" s="161">
        <v>2020</v>
      </c>
      <c r="G206" s="161" t="s">
        <v>16</v>
      </c>
      <c r="H206" s="137">
        <v>200</v>
      </c>
      <c r="I206" s="137">
        <v>200</v>
      </c>
      <c r="J206" s="161"/>
      <c r="K206" s="218"/>
      <c r="L206" s="105">
        <v>20201118</v>
      </c>
    </row>
    <row r="207" ht="16" customHeight="1" spans="1:12">
      <c r="A207" s="161">
        <v>205</v>
      </c>
      <c r="B207" s="161" t="s">
        <v>5602</v>
      </c>
      <c r="C207" s="137" t="s">
        <v>6004</v>
      </c>
      <c r="D207" s="137" t="s">
        <v>6005</v>
      </c>
      <c r="E207" s="161">
        <v>2020</v>
      </c>
      <c r="F207" s="161">
        <v>2020</v>
      </c>
      <c r="G207" s="161" t="s">
        <v>16</v>
      </c>
      <c r="H207" s="137">
        <v>200</v>
      </c>
      <c r="I207" s="137">
        <v>200</v>
      </c>
      <c r="J207" s="161"/>
      <c r="K207" s="218"/>
      <c r="L207" s="105">
        <v>20201118</v>
      </c>
    </row>
    <row r="208" ht="16" customHeight="1" spans="1:12">
      <c r="A208" s="161">
        <v>206</v>
      </c>
      <c r="B208" s="161" t="s">
        <v>5602</v>
      </c>
      <c r="C208" s="137" t="s">
        <v>6006</v>
      </c>
      <c r="D208" s="137" t="s">
        <v>6007</v>
      </c>
      <c r="E208" s="161">
        <v>2020</v>
      </c>
      <c r="F208" s="161">
        <v>2020</v>
      </c>
      <c r="G208" s="161" t="s">
        <v>16</v>
      </c>
      <c r="H208" s="137">
        <v>200</v>
      </c>
      <c r="I208" s="137">
        <v>200</v>
      </c>
      <c r="J208" s="161"/>
      <c r="K208" s="218"/>
      <c r="L208" s="105">
        <v>20201118</v>
      </c>
    </row>
    <row r="209" ht="16" customHeight="1" spans="1:12">
      <c r="A209" s="161">
        <v>207</v>
      </c>
      <c r="B209" s="161" t="s">
        <v>5602</v>
      </c>
      <c r="C209" s="137" t="s">
        <v>6008</v>
      </c>
      <c r="D209" s="137" t="s">
        <v>6009</v>
      </c>
      <c r="E209" s="161">
        <v>2020</v>
      </c>
      <c r="F209" s="161">
        <v>2020</v>
      </c>
      <c r="G209" s="161" t="s">
        <v>16</v>
      </c>
      <c r="H209" s="137">
        <v>200</v>
      </c>
      <c r="I209" s="137">
        <v>200</v>
      </c>
      <c r="J209" s="161"/>
      <c r="K209" s="218"/>
      <c r="L209" s="105">
        <v>20201118</v>
      </c>
    </row>
    <row r="210" ht="16" customHeight="1" spans="1:12">
      <c r="A210" s="161">
        <v>208</v>
      </c>
      <c r="B210" s="161" t="s">
        <v>5602</v>
      </c>
      <c r="C210" s="137" t="s">
        <v>6010</v>
      </c>
      <c r="D210" s="137" t="s">
        <v>6011</v>
      </c>
      <c r="E210" s="161">
        <v>2020</v>
      </c>
      <c r="F210" s="161">
        <v>2020</v>
      </c>
      <c r="G210" s="161" t="s">
        <v>16</v>
      </c>
      <c r="H210" s="137">
        <v>200</v>
      </c>
      <c r="I210" s="137">
        <v>200</v>
      </c>
      <c r="J210" s="161"/>
      <c r="K210" s="218"/>
      <c r="L210" s="105">
        <v>20201118</v>
      </c>
    </row>
    <row r="211" ht="16" customHeight="1" spans="1:12">
      <c r="A211" s="161">
        <v>209</v>
      </c>
      <c r="B211" s="161" t="s">
        <v>5602</v>
      </c>
      <c r="C211" s="137" t="s">
        <v>6012</v>
      </c>
      <c r="D211" s="137" t="s">
        <v>6013</v>
      </c>
      <c r="E211" s="161">
        <v>2020</v>
      </c>
      <c r="F211" s="161">
        <v>2020</v>
      </c>
      <c r="G211" s="161" t="s">
        <v>16</v>
      </c>
      <c r="H211" s="137">
        <v>200</v>
      </c>
      <c r="I211" s="137">
        <v>200</v>
      </c>
      <c r="J211" s="161"/>
      <c r="K211" s="218"/>
      <c r="L211" s="105">
        <v>20201118</v>
      </c>
    </row>
    <row r="212" ht="16" customHeight="1" spans="1:12">
      <c r="A212" s="161">
        <v>210</v>
      </c>
      <c r="B212" s="161" t="s">
        <v>5602</v>
      </c>
      <c r="C212" s="137" t="s">
        <v>6014</v>
      </c>
      <c r="D212" s="137" t="s">
        <v>6015</v>
      </c>
      <c r="E212" s="161">
        <v>2020</v>
      </c>
      <c r="F212" s="161">
        <v>2020</v>
      </c>
      <c r="G212" s="161" t="s">
        <v>16</v>
      </c>
      <c r="H212" s="137">
        <v>200</v>
      </c>
      <c r="I212" s="137">
        <v>200</v>
      </c>
      <c r="J212" s="161"/>
      <c r="K212" s="218"/>
      <c r="L212" s="105">
        <v>20201118</v>
      </c>
    </row>
    <row r="213" ht="16" customHeight="1" spans="1:12">
      <c r="A213" s="161">
        <v>211</v>
      </c>
      <c r="B213" s="161" t="s">
        <v>5602</v>
      </c>
      <c r="C213" s="137" t="s">
        <v>6016</v>
      </c>
      <c r="D213" s="137" t="s">
        <v>6017</v>
      </c>
      <c r="E213" s="161">
        <v>2020</v>
      </c>
      <c r="F213" s="161">
        <v>2020</v>
      </c>
      <c r="G213" s="161" t="s">
        <v>16</v>
      </c>
      <c r="H213" s="137">
        <v>200</v>
      </c>
      <c r="I213" s="137">
        <v>200</v>
      </c>
      <c r="J213" s="161"/>
      <c r="K213" s="218"/>
      <c r="L213" s="105">
        <v>20201118</v>
      </c>
    </row>
    <row r="214" ht="16" customHeight="1" spans="1:12">
      <c r="A214" s="161">
        <v>212</v>
      </c>
      <c r="B214" s="161" t="s">
        <v>5602</v>
      </c>
      <c r="C214" s="137" t="s">
        <v>6018</v>
      </c>
      <c r="D214" s="137" t="s">
        <v>6019</v>
      </c>
      <c r="E214" s="161">
        <v>2020</v>
      </c>
      <c r="F214" s="161">
        <v>2020</v>
      </c>
      <c r="G214" s="161" t="s">
        <v>16</v>
      </c>
      <c r="H214" s="137">
        <v>200</v>
      </c>
      <c r="I214" s="137">
        <v>200</v>
      </c>
      <c r="J214" s="161"/>
      <c r="K214" s="218"/>
      <c r="L214" s="105">
        <v>20201118</v>
      </c>
    </row>
    <row r="215" ht="16" customHeight="1" spans="1:12">
      <c r="A215" s="161">
        <v>213</v>
      </c>
      <c r="B215" s="161" t="s">
        <v>5602</v>
      </c>
      <c r="C215" s="137" t="s">
        <v>6020</v>
      </c>
      <c r="D215" s="137" t="s">
        <v>6021</v>
      </c>
      <c r="E215" s="161">
        <v>2020</v>
      </c>
      <c r="F215" s="161">
        <v>2020</v>
      </c>
      <c r="G215" s="161" t="s">
        <v>16</v>
      </c>
      <c r="H215" s="137">
        <v>200</v>
      </c>
      <c r="I215" s="137">
        <v>200</v>
      </c>
      <c r="J215" s="161"/>
      <c r="K215" s="218"/>
      <c r="L215" s="105">
        <v>20201118</v>
      </c>
    </row>
    <row r="216" ht="16" customHeight="1" spans="1:12">
      <c r="A216" s="161">
        <v>214</v>
      </c>
      <c r="B216" s="161" t="s">
        <v>5602</v>
      </c>
      <c r="C216" s="137" t="s">
        <v>6022</v>
      </c>
      <c r="D216" s="137" t="s">
        <v>6023</v>
      </c>
      <c r="E216" s="161">
        <v>2020</v>
      </c>
      <c r="F216" s="161">
        <v>2020</v>
      </c>
      <c r="G216" s="161" t="s">
        <v>16</v>
      </c>
      <c r="H216" s="137">
        <v>200</v>
      </c>
      <c r="I216" s="137">
        <v>200</v>
      </c>
      <c r="J216" s="161"/>
      <c r="K216" s="218"/>
      <c r="L216" s="105">
        <v>20201118</v>
      </c>
    </row>
    <row r="217" ht="16" customHeight="1" spans="1:12">
      <c r="A217" s="161">
        <v>215</v>
      </c>
      <c r="B217" s="161" t="s">
        <v>5602</v>
      </c>
      <c r="C217" s="137" t="s">
        <v>6024</v>
      </c>
      <c r="D217" s="137" t="s">
        <v>6025</v>
      </c>
      <c r="E217" s="161">
        <v>2020</v>
      </c>
      <c r="F217" s="161">
        <v>2020</v>
      </c>
      <c r="G217" s="161" t="s">
        <v>16</v>
      </c>
      <c r="H217" s="137">
        <v>200</v>
      </c>
      <c r="I217" s="137">
        <v>200</v>
      </c>
      <c r="J217" s="161"/>
      <c r="K217" s="218"/>
      <c r="L217" s="105">
        <v>20201118</v>
      </c>
    </row>
    <row r="218" ht="16" customHeight="1" spans="1:12">
      <c r="A218" s="161">
        <v>216</v>
      </c>
      <c r="B218" s="161" t="s">
        <v>5602</v>
      </c>
      <c r="C218" s="137" t="s">
        <v>6026</v>
      </c>
      <c r="D218" s="137" t="s">
        <v>6027</v>
      </c>
      <c r="E218" s="161">
        <v>2020</v>
      </c>
      <c r="F218" s="161">
        <v>2020</v>
      </c>
      <c r="G218" s="161" t="s">
        <v>16</v>
      </c>
      <c r="H218" s="137">
        <v>200</v>
      </c>
      <c r="I218" s="137">
        <v>200</v>
      </c>
      <c r="J218" s="161"/>
      <c r="K218" s="218"/>
      <c r="L218" s="105">
        <v>20201118</v>
      </c>
    </row>
    <row r="219" ht="16" customHeight="1" spans="1:12">
      <c r="A219" s="161">
        <v>217</v>
      </c>
      <c r="B219" s="161" t="s">
        <v>5602</v>
      </c>
      <c r="C219" s="137" t="s">
        <v>6028</v>
      </c>
      <c r="D219" s="137" t="s">
        <v>6029</v>
      </c>
      <c r="E219" s="161">
        <v>2020</v>
      </c>
      <c r="F219" s="161">
        <v>2020</v>
      </c>
      <c r="G219" s="161" t="s">
        <v>16</v>
      </c>
      <c r="H219" s="137">
        <v>200</v>
      </c>
      <c r="I219" s="137">
        <v>200</v>
      </c>
      <c r="J219" s="161"/>
      <c r="K219" s="218"/>
      <c r="L219" s="105">
        <v>20201118</v>
      </c>
    </row>
    <row r="220" ht="16" customHeight="1" spans="1:12">
      <c r="A220" s="161">
        <v>218</v>
      </c>
      <c r="B220" s="161" t="s">
        <v>5602</v>
      </c>
      <c r="C220" s="137" t="s">
        <v>6030</v>
      </c>
      <c r="D220" s="137" t="s">
        <v>6031</v>
      </c>
      <c r="E220" s="161">
        <v>2020</v>
      </c>
      <c r="F220" s="161">
        <v>2020</v>
      </c>
      <c r="G220" s="161" t="s">
        <v>16</v>
      </c>
      <c r="H220" s="137">
        <v>200</v>
      </c>
      <c r="I220" s="137">
        <v>200</v>
      </c>
      <c r="J220" s="161"/>
      <c r="K220" s="218"/>
      <c r="L220" s="105">
        <v>20201118</v>
      </c>
    </row>
    <row r="221" ht="16" customHeight="1" spans="1:12">
      <c r="A221" s="161">
        <v>219</v>
      </c>
      <c r="B221" s="161" t="s">
        <v>5602</v>
      </c>
      <c r="C221" s="137" t="s">
        <v>6032</v>
      </c>
      <c r="D221" s="137" t="s">
        <v>6033</v>
      </c>
      <c r="E221" s="161">
        <v>2020</v>
      </c>
      <c r="F221" s="161">
        <v>2020</v>
      </c>
      <c r="G221" s="161" t="s">
        <v>16</v>
      </c>
      <c r="H221" s="137">
        <v>200</v>
      </c>
      <c r="I221" s="137">
        <v>200</v>
      </c>
      <c r="J221" s="161"/>
      <c r="K221" s="218"/>
      <c r="L221" s="105">
        <v>20201118</v>
      </c>
    </row>
    <row r="222" ht="16" customHeight="1" spans="1:12">
      <c r="A222" s="161">
        <v>220</v>
      </c>
      <c r="B222" s="161" t="s">
        <v>5602</v>
      </c>
      <c r="C222" s="137" t="s">
        <v>5118</v>
      </c>
      <c r="D222" s="137" t="s">
        <v>6034</v>
      </c>
      <c r="E222" s="161">
        <v>2020</v>
      </c>
      <c r="F222" s="161">
        <v>2020</v>
      </c>
      <c r="G222" s="161" t="s">
        <v>16</v>
      </c>
      <c r="H222" s="137">
        <v>200</v>
      </c>
      <c r="I222" s="137">
        <v>200</v>
      </c>
      <c r="J222" s="161"/>
      <c r="K222" s="218"/>
      <c r="L222" s="105">
        <v>20201118</v>
      </c>
    </row>
    <row r="223" ht="16" customHeight="1" spans="1:12">
      <c r="A223" s="161">
        <v>221</v>
      </c>
      <c r="B223" s="161" t="s">
        <v>5602</v>
      </c>
      <c r="C223" s="137" t="s">
        <v>6035</v>
      </c>
      <c r="D223" s="137" t="s">
        <v>6036</v>
      </c>
      <c r="E223" s="161">
        <v>2020</v>
      </c>
      <c r="F223" s="161">
        <v>2020</v>
      </c>
      <c r="G223" s="161" t="s">
        <v>16</v>
      </c>
      <c r="H223" s="137">
        <v>200</v>
      </c>
      <c r="I223" s="137">
        <v>200</v>
      </c>
      <c r="J223" s="161"/>
      <c r="K223" s="218"/>
      <c r="L223" s="105">
        <v>20201118</v>
      </c>
    </row>
    <row r="224" ht="16" customHeight="1" spans="1:12">
      <c r="A224" s="161">
        <v>222</v>
      </c>
      <c r="B224" s="161" t="s">
        <v>5602</v>
      </c>
      <c r="C224" s="137" t="s">
        <v>6037</v>
      </c>
      <c r="D224" s="137" t="s">
        <v>6038</v>
      </c>
      <c r="E224" s="161">
        <v>2020</v>
      </c>
      <c r="F224" s="161">
        <v>2020</v>
      </c>
      <c r="G224" s="161" t="s">
        <v>16</v>
      </c>
      <c r="H224" s="137">
        <v>200</v>
      </c>
      <c r="I224" s="137">
        <v>200</v>
      </c>
      <c r="J224" s="161"/>
      <c r="K224" s="218"/>
      <c r="L224" s="105">
        <v>20201118</v>
      </c>
    </row>
    <row r="225" ht="16" customHeight="1" spans="1:12">
      <c r="A225" s="161">
        <v>223</v>
      </c>
      <c r="B225" s="161" t="s">
        <v>5602</v>
      </c>
      <c r="C225" s="137" t="s">
        <v>2804</v>
      </c>
      <c r="D225" s="137" t="s">
        <v>6039</v>
      </c>
      <c r="E225" s="161">
        <v>2020</v>
      </c>
      <c r="F225" s="161">
        <v>2020</v>
      </c>
      <c r="G225" s="161" t="s">
        <v>16</v>
      </c>
      <c r="H225" s="137">
        <v>200</v>
      </c>
      <c r="I225" s="137">
        <v>200</v>
      </c>
      <c r="J225" s="161"/>
      <c r="K225" s="218"/>
      <c r="L225" s="105">
        <v>20201118</v>
      </c>
    </row>
    <row r="226" ht="16" customHeight="1" spans="1:12">
      <c r="A226" s="161">
        <v>224</v>
      </c>
      <c r="B226" s="161" t="s">
        <v>5602</v>
      </c>
      <c r="C226" s="137" t="s">
        <v>6040</v>
      </c>
      <c r="D226" s="137" t="s">
        <v>6041</v>
      </c>
      <c r="E226" s="161">
        <v>2020</v>
      </c>
      <c r="F226" s="161">
        <v>2020</v>
      </c>
      <c r="G226" s="161" t="s">
        <v>16</v>
      </c>
      <c r="H226" s="137">
        <v>200</v>
      </c>
      <c r="I226" s="137">
        <v>200</v>
      </c>
      <c r="J226" s="161"/>
      <c r="K226" s="218"/>
      <c r="L226" s="105">
        <v>20201118</v>
      </c>
    </row>
    <row r="227" ht="16" customHeight="1" spans="1:12">
      <c r="A227" s="161">
        <v>225</v>
      </c>
      <c r="B227" s="161" t="s">
        <v>5602</v>
      </c>
      <c r="C227" s="137" t="s">
        <v>6042</v>
      </c>
      <c r="D227" s="137" t="s">
        <v>6043</v>
      </c>
      <c r="E227" s="161">
        <v>2020</v>
      </c>
      <c r="F227" s="161">
        <v>2020</v>
      </c>
      <c r="G227" s="161" t="s">
        <v>16</v>
      </c>
      <c r="H227" s="137">
        <v>200</v>
      </c>
      <c r="I227" s="137">
        <v>200</v>
      </c>
      <c r="J227" s="161"/>
      <c r="K227" s="218"/>
      <c r="L227" s="105">
        <v>20201118</v>
      </c>
    </row>
    <row r="228" ht="16" customHeight="1" spans="1:12">
      <c r="A228" s="161">
        <v>226</v>
      </c>
      <c r="B228" s="161" t="s">
        <v>5602</v>
      </c>
      <c r="C228" s="137" t="s">
        <v>6044</v>
      </c>
      <c r="D228" s="137" t="s">
        <v>6045</v>
      </c>
      <c r="E228" s="161">
        <v>2020</v>
      </c>
      <c r="F228" s="161">
        <v>2020</v>
      </c>
      <c r="G228" s="161" t="s">
        <v>16</v>
      </c>
      <c r="H228" s="137">
        <v>200</v>
      </c>
      <c r="I228" s="137">
        <v>200</v>
      </c>
      <c r="J228" s="161"/>
      <c r="K228" s="218"/>
      <c r="L228" s="105">
        <v>20201118</v>
      </c>
    </row>
    <row r="229" ht="16" customHeight="1" spans="1:12">
      <c r="A229" s="161">
        <v>227</v>
      </c>
      <c r="B229" s="161" t="s">
        <v>5602</v>
      </c>
      <c r="C229" s="137" t="s">
        <v>6046</v>
      </c>
      <c r="D229" s="137" t="s">
        <v>6047</v>
      </c>
      <c r="E229" s="161">
        <v>2020</v>
      </c>
      <c r="F229" s="161">
        <v>2020</v>
      </c>
      <c r="G229" s="161" t="s">
        <v>16</v>
      </c>
      <c r="H229" s="137">
        <v>200</v>
      </c>
      <c r="I229" s="137">
        <v>200</v>
      </c>
      <c r="J229" s="161"/>
      <c r="K229" s="218"/>
      <c r="L229" s="105">
        <v>20201118</v>
      </c>
    </row>
    <row r="230" ht="16" customHeight="1" spans="1:12">
      <c r="A230" s="161">
        <v>228</v>
      </c>
      <c r="B230" s="161" t="s">
        <v>5602</v>
      </c>
      <c r="C230" s="137" t="s">
        <v>6048</v>
      </c>
      <c r="D230" s="137" t="s">
        <v>6049</v>
      </c>
      <c r="E230" s="161">
        <v>2020</v>
      </c>
      <c r="F230" s="161">
        <v>2020</v>
      </c>
      <c r="G230" s="161" t="s">
        <v>16</v>
      </c>
      <c r="H230" s="137">
        <v>200</v>
      </c>
      <c r="I230" s="137">
        <v>200</v>
      </c>
      <c r="J230" s="161"/>
      <c r="K230" s="218"/>
      <c r="L230" s="105">
        <v>20201118</v>
      </c>
    </row>
    <row r="231" ht="16" customHeight="1" spans="1:12">
      <c r="A231" s="161">
        <v>229</v>
      </c>
      <c r="B231" s="161" t="s">
        <v>5602</v>
      </c>
      <c r="C231" s="137" t="s">
        <v>6050</v>
      </c>
      <c r="D231" s="137" t="s">
        <v>6051</v>
      </c>
      <c r="E231" s="161">
        <v>2020</v>
      </c>
      <c r="F231" s="161">
        <v>2020</v>
      </c>
      <c r="G231" s="161" t="s">
        <v>16</v>
      </c>
      <c r="H231" s="137">
        <v>200</v>
      </c>
      <c r="I231" s="137">
        <v>200</v>
      </c>
      <c r="J231" s="161"/>
      <c r="K231" s="218"/>
      <c r="L231" s="105">
        <v>20201118</v>
      </c>
    </row>
    <row r="232" ht="16" customHeight="1" spans="1:12">
      <c r="A232" s="161">
        <v>230</v>
      </c>
      <c r="B232" s="161" t="s">
        <v>5602</v>
      </c>
      <c r="C232" s="137" t="s">
        <v>6052</v>
      </c>
      <c r="D232" s="137" t="s">
        <v>6053</v>
      </c>
      <c r="E232" s="161">
        <v>2020</v>
      </c>
      <c r="F232" s="161">
        <v>2020</v>
      </c>
      <c r="G232" s="161" t="s">
        <v>16</v>
      </c>
      <c r="H232" s="137">
        <v>200</v>
      </c>
      <c r="I232" s="137">
        <v>200</v>
      </c>
      <c r="J232" s="161"/>
      <c r="K232" s="218"/>
      <c r="L232" s="105">
        <v>20201118</v>
      </c>
    </row>
    <row r="233" ht="16" customHeight="1" spans="1:12">
      <c r="A233" s="161">
        <v>231</v>
      </c>
      <c r="B233" s="161" t="s">
        <v>5602</v>
      </c>
      <c r="C233" s="137" t="s">
        <v>6054</v>
      </c>
      <c r="D233" s="137" t="s">
        <v>6055</v>
      </c>
      <c r="E233" s="161">
        <v>2020</v>
      </c>
      <c r="F233" s="161">
        <v>2020</v>
      </c>
      <c r="G233" s="161" t="s">
        <v>16</v>
      </c>
      <c r="H233" s="137">
        <v>200</v>
      </c>
      <c r="I233" s="137">
        <v>200</v>
      </c>
      <c r="J233" s="161"/>
      <c r="K233" s="218"/>
      <c r="L233" s="105">
        <v>20201118</v>
      </c>
    </row>
    <row r="234" ht="16" customHeight="1" spans="1:12">
      <c r="A234" s="161">
        <v>232</v>
      </c>
      <c r="B234" s="161" t="s">
        <v>5602</v>
      </c>
      <c r="C234" s="161" t="s">
        <v>6056</v>
      </c>
      <c r="D234" s="220" t="s">
        <v>6057</v>
      </c>
      <c r="E234" s="161">
        <v>2020</v>
      </c>
      <c r="F234" s="161">
        <v>2020</v>
      </c>
      <c r="G234" s="161" t="s">
        <v>16</v>
      </c>
      <c r="H234" s="137">
        <v>200</v>
      </c>
      <c r="I234" s="137">
        <v>200</v>
      </c>
      <c r="J234" s="161"/>
      <c r="K234" s="218"/>
      <c r="L234" s="105">
        <v>20201118</v>
      </c>
    </row>
    <row r="235" ht="16" customHeight="1" spans="1:12">
      <c r="A235" s="161">
        <v>233</v>
      </c>
      <c r="B235" s="161" t="s">
        <v>5602</v>
      </c>
      <c r="C235" s="161" t="s">
        <v>4083</v>
      </c>
      <c r="D235" s="220" t="s">
        <v>6058</v>
      </c>
      <c r="E235" s="161">
        <v>2020</v>
      </c>
      <c r="F235" s="161">
        <v>2020</v>
      </c>
      <c r="G235" s="161" t="s">
        <v>16</v>
      </c>
      <c r="H235" s="137">
        <v>200</v>
      </c>
      <c r="I235" s="137">
        <v>200</v>
      </c>
      <c r="J235" s="161"/>
      <c r="K235" s="218"/>
      <c r="L235" s="105">
        <v>20201118</v>
      </c>
    </row>
    <row r="236" ht="16" customHeight="1" spans="1:12">
      <c r="A236" s="161">
        <v>234</v>
      </c>
      <c r="B236" s="161" t="s">
        <v>5602</v>
      </c>
      <c r="C236" s="161" t="s">
        <v>6059</v>
      </c>
      <c r="D236" s="220" t="s">
        <v>6060</v>
      </c>
      <c r="E236" s="161">
        <v>2020</v>
      </c>
      <c r="F236" s="161">
        <v>2020</v>
      </c>
      <c r="G236" s="161" t="s">
        <v>16</v>
      </c>
      <c r="H236" s="137">
        <v>200</v>
      </c>
      <c r="I236" s="137">
        <v>200</v>
      </c>
      <c r="J236" s="161"/>
      <c r="K236" s="218"/>
      <c r="L236" s="105">
        <v>20201118</v>
      </c>
    </row>
    <row r="237" ht="16" customHeight="1" spans="1:12">
      <c r="A237" s="161">
        <v>235</v>
      </c>
      <c r="B237" s="161" t="s">
        <v>5602</v>
      </c>
      <c r="C237" s="161" t="s">
        <v>6061</v>
      </c>
      <c r="D237" s="220" t="s">
        <v>6062</v>
      </c>
      <c r="E237" s="161">
        <v>2020</v>
      </c>
      <c r="F237" s="161">
        <v>2020</v>
      </c>
      <c r="G237" s="161" t="s">
        <v>16</v>
      </c>
      <c r="H237" s="137">
        <v>200</v>
      </c>
      <c r="I237" s="137">
        <v>200</v>
      </c>
      <c r="J237" s="161"/>
      <c r="K237" s="224"/>
      <c r="L237" s="105">
        <v>20201118</v>
      </c>
    </row>
    <row r="238" ht="16" customHeight="1" spans="1:12">
      <c r="A238" s="161">
        <v>236</v>
      </c>
      <c r="B238" s="161" t="s">
        <v>5602</v>
      </c>
      <c r="C238" s="161" t="s">
        <v>6063</v>
      </c>
      <c r="D238" s="294" t="s">
        <v>6064</v>
      </c>
      <c r="E238" s="163">
        <v>2020</v>
      </c>
      <c r="F238" s="163">
        <v>2020</v>
      </c>
      <c r="G238" s="163" t="s">
        <v>189</v>
      </c>
      <c r="H238" s="161">
        <v>200</v>
      </c>
      <c r="I238" s="161">
        <v>200</v>
      </c>
      <c r="J238" s="161"/>
      <c r="K238" s="225"/>
      <c r="L238" s="105">
        <v>20201118</v>
      </c>
    </row>
    <row r="239" ht="16" customHeight="1" spans="1:12">
      <c r="A239" s="161">
        <v>237</v>
      </c>
      <c r="B239" s="161" t="s">
        <v>5602</v>
      </c>
      <c r="C239" s="161" t="s">
        <v>6065</v>
      </c>
      <c r="D239" s="294" t="s">
        <v>6066</v>
      </c>
      <c r="E239" s="221">
        <v>2011</v>
      </c>
      <c r="F239" s="221">
        <v>2020</v>
      </c>
      <c r="G239" s="221" t="s">
        <v>289</v>
      </c>
      <c r="H239" s="161">
        <v>200</v>
      </c>
      <c r="I239" s="161">
        <v>2000</v>
      </c>
      <c r="J239" s="161"/>
      <c r="K239" s="225"/>
      <c r="L239" s="105">
        <v>20201118</v>
      </c>
    </row>
    <row r="240" ht="16" customHeight="1" spans="1:12">
      <c r="A240" s="161">
        <v>238</v>
      </c>
      <c r="B240" s="161" t="s">
        <v>5602</v>
      </c>
      <c r="C240" s="161" t="s">
        <v>6067</v>
      </c>
      <c r="D240" s="294" t="s">
        <v>6068</v>
      </c>
      <c r="E240" s="221">
        <v>2012</v>
      </c>
      <c r="F240" s="221">
        <v>2020</v>
      </c>
      <c r="G240" s="221" t="s">
        <v>289</v>
      </c>
      <c r="H240" s="161">
        <v>200</v>
      </c>
      <c r="I240" s="161">
        <v>1800</v>
      </c>
      <c r="J240" s="161"/>
      <c r="K240" s="225"/>
      <c r="L240" s="105">
        <v>20201118</v>
      </c>
    </row>
    <row r="241" ht="16" customHeight="1" spans="1:12">
      <c r="A241" s="161">
        <v>239</v>
      </c>
      <c r="B241" s="161" t="s">
        <v>5602</v>
      </c>
      <c r="C241" s="161" t="s">
        <v>6069</v>
      </c>
      <c r="D241" s="294" t="s">
        <v>6070</v>
      </c>
      <c r="E241" s="221">
        <v>2011</v>
      </c>
      <c r="F241" s="221">
        <v>2020</v>
      </c>
      <c r="G241" s="221" t="s">
        <v>289</v>
      </c>
      <c r="H241" s="161">
        <v>200</v>
      </c>
      <c r="I241" s="161">
        <v>2000</v>
      </c>
      <c r="J241" s="226"/>
      <c r="K241" s="225"/>
      <c r="L241" s="105">
        <v>20201118</v>
      </c>
    </row>
    <row r="242" ht="14.25" spans="1:12">
      <c r="A242" s="161">
        <v>240</v>
      </c>
      <c r="B242" s="109" t="s">
        <v>6071</v>
      </c>
      <c r="C242" s="109" t="s">
        <v>6072</v>
      </c>
      <c r="D242" s="109" t="s">
        <v>6073</v>
      </c>
      <c r="E242" s="222">
        <v>2011</v>
      </c>
      <c r="F242" s="222">
        <v>2018</v>
      </c>
      <c r="G242" s="223" t="s">
        <v>289</v>
      </c>
      <c r="H242" s="130" t="s">
        <v>311</v>
      </c>
      <c r="I242" s="227">
        <v>1600</v>
      </c>
      <c r="J242" s="108"/>
      <c r="K242" s="108"/>
      <c r="L242" s="105">
        <v>20200814</v>
      </c>
    </row>
    <row r="243" spans="1:12">
      <c r="A243" s="108"/>
      <c r="B243" s="108"/>
      <c r="C243" s="108"/>
      <c r="D243" s="108"/>
      <c r="E243" s="108"/>
      <c r="F243" s="108"/>
      <c r="G243" s="108"/>
      <c r="H243" s="108"/>
      <c r="I243" s="105">
        <v>67300</v>
      </c>
      <c r="J243" s="108"/>
      <c r="K243" s="108"/>
      <c r="L243" s="105"/>
    </row>
  </sheetData>
  <mergeCells count="2">
    <mergeCell ref="A1:K1"/>
    <mergeCell ref="E2:F2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图力格</vt:lpstr>
      <vt:lpstr>丰胜</vt:lpstr>
      <vt:lpstr>博勒梯</vt:lpstr>
      <vt:lpstr>明仁</vt:lpstr>
      <vt:lpstr>包德日干图</vt:lpstr>
      <vt:lpstr>落增筒</vt:lpstr>
      <vt:lpstr>新义</vt:lpstr>
      <vt:lpstr>萨仁阿日</vt:lpstr>
      <vt:lpstr>北大德号</vt:lpstr>
      <vt:lpstr>南大德号</vt:lpstr>
      <vt:lpstr>包特高营子</vt:lpstr>
      <vt:lpstr>三合</vt:lpstr>
      <vt:lpstr>公益</vt:lpstr>
      <vt:lpstr>福兴</vt:lpstr>
      <vt:lpstr>清河</vt:lpstr>
      <vt:lpstr>大段</vt:lpstr>
      <vt:lpstr>乌兰艾勒</vt:lpstr>
      <vt:lpstr>永安</vt:lpstr>
      <vt:lpstr>太平屯</vt:lpstr>
      <vt:lpstr>兴隆</vt:lpstr>
      <vt:lpstr>四方地</vt:lpstr>
      <vt:lpstr>四合福</vt:lpstr>
      <vt:lpstr>当海</vt:lpstr>
      <vt:lpstr>辣椒铺</vt:lpstr>
      <vt:lpstr>敖包</vt:lpstr>
      <vt:lpstr>保安</vt:lpstr>
      <vt:lpstr>巴日嘎斯台</vt:lpstr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SHY</dc:creator>
  <cp:lastModifiedBy>※东北人※</cp:lastModifiedBy>
  <dcterms:created xsi:type="dcterms:W3CDTF">2020-12-23T08:05:00Z</dcterms:created>
  <dcterms:modified xsi:type="dcterms:W3CDTF">2021-01-24T00:32:47Z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